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always" codeName="ThisWorkbook" defaultThemeVersion="166925"/>
  <mc:AlternateContent xmlns:mc="http://schemas.openxmlformats.org/markup-compatibility/2006">
    <mc:Choice Requires="x15">
      <x15ac:absPath xmlns:x15ac="http://schemas.microsoft.com/office/spreadsheetml/2010/11/ac" url="C:\Users\mcase\Downloads\"/>
    </mc:Choice>
  </mc:AlternateContent>
  <xr:revisionPtr revIDLastSave="0" documentId="13_ncr:1_{7BAB7EBE-E18F-49CA-AADE-A7D0E15661EC}" xr6:coauthVersionLast="47" xr6:coauthVersionMax="47" xr10:uidLastSave="{00000000-0000-0000-0000-000000000000}"/>
  <workbookProtection workbookAlgorithmName="SHA-512" workbookHashValue="VrTCcRQ66sKYyRvCDx4zo8LNqOujfDFLmZmLt0ORKT709GDJI1uG04lN+q88pQ+BbVTXbER518TMc14SL5IU1Q==" workbookSaltValue="NPYoYf65XJCAVBvXAaTkeg==" workbookSpinCount="100000" lockStructure="1"/>
  <bookViews>
    <workbookView xWindow="-120" yWindow="-120" windowWidth="29040" windowHeight="15720" firstSheet="30" activeTab="34" xr2:uid="{02F63597-8F7A-4DA7-9804-DEEDA6EE38A6}"/>
  </bookViews>
  <sheets>
    <sheet name="Change Log" sheetId="92" state="hidden" r:id="rId1"/>
    <sheet name="QAP Constants" sheetId="110" state="hidden" r:id="rId2"/>
    <sheet name="Dropdown Lists" sheetId="4" state="hidden" r:id="rId3"/>
    <sheet name="ProLink" sheetId="102" state="hidden" r:id="rId4"/>
    <sheet name="ProLink Mapping" sheetId="42" state="hidden" r:id="rId5"/>
    <sheet name="1. TOC" sheetId="106" r:id="rId6"/>
    <sheet name="2. Project Summary" sheetId="108" r:id="rId7"/>
    <sheet name="3. Project Location" sheetId="1" r:id="rId8"/>
    <sheet name="4. Project Description" sheetId="3" r:id="rId9"/>
    <sheet name="5. Applicant Information" sheetId="6" r:id="rId10"/>
    <sheet name="6. Site Description" sheetId="7" r:id="rId11"/>
    <sheet name="7. Site Control" sheetId="9" r:id="rId12"/>
    <sheet name="8. Zoning" sheetId="10" r:id="rId13"/>
    <sheet name="9. Ownership and Project Team" sheetId="11" r:id="rId14"/>
    <sheet name="10. Project and Unit Amenities" sheetId="13" r:id="rId15"/>
    <sheet name="Unit Mix Helper" sheetId="93" state="hidden" r:id="rId16"/>
    <sheet name="State HTC Gap" sheetId="101" state="hidden" r:id="rId17"/>
    <sheet name="11. Unit Mix" sheetId="45" r:id="rId18"/>
    <sheet name="12. Funding Sources" sheetId="46" r:id="rId19"/>
    <sheet name="13. Construction Cost SOV" sheetId="105" r:id="rId20"/>
    <sheet name="14. Project Costs" sheetId="47" r:id="rId21"/>
    <sheet name="15. Credit Calculation" sheetId="103" r:id="rId22"/>
    <sheet name="16. Projected Operating Costs" sheetId="48" r:id="rId23"/>
    <sheet name="17. Cash Flow and Reserves" sheetId="49" r:id="rId24"/>
    <sheet name="18. Max Cost Model" sheetId="109" r:id="rId25"/>
    <sheet name="19. Construction Draw Schedule" sheetId="52" r:id="rId26"/>
    <sheet name="20. Instructions Scoring Sum" sheetId="20" r:id="rId27"/>
    <sheet name="21. Location Score" sheetId="68" r:id="rId28"/>
    <sheet name="22. Tenants Served Score" sheetId="59" r:id="rId29"/>
    <sheet name="23. Building Design Score" sheetId="57" r:id="rId30"/>
    <sheet name="24. Development Process Score" sheetId="65" r:id="rId31"/>
    <sheet name="Threshold Checklist" sheetId="88" r:id="rId32"/>
    <sheet name="Self Scoring Checklist" sheetId="89" r:id="rId33"/>
    <sheet name="WHEDA Loan Signatures" sheetId="91" r:id="rId34"/>
    <sheet name="Tax Credit Signatures" sheetId="90" r:id="rId35"/>
    <sheet name="App R Data" sheetId="107" state="hidden" r:id="rId36"/>
    <sheet name="SD_Dropdowns" sheetId="72" state="veryHidden" r:id="rId37"/>
    <sheet name="RentLimits" sheetId="54" state="hidden" r:id="rId38"/>
    <sheet name="IncomeLimits" sheetId="55" state="hidden" r:id="rId39"/>
    <sheet name="ACR Form" sheetId="111" state="hidden" r:id="rId40"/>
  </sheets>
  <definedNames>
    <definedName name="_20RentLimit">RentLimits!$B$1:$G$77</definedName>
    <definedName name="_24_Hour_On_Site_Resident_Manager">'10. Project and Unit Amenities'!$D$37</definedName>
    <definedName name="_30RentLimit">RentLimits!$H$1:$M$77</definedName>
    <definedName name="_40RentLimit">RentLimits!$N$1:$S$77</definedName>
    <definedName name="_50RentLimit">RentLimits!$T$1:$Y$77</definedName>
    <definedName name="A_C_Sleeve">'10. Project and Unit Amenities'!$D$73</definedName>
    <definedName name="Accountant">'9. Ownership and Project Team'!$D$156</definedName>
    <definedName name="Accountant_City">'9. Ownership and Project Team'!$D$160</definedName>
    <definedName name="Accountant_Contact_First_Name">'9. Ownership and Project Team'!$D$164</definedName>
    <definedName name="Accountant_Contact_Last_Name">'9. Ownership and Project Team'!$F$164</definedName>
    <definedName name="Accountant_Email_Address">'9. Ownership and Project Team'!$G$162</definedName>
    <definedName name="Accountant_Identity_of_Interest?">'9. Ownership and Project Team'!$F$154</definedName>
    <definedName name="Accountant_State">'9. Ownership and Project Team'!$F$160</definedName>
    <definedName name="Accountant_Street_Address">'9. Ownership and Project Team'!$D$158</definedName>
    <definedName name="Accountant_Telephone_Number">'9. Ownership and Project Team'!$D$162</definedName>
    <definedName name="Accountant_Zipcode">'9. Ownership and Project Team'!$H$160</definedName>
    <definedName name="Acquisition_Rehab_Units">'4. Project Description'!$D$9</definedName>
    <definedName name="Activities_Purchased_Serv">'16. Projected Operating Costs'!$D$80</definedName>
    <definedName name="Activities_Supplies">'16. Projected Operating Costs'!$D$79</definedName>
    <definedName name="Adaptive_Reuse_Units">'4. Project Description'!$D$10</definedName>
    <definedName name="Adjusted_building_basis">'7. Site Control'!$D$31</definedName>
    <definedName name="Administrative_Rent___Free_Unit">'16. Projected Operating Costs'!$D$21</definedName>
    <definedName name="Advertising___Marketing_Expense">'16. Projected Operating Costs'!$D$10</definedName>
    <definedName name="Age_Restricted_Number_of_Units">'4. Project Description'!$F$37</definedName>
    <definedName name="Amount_1">'12. Funding Sources'!$E$11</definedName>
    <definedName name="Amount_10">'12. Funding Sources'!$E$20</definedName>
    <definedName name="Amount_11">'12. Funding Sources'!$E$21</definedName>
    <definedName name="Amount_12">'12. Funding Sources'!$E$22</definedName>
    <definedName name="Amount_13">'12. Funding Sources'!$E$23</definedName>
    <definedName name="Amount_2">'12. Funding Sources'!$E$12</definedName>
    <definedName name="Amount_3">'12. Funding Sources'!$E$13</definedName>
    <definedName name="Amount_4">'12. Funding Sources'!$E$14</definedName>
    <definedName name="Amount_5">'12. Funding Sources'!$E$15</definedName>
    <definedName name="Amount_6">'12. Funding Sources'!$E$16</definedName>
    <definedName name="Amount_7">'12. Funding Sources'!$E$17</definedName>
    <definedName name="Amount_8">'12. Funding Sources'!$E$18</definedName>
    <definedName name="Amount_9">'12. Funding Sources'!$E$19</definedName>
    <definedName name="And_Number_of_Units">'4. Project Description'!$D$15</definedName>
    <definedName name="Annual_DSC_1">'12. Funding Sources'!$N$11</definedName>
    <definedName name="Annual_DSC_10">'12. Funding Sources'!$N$20</definedName>
    <definedName name="Annual_DSC_2">'12. Funding Sources'!$N$12</definedName>
    <definedName name="Annual_DSC_3">'12. Funding Sources'!$N$13</definedName>
    <definedName name="Annual_DSC_4">'12. Funding Sources'!$N$14</definedName>
    <definedName name="Annual_DSC_5">'12. Funding Sources'!$N$15</definedName>
    <definedName name="Annual_DSC_6">'12. Funding Sources'!$N$16</definedName>
    <definedName name="Annual_DSC_7">'12. Funding Sources'!$N$17</definedName>
    <definedName name="Annual_DSC_8">'12. Funding Sources'!$N$18</definedName>
    <definedName name="Annual_DSC_9">'12. Funding Sources'!$N$19</definedName>
    <definedName name="Annual_Replacement_Reserve">'16. Projected Operating Costs'!$D$86</definedName>
    <definedName name="AnnualPermanentDebtSevice">'12. Funding Sources'!$L$25</definedName>
    <definedName name="Any_existing_LURA?">'4. Project Description'!$D$30</definedName>
    <definedName name="Applicant_Information">'5. Applicant Information'!$B$4</definedName>
    <definedName name="Application_Threshold">'Threshold Checklist'!$B$4</definedName>
    <definedName name="ApplicationType" localSheetId="27">'Dropdown Lists'!$G$2:$G$4</definedName>
    <definedName name="ApplicationType" localSheetId="28">'Dropdown Lists'!$G$2:$G$4</definedName>
    <definedName name="ApplicationType" localSheetId="29">'Dropdown Lists'!$G$2:$G$4</definedName>
    <definedName name="ApplicationType" localSheetId="30">'Dropdown Lists'!$G$2:$G$4</definedName>
    <definedName name="ApplicationType">'Dropdown Lists'!$G$2:$G$4</definedName>
    <definedName name="ApplName">'5. Applicant Information'!$D$8:$H$8</definedName>
    <definedName name="ApplNmbr">'9. Ownership and Project Team'!$D$64</definedName>
    <definedName name="Apt_Type_1">'11. Unit Mix'!$C$16</definedName>
    <definedName name="Apt_Type_10">'11. Unit Mix'!$C$25</definedName>
    <definedName name="Apt_Type_11">'11. Unit Mix'!$C$26</definedName>
    <definedName name="Apt_Type_12">'11. Unit Mix'!$C$27</definedName>
    <definedName name="Apt_Type_13">'11. Unit Mix'!$C$28</definedName>
    <definedName name="Apt_Type_14">'11. Unit Mix'!$C$29</definedName>
    <definedName name="Apt_Type_15">'11. Unit Mix'!$C$30</definedName>
    <definedName name="Apt_Type_16">'11. Unit Mix'!$C$31</definedName>
    <definedName name="Apt_Type_17">'11. Unit Mix'!$C$32</definedName>
    <definedName name="Apt_Type_18">'11. Unit Mix'!$C$33</definedName>
    <definedName name="Apt_Type_19">'11. Unit Mix'!$C$34</definedName>
    <definedName name="Apt_Type_2">'11. Unit Mix'!$C$17</definedName>
    <definedName name="Apt_Type_20">'11. Unit Mix'!$C$35</definedName>
    <definedName name="Apt_Type_21">'11. Unit Mix'!$C$36</definedName>
    <definedName name="Apt_Type_22">'11. Unit Mix'!$C$37</definedName>
    <definedName name="Apt_Type_23">'11. Unit Mix'!$C$38</definedName>
    <definedName name="Apt_Type_24">'11. Unit Mix'!$C$39</definedName>
    <definedName name="Apt_Type_25">'11. Unit Mix'!$C$40</definedName>
    <definedName name="Apt_Type_26">'11. Unit Mix'!$C$41</definedName>
    <definedName name="Apt_Type_27">'11. Unit Mix'!$C$42</definedName>
    <definedName name="Apt_Type_28">'11. Unit Mix'!$C$43</definedName>
    <definedName name="Apt_Type_29">'11. Unit Mix'!$C$44</definedName>
    <definedName name="Apt_Type_3">'11. Unit Mix'!$C$18</definedName>
    <definedName name="Apt_Type_30">'11. Unit Mix'!$C$45</definedName>
    <definedName name="Apt_Type_31">'11. Unit Mix'!$C$46</definedName>
    <definedName name="Apt_Type_32">'11. Unit Mix'!$C$47</definedName>
    <definedName name="Apt_Type_33">'11. Unit Mix'!$C$48</definedName>
    <definedName name="Apt_Type_34">'11. Unit Mix'!$C$49</definedName>
    <definedName name="Apt_Type_35">'11. Unit Mix'!$C$50</definedName>
    <definedName name="Apt_Type_36">'11. Unit Mix'!$C$51</definedName>
    <definedName name="Apt_Type_37">'11. Unit Mix'!$C$52</definedName>
    <definedName name="Apt_Type_38">'11. Unit Mix'!$C$53</definedName>
    <definedName name="Apt_Type_39">'11. Unit Mix'!$C$54</definedName>
    <definedName name="Apt_Type_4">'11. Unit Mix'!$C$19</definedName>
    <definedName name="Apt_Type_40">'11. Unit Mix'!$C$55</definedName>
    <definedName name="Apt_Type_41">'11. Unit Mix'!$C$56</definedName>
    <definedName name="Apt_Type_42">'11. Unit Mix'!$C$57</definedName>
    <definedName name="Apt_Type_43">'11. Unit Mix'!$C$58</definedName>
    <definedName name="Apt_Type_44">'11. Unit Mix'!$C$59</definedName>
    <definedName name="Apt_Type_45">'11. Unit Mix'!$C$60</definedName>
    <definedName name="Apt_Type_46">'11. Unit Mix'!$C$61</definedName>
    <definedName name="Apt_Type_47">'11. Unit Mix'!$C$62</definedName>
    <definedName name="Apt_Type_48">'11. Unit Mix'!$C$63</definedName>
    <definedName name="Apt_Type_49">'11. Unit Mix'!$C$64</definedName>
    <definedName name="Apt_Type_5">'11. Unit Mix'!$C$20</definedName>
    <definedName name="Apt_Type_50">'11. Unit Mix'!$C$65</definedName>
    <definedName name="Apt_Type_51">'11. Unit Mix'!$C$96</definedName>
    <definedName name="Apt_Type_52">'11. Unit Mix'!$C$97</definedName>
    <definedName name="Apt_Type_53">'11. Unit Mix'!$C$98</definedName>
    <definedName name="Apt_Type_54">'11. Unit Mix'!$C$104</definedName>
    <definedName name="Apt_Type_55">'11. Unit Mix'!$C$105</definedName>
    <definedName name="Apt_Type_56">'11. Unit Mix'!$C$106</definedName>
    <definedName name="Apt_Type_57">'11. Unit Mix'!$C$107</definedName>
    <definedName name="Apt_Type_58">'11. Unit Mix'!$C$108</definedName>
    <definedName name="Apt_Type_59">'11. Unit Mix'!$C$109</definedName>
    <definedName name="Apt_Type_6">'11. Unit Mix'!$C$21</definedName>
    <definedName name="Apt_Type_60">'11. Unit Mix'!$C$110</definedName>
    <definedName name="Apt_Type_61">'11. Unit Mix'!$C$111</definedName>
    <definedName name="Apt_Type_62">'11. Unit Mix'!$C$112</definedName>
    <definedName name="Apt_Type_63">'11. Unit Mix'!$C$113</definedName>
    <definedName name="Apt_Type_7">'11. Unit Mix'!$C$22</definedName>
    <definedName name="Apt_Type_8">'11. Unit Mix'!$C$23</definedName>
    <definedName name="Apt_Type_9">'11. Unit Mix'!$C$24</definedName>
    <definedName name="Architect">'9. Ownership and Project Team'!$D$128</definedName>
    <definedName name="Architect_City">'9. Ownership and Project Team'!$D$132</definedName>
    <definedName name="Architect_Contact_First_Name">'9. Ownership and Project Team'!$D$136</definedName>
    <definedName name="Architect_Contact_Last_Name">'9. Ownership and Project Team'!$F$136</definedName>
    <definedName name="Architect_Email_Address">'9. Ownership and Project Team'!$G$134</definedName>
    <definedName name="Architect_Identity_of_Interest?">'9. Ownership and Project Team'!$F$126</definedName>
    <definedName name="Architect_State">'9. Ownership and Project Team'!$F$132</definedName>
    <definedName name="Architect_Street_Address">'9. Ownership and Project Team'!$D$130</definedName>
    <definedName name="Architect_Telephone_Number">'9. Ownership and Project Team'!$D$134</definedName>
    <definedName name="Architect_Zipcode">'9. Ownership and Project Team'!$H$132</definedName>
    <definedName name="Area_of_Economic_Opportunity">'21. Location Score'!$B$11</definedName>
    <definedName name="Areas_Economic_Opp_Points">'20. Instructions Scoring Sum'!$G$24</definedName>
    <definedName name="Attorney">'9. Ownership and Project Team'!$D$142</definedName>
    <definedName name="Attorney_City">'9. Ownership and Project Team'!$D$146</definedName>
    <definedName name="Attorney_Email_Address">'9. Ownership and Project Team'!$G$148</definedName>
    <definedName name="Attorney_First_Name">'9. Ownership and Project Team'!$D$150</definedName>
    <definedName name="Attorney_Identity_of_Interest?">'9. Ownership and Project Team'!$D$140</definedName>
    <definedName name="Attorney_Last_Name">'9. Ownership and Project Team'!$F$150</definedName>
    <definedName name="Attorney_State">'9. Ownership and Project Team'!$F$146</definedName>
    <definedName name="Attorney_Street_Address">'9. Ownership and Project Team'!$D$144</definedName>
    <definedName name="Attorney_Telephone_Number">'9. Ownership and Project Team'!$D$148</definedName>
    <definedName name="Attorney_Zipcode">'9. Ownership and Project Team'!$H$146</definedName>
    <definedName name="Auditing_Expenses___Project_Only">'16. Projected Operating Costs'!$D$23</definedName>
    <definedName name="Bad_Debt_Expense">'16. Projected Operating Costs'!$D$26</definedName>
    <definedName name="Beauty_Salon_Barber">'10. Project and Unit Amenities'!$J$31</definedName>
    <definedName name="Bookkeeping_Fees_Accounting_Services">'16. Projected Operating Costs'!$D$24</definedName>
    <definedName name="Building_Address_1">'7. Site Control'!$C$47</definedName>
    <definedName name="Building_Address_10">'7. Site Control'!$C$56</definedName>
    <definedName name="Building_Address_11">'7. Site Control'!$C$57</definedName>
    <definedName name="Building_Address_12">'7. Site Control'!$C$58</definedName>
    <definedName name="Building_Address_13">'7. Site Control'!$C$59</definedName>
    <definedName name="Building_Address_14">'7. Site Control'!$C$60</definedName>
    <definedName name="Building_Address_15">'7. Site Control'!$C$61</definedName>
    <definedName name="Building_Address_16">'7. Site Control'!$C$62</definedName>
    <definedName name="Building_Address_17">'7. Site Control'!$C$63</definedName>
    <definedName name="Building_Address_18">'7. Site Control'!$C$64</definedName>
    <definedName name="Building_Address_19">'7. Site Control'!$C$65</definedName>
    <definedName name="Building_Address_2">'7. Site Control'!$C$48</definedName>
    <definedName name="Building_Address_20">'7. Site Control'!$C$66</definedName>
    <definedName name="Building_Address_21">'7. Site Control'!$C$67</definedName>
    <definedName name="Building_Address_22">'7. Site Control'!$C$68</definedName>
    <definedName name="Building_Address_23">'7. Site Control'!$C$69</definedName>
    <definedName name="Building_Address_24">'7. Site Control'!$C$70</definedName>
    <definedName name="Building_Address_25">'7. Site Control'!$C$71</definedName>
    <definedName name="Building_Address_26">'7. Site Control'!$C$72</definedName>
    <definedName name="Building_Address_27">'7. Site Control'!$C$73</definedName>
    <definedName name="Building_Address_28">'7. Site Control'!$C$74</definedName>
    <definedName name="Building_Address_29">'7. Site Control'!$C$75</definedName>
    <definedName name="Building_Address_3">'7. Site Control'!$C$49</definedName>
    <definedName name="Building_Address_30">'7. Site Control'!$C$76</definedName>
    <definedName name="Building_Address_31">'7. Site Control'!$C$77</definedName>
    <definedName name="Building_Address_32">'7. Site Control'!$C$78</definedName>
    <definedName name="Building_Address_33">'7. Site Control'!$C$79</definedName>
    <definedName name="Building_Address_34">'7. Site Control'!$C$80</definedName>
    <definedName name="Building_Address_4">'7. Site Control'!$C$50</definedName>
    <definedName name="Building_Address_5">'7. Site Control'!$C$51</definedName>
    <definedName name="Building_Address_6">'7. Site Control'!$C$52</definedName>
    <definedName name="Building_Address_7">'7. Site Control'!$C$53</definedName>
    <definedName name="Building_Address_8">'7. Site Control'!$C$54</definedName>
    <definedName name="Building_Address_9">'7. Site Control'!$C$55</definedName>
    <definedName name="Building_City_1">'7. Site Control'!$D$47</definedName>
    <definedName name="Building_City_10">'7. Site Control'!$D$56</definedName>
    <definedName name="Building_City_11">'7. Site Control'!$D$57</definedName>
    <definedName name="Building_City_12">'7. Site Control'!$D$58</definedName>
    <definedName name="Building_City_13">'7. Site Control'!$D$59</definedName>
    <definedName name="Building_City_14">'7. Site Control'!$D$60</definedName>
    <definedName name="Building_City_15">'7. Site Control'!$D$61</definedName>
    <definedName name="Building_City_16">'7. Site Control'!$D$62</definedName>
    <definedName name="Building_City_17">'7. Site Control'!$D$63</definedName>
    <definedName name="Building_City_18">'7. Site Control'!$D$64</definedName>
    <definedName name="Building_City_19">'7. Site Control'!$D$65</definedName>
    <definedName name="Building_City_2">'7. Site Control'!$D$48</definedName>
    <definedName name="Building_City_20">'7. Site Control'!$D$66</definedName>
    <definedName name="Building_City_21">'7. Site Control'!$D$67</definedName>
    <definedName name="Building_City_22">'7. Site Control'!$D$68</definedName>
    <definedName name="Building_City_23">'7. Site Control'!$D$69</definedName>
    <definedName name="Building_City_24">'7. Site Control'!$D$70</definedName>
    <definedName name="Building_City_25">'7. Site Control'!$D$71</definedName>
    <definedName name="Building_City_26">'7. Site Control'!$D$72</definedName>
    <definedName name="Building_City_27">'7. Site Control'!$D$73</definedName>
    <definedName name="Building_City_28">'7. Site Control'!$D$74</definedName>
    <definedName name="Building_City_29">'7. Site Control'!$D$75</definedName>
    <definedName name="Building_City_3">'7. Site Control'!$D$49</definedName>
    <definedName name="Building_City_30">'7. Site Control'!$D$76</definedName>
    <definedName name="Building_City_31">'7. Site Control'!$D$77</definedName>
    <definedName name="Building_City_32">'7. Site Control'!$D$78</definedName>
    <definedName name="Building_City_33">'7. Site Control'!$D$79</definedName>
    <definedName name="Building_City_34">'7. Site Control'!$D$80</definedName>
    <definedName name="Building_City_4">'7. Site Control'!$D$50</definedName>
    <definedName name="Building_City_5">'7. Site Control'!$D$51</definedName>
    <definedName name="Building_City_6">'7. Site Control'!$D$52</definedName>
    <definedName name="Building_City_7">'7. Site Control'!$D$53</definedName>
    <definedName name="Building_City_8">'7. Site Control'!$D$54</definedName>
    <definedName name="Building_City_9">'7. Site Control'!$D$55</definedName>
    <definedName name="Building_Zip_Code_1">'7. Site Control'!$E$47</definedName>
    <definedName name="Building_Zip_Code_10">'7. Site Control'!$E$56</definedName>
    <definedName name="Building_Zip_Code_11">'7. Site Control'!$E$57</definedName>
    <definedName name="Building_Zip_Code_12">'7. Site Control'!$E$58</definedName>
    <definedName name="Building_Zip_Code_13">'7. Site Control'!$E$59</definedName>
    <definedName name="Building_Zip_Code_14">'7. Site Control'!$E$60</definedName>
    <definedName name="Building_Zip_Code_15">'7. Site Control'!$E$61</definedName>
    <definedName name="Building_Zip_Code_16">'7. Site Control'!$E$62</definedName>
    <definedName name="Building_Zip_Code_17">'7. Site Control'!$E$63</definedName>
    <definedName name="Building_Zip_Code_18">'7. Site Control'!$E$64</definedName>
    <definedName name="Building_Zip_Code_19">'7. Site Control'!$E$65</definedName>
    <definedName name="Building_Zip_Code_2">'7. Site Control'!$E$48</definedName>
    <definedName name="Building_Zip_Code_20">'7. Site Control'!$E$66</definedName>
    <definedName name="Building_Zip_Code_21">'7. Site Control'!$E$67</definedName>
    <definedName name="Building_Zip_Code_22">'7. Site Control'!$E$68</definedName>
    <definedName name="Building_Zip_Code_23">'7. Site Control'!$E$69</definedName>
    <definedName name="Building_Zip_Code_24">'7. Site Control'!$E$70</definedName>
    <definedName name="Building_Zip_Code_25">'7. Site Control'!$E$71</definedName>
    <definedName name="Building_Zip_Code_26">'7. Site Control'!$E$72</definedName>
    <definedName name="Building_Zip_Code_27">'7. Site Control'!$E$73</definedName>
    <definedName name="Building_Zip_Code_28">'7. Site Control'!$E$74</definedName>
    <definedName name="Building_Zip_Code_29">'7. Site Control'!$E$75</definedName>
    <definedName name="Building_Zip_Code_3">'7. Site Control'!$E$49</definedName>
    <definedName name="Building_Zip_Code_30">'7. Site Control'!$E$76</definedName>
    <definedName name="Building_Zip_Code_31">'7. Site Control'!$E$77</definedName>
    <definedName name="Building_Zip_Code_32">'7. Site Control'!$E$78</definedName>
    <definedName name="Building_Zip_Code_33">'7. Site Control'!$E$79</definedName>
    <definedName name="Building_Zip_Code_34">'7. Site Control'!$E$80</definedName>
    <definedName name="Building_Zip_Code_4">'7. Site Control'!$E$50</definedName>
    <definedName name="Building_Zip_Code_5">'7. Site Control'!$E$51</definedName>
    <definedName name="Building_Zip_Code_6">'7. Site Control'!$E$52</definedName>
    <definedName name="Building_Zip_Code_7">'7. Site Control'!$E$53</definedName>
    <definedName name="Building_Zip_Code_8">'7. Site Control'!$E$54</definedName>
    <definedName name="Building_Zip_Code_9">'7. Site Control'!$E$55</definedName>
    <definedName name="Buildings_Occupied">'6. Site Description'!$E$25</definedName>
    <definedName name="C_O">'9. Ownership and Project Team'!$C$8</definedName>
    <definedName name="Car_Care_Area">'10. Project and Unit Amenities'!$D$34</definedName>
    <definedName name="Carpet">'10. Project and Unit Amenities'!$D$67</definedName>
    <definedName name="CBRF">'4. Project Description'!$D$41</definedName>
    <definedName name="CBRF_Number_of_Units">'4. Project Description'!$F$41</definedName>
    <definedName name="Ceiling_fans">'10. Project and Unit Amenities'!$D$62</definedName>
    <definedName name="Central_Air">'10. Project and Unit Amenities'!$G$72</definedName>
    <definedName name="Ceramic_Tile">'10. Project and Unit Amenities'!$D$68</definedName>
    <definedName name="Chapel">'10. Project and Unit Amenities'!$G$32</definedName>
    <definedName name="CMI_1">'11. Unit Mix'!$I$16</definedName>
    <definedName name="CMI_10">'11. Unit Mix'!$I$25</definedName>
    <definedName name="CMI_11">'11. Unit Mix'!$I$26</definedName>
    <definedName name="CMI_12">'11. Unit Mix'!$I$27</definedName>
    <definedName name="CMI_13">'11. Unit Mix'!$I$28</definedName>
    <definedName name="CMI_14">'11. Unit Mix'!$I$29</definedName>
    <definedName name="CMI_15">'11. Unit Mix'!$I$30</definedName>
    <definedName name="CMI_16">'11. Unit Mix'!$I$31</definedName>
    <definedName name="CMI_17">'11. Unit Mix'!$I$32</definedName>
    <definedName name="CMI_18">'11. Unit Mix'!$I$33</definedName>
    <definedName name="CMI_19">'11. Unit Mix'!$I$34</definedName>
    <definedName name="CMI_2">'11. Unit Mix'!$I$17</definedName>
    <definedName name="CMI_20">'11. Unit Mix'!$I$35</definedName>
    <definedName name="CMI_21">'11. Unit Mix'!$I$36</definedName>
    <definedName name="CMI_22">'11. Unit Mix'!$I$37</definedName>
    <definedName name="CMI_23">'11. Unit Mix'!$I$38</definedName>
    <definedName name="CMI_24">'11. Unit Mix'!$I$39</definedName>
    <definedName name="CMI_25">'11. Unit Mix'!$I$40</definedName>
    <definedName name="CMI_26">'11. Unit Mix'!$I$41</definedName>
    <definedName name="CMI_27">'11. Unit Mix'!$I$42</definedName>
    <definedName name="CMI_28">'11. Unit Mix'!$I$43</definedName>
    <definedName name="CMI_29">'11. Unit Mix'!$I$44</definedName>
    <definedName name="CMI_3">'11. Unit Mix'!$I$18</definedName>
    <definedName name="CMI_30">'11. Unit Mix'!$I$45</definedName>
    <definedName name="CMI_31">'11. Unit Mix'!$I$46</definedName>
    <definedName name="CMI_32">'11. Unit Mix'!$I$47</definedName>
    <definedName name="CMI_33">'11. Unit Mix'!$I$48</definedName>
    <definedName name="CMI_34">'11. Unit Mix'!$I$49</definedName>
    <definedName name="CMI_35">'11. Unit Mix'!$I$50</definedName>
    <definedName name="CMI_36">'11. Unit Mix'!$I$51</definedName>
    <definedName name="CMI_37">'11. Unit Mix'!$I$52</definedName>
    <definedName name="CMI_38">'11. Unit Mix'!$I$53</definedName>
    <definedName name="CMI_39">'11. Unit Mix'!$I$54</definedName>
    <definedName name="CMI_4">'11. Unit Mix'!$I$19</definedName>
    <definedName name="CMI_40">'11. Unit Mix'!$I$55</definedName>
    <definedName name="CMI_41">'11. Unit Mix'!$I$56</definedName>
    <definedName name="CMI_42">'11. Unit Mix'!$I$57</definedName>
    <definedName name="CMI_43">'11. Unit Mix'!$I$58</definedName>
    <definedName name="CMI_44">'11. Unit Mix'!$I$59</definedName>
    <definedName name="CMI_45">'11. Unit Mix'!$I$60</definedName>
    <definedName name="CMI_46">'11. Unit Mix'!$I$61</definedName>
    <definedName name="CMI_47">'11. Unit Mix'!$I$62</definedName>
    <definedName name="CMI_48">'11. Unit Mix'!$I$63</definedName>
    <definedName name="CMI_49">'11. Unit Mix'!$I$64</definedName>
    <definedName name="CMI_5">'11. Unit Mix'!$I$20</definedName>
    <definedName name="CMI_50">'11. Unit Mix'!$I$65</definedName>
    <definedName name="CMI_6">'11. Unit Mix'!$I$21</definedName>
    <definedName name="CMI_7">'11. Unit Mix'!$I$22</definedName>
    <definedName name="CMI_8">'11. Unit Mix'!$I$23</definedName>
    <definedName name="CMI_9">'11. Unit Mix'!$I$24</definedName>
    <definedName name="CMI_Percentage_Unit_Mix" comment="CMI% used on Unit Mix page to define the income designations for the unit(s)." localSheetId="27">'Dropdown Lists'!$I$2:$I$8</definedName>
    <definedName name="CMI_Percentage_Unit_Mix" comment="CMI% used on Unit Mix page to define the income designations for the unit(s)." localSheetId="28">'Dropdown Lists'!$I$2:$I$8</definedName>
    <definedName name="CMI_Percentage_Unit_Mix" comment="CMI% used on Unit Mix page to define the income designations for the unit(s)." localSheetId="29">'Dropdown Lists'!$I$2:$I$8</definedName>
    <definedName name="CMI_Percentage_Unit_Mix" comment="CMI% used on Unit Mix page to define the income designations for the unit(s)." localSheetId="30">'Dropdown Lists'!$I$2:$I$8</definedName>
    <definedName name="CMI_Percentage_Unit_Mix" comment="CMI% used on Unit Mix page to define the income designations for the unit(s).">'Dropdown Lists'!$I$2:$I$8</definedName>
    <definedName name="Community_Building">'10. Project and Unit Amenities'!$D$17</definedName>
    <definedName name="Community_Building___Sq._Ft.">'10. Project and Unit Amenities'!$G$17</definedName>
    <definedName name="Community_Dining_Room">'10. Project and Unit Amenities'!$G$36</definedName>
    <definedName name="Community_Patio">'10. Project and Unit Amenities'!$J$37</definedName>
    <definedName name="Community_Room">'10. Project and Unit Amenities'!$D$18</definedName>
    <definedName name="Community_Room___Sq._Ft.">'10. Project and Unit Amenities'!$G$18</definedName>
    <definedName name="Community_Service_Facilities">'23. Building Design Score'!$B$204</definedName>
    <definedName name="Community_Service_Facilities_Points">'20. Instructions Scoring Sum'!$G$37</definedName>
    <definedName name="Construction_Amount_1">'12. Funding Sources'!$E$62</definedName>
    <definedName name="Construction_Amount_10">'12. Funding Sources'!$E$71</definedName>
    <definedName name="Construction_Amount_11">'12. Funding Sources'!$E$72</definedName>
    <definedName name="Construction_Amount_12">'12. Funding Sources'!$E$73</definedName>
    <definedName name="Construction_Amount_2">'12. Funding Sources'!$E$63</definedName>
    <definedName name="Construction_Amount_3">'12. Funding Sources'!$E$64</definedName>
    <definedName name="Construction_Amount_4">'12. Funding Sources'!$E$65</definedName>
    <definedName name="Construction_Amount_5">'12. Funding Sources'!$E$66</definedName>
    <definedName name="Construction_Amount_6">'12. Funding Sources'!$E$67</definedName>
    <definedName name="Construction_Amount_7">'12. Funding Sources'!$E$68</definedName>
    <definedName name="Construction_Amount_8">'12. Funding Sources'!$E$69</definedName>
    <definedName name="Construction_Amount_9">'12. Funding Sources'!$E$70</definedName>
    <definedName name="Construction_Complete">'4. Project Description'!$D$89</definedName>
    <definedName name="Construction_Draw_Schedule">'19. Construction Draw Schedule'!$B$4</definedName>
    <definedName name="Construction_Loan_Closing">'4. Project Description'!$D$87</definedName>
    <definedName name="Construction_Rate_1">'12. Funding Sources'!$H$62</definedName>
    <definedName name="Construction_Rate_10">'12. Funding Sources'!$H$71</definedName>
    <definedName name="Construction_Rate_11">'12. Funding Sources'!$H$72</definedName>
    <definedName name="Construction_Rate_12">'12. Funding Sources'!$H$73</definedName>
    <definedName name="Construction_Rate_2">'12. Funding Sources'!$H$63</definedName>
    <definedName name="Construction_Rate_3">'12. Funding Sources'!$H$64</definedName>
    <definedName name="Construction_Rate_4">'12. Funding Sources'!$H$65</definedName>
    <definedName name="Construction_Rate_5">'12. Funding Sources'!$H$66</definedName>
    <definedName name="Construction_Rate_6">'12. Funding Sources'!$H$67</definedName>
    <definedName name="Construction_Rate_7">'12. Funding Sources'!$H$68</definedName>
    <definedName name="Construction_Rate_8">'12. Funding Sources'!$H$69</definedName>
    <definedName name="Construction_Rate_9">'12. Funding Sources'!$H$70</definedName>
    <definedName name="Construction_Source_1">'12. Funding Sources'!$C$62</definedName>
    <definedName name="Construction_Source_10">'12. Funding Sources'!$C$71</definedName>
    <definedName name="Construction_Source_11">'12. Funding Sources'!$C$72</definedName>
    <definedName name="Construction_Source_12">'12. Funding Sources'!$C$73</definedName>
    <definedName name="Construction_Source_2">'12. Funding Sources'!$C$63</definedName>
    <definedName name="Construction_Source_3">'12. Funding Sources'!$C$64</definedName>
    <definedName name="Construction_Source_4">'12. Funding Sources'!$C$65</definedName>
    <definedName name="Construction_Source_5">'12. Funding Sources'!$C$66</definedName>
    <definedName name="Construction_Source_6">'12. Funding Sources'!$C$67</definedName>
    <definedName name="Construction_Source_7">'12. Funding Sources'!$C$68</definedName>
    <definedName name="Construction_Source_8">'12. Funding Sources'!$C$69</definedName>
    <definedName name="Construction_Source_9">'12. Funding Sources'!$C$70</definedName>
    <definedName name="Construction_Start_Date">'4. Project Description'!$D$88</definedName>
    <definedName name="Construction_Term_1">'12. Funding Sources'!$I$62</definedName>
    <definedName name="Construction_Term_10">'12. Funding Sources'!$I$71</definedName>
    <definedName name="Construction_Term_11">'12. Funding Sources'!$I$72</definedName>
    <definedName name="Construction_Term_12">'12. Funding Sources'!$I$73</definedName>
    <definedName name="Construction_Term_2">'12. Funding Sources'!$I$63</definedName>
    <definedName name="Construction_Term_3">'12. Funding Sources'!$I$64</definedName>
    <definedName name="Construction_Term_4">'12. Funding Sources'!$I$65</definedName>
    <definedName name="Construction_Term_5">'12. Funding Sources'!$I$66</definedName>
    <definedName name="Construction_Term_6">'12. Funding Sources'!$I$67</definedName>
    <definedName name="Construction_Term_7">'12. Funding Sources'!$I$68</definedName>
    <definedName name="Construction_Term_8">'12. Funding Sources'!$I$69</definedName>
    <definedName name="Construction_Term_9">'12. Funding Sources'!$I$70</definedName>
    <definedName name="Consultant_City">'9. Ownership and Project Team'!$D$76</definedName>
    <definedName name="Consultant_Contact_First_Name">'9. Ownership and Project Team'!$D$80</definedName>
    <definedName name="Consultant_Contact_Last_Name">'9. Ownership and Project Team'!$F$80</definedName>
    <definedName name="Consultant_Email_Address">'9. Ownership and Project Team'!$G$78</definedName>
    <definedName name="Consultant_Identity_of_Interest?">'9. Ownership and Project Team'!$F$70</definedName>
    <definedName name="Consultant_Name">'9. Ownership and Project Team'!$D$72</definedName>
    <definedName name="Consultant_State">'9. Ownership and Project Team'!$F$76</definedName>
    <definedName name="Consultant_Street_Address">'9. Ownership and Project Team'!$D$74</definedName>
    <definedName name="Consultant_Telephone_Number">'9. Ownership and Project Team'!$D$78</definedName>
    <definedName name="Consultant_Zipcode">'9. Ownership and Project Team'!$H$76</definedName>
    <definedName name="Contractor_City">'9. Ownership and Project Team'!$D$90</definedName>
    <definedName name="Contractor_Contact_First_Name">'9. Ownership and Project Team'!$D$94</definedName>
    <definedName name="Contractor_Contact_Last_Name">'9. Ownership and Project Team'!$F$94</definedName>
    <definedName name="Contractor_Email_Address">'9. Ownership and Project Team'!$G$92</definedName>
    <definedName name="Contractor_Identity_of_Interest?">'9. Ownership and Project Team'!$D$84</definedName>
    <definedName name="Contractor_Name">'9. Ownership and Project Team'!$D$86</definedName>
    <definedName name="Contractor_State">'9. Ownership and Project Team'!$F$90</definedName>
    <definedName name="Contractor_Street_Address">'9. Ownership and Project Team'!$D$88</definedName>
    <definedName name="Contractor_Telephone_Number">'9. Ownership and Project Team'!$D$92</definedName>
    <definedName name="Contractor_Zipcode">'9. Ownership and Project Team'!$H$90</definedName>
    <definedName name="Contracts">'16. Projected Operating Costs'!$D$40</definedName>
    <definedName name="Convention_and_Meetings">'16. Projected Operating Costs'!$D$8</definedName>
    <definedName name="Cooking">'Dropdown Lists'!$AK$2:$AK$5</definedName>
    <definedName name="Cooling">'Dropdown Lists'!$AJ$2:$AJ$6</definedName>
    <definedName name="Covered_Drive_Thru">'10. Project and Unit Amenities'!$G$33</definedName>
    <definedName name="Credit_Calc">'15. Credit Calculation'!$B$4</definedName>
    <definedName name="Credit_percentage_applied_for">'4. Project Description'!$D$54</definedName>
    <definedName name="DA_City">'9. Ownership and Project Team'!$D$118</definedName>
    <definedName name="DA_Email_Address">'9. Ownership and Project Team'!$G$120</definedName>
    <definedName name="DA_First_Name">'9. Ownership and Project Team'!$D$122</definedName>
    <definedName name="DA_Identity_of_Interest?">'9. Ownership and Project Team'!$F$112</definedName>
    <definedName name="DA_Last_Name">'9. Ownership and Project Team'!$F$122</definedName>
    <definedName name="DA_State">'9. Ownership and Project Team'!$F$118</definedName>
    <definedName name="DA_Street_Address">'9. Ownership and Project Team'!$D$116</definedName>
    <definedName name="DA_Telephone_Number">'9. Ownership and Project Team'!$D$120</definedName>
    <definedName name="DA_Zipcode">'9. Ownership and Project Team'!$H$118</definedName>
    <definedName name="Date_first_building_is_to_be_placed_in_service">'4. Project Description'!$D$90</definedName>
    <definedName name="Date_last_building_is_to_be_placed_in_service">'4. Project Description'!$D$91</definedName>
    <definedName name="DDA">'3. Project Location'!$F$14</definedName>
    <definedName name="Deal_Stage">ProLink!$F$5</definedName>
    <definedName name="Deal_Status">ProLink!$F$6</definedName>
    <definedName name="Demand_Score">'22. Tenants Served Score'!$B$4</definedName>
    <definedName name="Demotition_Required">'6. Site Description'!$E$20</definedName>
    <definedName name="Describe_Differences_in_Low_income___Market_rate_Unit_Amenities">'10. Project and Unit Amenities'!$D$48</definedName>
    <definedName name="Design_Architect">'9. Ownership and Project Team'!$D$114</definedName>
    <definedName name="Detached_Single_Family">'4. Project Description'!$D$66</definedName>
    <definedName name="Detached_Two_Family__Duplex">'4. Project Description'!$D$67</definedName>
    <definedName name="DEV_Contact_First_Name">'5. Applicant Information'!$D$14</definedName>
    <definedName name="DEV_Contact_First_Name_2">'5. Applicant Information'!$D$28</definedName>
    <definedName name="DEV_Contact_First_Name_3">'5. Applicant Information'!$D$42</definedName>
    <definedName name="DEV_Contact_First_Name_4">'5. Applicant Information'!$D$56</definedName>
    <definedName name="DEV_Contact_Last_Name">'5. Applicant Information'!$F$14</definedName>
    <definedName name="DEV_Contact_Last_Name_2">'5. Applicant Information'!$F$28</definedName>
    <definedName name="DEV_Contact_Last_Name_3">'5. Applicant Information'!$F$42</definedName>
    <definedName name="DEV_Contact_Last_Name_4">'5. Applicant Information'!$F$56</definedName>
    <definedName name="DEV_Email_Address">'5. Applicant Information'!$D$16</definedName>
    <definedName name="DEV_Street_Address">'5. Applicant Information'!$D$10</definedName>
    <definedName name="DEV_Telephone_Number">'5. Applicant Information'!$D$15</definedName>
    <definedName name="DEV2_City">'5. Applicant Information'!$D$25</definedName>
    <definedName name="DEV2_Email_Address">'5. Applicant Information'!$D$30</definedName>
    <definedName name="DEV2_State">'5. Applicant Information'!$F$25</definedName>
    <definedName name="DEV2_Street_Address">'5. Applicant Information'!$D$24</definedName>
    <definedName name="DEV2_Telephone_Number">'5. Applicant Information'!$D$29</definedName>
    <definedName name="DEV2_Zip_Code">'5. Applicant Information'!$H$25</definedName>
    <definedName name="DEV3_City">'5. Applicant Information'!$D$39</definedName>
    <definedName name="DEV3_Email_Address">'5. Applicant Information'!$D$44</definedName>
    <definedName name="DEV3_State">'5. Applicant Information'!$F$39</definedName>
    <definedName name="DEV3_Street_Address">'5. Applicant Information'!$D$38</definedName>
    <definedName name="DEV3_Telephone_Number">'5. Applicant Information'!$D$43</definedName>
    <definedName name="DEV3_Zip_Code">'5. Applicant Information'!$H$39</definedName>
    <definedName name="DEV4_City">'5. Applicant Information'!$D$53</definedName>
    <definedName name="DEV4_Email_Address">'5. Applicant Information'!$D$58</definedName>
    <definedName name="DEV4_State">'5. Applicant Information'!$F$53</definedName>
    <definedName name="DEV4_Street_Address">'5. Applicant Information'!$D$52</definedName>
    <definedName name="DEV4_Telephone_Number">'5. Applicant Information'!$D$57</definedName>
    <definedName name="DEV4_Zip_Code">'5. Applicant Information'!$H$53</definedName>
    <definedName name="Developer_City">'5. Applicant Information'!$D$11</definedName>
    <definedName name="Developer_Name">'5. Applicant Information'!$D$8</definedName>
    <definedName name="Developer_Name_2">'5. Applicant Information'!$D$22</definedName>
    <definedName name="Developer_Name_3">'5. Applicant Information'!$D$36</definedName>
    <definedName name="Developer_Name_4">'5. Applicant Information'!$D$50</definedName>
    <definedName name="Developer_Score">'24. Development Process Score'!$B$4</definedName>
    <definedName name="Developer_State">'5. Applicant Information'!$F$11</definedName>
    <definedName name="Developer_Zip_Code">'5. Applicant Information'!$H$11</definedName>
    <definedName name="Development_Team_Points">'20. Instructions Scoring Sum'!$G$41</definedName>
    <definedName name="Dietary_Purchased_Serv">'16. Projected Operating Costs'!$D$62</definedName>
    <definedName name="Dietary_Salaries">'16. Projected Operating Costs'!$D$61</definedName>
    <definedName name="Dishwasher">'10. Project and Unit Amenities'!$J$59</definedName>
    <definedName name="Disposal">'10. Project and Unit Amenities'!$D$60</definedName>
    <definedName name="Drapes">'10. Project and Unit Amenities'!$J$62</definedName>
    <definedName name="Effective_Gross_Income">'17. Cash Flow and Reserves'!$D$71</definedName>
    <definedName name="Elderly">'4. Project Description'!$D$37</definedName>
    <definedName name="Electric_Heat">'10. Project and Unit Amenities'!$D$72</definedName>
    <definedName name="Electric_Pump">'10. Project and Unit Amenities'!$J$71</definedName>
    <definedName name="Electricity">'16. Projected Operating Costs'!$D$31</definedName>
    <definedName name="Elevator_Building">'4. Project Description'!$D$63</definedName>
    <definedName name="EncNA" localSheetId="27">'Dropdown Lists'!$U$2:$U$3</definedName>
    <definedName name="EncNA" localSheetId="28">'Dropdown Lists'!$U$2:$U$3</definedName>
    <definedName name="EncNA" localSheetId="29">'Dropdown Lists'!$U$2:$U$3</definedName>
    <definedName name="EncNA" localSheetId="30">'Dropdown Lists'!$U$2:$U$3</definedName>
    <definedName name="EncNA">'Dropdown Lists'!$U$2:$U$3</definedName>
    <definedName name="Energy_Efficiency_and_Sustainablilty">'23. Building Design Score'!$B$11</definedName>
    <definedName name="Energy_Points">'20. Instructions Scoring Sum'!$G$34</definedName>
    <definedName name="Entity_Principal_Function_1">'9. Ownership and Project Team'!$I$22</definedName>
    <definedName name="Entity_Principal_Function_2">'9. Ownership and Project Team'!$I$33</definedName>
    <definedName name="Entity_Principal_Function_3">'9. Ownership and Project Team'!$I$44</definedName>
    <definedName name="Entity_Principal_Name_1">'9. Ownership and Project Team'!$C$20</definedName>
    <definedName name="Entity_Principal_Name_2">'9. Ownership and Project Team'!$C$31</definedName>
    <definedName name="Entity_Principal_Name_3">'9. Ownership and Project Team'!$C$42</definedName>
    <definedName name="Entity_Status">'9. Ownership and Project Team'!$I$12</definedName>
    <definedName name="Entity_Type">'9. Ownership and Project Team'!$F$12</definedName>
    <definedName name="EntityPrincipalFunction" localSheetId="27">'Dropdown Lists'!$P$2:$P$4</definedName>
    <definedName name="EntityPrincipalFunction" localSheetId="28">'Dropdown Lists'!$P$2:$P$4</definedName>
    <definedName name="EntityPrincipalFunction" localSheetId="29">'Dropdown Lists'!$P$2:$P$4</definedName>
    <definedName name="EntityPrincipalFunction" localSheetId="30">'Dropdown Lists'!$P$2:$P$4</definedName>
    <definedName name="EntityPrincipalFunction">'Dropdown Lists'!$P$2:$P$4</definedName>
    <definedName name="EntityStatus" localSheetId="27">'Dropdown Lists'!$O$2:$O$3</definedName>
    <definedName name="EntityStatus" localSheetId="28">'Dropdown Lists'!$O$2:$O$3</definedName>
    <definedName name="EntityStatus" localSheetId="29">'Dropdown Lists'!$O$2:$O$3</definedName>
    <definedName name="EntityStatus" localSheetId="30">'Dropdown Lists'!$O$2:$O$3</definedName>
    <definedName name="EntityStatus">'Dropdown Lists'!$O$2:$O$3</definedName>
    <definedName name="EntityType" localSheetId="27">'Dropdown Lists'!$N$2:$N$7</definedName>
    <definedName name="EntityType" localSheetId="28">'Dropdown Lists'!$N$2:$N$7</definedName>
    <definedName name="EntityType" localSheetId="29">'Dropdown Lists'!$N$2:$N$7</definedName>
    <definedName name="EntityType" localSheetId="30">'Dropdown Lists'!$N$2:$N$7</definedName>
    <definedName name="EntityType">'Dropdown Lists'!$N$2:$N$7</definedName>
    <definedName name="Environmental_Issues">'5. Applicant Information'!$E$68</definedName>
    <definedName name="Equity_Takeout_Refinance_Units">'4. Project Description'!$D$11</definedName>
    <definedName name="Eventual_Tenant_Own_Points">'20. Instructions Scoring Sum'!$G$36</definedName>
    <definedName name="Eventual_Tenant_Ownership">'23. Building Design Score'!$B$159</definedName>
    <definedName name="Exam_Room">'10. Project and Unit Amenities'!$J$29</definedName>
    <definedName name="Exercise_Room">'10. Project and Unit Amenities'!$J$30</definedName>
    <definedName name="Expenses_Other">'16. Projected Operating Costs'!$D$11</definedName>
    <definedName name="Explanation">'5. Applicant Information'!$E$73</definedName>
    <definedName name="Exterior_Storage">'10. Project and Unit Amenities'!$J$60</definedName>
    <definedName name="Family">'4. Project Description'!$D$36</definedName>
    <definedName name="Family_Number_of_Units">'4. Project Description'!$F$36</definedName>
    <definedName name="Federal_Credits">'15. Credit Calculation'!$H$50</definedName>
    <definedName name="Federal_HTC_Equity">'12. Funding Sources'!$E$44</definedName>
    <definedName name="Federal_Tax_ID_Number_of_Ownership_Entity">'9. Ownership and Project Team'!$C$12</definedName>
    <definedName name="FederalFinancingType" localSheetId="27">'Dropdown Lists'!$L$2:$L$8</definedName>
    <definedName name="FederalFinancingType" localSheetId="28">'Dropdown Lists'!$L$2:$L$8</definedName>
    <definedName name="FederalFinancingType" localSheetId="29">'Dropdown Lists'!$L$2:$L$8</definedName>
    <definedName name="FederalFinancingType" localSheetId="30">'Dropdown Lists'!$L$2:$L$8</definedName>
    <definedName name="FederalFinancingType">'Dropdown Lists'!$L$2:$L$8</definedName>
    <definedName name="Fidelity_Bond_Issuance">'16. Projected Operating Costs'!$D$55</definedName>
    <definedName name="Financial_Leverage">'24. Development Process Score'!$B$11</definedName>
    <definedName name="Financial_Leverage_Points">'20. Instructions Scoring Sum'!$G$40</definedName>
    <definedName name="FinancingType">'Dropdown Lists'!$Z$2:$Z$11</definedName>
    <definedName name="Flood_Zone">'6. Site Description'!$E$44</definedName>
    <definedName name="Food">'16. Projected Operating Costs'!$D$63</definedName>
    <definedName name="Front_Porches">'10. Project and Unit Amenities'!$G$64</definedName>
    <definedName name="Fuel_Oil">'16. Projected Operating Costs'!$D$30</definedName>
    <definedName name="Funding_Sources">'12. Funding Sources'!$B$4</definedName>
    <definedName name="g" localSheetId="6">IF(Values_Entered,Header_Row+Number_of_Payments,Header_Row)</definedName>
    <definedName name="g" localSheetId="39">IF('ACR Form'!Values_Entered,Header_Row+'ACR Form'!Number_of_Payments,Header_Row)</definedName>
    <definedName name="g">IF(Values_Entered,Header_Row+Number_of_Payments,Header_Row)</definedName>
    <definedName name="Game_Craft_Room">'10. Project and Unit Amenities'!$G$30</definedName>
    <definedName name="Garage_Rent_Per_Year">'10. Project and Unit Amenities'!$L$20</definedName>
    <definedName name="Garages">'10. Project and Unit Amenities'!$D$22</definedName>
    <definedName name="Garbage_and_Trash_Removal">'16. Projected Operating Costs'!$D$42</definedName>
    <definedName name="Garden_Plots">'10. Project and Unit Amenities'!$D$33</definedName>
    <definedName name="Gas">'16. Projected Operating Costs'!$D$33</definedName>
    <definedName name="Gas_Heat">'10. Project and Unit Amenities'!$D$71</definedName>
    <definedName name="Gazebos">'10. Project and Unit Amenities'!$G$35</definedName>
    <definedName name="GC_Telephone_Number">'9. Ownership and Project Team'!$D$92</definedName>
    <definedName name="Grant_1">'12. Funding Sources'!$C$29</definedName>
    <definedName name="Grant_10">'12. Funding Sources'!$C$38</definedName>
    <definedName name="Grant_11">'12. Funding Sources'!$C$39</definedName>
    <definedName name="Grant_2">'12. Funding Sources'!$C$30</definedName>
    <definedName name="Grant_3">'12. Funding Sources'!$C$31</definedName>
    <definedName name="Grant_4">'12. Funding Sources'!$C$32</definedName>
    <definedName name="Grant_5">'12. Funding Sources'!$C$33</definedName>
    <definedName name="Grant_6">'12. Funding Sources'!$C$34</definedName>
    <definedName name="Grant_7">'12. Funding Sources'!$C$35</definedName>
    <definedName name="Grant_8">'12. Funding Sources'!$C$36</definedName>
    <definedName name="Grant_9">'12. Funding Sources'!$C$37</definedName>
    <definedName name="Grant_Amount_1">'12. Funding Sources'!$E$29</definedName>
    <definedName name="Grant_Amount_10">'12. Funding Sources'!$E$38</definedName>
    <definedName name="Grant_Amount_11">'12. Funding Sources'!$E$39</definedName>
    <definedName name="Grant_Amount_2">'12. Funding Sources'!$E$30</definedName>
    <definedName name="Grant_Amount_3">'12. Funding Sources'!$E$31</definedName>
    <definedName name="Grant_Amount_4">'12. Funding Sources'!$E$32</definedName>
    <definedName name="Grant_Amount_5">'12. Funding Sources'!$E$33</definedName>
    <definedName name="Grant_Amount_6">'12. Funding Sources'!$E$34</definedName>
    <definedName name="Grant_Amount_7">'12. Funding Sources'!$E$35</definedName>
    <definedName name="Grant_Amount_8">'12. Funding Sources'!$E$36</definedName>
    <definedName name="Grant_Amount_9">'12. Funding Sources'!$E$37</definedName>
    <definedName name="Guest_Lodging">'10. Project and Unit Amenities'!$D$32</definedName>
    <definedName name="Health_Insurance_and_Other_Employee_Benefits">'16. Projected Operating Costs'!$D$57</definedName>
    <definedName name="Heat_Pump">'10. Project and Unit Amenities'!$G$71</definedName>
    <definedName name="Heating___Cooling_Repairs_Maintenance">'16. Projected Operating Costs'!$D$45</definedName>
    <definedName name="Homeless">'4. Project Description'!$D$38</definedName>
    <definedName name="Homeless_Number_of_Units">'4. Project Description'!$F$38</definedName>
    <definedName name="Hot_Water">'Dropdown Lists'!$AL$2:$AL$5</definedName>
    <definedName name="Housekeeping_Purchased_Serv">'16. Projected Operating Costs'!$D$68</definedName>
    <definedName name="Housekeeping_Salary">'16. Projected Operating Costs'!$D$65</definedName>
    <definedName name="Housekeeping_Supply">'16. Projected Operating Costs'!$D$66</definedName>
    <definedName name="How_Score">'24. Development Process Score'!$A$4</definedName>
    <definedName name="HUD_RAD">'4. Project Description'!$D$17</definedName>
    <definedName name="HUD_RAD_Number_of_Units">'4. Project Description'!$F$17</definedName>
    <definedName name="HUD202NoOfUnits" localSheetId="6">'2. Project Summary'!$P$49</definedName>
    <definedName name="HUD236NoOfUnits" localSheetId="6">'2. Project Summary'!$P$51</definedName>
    <definedName name="HUD811NoOfUnits" localSheetId="6">'2. Project Summary'!$P$47</definedName>
    <definedName name="HUDRADNoOfUnits" localSheetId="6">'2. Project Summary'!$P$50</definedName>
    <definedName name="HUDSection8NoOfUnits" localSheetId="6">'2. Project Summary'!$P$48</definedName>
    <definedName name="hyuytvyvy" localSheetId="6">DATE(YEAR(Loan_Start),MONTH(Loan_Start)+Payment_Number,DAY(Loan_Start))</definedName>
    <definedName name="hyuytvyvy" localSheetId="39">DATE(YEAR(Loan_Start),MONTH(Loan_Start)+Payment_Number,DAY(Loan_Start))</definedName>
    <definedName name="hyuytvyvy">DATE(YEAR(Loan_Start),MONTH(Loan_Start)+Payment_Number,DAY(Loan_Start))</definedName>
    <definedName name="Identity_Interest_Direct_Indirect">'7. Site Control'!$D$20</definedName>
    <definedName name="If_yes__list_name_of_project_and_WHEDA_application_number">'4. Project Description'!$D$48</definedName>
    <definedName name="If_yes__provide_the_subsidy_source">'4. Project Description'!$D$14</definedName>
    <definedName name="In_Unit_Internet_Access">'10. Project and Unit Amenities'!$D$27</definedName>
    <definedName name="Instructions_Scoring_Summary">'20. Instructions Scoring Sum'!$B$4</definedName>
    <definedName name="Is_HUD_approval_for_transfer_of_physical_asset_required?">'4. Project Description'!$D$27</definedName>
    <definedName name="Is_project_a_Scattered_Site?">'3. Project Location'!$F$6</definedName>
    <definedName name="Is_project_in_a_Difficult_Development_Area?">'3. Project Location'!$F$13</definedName>
    <definedName name="Is_project_in_a_Qualified_Census_Tract?">'3. Project Location'!$D$13</definedName>
    <definedName name="Is_RD_approval_for_transfer_of_physical_asset_required?">'4. Project Description'!$D$28</definedName>
    <definedName name="Is_this_a_credit_application_for_a_property_that_has_completed_its_HTC_compliance_period?">'4. Project Description'!$D$49</definedName>
    <definedName name="Is_this_an_application_for_additional_credit?">'4. Project Description'!$D$47</definedName>
    <definedName name="Is_WHEDA_approval_for_transfer_of_physical_asset_required?">'4. Project Description'!$D$29</definedName>
    <definedName name="isQualifiedSenior">'22. Tenants Served Score'!$C$24</definedName>
    <definedName name="jojoishkjngfsfd" localSheetId="6">IF(Loan_Amount*Interest_Rate*Loan_Years*Loan_Start&gt;0,1,0)</definedName>
    <definedName name="jojoishkjngfsfd" localSheetId="39">IF(Loan_Amount*Interest_Rate*Loan_Years*Loan_Start&gt;0,1,0)</definedName>
    <definedName name="jojoishkjngfsfd">IF(Loan_Amount*Interest_Rate*Loan_Years*Loan_Start&gt;0,1,0)</definedName>
    <definedName name="Judgements">'5. Applicant Information'!$E$62</definedName>
    <definedName name="Jurisdiction_CEO_First_Name">'3. Project Location'!$D$20</definedName>
    <definedName name="Jurisdiction_CEO_Last_Name">'3. Project Location'!$F$20</definedName>
    <definedName name="Jurisdiction_City">'3. Project Location'!$D$22</definedName>
    <definedName name="Jurisdiction_E_Mail_Address">'3. Project Location'!$F$23</definedName>
    <definedName name="Jurisdiction_Phone">'3. Project Location'!$D$23</definedName>
    <definedName name="Jurisdiction_Street_Address">'3. Project Location'!$D$21</definedName>
    <definedName name="Jurisdiction_Title">'3. Project Location'!$H$20</definedName>
    <definedName name="Jurisdiction_Zip_Code">'3. Project Location'!$F$22</definedName>
    <definedName name="Last_Row" localSheetId="6">IF('2. Project Summary'!Values_Entered,Header_Row+'2. Project Summary'!Number_of_Payments,Header_Row)</definedName>
    <definedName name="Last_Row" localSheetId="39">IF('ACR Form'!Values_Entered,Header_Row+'ACR Form'!Number_of_Payments,Header_Row)</definedName>
    <definedName name="Last_Row">IF(Values_Entered,Header_Row+Number_of_Payments,Header_Row)</definedName>
    <definedName name="Laundry_Linen">'16. Projected Operating Costs'!$D$71</definedName>
    <definedName name="Laundry_Purchased_Serv">'16. Projected Operating Costs'!$D$73</definedName>
    <definedName name="Laundry_Room">'10. Project and Unit Amenities'!$D$26</definedName>
    <definedName name="Laundry_Salaries">'16. Projected Operating Costs'!$D$72</definedName>
    <definedName name="Laundry_Supplies">'16. Projected Operating Costs'!$D$74</definedName>
    <definedName name="Legal_Expenses___Project_Only">'16. Projected Operating Costs'!$D$22</definedName>
    <definedName name="Lender_Name">'Dropdown Lists'!$AH$2:$AH$6</definedName>
    <definedName name="Litigation">'5. Applicant Information'!$E$65</definedName>
    <definedName name="Location_Score">'21. Location Score'!$B$4</definedName>
    <definedName name="Low_Income_Total_Units">'11. Unit Mix'!$F$126</definedName>
    <definedName name="Lower_Income_Area_Points">'20. Instructions Scoring Sum'!$G$25</definedName>
    <definedName name="Lower_Income_Areas">'21. Location Score'!$B$79</definedName>
    <definedName name="LowIncome3BRUnits">'11. Unit Mix'!$BC$66</definedName>
    <definedName name="LURA_Project_Number">'4. Project Description'!$D$32</definedName>
    <definedName name="MA_City">'9. Ownership and Project Team'!$D$62</definedName>
    <definedName name="MA_Email_Address">'9. Ownership and Project Team'!$G$64</definedName>
    <definedName name="MA_Identity_of_Interest?">'9. Ownership and Project Team'!$D$56</definedName>
    <definedName name="MA_State">'9. Ownership and Project Team'!$F$62</definedName>
    <definedName name="MA_Street_Address">'9. Ownership and Project Team'!$D$60</definedName>
    <definedName name="MA_Telephone_Number">'9. Ownership and Project Team'!$D$64</definedName>
    <definedName name="MA_Zipcode">'9. Ownership and Project Team'!$H$62</definedName>
    <definedName name="Management_Agent_Email_Address">'9. Ownership and Project Team'!$G$64</definedName>
    <definedName name="Management_Consultants">'16. Projected Operating Costs'!$D$9</definedName>
    <definedName name="Management_Fee___Commercial_Rents">'16. Projected Operating Costs'!$D$18</definedName>
    <definedName name="Management_Fee___Misc._Income">'16. Projected Operating Costs'!$D$19</definedName>
    <definedName name="Management_Fee___Residential_Rents">'16. Projected Operating Costs'!$D$17</definedName>
    <definedName name="Manager_Superintendent_Salaries">'16. Projected Operating Costs'!$D$20</definedName>
    <definedName name="Max_Cost_Model">'18. Max Cost Model'!$B$4</definedName>
    <definedName name="Med_Records_Purchased_Srv">'16. Projected Operating Costs'!$D$77</definedName>
    <definedName name="Media_Center_Room">'10. Project and Unit Amenities'!$G$31</definedName>
    <definedName name="Medical_Purchased_Serv">'16. Projected Operating Costs'!$D$70</definedName>
    <definedName name="Medical_Records_Salary">'16. Projected Operating Costs'!$D$75</definedName>
    <definedName name="Medical_Records_Supply">'16. Projected Operating Costs'!$D$76</definedName>
    <definedName name="Medical_Supplies">'16. Projected Operating Costs'!$D$69</definedName>
    <definedName name="Mgmt_Company_Name">'9. Ownership and Project Team'!$D$58</definedName>
    <definedName name="Mgmt_Contact_First_Name">'9. Ownership and Project Team'!$D$66</definedName>
    <definedName name="Mgmt_Contact_Last_Name">'9. Ownership and Project Team'!$F$66</definedName>
    <definedName name="Microwave">'10. Project and Unit Amenities'!$J$63</definedName>
    <definedName name="Mini_blinds">'10. Project and Unit Amenities'!$D$63</definedName>
    <definedName name="Minimum_Set_Aside_Requirements">'4. Project Description'!$D$59</definedName>
    <definedName name="Misc._Operating___Maintenance_Expenses">'16. Projected Operating Costs'!$D$48</definedName>
    <definedName name="Misc._Taxes__Licenses__Permits__and_Insuaance">'16. Projected Operating Costs'!$D$58</definedName>
    <definedName name="Miscellaneous_Taxes__Licenses_and_Permits">'16. Projected Operating Costs'!$D$53</definedName>
    <definedName name="Mixed_Income_Points">'20. Instructions Scoring Sum'!$G$38</definedName>
    <definedName name="MKT_Units_1">'7. Site Control'!$F$47</definedName>
    <definedName name="MKT_Units_10">'7. Site Control'!$F$56</definedName>
    <definedName name="MKT_Units_11">'7. Site Control'!$F$57</definedName>
    <definedName name="MKT_Units_12">'7. Site Control'!$F$58</definedName>
    <definedName name="MKT_Units_13">'7. Site Control'!$F$59</definedName>
    <definedName name="MKT_Units_14">'7. Site Control'!$F$60</definedName>
    <definedName name="MKT_Units_15">'7. Site Control'!$F$61</definedName>
    <definedName name="MKT_Units_16">'7. Site Control'!$F$62</definedName>
    <definedName name="MKT_Units_17">'7. Site Control'!$F$63</definedName>
    <definedName name="MKT_Units_18">'7. Site Control'!$F$64</definedName>
    <definedName name="MKT_Units_19">'7. Site Control'!$F$65</definedName>
    <definedName name="MKT_Units_2">'7. Site Control'!$F$48</definedName>
    <definedName name="MKT_Units_20">'7. Site Control'!$F$66</definedName>
    <definedName name="MKT_Units_21">'7. Site Control'!$F$67</definedName>
    <definedName name="MKT_Units_22">'7. Site Control'!$F$68</definedName>
    <definedName name="MKT_Units_23">'7. Site Control'!$F$69</definedName>
    <definedName name="MKT_Units_24">'7. Site Control'!$F$70</definedName>
    <definedName name="MKT_Units_25">'7. Site Control'!$F$71</definedName>
    <definedName name="MKT_Units_26">'7. Site Control'!$F$72</definedName>
    <definedName name="MKT_Units_27">'7. Site Control'!$F$73</definedName>
    <definedName name="MKT_Units_28">'7. Site Control'!$F$74</definedName>
    <definedName name="MKT_Units_29">'7. Site Control'!$F$75</definedName>
    <definedName name="MKT_Units_3">'7. Site Control'!$F$49</definedName>
    <definedName name="MKT_Units_30">'7. Site Control'!$F$76</definedName>
    <definedName name="MKT_Units_31">'7. Site Control'!$F$77</definedName>
    <definedName name="MKT_Units_32">'7. Site Control'!$F$78</definedName>
    <definedName name="MKT_Units_33">'7. Site Control'!$F$79</definedName>
    <definedName name="MKT_Units_34">'7. Site Control'!$F$80</definedName>
    <definedName name="MKT_Units_4">'7. Site Control'!$F$50</definedName>
    <definedName name="MKT_Units_5">'7. Site Control'!$F$51</definedName>
    <definedName name="MKT_Units_6">'7. Site Control'!$F$52</definedName>
    <definedName name="MKT_Units_7">'7. Site Control'!$F$53</definedName>
    <definedName name="MKT_Units_8">'7. Site Control'!$F$54</definedName>
    <definedName name="MKT_Units_9">'7. Site Control'!$F$55</definedName>
    <definedName name="Monthly_Rent_1">'11. Unit Mix'!$K$16</definedName>
    <definedName name="Monthly_Rent_10">'11. Unit Mix'!$K$25</definedName>
    <definedName name="Monthly_Rent_11">'11. Unit Mix'!$K$26</definedName>
    <definedName name="Monthly_Rent_12">'11. Unit Mix'!$K$27</definedName>
    <definedName name="Monthly_Rent_13">'11. Unit Mix'!$K$28</definedName>
    <definedName name="Monthly_Rent_14">'11. Unit Mix'!$K$29</definedName>
    <definedName name="Monthly_Rent_15">'11. Unit Mix'!$K$30</definedName>
    <definedName name="Monthly_Rent_16">'11. Unit Mix'!$K$31</definedName>
    <definedName name="Monthly_Rent_17">'11. Unit Mix'!$K$32</definedName>
    <definedName name="Monthly_Rent_18">'11. Unit Mix'!$K$33</definedName>
    <definedName name="Monthly_Rent_19">'11. Unit Mix'!$K$34</definedName>
    <definedName name="Monthly_Rent_2">'11. Unit Mix'!$K$17</definedName>
    <definedName name="Monthly_Rent_20">'11. Unit Mix'!$K$35</definedName>
    <definedName name="Monthly_Rent_21">'11. Unit Mix'!$K$36</definedName>
    <definedName name="Monthly_Rent_22">'11. Unit Mix'!$K$37</definedName>
    <definedName name="Monthly_Rent_23">'11. Unit Mix'!$K$38</definedName>
    <definedName name="Monthly_Rent_24">'11. Unit Mix'!$K$39</definedName>
    <definedName name="Monthly_Rent_25">'11. Unit Mix'!$K$40</definedName>
    <definedName name="Monthly_Rent_26">'11. Unit Mix'!$K$41</definedName>
    <definedName name="Monthly_Rent_27">'11. Unit Mix'!$K$42</definedName>
    <definedName name="Monthly_Rent_28">'11. Unit Mix'!$K$43</definedName>
    <definedName name="Monthly_Rent_29">'11. Unit Mix'!$K$44</definedName>
    <definedName name="Monthly_Rent_3">'11. Unit Mix'!$K$18</definedName>
    <definedName name="Monthly_Rent_30">'11. Unit Mix'!$K$45</definedName>
    <definedName name="Monthly_Rent_31">'11. Unit Mix'!$K$46</definedName>
    <definedName name="Monthly_Rent_32">'11. Unit Mix'!$K$47</definedName>
    <definedName name="Monthly_Rent_33">'11. Unit Mix'!$K$48</definedName>
    <definedName name="Monthly_Rent_34">'11. Unit Mix'!$K$49</definedName>
    <definedName name="Monthly_Rent_35">'11. Unit Mix'!$K$50</definedName>
    <definedName name="Monthly_Rent_36">'11. Unit Mix'!$K$51</definedName>
    <definedName name="Monthly_Rent_37">'11. Unit Mix'!$K$52</definedName>
    <definedName name="Monthly_Rent_38">'11. Unit Mix'!$K$53</definedName>
    <definedName name="Monthly_Rent_39">'11. Unit Mix'!$K$54</definedName>
    <definedName name="Monthly_Rent_4">'11. Unit Mix'!$K$19</definedName>
    <definedName name="Monthly_Rent_40">'11. Unit Mix'!$K$55</definedName>
    <definedName name="Monthly_Rent_41">'11. Unit Mix'!$K$56</definedName>
    <definedName name="Monthly_Rent_42">'11. Unit Mix'!$K$57</definedName>
    <definedName name="Monthly_Rent_43">'11. Unit Mix'!$K$58</definedName>
    <definedName name="Monthly_Rent_44">'11. Unit Mix'!$K$59</definedName>
    <definedName name="Monthly_Rent_45">'11. Unit Mix'!$K$60</definedName>
    <definedName name="Monthly_Rent_46">'11. Unit Mix'!$K$61</definedName>
    <definedName name="Monthly_Rent_47">'11. Unit Mix'!$K$62</definedName>
    <definedName name="Monthly_Rent_48">'11. Unit Mix'!$K$63</definedName>
    <definedName name="Monthly_Rent_49">'11. Unit Mix'!$K$64</definedName>
    <definedName name="Monthly_Rent_5">'11. Unit Mix'!$K$20</definedName>
    <definedName name="Monthly_Rent_50">'11. Unit Mix'!$K$65</definedName>
    <definedName name="Monthly_Rent_6">'11. Unit Mix'!$K$21</definedName>
    <definedName name="Monthly_Rent_7">'11. Unit Mix'!$K$22</definedName>
    <definedName name="Monthly_Rent_8">'11. Unit Mix'!$K$23</definedName>
    <definedName name="Monthly_Rent_9">'11. Unit Mix'!$K$24</definedName>
    <definedName name="Name_Project_App_Nunber">'4. Project Description'!$D$50</definedName>
    <definedName name="New_Construction_Units">'4. Project Description'!$D$8</definedName>
    <definedName name="Non_elevator_Building">'4. Project Description'!$D$64</definedName>
    <definedName name="Non_Voucher_Unit_Types">'Dropdown Lists'!$X$2:$X$4</definedName>
    <definedName name="Number_Garages">'10. Project and Unit Amenities'!$G$22</definedName>
    <definedName name="Number_of__Units_1">'7. Site Control'!$G$47</definedName>
    <definedName name="Number_of__Units_10">'7. Site Control'!$G$56</definedName>
    <definedName name="Number_of__Units_11">'7. Site Control'!$G$57</definedName>
    <definedName name="Number_of__Units_12">'7. Site Control'!$G$58</definedName>
    <definedName name="Number_of__Units_13">'7. Site Control'!$G$59</definedName>
    <definedName name="Number_of__Units_14">'7. Site Control'!$G$60</definedName>
    <definedName name="Number_of__Units_15">'7. Site Control'!$G$61</definedName>
    <definedName name="Number_of__Units_16">'7. Site Control'!$G$62</definedName>
    <definedName name="Number_of__Units_17">'7. Site Control'!$G$63</definedName>
    <definedName name="Number_of__Units_18">'7. Site Control'!$G$64</definedName>
    <definedName name="Number_of__Units_19">'7. Site Control'!$G$65</definedName>
    <definedName name="Number_of__Units_2">'7. Site Control'!$G$48</definedName>
    <definedName name="Number_of__Units_20">'7. Site Control'!$G$66</definedName>
    <definedName name="Number_of__Units_21">'7. Site Control'!$G$67</definedName>
    <definedName name="Number_of__Units_22">'7. Site Control'!$G$68</definedName>
    <definedName name="Number_of__Units_23">'7. Site Control'!$G$69</definedName>
    <definedName name="Number_of__Units_24">'7. Site Control'!$G$70</definedName>
    <definedName name="Number_of__Units_25">'7. Site Control'!$G$71</definedName>
    <definedName name="Number_of__Units_26">'7. Site Control'!$G$72</definedName>
    <definedName name="Number_of__Units_27">'7. Site Control'!$G$73</definedName>
    <definedName name="Number_of__Units_28">'7. Site Control'!$G$74</definedName>
    <definedName name="Number_of__Units_29">'7. Site Control'!$G$75</definedName>
    <definedName name="Number_of__Units_3">'7. Site Control'!$G$49</definedName>
    <definedName name="Number_of__Units_30">'7. Site Control'!$G$76</definedName>
    <definedName name="Number_of__Units_31">'7. Site Control'!$G$77</definedName>
    <definedName name="Number_of__Units_32">'7. Site Control'!$G$78</definedName>
    <definedName name="Number_of__Units_33">'7. Site Control'!$G$79</definedName>
    <definedName name="Number_of__Units_34">'7. Site Control'!$G$80</definedName>
    <definedName name="Number_of__Units_4">'7. Site Control'!$G$50</definedName>
    <definedName name="Number_of__Units_5">'7. Site Control'!$G$51</definedName>
    <definedName name="Number_of__Units_6">'7. Site Control'!$G$52</definedName>
    <definedName name="Number_of__Units_7">'7. Site Control'!$G$53</definedName>
    <definedName name="Number_of__Units_8">'7. Site Control'!$G$54</definedName>
    <definedName name="Number_of__Units_9">'7. Site Control'!$G$55</definedName>
    <definedName name="Number_of_existing_units">'6. Site Description'!$E$38</definedName>
    <definedName name="Number_of_Payments" localSheetId="6">MATCH(0.01,End_Bal,-1)+1</definedName>
    <definedName name="Number_of_Payments" localSheetId="39">MATCH(0.01,End_Bal,-1)+1</definedName>
    <definedName name="Number_of_Payments">MATCH(0.01,End_Bal,-1)+1</definedName>
    <definedName name="Number_of_Stories_Elevator">'4. Project Description'!$F$63</definedName>
    <definedName name="Number_of_Stories_No_Elevator">'4. Project Description'!$F$64</definedName>
    <definedName name="Number_Surface_Parking">'10. Project and Unit Amenities'!$G$23</definedName>
    <definedName name="Number_Underground_Parking">'10. Project and Unit Amenities'!$G$24</definedName>
    <definedName name="NumberBedrooms" localSheetId="27">'Dropdown Lists'!$Y$2:$Y$7</definedName>
    <definedName name="NumberBedrooms" localSheetId="28">'Dropdown Lists'!$Y$2:$Y$7</definedName>
    <definedName name="NumberBedrooms" localSheetId="29">'Dropdown Lists'!$Y$2:$Y$7</definedName>
    <definedName name="NumberBedrooms" localSheetId="30">'Dropdown Lists'!$Y$2:$Y$7</definedName>
    <definedName name="NumberBedrooms">'Dropdown Lists'!$Y$2:$Y$7</definedName>
    <definedName name="Office_Expenses">'16. Projected Operating Costs'!$D$15</definedName>
    <definedName name="Office_or_Model_Apartment_Rent">'16. Projected Operating Costs'!$D$16</definedName>
    <definedName name="Office_Salaries">'16. Projected Operating Costs'!$D$14</definedName>
    <definedName name="Onsite_Leasing_Office">'10. Project and Unit Amenities'!$J$34</definedName>
    <definedName name="Operating_and_Maintenance_Rent_Fee_Unit">'16. Projected Operating Costs'!$D$41</definedName>
    <definedName name="Other">'4. Project Description'!$D$25</definedName>
    <definedName name="Other__Please_describe">'4. Project Description'!$D$68</definedName>
    <definedName name="Other_Administrative_Expenses">'16. Projected Operating Costs'!$D$27</definedName>
    <definedName name="Other_Housekeeping">'16. Projected Operating Costs'!$D$67</definedName>
    <definedName name="Other_Number_of_Units">'4. Project Description'!$F$25</definedName>
    <definedName name="Other_Support_Serv">'16. Projected Operating Costs'!$D$84</definedName>
    <definedName name="Owner___Paid_Amenities">'16. Projected Operating Costs'!$D$35</definedName>
    <definedName name="Owner_Address">'9. Ownership and Project Team'!$C$9</definedName>
    <definedName name="Owner_City">'9. Ownership and Project Team'!$C$11</definedName>
    <definedName name="Owner_Name">'9. Ownership and Project Team'!$C$7</definedName>
    <definedName name="Owner_State">'9. Ownership and Project Team'!$F$11</definedName>
    <definedName name="Owner_Zip">'9. Ownership and Project Team'!$I$11</definedName>
    <definedName name="Ownership_Contact_Person_First_Name">'9. Ownership and Project Team'!$C$13</definedName>
    <definedName name="Ownership_Contact_Person_Last_Name">'9. Ownership and Project Team'!$F$13</definedName>
    <definedName name="Ownership_Entity">'9. Ownership and Project Team'!$B$4</definedName>
    <definedName name="Pantry">'10. Project and Unit Amenities'!$J$61</definedName>
    <definedName name="Patio_Balcony">'10. Project and Unit Amenities'!$G$63</definedName>
    <definedName name="Payment_Date" localSheetId="6">DATE(YEAR(Loan_Start),MONTH(Loan_Start)+Payment_Number,DAY(Loan_Start))</definedName>
    <definedName name="Payment_Date" localSheetId="39">DATE(YEAR(Loan_Start),MONTH(Loan_Start)+Payment_Number,DAY(Loan_Start))</definedName>
    <definedName name="Payment_Date">DATE(YEAR(Loan_Start),MONTH(Loan_Start)+Payment_Number,DAY(Loan_Start))</definedName>
    <definedName name="Payroll">'16. Projected Operating Costs'!$D$38</definedName>
    <definedName name="Payroll_Taxes___Project_Share">'16. Projected Operating Costs'!$D$54</definedName>
    <definedName name="PC_ACQ_ACQ_Subtotal_4">'14. Project Costs'!$K$16</definedName>
    <definedName name="PC_ACQ_ACQ_Subtotal_9">'14. Project Costs'!$J$16</definedName>
    <definedName name="PC_ACQ_ACQ_Subtotal_State">'14. Project Costs'!$L$16</definedName>
    <definedName name="PC_ACQ_ACQ_Subtotal_Total">'14. Project Costs'!$F$16</definedName>
    <definedName name="PC_ACQ_Building_Acq">'14. Project Costs'!$K$13</definedName>
    <definedName name="PC_ACQ_Building_Acq_State">'14. Project Costs'!$L$13</definedName>
    <definedName name="PC_ACQ_Building_Acq_Total">'14. Project Costs'!$F$13</definedName>
    <definedName name="PC_ACQ_Land_Acq_Total">'14. Project Costs'!$F$12</definedName>
    <definedName name="PC_ACQ_Other_Acq_4">'14. Project Costs'!$K$15</definedName>
    <definedName name="PC_ACQ_Other_Acq_9">'14. Project Costs'!$J$15</definedName>
    <definedName name="PC_ACQ_Other_Acq_State">'14. Project Costs'!$L$15</definedName>
    <definedName name="PC_ACQ_Other_Acq_Total">'14. Project Costs'!$F$15</definedName>
    <definedName name="PC_ACQ_Other_Purchase">'14. Project Costs'!$K$14</definedName>
    <definedName name="PC_ACQ_Other_Purchase_State">'14. Project Costs'!$L$14</definedName>
    <definedName name="PC_ACQ_Other_Purchase_Total">'14. Project Costs'!$F$14</definedName>
    <definedName name="PC_ARC_ALTA_4">'14. Project Costs'!$K$115</definedName>
    <definedName name="PC_ARC_ALTA_9">'14. Project Costs'!$J$115</definedName>
    <definedName name="PC_ARC_ALTA_State">'14. Project Costs'!$L$115</definedName>
    <definedName name="PC_ARC_ALTA_Total">'14. Project Costs'!$F$115</definedName>
    <definedName name="PC_ARC_Arch_Design_4">'14. Project Costs'!$K$112</definedName>
    <definedName name="PC_ARC_Arch_Design_9">'14. Project Costs'!$J$112</definedName>
    <definedName name="PC_ARC_Arch_Design_State">'14. Project Costs'!$L$112</definedName>
    <definedName name="PC_ARC_Arch_Design_Total">'14. Project Costs'!$F$112</definedName>
    <definedName name="PC_ARC_Arch_Super_4">'14. Project Costs'!$K$113</definedName>
    <definedName name="PC_ARC_Arch_Super_9">'14. Project Costs'!$J$113</definedName>
    <definedName name="PC_ARC_Arch_Super_State">'14. Project Costs'!$L$113</definedName>
    <definedName name="PC_ARC_Arch_Super_Total">'14. Project Costs'!$F$113</definedName>
    <definedName name="PC_ARC_Engineer_Fee_4">'14. Project Costs'!$K$114</definedName>
    <definedName name="PC_ARC_Engineer_Fee_9">'14. Project Costs'!$J$114</definedName>
    <definedName name="PC_ARC_Engineer_Fee_State">'14. Project Costs'!$L$114</definedName>
    <definedName name="PC_ARC_Engineer_Fee_Total">'14. Project Costs'!$F$114</definedName>
    <definedName name="PC_ARC_Other_Arch_4">'14. Project Costs'!$K$116</definedName>
    <definedName name="PC_ARC_Other_Arch_9">'14. Project Costs'!$J$116</definedName>
    <definedName name="PC_ARC_Other_Arch_State">'14. Project Costs'!$L$116</definedName>
    <definedName name="PC_ARC_Other_Arch_Total">'14. Project Costs'!$F$116</definedName>
    <definedName name="PC_CAP_Capital_Needs_Res_Total">'14. Project Costs'!$F$129</definedName>
    <definedName name="PC_CAP_Capitalized_Reserv_Subtotal_4">'14. Project Costs'!$K$133</definedName>
    <definedName name="PC_CAP_Capitalized_Reserv_Subtotal_9">'14. Project Costs'!$J$133</definedName>
    <definedName name="PC_CAP_Capitalized_Reserv_Subtotal_State">'14. Project Costs'!$L$133</definedName>
    <definedName name="PC_CAP_Capitalized_Reserv_Subtotal_Total">'14. Project Costs'!$F$133</definedName>
    <definedName name="PC_CAP_Debt_Serv_Reserve_Total">'14. Project Costs'!$F$128</definedName>
    <definedName name="PC_CAP_Escrow_Total">'14. Project Costs'!$F$131</definedName>
    <definedName name="PC_CAP_Operating_Expen_Res_Total">'14. Project Costs'!$F$125</definedName>
    <definedName name="PC_CAP_Other_Cap_Reserves_Total">'14. Project Costs'!$F$132</definedName>
    <definedName name="PC_CAP_Other_Reserve_Total">'14. Project Costs'!$F$130</definedName>
    <definedName name="PC_CAP_Replacement_Reserves_Total">'14. Project Costs'!$F$126</definedName>
    <definedName name="PC_CAP_Stab_RentUp_Res_Total">'14. Project Costs'!$F$127</definedName>
    <definedName name="PC_CNT_Contingency_Subtotal_4">'14. Project Costs'!$K$62</definedName>
    <definedName name="PC_CNT_Contingency_Subtotal_9">'14. Project Costs'!$J$62</definedName>
    <definedName name="PC_CNT_Contingency_Subtotal_State">'14. Project Costs'!$L$62</definedName>
    <definedName name="PC_CNT_Contingency_Subtotal_Total">'14. Project Costs'!$F$62</definedName>
    <definedName name="PC_CNT_Res_HC_Contingency">'14. Project Costs'!$K$60</definedName>
    <definedName name="PC_CNT_Res_HC_Contingency_State">'14. Project Costs'!$L$60</definedName>
    <definedName name="PC_CNT_Res_HC_Contingency_Total">'14. Project Costs'!$F$60</definedName>
    <definedName name="PC_CNT_Res_SC_Contingency">'14. Project Costs'!$K$61</definedName>
    <definedName name="PC_CNT_Res_SC_Contingency_State">'14. Project Costs'!$L$61</definedName>
    <definedName name="PC_CNT_Res_SC_Contingency_Total">'14. Project Costs'!$F$61</definedName>
    <definedName name="PC_CSP_Bond_Issuance_Fee_Total">'14. Project Costs'!$F$74</definedName>
    <definedName name="PC_CSP_Bonding_Fee_Subtotal_4">'14. Project Costs'!$K$75</definedName>
    <definedName name="PC_CSP_Bonding_Fee_Subtotal_9">'14. Project Costs'!$J$75</definedName>
    <definedName name="PC_CSP_Bonding_Fee_Subtotal_State">'14. Project Costs'!$L$75</definedName>
    <definedName name="PC_CSP_Bonding_Fee_Subtotal_Total">'14. Project Costs'!$F$75</definedName>
    <definedName name="PC_CSP_Constr_Hazard_insur_4">'14. Project Costs'!$K$91</definedName>
    <definedName name="PC_CSP_Constr_Hazard_insur_9">'14. Project Costs'!$J$91</definedName>
    <definedName name="PC_CSP_Constr_Hazard_insur_State">'14. Project Costs'!$L$91</definedName>
    <definedName name="PC_CSP_Constr_Hazard_insur_Total">'14. Project Costs'!$F$91</definedName>
    <definedName name="PC_CSP_Constr_Lender_Fees_4">'14. Project Costs'!$K$82</definedName>
    <definedName name="PC_CSP_Constr_Lender_Fees_9">'14. Project Costs'!$J$82</definedName>
    <definedName name="PC_CSP_Constr_Lender_Fees_State">'14. Project Costs'!$L$82</definedName>
    <definedName name="PC_CSP_Constr_Lender_Fees_Total">'14. Project Costs'!$F$82</definedName>
    <definedName name="PC_CSP_Constr_Liability_4">'14. Project Costs'!$K$92</definedName>
    <definedName name="PC_CSP_Constr_Liability_9">'14. Project Costs'!$J$92</definedName>
    <definedName name="PC_CSP_Constr_Liability_State">'14. Project Costs'!$L$92</definedName>
    <definedName name="PC_CSP_Constr_Liability_Total">'14. Project Costs'!$F$92</definedName>
    <definedName name="PC_CSP_Constr_Period_Int_4">'14. Project Costs'!$K$80</definedName>
    <definedName name="PC_CSP_Constr_Period_Int_9">'14. Project Costs'!$J$80</definedName>
    <definedName name="PC_CSP_Constr_Period_Int_State">'14. Project Costs'!$L$80</definedName>
    <definedName name="PC_CSP_Constr_Period_Int_Total">'14. Project Costs'!$F$80</definedName>
    <definedName name="PC_CSP_Contractor_Related_Fees_Subtotal_4">'14. Project Costs'!$K$97</definedName>
    <definedName name="PC_CSP_Contractor_Related_Fees_Subtotal_9">'14. Project Costs'!$J$97</definedName>
    <definedName name="PC_CSP_Contractor_Related_Fees_Subtotal_State">'14. Project Costs'!$L$97</definedName>
    <definedName name="PC_CSP_Contractor_Related_Fees_Subtotal_Total">'14. Project Costs'!$F$97</definedName>
    <definedName name="PC_CSP_Credit_Enhance_Fee_4">'14. Project Costs'!$K$87</definedName>
    <definedName name="PC_CSP_Credit_Enhance_Fee_9">'14. Project Costs'!$J$87</definedName>
    <definedName name="PC_CSP_Credit_Enhance_Fee_State">'14. Project Costs'!$L$87</definedName>
    <definedName name="PC_CSP_Credit_Enhance_Fee_Total">'14. Project Costs'!$F$87</definedName>
    <definedName name="PC_CSP_Green_Building_4">'14. Project Costs'!$K$90</definedName>
    <definedName name="PC_CSP_Green_Building_9">'14. Project Costs'!$J$90</definedName>
    <definedName name="PC_CSP_Green_Building_State">'14. Project Costs'!$L$90</definedName>
    <definedName name="PC_CSP_Green_Building_Total">'14. Project Costs'!$F$90</definedName>
    <definedName name="PC_CSP_Lender_Insp_Fees_4">'14. Project Costs'!$K$83</definedName>
    <definedName name="PC_CSP_Lender_Insp_Fees_9">'14. Project Costs'!$J$83</definedName>
    <definedName name="PC_CSP_Lender_Insp_Fees_State">'14. Project Costs'!$L$83</definedName>
    <definedName name="PC_CSP_Lender_Insp_Fees_Total">'14. Project Costs'!$F$83</definedName>
    <definedName name="PC_CSP_LU_Period_Constr_4">'14. Project Costs'!$K$81</definedName>
    <definedName name="PC_CSP_LU_Period_Constr_9">'14. Project Costs'!$J$81</definedName>
    <definedName name="PC_CSP_LU_Period_Constr_State">'14. Project Costs'!$L$81</definedName>
    <definedName name="PC_CSP_LU_Period_Constr_Total">'14. Project Costs'!$F$81</definedName>
    <definedName name="PC_CSP_Other_Constr_Costs_4">'14. Project Costs'!$K$96</definedName>
    <definedName name="PC_CSP_Other_Constr_Costs_9">'14. Project Costs'!$J$96</definedName>
    <definedName name="PC_CSP_Other_Constr_Costs_State">'14. Project Costs'!$L$96</definedName>
    <definedName name="PC_CSP_Other_Constr_Costs_Total">'14. Project Costs'!$F$96</definedName>
    <definedName name="PC_CSP_Other_Fees_4">'14. Project Costs'!$K$71</definedName>
    <definedName name="PC_CSP_Other_Fees_9">'14. Project Costs'!$J$71</definedName>
    <definedName name="PC_CSP_Other_Fees_State">'14. Project Costs'!$L$71</definedName>
    <definedName name="PC_CSP_Other_Fees_Total">'14. Project Costs'!$F$71</definedName>
    <definedName name="PC_CSP_Other_Interim_4">'14. Project Costs'!$K$93</definedName>
    <definedName name="PC_CSP_Other_Interim_9">'14. Project Costs'!$J$93</definedName>
    <definedName name="PC_CSP_Other_Interim_State">'14. Project Costs'!$L$93</definedName>
    <definedName name="PC_CSP_Other_Interim_Total">'14. Project Costs'!$F$93</definedName>
    <definedName name="PC_CSP_Other_Lender_Fees_4">'14. Project Costs'!$K$84</definedName>
    <definedName name="PC_CSP_Other_Lender_Fees_9">'14. Project Costs'!$J$84</definedName>
    <definedName name="PC_CSP_Other_Lender_Fees_State">'14. Project Costs'!$L$84</definedName>
    <definedName name="PC_CSP_Other_Lender_Fees_Total">'14. Project Costs'!$F$84</definedName>
    <definedName name="PC_CSP_Other_Lender_Subtotal_4">'14. Project Costs'!$K$85</definedName>
    <definedName name="PC_CSP_Other_Lender_Subtotal_9">'14. Project Costs'!$J$85</definedName>
    <definedName name="PC_CSP_Other_Lender_Subtotal_State">'14. Project Costs'!$L$85</definedName>
    <definedName name="PC_CSP_Other_Lender_Subtotal_Total">'14. Project Costs'!$F$85</definedName>
    <definedName name="PC_CSP_Perm_Relocation_Total">'14. Project Costs'!$F$95</definedName>
    <definedName name="PC_CSP_Predev_Bridge_Finan_Fees_Total">'14. Project Costs'!$F$78</definedName>
    <definedName name="PC_CSP_Predev_Bridge_Loan_Int_Total">'14. Project Costs'!$F$77</definedName>
    <definedName name="PC_CSP_Predev_Bridge_Orig_Fees_Total">'14. Project Costs'!$F$79</definedName>
    <definedName name="PC_CSP_Taxes_During_Constr_4">'14. Project Costs'!$K$88</definedName>
    <definedName name="PC_CSP_Taxes_During_Constr_9">'14. Project Costs'!$J$88</definedName>
    <definedName name="PC_CSP_Taxes_During_Constr_State">'14. Project Costs'!$L$88</definedName>
    <definedName name="PC_CSP_Taxes_During_Constr_Total">'14. Project Costs'!$F$88</definedName>
    <definedName name="PC_CSP_TE_Bond_Alloc_Total">'14. Project Costs'!$F$66</definedName>
    <definedName name="PC_CSP_Temp_Relocation_State">'14. Project Costs'!$L$94</definedName>
    <definedName name="PC_CSP_Temp_Reloocation_4">'14. Project Costs'!$K$94</definedName>
    <definedName name="PC_CSP_Temp_Reloocation_9">'14. Project Costs'!$J$94</definedName>
    <definedName name="PC_CSP_Temp_Reloocation_Total">'14. Project Costs'!$F$94</definedName>
    <definedName name="PC_CSP_Title_Recording_4">'14. Project Costs'!$K$89</definedName>
    <definedName name="PC_CSP_Title_Recording_9">'14. Project Costs'!$J$89</definedName>
    <definedName name="PC_CSP_Title_Recording_State">'14. Project Costs'!$L$89</definedName>
    <definedName name="PC_CSP_Title_Recording_Total">'14. Project Costs'!$F$89</definedName>
    <definedName name="PC_CSP_WHEDA_App_Fees_4">'14. Project Costs'!$K$65</definedName>
    <definedName name="PC_CSP_WHEDA_App_Fees_9">'14. Project Costs'!$J$65</definedName>
    <definedName name="PC_CSP_WHEDA_App_Fees_State">'14. Project Costs'!$L$65</definedName>
    <definedName name="PC_CSP_WHEDA_App_Fees_Total">'14. Project Costs'!$F$65</definedName>
    <definedName name="PC_CSP_WHEDA_Constr_Inspect_4">'14. Project Costs'!$K$70</definedName>
    <definedName name="PC_CSP_WHEDA_Constr_Inspect_9">'14. Project Costs'!$J$70</definedName>
    <definedName name="PC_CSP_WHEDA_Constr_Inspect_State">'14. Project Costs'!$L$70</definedName>
    <definedName name="PC_CSP_WHEDA_Constr_Inspect_Total">'14. Project Costs'!$F$70</definedName>
    <definedName name="PC_CSP_WHEDA_Constr_Loan">'14. Project Costs'!$K$67</definedName>
    <definedName name="PC_CSP_WHEDA_Constr_Loan_State">'14. Project Costs'!$L$67</definedName>
    <definedName name="PC_CSP_WHEDA_Constr_Loan_Total">'14. Project Costs'!$F$67</definedName>
    <definedName name="PC_CSP_WHEDA_Fees_Subtotal_4">'14. Project Costs'!$K$72</definedName>
    <definedName name="PC_CSP_WHEDA_Fees_Subtotal_9">'14. Project Costs'!$J$72</definedName>
    <definedName name="PC_CSP_WHEDA_Fees_Subtotal_State">'14. Project Costs'!$L$72</definedName>
    <definedName name="PC_CSP_WHEDA_Fees_Subtotal_Total">'14. Project Costs'!$F$72</definedName>
    <definedName name="PC_CSP_WHEDA_Legal_4">'14. Project Costs'!$K$69</definedName>
    <definedName name="PC_CSP_WHEDA_Legal_9">'14. Project Costs'!$J$69</definedName>
    <definedName name="PC_CSP_WHEDA_Legal_State">'14. Project Costs'!$L$69</definedName>
    <definedName name="PC_CSP_WHEDA_Legal_Total">'14. Project Costs'!$F$69</definedName>
    <definedName name="PC_CSP_WHEDA_Other_Finan">'14. Project Costs'!$K$68</definedName>
    <definedName name="PC_CSP_WHEDA_Other_Finan_State">'14. Project Costs'!$L$68</definedName>
    <definedName name="PC_CSP_WHEDA_Other_Finan_Total">'14. Project Costs'!$F$68</definedName>
    <definedName name="PC_CST_Accessory_Building">'14. Project Costs'!$K$28</definedName>
    <definedName name="PC_CST_Accessory_Building_State">'14. Project Costs'!$L$28</definedName>
    <definedName name="PC_CST_Accessory_Building_Total">'14. Project Costs'!$F$28</definedName>
    <definedName name="PC_CST_Builders_Overhead">'14. Project Costs'!$K$52</definedName>
    <definedName name="PC_CST_Builders_Overhead_State">'14. Project Costs'!$L$52</definedName>
    <definedName name="PC_CST_Builders_Overhead_Total">'14. Project Costs'!$F$52</definedName>
    <definedName name="PC_CST_Builders_Profit">'14. Project Costs'!$K$53</definedName>
    <definedName name="PC_CST_Builders_Profit_State">'14. Project Costs'!$L$53</definedName>
    <definedName name="PC_CST_Builders_Profit_Total">'14. Project Costs'!$F$53</definedName>
    <definedName name="PC_CST_Builders_Risk_Ins_4">'14. Project Costs'!$K$55</definedName>
    <definedName name="PC_CST_Builders_Risk_Ins_9">'14. Project Costs'!$J$55</definedName>
    <definedName name="PC_CST_Builders_Risk_Ins_State">'14. Project Costs'!$L$55</definedName>
    <definedName name="PC_CST_Builders_Risk_Ins_Total">'14. Project Costs'!$F$55</definedName>
    <definedName name="PC_CST_Building">'14. Project Costs'!$K$19</definedName>
    <definedName name="PC_CST_Building_State">'14. Project Costs'!$L$19</definedName>
    <definedName name="PC_CST_Building_Total">'14. Project Costs'!$F$19</definedName>
    <definedName name="PC_CST_Constr_Mgmt_Fee">'14. Project Costs'!$K$54</definedName>
    <definedName name="PC_CST_Constr_Mgmt_Fee_State">'14. Project Costs'!$L$54</definedName>
    <definedName name="PC_CST_Constr_Mgmt_Fee_Total">'14. Project Costs'!$F$54</definedName>
    <definedName name="PC_CST_Demolition">'14. Project Costs'!$K$41</definedName>
    <definedName name="PC_CST_Demolition_State">'14. Project Costs'!$L$41</definedName>
    <definedName name="PC_CST_Demolition_Total">'14. Project Costs'!$F$41</definedName>
    <definedName name="PC_CST_Earthwork">'14. Project Costs'!$K$42</definedName>
    <definedName name="PC_CST_Earthwork_Other_4">'14. Project Costs'!$K$33</definedName>
    <definedName name="PC_CST_Earthwork_Other_9">'14. Project Costs'!$J$33</definedName>
    <definedName name="PC_CST_Earthwork_Other_State">'14. Project Costs'!$L$33</definedName>
    <definedName name="PC_CST_Earthwork_Other_Total">'14. Project Costs'!$F$33</definedName>
    <definedName name="PC_CST_Earthwork_State">'14. Project Costs'!$L$42</definedName>
    <definedName name="PC_CST_Earthwork_Total">'14. Project Costs'!$F$42</definedName>
    <definedName name="PC_CST_Fixtures_Furn">'14. Project Costs'!$K$46</definedName>
    <definedName name="PC_CST_Fixtures_Furn_State">'14. Project Costs'!$L$46</definedName>
    <definedName name="PC_CST_Fixtures_Furn_Total">'14. Project Costs'!$F$46</definedName>
    <definedName name="PC_CST_General_Requirements">'14. Project Costs'!$K$51</definedName>
    <definedName name="PC_CST_General_Requirements_State">'14. Project Costs'!$L$51</definedName>
    <definedName name="PC_CST_General_Requirements_Total">'14. Project Costs'!$F$51</definedName>
    <definedName name="PC_CST_Lawn_4">'14. Project Costs'!$K$35</definedName>
    <definedName name="PC_CST_Lawn_9">'14. Project Costs'!$J$35</definedName>
    <definedName name="PC_CST_Lawn_Planting">'14. Project Costs'!$K$45</definedName>
    <definedName name="PC_CST_Lawn_Planting_State">'14. Project Costs'!$L$45</definedName>
    <definedName name="PC_CST_Lawn_Planting_Total">'14. Project Costs'!$F$45</definedName>
    <definedName name="PC_CST_Lawn_State">'14. Project Costs'!$L$35</definedName>
    <definedName name="PC_CST_Lawn_Total">'14. Project Costs'!$F$35</definedName>
    <definedName name="PC_CST_New_Constr_Subtotal_4">'14. Project Costs'!$K$31</definedName>
    <definedName name="PC_CST_New_Constr_Subtotal_9">'14. Project Costs'!$J$31</definedName>
    <definedName name="PC_CST_New_Constr_Subtotal_State">'14. Project Costs'!$L$31</definedName>
    <definedName name="PC_CST_New_Constr_Subtotal_Total">'14. Project Costs'!$F$31</definedName>
    <definedName name="PC_CST_Off_Site_Work_4">'14. Project Costs'!$K$38</definedName>
    <definedName name="PC_CST_Off_Site_Work_9">'14. Project Costs'!$J$38</definedName>
    <definedName name="PC_CST_Off_Site_Work_State">'14. Project Costs'!$L$38</definedName>
    <definedName name="PC_CST_Off_Site_Work_Total">'14. Project Costs'!$F$38</definedName>
    <definedName name="PC_CST_OffSite_Subtotal">'14. Project Costs'!$K$39</definedName>
    <definedName name="PC_CST_OffSite_Subtotal_State">'14. Project Costs'!$L$39</definedName>
    <definedName name="PC_CST_OffSite_Subtotal_Total">'14. Project Costs'!$F$39</definedName>
    <definedName name="PC_CST_Other_Contractor_Fee_4">'14. Project Costs'!$K$56</definedName>
    <definedName name="PC_CST_Other_Contractor_Fee_9">'14. Project Costs'!$J$56</definedName>
    <definedName name="PC_CST_Other_Contractor_Fee_State">'14. Project Costs'!$L$56</definedName>
    <definedName name="PC_CST_Other_Contractor_Fee_Total">'14. Project Costs'!$F$56</definedName>
    <definedName name="PC_CST_Other_New_Construction">'14. Project Costs'!$K$30</definedName>
    <definedName name="PC_CST_Other_New_Construction_State">'14. Project Costs'!$L$30</definedName>
    <definedName name="PC_CST_Other_New_Construction_Total">'14. Project Costs'!$F$30</definedName>
    <definedName name="PC_CST_Other_Site_Work">'14. Project Costs'!$K$48</definedName>
    <definedName name="PC_CST_Other_Site_Work_State">'14. Project Costs'!$L$48</definedName>
    <definedName name="PC_CST_Other_Site_Work_Total">'14. Project Costs'!$F$48</definedName>
    <definedName name="PC_CST_Personal_Property">'14. Project Costs'!$K$29</definedName>
    <definedName name="PC_CST_Personal_Property_State">'14. Project Costs'!$L$29</definedName>
    <definedName name="PC_CST_Personal_Property_Total">'14. Project Costs'!$F$29</definedName>
    <definedName name="PC_CST_Roads_4">'14. Project Costs'!$K$37</definedName>
    <definedName name="PC_CST_Roads_9">'14. Project Costs'!$J$37</definedName>
    <definedName name="PC_CST_Roads_State">'14. Project Costs'!$L$37</definedName>
    <definedName name="PC_CST_Roads_Total">'14. Project Costs'!$F$37</definedName>
    <definedName name="PC_CST_Roads_Walks_4">'14. Project Costs'!$K$43</definedName>
    <definedName name="PC_CST_Roads_Walks_9">'14. Project Costs'!$J$43</definedName>
    <definedName name="PC_CST_Roads_Walks_State">'14. Project Costs'!$L$43</definedName>
    <definedName name="PC_CST_Roads_Walks_Total">'14. Project Costs'!$F$43</definedName>
    <definedName name="PC_CST_Site_Subtotal_4">'14. Project Costs'!$K$49</definedName>
    <definedName name="PC_CST_Site_Subtotal_9">'14. Project Costs'!$J$49</definedName>
    <definedName name="PC_CST_Site_Subtotal_State">'14. Project Costs'!$L$49</definedName>
    <definedName name="PC_CST_Site_Subtotal_Total">'14. Project Costs'!$F$49</definedName>
    <definedName name="PC_CST_Site_Utilities_4">'14. Project Costs'!$K$44</definedName>
    <definedName name="PC_CST_Site_Utilities_9">'14. Project Costs'!$J$44</definedName>
    <definedName name="PC_CST_Site_Utilities_State">'14. Project Costs'!$L$44</definedName>
    <definedName name="PC_CST_Site_Utilities_Total">'14. Project Costs'!$F$44</definedName>
    <definedName name="PC_CST_Unusual_SC_4">'14. Project Costs'!$K$47</definedName>
    <definedName name="PC_CST_Unusual_SC_9">'14. Project Costs'!$J$47</definedName>
    <definedName name="PC_CST_Unusual_SC_State">'14. Project Costs'!$L$47</definedName>
    <definedName name="PC_CST_Unusual_SC_Total">'14. Project Costs'!$F$47</definedName>
    <definedName name="PC_CST_Unusual_Site_4">'14. Project Costs'!$K$36</definedName>
    <definedName name="PC_CST_Unusual_Site_9">'14. Project Costs'!$J$36</definedName>
    <definedName name="PC_CST_Unusual_Site_State">'14. Project Costs'!$L$36</definedName>
    <definedName name="PC_CST_Unusual_Site_Total">'14. Project Costs'!$F$36</definedName>
    <definedName name="PC_CST_Utilities_4">'14. Project Costs'!$K$34</definedName>
    <definedName name="PC_CST_Utilities_9">'14. Project Costs'!$J$34</definedName>
    <definedName name="PC_CST_Utilities_State">'14. Project Costs'!$L$34</definedName>
    <definedName name="PC_CST_Utilities_Total">'14. Project Costs'!$F$34</definedName>
    <definedName name="PC_DEV_Consult_Agent_4">'14. Project Costs'!$K$170</definedName>
    <definedName name="PC_DEV_Consult_Agent_9">'14. Project Costs'!$J$170</definedName>
    <definedName name="PC_DEV_Consult_Agent_State">'14. Project Costs'!$L$170</definedName>
    <definedName name="PC_DEV_Consult_Agent_Total">'14. Project Costs'!$F$170</definedName>
    <definedName name="PC_DEV_Dev_Fee_Deferred_4">'14. Project Costs'!$K$168</definedName>
    <definedName name="PC_DEV_Dev_Fee_Deferred_9">'14. Project Costs'!$J$168</definedName>
    <definedName name="PC_DEV_Dev_Fee_Deferred_State">'14. Project Costs'!$L$168</definedName>
    <definedName name="PC_DEV_Dev_Fee_Deferred_Total">'14. Project Costs'!$F$168</definedName>
    <definedName name="PC_DEV_Dev_Fee_Received_4">'14. Project Costs'!$K$167</definedName>
    <definedName name="PC_DEV_Dev_Fee_Received_9">'14. Project Costs'!$J$167</definedName>
    <definedName name="PC_DEV_Dev_Fee_Received_State">'14. Project Costs'!$L$167</definedName>
    <definedName name="PC_DEV_Dev_Fee_Received_Total">'14. Project Costs'!$F$167</definedName>
    <definedName name="PC_DEV_Dev_Overhead_4">'14. Project Costs'!$K$169</definedName>
    <definedName name="PC_DEV_Dev_Overhead_9">'14. Project Costs'!$J$169</definedName>
    <definedName name="PC_DEV_Dev_Overhead_State">'14. Project Costs'!$L$169</definedName>
    <definedName name="PC_DEV_Dev_Overhead_Total">'14. Project Costs'!$F$169</definedName>
    <definedName name="PC_DEV_Developer_Costs_Subtotal_Total">'14. Project Costs'!$F$172</definedName>
    <definedName name="PC_DEV_Other_Dev_Fees_4">'14. Project Costs'!$K$171</definedName>
    <definedName name="PC_DEV_Other_Dev_Fees_9">'14. Project Costs'!$J$171</definedName>
    <definedName name="PC_DEV_Other_Dev_Fees_State">'14. Project Costs'!$L$171</definedName>
    <definedName name="PC_DEV_Other_Dev_Fees_Total">'14. Project Costs'!$F$171</definedName>
    <definedName name="PC_FIN_Credit_Enhance_Perm_Loan_Total">'14. Project Costs'!$F$105</definedName>
    <definedName name="PC_FIN_Legal_Fees_RE_Total">'14. Project Costs'!$F$108</definedName>
    <definedName name="PC_FIN_Other_Perm_Finan_Total">'14. Project Costs'!$F$109</definedName>
    <definedName name="PC_FIN_Perm_Closing_Property_Total">'14. Project Costs'!$F$107</definedName>
    <definedName name="PC_FIN_Perm_Closing_Title_Total">'14. Project Costs'!$F$106</definedName>
    <definedName name="PC_FIN_Perm_Lender_Finan_Total">'14. Project Costs'!$F$101</definedName>
    <definedName name="PC_FIN_Perm_Lender_Legal_Total">'14. Project Costs'!$F$104</definedName>
    <definedName name="PC_FIN_Perm_Lender_Orig_Total">'14. Project Costs'!$F$103</definedName>
    <definedName name="PC_FIN_Permanent_Loan_Fees_Subtotal_4">'14. Project Costs'!$K$110</definedName>
    <definedName name="PC_FIN_Permanent_Loan_Fees_Subtotal_9">'14. Project Costs'!$J$110</definedName>
    <definedName name="PC_FIN_Permanent_Loan_Fees_Subtotal_State">'14. Project Costs'!$L$110</definedName>
    <definedName name="PC_FIN_Permanent_Loan_Fees_Subtotal_Total">'14. Project Costs'!$F$110</definedName>
    <definedName name="PC_FIN_WHEDA_Perm_Loan_Total">'14. Project Costs'!$F$102</definedName>
    <definedName name="PC_OLD_Applicable_Fraction_9">'14. Project Costs'!$G$186</definedName>
    <definedName name="PC_OLD_Applicable_Fraction_State">'14. Project Costs'!$I$186</definedName>
    <definedName name="PC_OLD_Equity_Gap_4">'14. Project Costs'!$G$201</definedName>
    <definedName name="PC_OLD_Equity_Gap_State">'14. Project Costs'!$I$201</definedName>
    <definedName name="PC_OLD_Fed_Applicable_Fraction">'14. Project Costs'!$G$186</definedName>
    <definedName name="PC_OLD_Fed_Total_Eligible_Basis">'14. Project Costs'!$G$181</definedName>
    <definedName name="PC_OLD_Tax_Credits_Requested_4">'14. Project Costs'!$G$212</definedName>
    <definedName name="PC_OLD_Tax_Credits_Requested_State">'14. Project Costs'!$I$212</definedName>
    <definedName name="PC_RPT_Additonal_Reports_Subtotal_4">'14. Project Costs'!$K$148</definedName>
    <definedName name="PC_RPT_Additonal_Reports_Subtotal_9">'14. Project Costs'!$J$149</definedName>
    <definedName name="PC_RPT_Additonal_Reports_Subtotal_State">'14. Project Costs'!$L$149</definedName>
    <definedName name="PC_RPT_Additonal_Reports_Subtotal_Total">'14. Project Costs'!$F$148</definedName>
    <definedName name="PC_RPT_Appraisals_4">'14. Project Costs'!$K$136</definedName>
    <definedName name="PC_RPT_Appraisals_9">'14. Project Costs'!$J$136</definedName>
    <definedName name="PC_RPT_Appraisals_State">'14. Project Costs'!$L$136</definedName>
    <definedName name="PC_RPT_Appraisals_Total">'14. Project Costs'!$F$136</definedName>
    <definedName name="PC_RPT_Boundry_4">'14. Project Costs'!$K$144</definedName>
    <definedName name="PC_RPT_Boundry_9">'14. Project Costs'!$J$144</definedName>
    <definedName name="PC_RPT_Boundry_State">'14. Project Costs'!$L$144</definedName>
    <definedName name="PC_RPT_Boundry_Total">'14. Project Costs'!$F$144</definedName>
    <definedName name="PC_RPT_Environmental_Review_4">'14. Project Costs'!$K$142</definedName>
    <definedName name="PC_RPT_Environmental_Review_9">'14. Project Costs'!$J$142</definedName>
    <definedName name="PC_RPT_Environmental_Review_State">'14. Project Costs'!$L$142</definedName>
    <definedName name="PC_RPT_Environmental_Review_Total">'14. Project Costs'!$F$142</definedName>
    <definedName name="PC_RPT_Environmental_Study_4">'14. Project Costs'!$K$139</definedName>
    <definedName name="PC_RPT_Environmental_Study_9">'14. Project Costs'!$J$139</definedName>
    <definedName name="PC_RPT_Environmental_Study_State">'14. Project Costs'!$L$139</definedName>
    <definedName name="PC_RPT_Environmental_Study_Total">'14. Project Costs'!$F$139</definedName>
    <definedName name="PC_RPT_Market_Study_4">'14. Project Costs'!$K$137</definedName>
    <definedName name="PC_RPT_Market_Study_9">'14. Project Costs'!$J$137</definedName>
    <definedName name="PC_RPT_Market_Study_State">'14. Project Costs'!$L$137</definedName>
    <definedName name="PC_RPT_Market_Study_Total">'14. Project Costs'!$F$137</definedName>
    <definedName name="PC_RPT_Other_Reports_4">'14. Project Costs'!$K$147</definedName>
    <definedName name="PC_RPT_Other_Reports_9">'14. Project Costs'!$J$147</definedName>
    <definedName name="PC_RPT_Other_Reports_State">'14. Project Costs'!$L$147</definedName>
    <definedName name="PC_RPT_Other_Reports_Total">'14. Project Costs'!$F$147</definedName>
    <definedName name="PC_RPT_Other_Zoning_Fees_4">'14. Project Costs'!$K$146</definedName>
    <definedName name="PC_RPT_Other_Zoning_Fees_9">'14. Project Costs'!$J$146</definedName>
    <definedName name="PC_RPT_Other_Zoning_Fees_State">'14. Project Costs'!$L$146</definedName>
    <definedName name="PC_RPT_Other_Zoning_Fees_Total">'14. Project Costs'!$F$146</definedName>
    <definedName name="PC_RPT_Physical_Capital_4">'14. Project Costs'!$K$138</definedName>
    <definedName name="PC_RPT_Physical_Capital_9">'14. Project Costs'!$J$138</definedName>
    <definedName name="PC_RPT_Physical_Capital_State">'14. Project Costs'!$L$138</definedName>
    <definedName name="PC_RPT_Physical_Capital_Total">'14. Project Costs'!$F$138</definedName>
    <definedName name="PC_RPT_Soils_4">'14. Project Costs'!$K$143</definedName>
    <definedName name="PC_RPT_Soils_9">'14. Project Costs'!$J$143</definedName>
    <definedName name="PC_RPT_Soils_State">'14. Project Costs'!$L$143</definedName>
    <definedName name="PC_RPT_Soils_Total">'14. Project Costs'!$F$143</definedName>
    <definedName name="PC_RPT_Third_Party_Review_4">'14. Project Costs'!$K$145</definedName>
    <definedName name="PC_RPT_Third_Party_Review_9">'14. Project Costs'!$J$145</definedName>
    <definedName name="PC_RPT_Third_Party_Review_State">'14. Project Costs'!$L$145</definedName>
    <definedName name="PC_RPT_Third_Party_Review_Total">'14. Project Costs'!$F$145</definedName>
    <definedName name="PC_SFT_Accting_Fees_4">'14. Project Costs'!$K$159</definedName>
    <definedName name="PC_SFT_Accting_Fees_9">'14. Project Costs'!$J$159</definedName>
    <definedName name="PC_SFT_Accting_Fees_State">'14. Project Costs'!$L$159</definedName>
    <definedName name="PC_SFT_Accting_Fees_Total">'14. Project Costs'!$F$159</definedName>
    <definedName name="PC_SFT_Developer_Costs_Subtotal_4">'14. Project Costs'!$K$164</definedName>
    <definedName name="PC_SFT_Developer_Costs_Subtotal_9">'14. Project Costs'!$J$164</definedName>
    <definedName name="PC_SFT_Developer_Costs_Subtotal_State">'14. Project Costs'!$L$164</definedName>
    <definedName name="PC_SFT_HTC_Fees_Total">'14. Project Costs'!$F$151</definedName>
    <definedName name="PC_SFT_LIHTC_App_Fees_Total">'14. Project Costs'!$F$152</definedName>
    <definedName name="PC_SFT_LIHTC_Monitoring_Fees_Total">'14. Project Costs'!$F$154</definedName>
    <definedName name="PC_SFT_LIHTC_Reserv_Fees_Total">'14. Project Costs'!$F$153</definedName>
    <definedName name="PC_SFT_Local_Bldg_Permit_4">'14. Project Costs'!$K$155</definedName>
    <definedName name="PC_SFT_Local_Bldg_Permit_9">'14. Project Costs'!$J$155</definedName>
    <definedName name="PC_SFT_Local_Bldg_Permit_State">'14. Project Costs'!$L$155</definedName>
    <definedName name="PC_SFT_Local_Bldg_Permit_Total">'14. Project Costs'!$F$155</definedName>
    <definedName name="PC_SFT_Net_Local_Dev_4">'14. Project Costs'!$K$157</definedName>
    <definedName name="PC_SFT_Net_Local_Dev_9">'14. Project Costs'!$J$157</definedName>
    <definedName name="PC_SFT_Net_Local_Dev_State">'14. Project Costs'!$L$157</definedName>
    <definedName name="PC_SFT_Net_Local_Dev_Total">'14. Project Costs'!$F$157</definedName>
    <definedName name="PC_SFT_Other_Misc_Costs_4">'14. Project Costs'!$K$163</definedName>
    <definedName name="PC_SFT_Other_Misc_Costs_9">'14. Project Costs'!$J$163</definedName>
    <definedName name="PC_SFT_Other_Misc_Costs_State">'14. Project Costs'!$L$163</definedName>
    <definedName name="PC_SFT_Other_Misc_Costs_Total">'14. Project Costs'!$F$163</definedName>
    <definedName name="PC_SFT_Other_SC_Subtotal_4">'14. Project Costs'!$K$164</definedName>
    <definedName name="PC_SFT_Other_SC_Subtotal_9">'14. Project Costs'!$J$164</definedName>
    <definedName name="PC_SFT_Other_SC_Subtotal_State">'14. Project Costs'!$L$164</definedName>
    <definedName name="PC_SFT_Other_SC_Subtotal_Total">'14. Project Costs'!$F$164</definedName>
    <definedName name="PC_SFT_Water_Sewer_4">'14. Project Costs'!$K$156</definedName>
    <definedName name="PC_SFT_Water_Sewer_9">'14. Project Costs'!$J$156</definedName>
    <definedName name="PC_SFT_Water_Sewer_State">'14. Project Costs'!$L$156</definedName>
    <definedName name="PC_SFT_Water_Sewer_Total">'14. Project Costs'!$F$156</definedName>
    <definedName name="PC_SYN_Organ_Legal_Fees_Total">'14. Project Costs'!$F$119</definedName>
    <definedName name="PC_SYN_Other_Syn_Costs_Total">'14. Project Costs'!$F$120</definedName>
    <definedName name="PC_SYN_Other_Syn_Fees_Total">'14. Project Costs'!$F$122</definedName>
    <definedName name="PC_SYN_Syndication_Fee_Subtotal_4">'14. Project Costs'!$K$123</definedName>
    <definedName name="PC_SYN_Syndication_Fee_Subtotal_9">'14. Project Costs'!$J$123</definedName>
    <definedName name="PC_SYN_Syndication_Fee_Subtotal_State">'14. Project Costs'!$L$123</definedName>
    <definedName name="PC_SYN_Syndication_Fee_Subtotal_Total">'14. Project Costs'!$F$123</definedName>
    <definedName name="PC_SYN_Tax_Opinion_Total">'14. Project Costs'!$F$121</definedName>
    <definedName name="Per_Unit_Per_Month">'16. Projected Operating Costs'!$D$90</definedName>
    <definedName name="Permanent_Financing">'12. Funding Sources'!$E$56</definedName>
    <definedName name="Permanently_Displaced">'6. Site Description'!$E$30</definedName>
    <definedName name="Picnic_Area">'10. Project and Unit Amenities'!$J$32</definedName>
    <definedName name="Playground">'10. Project and Unit Amenities'!$G$34</definedName>
    <definedName name="Political_Jurisdiction">'3. Project Location'!$D$19</definedName>
    <definedName name="Pool">'10. Project and Unit Amenities'!$J$33</definedName>
    <definedName name="Principal1_Address">'9. Ownership and Project Team'!$C$23</definedName>
    <definedName name="Principal1_City">'9. Ownership and Project Team'!$C$24</definedName>
    <definedName name="Principal1_Email">'9. Ownership and Project Team'!$I$25</definedName>
    <definedName name="Principal1_First_Name">'9. Ownership and Project Team'!$C$22</definedName>
    <definedName name="Principal1_Last_Name">'9. Ownership and Project Team'!$F$22</definedName>
    <definedName name="Principal1_State">'9. Ownership and Project Team'!$F$24</definedName>
    <definedName name="Principal1_Telephone">'9. Ownership and Project Team'!$C$25</definedName>
    <definedName name="Principal1_Zip">'9. Ownership and Project Team'!$I$24</definedName>
    <definedName name="Principal2_Address">'9. Ownership and Project Team'!$C$34</definedName>
    <definedName name="Principal2_City">'9. Ownership and Project Team'!$C$35</definedName>
    <definedName name="Principal2_Email">'9. Ownership and Project Team'!$I$36</definedName>
    <definedName name="Principal2_First_Name">'9. Ownership and Project Team'!$C$33</definedName>
    <definedName name="Principal2_Last_Name">'9. Ownership and Project Team'!$F$33</definedName>
    <definedName name="Principal2_State">'9. Ownership and Project Team'!$F$35</definedName>
    <definedName name="Principal2_Telephone">'9. Ownership and Project Team'!$C$36</definedName>
    <definedName name="Principal2_Zip">'9. Ownership and Project Team'!$I$35</definedName>
    <definedName name="Principal3_Address">'9. Ownership and Project Team'!$C$45</definedName>
    <definedName name="Principal3_City">'9. Ownership and Project Team'!$C$46</definedName>
    <definedName name="Principal3_Email">'9. Ownership and Project Team'!$I$47</definedName>
    <definedName name="Principal3_First_Name">'9. Ownership and Project Team'!$C$44</definedName>
    <definedName name="Principal3_Last_Name">'9. Ownership and Project Team'!$F$44</definedName>
    <definedName name="Principal3_State">'9. Ownership and Project Team'!$F$46</definedName>
    <definedName name="Principal3_Telephone">'9. Ownership and Project Team'!$C$47</definedName>
    <definedName name="Principal3_Zip">'9. Ownership and Project Team'!$I$46</definedName>
    <definedName name="_xlnm.Print_Area" localSheetId="5">'1. TOC'!$B$1:$R$40</definedName>
    <definedName name="_xlnm.Print_Area" localSheetId="14">'10. Project and Unit Amenities'!$B$1:$K$95</definedName>
    <definedName name="_xlnm.Print_Area" localSheetId="17">'11. Unit Mix'!$B$1:$W$171</definedName>
    <definedName name="_xlnm.Print_Area" localSheetId="18">'12. Funding Sources'!$A$1:$N$105</definedName>
    <definedName name="_xlnm.Print_Area" localSheetId="19">'13. Construction Cost SOV'!$B$1:$AP$425</definedName>
    <definedName name="_xlnm.Print_Area" localSheetId="20">'14. Project Costs'!$A$1:$O$236</definedName>
    <definedName name="_xlnm.Print_Area" localSheetId="21">'15. Credit Calculation'!$B$1:$R$73</definedName>
    <definedName name="_xlnm.Print_Area" localSheetId="22">'16. Projected Operating Costs'!$A$1:$H$117</definedName>
    <definedName name="_xlnm.Print_Area" localSheetId="23">'17. Cash Flow and Reserves'!$A$1:$AM$204</definedName>
    <definedName name="_xlnm.Print_Area" localSheetId="24">'18. Max Cost Model'!$A$1:$O$75</definedName>
    <definedName name="_xlnm.Print_Area" localSheetId="25">'19. Construction Draw Schedule'!$B$1:$AK$269</definedName>
    <definedName name="_xlnm.Print_Area" localSheetId="6">'2. Project Summary'!$A$1:$V$154</definedName>
    <definedName name="_xlnm.Print_Area" localSheetId="26">'20. Instructions Scoring Sum'!$B$1:$J$46</definedName>
    <definedName name="_xlnm.Print_Area" localSheetId="27">'21. Location Score'!$A$1:$R$215</definedName>
    <definedName name="_xlnm.Print_Area" localSheetId="28">'22. Tenants Served Score'!$A$1:$P$147</definedName>
    <definedName name="_xlnm.Print_Area" localSheetId="29">'23. Building Design Score'!$A$1:$Q$267</definedName>
    <definedName name="_xlnm.Print_Area" localSheetId="30">'24. Development Process Score'!$A$1:$V$138</definedName>
    <definedName name="_xlnm.Print_Area" localSheetId="7">'3. Project Location'!$B$1:$J$50</definedName>
    <definedName name="_xlnm.Print_Area" localSheetId="8">'4. Project Description'!$A$1:$H$114</definedName>
    <definedName name="_xlnm.Print_Area" localSheetId="9">'5. Applicant Information'!$B$1:$J$99</definedName>
    <definedName name="_xlnm.Print_Area" localSheetId="10">'6. Site Description'!$B$1:$I$121</definedName>
    <definedName name="_xlnm.Print_Area" localSheetId="11">'7. Site Control'!$A$1:$K$101</definedName>
    <definedName name="_xlnm.Print_Area" localSheetId="12">'8. Zoning'!$B$1:$I$54</definedName>
    <definedName name="_xlnm.Print_Area" localSheetId="13">'9. Ownership and Project Team'!$B$1:$J$185</definedName>
    <definedName name="_xlnm.Print_Area" localSheetId="39">'ACR Form'!$A$1:$R$50</definedName>
    <definedName name="_xlnm.Print_Area" localSheetId="32">'Self Scoring Checklist'!$B$1:$N$42</definedName>
    <definedName name="_xlnm.Print_Area" localSheetId="16">'State HTC Gap'!$A$1:$L$55</definedName>
    <definedName name="_xlnm.Print_Area" localSheetId="34">'Tax Credit Signatures'!$A$1:$T$56</definedName>
    <definedName name="_xlnm.Print_Area" localSheetId="31">'Threshold Checklist'!$B$1:$N$39</definedName>
    <definedName name="_xlnm.Print_Area" localSheetId="33">'WHEDA Loan Signatures'!$A$1:$T$40</definedName>
    <definedName name="Project_and_Unit_Amenities">'10. Project and Unit Amenities'!$B$4</definedName>
    <definedName name="Project_Cash_Flow">'17. Cash Flow and Reserves'!$B$4</definedName>
    <definedName name="Project_Costs_and_Credit_Calculation">'14. Project Costs'!$B$4</definedName>
    <definedName name="Project_Description">'4. Project Description'!$B$4</definedName>
    <definedName name="Project_Name">'3. Project Location'!$D$6</definedName>
    <definedName name="Project_Name_and_Location">'3. Project Location'!$B$4</definedName>
    <definedName name="Project_SOV">'13. Construction Cost SOV'!$B$4</definedName>
    <definedName name="Project_Summary_Tab">'2. Project Summary'!$B$4</definedName>
    <definedName name="Project_Team">'9. Ownership and Project Team'!$B$54</definedName>
    <definedName name="Project_Type">'4. Project Description'!$D$6</definedName>
    <definedName name="ProjectBasedVASHRuralNoOfUnits" localSheetId="6">'2. Project Summary'!$P$46</definedName>
    <definedName name="Projected_Operating_Costs">'16. Projected Operating Costs'!$B$4</definedName>
    <definedName name="ProjectType" localSheetId="27">'Dropdown Lists'!$D$2:$D$8</definedName>
    <definedName name="ProjectType" localSheetId="28">'Dropdown Lists'!$D$2:$D$8</definedName>
    <definedName name="ProjectType" localSheetId="29">'Dropdown Lists'!$D$2:$D$8</definedName>
    <definedName name="ProjectType" localSheetId="30">'Dropdown Lists'!$D$2:$D$8</definedName>
    <definedName name="ProjectType">'Dropdown Lists'!$D$2:$D$8</definedName>
    <definedName name="Property_address">'3. Project Location'!$D$8</definedName>
    <definedName name="Property_and_Liability_Insurance__Hazard">'16. Projected Operating Costs'!$D$52</definedName>
    <definedName name="Property_Census_Tract">'3. Project Location'!$D$14</definedName>
    <definedName name="Property_City">'3. Project Location'!$D$11</definedName>
    <definedName name="Property_County">'3. Project Location'!$D$12</definedName>
    <definedName name="Property_Description">'6. Site Description'!$E$55</definedName>
    <definedName name="Property_Score">'23. Building Design Score'!$B$4</definedName>
    <definedName name="Property_State">'3. Project Location'!$F$11</definedName>
    <definedName name="Property_Zip_Code">'3. Project Location'!$F$12</definedName>
    <definedName name="Range_Hood">'10. Project and Unit Amenities'!$G$59</definedName>
    <definedName name="Range_Oven">'10. Project and Unit Amenities'!$D$59</definedName>
    <definedName name="Rate_1">'12. Funding Sources'!$K$11</definedName>
    <definedName name="Rate_10">'12. Funding Sources'!$K$20</definedName>
    <definedName name="Rate_11">'12. Funding Sources'!$K$21</definedName>
    <definedName name="Rate_12">'12. Funding Sources'!$K$22</definedName>
    <definedName name="Rate_13">'12. Funding Sources'!$K$23</definedName>
    <definedName name="Rate_2">'12. Funding Sources'!$K$12</definedName>
    <definedName name="Rate_3">'12. Funding Sources'!$K$13</definedName>
    <definedName name="Rate_4">'12. Funding Sources'!$K$14</definedName>
    <definedName name="Rate_5">'12. Funding Sources'!$K$15</definedName>
    <definedName name="Rate_6">'12. Funding Sources'!$K$16</definedName>
    <definedName name="Rate_7">'12. Funding Sources'!$K$17</definedName>
    <definedName name="Rate_8">'12. Funding Sources'!$K$18</definedName>
    <definedName name="Rate_9">'12. Funding Sources'!$K$19</definedName>
    <definedName name="RCAC">'4. Project Description'!$D$42</definedName>
    <definedName name="RCAC_Number_of_Units">'4. Project Description'!$F$42</definedName>
    <definedName name="RD_Rental_Assistance">'4. Project Description'!$D$18</definedName>
    <definedName name="RD_Rental_Assistance_Number_of_Units">'4. Project Description'!$F$18</definedName>
    <definedName name="Readiness_to_Proceed_Points">'20. Instructions Scoring Sum'!$G$41</definedName>
    <definedName name="Reading_Room_Library">'10. Project and Unit Amenities'!$D$31</definedName>
    <definedName name="Real_Estate___Personal_Property__Taxes">'16. Projected Operating Costs'!$D$51</definedName>
    <definedName name="Recreation_Rehab">'16. Projected Operating Costs'!$D$78</definedName>
    <definedName name="Refrigerator">'10. Project and Unit Amenities'!$G$60</definedName>
    <definedName name="Registerd_Nurse_Salary">'16. Projected Operating Costs'!$D$64</definedName>
    <definedName name="Rehab_Neighborhood_Points">'20. Instructions Scoring Sum'!$G$27</definedName>
    <definedName name="Rehab_Neighborhood_Stabilization">'21. Location Score'!$B$155</definedName>
    <definedName name="Rehab_Purchased_Serv">'16. Projected Operating Costs'!$D$83</definedName>
    <definedName name="Rehab_Salaries">'16. Projected Operating Costs'!$D$81</definedName>
    <definedName name="Rehab_Supplies">'16. Projected Operating Costs'!$D$82</definedName>
    <definedName name="Rehabilitation_expenditures_allocable_to_low_income_units">'7. Site Control'!$D$30</definedName>
    <definedName name="Rent_Surface_Parking">'10. Project and Unit Amenities'!$J$23</definedName>
    <definedName name="Rent_Underground_Parking">'10. Project and Unit Amenities'!$J$24</definedName>
    <definedName name="Rental">'4. Project Description'!$D$79</definedName>
    <definedName name="Rental_Targeted_For_Eventual_Resident_Ownership">'4. Project Description'!$D$80</definedName>
    <definedName name="Replacement_Reserves">'17. Cash Flow and Reserves'!$B$169</definedName>
    <definedName name="Resident_Computer_Center">'10. Project and Unit Amenities'!$D$30</definedName>
    <definedName name="Revitalization">'3. Project Location'!$D$16</definedName>
    <definedName name="Row_House_Town_House">'4. Project Description'!$D$65</definedName>
    <definedName name="rural_area_points">'ProLink Mapping'!$C$624</definedName>
    <definedName name="Rural_Areas_Points">'20. Instructions Scoring Sum'!$G$42</definedName>
    <definedName name="RuralDevNoOfUnits" localSheetId="6">'2. Project Summary'!$P$45</definedName>
    <definedName name="Screened_Porch">'10. Project and Unit Amenities'!$G$29</definedName>
    <definedName name="SD_17_G_0" localSheetId="7" hidden="1">ProLink!$F$4</definedName>
    <definedName name="SD_34x1_102_S_0" localSheetId="4" hidden="1">ProLink!$F$49</definedName>
    <definedName name="SD_34x1_109_S_0" localSheetId="4" hidden="1">'ProLink Mapping'!$C$604</definedName>
    <definedName name="SD_34x1_110_S_0" localSheetId="4" hidden="1">'ProLink Mapping'!$C$605</definedName>
    <definedName name="SD_34x1_114_S_0" localSheetId="4" hidden="1">'ProLink Mapping'!$D$526</definedName>
    <definedName name="SD_34x1_115_S_0" localSheetId="4" hidden="1">'ProLink Mapping'!$C$530</definedName>
    <definedName name="SD_34x1_116_S_0" localSheetId="4" hidden="1">'ProLink Mapping'!$C$531</definedName>
    <definedName name="SD_34x1_117_S_0" localSheetId="4" hidden="1">'ProLink Mapping'!$C$532</definedName>
    <definedName name="SD_34x1_118_S_0" localSheetId="4" hidden="1">'ProLink Mapping'!$D$535</definedName>
    <definedName name="SD_34x1_119_S_0" localSheetId="4" hidden="1">'ProLink Mapping'!$C$536</definedName>
    <definedName name="SD_34x1_120_S_0" localSheetId="4" hidden="1">'ProLink Mapping'!$C$537</definedName>
    <definedName name="SD_34x1_121_S_0" localSheetId="4" hidden="1">'ProLink Mapping'!$C$538</definedName>
    <definedName name="SD_34x1_122_S_0" localSheetId="4" hidden="1">'ProLink Mapping'!$C$539</definedName>
    <definedName name="SD_34x1_123_S_0" localSheetId="4" hidden="1">'ProLink Mapping'!$C$540</definedName>
    <definedName name="SD_34x1_124_S_0" localSheetId="4" hidden="1">'ProLink Mapping'!$C$527</definedName>
    <definedName name="SD_34x1_125_S_0" localSheetId="4" hidden="1">'ProLink Mapping'!$C$541</definedName>
    <definedName name="SD_34x1_126_S_0" localSheetId="4" hidden="1">'ProLink Mapping'!$D$543</definedName>
    <definedName name="SD_34x1_127_S_0" localSheetId="4" hidden="1">'ProLink Mapping'!$C$546</definedName>
    <definedName name="SD_34x1_128_S_0" localSheetId="4" hidden="1">'ProLink Mapping'!$C$547</definedName>
    <definedName name="SD_34x1_129_S_0" localSheetId="4" hidden="1">'ProLink Mapping'!$C$548</definedName>
    <definedName name="SD_34x1_130_S_0" localSheetId="4" hidden="1">'ProLink Mapping'!$C$549</definedName>
    <definedName name="SD_34x1_131_S_0" localSheetId="4" hidden="1">'ProLink Mapping'!$C$550</definedName>
    <definedName name="SD_34x1_136_S_0" localSheetId="4" hidden="1">'ProLink Mapping'!$C$558</definedName>
    <definedName name="SD_34x1_137_S_0" localSheetId="4" hidden="1">'ProLink Mapping'!$C$559</definedName>
    <definedName name="SD_34x1_139_S_0" localSheetId="4" hidden="1">'ProLink Mapping'!$C$555</definedName>
    <definedName name="SD_34x1_140_S_0" localSheetId="4" hidden="1">'ProLink Mapping'!$C$556</definedName>
    <definedName name="SD_34x1_141_S_0" localSheetId="4" hidden="1">'ProLink Mapping'!$C$554</definedName>
    <definedName name="SD_34x1_145_S_0" localSheetId="4" hidden="1">'ProLink Mapping'!$C$561</definedName>
    <definedName name="SD_34x1_147_S_0" localSheetId="4" hidden="1">'ProLink Mapping'!$C$562</definedName>
    <definedName name="SD_34x1_150_S_0" localSheetId="4" hidden="1">'ProLink Mapping'!$D$602</definedName>
    <definedName name="SD_34x1_151_S_0" localSheetId="4" hidden="1">'ProLink Mapping'!$C$567</definedName>
    <definedName name="SD_34x1_152_S_0" localSheetId="4" hidden="1">'ProLink Mapping'!$C$570</definedName>
    <definedName name="SD_34x1_153_S_0" localSheetId="4" hidden="1">'ProLink Mapping'!$C$569</definedName>
    <definedName name="SD_34x1_154_S_0" localSheetId="4" hidden="1">'ProLink Mapping'!$C$568</definedName>
    <definedName name="SD_34x1_155_S_0" localSheetId="4" hidden="1">'ProLink Mapping'!$C$571</definedName>
    <definedName name="SD_34x1_156_S_0" localSheetId="4" hidden="1">'ProLink Mapping'!$C$572</definedName>
    <definedName name="SD_34x1_157_S_0" localSheetId="4" hidden="1">'ProLink Mapping'!$C$573</definedName>
    <definedName name="SD_34x1_158_S_0" localSheetId="4" hidden="1">'ProLink Mapping'!$C$574</definedName>
    <definedName name="SD_34x1_178_S_0" localSheetId="4" hidden="1">'ProLink Mapping'!$B$509</definedName>
    <definedName name="SD_34x1_179_S_0" localSheetId="4" hidden="1">'ProLink Mapping'!$C$126</definedName>
    <definedName name="SD_34x1_20_S_0" localSheetId="4" hidden="1">'ProLink Mapping'!$C$53</definedName>
    <definedName name="SD_34x1_21_S_0" localSheetId="4" hidden="1">ProLink!$F$14</definedName>
    <definedName name="SD_34x1_212_S_0" localSheetId="4" hidden="1">ProLink!$F$55</definedName>
    <definedName name="SD_34x1_216_S_0" localSheetId="4" hidden="1">ProLink!$F$57</definedName>
    <definedName name="SD_34x1_23_S_0" localSheetId="4" hidden="1">ProLink!$F$15</definedName>
    <definedName name="SD_34x1_234_S_0" localSheetId="4" hidden="1">ProLink!$F$59</definedName>
    <definedName name="SD_34x1_237_S_0" localSheetId="4" hidden="1">ProLink!$F$66</definedName>
    <definedName name="SD_34x1_24_S_0" localSheetId="4" hidden="1">ProLink!$F$18</definedName>
    <definedName name="SD_34x1_26_S_0" localSheetId="4" hidden="1">ProLink!$F$20</definedName>
    <definedName name="SD_34x1_27_S_0" localSheetId="3" hidden="1">ProLink!$F$19</definedName>
    <definedName name="SD_34x1_28_S_0" localSheetId="3" hidden="1">ProLink!$F$21</definedName>
    <definedName name="SD_34x1_29_S_0" localSheetId="4" hidden="1">ProLink!$F$23</definedName>
    <definedName name="SD_34x1_312_G_0" localSheetId="3" hidden="1">ProLink!$F$275</definedName>
    <definedName name="SD_34x1_32_S_0" localSheetId="3" hidden="1">ProLink!$F$37</definedName>
    <definedName name="SD_34x1_337_S_1" localSheetId="4" hidden="1">ProLink!$F$16</definedName>
    <definedName name="SD_34x1_339_S_1" localSheetId="4" hidden="1">ProLink!$F$17</definedName>
    <definedName name="SD_34x1_34_S_0" localSheetId="3" hidden="1">ProLink!$F$36</definedName>
    <definedName name="SD_34x1_347_S_1" localSheetId="4" hidden="1">ProLink!$F$86</definedName>
    <definedName name="SD_34x1_349_S_1" localSheetId="4" hidden="1">'ProLink Mapping'!$C$648</definedName>
    <definedName name="SD_34x1_35_S_0" localSheetId="3" hidden="1">ProLink!$F$35</definedName>
    <definedName name="SD_34x1_363_S_1" localSheetId="4" hidden="1">ProLink!$F$40</definedName>
    <definedName name="SD_34x1_38_S_0" localSheetId="4" hidden="1">'ProLink Mapping'!$C$516</definedName>
    <definedName name="SD_34x1_40_S_0" localSheetId="4" hidden="1">'ProLink Mapping'!$C$35</definedName>
    <definedName name="SD_34x1_42x1_10_S_0" localSheetId="4" hidden="1">'ProLink Mapping'!$C$334</definedName>
    <definedName name="SD_34x1_42x1_12_S_0" localSheetId="4" hidden="1">'ProLink Mapping'!$C$347</definedName>
    <definedName name="SD_34x1_42x1_15_S_0" localSheetId="4" hidden="1">'ProLink Mapping'!$C$357</definedName>
    <definedName name="SD_34x1_42x1_16_S_0" localSheetId="4" hidden="1">'ProLink Mapping'!$C$358</definedName>
    <definedName name="SD_34x1_42x1_17_S_0" localSheetId="4" hidden="1">'ProLink Mapping'!$C$359</definedName>
    <definedName name="SD_34x1_42x1_19_S_0" localSheetId="4" hidden="1">'ProLink Mapping'!$C$335</definedName>
    <definedName name="SD_34x1_42x1_22_S_0" localSheetId="4" hidden="1">'ProLink Mapping'!$C$418</definedName>
    <definedName name="SD_34x1_42x1_23_S_0" localSheetId="4" hidden="1">'ProLink Mapping'!$C$419</definedName>
    <definedName name="SD_34x1_42x1_24_S_0" localSheetId="4" hidden="1">'ProLink Mapping'!$C$462</definedName>
    <definedName name="SD_34x1_42x1_26_S_0" localSheetId="4" hidden="1">'ProLink Mapping'!$C$374</definedName>
    <definedName name="SD_34x1_42x1_27_S_0" localSheetId="4" hidden="1">'ProLink Mapping'!$C$387</definedName>
    <definedName name="SD_34x1_42x1_28_S_0" localSheetId="4" hidden="1">'ProLink Mapping'!$C$394</definedName>
    <definedName name="SD_34x1_42x1_29_S_0" localSheetId="4" hidden="1">'ProLink Mapping'!$C$397</definedName>
    <definedName name="SD_34x1_42x1_30_S_0" localSheetId="4" hidden="1">'ProLink Mapping'!$C$465</definedName>
    <definedName name="SD_34x1_42x1_31_S_0" localSheetId="4" hidden="1">'ProLink Mapping'!$C$395</definedName>
    <definedName name="SD_34x1_42x1_32_S_0" localSheetId="4" hidden="1">'ProLink Mapping'!$C$390</definedName>
    <definedName name="SD_34x1_42x1_33_S_0" localSheetId="4" hidden="1">'ProLink Mapping'!$C$407</definedName>
    <definedName name="SD_34x1_42x1_34_S_0" localSheetId="4" hidden="1">'ProLink Mapping'!$C$411</definedName>
    <definedName name="SD_34x1_42x1_35_S_0" localSheetId="4" hidden="1">'ProLink Mapping'!$C$393</definedName>
    <definedName name="SD_34x1_42x1_37_S_0" localSheetId="4" hidden="1">'ProLink Mapping'!$C$445</definedName>
    <definedName name="SD_34x1_42x1_39_S_0" localSheetId="4" hidden="1">'ProLink Mapping'!$C$442</definedName>
    <definedName name="SD_34x1_42x1_40_S_0" localSheetId="4" hidden="1">'ProLink Mapping'!$C$443</definedName>
    <definedName name="SD_34x1_42x1_41_S_0" localSheetId="4" hidden="1">'ProLink Mapping'!$C$431</definedName>
    <definedName name="SD_34x1_42x1_42_S_0" localSheetId="4" hidden="1">'ProLink Mapping'!$C$458</definedName>
    <definedName name="SD_34x1_42x1_43_S_0" localSheetId="4" hidden="1">'ProLink Mapping'!$C$367</definedName>
    <definedName name="SD_34x1_42x1_44_S_0" localSheetId="4" hidden="1">'ProLink Mapping'!$C$473</definedName>
    <definedName name="SD_34x1_42x1_45_S_0" localSheetId="4" hidden="1">'ProLink Mapping'!$C$325</definedName>
    <definedName name="SD_34x1_42x1_46_S_0" localSheetId="4" hidden="1">'ProLink Mapping'!$C$326</definedName>
    <definedName name="SD_34x1_42x1_47_S_0" localSheetId="4" hidden="1">'ProLink Mapping'!$C$505</definedName>
    <definedName name="SD_34x1_42x1_48_S_0" localSheetId="4" hidden="1">'ProLink Mapping'!$C$504</definedName>
    <definedName name="SD_34x1_42x1_49_S_0" localSheetId="4" hidden="1">'ProLink Mapping'!$C$507</definedName>
    <definedName name="SD_34x1_42x1_5_S_0" localSheetId="4" hidden="1">'ProLink Mapping'!$C$345</definedName>
    <definedName name="SD_34x1_42x1_50_S_0" localSheetId="4" hidden="1">'ProLink Mapping'!$C$506</definedName>
    <definedName name="SD_34x1_42x1_52_S_0" localSheetId="4" hidden="1">'ProLink Mapping'!$C$494</definedName>
    <definedName name="SD_34x1_42x1_53_S_0" localSheetId="4" hidden="1">'ProLink Mapping'!$C$496</definedName>
    <definedName name="SD_34x1_42x1_6_S_0" localSheetId="4" hidden="1">'ProLink Mapping'!$C$348</definedName>
    <definedName name="SD_34x1_42x1_62_S_0" localSheetId="4" hidden="1">'ProLink Mapping'!$C$327</definedName>
    <definedName name="SD_34x1_42x1_63_S_0" localSheetId="4" hidden="1">'ProLink Mapping'!$C$336</definedName>
    <definedName name="SD_34x1_42x1_64_S_0" localSheetId="4" hidden="1">'ProLink Mapping'!$C$422</definedName>
    <definedName name="SD_34x1_42x1_65_S_0" localSheetId="4" hidden="1">'ProLink Mapping'!$C$373</definedName>
    <definedName name="SD_34x1_42x1_66_S_0" localSheetId="4" hidden="1">'ProLink Mapping'!$C$429</definedName>
    <definedName name="SD_34x1_42x1_67_S_0" localSheetId="4" hidden="1">'ProLink Mapping'!$C$380</definedName>
    <definedName name="SD_34x1_42x1_68_S_0" localSheetId="4" hidden="1">'ProLink Mapping'!$C$408</definedName>
    <definedName name="SD_34x1_42x1_69_S_0" localSheetId="4" hidden="1">'ProLink Mapping'!$C$415</definedName>
    <definedName name="SD_34x1_42x1_7_S_0" localSheetId="4" hidden="1">'ProLink Mapping'!$C$354</definedName>
    <definedName name="SD_34x1_42x1_70_S_0" localSheetId="4" hidden="1">'ProLink Mapping'!$C$421</definedName>
    <definedName name="SD_34x1_42x1_71_S_0" localSheetId="4" hidden="1">'ProLink Mapping'!$C$466</definedName>
    <definedName name="SD_34x1_42x1_72_S_0" localSheetId="4" hidden="1">'ProLink Mapping'!$C$401</definedName>
    <definedName name="SD_34x1_42x1_73_S_0" localSheetId="4" hidden="1">'ProLink Mapping'!$C$400</definedName>
    <definedName name="SD_34x1_42x1_74_S_0" localSheetId="4" hidden="1">'ProLink Mapping'!$C$444</definedName>
    <definedName name="SD_34x1_42x1_75_S_0" localSheetId="4" hidden="1">'ProLink Mapping'!$C$414</definedName>
    <definedName name="SD_34x1_42x1_76_S_0" localSheetId="4" hidden="1">'ProLink Mapping'!$C$469</definedName>
    <definedName name="SD_34x1_42x1_77_S_0" localSheetId="4" hidden="1">'ProLink Mapping'!$C$383</definedName>
    <definedName name="SD_34x1_42x1_78_S_0" localSheetId="4" hidden="1">'ProLink Mapping'!$C$474</definedName>
    <definedName name="SD_34x1_42x1_79_S_0" localSheetId="4" hidden="1">'ProLink Mapping'!$C$476</definedName>
    <definedName name="SD_34x1_42x1_8_S_0" localSheetId="4" hidden="1">'ProLink Mapping'!$C$332</definedName>
    <definedName name="SD_34x1_42x1_80_S_0" localSheetId="4" hidden="1">'ProLink Mapping'!$C$432</definedName>
    <definedName name="SD_34x1_42x1_81_S_0" localSheetId="4" hidden="1">'ProLink Mapping'!$C$433</definedName>
    <definedName name="SD_34x1_42x1_88_S_0" localSheetId="4" hidden="1">'ProLink Mapping'!$C$351</definedName>
    <definedName name="SD_34x1_42x1_89_S_0" localSheetId="4" hidden="1">'ProLink Mapping'!$C$420</definedName>
    <definedName name="SD_34x1_42x1_9_S_0" localSheetId="4" hidden="1">'ProLink Mapping'!$C$333</definedName>
    <definedName name="SD_34x1_42x1_93_S_0" localSheetId="4" hidden="1">'ProLink Mapping'!$C$360</definedName>
    <definedName name="SD_34x1_42x1_94_S_0" localSheetId="4" hidden="1">'ProLink Mapping'!$C$402</definedName>
    <definedName name="SD_34x1_42x1_95_S_0" localSheetId="4" hidden="1">'ProLink Mapping'!$C$366</definedName>
    <definedName name="SD_34x1_4467x1_17_S_1" localSheetId="4" hidden="1">'ProLink Mapping'!$D$263</definedName>
    <definedName name="SD_34x1_4467x1_18_S_0" localSheetId="4" hidden="1">'ProLink Mapping'!$F$263</definedName>
    <definedName name="SD_34x1_4467x1_19_S_0" localSheetId="4" hidden="1">'ProLink Mapping'!$E$263</definedName>
    <definedName name="SD_34x1_4467x1_20_S_0" localSheetId="4" hidden="1">'ProLink Mapping'!$L$263</definedName>
    <definedName name="SD_34x1_4467x2_17_S_1" localSheetId="4" hidden="1">'ProLink Mapping'!$D$264</definedName>
    <definedName name="SD_34x1_4467x2_18_S_0" localSheetId="4" hidden="1">'ProLink Mapping'!$F$264</definedName>
    <definedName name="SD_34x1_4467x2_19_S_0" localSheetId="4" hidden="1">'ProLink Mapping'!$E$264</definedName>
    <definedName name="SD_34x1_4467x2_20_S_0" localSheetId="4" hidden="1">'ProLink Mapping'!$L$264</definedName>
    <definedName name="SD_34x1_4467x3_17_S_1" localSheetId="4" hidden="1">'ProLink Mapping'!$D$265</definedName>
    <definedName name="SD_34x1_4467x3_18_S_0" localSheetId="4" hidden="1">'ProLink Mapping'!$F$265</definedName>
    <definedName name="SD_34x1_4467x3_19_S_0" localSheetId="4" hidden="1">'ProLink Mapping'!$E$265</definedName>
    <definedName name="SD_34x1_4467x3_20_S_0" localSheetId="4" hidden="1">'ProLink Mapping'!$L$265</definedName>
    <definedName name="SD_34x1_4467x4_17_S_1" localSheetId="4" hidden="1">'ProLink Mapping'!$D$266</definedName>
    <definedName name="SD_34x1_4467x4_18_S_0" localSheetId="4" hidden="1">'ProLink Mapping'!$F$266</definedName>
    <definedName name="SD_34x1_4467x4_19_S_0" localSheetId="4" hidden="1">'ProLink Mapping'!$E$266</definedName>
    <definedName name="SD_34x1_4467x4_20_S_0" localSheetId="4" hidden="1">'ProLink Mapping'!$L$266</definedName>
    <definedName name="SD_34x1_4467x5_17_S_1" localSheetId="4" hidden="1">'ProLink Mapping'!$D$267</definedName>
    <definedName name="SD_34x1_4467x5_18_S_0" localSheetId="4" hidden="1">'ProLink Mapping'!$F$267</definedName>
    <definedName name="SD_34x1_4467x5_19_S_0" localSheetId="4" hidden="1">'ProLink Mapping'!$E$267</definedName>
    <definedName name="SD_34x1_4467x5_20_S_0" localSheetId="4" hidden="1">'ProLink Mapping'!$L$267</definedName>
    <definedName name="SD_34x1_4467x6_17_S_1" localSheetId="4" hidden="1">'ProLink Mapping'!$D$268</definedName>
    <definedName name="SD_34x1_4467x6_18_S_0" localSheetId="4" hidden="1">'ProLink Mapping'!$F$268</definedName>
    <definedName name="SD_34x1_4467x6_19_S_0" localSheetId="4" hidden="1">'ProLink Mapping'!$E$268</definedName>
    <definedName name="SD_34x1_4467x6_20_S_0" localSheetId="4" hidden="1">'ProLink Mapping'!$L$268</definedName>
    <definedName name="SD_34x1_464_S_0" localSheetId="4" hidden="1">'ProLink Mapping'!$C$272</definedName>
    <definedName name="SD_34x1_465_S_0" localSheetId="4" hidden="1">'ProLink Mapping'!$F$275</definedName>
    <definedName name="SD_34x1_467_S_0" localSheetId="4" hidden="1">'ProLink Mapping'!$C$106</definedName>
    <definedName name="SD_34x1_468_S_0" localSheetId="4" hidden="1">'ProLink Mapping'!$C$114</definedName>
    <definedName name="SD_34x1_470_S_0" localSheetId="4" hidden="1">'ProLink Mapping'!$C$115</definedName>
    <definedName name="SD_34x1_471_S_0" localSheetId="4" hidden="1">'ProLink Mapping'!$C$107</definedName>
    <definedName name="SD_34x1_472_S_0" localSheetId="4" hidden="1">'ProLink Mapping'!$C$108</definedName>
    <definedName name="SD_34x1_474_S_0" localSheetId="4" hidden="1">'ProLink Mapping'!$C$110</definedName>
    <definedName name="SD_34x1_475_S_0" localSheetId="4" hidden="1">'ProLink Mapping'!$C$111</definedName>
    <definedName name="SD_34x1_479_S_0" localSheetId="4" hidden="1">'ProLink Mapping'!$C$130</definedName>
    <definedName name="SD_34x1_480_S_0" localSheetId="4" hidden="1">'ProLink Mapping'!$C$129</definedName>
    <definedName name="SD_34x1_482_S_0" localSheetId="4" hidden="1">'ProLink Mapping'!$C$123</definedName>
    <definedName name="SD_34x1_483_S_0" localSheetId="4" hidden="1">'ProLink Mapping'!$C$122</definedName>
    <definedName name="SD_34x1_485_S_0" localSheetId="4" hidden="1">'ProLink Mapping'!$C$121</definedName>
    <definedName name="SD_34x1_486_S_0" localSheetId="4" hidden="1">'ProLink Mapping'!$C$120</definedName>
    <definedName name="SD_34x1_488_S_0" localSheetId="4" hidden="1">'ProLink Mapping'!$C$125</definedName>
    <definedName name="SD_34x1_489_S_0" localSheetId="4" hidden="1">'ProLink Mapping'!$C$124</definedName>
    <definedName name="SD_34x1_491_S_0" localSheetId="4" hidden="1">'ProLink Mapping'!$C$128</definedName>
    <definedName name="SD_34x1_492_S_0" localSheetId="4" hidden="1">'ProLink Mapping'!$C$127</definedName>
    <definedName name="SD_34x1_50_S_0" localSheetId="4" hidden="1">'ProLink Mapping'!$C$273</definedName>
    <definedName name="SD_34x1_51_S_0" localSheetId="4" hidden="1">'ProLink Mapping'!$C$271</definedName>
    <definedName name="SD_34x1_5103x1_112_S_1" localSheetId="4" hidden="1">ProLink!$F$116</definedName>
    <definedName name="SD_34x1_5103x1_113_S_1" localSheetId="4" hidden="1">ProLink!$F$117</definedName>
    <definedName name="SD_34x1_5103x1_139_S_0" localSheetId="4" hidden="1">'ProLink Mapping'!$C$54</definedName>
    <definedName name="SD_34x1_5103x1_140_S_1" localSheetId="4" hidden="1">'ProLink Mapping'!$C$55</definedName>
    <definedName name="SD_34x1_5103x1_141_S_1" localSheetId="4" hidden="1">'ProLink Mapping'!$C$59</definedName>
    <definedName name="SD_34x1_5103x1_142_S_1" localSheetId="4" hidden="1">'ProLink Mapping'!$C$56</definedName>
    <definedName name="SD_34x1_5103x1_143_S_1" localSheetId="4" hidden="1">'ProLink Mapping'!$C$57</definedName>
    <definedName name="SD_34x1_5103x1_144_S_1" localSheetId="4" hidden="1">'ProLink Mapping'!$C$58</definedName>
    <definedName name="SD_34x1_5103x1_145_S_0" localSheetId="4" hidden="1">'ProLink Mapping'!$I$175</definedName>
    <definedName name="SD_34x1_5103x1_146_S_0" localSheetId="4" hidden="1">'ProLink Mapping'!$I$176</definedName>
    <definedName name="SD_34x1_5103x1_147_S_0" localSheetId="4" hidden="1">'ProLink Mapping'!$I$177</definedName>
    <definedName name="SD_34x1_5103x1_148_S_0" localSheetId="4" hidden="1">'ProLink Mapping'!$I$178</definedName>
    <definedName name="SD_34x1_5103x1_149_S_0" localSheetId="4" hidden="1">'ProLink Mapping'!$I$179</definedName>
    <definedName name="SD_34x1_5103x1_150_S_0" localSheetId="4" hidden="1">'ProLink Mapping'!$I$185</definedName>
    <definedName name="SD_34x1_5103x1_151_S_0" localSheetId="4" hidden="1">'ProLink Mapping'!$G$524</definedName>
    <definedName name="SD_34x1_5103x1_152_S_0" localSheetId="4" hidden="1">'ProLink Mapping'!$G$525</definedName>
    <definedName name="SD_34x1_5103x1_153_S_0" localSheetId="4" hidden="1">'ProLink Mapping'!$G$526</definedName>
    <definedName name="SD_34x1_5103x1_154_S_0" localSheetId="4" hidden="1">'ProLink Mapping'!$G$527</definedName>
    <definedName name="SD_34x1_5103x1_155_S_0" localSheetId="4" hidden="1">'ProLink Mapping'!$G$528</definedName>
    <definedName name="SD_34x1_5103x1_156_S_0" localSheetId="4" hidden="1">'ProLink Mapping'!$G$529</definedName>
    <definedName name="SD_34x1_5103x1_157_S_0" localSheetId="4" hidden="1">'ProLink Mapping'!$G$530</definedName>
    <definedName name="SD_34x1_5103x1_158_S_0" localSheetId="4" hidden="1">'ProLink Mapping'!$G$531</definedName>
    <definedName name="SD_34x1_5103x1_159_S_0" localSheetId="4" hidden="1">ProLink!$F$48</definedName>
    <definedName name="SD_34x1_5103x1_163_S_0" localSheetId="4" hidden="1">ProLink!$F$60</definedName>
    <definedName name="SD_34x1_5103x1_164_S_0" localSheetId="4" hidden="1">ProLink!$F$62</definedName>
    <definedName name="SD_34x1_5103x1_165_S_0" localSheetId="4" hidden="1">ProLink!$F$64</definedName>
    <definedName name="SD_34x1_5103x1_166_S_0" localSheetId="4" hidden="1">ProLink!$F$70</definedName>
    <definedName name="SD_34x1_5103x1_168_S_1" localSheetId="4" hidden="1">ProLink!$F$51</definedName>
    <definedName name="SD_34x1_5103x1_169_S_1" localSheetId="4" hidden="1">ProLink!$F$61</definedName>
    <definedName name="SD_34x1_5103x1_170_S_1" localSheetId="4" hidden="1">ProLink!$F$63</definedName>
    <definedName name="SD_34x1_5103x1_171_S_1" localSheetId="4" hidden="1">ProLink!$F$67</definedName>
    <definedName name="SD_34x1_5103x1_172_S_1" localSheetId="4" hidden="1">ProLink!$F$68</definedName>
    <definedName name="SD_34x1_5103x1_173_S_1" localSheetId="4" hidden="1">ProLink!$F$69</definedName>
    <definedName name="SD_34x1_5103x1_174_S_0" localSheetId="3" hidden="1">ProLink!$F$73</definedName>
    <definedName name="SD_34x1_5103x1_175_S_0" localSheetId="3" hidden="1">ProLink!$F$75</definedName>
    <definedName name="SD_34x1_5103x1_176_S_0" localSheetId="3" hidden="1">ProLink!$F$77</definedName>
    <definedName name="SD_34x1_5103x1_177_S_0" localSheetId="3" hidden="1">ProLink!$F$79</definedName>
    <definedName name="SD_34x1_512_S_1" localSheetId="4" hidden="1">'ProLink Mapping'!$C$109</definedName>
    <definedName name="SD_34x1_5155x1_10_S_0" localSheetId="4" hidden="1">'ProLink Mapping'!$G$295</definedName>
    <definedName name="SD_34x1_5155x1_21_S_1" localSheetId="4" hidden="1">'ProLink Mapping'!$E$295</definedName>
    <definedName name="SD_34x1_5155x1_7_S_0" localSheetId="4" hidden="1">'ProLink Mapping'!$C$295</definedName>
    <definedName name="SD_34x1_5155x10_10_S_0" localSheetId="4" hidden="1">'ProLink Mapping'!$G$304</definedName>
    <definedName name="SD_34x1_5155x10_21_S_1" localSheetId="4" hidden="1">'ProLink Mapping'!$E$304</definedName>
    <definedName name="SD_34x1_5155x10_7_S_0" localSheetId="4" hidden="1">'ProLink Mapping'!$C$304</definedName>
    <definedName name="SD_34x1_5155x11_10_S_0" localSheetId="4" hidden="1">'ProLink Mapping'!$G$305</definedName>
    <definedName name="SD_34x1_5155x11_21_S_1" localSheetId="4" hidden="1">'ProLink Mapping'!$E$305</definedName>
    <definedName name="SD_34x1_5155x11_7_S_0" localSheetId="4" hidden="1">'ProLink Mapping'!$C$305</definedName>
    <definedName name="SD_34x1_5155x2_10_S_0" localSheetId="4" hidden="1">'ProLink Mapping'!$G$296</definedName>
    <definedName name="SD_34x1_5155x2_21_S_1" localSheetId="4" hidden="1">'ProLink Mapping'!$E$296</definedName>
    <definedName name="SD_34x1_5155x2_7_S_0" localSheetId="4" hidden="1">'ProLink Mapping'!$C$296</definedName>
    <definedName name="SD_34x1_5155x3_10_S_0" localSheetId="4" hidden="1">'ProLink Mapping'!$G$297</definedName>
    <definedName name="SD_34x1_5155x3_21_S_1" localSheetId="4" hidden="1">'ProLink Mapping'!$E$297</definedName>
    <definedName name="SD_34x1_5155x3_7_S_0" localSheetId="4" hidden="1">'ProLink Mapping'!$C$297</definedName>
    <definedName name="SD_34x1_5155x4_10_S_0" localSheetId="4" hidden="1">'ProLink Mapping'!$G$298</definedName>
    <definedName name="SD_34x1_5155x4_21_S_1" localSheetId="4" hidden="1">'ProLink Mapping'!$E$298</definedName>
    <definedName name="SD_34x1_5155x4_7_S_0" localSheetId="4" hidden="1">'ProLink Mapping'!$C$298</definedName>
    <definedName name="SD_34x1_5155x5_10_S_0" localSheetId="4" hidden="1">'ProLink Mapping'!$G$299</definedName>
    <definedName name="SD_34x1_5155x5_21_S_1" localSheetId="4" hidden="1">'ProLink Mapping'!$E$299</definedName>
    <definedName name="SD_34x1_5155x5_7_S_0" localSheetId="4" hidden="1">'ProLink Mapping'!$C$299</definedName>
    <definedName name="SD_34x1_5155x6_10_S_0" localSheetId="4" hidden="1">'ProLink Mapping'!$G$300</definedName>
    <definedName name="SD_34x1_5155x6_21_S_1" localSheetId="4" hidden="1">'ProLink Mapping'!$E$300</definedName>
    <definedName name="SD_34x1_5155x6_7_S_0" localSheetId="4" hidden="1">'ProLink Mapping'!$C$300</definedName>
    <definedName name="SD_34x1_5155x7_10_S_0" localSheetId="4" hidden="1">'ProLink Mapping'!$G$301</definedName>
    <definedName name="SD_34x1_5155x7_21_S_1" localSheetId="4" hidden="1">'ProLink Mapping'!$E$301</definedName>
    <definedName name="SD_34x1_5155x7_7_S_0" localSheetId="4" hidden="1">'ProLink Mapping'!$C$301</definedName>
    <definedName name="SD_34x1_5155x8_10_S_0" localSheetId="4" hidden="1">'ProLink Mapping'!$G$302</definedName>
    <definedName name="SD_34x1_5155x8_21_S_1" localSheetId="4" hidden="1">'ProLink Mapping'!$E$302</definedName>
    <definedName name="SD_34x1_5155x8_7_S_0" localSheetId="4" hidden="1">'ProLink Mapping'!$C$302</definedName>
    <definedName name="SD_34x1_5155x9_10_S_0" localSheetId="4" hidden="1">'ProLink Mapping'!$G$303</definedName>
    <definedName name="SD_34x1_5155x9_21_S_1" localSheetId="4" hidden="1">'ProLink Mapping'!$E$303</definedName>
    <definedName name="SD_34x1_5155x9_7_S_0" localSheetId="4" hidden="1">'ProLink Mapping'!$C$303</definedName>
    <definedName name="SD_34x1_5158x1_10_S_0" localSheetId="4" hidden="1">'ProLink Mapping'!$G$280</definedName>
    <definedName name="SD_34x1_5158x1_11_S_0" localSheetId="4" hidden="1">'ProLink Mapping'!$M$280</definedName>
    <definedName name="SD_34x1_5158x1_12_S_0" localSheetId="4" hidden="1">'ProLink Mapping'!$I$280</definedName>
    <definedName name="SD_34x1_5158x1_14_S_0" localSheetId="4" hidden="1">'ProLink Mapping'!$K$280</definedName>
    <definedName name="SD_34x1_5158x1_21_S_1" localSheetId="4" hidden="1">'ProLink Mapping'!$E$280</definedName>
    <definedName name="SD_34x1_5158x1_7_S_0" localSheetId="4" hidden="1">'ProLink Mapping'!$C$280</definedName>
    <definedName name="SD_34x1_5158x10_10_S_0" localSheetId="4" hidden="1">'ProLink Mapping'!$G$289</definedName>
    <definedName name="SD_34x1_5158x10_11_S_0" localSheetId="4" hidden="1">'ProLink Mapping'!$M$289</definedName>
    <definedName name="SD_34x1_5158x10_12_S_0" localSheetId="4" hidden="1">'ProLink Mapping'!$I$289</definedName>
    <definedName name="SD_34x1_5158x10_14_S_0" localSheetId="4" hidden="1">'ProLink Mapping'!$K$289</definedName>
    <definedName name="SD_34x1_5158x10_21_S_1" localSheetId="4" hidden="1">'ProLink Mapping'!$E$289</definedName>
    <definedName name="SD_34x1_5158x10_7_S_0" localSheetId="4" hidden="1">'ProLink Mapping'!$C$289</definedName>
    <definedName name="SD_34x1_5158x11_10_S_0" localSheetId="4" hidden="1">'ProLink Mapping'!$G$290</definedName>
    <definedName name="SD_34x1_5158x11_11_S_0" localSheetId="4" hidden="1">'ProLink Mapping'!$M$290</definedName>
    <definedName name="SD_34x1_5158x11_12_S_0" localSheetId="4" hidden="1">'ProLink Mapping'!$I$290</definedName>
    <definedName name="SD_34x1_5158x11_14_S_0" localSheetId="4" hidden="1">'ProLink Mapping'!$K$290</definedName>
    <definedName name="SD_34x1_5158x11_21_S_1" localSheetId="4" hidden="1">'ProLink Mapping'!$E$290</definedName>
    <definedName name="SD_34x1_5158x11_7_S_0" localSheetId="4" hidden="1">'ProLink Mapping'!$C$290</definedName>
    <definedName name="SD_34x1_5158x12_10_S_0" localSheetId="4" hidden="1">'ProLink Mapping'!$G$291</definedName>
    <definedName name="SD_34x1_5158x12_11_S_0" localSheetId="4" hidden="1">'ProLink Mapping'!$M$291</definedName>
    <definedName name="SD_34x1_5158x12_12_S_0" localSheetId="4" hidden="1">'ProLink Mapping'!$I$291</definedName>
    <definedName name="SD_34x1_5158x12_14_S_0" localSheetId="4" hidden="1">'ProLink Mapping'!$K$291</definedName>
    <definedName name="SD_34x1_5158x12_21_S_1" localSheetId="4" hidden="1">'ProLink Mapping'!$E$291</definedName>
    <definedName name="SD_34x1_5158x12_7_S_0" localSheetId="4" hidden="1">'ProLink Mapping'!$C$291</definedName>
    <definedName name="SD_34x1_5158x13_10_S_0" localSheetId="4" hidden="1">'ProLink Mapping'!$G$292</definedName>
    <definedName name="SD_34x1_5158x13_11_S_0" localSheetId="4" hidden="1">'ProLink Mapping'!$M$292</definedName>
    <definedName name="SD_34x1_5158x13_12_S_0" localSheetId="4" hidden="1">'ProLink Mapping'!$I$292</definedName>
    <definedName name="SD_34x1_5158x13_14_S_0" localSheetId="4" hidden="1">'ProLink Mapping'!$K$292</definedName>
    <definedName name="SD_34x1_5158x13_21_S_1" localSheetId="4" hidden="1">'ProLink Mapping'!$E$292</definedName>
    <definedName name="SD_34x1_5158x13_7_S_0" localSheetId="4" hidden="1">'ProLink Mapping'!$C$292</definedName>
    <definedName name="SD_34x1_5158x2_10_S_0" localSheetId="4" hidden="1">'ProLink Mapping'!$G$281</definedName>
    <definedName name="SD_34x1_5158x2_11_S_0" localSheetId="4" hidden="1">'ProLink Mapping'!$M$281</definedName>
    <definedName name="SD_34x1_5158x2_12_S_0" localSheetId="4" hidden="1">'ProLink Mapping'!$I$281</definedName>
    <definedName name="SD_34x1_5158x2_14_S_0" localSheetId="4" hidden="1">'ProLink Mapping'!$K$281</definedName>
    <definedName name="SD_34x1_5158x2_21_S_1" localSheetId="4" hidden="1">'ProLink Mapping'!$E$281</definedName>
    <definedName name="SD_34x1_5158x2_7_S_0" localSheetId="4" hidden="1">'ProLink Mapping'!$C$281</definedName>
    <definedName name="SD_34x1_5158x3_10_S_0" localSheetId="4" hidden="1">'ProLink Mapping'!$G$282</definedName>
    <definedName name="SD_34x1_5158x3_11_S_0" localSheetId="4" hidden="1">'ProLink Mapping'!$M$282</definedName>
    <definedName name="SD_34x1_5158x3_12_S_0" localSheetId="4" hidden="1">'ProLink Mapping'!$I$282</definedName>
    <definedName name="SD_34x1_5158x3_14_S_0" localSheetId="4" hidden="1">'ProLink Mapping'!$K$282</definedName>
    <definedName name="SD_34x1_5158x3_21_S_1" localSheetId="4" hidden="1">'ProLink Mapping'!$E$282</definedName>
    <definedName name="SD_34x1_5158x3_7_S_0" localSheetId="4" hidden="1">'ProLink Mapping'!$C$282</definedName>
    <definedName name="SD_34x1_5158x4_10_S_0" localSheetId="4" hidden="1">'ProLink Mapping'!$G$283</definedName>
    <definedName name="SD_34x1_5158x4_11_S_0" localSheetId="4" hidden="1">'ProLink Mapping'!$M$283</definedName>
    <definedName name="SD_34x1_5158x4_12_S_0" localSheetId="4" hidden="1">'ProLink Mapping'!$I$283</definedName>
    <definedName name="SD_34x1_5158x4_14_S_0" localSheetId="4" hidden="1">'ProLink Mapping'!$K$283</definedName>
    <definedName name="SD_34x1_5158x4_21_S_1" localSheetId="4" hidden="1">'ProLink Mapping'!$E$283</definedName>
    <definedName name="SD_34x1_5158x4_7_S_0" localSheetId="4" hidden="1">'ProLink Mapping'!$C$283</definedName>
    <definedName name="SD_34x1_5158x5_10_S_0" localSheetId="4" hidden="1">'ProLink Mapping'!$G$284</definedName>
    <definedName name="SD_34x1_5158x5_11_S_0" localSheetId="4" hidden="1">'ProLink Mapping'!$M$284</definedName>
    <definedName name="SD_34x1_5158x5_12_S_0" localSheetId="4" hidden="1">'ProLink Mapping'!$I$284</definedName>
    <definedName name="SD_34x1_5158x5_14_S_0" localSheetId="4" hidden="1">'ProLink Mapping'!$K$284</definedName>
    <definedName name="SD_34x1_5158x5_21_S_1" localSheetId="4" hidden="1">'ProLink Mapping'!$E$284</definedName>
    <definedName name="SD_34x1_5158x5_7_S_0" localSheetId="4" hidden="1">'ProLink Mapping'!$C$284</definedName>
    <definedName name="SD_34x1_5158x6_10_S_0" localSheetId="4" hidden="1">'ProLink Mapping'!$G$285</definedName>
    <definedName name="SD_34x1_5158x6_11_S_0" localSheetId="4" hidden="1">'ProLink Mapping'!$M$285</definedName>
    <definedName name="SD_34x1_5158x6_12_S_0" localSheetId="4" hidden="1">'ProLink Mapping'!$I$285</definedName>
    <definedName name="SD_34x1_5158x6_14_S_0" localSheetId="4" hidden="1">'ProLink Mapping'!$K$285</definedName>
    <definedName name="SD_34x1_5158x6_21_S_1" localSheetId="4" hidden="1">'ProLink Mapping'!$E$285</definedName>
    <definedName name="SD_34x1_5158x6_7_S_0" localSheetId="4" hidden="1">'ProLink Mapping'!$C$285</definedName>
    <definedName name="SD_34x1_5158x7_10_S_0" localSheetId="4" hidden="1">'ProLink Mapping'!$G$286</definedName>
    <definedName name="SD_34x1_5158x7_11_S_0" localSheetId="4" hidden="1">'ProLink Mapping'!$M$286</definedName>
    <definedName name="SD_34x1_5158x7_12_S_0" localSheetId="4" hidden="1">'ProLink Mapping'!$I$286</definedName>
    <definedName name="SD_34x1_5158x7_14_S_0" localSheetId="4" hidden="1">'ProLink Mapping'!$K$286</definedName>
    <definedName name="SD_34x1_5158x7_21_S_1" localSheetId="4" hidden="1">'ProLink Mapping'!$E$286</definedName>
    <definedName name="SD_34x1_5158x7_7_S_0" localSheetId="4" hidden="1">'ProLink Mapping'!$C$286</definedName>
    <definedName name="SD_34x1_5158x8_10_S_0" localSheetId="4" hidden="1">'ProLink Mapping'!$G$287</definedName>
    <definedName name="SD_34x1_5158x8_11_S_0" localSheetId="4" hidden="1">'ProLink Mapping'!$M$287</definedName>
    <definedName name="SD_34x1_5158x8_12_S_0" localSheetId="4" hidden="1">'ProLink Mapping'!$I$287</definedName>
    <definedName name="SD_34x1_5158x8_14_S_0" localSheetId="4" hidden="1">'ProLink Mapping'!$K$287</definedName>
    <definedName name="SD_34x1_5158x8_21_S_1" localSheetId="4" hidden="1">'ProLink Mapping'!$E$287</definedName>
    <definedName name="SD_34x1_5158x8_7_S_0" localSheetId="4" hidden="1">'ProLink Mapping'!$C$287</definedName>
    <definedName name="SD_34x1_5158x9_10_S_0" localSheetId="4" hidden="1">'ProLink Mapping'!$G$288</definedName>
    <definedName name="SD_34x1_5158x9_11_S_0" localSheetId="4" hidden="1">'ProLink Mapping'!$M$288</definedName>
    <definedName name="SD_34x1_5158x9_12_S_0" localSheetId="4" hidden="1">'ProLink Mapping'!$I$288</definedName>
    <definedName name="SD_34x1_5158x9_14_S_0" localSheetId="4" hidden="1">'ProLink Mapping'!$K$288</definedName>
    <definedName name="SD_34x1_5158x9_21_S_1" localSheetId="4" hidden="1">'ProLink Mapping'!$E$288</definedName>
    <definedName name="SD_34x1_5158x9_7_S_0" localSheetId="4" hidden="1">'ProLink Mapping'!$C$288</definedName>
    <definedName name="SD_34x1_5161x1_10_S_0" localSheetId="4" hidden="1">'ProLink Mapping'!$G$308</definedName>
    <definedName name="SD_34x1_5161x1_12_S_0" localSheetId="4" hidden="1">'ProLink Mapping'!$I$308</definedName>
    <definedName name="SD_34x1_5161x1_14_S_0" localSheetId="4" hidden="1">'ProLink Mapping'!$K$308</definedName>
    <definedName name="SD_34x1_5161x1_21_S_1" localSheetId="4" hidden="1">'ProLink Mapping'!$E$308</definedName>
    <definedName name="SD_34x1_5161x1_7_S_0" localSheetId="4" hidden="1">'ProLink Mapping'!$C$308</definedName>
    <definedName name="SD_34x1_5161x10_10_S_0" localSheetId="4" hidden="1">'ProLink Mapping'!$G$317</definedName>
    <definedName name="SD_34x1_5161x10_12_S_0" localSheetId="4" hidden="1">'ProLink Mapping'!$I$317</definedName>
    <definedName name="SD_34x1_5161x10_14_S_0" localSheetId="4" hidden="1">'ProLink Mapping'!$K$317</definedName>
    <definedName name="SD_34x1_5161x10_21_S_1" localSheetId="4" hidden="1">'ProLink Mapping'!$E$317</definedName>
    <definedName name="SD_34x1_5161x10_7_S_0" localSheetId="4" hidden="1">'ProLink Mapping'!$C$317</definedName>
    <definedName name="SD_34x1_5161x11_10_S_0" localSheetId="4" hidden="1">'ProLink Mapping'!$G$318</definedName>
    <definedName name="SD_34x1_5161x11_12_S_0" localSheetId="4" hidden="1">'ProLink Mapping'!$I$318</definedName>
    <definedName name="SD_34x1_5161x11_14_S_0" localSheetId="4" hidden="1">'ProLink Mapping'!$K$318</definedName>
    <definedName name="SD_34x1_5161x11_21_S_1" localSheetId="4" hidden="1">'ProLink Mapping'!$E$318</definedName>
    <definedName name="SD_34x1_5161x11_7_S_0" localSheetId="4" hidden="1">'ProLink Mapping'!$C$318</definedName>
    <definedName name="SD_34x1_5161x12_10_S_0" localSheetId="4" hidden="1">'ProLink Mapping'!$G$319</definedName>
    <definedName name="SD_34x1_5161x12_12_S_0" localSheetId="4" hidden="1">'ProLink Mapping'!$I$319</definedName>
    <definedName name="SD_34x1_5161x12_14_S_0" localSheetId="4" hidden="1">'ProLink Mapping'!$K$319</definedName>
    <definedName name="SD_34x1_5161x12_21_S_1" localSheetId="4" hidden="1">'ProLink Mapping'!$E$319</definedName>
    <definedName name="SD_34x1_5161x12_7_S_0" localSheetId="4" hidden="1">'ProLink Mapping'!$C$319</definedName>
    <definedName name="SD_34x1_5161x2_10_S_0" localSheetId="4" hidden="1">'ProLink Mapping'!$G$309</definedName>
    <definedName name="SD_34x1_5161x2_12_S_0" localSheetId="4" hidden="1">'ProLink Mapping'!$I$309</definedName>
    <definedName name="SD_34x1_5161x2_14_S_0" localSheetId="4" hidden="1">'ProLink Mapping'!$K$309</definedName>
    <definedName name="SD_34x1_5161x2_21_S_1" localSheetId="4" hidden="1">'ProLink Mapping'!$E$309</definedName>
    <definedName name="SD_34x1_5161x2_7_S_0" localSheetId="4" hidden="1">'ProLink Mapping'!$C$309</definedName>
    <definedName name="SD_34x1_5161x3_10_S_0" localSheetId="4" hidden="1">'ProLink Mapping'!$G$310</definedName>
    <definedName name="SD_34x1_5161x3_12_S_0" localSheetId="4" hidden="1">'ProLink Mapping'!$I$310</definedName>
    <definedName name="SD_34x1_5161x3_14_S_0" localSheetId="4" hidden="1">'ProLink Mapping'!$K$310</definedName>
    <definedName name="SD_34x1_5161x3_21_S_1" localSheetId="4" hidden="1">'ProLink Mapping'!$E$310</definedName>
    <definedName name="SD_34x1_5161x3_7_S_0" localSheetId="4" hidden="1">'ProLink Mapping'!$C$310</definedName>
    <definedName name="SD_34x1_5161x4_10_S_0" localSheetId="4" hidden="1">'ProLink Mapping'!$G$311</definedName>
    <definedName name="SD_34x1_5161x4_12_S_0" localSheetId="4" hidden="1">'ProLink Mapping'!$I$311</definedName>
    <definedName name="SD_34x1_5161x4_14_S_0" localSheetId="4" hidden="1">'ProLink Mapping'!$K$311</definedName>
    <definedName name="SD_34x1_5161x4_21_S_1" localSheetId="4" hidden="1">'ProLink Mapping'!$E$311</definedName>
    <definedName name="SD_34x1_5161x4_7_S_0" localSheetId="4" hidden="1">'ProLink Mapping'!$C$311</definedName>
    <definedName name="SD_34x1_5161x5_10_S_0" localSheetId="4" hidden="1">'ProLink Mapping'!$G$312</definedName>
    <definedName name="SD_34x1_5161x5_12_S_0" localSheetId="4" hidden="1">'ProLink Mapping'!$I$312</definedName>
    <definedName name="SD_34x1_5161x5_14_S_0" localSheetId="4" hidden="1">'ProLink Mapping'!$K$312</definedName>
    <definedName name="SD_34x1_5161x5_21_S_1" localSheetId="4" hidden="1">'ProLink Mapping'!$E$312</definedName>
    <definedName name="SD_34x1_5161x5_7_S_0" localSheetId="4" hidden="1">'ProLink Mapping'!$C$312</definedName>
    <definedName name="SD_34x1_5161x6_10_S_0" localSheetId="4" hidden="1">'ProLink Mapping'!$G$313</definedName>
    <definedName name="SD_34x1_5161x6_12_S_0" localSheetId="4" hidden="1">'ProLink Mapping'!$I$313</definedName>
    <definedName name="SD_34x1_5161x6_14_S_0" localSheetId="4" hidden="1">'ProLink Mapping'!$K$313</definedName>
    <definedName name="SD_34x1_5161x6_21_S_1" localSheetId="4" hidden="1">'ProLink Mapping'!$E$313</definedName>
    <definedName name="SD_34x1_5161x6_7_S_0" localSheetId="4" hidden="1">'ProLink Mapping'!$C$313</definedName>
    <definedName name="SD_34x1_5161x7_10_S_0" localSheetId="4" hidden="1">'ProLink Mapping'!$G$314</definedName>
    <definedName name="SD_34x1_5161x7_12_S_0" localSheetId="4" hidden="1">'ProLink Mapping'!$I$314</definedName>
    <definedName name="SD_34x1_5161x7_14_S_0" localSheetId="4" hidden="1">'ProLink Mapping'!$K$314</definedName>
    <definedName name="SD_34x1_5161x7_21_S_1" localSheetId="4" hidden="1">'ProLink Mapping'!$E$314</definedName>
    <definedName name="SD_34x1_5161x7_7_S_0" localSheetId="4" hidden="1">'ProLink Mapping'!$C$314</definedName>
    <definedName name="SD_34x1_5161x8_10_S_0" localSheetId="4" hidden="1">'ProLink Mapping'!$G$315</definedName>
    <definedName name="SD_34x1_5161x8_12_S_0" localSheetId="4" hidden="1">'ProLink Mapping'!$I$315</definedName>
    <definedName name="SD_34x1_5161x8_14_S_0" localSheetId="4" hidden="1">'ProLink Mapping'!$K$315</definedName>
    <definedName name="SD_34x1_5161x8_21_S_1" localSheetId="4" hidden="1">'ProLink Mapping'!$E$315</definedName>
    <definedName name="SD_34x1_5161x8_7_S_0" localSheetId="4" hidden="1">'ProLink Mapping'!$C$315</definedName>
    <definedName name="SD_34x1_5161x9_10_S_0" localSheetId="4" hidden="1">'ProLink Mapping'!$G$316</definedName>
    <definedName name="SD_34x1_5161x9_12_S_0" localSheetId="4" hidden="1">'ProLink Mapping'!$I$316</definedName>
    <definedName name="SD_34x1_5161x9_14_S_0" localSheetId="4" hidden="1">'ProLink Mapping'!$K$316</definedName>
    <definedName name="SD_34x1_5161x9_21_S_1" localSheetId="4" hidden="1">'ProLink Mapping'!$E$316</definedName>
    <definedName name="SD_34x1_5161x9_7_S_0" localSheetId="4" hidden="1">'ProLink Mapping'!$C$316</definedName>
    <definedName name="SD_34x1_52_S_0" localSheetId="4" hidden="1">'ProLink Mapping'!$C$276</definedName>
    <definedName name="SD_34x1_53_S_0" localSheetId="4" hidden="1">'ProLink Mapping'!$C$277</definedName>
    <definedName name="SD_34x1_54_S_0" localSheetId="4" hidden="1">'ProLink Mapping'!$C$274</definedName>
    <definedName name="SD_34x1_55_S_0" localSheetId="4" hidden="1">'ProLink Mapping'!$C$275</definedName>
    <definedName name="SD_34x1_558_B_1" localSheetId="3" hidden="1">ProLink!$F$41</definedName>
    <definedName name="SD_34x1_56_S_0" localSheetId="4" hidden="1">'ProLink Mapping'!$C$627</definedName>
    <definedName name="SD_34x1_56x1_10_S_0" localSheetId="4" hidden="1">'ProLink Mapping'!$D$334</definedName>
    <definedName name="SD_34x1_56x1_12_S_0" localSheetId="4" hidden="1">'ProLink Mapping'!$D$347</definedName>
    <definedName name="SD_34x1_56x1_15_S_0" localSheetId="4" hidden="1">'ProLink Mapping'!$D$357</definedName>
    <definedName name="SD_34x1_56x1_16_S_0" localSheetId="4" hidden="1">'ProLink Mapping'!$D$358</definedName>
    <definedName name="SD_34x1_56x1_17_S_0" localSheetId="4" hidden="1">'ProLink Mapping'!$D$359</definedName>
    <definedName name="SD_34x1_56x1_19_S_0" localSheetId="4" hidden="1">'ProLink Mapping'!$D$335</definedName>
    <definedName name="SD_34x1_56x1_22_S_0" localSheetId="4" hidden="1">'ProLink Mapping'!$D$418</definedName>
    <definedName name="SD_34x1_56x1_23_S_0" localSheetId="4" hidden="1">'ProLink Mapping'!$D$419</definedName>
    <definedName name="SD_34x1_56x1_24_S_0" localSheetId="4" hidden="1">'ProLink Mapping'!$D$462</definedName>
    <definedName name="SD_34x1_56x1_26_S_0" localSheetId="4" hidden="1">'ProLink Mapping'!$D$374</definedName>
    <definedName name="SD_34x1_56x1_27_S_0" localSheetId="4" hidden="1">'ProLink Mapping'!$D$387</definedName>
    <definedName name="SD_34x1_56x1_28_S_0" localSheetId="4" hidden="1">'ProLink Mapping'!$D$394</definedName>
    <definedName name="SD_34x1_56x1_29_S_0" localSheetId="4" hidden="1">'ProLink Mapping'!$D$397</definedName>
    <definedName name="SD_34x1_56x1_30_S_0" localSheetId="4" hidden="1">'ProLink Mapping'!$D$465</definedName>
    <definedName name="SD_34x1_56x1_31_S_0" localSheetId="4" hidden="1">'ProLink Mapping'!$D$395</definedName>
    <definedName name="SD_34x1_56x1_32_S_0" localSheetId="4" hidden="1">'ProLink Mapping'!$D$390</definedName>
    <definedName name="SD_34x1_56x1_35_S_0" localSheetId="4" hidden="1">'ProLink Mapping'!$D$393</definedName>
    <definedName name="SD_34x1_56x1_37_S_0" localSheetId="4" hidden="1">'ProLink Mapping'!$D$445</definedName>
    <definedName name="SD_34x1_56x1_39_S_0" localSheetId="4" hidden="1">'ProLink Mapping'!$D$442</definedName>
    <definedName name="SD_34x1_56x1_40_S_0" localSheetId="4" hidden="1">'ProLink Mapping'!$D$443</definedName>
    <definedName name="SD_34x1_56x1_41_S_0" localSheetId="4" hidden="1">'ProLink Mapping'!$D$431</definedName>
    <definedName name="SD_34x1_56x1_42_S_0" localSheetId="4" hidden="1">'ProLink Mapping'!$D$458</definedName>
    <definedName name="SD_34x1_56x1_43_S_0" localSheetId="4" hidden="1">'ProLink Mapping'!$D$367</definedName>
    <definedName name="SD_34x1_56x1_44_S_0" localSheetId="4" hidden="1">'ProLink Mapping'!$D$473</definedName>
    <definedName name="SD_34x1_56x1_45_S_0" localSheetId="4" hidden="1">'ProLink Mapping'!$D$325</definedName>
    <definedName name="SD_34x1_56x1_46_S_0" localSheetId="4" hidden="1">'ProLink Mapping'!$D$326</definedName>
    <definedName name="SD_34x1_56x1_47_S_0" localSheetId="4" hidden="1">'ProLink Mapping'!$D$505</definedName>
    <definedName name="SD_34x1_56x1_48_S_0" localSheetId="4" hidden="1">'ProLink Mapping'!$D$504</definedName>
    <definedName name="SD_34x1_56x1_49_S_0" localSheetId="4" hidden="1">'ProLink Mapping'!$D$507</definedName>
    <definedName name="SD_34x1_56x1_5_S_0" localSheetId="4" hidden="1">'ProLink Mapping'!$D$345</definedName>
    <definedName name="SD_34x1_56x1_50_S_0" localSheetId="4" hidden="1">'ProLink Mapping'!$D$506</definedName>
    <definedName name="SD_34x1_56x1_52_S_0" localSheetId="4" hidden="1">'ProLink Mapping'!$D$494</definedName>
    <definedName name="SD_34x1_56x1_53_S_0" localSheetId="4" hidden="1">'ProLink Mapping'!$D$496</definedName>
    <definedName name="SD_34x1_56x1_6_S_0" localSheetId="4" hidden="1">'ProLink Mapping'!$D$348</definedName>
    <definedName name="SD_34x1_56x1_62_S_0" localSheetId="4" hidden="1">'ProLink Mapping'!$D$327</definedName>
    <definedName name="SD_34x1_56x1_63_S_0" localSheetId="4" hidden="1">'ProLink Mapping'!$D$336</definedName>
    <definedName name="SD_34x1_56x1_64_S_0" localSheetId="4" hidden="1">'ProLink Mapping'!$D$422</definedName>
    <definedName name="SD_34x1_56x1_65_S_0" localSheetId="4" hidden="1">'ProLink Mapping'!$D$373</definedName>
    <definedName name="SD_34x1_56x1_67_S_0" localSheetId="4" hidden="1">'ProLink Mapping'!$D$380</definedName>
    <definedName name="SD_34x1_56x1_69_S_0" localSheetId="4" hidden="1">'ProLink Mapping'!$D$415</definedName>
    <definedName name="SD_34x1_56x1_7_S_0" localSheetId="4" hidden="1">'ProLink Mapping'!$D$354</definedName>
    <definedName name="SD_34x1_56x1_70_S_0" localSheetId="4" hidden="1">'ProLink Mapping'!$D$421</definedName>
    <definedName name="SD_34x1_56x1_71_S_0" localSheetId="4" hidden="1">'ProLink Mapping'!$D$466</definedName>
    <definedName name="SD_34x1_56x1_72_S_0" localSheetId="4" hidden="1">'ProLink Mapping'!$D$401</definedName>
    <definedName name="SD_34x1_56x1_73_S_0" localSheetId="4" hidden="1">'ProLink Mapping'!$D$400</definedName>
    <definedName name="SD_34x1_56x1_74_S_0" localSheetId="4" hidden="1">'ProLink Mapping'!$D$444</definedName>
    <definedName name="SD_34x1_56x1_75_S_0" localSheetId="4" hidden="1">'ProLink Mapping'!$D$414</definedName>
    <definedName name="SD_34x1_56x1_76_S_0" localSheetId="4" hidden="1">'ProLink Mapping'!$D$469</definedName>
    <definedName name="SD_34x1_56x1_77_S_0" localSheetId="4" hidden="1">'ProLink Mapping'!$D$383</definedName>
    <definedName name="SD_34x1_56x1_78_S_0" localSheetId="4" hidden="1">'ProLink Mapping'!$D$474</definedName>
    <definedName name="SD_34x1_56x1_79_S_0" localSheetId="4" hidden="1">'ProLink Mapping'!$D$476</definedName>
    <definedName name="SD_34x1_56x1_8_S_0" localSheetId="4" hidden="1">'ProLink Mapping'!$D$332</definedName>
    <definedName name="SD_34x1_56x1_80_S_0" localSheetId="4" hidden="1">'ProLink Mapping'!$D$432</definedName>
    <definedName name="SD_34x1_56x1_81_S_0" localSheetId="4" hidden="1">'ProLink Mapping'!$D$433</definedName>
    <definedName name="SD_34x1_56x1_88_S_0" localSheetId="4" hidden="1">'ProLink Mapping'!$D$351</definedName>
    <definedName name="SD_34x1_56x1_89_S_0" localSheetId="4" hidden="1">'ProLink Mapping'!$D$420</definedName>
    <definedName name="SD_34x1_56x1_9_S_0" localSheetId="4" hidden="1">'ProLink Mapping'!$D$333</definedName>
    <definedName name="SD_34x1_56x1_93_S_0" localSheetId="4" hidden="1">'ProLink Mapping'!$D$360</definedName>
    <definedName name="SD_34x1_56x1_94_S_0" localSheetId="4" hidden="1">'ProLink Mapping'!$D$402</definedName>
    <definedName name="SD_34x1_56x1_95_S_0" localSheetId="4" hidden="1">'ProLink Mapping'!$D$366</definedName>
    <definedName name="SD_34x1_602_S_0" localSheetId="4" hidden="1">'ProLink Mapping'!$G$194</definedName>
    <definedName name="SD_34x1_603_S_0" localSheetId="4" hidden="1">'ProLink Mapping'!$G$191</definedName>
    <definedName name="SD_34x1_604_S_0" localSheetId="4" hidden="1">'ProLink Mapping'!$G$192</definedName>
    <definedName name="SD_34x1_605_S_0" localSheetId="4" hidden="1">'ProLink Mapping'!$G$189</definedName>
    <definedName name="SD_34x1_606_S_0" localSheetId="4" hidden="1">'ProLink Mapping'!$G$193</definedName>
    <definedName name="SD_34x1_607_S_0" localSheetId="4" hidden="1">'ProLink Mapping'!$G$187</definedName>
    <definedName name="SD_34x1_608_S_0" localSheetId="4" hidden="1">'ProLink Mapping'!$G$188</definedName>
    <definedName name="SD_34x1_609_S_0" localSheetId="4" hidden="1">'ProLink Mapping'!$G$190</definedName>
    <definedName name="SD_34x1_610_S_0" localSheetId="4" hidden="1">'ProLink Mapping'!$G$186</definedName>
    <definedName name="SD_34x1_611_S_0" localSheetId="4" hidden="1">'ProLink Mapping'!$C$192</definedName>
    <definedName name="SD_34x1_613_S_0" localSheetId="4" hidden="1">'ProLink Mapping'!$C$176</definedName>
    <definedName name="SD_34x1_615_S_0" localSheetId="4" hidden="1">'ProLink Mapping'!$C$181</definedName>
    <definedName name="SD_34x1_616_S_0" localSheetId="4" hidden="1">'ProLink Mapping'!$E$177</definedName>
    <definedName name="SD_34x1_618_S_0" localSheetId="4" hidden="1">'ProLink Mapping'!$C$187</definedName>
    <definedName name="SD_34x1_619_S_0" localSheetId="4" hidden="1">'ProLink Mapping'!$C$177</definedName>
    <definedName name="SD_34x1_622_S_0" localSheetId="4" hidden="1">'ProLink Mapping'!$E$185</definedName>
    <definedName name="SD_34x1_624_S_0" localSheetId="4" hidden="1">'ProLink Mapping'!$L$176</definedName>
    <definedName name="SD_34x1_625_S_0" localSheetId="4" hidden="1">'ProLink Mapping'!$E$180</definedName>
    <definedName name="SD_34x1_626_S_0" localSheetId="4" hidden="1">'ProLink Mapping'!$E$188</definedName>
    <definedName name="SD_34x1_628_S_0" localSheetId="4" hidden="1">'ProLink Mapping'!$C$180</definedName>
    <definedName name="SD_34x1_630_S_0" localSheetId="4" hidden="1">'ProLink Mapping'!$C$178</definedName>
    <definedName name="SD_34x1_631_S_0" localSheetId="4" hidden="1">'ProLink Mapping'!$B$178</definedName>
    <definedName name="SD_34x1_632_S_0" localSheetId="4" hidden="1">'ProLink Mapping'!$C$179</definedName>
    <definedName name="SD_34x1_633_S_0" localSheetId="4" hidden="1">'ProLink Mapping'!$B$179</definedName>
    <definedName name="SD_34x1_634_S_0" localSheetId="3" hidden="1">ProLink!$F$101</definedName>
    <definedName name="SD_34x1_635_S_0" localSheetId="3" hidden="1">ProLink!$G$101</definedName>
    <definedName name="SD_34x1_63x1_10_S_0" localSheetId="4" hidden="1">'ProLink Mapping'!$E$334</definedName>
    <definedName name="SD_34x1_63x1_12_S_0" localSheetId="4" hidden="1">'ProLink Mapping'!$E$347</definedName>
    <definedName name="SD_34x1_63x1_15_S_0" localSheetId="4" hidden="1">'ProLink Mapping'!$E$357</definedName>
    <definedName name="SD_34x1_63x1_16_S_0" localSheetId="4" hidden="1">'ProLink Mapping'!$E$358</definedName>
    <definedName name="SD_34x1_63x1_17_S_0" localSheetId="4" hidden="1">'ProLink Mapping'!$E$359</definedName>
    <definedName name="SD_34x1_63x1_19_S_0" localSheetId="4" hidden="1">'ProLink Mapping'!$E$335</definedName>
    <definedName name="SD_34x1_63x1_22_S_0" localSheetId="4" hidden="1">'ProLink Mapping'!$E$418</definedName>
    <definedName name="SD_34x1_63x1_23_S_0" localSheetId="4" hidden="1">'ProLink Mapping'!$E$419</definedName>
    <definedName name="SD_34x1_63x1_24_S_0" localSheetId="4" hidden="1">'ProLink Mapping'!$E$462</definedName>
    <definedName name="SD_34x1_63x1_26_S_0" localSheetId="4" hidden="1">'ProLink Mapping'!$E$374</definedName>
    <definedName name="SD_34x1_63x1_27_S_0" localSheetId="4" hidden="1">'ProLink Mapping'!$E$387</definedName>
    <definedName name="SD_34x1_63x1_28_S_0" localSheetId="4" hidden="1">'ProLink Mapping'!$E$394</definedName>
    <definedName name="SD_34x1_63x1_29_S_0" localSheetId="4" hidden="1">'ProLink Mapping'!$E$397</definedName>
    <definedName name="SD_34x1_63x1_30_S_0" localSheetId="4" hidden="1">'ProLink Mapping'!$E$465</definedName>
    <definedName name="SD_34x1_63x1_31_S_0" localSheetId="4" hidden="1">'ProLink Mapping'!$E$395</definedName>
    <definedName name="SD_34x1_63x1_32_S_0" localSheetId="4" hidden="1">'ProLink Mapping'!$E$390</definedName>
    <definedName name="SD_34x1_63x1_35_S_0" localSheetId="4" hidden="1">'ProLink Mapping'!$E$393</definedName>
    <definedName name="SD_34x1_63x1_37_S_0" localSheetId="4" hidden="1">'ProLink Mapping'!$E$445</definedName>
    <definedName name="SD_34x1_63x1_39_S_0" localSheetId="4" hidden="1">'ProLink Mapping'!$E$442</definedName>
    <definedName name="SD_34x1_63x1_40_S_0" localSheetId="4" hidden="1">'ProLink Mapping'!$E$443</definedName>
    <definedName name="SD_34x1_63x1_41_S_0" localSheetId="4" hidden="1">'ProLink Mapping'!$E$431</definedName>
    <definedName name="SD_34x1_63x1_42_S_0" localSheetId="4" hidden="1">'ProLink Mapping'!$E$458</definedName>
    <definedName name="SD_34x1_63x1_43_S_0" localSheetId="4" hidden="1">'ProLink Mapping'!$E$367</definedName>
    <definedName name="SD_34x1_63x1_44_S_0" localSheetId="4" hidden="1">'ProLink Mapping'!$E$473</definedName>
    <definedName name="SD_34x1_63x1_45_S_0" localSheetId="4" hidden="1">'ProLink Mapping'!$E$325</definedName>
    <definedName name="SD_34x1_63x1_46_S_0" localSheetId="4" hidden="1">'ProLink Mapping'!$E$326</definedName>
    <definedName name="SD_34x1_63x1_47_S_0" localSheetId="4" hidden="1">'ProLink Mapping'!$E$505</definedName>
    <definedName name="SD_34x1_63x1_48_S_0" localSheetId="4" hidden="1">'ProLink Mapping'!$E$504</definedName>
    <definedName name="SD_34x1_63x1_49_S_0" localSheetId="4" hidden="1">'ProLink Mapping'!$E$507</definedName>
    <definedName name="SD_34x1_63x1_5_S_0" localSheetId="4" hidden="1">'ProLink Mapping'!$E$345</definedName>
    <definedName name="SD_34x1_63x1_50_S_0" localSheetId="4" hidden="1">'ProLink Mapping'!$E$506</definedName>
    <definedName name="SD_34x1_63x1_52_S_0" localSheetId="4" hidden="1">'ProLink Mapping'!$E$494</definedName>
    <definedName name="SD_34x1_63x1_53_S_0" localSheetId="4" hidden="1">'ProLink Mapping'!$E$496</definedName>
    <definedName name="SD_34x1_63x1_6_S_0" localSheetId="4" hidden="1">'ProLink Mapping'!$E$348</definedName>
    <definedName name="SD_34x1_63x1_62_S_0" localSheetId="4" hidden="1">'ProLink Mapping'!$E$327</definedName>
    <definedName name="SD_34x1_63x1_63_S_0" localSheetId="4" hidden="1">'ProLink Mapping'!$E$336</definedName>
    <definedName name="SD_34x1_63x1_64_S_0" localSheetId="4" hidden="1">'ProLink Mapping'!$E$422</definedName>
    <definedName name="SD_34x1_63x1_65_S_0" localSheetId="4" hidden="1">'ProLink Mapping'!$E$373</definedName>
    <definedName name="SD_34x1_63x1_67_S_0" localSheetId="4" hidden="1">'ProLink Mapping'!$E$380</definedName>
    <definedName name="SD_34x1_63x1_69_S_0" localSheetId="4" hidden="1">'ProLink Mapping'!$E$415</definedName>
    <definedName name="SD_34x1_63x1_7_S_0" localSheetId="4" hidden="1">'ProLink Mapping'!$E$354</definedName>
    <definedName name="SD_34x1_63x1_70_S_0" localSheetId="4" hidden="1">'ProLink Mapping'!$E$421</definedName>
    <definedName name="SD_34x1_63x1_71_S_0" localSheetId="4" hidden="1">'ProLink Mapping'!$E$466</definedName>
    <definedName name="SD_34x1_63x1_72_S_0" localSheetId="4" hidden="1">'ProLink Mapping'!$E$401</definedName>
    <definedName name="SD_34x1_63x1_73_S_0" localSheetId="4" hidden="1">'ProLink Mapping'!$E$400</definedName>
    <definedName name="SD_34x1_63x1_74_S_0" localSheetId="4" hidden="1">'ProLink Mapping'!$E$444</definedName>
    <definedName name="SD_34x1_63x1_75_S_0" localSheetId="4" hidden="1">'ProLink Mapping'!$E$414</definedName>
    <definedName name="SD_34x1_63x1_76_S_0" localSheetId="4" hidden="1">'ProLink Mapping'!$E$469</definedName>
    <definedName name="SD_34x1_63x1_77_S_0" localSheetId="4" hidden="1">'ProLink Mapping'!$E$383</definedName>
    <definedName name="SD_34x1_63x1_78_S_0" localSheetId="4" hidden="1">'ProLink Mapping'!$E$474</definedName>
    <definedName name="SD_34x1_63x1_79_S_0" localSheetId="4" hidden="1">'ProLink Mapping'!$E$476</definedName>
    <definedName name="SD_34x1_63x1_8_S_0" localSheetId="4" hidden="1">'ProLink Mapping'!$E$332</definedName>
    <definedName name="SD_34x1_63x1_80_S_0" localSheetId="4" hidden="1">'ProLink Mapping'!$E$432</definedName>
    <definedName name="SD_34x1_63x1_81_S_0" localSheetId="4" hidden="1">'ProLink Mapping'!$E$433</definedName>
    <definedName name="SD_34x1_63x1_88_S_0" localSheetId="4" hidden="1">'ProLink Mapping'!$E$351</definedName>
    <definedName name="SD_34x1_63x1_89_S_0" localSheetId="4" hidden="1">'ProLink Mapping'!$E$420</definedName>
    <definedName name="SD_34x1_63x1_9_S_0" localSheetId="4" hidden="1">'ProLink Mapping'!$E$333</definedName>
    <definedName name="SD_34x1_63x1_93_S_0" localSheetId="4" hidden="1">'ProLink Mapping'!$E$360</definedName>
    <definedName name="SD_34x1_63x1_94_S_0" localSheetId="4" hidden="1">'ProLink Mapping'!$E$402</definedName>
    <definedName name="SD_34x1_63x1_95_S_0" localSheetId="4" hidden="1">'ProLink Mapping'!$E$366</definedName>
    <definedName name="SD_34x1_640_S_1" localSheetId="4" hidden="1">'ProLink Mapping'!$C$190</definedName>
    <definedName name="SD_34x1_641_S_1" localSheetId="4" hidden="1">'ProLink Mapping'!$C$191</definedName>
    <definedName name="SD_34x1_642_S_1" localSheetId="4" hidden="1">'ProLink Mapping'!$E$191</definedName>
    <definedName name="SD_34x1_643_S_1" localSheetId="4" hidden="1">'ProLink Mapping'!$E$190</definedName>
    <definedName name="SD_34x1_648_S_0" localSheetId="4" hidden="1">'ProLink Mapping'!$F$273</definedName>
    <definedName name="SD_34x1_651_S_1" localSheetId="4" hidden="1">ProLink!$F$109</definedName>
    <definedName name="SD_34x1_655_S_0" localSheetId="4" hidden="1">ProLink!$F$102</definedName>
    <definedName name="SD_34x1_656_S_0" localSheetId="4" hidden="1">'ProLink Mapping'!$L$179</definedName>
    <definedName name="SD_34x1_69_S_0" localSheetId="4" hidden="1">ProLink!$F$42</definedName>
    <definedName name="SD_34x1_7020x1_10_S_0" localSheetId="4" hidden="1">'ProLink Mapping'!$F$334</definedName>
    <definedName name="SD_34x1_7020x1_12_S_0" localSheetId="4" hidden="1">'ProLink Mapping'!$F$347</definedName>
    <definedName name="SD_34x1_7020x1_15_S_0" localSheetId="4" hidden="1">'ProLink Mapping'!$F$357</definedName>
    <definedName name="SD_34x1_7020x1_16_S_0" localSheetId="4" hidden="1">'ProLink Mapping'!$F$358</definedName>
    <definedName name="SD_34x1_7020x1_17_S_0" localSheetId="4" hidden="1">'ProLink Mapping'!$F$359</definedName>
    <definedName name="SD_34x1_7020x1_19_S_0" localSheetId="4" hidden="1">'ProLink Mapping'!$F$335</definedName>
    <definedName name="SD_34x1_7020x1_22_S_0" localSheetId="4" hidden="1">'ProLink Mapping'!$F$418</definedName>
    <definedName name="SD_34x1_7020x1_23_S_0" localSheetId="4" hidden="1">'ProLink Mapping'!$F$419</definedName>
    <definedName name="SD_34x1_7020x1_24_S_0" localSheetId="4" hidden="1">'ProLink Mapping'!$F$462</definedName>
    <definedName name="SD_34x1_7020x1_26_S_0" localSheetId="4" hidden="1">'ProLink Mapping'!$F$374</definedName>
    <definedName name="SD_34x1_7020x1_27_S_0" localSheetId="4" hidden="1">'ProLink Mapping'!$F$387</definedName>
    <definedName name="SD_34x1_7020x1_28_S_0" localSheetId="4" hidden="1">'ProLink Mapping'!$F$394</definedName>
    <definedName name="SD_34x1_7020x1_29_S_0" localSheetId="4" hidden="1">'ProLink Mapping'!$F$397</definedName>
    <definedName name="SD_34x1_7020x1_30_S_0" localSheetId="4" hidden="1">'ProLink Mapping'!$F$465</definedName>
    <definedName name="SD_34x1_7020x1_31_S_0" localSheetId="4" hidden="1">'ProLink Mapping'!$F$395</definedName>
    <definedName name="SD_34x1_7020x1_32_S_0" localSheetId="4" hidden="1">'ProLink Mapping'!$F$390</definedName>
    <definedName name="SD_34x1_7020x1_35_S_0" localSheetId="4" hidden="1">'ProLink Mapping'!$F$393</definedName>
    <definedName name="SD_34x1_7020x1_37_S_0" localSheetId="4" hidden="1">'ProLink Mapping'!$F$445</definedName>
    <definedName name="SD_34x1_7020x1_39_S_0" localSheetId="4" hidden="1">'ProLink Mapping'!$F$442</definedName>
    <definedName name="SD_34x1_7020x1_40_S_0" localSheetId="4" hidden="1">'ProLink Mapping'!$F$443</definedName>
    <definedName name="SD_34x1_7020x1_41_S_0" localSheetId="4" hidden="1">'ProLink Mapping'!$F$431</definedName>
    <definedName name="SD_34x1_7020x1_42_S_0" localSheetId="4" hidden="1">'ProLink Mapping'!$F$458</definedName>
    <definedName name="SD_34x1_7020x1_43_S_0" localSheetId="4" hidden="1">'ProLink Mapping'!$F$367</definedName>
    <definedName name="SD_34x1_7020x1_44_S_0" localSheetId="4" hidden="1">'ProLink Mapping'!$F$473</definedName>
    <definedName name="SD_34x1_7020x1_45_S_0" localSheetId="4" hidden="1">'ProLink Mapping'!$F$325</definedName>
    <definedName name="SD_34x1_7020x1_46_S_0" localSheetId="4" hidden="1">'ProLink Mapping'!$F$326</definedName>
    <definedName name="SD_34x1_7020x1_47_S_0" localSheetId="4" hidden="1">'ProLink Mapping'!$F$505</definedName>
    <definedName name="SD_34x1_7020x1_48_S_0" localSheetId="4" hidden="1">'ProLink Mapping'!$F$504</definedName>
    <definedName name="SD_34x1_7020x1_49_S_0" localSheetId="4" hidden="1">'ProLink Mapping'!$F$507</definedName>
    <definedName name="SD_34x1_7020x1_5_S_0" localSheetId="4" hidden="1">'ProLink Mapping'!$F$345</definedName>
    <definedName name="SD_34x1_7020x1_50_S_0" localSheetId="4" hidden="1">'ProLink Mapping'!$F$506</definedName>
    <definedName name="SD_34x1_7020x1_52_S_0" localSheetId="4" hidden="1">'ProLink Mapping'!$F$494</definedName>
    <definedName name="SD_34x1_7020x1_53_S_0" localSheetId="4" hidden="1">'ProLink Mapping'!$F$496</definedName>
    <definedName name="SD_34x1_7020x1_6_S_0" localSheetId="4" hidden="1">'ProLink Mapping'!$F$348</definedName>
    <definedName name="SD_34x1_7020x1_62_S_0" localSheetId="4" hidden="1">'ProLink Mapping'!$F$327</definedName>
    <definedName name="SD_34x1_7020x1_63_S_0" localSheetId="4" hidden="1">'ProLink Mapping'!$F$336</definedName>
    <definedName name="SD_34x1_7020x1_64_S_0" localSheetId="4" hidden="1">'ProLink Mapping'!$F$422</definedName>
    <definedName name="SD_34x1_7020x1_65_S_0" localSheetId="4" hidden="1">'ProLink Mapping'!$F$373</definedName>
    <definedName name="SD_34x1_7020x1_67_S_0" localSheetId="4" hidden="1">'ProLink Mapping'!$F$380</definedName>
    <definedName name="SD_34x1_7020x1_69_S_0" localSheetId="4" hidden="1">'ProLink Mapping'!$F$415</definedName>
    <definedName name="SD_34x1_7020x1_7_S_0" localSheetId="4" hidden="1">'ProLink Mapping'!$F$354</definedName>
    <definedName name="SD_34x1_7020x1_70_S_0" localSheetId="4" hidden="1">'ProLink Mapping'!$F$421</definedName>
    <definedName name="SD_34x1_7020x1_71_S_0" localSheetId="4" hidden="1">'ProLink Mapping'!$F$466</definedName>
    <definedName name="SD_34x1_7020x1_72_S_0" localSheetId="4" hidden="1">'ProLink Mapping'!$F$401</definedName>
    <definedName name="SD_34x1_7020x1_73_S_0" localSheetId="4" hidden="1">'ProLink Mapping'!$F$400</definedName>
    <definedName name="SD_34x1_7020x1_74_S_0" localSheetId="4" hidden="1">'ProLink Mapping'!$F$444</definedName>
    <definedName name="SD_34x1_7020x1_75_S_0" localSheetId="4" hidden="1">'ProLink Mapping'!$F$414</definedName>
    <definedName name="SD_34x1_7020x1_76_S_0" localSheetId="4" hidden="1">'ProLink Mapping'!$F$469</definedName>
    <definedName name="SD_34x1_7020x1_77_S_0" localSheetId="4" hidden="1">'ProLink Mapping'!$F$383</definedName>
    <definedName name="SD_34x1_7020x1_78_S_0" localSheetId="4" hidden="1">'ProLink Mapping'!$F$474</definedName>
    <definedName name="SD_34x1_7020x1_79_S_0" localSheetId="4" hidden="1">'ProLink Mapping'!$F$476</definedName>
    <definedName name="SD_34x1_7020x1_8_S_0" localSheetId="4" hidden="1">'ProLink Mapping'!$F$332</definedName>
    <definedName name="SD_34x1_7020x1_80_S_0" localSheetId="4" hidden="1">'ProLink Mapping'!$F$432</definedName>
    <definedName name="SD_34x1_7020x1_81_S_0" localSheetId="4" hidden="1">'ProLink Mapping'!$F$433</definedName>
    <definedName name="SD_34x1_7020x1_88_S_0" localSheetId="4" hidden="1">'ProLink Mapping'!$F$351</definedName>
    <definedName name="SD_34x1_7020x1_89_S_0" localSheetId="4" hidden="1">'ProLink Mapping'!$F$420</definedName>
    <definedName name="SD_34x1_7020x1_9_S_0" localSheetId="4" hidden="1">'ProLink Mapping'!$F$333</definedName>
    <definedName name="SD_34x1_7020x1_93_S_0" localSheetId="4" hidden="1">'ProLink Mapping'!$F$360</definedName>
    <definedName name="SD_34x1_7020x1_94_S_0" localSheetId="4" hidden="1">'ProLink Mapping'!$F$402</definedName>
    <definedName name="SD_34x1_7020x1_95_S_0" localSheetId="4" hidden="1">'ProLink Mapping'!$F$366</definedName>
    <definedName name="SD_34x1_71_S_0" localSheetId="4" hidden="1">ProLink!$F$44</definedName>
    <definedName name="SD_34x1_73_S_0" localSheetId="4" hidden="1">ProLink!$F$43</definedName>
    <definedName name="SD_34x1_77x1_107_S_0" localSheetId="4" hidden="1">'ProLink Mapping'!$C$613</definedName>
    <definedName name="SD_34x1_77x1_108_S_0" localSheetId="4" hidden="1">'ProLink Mapping'!$C$614</definedName>
    <definedName name="SD_34x1_77x1_109_S_0" localSheetId="4" hidden="1">'ProLink Mapping'!$C$620</definedName>
    <definedName name="SD_34x1_77x1_159_S_0" localSheetId="4" hidden="1">'ProLink Mapping'!$C$619</definedName>
    <definedName name="SD_34x1_77x1_29_S_0" localSheetId="4" hidden="1">'ProLink Mapping'!$C$622</definedName>
    <definedName name="SD_34x1_77x1_55_S_0" localSheetId="4" hidden="1">'ProLink Mapping'!$C$611</definedName>
    <definedName name="SD_34x1_77x1_56_S_0" localSheetId="4" hidden="1">'ProLink Mapping'!$C$615</definedName>
    <definedName name="SD_34x1_77x1_57_S_0" localSheetId="4" hidden="1">'ProLink Mapping'!$C$616</definedName>
    <definedName name="SD_34x1_77x1_58_S_0" localSheetId="4" hidden="1">'ProLink Mapping'!$C$623</definedName>
    <definedName name="SD_34x1_77x1_59_S_0" localSheetId="4" hidden="1">'ProLink Mapping'!$C$624</definedName>
    <definedName name="SD_34x1_77x1_60_S_0" localSheetId="4" hidden="1">'ProLink Mapping'!$C$625</definedName>
    <definedName name="SD_34x1_77x1_81_S_0" localSheetId="4" hidden="1">'ProLink Mapping'!$C$612</definedName>
    <definedName name="SD_34x1_77x1_82_S_0" localSheetId="4" hidden="1">'ProLink Mapping'!$C$617</definedName>
    <definedName name="SD_34x1_77x1_83_S_0" localSheetId="4" hidden="1">'ProLink Mapping'!$C$618</definedName>
    <definedName name="SD_34x1_77x1_84_S_0" localSheetId="4" hidden="1">'ProLink Mapping'!$C$621</definedName>
    <definedName name="SD_34x1_77x1_85_S_0" localSheetId="4" hidden="1">'ProLink Mapping'!$C$626</definedName>
    <definedName name="SD_34x1_78_S_0" localSheetId="4" hidden="1">'ProLink Mapping'!$F$276</definedName>
    <definedName name="SD_34x1_78x1_10_S_0" localSheetId="4" hidden="1">'ProLink Mapping'!$N$197</definedName>
    <definedName name="SD_34x1_78x1_17_S_1" localSheetId="4" hidden="1">'ProLink Mapping'!$P$197</definedName>
    <definedName name="SD_34x1_78x1_20_S_1" localSheetId="4" hidden="1">'ProLink Mapping'!$H$197</definedName>
    <definedName name="SD_34x1_78x1_8_S_0" localSheetId="4" hidden="1">'ProLink Mapping'!$J$197</definedName>
    <definedName name="SD_34x1_78x1_9_S_0" localSheetId="4" hidden="1">'ProLink Mapping'!$L$197</definedName>
    <definedName name="SD_34x1_78x10_10_S_0" localSheetId="4" hidden="1">'ProLink Mapping'!$N$206</definedName>
    <definedName name="SD_34x1_78x10_17_S_1" localSheetId="4" hidden="1">'ProLink Mapping'!$P$206</definedName>
    <definedName name="SD_34x1_78x10_20_S_1" localSheetId="4" hidden="1">'ProLink Mapping'!$H$206</definedName>
    <definedName name="SD_34x1_78x10_8_S_0" localSheetId="4" hidden="1">'ProLink Mapping'!$J$206</definedName>
    <definedName name="SD_34x1_78x10_9_S_0" localSheetId="4" hidden="1">'ProLink Mapping'!$L$206</definedName>
    <definedName name="SD_34x1_78x11_10_S_0" localSheetId="4" hidden="1">'ProLink Mapping'!$N$207</definedName>
    <definedName name="SD_34x1_78x11_17_S_1" localSheetId="4" hidden="1">'ProLink Mapping'!$P$207</definedName>
    <definedName name="SD_34x1_78x11_20_S_1" localSheetId="4" hidden="1">'ProLink Mapping'!$H$207</definedName>
    <definedName name="SD_34x1_78x11_8_S_0" localSheetId="4" hidden="1">'ProLink Mapping'!$J$207</definedName>
    <definedName name="SD_34x1_78x11_9_S_0" localSheetId="4" hidden="1">'ProLink Mapping'!$L$207</definedName>
    <definedName name="SD_34x1_78x12_10_S_0" localSheetId="4" hidden="1">'ProLink Mapping'!$N$208</definedName>
    <definedName name="SD_34x1_78x12_17_S_1" localSheetId="4" hidden="1">'ProLink Mapping'!$P$208</definedName>
    <definedName name="SD_34x1_78x12_20_S_1" localSheetId="4" hidden="1">'ProLink Mapping'!$H$208</definedName>
    <definedName name="SD_34x1_78x12_8_S_0" localSheetId="4" hidden="1">'ProLink Mapping'!$J$208</definedName>
    <definedName name="SD_34x1_78x12_9_S_0" localSheetId="4" hidden="1">'ProLink Mapping'!$L$208</definedName>
    <definedName name="SD_34x1_78x13_10_S_0" localSheetId="4" hidden="1">'ProLink Mapping'!$N$209</definedName>
    <definedName name="SD_34x1_78x13_17_S_1" localSheetId="4" hidden="1">'ProLink Mapping'!$P$209</definedName>
    <definedName name="SD_34x1_78x13_20_S_1" localSheetId="4" hidden="1">'ProLink Mapping'!$H$209</definedName>
    <definedName name="SD_34x1_78x13_8_S_0" localSheetId="4" hidden="1">'ProLink Mapping'!$J$209</definedName>
    <definedName name="SD_34x1_78x13_9_S_0" localSheetId="4" hidden="1">'ProLink Mapping'!$L$209</definedName>
    <definedName name="SD_34x1_78x14_10_S_0" localSheetId="4" hidden="1">'ProLink Mapping'!$N$210</definedName>
    <definedName name="SD_34x1_78x14_17_S_1" localSheetId="4" hidden="1">'ProLink Mapping'!$P$210</definedName>
    <definedName name="SD_34x1_78x14_20_S_1" localSheetId="4" hidden="1">'ProLink Mapping'!$H$210</definedName>
    <definedName name="SD_34x1_78x14_8_S_0" localSheetId="4" hidden="1">'ProLink Mapping'!$J$210</definedName>
    <definedName name="SD_34x1_78x14_9_S_0" localSheetId="4" hidden="1">'ProLink Mapping'!$L$210</definedName>
    <definedName name="SD_34x1_78x15_10_S_0" localSheetId="4" hidden="1">'ProLink Mapping'!$N$211</definedName>
    <definedName name="SD_34x1_78x15_17_S_1" localSheetId="4" hidden="1">'ProLink Mapping'!$P$211</definedName>
    <definedName name="SD_34x1_78x15_20_S_1" localSheetId="4" hidden="1">'ProLink Mapping'!$H$211</definedName>
    <definedName name="SD_34x1_78x15_8_S_0" localSheetId="4" hidden="1">'ProLink Mapping'!$J$211</definedName>
    <definedName name="SD_34x1_78x15_9_S_0" localSheetId="4" hidden="1">'ProLink Mapping'!$L$211</definedName>
    <definedName name="SD_34x1_78x16_10_S_0" localSheetId="4" hidden="1">'ProLink Mapping'!$N$212</definedName>
    <definedName name="SD_34x1_78x16_17_S_1" localSheetId="4" hidden="1">'ProLink Mapping'!$P$212</definedName>
    <definedName name="SD_34x1_78x16_20_S_1" localSheetId="4" hidden="1">'ProLink Mapping'!$H$212</definedName>
    <definedName name="SD_34x1_78x16_8_S_0" localSheetId="4" hidden="1">'ProLink Mapping'!$J$212</definedName>
    <definedName name="SD_34x1_78x16_9_S_0" localSheetId="4" hidden="1">'ProLink Mapping'!$L$212</definedName>
    <definedName name="SD_34x1_78x17_10_S_0" localSheetId="4" hidden="1">'ProLink Mapping'!$N$213</definedName>
    <definedName name="SD_34x1_78x17_17_S_1" localSheetId="4" hidden="1">'ProLink Mapping'!$P$213</definedName>
    <definedName name="SD_34x1_78x17_20_S_1" localSheetId="4" hidden="1">'ProLink Mapping'!$H$213</definedName>
    <definedName name="SD_34x1_78x17_8_S_0" localSheetId="4" hidden="1">'ProLink Mapping'!$J$213</definedName>
    <definedName name="SD_34x1_78x17_9_S_0" localSheetId="4" hidden="1">'ProLink Mapping'!$L$213</definedName>
    <definedName name="SD_34x1_78x18_10_S_0" localSheetId="4" hidden="1">'ProLink Mapping'!$N$214</definedName>
    <definedName name="SD_34x1_78x18_17_S_1" localSheetId="4" hidden="1">'ProLink Mapping'!$P$214</definedName>
    <definedName name="SD_34x1_78x18_20_S_1" localSheetId="4" hidden="1">'ProLink Mapping'!$H$214</definedName>
    <definedName name="SD_34x1_78x18_8_S_0" localSheetId="4" hidden="1">'ProLink Mapping'!$J$214</definedName>
    <definedName name="SD_34x1_78x18_9_S_0" localSheetId="4" hidden="1">'ProLink Mapping'!$L$214</definedName>
    <definedName name="SD_34x1_78x19_10_S_0" localSheetId="4" hidden="1">'ProLink Mapping'!$N$215</definedName>
    <definedName name="SD_34x1_78x19_17_S_1" localSheetId="4" hidden="1">'ProLink Mapping'!$P$215</definedName>
    <definedName name="SD_34x1_78x19_20_S_1" localSheetId="4" hidden="1">'ProLink Mapping'!$H$215</definedName>
    <definedName name="SD_34x1_78x19_8_S_0" localSheetId="4" hidden="1">'ProLink Mapping'!$J$215</definedName>
    <definedName name="SD_34x1_78x19_9_S_0" localSheetId="4" hidden="1">'ProLink Mapping'!$L$215</definedName>
    <definedName name="SD_34x1_78x2_10_S_0" localSheetId="4" hidden="1">'ProLink Mapping'!$N$198</definedName>
    <definedName name="SD_34x1_78x2_17_S_1" localSheetId="4" hidden="1">'ProLink Mapping'!$P$198</definedName>
    <definedName name="SD_34x1_78x2_20_S_1" localSheetId="4" hidden="1">'ProLink Mapping'!$H$198</definedName>
    <definedName name="SD_34x1_78x2_8_S_0" localSheetId="4" hidden="1">'ProLink Mapping'!$J$198</definedName>
    <definedName name="SD_34x1_78x2_9_S_0" localSheetId="4" hidden="1">'ProLink Mapping'!$L$198</definedName>
    <definedName name="SD_34x1_78x20_10_S_0" localSheetId="4" hidden="1">'ProLink Mapping'!$N$216</definedName>
    <definedName name="SD_34x1_78x20_17_S_1" localSheetId="4" hidden="1">'ProLink Mapping'!$P$216</definedName>
    <definedName name="SD_34x1_78x20_20_S_1" localSheetId="4" hidden="1">'ProLink Mapping'!$H$216</definedName>
    <definedName name="SD_34x1_78x20_8_S_0" localSheetId="4" hidden="1">'ProLink Mapping'!$J$216</definedName>
    <definedName name="SD_34x1_78x20_9_S_0" localSheetId="4" hidden="1">'ProLink Mapping'!$L$216</definedName>
    <definedName name="SD_34x1_78x21_10_S_0" localSheetId="4" hidden="1">'ProLink Mapping'!$N$217</definedName>
    <definedName name="SD_34x1_78x21_17_S_1" localSheetId="4" hidden="1">'ProLink Mapping'!$P$217</definedName>
    <definedName name="SD_34x1_78x21_20_S_1" localSheetId="4" hidden="1">'ProLink Mapping'!$H$217</definedName>
    <definedName name="SD_34x1_78x21_8_S_0" localSheetId="4" hidden="1">'ProLink Mapping'!$J$217</definedName>
    <definedName name="SD_34x1_78x21_9_S_0" localSheetId="4" hidden="1">'ProLink Mapping'!$L$217</definedName>
    <definedName name="SD_34x1_78x22_10_S_0" localSheetId="4" hidden="1">'ProLink Mapping'!$N$218</definedName>
    <definedName name="SD_34x1_78x22_17_S_1" localSheetId="4" hidden="1">'ProLink Mapping'!$P$218</definedName>
    <definedName name="SD_34x1_78x22_20_S_1" localSheetId="4" hidden="1">'ProLink Mapping'!$H$218</definedName>
    <definedName name="SD_34x1_78x22_8_S_0" localSheetId="4" hidden="1">'ProLink Mapping'!$J$218</definedName>
    <definedName name="SD_34x1_78x22_9_S_0" localSheetId="4" hidden="1">'ProLink Mapping'!$L$218</definedName>
    <definedName name="SD_34x1_78x23_10_S_0" localSheetId="4" hidden="1">'ProLink Mapping'!$N$219</definedName>
    <definedName name="SD_34x1_78x23_17_S_1" localSheetId="4" hidden="1">'ProLink Mapping'!$P$219</definedName>
    <definedName name="SD_34x1_78x23_20_S_1" localSheetId="4" hidden="1">'ProLink Mapping'!$H$219</definedName>
    <definedName name="SD_34x1_78x23_8_S_0" localSheetId="4" hidden="1">'ProLink Mapping'!$J$219</definedName>
    <definedName name="SD_34x1_78x23_9_S_0" localSheetId="4" hidden="1">'ProLink Mapping'!$L$219</definedName>
    <definedName name="SD_34x1_78x24_10_S_0" localSheetId="4" hidden="1">'ProLink Mapping'!$N$220</definedName>
    <definedName name="SD_34x1_78x24_17_S_1" localSheetId="4" hidden="1">'ProLink Mapping'!$P$220</definedName>
    <definedName name="SD_34x1_78x24_20_S_1" localSheetId="4" hidden="1">'ProLink Mapping'!$H$220</definedName>
    <definedName name="SD_34x1_78x24_8_S_0" localSheetId="4" hidden="1">'ProLink Mapping'!$J$220</definedName>
    <definedName name="SD_34x1_78x24_9_S_0" localSheetId="4" hidden="1">'ProLink Mapping'!$L$220</definedName>
    <definedName name="SD_34x1_78x25_10_S_0" localSheetId="4" hidden="1">'ProLink Mapping'!$N$221</definedName>
    <definedName name="SD_34x1_78x25_17_S_1" localSheetId="4" hidden="1">'ProLink Mapping'!$P$221</definedName>
    <definedName name="SD_34x1_78x25_20_S_1" localSheetId="4" hidden="1">'ProLink Mapping'!$H$221</definedName>
    <definedName name="SD_34x1_78x25_8_S_0" localSheetId="4" hidden="1">'ProLink Mapping'!$J$221</definedName>
    <definedName name="SD_34x1_78x25_9_S_0" localSheetId="4" hidden="1">'ProLink Mapping'!$L$221</definedName>
    <definedName name="SD_34x1_78x26_10_S_0" localSheetId="4" hidden="1">'ProLink Mapping'!$N$222</definedName>
    <definedName name="SD_34x1_78x26_17_S_1" localSheetId="4" hidden="1">'ProLink Mapping'!$P$222</definedName>
    <definedName name="SD_34x1_78x26_20_S_1" localSheetId="4" hidden="1">'ProLink Mapping'!$H$222</definedName>
    <definedName name="SD_34x1_78x26_8_S_0" localSheetId="4" hidden="1">'ProLink Mapping'!$J$222</definedName>
    <definedName name="SD_34x1_78x26_9_S_0" localSheetId="4" hidden="1">'ProLink Mapping'!$L$222</definedName>
    <definedName name="SD_34x1_78x27_10_S_0" localSheetId="4" hidden="1">'ProLink Mapping'!$N$223</definedName>
    <definedName name="SD_34x1_78x27_17_S_1" localSheetId="4" hidden="1">'ProLink Mapping'!$P$223</definedName>
    <definedName name="SD_34x1_78x27_20_S_1" localSheetId="4" hidden="1">'ProLink Mapping'!$H$223</definedName>
    <definedName name="SD_34x1_78x27_8_S_0" localSheetId="4" hidden="1">'ProLink Mapping'!$J$223</definedName>
    <definedName name="SD_34x1_78x27_9_S_0" localSheetId="4" hidden="1">'ProLink Mapping'!$L$223</definedName>
    <definedName name="SD_34x1_78x28_10_S_0" localSheetId="4" hidden="1">'ProLink Mapping'!$N$224</definedName>
    <definedName name="SD_34x1_78x28_17_S_1" localSheetId="4" hidden="1">'ProLink Mapping'!$P$224</definedName>
    <definedName name="SD_34x1_78x28_20_S_1" localSheetId="4" hidden="1">'ProLink Mapping'!$H$224</definedName>
    <definedName name="SD_34x1_78x28_8_S_0" localSheetId="4" hidden="1">'ProLink Mapping'!$J$224</definedName>
    <definedName name="SD_34x1_78x28_9_S_0" localSheetId="4" hidden="1">'ProLink Mapping'!$L$224</definedName>
    <definedName name="SD_34x1_78x29_10_S_0" localSheetId="4" hidden="1">'ProLink Mapping'!$N$225</definedName>
    <definedName name="SD_34x1_78x29_17_S_1" localSheetId="4" hidden="1">'ProLink Mapping'!$P$225</definedName>
    <definedName name="SD_34x1_78x29_20_S_1" localSheetId="4" hidden="1">'ProLink Mapping'!$H$225</definedName>
    <definedName name="SD_34x1_78x29_8_S_0" localSheetId="4" hidden="1">'ProLink Mapping'!$J$225</definedName>
    <definedName name="SD_34x1_78x29_9_S_0" localSheetId="4" hidden="1">'ProLink Mapping'!$L$225</definedName>
    <definedName name="SD_34x1_78x3_10_S_0" localSheetId="4" hidden="1">'ProLink Mapping'!$N$199</definedName>
    <definedName name="SD_34x1_78x3_17_S_1" localSheetId="4" hidden="1">'ProLink Mapping'!$P$199</definedName>
    <definedName name="SD_34x1_78x3_20_S_1" localSheetId="4" hidden="1">'ProLink Mapping'!$H$199</definedName>
    <definedName name="SD_34x1_78x3_8_S_0" localSheetId="4" hidden="1">'ProLink Mapping'!$J$199</definedName>
    <definedName name="SD_34x1_78x3_9_S_0" localSheetId="4" hidden="1">'ProLink Mapping'!$L$199</definedName>
    <definedName name="SD_34x1_78x30_10_S_0" localSheetId="4" hidden="1">'ProLink Mapping'!$N$226</definedName>
    <definedName name="SD_34x1_78x30_17_S_1" localSheetId="4" hidden="1">'ProLink Mapping'!$P$226</definedName>
    <definedName name="SD_34x1_78x30_20_S_1" localSheetId="4" hidden="1">'ProLink Mapping'!$H$226</definedName>
    <definedName name="SD_34x1_78x30_8_S_0" localSheetId="4" hidden="1">'ProLink Mapping'!$J$226</definedName>
    <definedName name="SD_34x1_78x30_9_S_0" localSheetId="4" hidden="1">'ProLink Mapping'!$L$226</definedName>
    <definedName name="SD_34x1_78x31_10_S_0" localSheetId="4" hidden="1">'ProLink Mapping'!$N$227</definedName>
    <definedName name="SD_34x1_78x31_17_S_1" localSheetId="4" hidden="1">'ProLink Mapping'!$P$227</definedName>
    <definedName name="SD_34x1_78x31_20_S_1" localSheetId="4" hidden="1">'ProLink Mapping'!$H$227</definedName>
    <definedName name="SD_34x1_78x31_8_S_0" localSheetId="4" hidden="1">'ProLink Mapping'!$J$227</definedName>
    <definedName name="SD_34x1_78x31_9_S_0" localSheetId="4" hidden="1">'ProLink Mapping'!$L$227</definedName>
    <definedName name="SD_34x1_78x32_10_S_0" localSheetId="4" hidden="1">'ProLink Mapping'!$N$228</definedName>
    <definedName name="SD_34x1_78x32_17_S_1" localSheetId="4" hidden="1">'ProLink Mapping'!$P$228</definedName>
    <definedName name="SD_34x1_78x32_20_S_1" localSheetId="4" hidden="1">'ProLink Mapping'!$H$228</definedName>
    <definedName name="SD_34x1_78x32_8_S_0" localSheetId="4" hidden="1">'ProLink Mapping'!$J$228</definedName>
    <definedName name="SD_34x1_78x32_9_S_0" localSheetId="4" hidden="1">'ProLink Mapping'!$L$228</definedName>
    <definedName name="SD_34x1_78x33_10_S_0" localSheetId="4" hidden="1">'ProLink Mapping'!$N$229</definedName>
    <definedName name="SD_34x1_78x33_17_S_1" localSheetId="4" hidden="1">'ProLink Mapping'!$P$229</definedName>
    <definedName name="SD_34x1_78x33_20_S_1" localSheetId="4" hidden="1">'ProLink Mapping'!$H$229</definedName>
    <definedName name="SD_34x1_78x33_8_S_0" localSheetId="4" hidden="1">'ProLink Mapping'!$J$229</definedName>
    <definedName name="SD_34x1_78x33_9_S_0" localSheetId="4" hidden="1">'ProLink Mapping'!$L$229</definedName>
    <definedName name="SD_34x1_78x34_10_S_0" localSheetId="4" hidden="1">'ProLink Mapping'!$N$230</definedName>
    <definedName name="SD_34x1_78x34_17_S_1" localSheetId="4" hidden="1">'ProLink Mapping'!$P$230</definedName>
    <definedName name="SD_34x1_78x34_20_S_1" localSheetId="4" hidden="1">'ProLink Mapping'!$H$230</definedName>
    <definedName name="SD_34x1_78x34_8_S_0" localSheetId="4" hidden="1">'ProLink Mapping'!$J$230</definedName>
    <definedName name="SD_34x1_78x34_9_S_0" localSheetId="4" hidden="1">'ProLink Mapping'!$L$230</definedName>
    <definedName name="SD_34x1_78x35_10_S_0" localSheetId="4" hidden="1">'ProLink Mapping'!$N$231</definedName>
    <definedName name="SD_34x1_78x35_17_S_1" localSheetId="4" hidden="1">'ProLink Mapping'!$P$231</definedName>
    <definedName name="SD_34x1_78x35_20_S_1" localSheetId="4" hidden="1">'ProLink Mapping'!$H$231</definedName>
    <definedName name="SD_34x1_78x35_8_S_0" localSheetId="4" hidden="1">'ProLink Mapping'!$J$231</definedName>
    <definedName name="SD_34x1_78x35_9_S_0" localSheetId="4" hidden="1">'ProLink Mapping'!$L$231</definedName>
    <definedName name="SD_34x1_78x36_10_S_0" localSheetId="4" hidden="1">'ProLink Mapping'!$N$232</definedName>
    <definedName name="SD_34x1_78x36_17_S_1" localSheetId="4" hidden="1">'ProLink Mapping'!$P$232</definedName>
    <definedName name="SD_34x1_78x36_20_S_1" localSheetId="4" hidden="1">'ProLink Mapping'!$H$232</definedName>
    <definedName name="SD_34x1_78x36_8_S_0" localSheetId="4" hidden="1">'ProLink Mapping'!$J$232</definedName>
    <definedName name="SD_34x1_78x36_9_S_0" localSheetId="4" hidden="1">'ProLink Mapping'!$L$232</definedName>
    <definedName name="SD_34x1_78x37_10_S_0" localSheetId="4" hidden="1">'ProLink Mapping'!$N$233</definedName>
    <definedName name="SD_34x1_78x37_17_S_1" localSheetId="4" hidden="1">'ProLink Mapping'!$P$233</definedName>
    <definedName name="SD_34x1_78x37_20_S_1" localSheetId="4" hidden="1">'ProLink Mapping'!$H$233</definedName>
    <definedName name="SD_34x1_78x37_8_S_0" localSheetId="4" hidden="1">'ProLink Mapping'!$J$233</definedName>
    <definedName name="SD_34x1_78x37_9_S_0" localSheetId="4" hidden="1">'ProLink Mapping'!$L$233</definedName>
    <definedName name="SD_34x1_78x38_10_S_0" localSheetId="4" hidden="1">'ProLink Mapping'!$N$234</definedName>
    <definedName name="SD_34x1_78x38_17_S_1" localSheetId="4" hidden="1">'ProLink Mapping'!$P$234</definedName>
    <definedName name="SD_34x1_78x38_20_S_1" localSheetId="4" hidden="1">'ProLink Mapping'!$H$234</definedName>
    <definedName name="SD_34x1_78x38_8_S_0" localSheetId="4" hidden="1">'ProLink Mapping'!$J$234</definedName>
    <definedName name="SD_34x1_78x38_9_S_0" localSheetId="4" hidden="1">'ProLink Mapping'!$L$234</definedName>
    <definedName name="SD_34x1_78x39_10_S_0" localSheetId="4" hidden="1">'ProLink Mapping'!$N$235</definedName>
    <definedName name="SD_34x1_78x39_17_S_1" localSheetId="4" hidden="1">'ProLink Mapping'!$P$235</definedName>
    <definedName name="SD_34x1_78x39_20_S_1" localSheetId="4" hidden="1">'ProLink Mapping'!$H$235</definedName>
    <definedName name="SD_34x1_78x39_8_S_0" localSheetId="4" hidden="1">'ProLink Mapping'!$J$235</definedName>
    <definedName name="SD_34x1_78x39_9_S_0" localSheetId="4" hidden="1">'ProLink Mapping'!$L$235</definedName>
    <definedName name="SD_34x1_78x4_10_S_0" localSheetId="4" hidden="1">'ProLink Mapping'!$N$200</definedName>
    <definedName name="SD_34x1_78x4_17_S_1" localSheetId="4" hidden="1">'ProLink Mapping'!$P$200</definedName>
    <definedName name="SD_34x1_78x4_20_S_1" localSheetId="4" hidden="1">'ProLink Mapping'!$H$200</definedName>
    <definedName name="SD_34x1_78x4_8_S_0" localSheetId="4" hidden="1">'ProLink Mapping'!$J$200</definedName>
    <definedName name="SD_34x1_78x4_9_S_0" localSheetId="4" hidden="1">'ProLink Mapping'!$L$200</definedName>
    <definedName name="SD_34x1_78x40_10_S_0" localSheetId="4" hidden="1">'ProLink Mapping'!$N$236</definedName>
    <definedName name="SD_34x1_78x40_17_S_1" localSheetId="4" hidden="1">'ProLink Mapping'!$P$236</definedName>
    <definedName name="SD_34x1_78x40_20_S_1" localSheetId="4" hidden="1">'ProLink Mapping'!$H$236</definedName>
    <definedName name="SD_34x1_78x40_8_S_0" localSheetId="4" hidden="1">'ProLink Mapping'!$J$236</definedName>
    <definedName name="SD_34x1_78x40_9_S_0" localSheetId="4" hidden="1">'ProLink Mapping'!$L$236</definedName>
    <definedName name="SD_34x1_78x41_10_S_0" localSheetId="4" hidden="1">'ProLink Mapping'!$N$237</definedName>
    <definedName name="SD_34x1_78x41_17_S_1" localSheetId="4" hidden="1">'ProLink Mapping'!$P$237</definedName>
    <definedName name="SD_34x1_78x41_20_S_1" localSheetId="4" hidden="1">'ProLink Mapping'!$H$237</definedName>
    <definedName name="SD_34x1_78x41_8_S_0" localSheetId="4" hidden="1">'ProLink Mapping'!$J$237</definedName>
    <definedName name="SD_34x1_78x41_9_S_0" localSheetId="4" hidden="1">'ProLink Mapping'!$L$237</definedName>
    <definedName name="SD_34x1_78x42_10_S_0" localSheetId="4" hidden="1">'ProLink Mapping'!$N$238</definedName>
    <definedName name="SD_34x1_78x42_17_S_1" localSheetId="4" hidden="1">'ProLink Mapping'!$P$238</definedName>
    <definedName name="SD_34x1_78x42_20_S_1" localSheetId="4" hidden="1">'ProLink Mapping'!$H$238</definedName>
    <definedName name="SD_34x1_78x42_8_S_0" localSheetId="4" hidden="1">'ProLink Mapping'!$J$238</definedName>
    <definedName name="SD_34x1_78x42_9_S_0" localSheetId="4" hidden="1">'ProLink Mapping'!$L$238</definedName>
    <definedName name="SD_34x1_78x43_10_S_0" localSheetId="4" hidden="1">'ProLink Mapping'!$N$239</definedName>
    <definedName name="SD_34x1_78x43_17_S_1" localSheetId="4" hidden="1">'ProLink Mapping'!$P$239</definedName>
    <definedName name="SD_34x1_78x43_20_S_1" localSheetId="4" hidden="1">'ProLink Mapping'!$H$239</definedName>
    <definedName name="SD_34x1_78x43_8_S_0" localSheetId="4" hidden="1">'ProLink Mapping'!$J$239</definedName>
    <definedName name="SD_34x1_78x43_9_S_0" localSheetId="4" hidden="1">'ProLink Mapping'!$L$239</definedName>
    <definedName name="SD_34x1_78x44_10_S_0" localSheetId="4" hidden="1">'ProLink Mapping'!$N$240</definedName>
    <definedName name="SD_34x1_78x44_17_S_1" localSheetId="4" hidden="1">'ProLink Mapping'!$P$240</definedName>
    <definedName name="SD_34x1_78x44_20_S_1" localSheetId="4" hidden="1">'ProLink Mapping'!$H$240</definedName>
    <definedName name="SD_34x1_78x44_8_S_0" localSheetId="4" hidden="1">'ProLink Mapping'!$J$240</definedName>
    <definedName name="SD_34x1_78x44_9_S_0" localSheetId="4" hidden="1">'ProLink Mapping'!$L$240</definedName>
    <definedName name="SD_34x1_78x45_10_S_0" localSheetId="4" hidden="1">'ProLink Mapping'!$N$241</definedName>
    <definedName name="SD_34x1_78x45_17_S_1" localSheetId="4" hidden="1">'ProLink Mapping'!$P$241</definedName>
    <definedName name="SD_34x1_78x45_20_S_1" localSheetId="4" hidden="1">'ProLink Mapping'!$H$241</definedName>
    <definedName name="SD_34x1_78x45_8_S_0" localSheetId="4" hidden="1">'ProLink Mapping'!$J$241</definedName>
    <definedName name="SD_34x1_78x45_9_S_0" localSheetId="4" hidden="1">'ProLink Mapping'!$L$241</definedName>
    <definedName name="SD_34x1_78x46_10_S_0" localSheetId="4" hidden="1">'ProLink Mapping'!$N$242</definedName>
    <definedName name="SD_34x1_78x46_17_S_1" localSheetId="4" hidden="1">'ProLink Mapping'!$P$242</definedName>
    <definedName name="SD_34x1_78x46_20_S_1" localSheetId="4" hidden="1">'ProLink Mapping'!$H$242</definedName>
    <definedName name="SD_34x1_78x46_8_S_0" localSheetId="4" hidden="1">'ProLink Mapping'!$J$242</definedName>
    <definedName name="SD_34x1_78x46_9_S_0" localSheetId="4" hidden="1">'ProLink Mapping'!$L$242</definedName>
    <definedName name="SD_34x1_78x47_10_S_0" localSheetId="4" hidden="1">'ProLink Mapping'!$N$243</definedName>
    <definedName name="SD_34x1_78x47_17_S_1" localSheetId="4" hidden="1">'ProLink Mapping'!$P$243</definedName>
    <definedName name="SD_34x1_78x47_20_S_1" localSheetId="4" hidden="1">'ProLink Mapping'!$H$243</definedName>
    <definedName name="SD_34x1_78x47_8_S_0" localSheetId="4" hidden="1">'ProLink Mapping'!$J$243</definedName>
    <definedName name="SD_34x1_78x47_9_S_0" localSheetId="4" hidden="1">'ProLink Mapping'!$L$243</definedName>
    <definedName name="SD_34x1_78x48_10_S_0" localSheetId="4" hidden="1">'ProLink Mapping'!$N$244</definedName>
    <definedName name="SD_34x1_78x48_17_S_1" localSheetId="4" hidden="1">'ProLink Mapping'!$P$244</definedName>
    <definedName name="SD_34x1_78x48_20_S_1" localSheetId="4" hidden="1">'ProLink Mapping'!$H$244</definedName>
    <definedName name="SD_34x1_78x48_8_S_0" localSheetId="4" hidden="1">'ProLink Mapping'!$J$244</definedName>
    <definedName name="SD_34x1_78x48_9_S_0" localSheetId="4" hidden="1">'ProLink Mapping'!$L$244</definedName>
    <definedName name="SD_34x1_78x49_10_S_0" localSheetId="4" hidden="1">'ProLink Mapping'!$N$245</definedName>
    <definedName name="SD_34x1_78x49_17_S_1" localSheetId="4" hidden="1">'ProLink Mapping'!$P$245</definedName>
    <definedName name="SD_34x1_78x49_20_S_1" localSheetId="4" hidden="1">'ProLink Mapping'!$H$245</definedName>
    <definedName name="SD_34x1_78x49_8_S_0" localSheetId="4" hidden="1">'ProLink Mapping'!$J$245</definedName>
    <definedName name="SD_34x1_78x49_9_S_0" localSheetId="4" hidden="1">'ProLink Mapping'!$L$245</definedName>
    <definedName name="SD_34x1_78x5_10_S_0" localSheetId="4" hidden="1">'ProLink Mapping'!$N$201</definedName>
    <definedName name="SD_34x1_78x5_17_S_1" localSheetId="4" hidden="1">'ProLink Mapping'!$P$201</definedName>
    <definedName name="SD_34x1_78x5_20_S_1" localSheetId="4" hidden="1">'ProLink Mapping'!$H$201</definedName>
    <definedName name="SD_34x1_78x5_8_S_0" localSheetId="4" hidden="1">'ProLink Mapping'!$J$201</definedName>
    <definedName name="SD_34x1_78x5_9_S_0" localSheetId="4" hidden="1">'ProLink Mapping'!$L$201</definedName>
    <definedName name="SD_34x1_78x50_10_S_0" localSheetId="4" hidden="1">'ProLink Mapping'!$N$246</definedName>
    <definedName name="SD_34x1_78x50_17_S_1" localSheetId="4" hidden="1">'ProLink Mapping'!$P$246</definedName>
    <definedName name="SD_34x1_78x50_20_S_1" localSheetId="4" hidden="1">'ProLink Mapping'!$H$246</definedName>
    <definedName name="SD_34x1_78x50_8_S_0" localSheetId="4" hidden="1">'ProLink Mapping'!$J$246</definedName>
    <definedName name="SD_34x1_78x50_9_S_0" localSheetId="4" hidden="1">'ProLink Mapping'!$L$246</definedName>
    <definedName name="SD_34x1_78x51_10_S_0" localSheetId="4" hidden="1">'ProLink Mapping'!$N$247</definedName>
    <definedName name="SD_34x1_78x51_17_S_1" localSheetId="4" hidden="1">'ProLink Mapping'!$P$247</definedName>
    <definedName name="SD_34x1_78x51_20_S_1" localSheetId="4" hidden="1">'ProLink Mapping'!$H$247</definedName>
    <definedName name="SD_34x1_78x51_8_S_0" localSheetId="4" hidden="1">'ProLink Mapping'!$J$247</definedName>
    <definedName name="SD_34x1_78x51_9_S_0" localSheetId="4" hidden="1">'ProLink Mapping'!$L$247</definedName>
    <definedName name="SD_34x1_78x52_10_S_0" localSheetId="4" hidden="1">'ProLink Mapping'!$N$248</definedName>
    <definedName name="SD_34x1_78x52_17_S_1" localSheetId="4" hidden="1">'ProLink Mapping'!$P$248</definedName>
    <definedName name="SD_34x1_78x52_20_S_1" localSheetId="4" hidden="1">'ProLink Mapping'!$H$248</definedName>
    <definedName name="SD_34x1_78x52_8_S_0" localSheetId="4" hidden="1">'ProLink Mapping'!$J$248</definedName>
    <definedName name="SD_34x1_78x52_9_S_0" localSheetId="4" hidden="1">'ProLink Mapping'!$L$248</definedName>
    <definedName name="SD_34x1_78x53_10_S_0" localSheetId="4" hidden="1">'ProLink Mapping'!$N$249</definedName>
    <definedName name="SD_34x1_78x53_17_S_1" localSheetId="4" hidden="1">'ProLink Mapping'!$P$249</definedName>
    <definedName name="SD_34x1_78x53_20_S_1" localSheetId="4" hidden="1">'ProLink Mapping'!$H$249</definedName>
    <definedName name="SD_34x1_78x53_8_S_0" localSheetId="4" hidden="1">'ProLink Mapping'!$J$249</definedName>
    <definedName name="SD_34x1_78x53_9_S_0" localSheetId="4" hidden="1">'ProLink Mapping'!$L$249</definedName>
    <definedName name="SD_34x1_78x54_10_S_0" localSheetId="4" hidden="1">'ProLink Mapping'!$N$250</definedName>
    <definedName name="SD_34x1_78x54_17_S_1" localSheetId="4" hidden="1">'ProLink Mapping'!$P$250</definedName>
    <definedName name="SD_34x1_78x54_20_S_1" localSheetId="4" hidden="1">'ProLink Mapping'!$H$250</definedName>
    <definedName name="SD_34x1_78x54_8_S_0" localSheetId="4" hidden="1">'ProLink Mapping'!$J$250</definedName>
    <definedName name="SD_34x1_78x54_9_S_0" localSheetId="4" hidden="1">'ProLink Mapping'!$L$250</definedName>
    <definedName name="SD_34x1_78x55_10_S_0" localSheetId="4" hidden="1">'ProLink Mapping'!$N$251</definedName>
    <definedName name="SD_34x1_78x55_17_S_1" localSheetId="4" hidden="1">'ProLink Mapping'!$P$251</definedName>
    <definedName name="SD_34x1_78x55_20_S_1" localSheetId="4" hidden="1">'ProLink Mapping'!$H$251</definedName>
    <definedName name="SD_34x1_78x55_8_S_0" localSheetId="4" hidden="1">'ProLink Mapping'!$J$251</definedName>
    <definedName name="SD_34x1_78x55_9_S_0" localSheetId="4" hidden="1">'ProLink Mapping'!$L$251</definedName>
    <definedName name="SD_34x1_78x56_10_S_0" localSheetId="4" hidden="1">'ProLink Mapping'!$N$252</definedName>
    <definedName name="SD_34x1_78x56_17_S_1" localSheetId="4" hidden="1">'ProLink Mapping'!$P$252</definedName>
    <definedName name="SD_34x1_78x56_20_S_1" localSheetId="4" hidden="1">'ProLink Mapping'!$H$252</definedName>
    <definedName name="SD_34x1_78x56_8_S_0" localSheetId="4" hidden="1">'ProLink Mapping'!$J$252</definedName>
    <definedName name="SD_34x1_78x56_9_S_0" localSheetId="4" hidden="1">'ProLink Mapping'!$L$252</definedName>
    <definedName name="SD_34x1_78x57_10_S_0" localSheetId="4" hidden="1">'ProLink Mapping'!$N$253</definedName>
    <definedName name="SD_34x1_78x57_17_S_1" localSheetId="4" hidden="1">'ProLink Mapping'!$P$253</definedName>
    <definedName name="SD_34x1_78x57_20_S_1" localSheetId="4" hidden="1">'ProLink Mapping'!$H$253</definedName>
    <definedName name="SD_34x1_78x57_8_S_0" localSheetId="4" hidden="1">'ProLink Mapping'!$J$253</definedName>
    <definedName name="SD_34x1_78x57_9_S_0" localSheetId="4" hidden="1">'ProLink Mapping'!$L$253</definedName>
    <definedName name="SD_34x1_78x58_10_S_0" localSheetId="4" hidden="1">'ProLink Mapping'!$N$254</definedName>
    <definedName name="SD_34x1_78x58_17_S_1" localSheetId="4" hidden="1">'ProLink Mapping'!$P$254</definedName>
    <definedName name="SD_34x1_78x58_20_S_1" localSheetId="4" hidden="1">'ProLink Mapping'!$H$254</definedName>
    <definedName name="SD_34x1_78x58_8_S_0" localSheetId="4" hidden="1">'ProLink Mapping'!$J$254</definedName>
    <definedName name="SD_34x1_78x58_9_S_0" localSheetId="4" hidden="1">'ProLink Mapping'!$L$254</definedName>
    <definedName name="SD_34x1_78x59_10_S_0" localSheetId="4" hidden="1">'ProLink Mapping'!$N$255</definedName>
    <definedName name="SD_34x1_78x59_17_S_1" localSheetId="4" hidden="1">'ProLink Mapping'!$P$255</definedName>
    <definedName name="SD_34x1_78x59_20_S_1" localSheetId="4" hidden="1">'ProLink Mapping'!$H$255</definedName>
    <definedName name="SD_34x1_78x59_8_S_0" localSheetId="4" hidden="1">'ProLink Mapping'!$J$255</definedName>
    <definedName name="SD_34x1_78x59_9_S_0" localSheetId="4" hidden="1">'ProLink Mapping'!$L$255</definedName>
    <definedName name="SD_34x1_78x6_10_S_0" localSheetId="4" hidden="1">'ProLink Mapping'!$N$202</definedName>
    <definedName name="SD_34x1_78x6_17_S_1" localSheetId="4" hidden="1">'ProLink Mapping'!$P$202</definedName>
    <definedName name="SD_34x1_78x6_20_S_1" localSheetId="4" hidden="1">'ProLink Mapping'!$H$202</definedName>
    <definedName name="SD_34x1_78x6_8_S_0" localSheetId="4" hidden="1">'ProLink Mapping'!$J$202</definedName>
    <definedName name="SD_34x1_78x6_9_S_0" localSheetId="4" hidden="1">'ProLink Mapping'!$L$202</definedName>
    <definedName name="SD_34x1_78x60_10_S_0" localSheetId="4" hidden="1">'ProLink Mapping'!$N$256</definedName>
    <definedName name="SD_34x1_78x60_17_S_1" localSheetId="4" hidden="1">'ProLink Mapping'!$P$256</definedName>
    <definedName name="SD_34x1_78x60_20_S_1" localSheetId="4" hidden="1">'ProLink Mapping'!$H$256</definedName>
    <definedName name="SD_34x1_78x60_8_S_0" localSheetId="4" hidden="1">'ProLink Mapping'!$J$256</definedName>
    <definedName name="SD_34x1_78x60_9_S_0" localSheetId="4" hidden="1">'ProLink Mapping'!$L$256</definedName>
    <definedName name="SD_34x1_78x61_10_S_0" localSheetId="4" hidden="1">'ProLink Mapping'!$N$257</definedName>
    <definedName name="SD_34x1_78x61_17_S_1" localSheetId="4" hidden="1">'ProLink Mapping'!$P$257</definedName>
    <definedName name="SD_34x1_78x61_20_S_1" localSheetId="4" hidden="1">'ProLink Mapping'!$H$257</definedName>
    <definedName name="SD_34x1_78x61_8_S_0" localSheetId="4" hidden="1">'ProLink Mapping'!$J$257</definedName>
    <definedName name="SD_34x1_78x61_9_S_0" localSheetId="4" hidden="1">'ProLink Mapping'!$L$257</definedName>
    <definedName name="SD_34x1_78x62_10_S_0" localSheetId="4" hidden="1">'ProLink Mapping'!$N$258</definedName>
    <definedName name="SD_34x1_78x62_17_S_1" localSheetId="4" hidden="1">'ProLink Mapping'!$P$258</definedName>
    <definedName name="SD_34x1_78x62_20_S_1" localSheetId="4" hidden="1">'ProLink Mapping'!$H$258</definedName>
    <definedName name="SD_34x1_78x62_8_S_0" localSheetId="4" hidden="1">'ProLink Mapping'!$J$258</definedName>
    <definedName name="SD_34x1_78x62_9_S_0" localSheetId="4" hidden="1">'ProLink Mapping'!$L$258</definedName>
    <definedName name="SD_34x1_78x63_10_S_0" localSheetId="4" hidden="1">'ProLink Mapping'!$N$259</definedName>
    <definedName name="SD_34x1_78x63_17_S_1" localSheetId="4" hidden="1">'ProLink Mapping'!$P$259</definedName>
    <definedName name="SD_34x1_78x63_20_S_1" localSheetId="4" hidden="1">'ProLink Mapping'!$H$259</definedName>
    <definedName name="SD_34x1_78x63_8_S_0" localSheetId="4" hidden="1">'ProLink Mapping'!$J$259</definedName>
    <definedName name="SD_34x1_78x63_9_S_0" localSheetId="4" hidden="1">'ProLink Mapping'!$L$259</definedName>
    <definedName name="SD_34x1_78x7_10_S_0" localSheetId="4" hidden="1">'ProLink Mapping'!$N$203</definedName>
    <definedName name="SD_34x1_78x7_17_S_1" localSheetId="4" hidden="1">'ProLink Mapping'!$P$203</definedName>
    <definedName name="SD_34x1_78x7_20_S_1" localSheetId="4" hidden="1">'ProLink Mapping'!$H$203</definedName>
    <definedName name="SD_34x1_78x7_8_S_0" localSheetId="4" hidden="1">'ProLink Mapping'!$J$203</definedName>
    <definedName name="SD_34x1_78x7_9_S_0" localSheetId="4" hidden="1">'ProLink Mapping'!$L$203</definedName>
    <definedName name="SD_34x1_78x8_10_S_0" localSheetId="4" hidden="1">'ProLink Mapping'!$N$204</definedName>
    <definedName name="SD_34x1_78x8_17_S_1" localSheetId="4" hidden="1">'ProLink Mapping'!$P$204</definedName>
    <definedName name="SD_34x1_78x8_20_S_1" localSheetId="4" hidden="1">'ProLink Mapping'!$H$204</definedName>
    <definedName name="SD_34x1_78x8_8_S_0" localSheetId="4" hidden="1">'ProLink Mapping'!$J$204</definedName>
    <definedName name="SD_34x1_78x8_9_S_0" localSheetId="4" hidden="1">'ProLink Mapping'!$L$204</definedName>
    <definedName name="SD_34x1_78x9_10_S_0" localSheetId="4" hidden="1">'ProLink Mapping'!$N$205</definedName>
    <definedName name="SD_34x1_78x9_17_S_1" localSheetId="4" hidden="1">'ProLink Mapping'!$P$205</definedName>
    <definedName name="SD_34x1_78x9_20_S_1" localSheetId="4" hidden="1">'ProLink Mapping'!$H$205</definedName>
    <definedName name="SD_34x1_78x9_8_S_0" localSheetId="4" hidden="1">'ProLink Mapping'!$J$205</definedName>
    <definedName name="SD_34x1_78x9_9_S_0" localSheetId="4" hidden="1">'ProLink Mapping'!$L$205</definedName>
    <definedName name="SD_34x1_79_S_0" localSheetId="4" hidden="1">'ProLink Mapping'!$C$98</definedName>
    <definedName name="SD_34x1_82_S_0" localSheetId="4" hidden="1">'ProLink Mapping'!$F$271</definedName>
    <definedName name="SD_34x1_83_S_0" localSheetId="4" hidden="1">'ProLink Mapping'!$F$272</definedName>
    <definedName name="SD_34x1_89_S_0" localSheetId="4" hidden="1">'ProLink Mapping'!$C$51</definedName>
    <definedName name="SD_34x1_91x1_36_S_1" localSheetId="4" hidden="1">'ProLink Mapping'!$H$64</definedName>
    <definedName name="SD_34x1_91x1_4_S_0" localSheetId="4" hidden="1">'ProLink Mapping'!$C$64</definedName>
    <definedName name="SD_34x1_91x1_6_S_0" localSheetId="4" hidden="1">'ProLink Mapping'!$E$64</definedName>
    <definedName name="SD_34x1_91x1_7_S_0" localSheetId="4" hidden="1">'ProLink Mapping'!$J$64</definedName>
    <definedName name="SD_34x1_91x1_8_S_0" localSheetId="4" hidden="1">'ProLink Mapping'!$N$64</definedName>
    <definedName name="SD_34x1_91x1_9_S_0" localSheetId="4" hidden="1">'ProLink Mapping'!$L$64</definedName>
    <definedName name="SD_34x1_91x10_36_S_1" localSheetId="4" hidden="1">'ProLink Mapping'!$H$73</definedName>
    <definedName name="SD_34x1_91x10_4_S_0" localSheetId="4" hidden="1">'ProLink Mapping'!$C$73</definedName>
    <definedName name="SD_34x1_91x10_6_S_0" localSheetId="4" hidden="1">'ProLink Mapping'!$E$73</definedName>
    <definedName name="SD_34x1_91x10_7_S_0" localSheetId="4" hidden="1">'ProLink Mapping'!$J$73</definedName>
    <definedName name="SD_34x1_91x10_8_S_0" localSheetId="4" hidden="1">'ProLink Mapping'!$N$73</definedName>
    <definedName name="SD_34x1_91x10_9_S_0" localSheetId="4" hidden="1">'ProLink Mapping'!$L$73</definedName>
    <definedName name="SD_34x1_91x11_36_S_1" localSheetId="4" hidden="1">'ProLink Mapping'!$H$74</definedName>
    <definedName name="SD_34x1_91x11_4_S_0" localSheetId="4" hidden="1">'ProLink Mapping'!$C$74</definedName>
    <definedName name="SD_34x1_91x11_6_S_0" localSheetId="4" hidden="1">'ProLink Mapping'!$E$74</definedName>
    <definedName name="SD_34x1_91x11_7_S_0" localSheetId="4" hidden="1">'ProLink Mapping'!$J$74</definedName>
    <definedName name="SD_34x1_91x11_8_S_0" localSheetId="4" hidden="1">'ProLink Mapping'!$N$74</definedName>
    <definedName name="SD_34x1_91x11_9_S_0" localSheetId="4" hidden="1">'ProLink Mapping'!$L$74</definedName>
    <definedName name="SD_34x1_91x12_36_S_1" localSheetId="4" hidden="1">'ProLink Mapping'!$H$75</definedName>
    <definedName name="SD_34x1_91x12_4_S_0" localSheetId="4" hidden="1">'ProLink Mapping'!$C$75</definedName>
    <definedName name="SD_34x1_91x12_6_S_0" localSheetId="4" hidden="1">'ProLink Mapping'!$E$75</definedName>
    <definedName name="SD_34x1_91x12_7_S_0" localSheetId="4" hidden="1">'ProLink Mapping'!$J$75</definedName>
    <definedName name="SD_34x1_91x12_8_S_0" localSheetId="4" hidden="1">'ProLink Mapping'!$N$75</definedName>
    <definedName name="SD_34x1_91x12_9_S_0" localSheetId="4" hidden="1">'ProLink Mapping'!$L$75</definedName>
    <definedName name="SD_34x1_91x13_36_S_1" localSheetId="4" hidden="1">'ProLink Mapping'!$H$76</definedName>
    <definedName name="SD_34x1_91x13_4_S_0" localSheetId="4" hidden="1">'ProLink Mapping'!$C$76</definedName>
    <definedName name="SD_34x1_91x13_6_S_0" localSheetId="4" hidden="1">'ProLink Mapping'!$E$76</definedName>
    <definedName name="SD_34x1_91x13_7_S_0" localSheetId="4" hidden="1">'ProLink Mapping'!$J$76</definedName>
    <definedName name="SD_34x1_91x13_8_S_0" localSheetId="4" hidden="1">'ProLink Mapping'!$N$76</definedName>
    <definedName name="SD_34x1_91x13_9_S_0" localSheetId="4" hidden="1">'ProLink Mapping'!$L$76</definedName>
    <definedName name="SD_34x1_91x14_36_S_1" localSheetId="4" hidden="1">'ProLink Mapping'!$H$77</definedName>
    <definedName name="SD_34x1_91x14_4_S_0" localSheetId="4" hidden="1">'ProLink Mapping'!$C$77</definedName>
    <definedName name="SD_34x1_91x14_6_S_0" localSheetId="4" hidden="1">'ProLink Mapping'!$E$77</definedName>
    <definedName name="SD_34x1_91x14_7_S_0" localSheetId="4" hidden="1">'ProLink Mapping'!$J$77</definedName>
    <definedName name="SD_34x1_91x14_8_S_0" localSheetId="4" hidden="1">'ProLink Mapping'!$N$77</definedName>
    <definedName name="SD_34x1_91x14_9_S_0" localSheetId="4" hidden="1">'ProLink Mapping'!$L$77</definedName>
    <definedName name="SD_34x1_91x15_36_S_1" localSheetId="4" hidden="1">'ProLink Mapping'!$H$78</definedName>
    <definedName name="SD_34x1_91x15_4_S_0" localSheetId="4" hidden="1">'ProLink Mapping'!$C$78</definedName>
    <definedName name="SD_34x1_91x15_6_S_0" localSheetId="4" hidden="1">'ProLink Mapping'!$E$78</definedName>
    <definedName name="SD_34x1_91x15_7_S_0" localSheetId="4" hidden="1">'ProLink Mapping'!$J$78</definedName>
    <definedName name="SD_34x1_91x15_8_S_0" localSheetId="4" hidden="1">'ProLink Mapping'!$N$78</definedName>
    <definedName name="SD_34x1_91x15_9_S_0" localSheetId="4" hidden="1">'ProLink Mapping'!$L$78</definedName>
    <definedName name="SD_34x1_91x16_36_S_1" localSheetId="4" hidden="1">'ProLink Mapping'!$H$79</definedName>
    <definedName name="SD_34x1_91x16_4_S_0" localSheetId="4" hidden="1">'ProLink Mapping'!$C$79</definedName>
    <definedName name="SD_34x1_91x16_6_S_0" localSheetId="4" hidden="1">'ProLink Mapping'!$E$79</definedName>
    <definedName name="SD_34x1_91x16_7_S_0" localSheetId="4" hidden="1">'ProLink Mapping'!$J$79</definedName>
    <definedName name="SD_34x1_91x16_8_S_0" localSheetId="4" hidden="1">'ProLink Mapping'!$N$79</definedName>
    <definedName name="SD_34x1_91x16_9_S_0" localSheetId="4" hidden="1">'ProLink Mapping'!$L$79</definedName>
    <definedName name="SD_34x1_91x17_36_S_1" localSheetId="4" hidden="1">'ProLink Mapping'!$H$80</definedName>
    <definedName name="SD_34x1_91x17_4_S_0" localSheetId="4" hidden="1">'ProLink Mapping'!$C$80</definedName>
    <definedName name="SD_34x1_91x17_6_S_0" localSheetId="4" hidden="1">'ProLink Mapping'!$E$80</definedName>
    <definedName name="SD_34x1_91x17_7_S_0" localSheetId="4" hidden="1">'ProLink Mapping'!$J$80</definedName>
    <definedName name="SD_34x1_91x17_8_S_0" localSheetId="4" hidden="1">'ProLink Mapping'!$N$80</definedName>
    <definedName name="SD_34x1_91x17_9_S_0" localSheetId="4" hidden="1">'ProLink Mapping'!$L$80</definedName>
    <definedName name="SD_34x1_91x18_36_S_1" localSheetId="4" hidden="1">'ProLink Mapping'!$H$81</definedName>
    <definedName name="SD_34x1_91x18_4_S_0" localSheetId="4" hidden="1">'ProLink Mapping'!$C$81</definedName>
    <definedName name="SD_34x1_91x18_6_S_0" localSheetId="4" hidden="1">'ProLink Mapping'!$E$81</definedName>
    <definedName name="SD_34x1_91x18_7_S_0" localSheetId="4" hidden="1">'ProLink Mapping'!$J$81</definedName>
    <definedName name="SD_34x1_91x18_8_S_0" localSheetId="4" hidden="1">'ProLink Mapping'!$N$81</definedName>
    <definedName name="SD_34x1_91x18_9_S_0" localSheetId="4" hidden="1">'ProLink Mapping'!$L$81</definedName>
    <definedName name="SD_34x1_91x19_36_S_1" localSheetId="4" hidden="1">'ProLink Mapping'!$H$82</definedName>
    <definedName name="SD_34x1_91x19_4_S_0" localSheetId="4" hidden="1">'ProLink Mapping'!$C$82</definedName>
    <definedName name="SD_34x1_91x19_6_S_0" localSheetId="4" hidden="1">'ProLink Mapping'!$E$82</definedName>
    <definedName name="SD_34x1_91x19_7_S_0" localSheetId="4" hidden="1">'ProLink Mapping'!$J$82</definedName>
    <definedName name="SD_34x1_91x19_8_S_0" localSheetId="4" hidden="1">'ProLink Mapping'!$N$82</definedName>
    <definedName name="SD_34x1_91x19_9_S_0" localSheetId="4" hidden="1">'ProLink Mapping'!$L$82</definedName>
    <definedName name="SD_34x1_91x2_36_S_1" localSheetId="4" hidden="1">'ProLink Mapping'!$H$65</definedName>
    <definedName name="SD_34x1_91x2_4_S_0" localSheetId="4" hidden="1">'ProLink Mapping'!$C$65</definedName>
    <definedName name="SD_34x1_91x2_6_S_0" localSheetId="4" hidden="1">'ProLink Mapping'!$E$65</definedName>
    <definedName name="SD_34x1_91x2_7_S_0" localSheetId="4" hidden="1">'ProLink Mapping'!$J$65</definedName>
    <definedName name="SD_34x1_91x2_8_S_0" localSheetId="4" hidden="1">'ProLink Mapping'!$N$65</definedName>
    <definedName name="SD_34x1_91x2_9_S_0" localSheetId="4" hidden="1">'ProLink Mapping'!$L$65</definedName>
    <definedName name="SD_34x1_91x20_36_S_1" localSheetId="4" hidden="1">'ProLink Mapping'!$H$83</definedName>
    <definedName name="SD_34x1_91x20_4_S_0" localSheetId="4" hidden="1">'ProLink Mapping'!$C$83</definedName>
    <definedName name="SD_34x1_91x20_6_S_0" localSheetId="4" hidden="1">'ProLink Mapping'!$E$83</definedName>
    <definedName name="SD_34x1_91x20_7_S_0" localSheetId="4" hidden="1">'ProLink Mapping'!$J$83</definedName>
    <definedName name="SD_34x1_91x20_8_S_0" localSheetId="4" hidden="1">'ProLink Mapping'!$N$83</definedName>
    <definedName name="SD_34x1_91x20_9_S_0" localSheetId="4" hidden="1">'ProLink Mapping'!$L$83</definedName>
    <definedName name="SD_34x1_91x21_36_S_1" localSheetId="4" hidden="1">'ProLink Mapping'!$H$84</definedName>
    <definedName name="SD_34x1_91x21_4_S_0" localSheetId="4" hidden="1">'ProLink Mapping'!$C$84</definedName>
    <definedName name="SD_34x1_91x21_6_S_0" localSheetId="4" hidden="1">'ProLink Mapping'!$E$84</definedName>
    <definedName name="SD_34x1_91x21_7_S_0" localSheetId="4" hidden="1">'ProLink Mapping'!$J$84</definedName>
    <definedName name="SD_34x1_91x21_8_S_0" localSheetId="4" hidden="1">'ProLink Mapping'!$N$84</definedName>
    <definedName name="SD_34x1_91x21_9_S_0" localSheetId="4" hidden="1">'ProLink Mapping'!$L$84</definedName>
    <definedName name="SD_34x1_91x22_36_S_1" localSheetId="4" hidden="1">'ProLink Mapping'!$H$85</definedName>
    <definedName name="SD_34x1_91x22_4_S_0" localSheetId="4" hidden="1">'ProLink Mapping'!$C$85</definedName>
    <definedName name="SD_34x1_91x22_6_S_0" localSheetId="4" hidden="1">'ProLink Mapping'!$E$85</definedName>
    <definedName name="SD_34x1_91x22_7_S_0" localSheetId="4" hidden="1">'ProLink Mapping'!$J$85</definedName>
    <definedName name="SD_34x1_91x22_8_S_0" localSheetId="4" hidden="1">'ProLink Mapping'!$N$85</definedName>
    <definedName name="SD_34x1_91x22_9_S_0" localSheetId="4" hidden="1">'ProLink Mapping'!$L$85</definedName>
    <definedName name="SD_34x1_91x23_36_S_1" localSheetId="4" hidden="1">'ProLink Mapping'!$H$86</definedName>
    <definedName name="SD_34x1_91x23_4_S_0" localSheetId="4" hidden="1">'ProLink Mapping'!$C$86</definedName>
    <definedName name="SD_34x1_91x23_6_S_0" localSheetId="4" hidden="1">'ProLink Mapping'!$E$86</definedName>
    <definedName name="SD_34x1_91x23_7_S_0" localSheetId="4" hidden="1">'ProLink Mapping'!$J$86</definedName>
    <definedName name="SD_34x1_91x23_8_S_0" localSheetId="4" hidden="1">'ProLink Mapping'!$N$86</definedName>
    <definedName name="SD_34x1_91x23_9_S_0" localSheetId="4" hidden="1">'ProLink Mapping'!$L$86</definedName>
    <definedName name="SD_34x1_91x24_36_S_1" localSheetId="4" hidden="1">'ProLink Mapping'!$H$87</definedName>
    <definedName name="SD_34x1_91x24_4_S_0" localSheetId="4" hidden="1">'ProLink Mapping'!$C$87</definedName>
    <definedName name="SD_34x1_91x24_6_S_0" localSheetId="4" hidden="1">'ProLink Mapping'!$E$87</definedName>
    <definedName name="SD_34x1_91x24_7_S_0" localSheetId="4" hidden="1">'ProLink Mapping'!$J$87</definedName>
    <definedName name="SD_34x1_91x24_8_S_0" localSheetId="4" hidden="1">'ProLink Mapping'!$N$87</definedName>
    <definedName name="SD_34x1_91x24_9_S_0" localSheetId="4" hidden="1">'ProLink Mapping'!$L$87</definedName>
    <definedName name="SD_34x1_91x25_36_S_1" localSheetId="4" hidden="1">'ProLink Mapping'!$H$88</definedName>
    <definedName name="SD_34x1_91x25_4_S_0" localSheetId="4" hidden="1">'ProLink Mapping'!$C$88</definedName>
    <definedName name="SD_34x1_91x25_6_S_0" localSheetId="4" hidden="1">'ProLink Mapping'!$E$88</definedName>
    <definedName name="SD_34x1_91x25_7_S_0" localSheetId="4" hidden="1">'ProLink Mapping'!$J$88</definedName>
    <definedName name="SD_34x1_91x25_8_S_0" localSheetId="4" hidden="1">'ProLink Mapping'!$N$88</definedName>
    <definedName name="SD_34x1_91x25_9_S_0" localSheetId="4" hidden="1">'ProLink Mapping'!$L$88</definedName>
    <definedName name="SD_34x1_91x26_36_S_1" localSheetId="4" hidden="1">'ProLink Mapping'!$H$89</definedName>
    <definedName name="SD_34x1_91x26_4_S_0" localSheetId="4" hidden="1">'ProLink Mapping'!$C$89</definedName>
    <definedName name="SD_34x1_91x26_6_S_0" localSheetId="4" hidden="1">'ProLink Mapping'!$E$89</definedName>
    <definedName name="SD_34x1_91x26_7_S_0" localSheetId="4" hidden="1">'ProLink Mapping'!$J$89</definedName>
    <definedName name="SD_34x1_91x26_8_S_0" localSheetId="4" hidden="1">'ProLink Mapping'!$N$89</definedName>
    <definedName name="SD_34x1_91x26_9_S_0" localSheetId="4" hidden="1">'ProLink Mapping'!$L$89</definedName>
    <definedName name="SD_34x1_91x27_36_S_1" localSheetId="4" hidden="1">'ProLink Mapping'!$H$90</definedName>
    <definedName name="SD_34x1_91x27_4_S_0" localSheetId="4" hidden="1">'ProLink Mapping'!$C$90</definedName>
    <definedName name="SD_34x1_91x27_6_S_0" localSheetId="4" hidden="1">'ProLink Mapping'!$E$90</definedName>
    <definedName name="SD_34x1_91x27_7_S_0" localSheetId="4" hidden="1">'ProLink Mapping'!$J$90</definedName>
    <definedName name="SD_34x1_91x27_8_S_0" localSheetId="4" hidden="1">'ProLink Mapping'!$N$90</definedName>
    <definedName name="SD_34x1_91x27_9_S_0" localSheetId="4" hidden="1">'ProLink Mapping'!$L$90</definedName>
    <definedName name="SD_34x1_91x28_36_S_1" localSheetId="4" hidden="1">'ProLink Mapping'!$H$91</definedName>
    <definedName name="SD_34x1_91x28_4_S_0" localSheetId="4" hidden="1">'ProLink Mapping'!$C$91</definedName>
    <definedName name="SD_34x1_91x28_6_S_0" localSheetId="4" hidden="1">'ProLink Mapping'!$E$91</definedName>
    <definedName name="SD_34x1_91x28_7_S_0" localSheetId="4" hidden="1">'ProLink Mapping'!$J$91</definedName>
    <definedName name="SD_34x1_91x28_8_S_0" localSheetId="4" hidden="1">'ProLink Mapping'!$N$91</definedName>
    <definedName name="SD_34x1_91x28_9_S_0" localSheetId="4" hidden="1">'ProLink Mapping'!$L$91</definedName>
    <definedName name="SD_34x1_91x29_36_S_1" localSheetId="4" hidden="1">'ProLink Mapping'!$H$92</definedName>
    <definedName name="SD_34x1_91x29_4_S_0" localSheetId="4" hidden="1">'ProLink Mapping'!$C$92</definedName>
    <definedName name="SD_34x1_91x29_6_S_0" localSheetId="4" hidden="1">'ProLink Mapping'!$E$92</definedName>
    <definedName name="SD_34x1_91x29_7_S_0" localSheetId="4" hidden="1">'ProLink Mapping'!$J$92</definedName>
    <definedName name="SD_34x1_91x29_8_S_0" localSheetId="4" hidden="1">'ProLink Mapping'!$N$92</definedName>
    <definedName name="SD_34x1_91x29_9_S_0" localSheetId="4" hidden="1">'ProLink Mapping'!$L$92</definedName>
    <definedName name="SD_34x1_91x3_36_S_1" localSheetId="4" hidden="1">'ProLink Mapping'!$H$66</definedName>
    <definedName name="SD_34x1_91x3_4_S_0" localSheetId="4" hidden="1">'ProLink Mapping'!$C$66</definedName>
    <definedName name="SD_34x1_91x3_6_S_0" localSheetId="4" hidden="1">'ProLink Mapping'!$E$66</definedName>
    <definedName name="SD_34x1_91x3_7_S_0" localSheetId="4" hidden="1">'ProLink Mapping'!$J$66</definedName>
    <definedName name="SD_34x1_91x3_8_S_0" localSheetId="4" hidden="1">'ProLink Mapping'!$N$66</definedName>
    <definedName name="SD_34x1_91x3_9_S_0" localSheetId="4" hidden="1">'ProLink Mapping'!$L$66</definedName>
    <definedName name="SD_34x1_91x30_36_S_1" localSheetId="4" hidden="1">'ProLink Mapping'!$H$93</definedName>
    <definedName name="SD_34x1_91x30_4_S_0" localSheetId="4" hidden="1">'ProLink Mapping'!$C$93</definedName>
    <definedName name="SD_34x1_91x30_6_S_0" localSheetId="4" hidden="1">'ProLink Mapping'!$E$93</definedName>
    <definedName name="SD_34x1_91x30_7_S_0" localSheetId="4" hidden="1">'ProLink Mapping'!$J$93</definedName>
    <definedName name="SD_34x1_91x30_8_S_0" localSheetId="4" hidden="1">'ProLink Mapping'!$N$93</definedName>
    <definedName name="SD_34x1_91x30_9_S_0" localSheetId="4" hidden="1">'ProLink Mapping'!$L$93</definedName>
    <definedName name="SD_34x1_91x31_36_S_1" localSheetId="4" hidden="1">'ProLink Mapping'!$H$94</definedName>
    <definedName name="SD_34x1_91x31_4_S_0" localSheetId="4" hidden="1">'ProLink Mapping'!$C$94</definedName>
    <definedName name="SD_34x1_91x31_6_S_0" localSheetId="4" hidden="1">'ProLink Mapping'!$E$94</definedName>
    <definedName name="SD_34x1_91x31_7_S_0" localSheetId="4" hidden="1">'ProLink Mapping'!$J$94</definedName>
    <definedName name="SD_34x1_91x31_8_S_0" localSheetId="4" hidden="1">'ProLink Mapping'!$N$94</definedName>
    <definedName name="SD_34x1_91x31_9_S_0" localSheetId="4" hidden="1">'ProLink Mapping'!$L$94</definedName>
    <definedName name="SD_34x1_91x32_36_S_1" localSheetId="4" hidden="1">'ProLink Mapping'!$H$95</definedName>
    <definedName name="SD_34x1_91x32_4_S_0" localSheetId="4" hidden="1">'ProLink Mapping'!$C$95</definedName>
    <definedName name="SD_34x1_91x32_6_S_0" localSheetId="4" hidden="1">'ProLink Mapping'!$E$95</definedName>
    <definedName name="SD_34x1_91x32_7_S_0" localSheetId="4" hidden="1">'ProLink Mapping'!$J$95</definedName>
    <definedName name="SD_34x1_91x32_8_S_0" localSheetId="4" hidden="1">'ProLink Mapping'!$N$95</definedName>
    <definedName name="SD_34x1_91x32_9_S_0" localSheetId="4" hidden="1">'ProLink Mapping'!$L$95</definedName>
    <definedName name="SD_34x1_91x33_36_S_1" localSheetId="4" hidden="1">'ProLink Mapping'!$H$96</definedName>
    <definedName name="SD_34x1_91x33_4_S_0" localSheetId="4" hidden="1">'ProLink Mapping'!$C$96</definedName>
    <definedName name="SD_34x1_91x33_6_S_0" localSheetId="4" hidden="1">'ProLink Mapping'!$E$96</definedName>
    <definedName name="SD_34x1_91x33_7_S_0" localSheetId="4" hidden="1">'ProLink Mapping'!$J$96</definedName>
    <definedName name="SD_34x1_91x33_8_S_0" localSheetId="4" hidden="1">'ProLink Mapping'!$N$96</definedName>
    <definedName name="SD_34x1_91x33_9_S_0" localSheetId="4" hidden="1">'ProLink Mapping'!$L$96</definedName>
    <definedName name="SD_34x1_91x34_36_S_1" localSheetId="4" hidden="1">'ProLink Mapping'!$H$97</definedName>
    <definedName name="SD_34x1_91x34_4_S_0" localSheetId="4" hidden="1">'ProLink Mapping'!$C$97</definedName>
    <definedName name="SD_34x1_91x34_6_S_0" localSheetId="4" hidden="1">'ProLink Mapping'!$E$97</definedName>
    <definedName name="SD_34x1_91x34_7_S_0" localSheetId="4" hidden="1">'ProLink Mapping'!$J$97</definedName>
    <definedName name="SD_34x1_91x34_8_S_0" localSheetId="4" hidden="1">'ProLink Mapping'!$N$97</definedName>
    <definedName name="SD_34x1_91x34_9_S_0" localSheetId="4" hidden="1">'ProLink Mapping'!$L$97</definedName>
    <definedName name="SD_34x1_91x4_36_S_1" localSheetId="4" hidden="1">'ProLink Mapping'!$H$67</definedName>
    <definedName name="SD_34x1_91x4_4_S_0" localSheetId="4" hidden="1">'ProLink Mapping'!$C$67</definedName>
    <definedName name="SD_34x1_91x4_6_S_0" localSheetId="4" hidden="1">'ProLink Mapping'!$E$67</definedName>
    <definedName name="SD_34x1_91x4_7_S_0" localSheetId="4" hidden="1">'ProLink Mapping'!$J$67</definedName>
    <definedName name="SD_34x1_91x4_8_S_0" localSheetId="4" hidden="1">'ProLink Mapping'!$N$67</definedName>
    <definedName name="SD_34x1_91x4_9_S_0" localSheetId="4" hidden="1">'ProLink Mapping'!$L$67</definedName>
    <definedName name="SD_34x1_91x5_36_S_1" localSheetId="4" hidden="1">'ProLink Mapping'!$H$68</definedName>
    <definedName name="SD_34x1_91x5_4_S_0" localSheetId="4" hidden="1">'ProLink Mapping'!$C$68</definedName>
    <definedName name="SD_34x1_91x5_6_S_0" localSheetId="4" hidden="1">'ProLink Mapping'!$E$68</definedName>
    <definedName name="SD_34x1_91x5_7_S_0" localSheetId="4" hidden="1">'ProLink Mapping'!$J$68</definedName>
    <definedName name="SD_34x1_91x5_8_S_0" localSheetId="4" hidden="1">'ProLink Mapping'!$N$68</definedName>
    <definedName name="SD_34x1_91x5_9_S_0" localSheetId="4" hidden="1">'ProLink Mapping'!$L$68</definedName>
    <definedName name="SD_34x1_91x6_36_S_1" localSheetId="4" hidden="1">'ProLink Mapping'!$H$69</definedName>
    <definedName name="SD_34x1_91x6_4_S_0" localSheetId="4" hidden="1">'ProLink Mapping'!$C$69</definedName>
    <definedName name="SD_34x1_91x6_6_S_0" localSheetId="4" hidden="1">'ProLink Mapping'!$E$69</definedName>
    <definedName name="SD_34x1_91x6_7_S_0" localSheetId="4" hidden="1">'ProLink Mapping'!$J$69</definedName>
    <definedName name="SD_34x1_91x6_8_S_0" localSheetId="4" hidden="1">'ProLink Mapping'!$N$69</definedName>
    <definedName name="SD_34x1_91x6_9_S_0" localSheetId="4" hidden="1">'ProLink Mapping'!$L$69</definedName>
    <definedName name="SD_34x1_91x7_36_S_1" localSheetId="4" hidden="1">'ProLink Mapping'!$H$70</definedName>
    <definedName name="SD_34x1_91x7_4_S_0" localSheetId="4" hidden="1">'ProLink Mapping'!$C$70</definedName>
    <definedName name="SD_34x1_91x7_6_S_0" localSheetId="4" hidden="1">'ProLink Mapping'!$E$70</definedName>
    <definedName name="SD_34x1_91x7_7_S_0" localSheetId="4" hidden="1">'ProLink Mapping'!$J$70</definedName>
    <definedName name="SD_34x1_91x7_8_S_0" localSheetId="4" hidden="1">'ProLink Mapping'!$N$70</definedName>
    <definedName name="SD_34x1_91x7_9_S_0" localSheetId="4" hidden="1">'ProLink Mapping'!$L$70</definedName>
    <definedName name="SD_34x1_91x8_36_S_1" localSheetId="4" hidden="1">'ProLink Mapping'!$H$71</definedName>
    <definedName name="SD_34x1_91x8_4_S_0" localSheetId="4" hidden="1">'ProLink Mapping'!$C$71</definedName>
    <definedName name="SD_34x1_91x8_6_S_0" localSheetId="4" hidden="1">'ProLink Mapping'!$E$71</definedName>
    <definedName name="SD_34x1_91x8_7_S_0" localSheetId="4" hidden="1">'ProLink Mapping'!$J$71</definedName>
    <definedName name="SD_34x1_91x8_8_S_0" localSheetId="4" hidden="1">'ProLink Mapping'!$N$71</definedName>
    <definedName name="SD_34x1_91x8_9_S_0" localSheetId="4" hidden="1">'ProLink Mapping'!$L$71</definedName>
    <definedName name="SD_34x1_91x9_36_S_1" localSheetId="4" hidden="1">'ProLink Mapping'!$H$72</definedName>
    <definedName name="SD_34x1_91x9_4_S_0" localSheetId="4" hidden="1">'ProLink Mapping'!$C$72</definedName>
    <definedName name="SD_34x1_91x9_6_S_0" localSheetId="4" hidden="1">'ProLink Mapping'!$E$72</definedName>
    <definedName name="SD_34x1_91x9_7_S_0" localSheetId="4" hidden="1">'ProLink Mapping'!$J$72</definedName>
    <definedName name="SD_34x1_91x9_8_S_0" localSheetId="4" hidden="1">'ProLink Mapping'!$N$72</definedName>
    <definedName name="SD_34x1_91x9_9_S_0" localSheetId="4" hidden="1">'ProLink Mapping'!$L$72</definedName>
    <definedName name="SD_34x1_93_S_0" localSheetId="4" hidden="1">ProLink!$F$47</definedName>
    <definedName name="SD_34x1_98_S_0" localSheetId="4" hidden="1">ProLink!$F$53</definedName>
    <definedName name="SD_5565x1_182_G_0" localSheetId="7" hidden="1">ProLink!$F$7</definedName>
    <definedName name="SD_5565x1_184_G_1" localSheetId="7" hidden="1">ProLink!$F$8</definedName>
    <definedName name="SD_5565x1_200_G_0" localSheetId="4" hidden="1">'ProLink Mapping'!$Z$2</definedName>
    <definedName name="SD_5565x1_200_S_0" localSheetId="4" hidden="1">'ProLink Mapping'!$AB$2</definedName>
    <definedName name="SD_5565x1_241_S_0" localSheetId="4" hidden="1">'ProLink Mapping'!$Z$39</definedName>
    <definedName name="SD_5565x1_5730x1_104_S_0" localSheetId="4" hidden="1">'ProLink Mapping'!$AC$328</definedName>
    <definedName name="SD_5565x1_5730x1_109_S_0" localSheetId="4" hidden="1">'ProLink Mapping'!$AC$325</definedName>
    <definedName name="SD_5565x1_5730x1_110_S_0" localSheetId="4" hidden="1">'ProLink Mapping'!$AC$392</definedName>
    <definedName name="SD_5565x1_5730x1_112_S_0" localSheetId="4" hidden="1">'ProLink Mapping'!$AC$375</definedName>
    <definedName name="SD_5565x1_5730x1_115_S_0" localSheetId="4" hidden="1">'ProLink Mapping'!$AC$401</definedName>
    <definedName name="SD_5565x1_5730x1_116_S_0" localSheetId="4" hidden="1">'ProLink Mapping'!$AC$356</definedName>
    <definedName name="SD_5565x1_5730x1_118_S_0" localSheetId="4" hidden="1">'ProLink Mapping'!$AC$409</definedName>
    <definedName name="SD_5565x1_5730x1_119_S_0" localSheetId="4" hidden="1">'ProLink Mapping'!$AC$348</definedName>
    <definedName name="SD_5565x1_5730x1_120_S_0" localSheetId="4" hidden="1">'ProLink Mapping'!$AC$374</definedName>
    <definedName name="SD_5565x1_5730x1_121_S_0" localSheetId="4" hidden="1">'ProLink Mapping'!$AC$376</definedName>
    <definedName name="SD_5565x1_5730x1_122_S_0" localSheetId="4" hidden="1">'ProLink Mapping'!$AC$406</definedName>
    <definedName name="SD_5565x1_5730x1_125_S_0" localSheetId="4" hidden="1">'ProLink Mapping'!$AC$395</definedName>
    <definedName name="SD_5565x1_5730x1_126_S_0" localSheetId="4" hidden="1">'ProLink Mapping'!$AC$381</definedName>
    <definedName name="SD_5565x1_5730x1_129_S_0" localSheetId="4" hidden="1">'ProLink Mapping'!$AC$339</definedName>
    <definedName name="SD_5565x1_5730x1_131_S_0" localSheetId="4" hidden="1">'ProLink Mapping'!$AC$363</definedName>
    <definedName name="SD_5565x1_5730x1_134_S_0" localSheetId="4" hidden="1">'ProLink Mapping'!$AC$324</definedName>
    <definedName name="SD_5565x1_5730x1_135_S_0" localSheetId="4" hidden="1">'ProLink Mapping'!$AC$371</definedName>
    <definedName name="SD_5565x1_5730x1_136_S_0" localSheetId="4" hidden="1">'ProLink Mapping'!$AC$360</definedName>
    <definedName name="SD_5565x1_5730x1_138_S_0" localSheetId="4" hidden="1">'ProLink Mapping'!$AC$393</definedName>
    <definedName name="SD_5565x1_5730x1_139_S_0" localSheetId="4" hidden="1">'ProLink Mapping'!$AC$402</definedName>
    <definedName name="SD_5565x1_5730x1_140_S_0" localSheetId="4" hidden="1">'ProLink Mapping'!$AC$404</definedName>
    <definedName name="SD_5565x1_5730x1_141_S_0" localSheetId="4" hidden="1">'ProLink Mapping'!$AC$386</definedName>
    <definedName name="SD_5565x1_5730x1_142_S_0" localSheetId="4" hidden="1">'ProLink Mapping'!$AC$370</definedName>
    <definedName name="SD_5565x1_5730x1_144_S_0" localSheetId="4" hidden="1">'ProLink Mapping'!$AC$380</definedName>
    <definedName name="SD_5565x1_5730x1_145_S_0" localSheetId="4" hidden="1">'ProLink Mapping'!$AC$351</definedName>
    <definedName name="SD_5565x1_5730x1_146_S_0" localSheetId="4" hidden="1">'ProLink Mapping'!$AE$351</definedName>
    <definedName name="SD_5565x1_5730x1_147_S_0" localSheetId="4" hidden="1">'ProLink Mapping'!$AC$355</definedName>
    <definedName name="SD_5565x1_5730x1_148_S_0" localSheetId="4" hidden="1">'ProLink Mapping'!$AE$355</definedName>
    <definedName name="SD_5565x1_5730x1_149_S_0" localSheetId="4" hidden="1">'ProLink Mapping'!$AC$358</definedName>
    <definedName name="SD_5565x1_5730x1_150_S_0" localSheetId="4" hidden="1">'ProLink Mapping'!$AE$358</definedName>
    <definedName name="SD_5565x1_5730x1_151_S_0" localSheetId="4" hidden="1">'ProLink Mapping'!$AC$366</definedName>
    <definedName name="SD_5565x1_5730x1_153_S_0" localSheetId="4" hidden="1">'ProLink Mapping'!$AC$368</definedName>
    <definedName name="SD_5565x1_5730x1_154_S_0" localSheetId="4" hidden="1">'ProLink Mapping'!$AE$368</definedName>
    <definedName name="SD_5565x1_5730x1_155_S_0" localSheetId="4" hidden="1">'ProLink Mapping'!$AC$372</definedName>
    <definedName name="SD_5565x1_5730x1_156_S_0" localSheetId="4" hidden="1">'ProLink Mapping'!$AE$372</definedName>
    <definedName name="SD_5565x1_5730x1_157_S_0" localSheetId="4" hidden="1">'ProLink Mapping'!$AC$378</definedName>
    <definedName name="SD_5565x1_5730x1_158_S_0" localSheetId="4" hidden="1">'ProLink Mapping'!$AE$378</definedName>
    <definedName name="SD_5565x1_5730x1_159_S_0" localSheetId="4" hidden="1">'ProLink Mapping'!$AC$403</definedName>
    <definedName name="SD_5565x1_5730x1_160_S_0" localSheetId="4" hidden="1">'ProLink Mapping'!$AE$403</definedName>
    <definedName name="SD_5565x1_5730x1_161_S_0" localSheetId="4" hidden="1">'ProLink Mapping'!$AC$407</definedName>
    <definedName name="SD_5565x1_5730x1_162_S_0" localSheetId="4" hidden="1">'ProLink Mapping'!$AE$407</definedName>
    <definedName name="SD_5565x1_5730x1_167_S_0" localSheetId="4" hidden="1">'ProLink Mapping'!$AC$394</definedName>
    <definedName name="SD_5565x1_5730x1_168_S_0" localSheetId="4" hidden="1">'ProLink Mapping'!$AC$384</definedName>
    <definedName name="SD_5565x1_5730x1_169_S_0" localSheetId="4" hidden="1">'ProLink Mapping'!$AC$385</definedName>
    <definedName name="SD_5565x1_5730x1_173_S_0" localSheetId="4" hidden="1">'ProLink Mapping'!$AC$377</definedName>
    <definedName name="SD_5565x1_5730x1_174_S_0" localSheetId="4" hidden="1">'ProLink Mapping'!$AC$400</definedName>
    <definedName name="SD_5565x1_5730x1_175_S_0" localSheetId="4" hidden="1">'ProLink Mapping'!$AC$397</definedName>
    <definedName name="SD_5565x1_5730x1_177_S_0" localSheetId="4" hidden="1">'ProLink Mapping'!$AC$361</definedName>
    <definedName name="SD_5565x1_5730x1_178_S_0" localSheetId="4" hidden="1">'ProLink Mapping'!$AC$364</definedName>
    <definedName name="SD_5565x1_5730x1_179_S_0" localSheetId="4" hidden="1">'ProLink Mapping'!$AC$362</definedName>
    <definedName name="SD_5565x1_5730x1_181_S_0" localSheetId="4" hidden="1">'ProLink Mapping'!$AC$350</definedName>
    <definedName name="SD_5565x1_5730x1_191_S_0" localSheetId="4" hidden="1">'ProLink Mapping'!$AC$347</definedName>
    <definedName name="SD_5565x1_5730x1_48_S_0" localSheetId="4" hidden="1">'ProLink Mapping'!$AC$330</definedName>
    <definedName name="SD_5565x1_5730x1_60_S_0" localSheetId="4" hidden="1">'ProLink Mapping'!$AC$336</definedName>
    <definedName name="SD_5565x1_5730x1_69_S_0" localSheetId="4" hidden="1">'ProLink Mapping'!$AC$342</definedName>
    <definedName name="SD_5565x1_5730x1_73_S_0" localSheetId="4" hidden="1">'ProLink Mapping'!$AC$338</definedName>
    <definedName name="SD_5565x1_5730x1_75_S_0" localSheetId="4" hidden="1">'ProLink Mapping'!$AC$334</definedName>
    <definedName name="SD_5565x1_5730x1_76_S_0" localSheetId="4" hidden="1">'ProLink Mapping'!$AC$340</definedName>
    <definedName name="SD_5565x1_5730x1_77_S_0" localSheetId="4" hidden="1">'ProLink Mapping'!$AC$331</definedName>
    <definedName name="SD_5565x1_5730x1_78_S_0" localSheetId="4" hidden="1">'ProLink Mapping'!$AE$331</definedName>
    <definedName name="SD_5565x1_5730x1_79_S_0" localSheetId="4" hidden="1">'ProLink Mapping'!$AC$332</definedName>
    <definedName name="SD_5565x1_5730x1_80_S_0" localSheetId="4" hidden="1">'ProLink Mapping'!$AE$332</definedName>
    <definedName name="SD_5565x1_5730x1_81_S_0" localSheetId="4" hidden="1">'ProLink Mapping'!$AC$345</definedName>
    <definedName name="SD_5565x1_5730x1_82_S_0" localSheetId="4" hidden="1">'ProLink Mapping'!$AE$345</definedName>
    <definedName name="SD_5565x1_5730x1_84_S_0" localSheetId="4" hidden="1">'ProLink Mapping'!$AE$366</definedName>
    <definedName name="SD_5565x1_5730x1_87_S_0" localSheetId="4" hidden="1">'ProLink Mapping'!$AC$343</definedName>
    <definedName name="SD_5565x1_5730x1_91_S_0" localSheetId="4" hidden="1">'ProLink Mapping'!$AC$344</definedName>
    <definedName name="SD_5565x1_5730x1_99_S_0" localSheetId="4" hidden="1">'ProLink Mapping'!$AC$337</definedName>
    <definedName name="SD_5565x1_5892x1_68_S_1" localSheetId="4" hidden="1">'ProLink Mapping'!$AF$280</definedName>
    <definedName name="SD_5565x1_5892x1_69_S_1" localSheetId="4" hidden="1">'ProLink Mapping'!$AH$280</definedName>
    <definedName name="SD_5565x1_5892x1_70_S_1" localSheetId="4" hidden="1">'ProLink Mapping'!$AJ$280</definedName>
    <definedName name="SD_5565x1_5892x1_71_S_0" localSheetId="4" hidden="1">'ProLink Mapping'!$AL$280</definedName>
    <definedName name="SD_5565x1_5892x1_72_S_0" localSheetId="4" hidden="1">'ProLink Mapping'!$AN$280</definedName>
    <definedName name="SD_5565x1_5892x1_73_S_0" localSheetId="4" hidden="1">'ProLink Mapping'!$AP$280</definedName>
    <definedName name="SD_5565x1_5892x1_86_S_0" localSheetId="4" hidden="1">'ProLink Mapping'!$AR$280</definedName>
    <definedName name="SD_5565x1_5892x10_68_S_1" localSheetId="4" hidden="1">'ProLink Mapping'!$AF$289</definedName>
    <definedName name="SD_5565x1_5892x10_69_S_1" localSheetId="4" hidden="1">'ProLink Mapping'!$AH$289</definedName>
    <definedName name="SD_5565x1_5892x10_70_S_1" localSheetId="4" hidden="1">'ProLink Mapping'!$AJ$289</definedName>
    <definedName name="SD_5565x1_5892x10_71_S_0" localSheetId="4" hidden="1">'ProLink Mapping'!$AL$289</definedName>
    <definedName name="SD_5565x1_5892x10_72_S_0" localSheetId="4" hidden="1">'ProLink Mapping'!$AN$289</definedName>
    <definedName name="SD_5565x1_5892x10_73_S_0" localSheetId="4" hidden="1">'ProLink Mapping'!$AP$289</definedName>
    <definedName name="SD_5565x1_5892x10_86_S_0" localSheetId="4" hidden="1">'ProLink Mapping'!$AR$289</definedName>
    <definedName name="SD_5565x1_5892x11_68_S_1" localSheetId="4" hidden="1">'ProLink Mapping'!$Z$295</definedName>
    <definedName name="SD_5565x1_5892x11_69_S_1" localSheetId="4" hidden="1">'ProLink Mapping'!$AB$295</definedName>
    <definedName name="SD_5565x1_5892x11_70_S_1" localSheetId="4" hidden="1">'ProLink Mapping'!$AD$295</definedName>
    <definedName name="SD_5565x1_5892x11_71_S_0" localSheetId="4" hidden="1">'ProLink Mapping'!$AF$295</definedName>
    <definedName name="SD_5565x1_5892x11_72_S_0" localSheetId="4" hidden="1">'ProLink Mapping'!$AH$295</definedName>
    <definedName name="SD_5565x1_5892x11_73_S_0" localSheetId="4" hidden="1">'ProLink Mapping'!$AJ$295</definedName>
    <definedName name="SD_5565x1_5892x11_86_S_0" localSheetId="4" hidden="1">'ProLink Mapping'!$AL$295</definedName>
    <definedName name="SD_5565x1_5892x12_68_S_1" localSheetId="4" hidden="1">'ProLink Mapping'!$Z$296</definedName>
    <definedName name="SD_5565x1_5892x12_69_S_1" localSheetId="4" hidden="1">'ProLink Mapping'!$AB$296</definedName>
    <definedName name="SD_5565x1_5892x12_70_S_1" localSheetId="4" hidden="1">'ProLink Mapping'!$AD$296</definedName>
    <definedName name="SD_5565x1_5892x12_71_S_0" localSheetId="4" hidden="1">'ProLink Mapping'!$AF$296</definedName>
    <definedName name="SD_5565x1_5892x12_72_S_0" localSheetId="4" hidden="1">'ProLink Mapping'!$AH$296</definedName>
    <definedName name="SD_5565x1_5892x12_73_S_0" localSheetId="4" hidden="1">'ProLink Mapping'!$AJ$296</definedName>
    <definedName name="SD_5565x1_5892x12_86_S_0" localSheetId="4" hidden="1">'ProLink Mapping'!$AL$296</definedName>
    <definedName name="SD_5565x1_5892x13_68_S_1" localSheetId="4" hidden="1">'ProLink Mapping'!$Z$297</definedName>
    <definedName name="SD_5565x1_5892x13_69_S_1" localSheetId="4" hidden="1">'ProLink Mapping'!$AB$297</definedName>
    <definedName name="SD_5565x1_5892x13_70_S_1" localSheetId="4" hidden="1">'ProLink Mapping'!$AD$297</definedName>
    <definedName name="SD_5565x1_5892x13_71_S_0" localSheetId="4" hidden="1">'ProLink Mapping'!$AF$297</definedName>
    <definedName name="SD_5565x1_5892x13_72_S_0" localSheetId="4" hidden="1">'ProLink Mapping'!$AH$297</definedName>
    <definedName name="SD_5565x1_5892x13_73_S_0" localSheetId="4" hidden="1">'ProLink Mapping'!$AJ$297</definedName>
    <definedName name="SD_5565x1_5892x13_86_S_0" localSheetId="4" hidden="1">'ProLink Mapping'!$AL$297</definedName>
    <definedName name="SD_5565x1_5892x14_68_S_1" localSheetId="4" hidden="1">'ProLink Mapping'!$Z$298</definedName>
    <definedName name="SD_5565x1_5892x14_69_S_1" localSheetId="4" hidden="1">'ProLink Mapping'!$AB$298</definedName>
    <definedName name="SD_5565x1_5892x14_70_S_1" localSheetId="4" hidden="1">'ProLink Mapping'!$AD$298</definedName>
    <definedName name="SD_5565x1_5892x14_71_S_0" localSheetId="4" hidden="1">'ProLink Mapping'!$AF$298</definedName>
    <definedName name="SD_5565x1_5892x14_72_S_0" localSheetId="4" hidden="1">'ProLink Mapping'!$AH$298</definedName>
    <definedName name="SD_5565x1_5892x14_73_S_0" localSheetId="4" hidden="1">'ProLink Mapping'!$AJ$298</definedName>
    <definedName name="SD_5565x1_5892x14_86_S_0" localSheetId="4" hidden="1">'ProLink Mapping'!$AL$298</definedName>
    <definedName name="SD_5565x1_5892x15_68_S_1" localSheetId="4" hidden="1">'ProLink Mapping'!$Z$299</definedName>
    <definedName name="SD_5565x1_5892x15_69_S_1" localSheetId="4" hidden="1">'ProLink Mapping'!$AB$299</definedName>
    <definedName name="SD_5565x1_5892x15_70_S_1" localSheetId="4" hidden="1">'ProLink Mapping'!$AD$299</definedName>
    <definedName name="SD_5565x1_5892x15_71_S_0" localSheetId="4" hidden="1">'ProLink Mapping'!$AF$299</definedName>
    <definedName name="SD_5565x1_5892x15_72_S_0" localSheetId="4" hidden="1">'ProLink Mapping'!$AH$299</definedName>
    <definedName name="SD_5565x1_5892x15_73_S_0" localSheetId="4" hidden="1">'ProLink Mapping'!$AJ$299</definedName>
    <definedName name="SD_5565x1_5892x15_86_S_0" localSheetId="4" hidden="1">'ProLink Mapping'!$AL$299</definedName>
    <definedName name="SD_5565x1_5892x2_68_S_1" localSheetId="4" hidden="1">'ProLink Mapping'!$AF$281</definedName>
    <definedName name="SD_5565x1_5892x2_69_S_1" localSheetId="4" hidden="1">'ProLink Mapping'!$AH$281</definedName>
    <definedName name="SD_5565x1_5892x2_70_S_1" localSheetId="4" hidden="1">'ProLink Mapping'!$AJ$281</definedName>
    <definedName name="SD_5565x1_5892x2_71_S_0" localSheetId="4" hidden="1">'ProLink Mapping'!$AL$281</definedName>
    <definedName name="SD_5565x1_5892x2_72_S_0" localSheetId="4" hidden="1">'ProLink Mapping'!$AN$281</definedName>
    <definedName name="SD_5565x1_5892x2_73_S_0" localSheetId="4" hidden="1">'ProLink Mapping'!$AP$281</definedName>
    <definedName name="SD_5565x1_5892x2_86_S_0" localSheetId="4" hidden="1">'ProLink Mapping'!$AR$281</definedName>
    <definedName name="SD_5565x1_5892x3_68_S_1" localSheetId="4" hidden="1">'ProLink Mapping'!$AF$282</definedName>
    <definedName name="SD_5565x1_5892x3_69_S_1" localSheetId="4" hidden="1">'ProLink Mapping'!$AH$282</definedName>
    <definedName name="SD_5565x1_5892x3_70_S_1" localSheetId="4" hidden="1">'ProLink Mapping'!$AJ$282</definedName>
    <definedName name="SD_5565x1_5892x3_71_S_0" localSheetId="4" hidden="1">'ProLink Mapping'!$AL$282</definedName>
    <definedName name="SD_5565x1_5892x3_72_S_0" localSheetId="4" hidden="1">'ProLink Mapping'!$AN$282</definedName>
    <definedName name="SD_5565x1_5892x3_73_S_0" localSheetId="4" hidden="1">'ProLink Mapping'!$AP$282</definedName>
    <definedName name="SD_5565x1_5892x3_86_S_0" localSheetId="4" hidden="1">'ProLink Mapping'!$AR$282</definedName>
    <definedName name="SD_5565x1_5892x4_68_S_1" localSheetId="4" hidden="1">'ProLink Mapping'!$AF$283</definedName>
    <definedName name="SD_5565x1_5892x4_69_S_1" localSheetId="4" hidden="1">'ProLink Mapping'!$AH$283</definedName>
    <definedName name="SD_5565x1_5892x4_70_S_1" localSheetId="4" hidden="1">'ProLink Mapping'!$AJ$283</definedName>
    <definedName name="SD_5565x1_5892x4_71_S_0" localSheetId="4" hidden="1">'ProLink Mapping'!$AL$283</definedName>
    <definedName name="SD_5565x1_5892x4_72_S_0" localSheetId="4" hidden="1">'ProLink Mapping'!$AN$283</definedName>
    <definedName name="SD_5565x1_5892x4_73_S_0" localSheetId="4" hidden="1">'ProLink Mapping'!$AP$283</definedName>
    <definedName name="SD_5565x1_5892x4_86_S_0" localSheetId="4" hidden="1">'ProLink Mapping'!$AR$283</definedName>
    <definedName name="SD_5565x1_5892x5_68_S_1" localSheetId="4" hidden="1">'ProLink Mapping'!$AF$284</definedName>
    <definedName name="SD_5565x1_5892x5_69_S_1" localSheetId="4" hidden="1">'ProLink Mapping'!$AH$284</definedName>
    <definedName name="SD_5565x1_5892x5_70_S_1" localSheetId="4" hidden="1">'ProLink Mapping'!$AJ$284</definedName>
    <definedName name="SD_5565x1_5892x5_71_S_0" localSheetId="4" hidden="1">'ProLink Mapping'!$AL$284</definedName>
    <definedName name="SD_5565x1_5892x5_72_S_0" localSheetId="4" hidden="1">'ProLink Mapping'!$AN$284</definedName>
    <definedName name="SD_5565x1_5892x5_73_S_0" localSheetId="4" hidden="1">'ProLink Mapping'!$AP$284</definedName>
    <definedName name="SD_5565x1_5892x5_86_S_0" localSheetId="4" hidden="1">'ProLink Mapping'!$AR$284</definedName>
    <definedName name="SD_5565x1_5892x6_68_S_1" localSheetId="4" hidden="1">'ProLink Mapping'!$AF$285</definedName>
    <definedName name="SD_5565x1_5892x6_69_S_1" localSheetId="4" hidden="1">'ProLink Mapping'!$AH$285</definedName>
    <definedName name="SD_5565x1_5892x6_70_S_1" localSheetId="4" hidden="1">'ProLink Mapping'!$AJ$285</definedName>
    <definedName name="SD_5565x1_5892x6_71_S_0" localSheetId="4" hidden="1">'ProLink Mapping'!$AL$285</definedName>
    <definedName name="SD_5565x1_5892x6_72_S_0" localSheetId="4" hidden="1">'ProLink Mapping'!$AN$285</definedName>
    <definedName name="SD_5565x1_5892x6_73_S_0" localSheetId="4" hidden="1">'ProLink Mapping'!$AP$285</definedName>
    <definedName name="SD_5565x1_5892x6_86_S_0" localSheetId="4" hidden="1">'ProLink Mapping'!$AR$285</definedName>
    <definedName name="SD_5565x1_5892x7_68_S_1" localSheetId="4" hidden="1">'ProLink Mapping'!$AF$286</definedName>
    <definedName name="SD_5565x1_5892x7_69_S_1" localSheetId="4" hidden="1">'ProLink Mapping'!$AH$286</definedName>
    <definedName name="SD_5565x1_5892x7_70_S_1" localSheetId="4" hidden="1">'ProLink Mapping'!$AJ$286</definedName>
    <definedName name="SD_5565x1_5892x7_71_S_0" localSheetId="4" hidden="1">'ProLink Mapping'!$AL$286</definedName>
    <definedName name="SD_5565x1_5892x7_72_S_0" localSheetId="4" hidden="1">'ProLink Mapping'!$AN$286</definedName>
    <definedName name="SD_5565x1_5892x7_73_S_0" localSheetId="4" hidden="1">'ProLink Mapping'!$AP$286</definedName>
    <definedName name="SD_5565x1_5892x7_86_S_0" localSheetId="4" hidden="1">'ProLink Mapping'!$AR$286</definedName>
    <definedName name="SD_5565x1_5892x8_68_S_1" localSheetId="4" hidden="1">'ProLink Mapping'!$AF$287</definedName>
    <definedName name="SD_5565x1_5892x8_69_S_1" localSheetId="4" hidden="1">'ProLink Mapping'!$AH$287</definedName>
    <definedName name="SD_5565x1_5892x8_70_S_1" localSheetId="4" hidden="1">'ProLink Mapping'!$AJ$287</definedName>
    <definedName name="SD_5565x1_5892x8_71_S_0" localSheetId="4" hidden="1">'ProLink Mapping'!$AL$287</definedName>
    <definedName name="SD_5565x1_5892x8_72_S_0" localSheetId="4" hidden="1">'ProLink Mapping'!$AN$287</definedName>
    <definedName name="SD_5565x1_5892x8_73_S_0" localSheetId="4" hidden="1">'ProLink Mapping'!$AP$287</definedName>
    <definedName name="SD_5565x1_5892x8_86_S_0" localSheetId="4" hidden="1">'ProLink Mapping'!$AR$287</definedName>
    <definedName name="SD_5565x1_5892x9_68_S_1" localSheetId="4" hidden="1">'ProLink Mapping'!$AF$288</definedName>
    <definedName name="SD_5565x1_5892x9_69_S_1" localSheetId="4" hidden="1">'ProLink Mapping'!$AH$288</definedName>
    <definedName name="SD_5565x1_5892x9_70_S_1" localSheetId="4" hidden="1">'ProLink Mapping'!$AJ$288</definedName>
    <definedName name="SD_5565x1_5892x9_71_S_0" localSheetId="4" hidden="1">'ProLink Mapping'!$AL$288</definedName>
    <definedName name="SD_5565x1_5892x9_72_S_0" localSheetId="4" hidden="1">'ProLink Mapping'!$AN$288</definedName>
    <definedName name="SD_5565x1_5892x9_73_S_0" localSheetId="4" hidden="1">'ProLink Mapping'!$AP$288</definedName>
    <definedName name="SD_5565x1_5892x9_86_S_0" localSheetId="4" hidden="1">'ProLink Mapping'!$AR$288</definedName>
    <definedName name="SD_5565x1_5943x1_100_S_0" localSheetId="4" hidden="1">'ProLink Mapping'!$Z$180</definedName>
    <definedName name="SD_5565x1_5943x1_102_S_0" localSheetId="4" hidden="1">'ProLink Mapping'!$Z$187</definedName>
    <definedName name="SD_5565x1_5943x1_103_S_0" localSheetId="4" hidden="1">'ProLink Mapping'!$Z$181</definedName>
    <definedName name="SD_5565x1_5943x1_104_S_0" localSheetId="4" hidden="1">'ProLink Mapping'!$AB$180</definedName>
    <definedName name="SD_5565x1_5943x1_105_S_0" localSheetId="4" hidden="1">'ProLink Mapping'!$Z$175</definedName>
    <definedName name="SD_5565x1_5943x1_106_S_0" localSheetId="4" hidden="1">'ProLink Mapping'!$AB$188</definedName>
    <definedName name="SD_5565x1_5943x1_107_S_0" localSheetId="4" hidden="1">'ProLink Mapping'!$Z$179</definedName>
    <definedName name="SD_5565x1_5943x1_109_S_0" localSheetId="4" hidden="1">'ProLink Mapping'!$AB$185</definedName>
    <definedName name="SD_5565x1_5943x1_111_S_0" localSheetId="4" hidden="1">'ProLink Mapping'!$AD$176</definedName>
    <definedName name="SD_5565x1_5943x1_113_S_0" localSheetId="4" hidden="1">'ProLink Mapping'!$Z$177</definedName>
    <definedName name="SD_5565x1_5943x1_114_S_0" localSheetId="4" hidden="1">'ProLink Mapping'!$AB$177</definedName>
    <definedName name="SD_5565x1_5943x1_118_S_0" localSheetId="4" hidden="1">'ProLink Mapping'!$Z$178</definedName>
    <definedName name="SD_5565x1_5943x1_119_S_0" localSheetId="4" hidden="1">'ProLink Mapping'!$Y$178</definedName>
    <definedName name="SD_5565x1_5943x1_13_S_1" localSheetId="4" hidden="1">'ProLink Mapping'!$Z$6</definedName>
    <definedName name="SD_5565x1_5943x1_18_S_1" localSheetId="4" hidden="1">'ProLink Mapping'!$Z$5</definedName>
    <definedName name="SD_5565x1_5943x1_28_S_0" localSheetId="4" hidden="1">'ProLink Mapping'!$Z$3</definedName>
    <definedName name="SD_5565x1_5943x1_30_S_0" localSheetId="4" hidden="1">'ProLink Mapping'!$Z$4</definedName>
    <definedName name="SD_5565x1_5943x1_31_S_0" localSheetId="4" hidden="1">'ProLink Mapping'!$Z$11</definedName>
    <definedName name="SD_5565x1_5943x1_35_S_0" localSheetId="4" hidden="1">'ProLink Mapping'!$Z$266</definedName>
    <definedName name="SD_5565x1_5943x1_41_S_0" localSheetId="4" hidden="1">'ProLink Mapping'!$Z$20</definedName>
    <definedName name="SD_5565x1_5943x1_42_S_0" localSheetId="4" hidden="1">'ProLink Mapping'!$Z$262</definedName>
    <definedName name="SD_5565x1_5943x1_43_S_0" localSheetId="4" hidden="1">'ProLink Mapping'!$Z$267</definedName>
    <definedName name="SD_5565x1_5943x1_45_S_0" localSheetId="4" hidden="1">'ProLink Mapping'!$Z$263</definedName>
    <definedName name="SD_5565x1_5943x1_46_S_0" localSheetId="4" hidden="1">'ProLink Mapping'!$Z$265</definedName>
    <definedName name="SD_5565x1_5943x1_48_S_0" localSheetId="4" hidden="1">'ProLink Mapping'!$Z$264</definedName>
    <definedName name="SD_5565x1_5943x1_50_S_0" localSheetId="4" hidden="1">'ProLink Mapping'!$Z$52</definedName>
    <definedName name="SD_5565x1_5943x1_57_S_0" localSheetId="4" hidden="1">'ProLink Mapping'!$Z$53</definedName>
    <definedName name="SD_5565x1_5943x1_5980x1_6014x1_150_S_1" localSheetId="4" hidden="1">'ProLink Mapping'!$Z$197</definedName>
    <definedName name="SD_5565x1_5943x1_5980x1_6014x1_151_S_1" localSheetId="4" hidden="1">'ProLink Mapping'!$AB$197</definedName>
    <definedName name="SD_5565x1_5943x1_5980x1_6014x1_154_S_0" localSheetId="4" hidden="1">'ProLink Mapping'!$AH$197</definedName>
    <definedName name="SD_5565x1_5943x1_5980x1_6014x1_155_S_0" localSheetId="4" hidden="1">'ProLink Mapping'!$AF$197</definedName>
    <definedName name="SD_5565x1_5943x1_5980x1_6014x1_156_S_0" localSheetId="4" hidden="1">'ProLink Mapping'!$AD$197</definedName>
    <definedName name="SD_5565x1_5943x1_5980x1_6014x1_197_S_1" localSheetId="4" hidden="1">'ProLink Mapping'!$AL$197</definedName>
    <definedName name="SD_5565x1_5943x1_5980x1_6014x10_150_S_1" localSheetId="4" hidden="1">'ProLink Mapping'!$Z$206</definedName>
    <definedName name="SD_5565x1_5943x1_5980x1_6014x10_151_S_1" localSheetId="4" hidden="1">'ProLink Mapping'!$AB$206</definedName>
    <definedName name="SD_5565x1_5943x1_5980x1_6014x10_154_S_0" localSheetId="4" hidden="1">'ProLink Mapping'!$AH$206</definedName>
    <definedName name="SD_5565x1_5943x1_5980x1_6014x10_155_S_0" localSheetId="4" hidden="1">'ProLink Mapping'!$AF$206</definedName>
    <definedName name="SD_5565x1_5943x1_5980x1_6014x10_156_S_0" localSheetId="4" hidden="1">'ProLink Mapping'!$AD$206</definedName>
    <definedName name="SD_5565x1_5943x1_5980x1_6014x10_197_S_1" localSheetId="4" hidden="1">'ProLink Mapping'!$AL$206</definedName>
    <definedName name="SD_5565x1_5943x1_5980x1_6014x11_150_S_1" localSheetId="4" hidden="1">'ProLink Mapping'!$Z$207</definedName>
    <definedName name="SD_5565x1_5943x1_5980x1_6014x11_151_S_1" localSheetId="4" hidden="1">'ProLink Mapping'!$AB$207</definedName>
    <definedName name="SD_5565x1_5943x1_5980x1_6014x11_154_S_0" localSheetId="4" hidden="1">'ProLink Mapping'!$AH$207</definedName>
    <definedName name="SD_5565x1_5943x1_5980x1_6014x11_155_S_0" localSheetId="4" hidden="1">'ProLink Mapping'!$AF$207</definedName>
    <definedName name="SD_5565x1_5943x1_5980x1_6014x11_156_S_0" localSheetId="4" hidden="1">'ProLink Mapping'!$AD$207</definedName>
    <definedName name="SD_5565x1_5943x1_5980x1_6014x11_197_S_1" localSheetId="4" hidden="1">'ProLink Mapping'!$AL$207</definedName>
    <definedName name="SD_5565x1_5943x1_5980x1_6014x12_150_S_1" localSheetId="4" hidden="1">'ProLink Mapping'!$Z$208</definedName>
    <definedName name="SD_5565x1_5943x1_5980x1_6014x12_151_S_1" localSheetId="4" hidden="1">'ProLink Mapping'!$AB$208</definedName>
    <definedName name="SD_5565x1_5943x1_5980x1_6014x12_154_S_0" localSheetId="4" hidden="1">'ProLink Mapping'!$AH$208</definedName>
    <definedName name="SD_5565x1_5943x1_5980x1_6014x12_155_S_0" localSheetId="4" hidden="1">'ProLink Mapping'!$AF$208</definedName>
    <definedName name="SD_5565x1_5943x1_5980x1_6014x12_156_S_0" localSheetId="4" hidden="1">'ProLink Mapping'!$AD$208</definedName>
    <definedName name="SD_5565x1_5943x1_5980x1_6014x12_197_S_1" localSheetId="4" hidden="1">'ProLink Mapping'!$AL$208</definedName>
    <definedName name="SD_5565x1_5943x1_5980x1_6014x13_150_S_1" localSheetId="4" hidden="1">'ProLink Mapping'!$Z$209</definedName>
    <definedName name="SD_5565x1_5943x1_5980x1_6014x13_151_S_1" localSheetId="4" hidden="1">'ProLink Mapping'!$AB$209</definedName>
    <definedName name="SD_5565x1_5943x1_5980x1_6014x13_154_S_0" localSheetId="4" hidden="1">'ProLink Mapping'!$AH$209</definedName>
    <definedName name="SD_5565x1_5943x1_5980x1_6014x13_155_S_0" localSheetId="4" hidden="1">'ProLink Mapping'!$AF$209</definedName>
    <definedName name="SD_5565x1_5943x1_5980x1_6014x13_156_S_0" localSheetId="4" hidden="1">'ProLink Mapping'!$AD$209</definedName>
    <definedName name="SD_5565x1_5943x1_5980x1_6014x13_197_S_1" localSheetId="4" hidden="1">'ProLink Mapping'!$AL$209</definedName>
    <definedName name="SD_5565x1_5943x1_5980x1_6014x14_150_S_1" localSheetId="4" hidden="1">'ProLink Mapping'!$Z$210</definedName>
    <definedName name="SD_5565x1_5943x1_5980x1_6014x14_151_S_1" localSheetId="4" hidden="1">'ProLink Mapping'!$AB$210</definedName>
    <definedName name="SD_5565x1_5943x1_5980x1_6014x14_154_S_0" localSheetId="4" hidden="1">'ProLink Mapping'!$AH$210</definedName>
    <definedName name="SD_5565x1_5943x1_5980x1_6014x14_155_S_0" localSheetId="4" hidden="1">'ProLink Mapping'!$AF$210</definedName>
    <definedName name="SD_5565x1_5943x1_5980x1_6014x14_156_S_0" localSheetId="4" hidden="1">'ProLink Mapping'!$AD$210</definedName>
    <definedName name="SD_5565x1_5943x1_5980x1_6014x14_197_S_1" localSheetId="4" hidden="1">'ProLink Mapping'!$AL$210</definedName>
    <definedName name="SD_5565x1_5943x1_5980x1_6014x15_150_S_1" localSheetId="4" hidden="1">'ProLink Mapping'!$Z$211</definedName>
    <definedName name="SD_5565x1_5943x1_5980x1_6014x15_151_S_1" localSheetId="4" hidden="1">'ProLink Mapping'!$AB$211</definedName>
    <definedName name="SD_5565x1_5943x1_5980x1_6014x15_154_S_0" localSheetId="4" hidden="1">'ProLink Mapping'!$AH$211</definedName>
    <definedName name="SD_5565x1_5943x1_5980x1_6014x15_155_S_0" localSheetId="4" hidden="1">'ProLink Mapping'!$AF$211</definedName>
    <definedName name="SD_5565x1_5943x1_5980x1_6014x15_156_S_0" localSheetId="4" hidden="1">'ProLink Mapping'!$AD$211</definedName>
    <definedName name="SD_5565x1_5943x1_5980x1_6014x15_197_S_1" localSheetId="4" hidden="1">'ProLink Mapping'!$AL$211</definedName>
    <definedName name="SD_5565x1_5943x1_5980x1_6014x16_150_S_1" localSheetId="4" hidden="1">'ProLink Mapping'!$Z$212</definedName>
    <definedName name="SD_5565x1_5943x1_5980x1_6014x16_151_S_1" localSheetId="4" hidden="1">'ProLink Mapping'!$AB$212</definedName>
    <definedName name="SD_5565x1_5943x1_5980x1_6014x16_154_S_0" localSheetId="4" hidden="1">'ProLink Mapping'!$AH$212</definedName>
    <definedName name="SD_5565x1_5943x1_5980x1_6014x16_155_S_0" localSheetId="4" hidden="1">'ProLink Mapping'!$AF$212</definedName>
    <definedName name="SD_5565x1_5943x1_5980x1_6014x16_156_S_0" localSheetId="4" hidden="1">'ProLink Mapping'!$AD$212</definedName>
    <definedName name="SD_5565x1_5943x1_5980x1_6014x16_197_S_1" localSheetId="4" hidden="1">'ProLink Mapping'!$AL$212</definedName>
    <definedName name="SD_5565x1_5943x1_5980x1_6014x17_150_S_1" localSheetId="4" hidden="1">'ProLink Mapping'!$Z$213</definedName>
    <definedName name="SD_5565x1_5943x1_5980x1_6014x17_151_S_1" localSheetId="4" hidden="1">'ProLink Mapping'!$AB$213</definedName>
    <definedName name="SD_5565x1_5943x1_5980x1_6014x17_154_S_0" localSheetId="4" hidden="1">'ProLink Mapping'!$AH$213</definedName>
    <definedName name="SD_5565x1_5943x1_5980x1_6014x17_155_S_0" localSheetId="4" hidden="1">'ProLink Mapping'!$AF$213</definedName>
    <definedName name="SD_5565x1_5943x1_5980x1_6014x17_156_S_0" localSheetId="4" hidden="1">'ProLink Mapping'!$AD$213</definedName>
    <definedName name="SD_5565x1_5943x1_5980x1_6014x17_197_S_1" localSheetId="4" hidden="1">'ProLink Mapping'!$AL$213</definedName>
    <definedName name="SD_5565x1_5943x1_5980x1_6014x18_150_S_1" localSheetId="4" hidden="1">'ProLink Mapping'!$Z$214</definedName>
    <definedName name="SD_5565x1_5943x1_5980x1_6014x18_151_S_1" localSheetId="4" hidden="1">'ProLink Mapping'!$AB$214</definedName>
    <definedName name="SD_5565x1_5943x1_5980x1_6014x18_154_S_0" localSheetId="4" hidden="1">'ProLink Mapping'!$AH$214</definedName>
    <definedName name="SD_5565x1_5943x1_5980x1_6014x18_155_S_0" localSheetId="4" hidden="1">'ProLink Mapping'!$AF$214</definedName>
    <definedName name="SD_5565x1_5943x1_5980x1_6014x18_156_S_0" localSheetId="4" hidden="1">'ProLink Mapping'!$AD$214</definedName>
    <definedName name="SD_5565x1_5943x1_5980x1_6014x18_197_S_1" localSheetId="4" hidden="1">'ProLink Mapping'!$AL$214</definedName>
    <definedName name="SD_5565x1_5943x1_5980x1_6014x19_150_S_1" localSheetId="4" hidden="1">'ProLink Mapping'!$Z$215</definedName>
    <definedName name="SD_5565x1_5943x1_5980x1_6014x19_151_S_1" localSheetId="4" hidden="1">'ProLink Mapping'!$AB$215</definedName>
    <definedName name="SD_5565x1_5943x1_5980x1_6014x19_154_S_0" localSheetId="4" hidden="1">'ProLink Mapping'!$AH$215</definedName>
    <definedName name="SD_5565x1_5943x1_5980x1_6014x19_155_S_0" localSheetId="4" hidden="1">'ProLink Mapping'!$AF$215</definedName>
    <definedName name="SD_5565x1_5943x1_5980x1_6014x19_156_S_0" localSheetId="4" hidden="1">'ProLink Mapping'!$AD$215</definedName>
    <definedName name="SD_5565x1_5943x1_5980x1_6014x19_197_S_1" localSheetId="4" hidden="1">'ProLink Mapping'!$AL$215</definedName>
    <definedName name="SD_5565x1_5943x1_5980x1_6014x2_150_S_1" localSheetId="4" hidden="1">'ProLink Mapping'!$Z$198</definedName>
    <definedName name="SD_5565x1_5943x1_5980x1_6014x2_151_S_1" localSheetId="4" hidden="1">'ProLink Mapping'!$AB$198</definedName>
    <definedName name="SD_5565x1_5943x1_5980x1_6014x2_154_S_0" localSheetId="4" hidden="1">'ProLink Mapping'!$AH$198</definedName>
    <definedName name="SD_5565x1_5943x1_5980x1_6014x2_155_S_0" localSheetId="4" hidden="1">'ProLink Mapping'!$AF$198</definedName>
    <definedName name="SD_5565x1_5943x1_5980x1_6014x2_156_S_0" localSheetId="4" hidden="1">'ProLink Mapping'!$AD$198</definedName>
    <definedName name="SD_5565x1_5943x1_5980x1_6014x2_197_S_1" localSheetId="4" hidden="1">'ProLink Mapping'!$AL$198</definedName>
    <definedName name="SD_5565x1_5943x1_5980x1_6014x20_150_S_1" localSheetId="4" hidden="1">'ProLink Mapping'!$Z$216</definedName>
    <definedName name="SD_5565x1_5943x1_5980x1_6014x20_151_S_1" localSheetId="4" hidden="1">'ProLink Mapping'!$AB$216</definedName>
    <definedName name="SD_5565x1_5943x1_5980x1_6014x20_154_S_0" localSheetId="4" hidden="1">'ProLink Mapping'!$AH$216</definedName>
    <definedName name="SD_5565x1_5943x1_5980x1_6014x20_155_S_0" localSheetId="4" hidden="1">'ProLink Mapping'!$AF$216</definedName>
    <definedName name="SD_5565x1_5943x1_5980x1_6014x20_156_S_0" localSheetId="4" hidden="1">'ProLink Mapping'!$AD$216</definedName>
    <definedName name="SD_5565x1_5943x1_5980x1_6014x20_197_S_1" localSheetId="4" hidden="1">'ProLink Mapping'!$AL$216</definedName>
    <definedName name="SD_5565x1_5943x1_5980x1_6014x21_150_S_1" localSheetId="4" hidden="1">'ProLink Mapping'!$Z$217</definedName>
    <definedName name="SD_5565x1_5943x1_5980x1_6014x21_151_S_1" localSheetId="4" hidden="1">'ProLink Mapping'!$AB$217</definedName>
    <definedName name="SD_5565x1_5943x1_5980x1_6014x21_154_S_0" localSheetId="4" hidden="1">'ProLink Mapping'!$AH$217</definedName>
    <definedName name="SD_5565x1_5943x1_5980x1_6014x21_155_S_0" localSheetId="4" hidden="1">'ProLink Mapping'!$AF$217</definedName>
    <definedName name="SD_5565x1_5943x1_5980x1_6014x21_156_S_0" localSheetId="4" hidden="1">'ProLink Mapping'!$AD$217</definedName>
    <definedName name="SD_5565x1_5943x1_5980x1_6014x21_197_S_1" localSheetId="4" hidden="1">'ProLink Mapping'!$AL$217</definedName>
    <definedName name="SD_5565x1_5943x1_5980x1_6014x22_150_S_1" localSheetId="4" hidden="1">'ProLink Mapping'!$Z$218</definedName>
    <definedName name="SD_5565x1_5943x1_5980x1_6014x22_151_S_1" localSheetId="4" hidden="1">'ProLink Mapping'!$AB$218</definedName>
    <definedName name="SD_5565x1_5943x1_5980x1_6014x22_154_S_0" localSheetId="4" hidden="1">'ProLink Mapping'!$AH$218</definedName>
    <definedName name="SD_5565x1_5943x1_5980x1_6014x22_155_S_0" localSheetId="4" hidden="1">'ProLink Mapping'!$AF$218</definedName>
    <definedName name="SD_5565x1_5943x1_5980x1_6014x22_156_S_0" localSheetId="4" hidden="1">'ProLink Mapping'!$AD$218</definedName>
    <definedName name="SD_5565x1_5943x1_5980x1_6014x22_197_S_1" localSheetId="4" hidden="1">'ProLink Mapping'!$AL$218</definedName>
    <definedName name="SD_5565x1_5943x1_5980x1_6014x23_150_S_1" localSheetId="4" hidden="1">'ProLink Mapping'!$Z$219</definedName>
    <definedName name="SD_5565x1_5943x1_5980x1_6014x23_151_S_1" localSheetId="4" hidden="1">'ProLink Mapping'!$AB$219</definedName>
    <definedName name="SD_5565x1_5943x1_5980x1_6014x23_154_S_0" localSheetId="4" hidden="1">'ProLink Mapping'!$AH$219</definedName>
    <definedName name="SD_5565x1_5943x1_5980x1_6014x23_155_S_0" localSheetId="4" hidden="1">'ProLink Mapping'!$AF$219</definedName>
    <definedName name="SD_5565x1_5943x1_5980x1_6014x23_156_S_0" localSheetId="4" hidden="1">'ProLink Mapping'!$AD$219</definedName>
    <definedName name="SD_5565x1_5943x1_5980x1_6014x23_197_S_1" localSheetId="4" hidden="1">'ProLink Mapping'!$AL$219</definedName>
    <definedName name="SD_5565x1_5943x1_5980x1_6014x24_150_S_1" localSheetId="4" hidden="1">'ProLink Mapping'!$Z$220</definedName>
    <definedName name="SD_5565x1_5943x1_5980x1_6014x24_151_S_1" localSheetId="4" hidden="1">'ProLink Mapping'!$AB$220</definedName>
    <definedName name="SD_5565x1_5943x1_5980x1_6014x24_154_S_0" localSheetId="4" hidden="1">'ProLink Mapping'!$AH$220</definedName>
    <definedName name="SD_5565x1_5943x1_5980x1_6014x24_155_S_0" localSheetId="4" hidden="1">'ProLink Mapping'!$AF$220</definedName>
    <definedName name="SD_5565x1_5943x1_5980x1_6014x24_156_S_0" localSheetId="4" hidden="1">'ProLink Mapping'!$AD$220</definedName>
    <definedName name="SD_5565x1_5943x1_5980x1_6014x24_197_S_1" localSheetId="4" hidden="1">'ProLink Mapping'!$AL$220</definedName>
    <definedName name="SD_5565x1_5943x1_5980x1_6014x25_150_S_1" localSheetId="4" hidden="1">'ProLink Mapping'!$Z$221</definedName>
    <definedName name="SD_5565x1_5943x1_5980x1_6014x25_151_S_1" localSheetId="4" hidden="1">'ProLink Mapping'!$AB$221</definedName>
    <definedName name="SD_5565x1_5943x1_5980x1_6014x25_154_S_0" localSheetId="4" hidden="1">'ProLink Mapping'!$AH$221</definedName>
    <definedName name="SD_5565x1_5943x1_5980x1_6014x25_155_S_0" localSheetId="4" hidden="1">'ProLink Mapping'!$AF$221</definedName>
    <definedName name="SD_5565x1_5943x1_5980x1_6014x25_156_S_0" localSheetId="4" hidden="1">'ProLink Mapping'!$AD$221</definedName>
    <definedName name="SD_5565x1_5943x1_5980x1_6014x25_197_S_1" localSheetId="4" hidden="1">'ProLink Mapping'!$AL$221</definedName>
    <definedName name="SD_5565x1_5943x1_5980x1_6014x26_150_S_1" localSheetId="4" hidden="1">'ProLink Mapping'!$Z$222</definedName>
    <definedName name="SD_5565x1_5943x1_5980x1_6014x26_151_S_1" localSheetId="4" hidden="1">'ProLink Mapping'!$AB$222</definedName>
    <definedName name="SD_5565x1_5943x1_5980x1_6014x26_154_S_0" localSheetId="4" hidden="1">'ProLink Mapping'!$AH$222</definedName>
    <definedName name="SD_5565x1_5943x1_5980x1_6014x26_155_S_0" localSheetId="4" hidden="1">'ProLink Mapping'!$AF$222</definedName>
    <definedName name="SD_5565x1_5943x1_5980x1_6014x26_156_S_0" localSheetId="4" hidden="1">'ProLink Mapping'!$AD$222</definedName>
    <definedName name="SD_5565x1_5943x1_5980x1_6014x26_197_S_1" localSheetId="4" hidden="1">'ProLink Mapping'!$AL$222</definedName>
    <definedName name="SD_5565x1_5943x1_5980x1_6014x27_150_S_1" localSheetId="4" hidden="1">'ProLink Mapping'!$Z$223</definedName>
    <definedName name="SD_5565x1_5943x1_5980x1_6014x27_151_S_1" localSheetId="4" hidden="1">'ProLink Mapping'!$AB$223</definedName>
    <definedName name="SD_5565x1_5943x1_5980x1_6014x27_154_S_0" localSheetId="4" hidden="1">'ProLink Mapping'!$AH$223</definedName>
    <definedName name="SD_5565x1_5943x1_5980x1_6014x27_155_S_0" localSheetId="4" hidden="1">'ProLink Mapping'!$AF$223</definedName>
    <definedName name="SD_5565x1_5943x1_5980x1_6014x27_156_S_0" localSheetId="4" hidden="1">'ProLink Mapping'!$AD$223</definedName>
    <definedName name="SD_5565x1_5943x1_5980x1_6014x27_197_S_1" localSheetId="4" hidden="1">'ProLink Mapping'!$AL$223</definedName>
    <definedName name="SD_5565x1_5943x1_5980x1_6014x28_150_S_1" localSheetId="4" hidden="1">'ProLink Mapping'!$Z$224</definedName>
    <definedName name="SD_5565x1_5943x1_5980x1_6014x28_151_S_1" localSheetId="4" hidden="1">'ProLink Mapping'!$AB$224</definedName>
    <definedName name="SD_5565x1_5943x1_5980x1_6014x28_154_S_0" localSheetId="4" hidden="1">'ProLink Mapping'!$AH$224</definedName>
    <definedName name="SD_5565x1_5943x1_5980x1_6014x28_155_S_0" localSheetId="4" hidden="1">'ProLink Mapping'!$AF$224</definedName>
    <definedName name="SD_5565x1_5943x1_5980x1_6014x28_156_S_0" localSheetId="4" hidden="1">'ProLink Mapping'!$AD$224</definedName>
    <definedName name="SD_5565x1_5943x1_5980x1_6014x28_197_S_1" localSheetId="4" hidden="1">'ProLink Mapping'!$AL$224</definedName>
    <definedName name="SD_5565x1_5943x1_5980x1_6014x29_150_S_1" localSheetId="4" hidden="1">'ProLink Mapping'!$Z$225</definedName>
    <definedName name="SD_5565x1_5943x1_5980x1_6014x29_151_S_1" localSheetId="4" hidden="1">'ProLink Mapping'!$AB$225</definedName>
    <definedName name="SD_5565x1_5943x1_5980x1_6014x29_154_S_0" localSheetId="4" hidden="1">'ProLink Mapping'!$AH$225</definedName>
    <definedName name="SD_5565x1_5943x1_5980x1_6014x29_155_S_0" localSheetId="4" hidden="1">'ProLink Mapping'!$AF$225</definedName>
    <definedName name="SD_5565x1_5943x1_5980x1_6014x29_156_S_0" localSheetId="4" hidden="1">'ProLink Mapping'!$AD$225</definedName>
    <definedName name="SD_5565x1_5943x1_5980x1_6014x29_197_S_1" localSheetId="4" hidden="1">'ProLink Mapping'!$AL$225</definedName>
    <definedName name="SD_5565x1_5943x1_5980x1_6014x3_150_S_1" localSheetId="4" hidden="1">'ProLink Mapping'!$Z$199</definedName>
    <definedName name="SD_5565x1_5943x1_5980x1_6014x3_151_S_1" localSheetId="4" hidden="1">'ProLink Mapping'!$AB$199</definedName>
    <definedName name="SD_5565x1_5943x1_5980x1_6014x3_154_S_0" localSheetId="4" hidden="1">'ProLink Mapping'!$AH$199</definedName>
    <definedName name="SD_5565x1_5943x1_5980x1_6014x3_155_S_0" localSheetId="4" hidden="1">'ProLink Mapping'!$AF$199</definedName>
    <definedName name="SD_5565x1_5943x1_5980x1_6014x3_156_S_0" localSheetId="4" hidden="1">'ProLink Mapping'!$AD$199</definedName>
    <definedName name="SD_5565x1_5943x1_5980x1_6014x3_197_S_1" localSheetId="4" hidden="1">'ProLink Mapping'!$AL$199</definedName>
    <definedName name="SD_5565x1_5943x1_5980x1_6014x30_150_S_1" localSheetId="4" hidden="1">'ProLink Mapping'!$Z$226</definedName>
    <definedName name="SD_5565x1_5943x1_5980x1_6014x30_151_S_1" localSheetId="4" hidden="1">'ProLink Mapping'!$AB$226</definedName>
    <definedName name="SD_5565x1_5943x1_5980x1_6014x30_154_S_0" localSheetId="4" hidden="1">'ProLink Mapping'!$AH$226</definedName>
    <definedName name="SD_5565x1_5943x1_5980x1_6014x30_155_S_0" localSheetId="4" hidden="1">'ProLink Mapping'!$AF$226</definedName>
    <definedName name="SD_5565x1_5943x1_5980x1_6014x30_156_S_0" localSheetId="4" hidden="1">'ProLink Mapping'!$AD$226</definedName>
    <definedName name="SD_5565x1_5943x1_5980x1_6014x30_197_S_1" localSheetId="4" hidden="1">'ProLink Mapping'!$AL$226</definedName>
    <definedName name="SD_5565x1_5943x1_5980x1_6014x31_150_S_1" localSheetId="4" hidden="1">'ProLink Mapping'!$Z$227</definedName>
    <definedName name="SD_5565x1_5943x1_5980x1_6014x31_151_S_1" localSheetId="4" hidden="1">'ProLink Mapping'!$AB$227</definedName>
    <definedName name="SD_5565x1_5943x1_5980x1_6014x31_154_S_0" localSheetId="4" hidden="1">'ProLink Mapping'!$AH$227</definedName>
    <definedName name="SD_5565x1_5943x1_5980x1_6014x31_155_S_0" localSheetId="4" hidden="1">'ProLink Mapping'!$AF$227</definedName>
    <definedName name="SD_5565x1_5943x1_5980x1_6014x31_156_S_0" localSheetId="4" hidden="1">'ProLink Mapping'!$AD$227</definedName>
    <definedName name="SD_5565x1_5943x1_5980x1_6014x31_197_S_1" localSheetId="4" hidden="1">'ProLink Mapping'!$AL$227</definedName>
    <definedName name="SD_5565x1_5943x1_5980x1_6014x32_150_S_1" localSheetId="4" hidden="1">'ProLink Mapping'!$Z$228</definedName>
    <definedName name="SD_5565x1_5943x1_5980x1_6014x32_151_S_1" localSheetId="4" hidden="1">'ProLink Mapping'!$AB$228</definedName>
    <definedName name="SD_5565x1_5943x1_5980x1_6014x32_154_S_0" localSheetId="4" hidden="1">'ProLink Mapping'!$AH$228</definedName>
    <definedName name="SD_5565x1_5943x1_5980x1_6014x32_155_S_0" localSheetId="4" hidden="1">'ProLink Mapping'!$AF$228</definedName>
    <definedName name="SD_5565x1_5943x1_5980x1_6014x32_156_S_0" localSheetId="4" hidden="1">'ProLink Mapping'!$AD$228</definedName>
    <definedName name="SD_5565x1_5943x1_5980x1_6014x32_197_S_1" localSheetId="4" hidden="1">'ProLink Mapping'!$AL$228</definedName>
    <definedName name="SD_5565x1_5943x1_5980x1_6014x33_150_S_1" localSheetId="4" hidden="1">'ProLink Mapping'!$Z$229</definedName>
    <definedName name="SD_5565x1_5943x1_5980x1_6014x33_151_S_1" localSheetId="4" hidden="1">'ProLink Mapping'!$AB$229</definedName>
    <definedName name="SD_5565x1_5943x1_5980x1_6014x33_154_S_0" localSheetId="4" hidden="1">'ProLink Mapping'!$AH$229</definedName>
    <definedName name="SD_5565x1_5943x1_5980x1_6014x33_155_S_0" localSheetId="4" hidden="1">'ProLink Mapping'!$AF$229</definedName>
    <definedName name="SD_5565x1_5943x1_5980x1_6014x33_156_S_0" localSheetId="4" hidden="1">'ProLink Mapping'!$AD$229</definedName>
    <definedName name="SD_5565x1_5943x1_5980x1_6014x33_197_S_1" localSheetId="4" hidden="1">'ProLink Mapping'!$AL$229</definedName>
    <definedName name="SD_5565x1_5943x1_5980x1_6014x34_150_S_1" localSheetId="4" hidden="1">'ProLink Mapping'!$Z$230</definedName>
    <definedName name="SD_5565x1_5943x1_5980x1_6014x34_151_S_1" localSheetId="4" hidden="1">'ProLink Mapping'!$AB$230</definedName>
    <definedName name="SD_5565x1_5943x1_5980x1_6014x34_154_S_0" localSheetId="4" hidden="1">'ProLink Mapping'!$AH$230</definedName>
    <definedName name="SD_5565x1_5943x1_5980x1_6014x34_155_S_0" localSheetId="4" hidden="1">'ProLink Mapping'!$AF$230</definedName>
    <definedName name="SD_5565x1_5943x1_5980x1_6014x34_156_S_0" localSheetId="4" hidden="1">'ProLink Mapping'!$AD$230</definedName>
    <definedName name="SD_5565x1_5943x1_5980x1_6014x34_197_S_1" localSheetId="4" hidden="1">'ProLink Mapping'!$AL$230</definedName>
    <definedName name="SD_5565x1_5943x1_5980x1_6014x35_150_S_1" localSheetId="4" hidden="1">'ProLink Mapping'!$Z$231</definedName>
    <definedName name="SD_5565x1_5943x1_5980x1_6014x35_151_S_1" localSheetId="4" hidden="1">'ProLink Mapping'!$AB$231</definedName>
    <definedName name="SD_5565x1_5943x1_5980x1_6014x35_154_S_0" localSheetId="4" hidden="1">'ProLink Mapping'!$AH$231</definedName>
    <definedName name="SD_5565x1_5943x1_5980x1_6014x35_155_S_0" localSheetId="4" hidden="1">'ProLink Mapping'!$AF$231</definedName>
    <definedName name="SD_5565x1_5943x1_5980x1_6014x35_156_S_0" localSheetId="4" hidden="1">'ProLink Mapping'!$AD$231</definedName>
    <definedName name="SD_5565x1_5943x1_5980x1_6014x35_197_S_1" localSheetId="4" hidden="1">'ProLink Mapping'!$AL$231</definedName>
    <definedName name="SD_5565x1_5943x1_5980x1_6014x36_150_S_1" localSheetId="4" hidden="1">'ProLink Mapping'!$Z$232</definedName>
    <definedName name="SD_5565x1_5943x1_5980x1_6014x36_151_S_1" localSheetId="4" hidden="1">'ProLink Mapping'!$AB$232</definedName>
    <definedName name="SD_5565x1_5943x1_5980x1_6014x36_154_S_0" localSheetId="4" hidden="1">'ProLink Mapping'!$AH$232</definedName>
    <definedName name="SD_5565x1_5943x1_5980x1_6014x36_155_S_0" localSheetId="4" hidden="1">'ProLink Mapping'!$AF$232</definedName>
    <definedName name="SD_5565x1_5943x1_5980x1_6014x36_156_S_0" localSheetId="4" hidden="1">'ProLink Mapping'!$AD$232</definedName>
    <definedName name="SD_5565x1_5943x1_5980x1_6014x36_197_S_1" localSheetId="4" hidden="1">'ProLink Mapping'!$AL$232</definedName>
    <definedName name="SD_5565x1_5943x1_5980x1_6014x37_150_S_1" localSheetId="4" hidden="1">'ProLink Mapping'!$Z$233</definedName>
    <definedName name="SD_5565x1_5943x1_5980x1_6014x37_151_S_1" localSheetId="4" hidden="1">'ProLink Mapping'!$AB$233</definedName>
    <definedName name="SD_5565x1_5943x1_5980x1_6014x37_154_S_0" localSheetId="4" hidden="1">'ProLink Mapping'!$AH$233</definedName>
    <definedName name="SD_5565x1_5943x1_5980x1_6014x37_155_S_0" localSheetId="4" hidden="1">'ProLink Mapping'!$AF$233</definedName>
    <definedName name="SD_5565x1_5943x1_5980x1_6014x37_156_S_0" localSheetId="4" hidden="1">'ProLink Mapping'!$AD$233</definedName>
    <definedName name="SD_5565x1_5943x1_5980x1_6014x37_197_S_1" localSheetId="4" hidden="1">'ProLink Mapping'!$AL$233</definedName>
    <definedName name="SD_5565x1_5943x1_5980x1_6014x38_150_S_1" localSheetId="4" hidden="1">'ProLink Mapping'!$Z$234</definedName>
    <definedName name="SD_5565x1_5943x1_5980x1_6014x38_151_S_1" localSheetId="4" hidden="1">'ProLink Mapping'!$AB$234</definedName>
    <definedName name="SD_5565x1_5943x1_5980x1_6014x38_154_S_0" localSheetId="4" hidden="1">'ProLink Mapping'!$AH$234</definedName>
    <definedName name="SD_5565x1_5943x1_5980x1_6014x38_155_S_0" localSheetId="4" hidden="1">'ProLink Mapping'!$AF$234</definedName>
    <definedName name="SD_5565x1_5943x1_5980x1_6014x38_156_S_0" localSheetId="4" hidden="1">'ProLink Mapping'!$AD$234</definedName>
    <definedName name="SD_5565x1_5943x1_5980x1_6014x38_197_S_1" localSheetId="4" hidden="1">'ProLink Mapping'!$AL$234</definedName>
    <definedName name="SD_5565x1_5943x1_5980x1_6014x39_150_S_1" localSheetId="4" hidden="1">'ProLink Mapping'!$Z$235</definedName>
    <definedName name="SD_5565x1_5943x1_5980x1_6014x39_151_S_1" localSheetId="4" hidden="1">'ProLink Mapping'!$AB$235</definedName>
    <definedName name="SD_5565x1_5943x1_5980x1_6014x39_154_S_0" localSheetId="4" hidden="1">'ProLink Mapping'!$AH$235</definedName>
    <definedName name="SD_5565x1_5943x1_5980x1_6014x39_155_S_0" localSheetId="4" hidden="1">'ProLink Mapping'!$AF$235</definedName>
    <definedName name="SD_5565x1_5943x1_5980x1_6014x39_156_S_0" localSheetId="4" hidden="1">'ProLink Mapping'!$AD$235</definedName>
    <definedName name="SD_5565x1_5943x1_5980x1_6014x39_197_S_1" localSheetId="4" hidden="1">'ProLink Mapping'!$AL$235</definedName>
    <definedName name="SD_5565x1_5943x1_5980x1_6014x4_150_S_1" localSheetId="4" hidden="1">'ProLink Mapping'!$Z$200</definedName>
    <definedName name="SD_5565x1_5943x1_5980x1_6014x4_151_S_1" localSheetId="4" hidden="1">'ProLink Mapping'!$AB$200</definedName>
    <definedName name="SD_5565x1_5943x1_5980x1_6014x4_154_S_0" localSheetId="4" hidden="1">'ProLink Mapping'!$AH$200</definedName>
    <definedName name="SD_5565x1_5943x1_5980x1_6014x4_155_S_0" localSheetId="4" hidden="1">'ProLink Mapping'!$AF$200</definedName>
    <definedName name="SD_5565x1_5943x1_5980x1_6014x4_156_S_0" localSheetId="4" hidden="1">'ProLink Mapping'!$AD$200</definedName>
    <definedName name="SD_5565x1_5943x1_5980x1_6014x4_197_S_1" localSheetId="4" hidden="1">'ProLink Mapping'!$AL$200</definedName>
    <definedName name="SD_5565x1_5943x1_5980x1_6014x40_150_S_1" localSheetId="4" hidden="1">'ProLink Mapping'!$Z$236</definedName>
    <definedName name="SD_5565x1_5943x1_5980x1_6014x40_151_S_1" localSheetId="4" hidden="1">'ProLink Mapping'!$AB$236</definedName>
    <definedName name="SD_5565x1_5943x1_5980x1_6014x40_154_S_0" localSheetId="4" hidden="1">'ProLink Mapping'!$AH$236</definedName>
    <definedName name="SD_5565x1_5943x1_5980x1_6014x40_155_S_0" localSheetId="4" hidden="1">'ProLink Mapping'!$AF$236</definedName>
    <definedName name="SD_5565x1_5943x1_5980x1_6014x40_156_S_0" localSheetId="4" hidden="1">'ProLink Mapping'!$AD$236</definedName>
    <definedName name="SD_5565x1_5943x1_5980x1_6014x40_197_S_1" localSheetId="4" hidden="1">'ProLink Mapping'!$AL$236</definedName>
    <definedName name="SD_5565x1_5943x1_5980x1_6014x41_150_S_1" localSheetId="4" hidden="1">'ProLink Mapping'!$Z$237</definedName>
    <definedName name="SD_5565x1_5943x1_5980x1_6014x41_151_S_1" localSheetId="4" hidden="1">'ProLink Mapping'!$AB$237</definedName>
    <definedName name="SD_5565x1_5943x1_5980x1_6014x41_154_S_0" localSheetId="4" hidden="1">'ProLink Mapping'!$AH$237</definedName>
    <definedName name="SD_5565x1_5943x1_5980x1_6014x41_155_S_0" localSheetId="4" hidden="1">'ProLink Mapping'!$AF$237</definedName>
    <definedName name="SD_5565x1_5943x1_5980x1_6014x41_156_S_0" localSheetId="4" hidden="1">'ProLink Mapping'!$AD$237</definedName>
    <definedName name="SD_5565x1_5943x1_5980x1_6014x41_197_S_1" localSheetId="4" hidden="1">'ProLink Mapping'!$AL$237</definedName>
    <definedName name="SD_5565x1_5943x1_5980x1_6014x42_150_S_1" localSheetId="4" hidden="1">'ProLink Mapping'!$Z$238</definedName>
    <definedName name="SD_5565x1_5943x1_5980x1_6014x42_151_S_1" localSheetId="4" hidden="1">'ProLink Mapping'!$AB$238</definedName>
    <definedName name="SD_5565x1_5943x1_5980x1_6014x42_154_S_0" localSheetId="4" hidden="1">'ProLink Mapping'!$AH$238</definedName>
    <definedName name="SD_5565x1_5943x1_5980x1_6014x42_155_S_0" localSheetId="4" hidden="1">'ProLink Mapping'!$AF$238</definedName>
    <definedName name="SD_5565x1_5943x1_5980x1_6014x42_156_S_0" localSheetId="4" hidden="1">'ProLink Mapping'!$AD$238</definedName>
    <definedName name="SD_5565x1_5943x1_5980x1_6014x42_197_S_1" localSheetId="4" hidden="1">'ProLink Mapping'!$AL$238</definedName>
    <definedName name="SD_5565x1_5943x1_5980x1_6014x43_150_S_1" localSheetId="4" hidden="1">'ProLink Mapping'!$Z$239</definedName>
    <definedName name="SD_5565x1_5943x1_5980x1_6014x43_151_S_1" localSheetId="4" hidden="1">'ProLink Mapping'!$AB$239</definedName>
    <definedName name="SD_5565x1_5943x1_5980x1_6014x43_154_S_0" localSheetId="4" hidden="1">'ProLink Mapping'!$AH$239</definedName>
    <definedName name="SD_5565x1_5943x1_5980x1_6014x43_155_S_0" localSheetId="4" hidden="1">'ProLink Mapping'!$AF$239</definedName>
    <definedName name="SD_5565x1_5943x1_5980x1_6014x43_156_S_0" localSheetId="4" hidden="1">'ProLink Mapping'!$AD$239</definedName>
    <definedName name="SD_5565x1_5943x1_5980x1_6014x43_197_S_1" localSheetId="4" hidden="1">'ProLink Mapping'!$AL$239</definedName>
    <definedName name="SD_5565x1_5943x1_5980x1_6014x44_150_S_1" localSheetId="4" hidden="1">'ProLink Mapping'!$Z$240</definedName>
    <definedName name="SD_5565x1_5943x1_5980x1_6014x44_151_S_1" localSheetId="4" hidden="1">'ProLink Mapping'!$AB$240</definedName>
    <definedName name="SD_5565x1_5943x1_5980x1_6014x44_154_S_0" localSheetId="4" hidden="1">'ProLink Mapping'!$AH$240</definedName>
    <definedName name="SD_5565x1_5943x1_5980x1_6014x44_155_S_0" localSheetId="4" hidden="1">'ProLink Mapping'!$AF$240</definedName>
    <definedName name="SD_5565x1_5943x1_5980x1_6014x44_156_S_0" localSheetId="4" hidden="1">'ProLink Mapping'!$AD$240</definedName>
    <definedName name="SD_5565x1_5943x1_5980x1_6014x44_197_S_1" localSheetId="4" hidden="1">'ProLink Mapping'!$AL$240</definedName>
    <definedName name="SD_5565x1_5943x1_5980x1_6014x45_150_S_1" localSheetId="4" hidden="1">'ProLink Mapping'!$Z$241</definedName>
    <definedName name="SD_5565x1_5943x1_5980x1_6014x45_151_S_1" localSheetId="4" hidden="1">'ProLink Mapping'!$AB$241</definedName>
    <definedName name="SD_5565x1_5943x1_5980x1_6014x45_154_S_0" localSheetId="4" hidden="1">'ProLink Mapping'!$AH$241</definedName>
    <definedName name="SD_5565x1_5943x1_5980x1_6014x45_155_S_0" localSheetId="4" hidden="1">'ProLink Mapping'!$AF$241</definedName>
    <definedName name="SD_5565x1_5943x1_5980x1_6014x45_156_S_0" localSheetId="4" hidden="1">'ProLink Mapping'!$AD$241</definedName>
    <definedName name="SD_5565x1_5943x1_5980x1_6014x45_197_S_1" localSheetId="4" hidden="1">'ProLink Mapping'!$AL$241</definedName>
    <definedName name="SD_5565x1_5943x1_5980x1_6014x46_150_S_1" localSheetId="4" hidden="1">'ProLink Mapping'!$Z$242</definedName>
    <definedName name="SD_5565x1_5943x1_5980x1_6014x46_151_S_1" localSheetId="4" hidden="1">'ProLink Mapping'!$AB$242</definedName>
    <definedName name="SD_5565x1_5943x1_5980x1_6014x46_154_S_0" localSheetId="4" hidden="1">'ProLink Mapping'!$AH$242</definedName>
    <definedName name="SD_5565x1_5943x1_5980x1_6014x46_155_S_0" localSheetId="4" hidden="1">'ProLink Mapping'!$AF$242</definedName>
    <definedName name="SD_5565x1_5943x1_5980x1_6014x46_156_S_0" localSheetId="4" hidden="1">'ProLink Mapping'!$AD$242</definedName>
    <definedName name="SD_5565x1_5943x1_5980x1_6014x46_197_S_1" localSheetId="4" hidden="1">'ProLink Mapping'!$AL$242</definedName>
    <definedName name="SD_5565x1_5943x1_5980x1_6014x47_150_S_1" localSheetId="4" hidden="1">'ProLink Mapping'!$Z$243</definedName>
    <definedName name="SD_5565x1_5943x1_5980x1_6014x47_151_S_1" localSheetId="4" hidden="1">'ProLink Mapping'!$AB$243</definedName>
    <definedName name="SD_5565x1_5943x1_5980x1_6014x47_154_S_0" localSheetId="4" hidden="1">'ProLink Mapping'!$AH$243</definedName>
    <definedName name="SD_5565x1_5943x1_5980x1_6014x47_155_S_0" localSheetId="4" hidden="1">'ProLink Mapping'!$AF$243</definedName>
    <definedName name="SD_5565x1_5943x1_5980x1_6014x47_156_S_0" localSheetId="4" hidden="1">'ProLink Mapping'!$AD$243</definedName>
    <definedName name="SD_5565x1_5943x1_5980x1_6014x47_197_S_1" localSheetId="4" hidden="1">'ProLink Mapping'!$AL$243</definedName>
    <definedName name="SD_5565x1_5943x1_5980x1_6014x48_150_S_1" localSheetId="4" hidden="1">'ProLink Mapping'!$Z$244</definedName>
    <definedName name="SD_5565x1_5943x1_5980x1_6014x48_151_S_1" localSheetId="4" hidden="1">'ProLink Mapping'!$AB$244</definedName>
    <definedName name="SD_5565x1_5943x1_5980x1_6014x48_154_S_0" localSheetId="4" hidden="1">'ProLink Mapping'!$AH$244</definedName>
    <definedName name="SD_5565x1_5943x1_5980x1_6014x48_155_S_0" localSheetId="4" hidden="1">'ProLink Mapping'!$AF$244</definedName>
    <definedName name="SD_5565x1_5943x1_5980x1_6014x48_156_S_0" localSheetId="4" hidden="1">'ProLink Mapping'!$AD$244</definedName>
    <definedName name="SD_5565x1_5943x1_5980x1_6014x48_197_S_1" localSheetId="4" hidden="1">'ProLink Mapping'!$AL$244</definedName>
    <definedName name="SD_5565x1_5943x1_5980x1_6014x49_150_S_1" localSheetId="4" hidden="1">'ProLink Mapping'!$Z$245</definedName>
    <definedName name="SD_5565x1_5943x1_5980x1_6014x49_151_S_1" localSheetId="4" hidden="1">'ProLink Mapping'!$AB$245</definedName>
    <definedName name="SD_5565x1_5943x1_5980x1_6014x49_154_S_0" localSheetId="4" hidden="1">'ProLink Mapping'!$AH$245</definedName>
    <definedName name="SD_5565x1_5943x1_5980x1_6014x49_155_S_0" localSheetId="4" hidden="1">'ProLink Mapping'!$AF$245</definedName>
    <definedName name="SD_5565x1_5943x1_5980x1_6014x49_156_S_0" localSheetId="4" hidden="1">'ProLink Mapping'!$AD$245</definedName>
    <definedName name="SD_5565x1_5943x1_5980x1_6014x49_197_S_1" localSheetId="4" hidden="1">'ProLink Mapping'!$AL$245</definedName>
    <definedName name="SD_5565x1_5943x1_5980x1_6014x5_150_S_1" localSheetId="4" hidden="1">'ProLink Mapping'!$Z$201</definedName>
    <definedName name="SD_5565x1_5943x1_5980x1_6014x5_151_S_1" localSheetId="4" hidden="1">'ProLink Mapping'!$AB$201</definedName>
    <definedName name="SD_5565x1_5943x1_5980x1_6014x5_154_S_0" localSheetId="4" hidden="1">'ProLink Mapping'!$AH$201</definedName>
    <definedName name="SD_5565x1_5943x1_5980x1_6014x5_155_S_0" localSheetId="4" hidden="1">'ProLink Mapping'!$AF$201</definedName>
    <definedName name="SD_5565x1_5943x1_5980x1_6014x5_156_S_0" localSheetId="4" hidden="1">'ProLink Mapping'!$AD$201</definedName>
    <definedName name="SD_5565x1_5943x1_5980x1_6014x5_197_S_1" localSheetId="4" hidden="1">'ProLink Mapping'!$AL$201</definedName>
    <definedName name="SD_5565x1_5943x1_5980x1_6014x50_150_S_1" localSheetId="4" hidden="1">'ProLink Mapping'!$Z$246</definedName>
    <definedName name="SD_5565x1_5943x1_5980x1_6014x50_151_S_1" localSheetId="4" hidden="1">'ProLink Mapping'!$AB$246</definedName>
    <definedName name="SD_5565x1_5943x1_5980x1_6014x50_154_S_0" localSheetId="4" hidden="1">'ProLink Mapping'!$AH$246</definedName>
    <definedName name="SD_5565x1_5943x1_5980x1_6014x50_155_S_0" localSheetId="4" hidden="1">'ProLink Mapping'!$AF$246</definedName>
    <definedName name="SD_5565x1_5943x1_5980x1_6014x50_156_S_0" localSheetId="4" hidden="1">'ProLink Mapping'!$AD$246</definedName>
    <definedName name="SD_5565x1_5943x1_5980x1_6014x50_197_S_1" localSheetId="4" hidden="1">'ProLink Mapping'!$AL$246</definedName>
    <definedName name="SD_5565x1_5943x1_5980x1_6014x6_150_S_1" localSheetId="4" hidden="1">'ProLink Mapping'!$Z$202</definedName>
    <definedName name="SD_5565x1_5943x1_5980x1_6014x6_151_S_1" localSheetId="4" hidden="1">'ProLink Mapping'!$AB$202</definedName>
    <definedName name="SD_5565x1_5943x1_5980x1_6014x6_154_S_0" localSheetId="4" hidden="1">'ProLink Mapping'!$AH$202</definedName>
    <definedName name="SD_5565x1_5943x1_5980x1_6014x6_155_S_0" localSheetId="4" hidden="1">'ProLink Mapping'!$AF$202</definedName>
    <definedName name="SD_5565x1_5943x1_5980x1_6014x6_156_S_0" localSheetId="4" hidden="1">'ProLink Mapping'!$AD$202</definedName>
    <definedName name="SD_5565x1_5943x1_5980x1_6014x6_197_S_1" localSheetId="4" hidden="1">'ProLink Mapping'!$AL$202</definedName>
    <definedName name="SD_5565x1_5943x1_5980x1_6014x7_150_S_1" localSheetId="4" hidden="1">'ProLink Mapping'!$Z$203</definedName>
    <definedName name="SD_5565x1_5943x1_5980x1_6014x7_151_S_1" localSheetId="4" hidden="1">'ProLink Mapping'!$AB$203</definedName>
    <definedName name="SD_5565x1_5943x1_5980x1_6014x7_154_S_0" localSheetId="4" hidden="1">'ProLink Mapping'!$AH$203</definedName>
    <definedName name="SD_5565x1_5943x1_5980x1_6014x7_155_S_0" localSheetId="4" hidden="1">'ProLink Mapping'!$AF$203</definedName>
    <definedName name="SD_5565x1_5943x1_5980x1_6014x7_156_S_0" localSheetId="4" hidden="1">'ProLink Mapping'!$AD$203</definedName>
    <definedName name="SD_5565x1_5943x1_5980x1_6014x7_197_S_1" localSheetId="4" hidden="1">'ProLink Mapping'!$AL$203</definedName>
    <definedName name="SD_5565x1_5943x1_5980x1_6014x8_150_S_1" localSheetId="4" hidden="1">'ProLink Mapping'!$Z$204</definedName>
    <definedName name="SD_5565x1_5943x1_5980x1_6014x8_151_S_1" localSheetId="4" hidden="1">'ProLink Mapping'!$AB$204</definedName>
    <definedName name="SD_5565x1_5943x1_5980x1_6014x8_154_S_0" localSheetId="4" hidden="1">'ProLink Mapping'!$AH$204</definedName>
    <definedName name="SD_5565x1_5943x1_5980x1_6014x8_155_S_0" localSheetId="4" hidden="1">'ProLink Mapping'!$AF$204</definedName>
    <definedName name="SD_5565x1_5943x1_5980x1_6014x8_156_S_0" localSheetId="4" hidden="1">'ProLink Mapping'!$AD$204</definedName>
    <definedName name="SD_5565x1_5943x1_5980x1_6014x8_197_S_1" localSheetId="4" hidden="1">'ProLink Mapping'!$AL$204</definedName>
    <definedName name="SD_5565x1_5943x1_5980x1_6014x9_150_S_1" localSheetId="4" hidden="1">'ProLink Mapping'!$Z$205</definedName>
    <definedName name="SD_5565x1_5943x1_5980x1_6014x9_151_S_1" localSheetId="4" hidden="1">'ProLink Mapping'!$AB$205</definedName>
    <definedName name="SD_5565x1_5943x1_5980x1_6014x9_154_S_0" localSheetId="4" hidden="1">'ProLink Mapping'!$AH$205</definedName>
    <definedName name="SD_5565x1_5943x1_5980x1_6014x9_155_S_0" localSheetId="4" hidden="1">'ProLink Mapping'!$AF$205</definedName>
    <definedName name="SD_5565x1_5943x1_5980x1_6014x9_156_S_0" localSheetId="4" hidden="1">'ProLink Mapping'!$AD$205</definedName>
    <definedName name="SD_5565x1_5943x1_5980x1_6014x9_197_S_1" localSheetId="4" hidden="1">'ProLink Mapping'!$AL$205</definedName>
    <definedName name="SD_5565x1_5943x1_65_S_0" localSheetId="4" hidden="1">'ProLink Mapping'!$Z$261</definedName>
    <definedName name="SD_5565x1_5943x1_83_S_0" localSheetId="4" hidden="1">'ProLink Mapping'!$Z$268</definedName>
    <definedName name="SD_5565x1_5943x1_97_S_0" localSheetId="4" hidden="1">'ProLink Mapping'!$AD$179</definedName>
    <definedName name="SD_5565x1_7645x1_10_S_0" localSheetId="4" hidden="1">'ProLink Mapping'!$AJ$133</definedName>
    <definedName name="SD_5565x1_7645x1_12_S_1" localSheetId="4" hidden="1">'ProLink Mapping'!$AI$133</definedName>
    <definedName name="SD_5565x1_7645x1_13_S_1" localSheetId="4" hidden="1">'ProLink Mapping'!$AB$133</definedName>
    <definedName name="SD_5565x1_7645x1_14_S_0" localSheetId="4" hidden="1">'ProLink Mapping'!$AK$133</definedName>
    <definedName name="SD_5565x1_7645x1_15_S_0" localSheetId="4" hidden="1">'ProLink Mapping'!$AA$133</definedName>
    <definedName name="SD_5565x1_7645x1_16_S_0" localSheetId="4" hidden="1">'ProLink Mapping'!$AE$133</definedName>
    <definedName name="SD_5565x1_7645x1_18_S_0" localSheetId="4" hidden="1">'ProLink Mapping'!$AD$133</definedName>
    <definedName name="SD_5565x1_7645x1_19_S_0" localSheetId="4" hidden="1">'ProLink Mapping'!$AF$133</definedName>
    <definedName name="SD_5565x1_7645x1_21_S_0" localSheetId="4" hidden="1">'ProLink Mapping'!$AH$133</definedName>
    <definedName name="SD_5565x1_7645x1_23_S_0" localSheetId="4" hidden="1">'ProLink Mapping'!$AG$133</definedName>
    <definedName name="SD_5565x1_7645x1_24_S_1" localSheetId="4" hidden="1">'ProLink Mapping'!$AC$133</definedName>
    <definedName name="SD_5565x1_7645x10_10_S_0" localSheetId="4" hidden="1">'ProLink Mapping'!$AJ$142</definedName>
    <definedName name="SD_5565x1_7645x10_12_S_1" localSheetId="4" hidden="1">'ProLink Mapping'!$AI$142</definedName>
    <definedName name="SD_5565x1_7645x10_13_S_1" localSheetId="4" hidden="1">'ProLink Mapping'!$AB$142</definedName>
    <definedName name="SD_5565x1_7645x10_14_S_0" localSheetId="4" hidden="1">'ProLink Mapping'!$AK$142</definedName>
    <definedName name="SD_5565x1_7645x10_15_S_0" localSheetId="4" hidden="1">'ProLink Mapping'!$AA$142</definedName>
    <definedName name="SD_5565x1_7645x10_16_S_0" localSheetId="4" hidden="1">'ProLink Mapping'!$AE$142</definedName>
    <definedName name="SD_5565x1_7645x10_18_S_0" localSheetId="4" hidden="1">'ProLink Mapping'!$AD$142</definedName>
    <definedName name="SD_5565x1_7645x10_19_S_0" localSheetId="4" hidden="1">'ProLink Mapping'!$AF$142</definedName>
    <definedName name="SD_5565x1_7645x10_21_S_0" localSheetId="4" hidden="1">'ProLink Mapping'!$AH$142</definedName>
    <definedName name="SD_5565x1_7645x10_23_S_0" localSheetId="4" hidden="1">'ProLink Mapping'!$AG$142</definedName>
    <definedName name="SD_5565x1_7645x10_24_S_1" localSheetId="4" hidden="1">'ProLink Mapping'!$AC$142</definedName>
    <definedName name="SD_5565x1_7645x11_10_S_0" localSheetId="4" hidden="1">'ProLink Mapping'!$AJ$143</definedName>
    <definedName name="SD_5565x1_7645x11_12_S_1" localSheetId="4" hidden="1">'ProLink Mapping'!$AI$143</definedName>
    <definedName name="SD_5565x1_7645x11_13_S_1" localSheetId="4" hidden="1">'ProLink Mapping'!$AB$143</definedName>
    <definedName name="SD_5565x1_7645x11_14_S_0" localSheetId="4" hidden="1">'ProLink Mapping'!$AK$143</definedName>
    <definedName name="SD_5565x1_7645x11_15_S_0" localSheetId="4" hidden="1">'ProLink Mapping'!$AA$143</definedName>
    <definedName name="SD_5565x1_7645x11_16_S_0" localSheetId="4" hidden="1">'ProLink Mapping'!$AE$143</definedName>
    <definedName name="SD_5565x1_7645x11_18_S_0" localSheetId="4" hidden="1">'ProLink Mapping'!$AD$143</definedName>
    <definedName name="SD_5565x1_7645x11_19_S_0" localSheetId="4" hidden="1">'ProLink Mapping'!$AF$143</definedName>
    <definedName name="SD_5565x1_7645x11_21_S_0" localSheetId="4" hidden="1">'ProLink Mapping'!$AH$143</definedName>
    <definedName name="SD_5565x1_7645x11_23_S_0" localSheetId="4" hidden="1">'ProLink Mapping'!$AG$143</definedName>
    <definedName name="SD_5565x1_7645x11_24_S_1" localSheetId="4" hidden="1">'ProLink Mapping'!$AC$143</definedName>
    <definedName name="SD_5565x1_7645x12_10_S_0" localSheetId="4" hidden="1">'ProLink Mapping'!$AJ$144</definedName>
    <definedName name="SD_5565x1_7645x12_12_S_1" localSheetId="4" hidden="1">'ProLink Mapping'!$AI$144</definedName>
    <definedName name="SD_5565x1_7645x12_13_S_1" localSheetId="4" hidden="1">'ProLink Mapping'!$AB$144</definedName>
    <definedName name="SD_5565x1_7645x12_14_S_0" localSheetId="4" hidden="1">'ProLink Mapping'!$AK$144</definedName>
    <definedName name="SD_5565x1_7645x12_15_S_0" localSheetId="4" hidden="1">'ProLink Mapping'!$AA$144</definedName>
    <definedName name="SD_5565x1_7645x12_16_S_0" localSheetId="4" hidden="1">'ProLink Mapping'!$AE$144</definedName>
    <definedName name="SD_5565x1_7645x12_18_S_0" localSheetId="4" hidden="1">'ProLink Mapping'!$AD$144</definedName>
    <definedName name="SD_5565x1_7645x12_19_S_0" localSheetId="4" hidden="1">'ProLink Mapping'!$AF$144</definedName>
    <definedName name="SD_5565x1_7645x12_21_S_0" localSheetId="4" hidden="1">'ProLink Mapping'!$AH$144</definedName>
    <definedName name="SD_5565x1_7645x12_23_S_0" localSheetId="4" hidden="1">'ProLink Mapping'!$AG$144</definedName>
    <definedName name="SD_5565x1_7645x12_24_S_1" localSheetId="4" hidden="1">'ProLink Mapping'!$AC$144</definedName>
    <definedName name="SD_5565x1_7645x13_10_S_0" localSheetId="4" hidden="1">'ProLink Mapping'!$AJ$145</definedName>
    <definedName name="SD_5565x1_7645x13_12_S_1" localSheetId="4" hidden="1">'ProLink Mapping'!$AI$145</definedName>
    <definedName name="SD_5565x1_7645x13_13_S_1" localSheetId="4" hidden="1">'ProLink Mapping'!$AB$145</definedName>
    <definedName name="SD_5565x1_7645x13_14_S_0" localSheetId="4" hidden="1">'ProLink Mapping'!$AK$145</definedName>
    <definedName name="SD_5565x1_7645x13_15_S_0" localSheetId="4" hidden="1">'ProLink Mapping'!$AA$145</definedName>
    <definedName name="SD_5565x1_7645x13_16_S_0" localSheetId="4" hidden="1">'ProLink Mapping'!$AE$145</definedName>
    <definedName name="SD_5565x1_7645x13_18_S_0" localSheetId="4" hidden="1">'ProLink Mapping'!$AD$145</definedName>
    <definedName name="SD_5565x1_7645x13_19_S_0" localSheetId="4" hidden="1">'ProLink Mapping'!$AF$145</definedName>
    <definedName name="SD_5565x1_7645x13_21_S_0" localSheetId="4" hidden="1">'ProLink Mapping'!$AH$145</definedName>
    <definedName name="SD_5565x1_7645x13_23_S_0" localSheetId="4" hidden="1">'ProLink Mapping'!$AG$145</definedName>
    <definedName name="SD_5565x1_7645x13_24_S_1" localSheetId="4" hidden="1">'ProLink Mapping'!$AC$145</definedName>
    <definedName name="SD_5565x1_7645x14_10_S_0" localSheetId="4" hidden="1">'ProLink Mapping'!$AJ$146</definedName>
    <definedName name="SD_5565x1_7645x14_12_S_1" localSheetId="4" hidden="1">'ProLink Mapping'!$AI$146</definedName>
    <definedName name="SD_5565x1_7645x14_13_S_1" localSheetId="4" hidden="1">'ProLink Mapping'!$AB$146</definedName>
    <definedName name="SD_5565x1_7645x14_14_S_0" localSheetId="4" hidden="1">'ProLink Mapping'!$AK$146</definedName>
    <definedName name="SD_5565x1_7645x14_15_S_0" localSheetId="4" hidden="1">'ProLink Mapping'!$AA$146</definedName>
    <definedName name="SD_5565x1_7645x14_16_S_0" localSheetId="4" hidden="1">'ProLink Mapping'!$AE$146</definedName>
    <definedName name="SD_5565x1_7645x14_18_S_0" localSheetId="4" hidden="1">'ProLink Mapping'!$AD$146</definedName>
    <definedName name="SD_5565x1_7645x14_19_S_0" localSheetId="4" hidden="1">'ProLink Mapping'!$AF$146</definedName>
    <definedName name="SD_5565x1_7645x14_21_S_0" localSheetId="4" hidden="1">'ProLink Mapping'!$AH$146</definedName>
    <definedName name="SD_5565x1_7645x14_23_S_0" localSheetId="4" hidden="1">'ProLink Mapping'!$AG$146</definedName>
    <definedName name="SD_5565x1_7645x14_24_S_1" localSheetId="4" hidden="1">'ProLink Mapping'!$AC$146</definedName>
    <definedName name="SD_5565x1_7645x15_10_S_0" localSheetId="4" hidden="1">'ProLink Mapping'!$AJ$147</definedName>
    <definedName name="SD_5565x1_7645x15_12_S_1" localSheetId="4" hidden="1">'ProLink Mapping'!$AI$147</definedName>
    <definedName name="SD_5565x1_7645x15_13_S_1" localSheetId="4" hidden="1">'ProLink Mapping'!$AB$147</definedName>
    <definedName name="SD_5565x1_7645x15_14_S_0" localSheetId="4" hidden="1">'ProLink Mapping'!$AK$147</definedName>
    <definedName name="SD_5565x1_7645x15_15_S_0" localSheetId="4" hidden="1">'ProLink Mapping'!$AA$147</definedName>
    <definedName name="SD_5565x1_7645x15_16_S_0" localSheetId="4" hidden="1">'ProLink Mapping'!$AE$147</definedName>
    <definedName name="SD_5565x1_7645x15_18_S_0" localSheetId="4" hidden="1">'ProLink Mapping'!$AD$147</definedName>
    <definedName name="SD_5565x1_7645x15_19_S_0" localSheetId="4" hidden="1">'ProLink Mapping'!$AF$147</definedName>
    <definedName name="SD_5565x1_7645x15_21_S_0" localSheetId="4" hidden="1">'ProLink Mapping'!$AH$147</definedName>
    <definedName name="SD_5565x1_7645x15_23_S_0" localSheetId="4" hidden="1">'ProLink Mapping'!$AG$147</definedName>
    <definedName name="SD_5565x1_7645x15_24_S_1" localSheetId="4" hidden="1">'ProLink Mapping'!$AC$147</definedName>
    <definedName name="SD_5565x1_7645x16_10_S_0" localSheetId="4" hidden="1">'ProLink Mapping'!$AJ$148</definedName>
    <definedName name="SD_5565x1_7645x16_12_S_1" localSheetId="4" hidden="1">'ProLink Mapping'!$AI$148</definedName>
    <definedName name="SD_5565x1_7645x16_13_S_1" localSheetId="4" hidden="1">'ProLink Mapping'!$AB$148</definedName>
    <definedName name="SD_5565x1_7645x16_14_S_0" localSheetId="4" hidden="1">'ProLink Mapping'!$AK$148</definedName>
    <definedName name="SD_5565x1_7645x16_15_S_0" localSheetId="4" hidden="1">'ProLink Mapping'!$AA$148</definedName>
    <definedName name="SD_5565x1_7645x16_16_S_0" localSheetId="4" hidden="1">'ProLink Mapping'!$AE$148</definedName>
    <definedName name="SD_5565x1_7645x16_18_S_0" localSheetId="4" hidden="1">'ProLink Mapping'!$AD$148</definedName>
    <definedName name="SD_5565x1_7645x16_19_S_0" localSheetId="4" hidden="1">'ProLink Mapping'!$AF$148</definedName>
    <definedName name="SD_5565x1_7645x16_21_S_0" localSheetId="4" hidden="1">'ProLink Mapping'!$AH$148</definedName>
    <definedName name="SD_5565x1_7645x16_23_S_0" localSheetId="4" hidden="1">'ProLink Mapping'!$AG$148</definedName>
    <definedName name="SD_5565x1_7645x16_24_S_1" localSheetId="4" hidden="1">'ProLink Mapping'!$AC$148</definedName>
    <definedName name="SD_5565x1_7645x17_10_S_0" localSheetId="4" hidden="1">'ProLink Mapping'!$AJ$149</definedName>
    <definedName name="SD_5565x1_7645x17_12_S_1" localSheetId="4" hidden="1">'ProLink Mapping'!$AI$149</definedName>
    <definedName name="SD_5565x1_7645x17_13_S_1" localSheetId="4" hidden="1">'ProLink Mapping'!$AB$149</definedName>
    <definedName name="SD_5565x1_7645x17_14_S_0" localSheetId="4" hidden="1">'ProLink Mapping'!$AK$149</definedName>
    <definedName name="SD_5565x1_7645x17_15_S_0" localSheetId="4" hidden="1">'ProLink Mapping'!$AA$149</definedName>
    <definedName name="SD_5565x1_7645x17_16_S_0" localSheetId="4" hidden="1">'ProLink Mapping'!$AE$149</definedName>
    <definedName name="SD_5565x1_7645x17_18_S_0" localSheetId="4" hidden="1">'ProLink Mapping'!$AD$149</definedName>
    <definedName name="SD_5565x1_7645x17_19_S_0" localSheetId="4" hidden="1">'ProLink Mapping'!$AF$149</definedName>
    <definedName name="SD_5565x1_7645x17_21_S_0" localSheetId="4" hidden="1">'ProLink Mapping'!$AH$149</definedName>
    <definedName name="SD_5565x1_7645x17_23_S_0" localSheetId="4" hidden="1">'ProLink Mapping'!$AG$149</definedName>
    <definedName name="SD_5565x1_7645x17_24_S_1" localSheetId="4" hidden="1">'ProLink Mapping'!$AC$149</definedName>
    <definedName name="SD_5565x1_7645x18_10_S_0" localSheetId="4" hidden="1">'ProLink Mapping'!$AJ$150</definedName>
    <definedName name="SD_5565x1_7645x18_12_S_1" localSheetId="4" hidden="1">'ProLink Mapping'!$AI$150</definedName>
    <definedName name="SD_5565x1_7645x18_13_S_1" localSheetId="4" hidden="1">'ProLink Mapping'!$AB$150</definedName>
    <definedName name="SD_5565x1_7645x18_14_S_0" localSheetId="4" hidden="1">'ProLink Mapping'!$AK$150</definedName>
    <definedName name="SD_5565x1_7645x18_15_S_0" localSheetId="4" hidden="1">'ProLink Mapping'!$AA$150</definedName>
    <definedName name="SD_5565x1_7645x18_16_S_0" localSheetId="4" hidden="1">'ProLink Mapping'!$AE$150</definedName>
    <definedName name="SD_5565x1_7645x18_18_S_0" localSheetId="4" hidden="1">'ProLink Mapping'!$AD$150</definedName>
    <definedName name="SD_5565x1_7645x18_19_S_0" localSheetId="4" hidden="1">'ProLink Mapping'!$AF$150</definedName>
    <definedName name="SD_5565x1_7645x18_21_S_0" localSheetId="4" hidden="1">'ProLink Mapping'!$AH$150</definedName>
    <definedName name="SD_5565x1_7645x18_23_S_0" localSheetId="4" hidden="1">'ProLink Mapping'!$AG$150</definedName>
    <definedName name="SD_5565x1_7645x18_24_S_1" localSheetId="4" hidden="1">'ProLink Mapping'!$AC$150</definedName>
    <definedName name="SD_5565x1_7645x19_10_S_0" localSheetId="4" hidden="1">'ProLink Mapping'!$AJ$151</definedName>
    <definedName name="SD_5565x1_7645x19_12_S_1" localSheetId="4" hidden="1">'ProLink Mapping'!$AI$151</definedName>
    <definedName name="SD_5565x1_7645x19_13_S_1" localSheetId="4" hidden="1">'ProLink Mapping'!$AB$151</definedName>
    <definedName name="SD_5565x1_7645x19_14_S_0" localSheetId="4" hidden="1">'ProLink Mapping'!$AK$151</definedName>
    <definedName name="SD_5565x1_7645x19_15_S_0" localSheetId="4" hidden="1">'ProLink Mapping'!$AA$151</definedName>
    <definedName name="SD_5565x1_7645x19_16_S_0" localSheetId="4" hidden="1">'ProLink Mapping'!$AE$151</definedName>
    <definedName name="SD_5565x1_7645x19_18_S_0" localSheetId="4" hidden="1">'ProLink Mapping'!$AD$151</definedName>
    <definedName name="SD_5565x1_7645x19_19_S_0" localSheetId="4" hidden="1">'ProLink Mapping'!$AF$151</definedName>
    <definedName name="SD_5565x1_7645x19_21_S_0" localSheetId="4" hidden="1">'ProLink Mapping'!$AH$151</definedName>
    <definedName name="SD_5565x1_7645x19_23_S_0" localSheetId="4" hidden="1">'ProLink Mapping'!$AG$151</definedName>
    <definedName name="SD_5565x1_7645x19_24_S_1" localSheetId="4" hidden="1">'ProLink Mapping'!$AC$151</definedName>
    <definedName name="SD_5565x1_7645x2_10_S_0" localSheetId="4" hidden="1">'ProLink Mapping'!$AJ$134</definedName>
    <definedName name="SD_5565x1_7645x2_12_S_1" localSheetId="4" hidden="1">'ProLink Mapping'!$AI$134</definedName>
    <definedName name="SD_5565x1_7645x2_13_S_1" localSheetId="4" hidden="1">'ProLink Mapping'!$AB$134</definedName>
    <definedName name="SD_5565x1_7645x2_14_S_0" localSheetId="4" hidden="1">'ProLink Mapping'!$AK$134</definedName>
    <definedName name="SD_5565x1_7645x2_15_S_0" localSheetId="4" hidden="1">'ProLink Mapping'!$AA$134</definedName>
    <definedName name="SD_5565x1_7645x2_16_S_0" localSheetId="4" hidden="1">'ProLink Mapping'!$AE$134</definedName>
    <definedName name="SD_5565x1_7645x2_18_S_0" localSheetId="4" hidden="1">'ProLink Mapping'!$AD$134</definedName>
    <definedName name="SD_5565x1_7645x2_19_S_0" localSheetId="4" hidden="1">'ProLink Mapping'!$AF$134</definedName>
    <definedName name="SD_5565x1_7645x2_21_S_0" localSheetId="4" hidden="1">'ProLink Mapping'!$AH$134</definedName>
    <definedName name="SD_5565x1_7645x2_23_S_0" localSheetId="4" hidden="1">'ProLink Mapping'!$AG$134</definedName>
    <definedName name="SD_5565x1_7645x2_24_S_1" localSheetId="4" hidden="1">'ProLink Mapping'!$AC$134</definedName>
    <definedName name="SD_5565x1_7645x20_10_S_0" localSheetId="4" hidden="1">'ProLink Mapping'!$AJ$152</definedName>
    <definedName name="SD_5565x1_7645x20_12_S_1" localSheetId="4" hidden="1">'ProLink Mapping'!$AI$152</definedName>
    <definedName name="SD_5565x1_7645x20_13_S_1" localSheetId="4" hidden="1">'ProLink Mapping'!$AB$152</definedName>
    <definedName name="SD_5565x1_7645x20_14_S_0" localSheetId="4" hidden="1">'ProLink Mapping'!$AK$152</definedName>
    <definedName name="SD_5565x1_7645x20_15_S_0" localSheetId="4" hidden="1">'ProLink Mapping'!$AA$152</definedName>
    <definedName name="SD_5565x1_7645x20_16_S_0" localSheetId="4" hidden="1">'ProLink Mapping'!$AE$152</definedName>
    <definedName name="SD_5565x1_7645x20_18_S_0" localSheetId="4" hidden="1">'ProLink Mapping'!$AD$152</definedName>
    <definedName name="SD_5565x1_7645x20_19_S_0" localSheetId="4" hidden="1">'ProLink Mapping'!$AF$152</definedName>
    <definedName name="SD_5565x1_7645x20_21_S_0" localSheetId="4" hidden="1">'ProLink Mapping'!$AH$152</definedName>
    <definedName name="SD_5565x1_7645x20_23_S_0" localSheetId="4" hidden="1">'ProLink Mapping'!$AG$152</definedName>
    <definedName name="SD_5565x1_7645x20_24_S_1" localSheetId="4" hidden="1">'ProLink Mapping'!$AC$152</definedName>
    <definedName name="SD_5565x1_7645x21_10_S_0" localSheetId="4" hidden="1">'ProLink Mapping'!$AJ$153</definedName>
    <definedName name="SD_5565x1_7645x21_12_S_1" localSheetId="4" hidden="1">'ProLink Mapping'!$AI$153</definedName>
    <definedName name="SD_5565x1_7645x21_13_S_1" localSheetId="4" hidden="1">'ProLink Mapping'!$AB$153</definedName>
    <definedName name="SD_5565x1_7645x21_14_S_0" localSheetId="4" hidden="1">'ProLink Mapping'!$AK$153</definedName>
    <definedName name="SD_5565x1_7645x21_15_S_0" localSheetId="4" hidden="1">'ProLink Mapping'!$AA$153</definedName>
    <definedName name="SD_5565x1_7645x21_16_S_0" localSheetId="4" hidden="1">'ProLink Mapping'!$AE$153</definedName>
    <definedName name="SD_5565x1_7645x21_18_S_0" localSheetId="4" hidden="1">'ProLink Mapping'!$AD$153</definedName>
    <definedName name="SD_5565x1_7645x21_19_S_0" localSheetId="4" hidden="1">'ProLink Mapping'!$AF$153</definedName>
    <definedName name="SD_5565x1_7645x21_21_S_0" localSheetId="4" hidden="1">'ProLink Mapping'!$AH$153</definedName>
    <definedName name="SD_5565x1_7645x21_23_S_0" localSheetId="4" hidden="1">'ProLink Mapping'!$AG$153</definedName>
    <definedName name="SD_5565x1_7645x21_24_S_1" localSheetId="4" hidden="1">'ProLink Mapping'!$AC$153</definedName>
    <definedName name="SD_5565x1_7645x22_10_S_0" localSheetId="4" hidden="1">'ProLink Mapping'!$AJ$154</definedName>
    <definedName name="SD_5565x1_7645x22_12_S_1" localSheetId="4" hidden="1">'ProLink Mapping'!$AI$154</definedName>
    <definedName name="SD_5565x1_7645x22_13_S_1" localSheetId="4" hidden="1">'ProLink Mapping'!$AB$154</definedName>
    <definedName name="SD_5565x1_7645x22_14_S_0" localSheetId="4" hidden="1">'ProLink Mapping'!$AK$154</definedName>
    <definedName name="SD_5565x1_7645x22_15_S_0" localSheetId="4" hidden="1">'ProLink Mapping'!$AA$154</definedName>
    <definedName name="SD_5565x1_7645x22_16_S_0" localSheetId="4" hidden="1">'ProLink Mapping'!$AE$154</definedName>
    <definedName name="SD_5565x1_7645x22_18_S_0" localSheetId="4" hidden="1">'ProLink Mapping'!$AD$154</definedName>
    <definedName name="SD_5565x1_7645x22_19_S_0" localSheetId="4" hidden="1">'ProLink Mapping'!$AF$154</definedName>
    <definedName name="SD_5565x1_7645x22_21_S_0" localSheetId="4" hidden="1">'ProLink Mapping'!$AH$154</definedName>
    <definedName name="SD_5565x1_7645x22_23_S_0" localSheetId="4" hidden="1">'ProLink Mapping'!$AG$154</definedName>
    <definedName name="SD_5565x1_7645x22_24_S_1" localSheetId="4" hidden="1">'ProLink Mapping'!$AC$154</definedName>
    <definedName name="SD_5565x1_7645x23_10_S_0" localSheetId="4" hidden="1">'ProLink Mapping'!$AJ$155</definedName>
    <definedName name="SD_5565x1_7645x23_12_S_1" localSheetId="4" hidden="1">'ProLink Mapping'!$AI$155</definedName>
    <definedName name="SD_5565x1_7645x23_13_S_1" localSheetId="4" hidden="1">'ProLink Mapping'!$AB$155</definedName>
    <definedName name="SD_5565x1_7645x23_14_S_0" localSheetId="4" hidden="1">'ProLink Mapping'!$AK$155</definedName>
    <definedName name="SD_5565x1_7645x23_15_S_0" localSheetId="4" hidden="1">'ProLink Mapping'!$AA$155</definedName>
    <definedName name="SD_5565x1_7645x23_16_S_0" localSheetId="4" hidden="1">'ProLink Mapping'!$AE$155</definedName>
    <definedName name="SD_5565x1_7645x23_18_S_0" localSheetId="4" hidden="1">'ProLink Mapping'!$AD$155</definedName>
    <definedName name="SD_5565x1_7645x23_19_S_0" localSheetId="4" hidden="1">'ProLink Mapping'!$AF$155</definedName>
    <definedName name="SD_5565x1_7645x23_21_S_0" localSheetId="4" hidden="1">'ProLink Mapping'!$AH$155</definedName>
    <definedName name="SD_5565x1_7645x23_23_S_0" localSheetId="4" hidden="1">'ProLink Mapping'!$AG$155</definedName>
    <definedName name="SD_5565x1_7645x23_24_S_1" localSheetId="4" hidden="1">'ProLink Mapping'!$AC$155</definedName>
    <definedName name="SD_5565x1_7645x24_10_S_0" localSheetId="4" hidden="1">'ProLink Mapping'!$AJ$156</definedName>
    <definedName name="SD_5565x1_7645x24_12_S_1" localSheetId="4" hidden="1">'ProLink Mapping'!$AI$156</definedName>
    <definedName name="SD_5565x1_7645x24_13_S_1" localSheetId="4" hidden="1">'ProLink Mapping'!$AB$156</definedName>
    <definedName name="SD_5565x1_7645x24_14_S_0" localSheetId="4" hidden="1">'ProLink Mapping'!$AK$156</definedName>
    <definedName name="SD_5565x1_7645x24_15_S_0" localSheetId="4" hidden="1">'ProLink Mapping'!$AA$156</definedName>
    <definedName name="SD_5565x1_7645x24_16_S_0" localSheetId="4" hidden="1">'ProLink Mapping'!$AE$156</definedName>
    <definedName name="SD_5565x1_7645x24_18_S_0" localSheetId="4" hidden="1">'ProLink Mapping'!$AD$156</definedName>
    <definedName name="SD_5565x1_7645x24_19_S_0" localSheetId="4" hidden="1">'ProLink Mapping'!$AF$156</definedName>
    <definedName name="SD_5565x1_7645x24_21_S_0" localSheetId="4" hidden="1">'ProLink Mapping'!$AH$156</definedName>
    <definedName name="SD_5565x1_7645x24_23_S_0" localSheetId="4" hidden="1">'ProLink Mapping'!$AG$156</definedName>
    <definedName name="SD_5565x1_7645x24_24_S_1" localSheetId="4" hidden="1">'ProLink Mapping'!$AC$156</definedName>
    <definedName name="SD_5565x1_7645x25_10_S_0" localSheetId="4" hidden="1">'ProLink Mapping'!$AJ$157</definedName>
    <definedName name="SD_5565x1_7645x25_12_S_1" localSheetId="4" hidden="1">'ProLink Mapping'!$AI$157</definedName>
    <definedName name="SD_5565x1_7645x25_13_S_1" localSheetId="4" hidden="1">'ProLink Mapping'!$AB$157</definedName>
    <definedName name="SD_5565x1_7645x25_14_S_0" localSheetId="4" hidden="1">'ProLink Mapping'!$AK$157</definedName>
    <definedName name="SD_5565x1_7645x25_15_S_0" localSheetId="4" hidden="1">'ProLink Mapping'!$AA$157</definedName>
    <definedName name="SD_5565x1_7645x25_16_S_0" localSheetId="4" hidden="1">'ProLink Mapping'!$AE$157</definedName>
    <definedName name="SD_5565x1_7645x25_18_S_0" localSheetId="4" hidden="1">'ProLink Mapping'!$AD$157</definedName>
    <definedName name="SD_5565x1_7645x25_19_S_0" localSheetId="4" hidden="1">'ProLink Mapping'!$AF$157</definedName>
    <definedName name="SD_5565x1_7645x25_21_S_0" localSheetId="4" hidden="1">'ProLink Mapping'!$AH$157</definedName>
    <definedName name="SD_5565x1_7645x25_23_S_0" localSheetId="4" hidden="1">'ProLink Mapping'!$AG$157</definedName>
    <definedName name="SD_5565x1_7645x25_24_S_1" localSheetId="4" hidden="1">'ProLink Mapping'!$AC$157</definedName>
    <definedName name="SD_5565x1_7645x26_10_S_0" localSheetId="4" hidden="1">'ProLink Mapping'!$AJ$158</definedName>
    <definedName name="SD_5565x1_7645x26_12_S_1" localSheetId="4" hidden="1">'ProLink Mapping'!$AI$158</definedName>
    <definedName name="SD_5565x1_7645x26_13_S_1" localSheetId="4" hidden="1">'ProLink Mapping'!$AB$158</definedName>
    <definedName name="SD_5565x1_7645x26_14_S_0" localSheetId="4" hidden="1">'ProLink Mapping'!$AK$158</definedName>
    <definedName name="SD_5565x1_7645x26_15_S_0" localSheetId="4" hidden="1">'ProLink Mapping'!$AA$158</definedName>
    <definedName name="SD_5565x1_7645x26_16_S_0" localSheetId="4" hidden="1">'ProLink Mapping'!$AE$158</definedName>
    <definedName name="SD_5565x1_7645x26_18_S_0" localSheetId="4" hidden="1">'ProLink Mapping'!$AD$158</definedName>
    <definedName name="SD_5565x1_7645x26_19_S_0" localSheetId="4" hidden="1">'ProLink Mapping'!$AF$158</definedName>
    <definedName name="SD_5565x1_7645x26_21_S_0" localSheetId="4" hidden="1">'ProLink Mapping'!$AH$158</definedName>
    <definedName name="SD_5565x1_7645x26_23_S_0" localSheetId="4" hidden="1">'ProLink Mapping'!$AG$158</definedName>
    <definedName name="SD_5565x1_7645x26_24_S_1" localSheetId="4" hidden="1">'ProLink Mapping'!$AC$158</definedName>
    <definedName name="SD_5565x1_7645x27_10_S_0" localSheetId="4" hidden="1">'ProLink Mapping'!$AJ$159</definedName>
    <definedName name="SD_5565x1_7645x27_12_S_1" localSheetId="4" hidden="1">'ProLink Mapping'!$AI$159</definedName>
    <definedName name="SD_5565x1_7645x27_13_S_1" localSheetId="4" hidden="1">'ProLink Mapping'!$AB$159</definedName>
    <definedName name="SD_5565x1_7645x27_14_S_0" localSheetId="4" hidden="1">'ProLink Mapping'!$AK$159</definedName>
    <definedName name="SD_5565x1_7645x27_15_S_0" localSheetId="4" hidden="1">'ProLink Mapping'!$AA$159</definedName>
    <definedName name="SD_5565x1_7645x27_16_S_0" localSheetId="4" hidden="1">'ProLink Mapping'!$AE$159</definedName>
    <definedName name="SD_5565x1_7645x27_18_S_0" localSheetId="4" hidden="1">'ProLink Mapping'!$AD$159</definedName>
    <definedName name="SD_5565x1_7645x27_19_S_0" localSheetId="4" hidden="1">'ProLink Mapping'!$AF$159</definedName>
    <definedName name="SD_5565x1_7645x27_21_S_0" localSheetId="4" hidden="1">'ProLink Mapping'!$AH$159</definedName>
    <definedName name="SD_5565x1_7645x27_23_S_0" localSheetId="4" hidden="1">'ProLink Mapping'!$AG$159</definedName>
    <definedName name="SD_5565x1_7645x27_24_S_1" localSheetId="4" hidden="1">'ProLink Mapping'!$AC$159</definedName>
    <definedName name="SD_5565x1_7645x28_10_S_0" localSheetId="4" hidden="1">'ProLink Mapping'!$AJ$160</definedName>
    <definedName name="SD_5565x1_7645x28_12_S_1" localSheetId="4" hidden="1">'ProLink Mapping'!$AI$160</definedName>
    <definedName name="SD_5565x1_7645x28_13_S_1" localSheetId="4" hidden="1">'ProLink Mapping'!$AB$160</definedName>
    <definedName name="SD_5565x1_7645x28_14_S_0" localSheetId="4" hidden="1">'ProLink Mapping'!$AK$160</definedName>
    <definedName name="SD_5565x1_7645x28_15_S_0" localSheetId="4" hidden="1">'ProLink Mapping'!$AA$160</definedName>
    <definedName name="SD_5565x1_7645x28_16_S_0" localSheetId="4" hidden="1">'ProLink Mapping'!$AE$160</definedName>
    <definedName name="SD_5565x1_7645x28_18_S_0" localSheetId="4" hidden="1">'ProLink Mapping'!$AD$160</definedName>
    <definedName name="SD_5565x1_7645x28_19_S_0" localSheetId="4" hidden="1">'ProLink Mapping'!$AF$160</definedName>
    <definedName name="SD_5565x1_7645x28_21_S_0" localSheetId="4" hidden="1">'ProLink Mapping'!$AH$160</definedName>
    <definedName name="SD_5565x1_7645x28_23_S_0" localSheetId="4" hidden="1">'ProLink Mapping'!$AG$160</definedName>
    <definedName name="SD_5565x1_7645x28_24_S_1" localSheetId="4" hidden="1">'ProLink Mapping'!$AC$160</definedName>
    <definedName name="SD_5565x1_7645x29_10_S_0" localSheetId="4" hidden="1">'ProLink Mapping'!$AJ$161</definedName>
    <definedName name="SD_5565x1_7645x29_12_S_1" localSheetId="4" hidden="1">'ProLink Mapping'!$AI$161</definedName>
    <definedName name="SD_5565x1_7645x29_13_S_1" localSheetId="4" hidden="1">'ProLink Mapping'!$AB$161</definedName>
    <definedName name="SD_5565x1_7645x29_14_S_0" localSheetId="4" hidden="1">'ProLink Mapping'!$AK$161</definedName>
    <definedName name="SD_5565x1_7645x29_15_S_0" localSheetId="4" hidden="1">'ProLink Mapping'!$AA$161</definedName>
    <definedName name="SD_5565x1_7645x29_16_S_0" localSheetId="4" hidden="1">'ProLink Mapping'!$AE$161</definedName>
    <definedName name="SD_5565x1_7645x29_18_S_0" localSheetId="4" hidden="1">'ProLink Mapping'!$AD$161</definedName>
    <definedName name="SD_5565x1_7645x29_19_S_0" localSheetId="4" hidden="1">'ProLink Mapping'!$AF$161</definedName>
    <definedName name="SD_5565x1_7645x29_21_S_0" localSheetId="4" hidden="1">'ProLink Mapping'!$AH$161</definedName>
    <definedName name="SD_5565x1_7645x29_23_S_0" localSheetId="4" hidden="1">'ProLink Mapping'!$AG$161</definedName>
    <definedName name="SD_5565x1_7645x29_24_S_1" localSheetId="4" hidden="1">'ProLink Mapping'!$AC$161</definedName>
    <definedName name="SD_5565x1_7645x3_10_S_0" localSheetId="4" hidden="1">'ProLink Mapping'!$AJ$135</definedName>
    <definedName name="SD_5565x1_7645x3_12_S_1" localSheetId="4" hidden="1">'ProLink Mapping'!$AI$135</definedName>
    <definedName name="SD_5565x1_7645x3_13_S_1" localSheetId="4" hidden="1">'ProLink Mapping'!$AB$135</definedName>
    <definedName name="SD_5565x1_7645x3_14_S_0" localSheetId="4" hidden="1">'ProLink Mapping'!$AK$135</definedName>
    <definedName name="SD_5565x1_7645x3_15_S_0" localSheetId="4" hidden="1">'ProLink Mapping'!$AA$135</definedName>
    <definedName name="SD_5565x1_7645x3_16_S_0" localSheetId="4" hidden="1">'ProLink Mapping'!$AE$135</definedName>
    <definedName name="SD_5565x1_7645x3_18_S_0" localSheetId="4" hidden="1">'ProLink Mapping'!$AD$135</definedName>
    <definedName name="SD_5565x1_7645x3_19_S_0" localSheetId="4" hidden="1">'ProLink Mapping'!$AF$135</definedName>
    <definedName name="SD_5565x1_7645x3_21_S_0" localSheetId="4" hidden="1">'ProLink Mapping'!$AH$135</definedName>
    <definedName name="SD_5565x1_7645x3_23_S_0" localSheetId="4" hidden="1">'ProLink Mapping'!$AG$135</definedName>
    <definedName name="SD_5565x1_7645x3_24_S_1" localSheetId="4" hidden="1">'ProLink Mapping'!$AC$135</definedName>
    <definedName name="SD_5565x1_7645x30_10_S_0" localSheetId="4" hidden="1">'ProLink Mapping'!$AJ$162</definedName>
    <definedName name="SD_5565x1_7645x30_12_S_1" localSheetId="4" hidden="1">'ProLink Mapping'!$AI$162</definedName>
    <definedName name="SD_5565x1_7645x30_13_S_1" localSheetId="4" hidden="1">'ProLink Mapping'!$AB$162</definedName>
    <definedName name="SD_5565x1_7645x30_14_S_0" localSheetId="4" hidden="1">'ProLink Mapping'!$AK$162</definedName>
    <definedName name="SD_5565x1_7645x30_15_S_0" localSheetId="4" hidden="1">'ProLink Mapping'!$AA$162</definedName>
    <definedName name="SD_5565x1_7645x30_16_S_0" localSheetId="4" hidden="1">'ProLink Mapping'!$AE$162</definedName>
    <definedName name="SD_5565x1_7645x30_18_S_0" localSheetId="4" hidden="1">'ProLink Mapping'!$AD$162</definedName>
    <definedName name="SD_5565x1_7645x30_19_S_0" localSheetId="4" hidden="1">'ProLink Mapping'!$AF$162</definedName>
    <definedName name="SD_5565x1_7645x30_21_S_0" localSheetId="4" hidden="1">'ProLink Mapping'!$AH$162</definedName>
    <definedName name="SD_5565x1_7645x30_23_S_0" localSheetId="4" hidden="1">'ProLink Mapping'!$AG$162</definedName>
    <definedName name="SD_5565x1_7645x30_24_S_1" localSheetId="4" hidden="1">'ProLink Mapping'!$AC$162</definedName>
    <definedName name="SD_5565x1_7645x4_10_S_0" localSheetId="4" hidden="1">'ProLink Mapping'!$AJ$136</definedName>
    <definedName name="SD_5565x1_7645x4_12_S_1" localSheetId="4" hidden="1">'ProLink Mapping'!$AI$136</definedName>
    <definedName name="SD_5565x1_7645x4_13_S_1" localSheetId="4" hidden="1">'ProLink Mapping'!$AB$136</definedName>
    <definedName name="SD_5565x1_7645x4_14_S_0" localSheetId="4" hidden="1">'ProLink Mapping'!$AK$136</definedName>
    <definedName name="SD_5565x1_7645x4_15_S_0" localSheetId="4" hidden="1">'ProLink Mapping'!$AA$136</definedName>
    <definedName name="SD_5565x1_7645x4_16_S_0" localSheetId="4" hidden="1">'ProLink Mapping'!$AE$136</definedName>
    <definedName name="SD_5565x1_7645x4_18_S_0" localSheetId="4" hidden="1">'ProLink Mapping'!$AD$136</definedName>
    <definedName name="SD_5565x1_7645x4_19_S_0" localSheetId="4" hidden="1">'ProLink Mapping'!$AF$136</definedName>
    <definedName name="SD_5565x1_7645x4_21_S_0" localSheetId="4" hidden="1">'ProLink Mapping'!$AH$136</definedName>
    <definedName name="SD_5565x1_7645x4_23_S_0" localSheetId="4" hidden="1">'ProLink Mapping'!$AG$136</definedName>
    <definedName name="SD_5565x1_7645x4_24_S_1" localSheetId="4" hidden="1">'ProLink Mapping'!$AC$136</definedName>
    <definedName name="SD_5565x1_7645x5_10_S_0" localSheetId="4" hidden="1">'ProLink Mapping'!$AJ$137</definedName>
    <definedName name="SD_5565x1_7645x5_12_S_1" localSheetId="4" hidden="1">'ProLink Mapping'!$AI$137</definedName>
    <definedName name="SD_5565x1_7645x5_13_S_1" localSheetId="4" hidden="1">'ProLink Mapping'!$AB$137</definedName>
    <definedName name="SD_5565x1_7645x5_14_S_0" localSheetId="4" hidden="1">'ProLink Mapping'!$AK$137</definedName>
    <definedName name="SD_5565x1_7645x5_15_S_0" localSheetId="4" hidden="1">'ProLink Mapping'!$AA$137</definedName>
    <definedName name="SD_5565x1_7645x5_16_S_0" localSheetId="4" hidden="1">'ProLink Mapping'!$AE$137</definedName>
    <definedName name="SD_5565x1_7645x5_18_S_0" localSheetId="4" hidden="1">'ProLink Mapping'!$AD$137</definedName>
    <definedName name="SD_5565x1_7645x5_19_S_0" localSheetId="4" hidden="1">'ProLink Mapping'!$AF$137</definedName>
    <definedName name="SD_5565x1_7645x5_21_S_0" localSheetId="4" hidden="1">'ProLink Mapping'!$AH$137</definedName>
    <definedName name="SD_5565x1_7645x5_23_S_0" localSheetId="4" hidden="1">'ProLink Mapping'!$AG$137</definedName>
    <definedName name="SD_5565x1_7645x5_24_S_1" localSheetId="4" hidden="1">'ProLink Mapping'!$AC$137</definedName>
    <definedName name="SD_5565x1_7645x6_10_S_0" localSheetId="4" hidden="1">'ProLink Mapping'!$AJ$138</definedName>
    <definedName name="SD_5565x1_7645x6_12_S_1" localSheetId="4" hidden="1">'ProLink Mapping'!$AI$138</definedName>
    <definedName name="SD_5565x1_7645x6_13_S_1" localSheetId="4" hidden="1">'ProLink Mapping'!$AB$138</definedName>
    <definedName name="SD_5565x1_7645x6_14_S_0" localSheetId="4" hidden="1">'ProLink Mapping'!$AK$138</definedName>
    <definedName name="SD_5565x1_7645x6_15_S_0" localSheetId="4" hidden="1">'ProLink Mapping'!$AA$138</definedName>
    <definedName name="SD_5565x1_7645x6_16_S_0" localSheetId="4" hidden="1">'ProLink Mapping'!$AE$138</definedName>
    <definedName name="SD_5565x1_7645x6_18_S_0" localSheetId="4" hidden="1">'ProLink Mapping'!$AD$138</definedName>
    <definedName name="SD_5565x1_7645x6_19_S_0" localSheetId="4" hidden="1">'ProLink Mapping'!$AF$138</definedName>
    <definedName name="SD_5565x1_7645x6_21_S_0" localSheetId="4" hidden="1">'ProLink Mapping'!$AH$138</definedName>
    <definedName name="SD_5565x1_7645x6_23_S_0" localSheetId="4" hidden="1">'ProLink Mapping'!$AG$138</definedName>
    <definedName name="SD_5565x1_7645x6_24_S_1" localSheetId="4" hidden="1">'ProLink Mapping'!$AC$138</definedName>
    <definedName name="SD_5565x1_7645x7_10_S_0" localSheetId="4" hidden="1">'ProLink Mapping'!$AJ$139</definedName>
    <definedName name="SD_5565x1_7645x7_12_S_1" localSheetId="4" hidden="1">'ProLink Mapping'!$AI$139</definedName>
    <definedName name="SD_5565x1_7645x7_13_S_1" localSheetId="4" hidden="1">'ProLink Mapping'!$AB$139</definedName>
    <definedName name="SD_5565x1_7645x7_14_S_0" localSheetId="4" hidden="1">'ProLink Mapping'!$AK$139</definedName>
    <definedName name="SD_5565x1_7645x7_15_S_0" localSheetId="4" hidden="1">'ProLink Mapping'!$AA$139</definedName>
    <definedName name="SD_5565x1_7645x7_16_S_0" localSheetId="4" hidden="1">'ProLink Mapping'!$AE$139</definedName>
    <definedName name="SD_5565x1_7645x7_18_S_0" localSheetId="4" hidden="1">'ProLink Mapping'!$AD$139</definedName>
    <definedName name="SD_5565x1_7645x7_19_S_0" localSheetId="4" hidden="1">'ProLink Mapping'!$AF$139</definedName>
    <definedName name="SD_5565x1_7645x7_21_S_0" localSheetId="4" hidden="1">'ProLink Mapping'!$AH$139</definedName>
    <definedName name="SD_5565x1_7645x7_23_S_0" localSheetId="4" hidden="1">'ProLink Mapping'!$AG$139</definedName>
    <definedName name="SD_5565x1_7645x7_24_S_1" localSheetId="4" hidden="1">'ProLink Mapping'!$AC$139</definedName>
    <definedName name="SD_5565x1_7645x8_10_S_0" localSheetId="4" hidden="1">'ProLink Mapping'!$AJ$140</definedName>
    <definedName name="SD_5565x1_7645x8_12_S_1" localSheetId="4" hidden="1">'ProLink Mapping'!$AI$140</definedName>
    <definedName name="SD_5565x1_7645x8_13_S_1" localSheetId="4" hidden="1">'ProLink Mapping'!$AB$140</definedName>
    <definedName name="SD_5565x1_7645x8_14_S_0" localSheetId="4" hidden="1">'ProLink Mapping'!$AK$140</definedName>
    <definedName name="SD_5565x1_7645x8_15_S_0" localSheetId="4" hidden="1">'ProLink Mapping'!$AA$140</definedName>
    <definedName name="SD_5565x1_7645x8_16_S_0" localSheetId="4" hidden="1">'ProLink Mapping'!$AE$140</definedName>
    <definedName name="SD_5565x1_7645x8_18_S_0" localSheetId="4" hidden="1">'ProLink Mapping'!$AD$140</definedName>
    <definedName name="SD_5565x1_7645x8_19_S_0" localSheetId="4" hidden="1">'ProLink Mapping'!$AF$140</definedName>
    <definedName name="SD_5565x1_7645x8_21_S_0" localSheetId="4" hidden="1">'ProLink Mapping'!$AH$140</definedName>
    <definedName name="SD_5565x1_7645x8_23_S_0" localSheetId="4" hidden="1">'ProLink Mapping'!$AG$140</definedName>
    <definedName name="SD_5565x1_7645x8_24_S_1" localSheetId="4" hidden="1">'ProLink Mapping'!$AC$140</definedName>
    <definedName name="SD_5565x1_7645x9_10_S_0" localSheetId="4" hidden="1">'ProLink Mapping'!$AJ$141</definedName>
    <definedName name="SD_5565x1_7645x9_12_S_1" localSheetId="4" hidden="1">'ProLink Mapping'!$AI$141</definedName>
    <definedName name="SD_5565x1_7645x9_13_S_1" localSheetId="4" hidden="1">'ProLink Mapping'!$AB$141</definedName>
    <definedName name="SD_5565x1_7645x9_14_S_0" localSheetId="4" hidden="1">'ProLink Mapping'!$AK$141</definedName>
    <definedName name="SD_5565x1_7645x9_15_S_0" localSheetId="4" hidden="1">'ProLink Mapping'!$AA$141</definedName>
    <definedName name="SD_5565x1_7645x9_16_S_0" localSheetId="4" hidden="1">'ProLink Mapping'!$AE$141</definedName>
    <definedName name="SD_5565x1_7645x9_18_S_0" localSheetId="4" hidden="1">'ProLink Mapping'!$AD$141</definedName>
    <definedName name="SD_5565x1_7645x9_19_S_0" localSheetId="4" hidden="1">'ProLink Mapping'!$AF$141</definedName>
    <definedName name="SD_5565x1_7645x9_21_S_0" localSheetId="4" hidden="1">'ProLink Mapping'!$AH$141</definedName>
    <definedName name="SD_5565x1_7645x9_23_S_0" localSheetId="4" hidden="1">'ProLink Mapping'!$AG$141</definedName>
    <definedName name="SD_5565x1_7645x9_24_S_1" localSheetId="4" hidden="1">'ProLink Mapping'!$AC$141</definedName>
    <definedName name="SD_6454x1_10_S_0" localSheetId="4" hidden="1">ProLink!$F$135</definedName>
    <definedName name="SD_6454x1_11_S_0" localSheetId="4" hidden="1">'ProLink Mapping'!$D$124</definedName>
    <definedName name="SD_6454x1_12_S_0" localSheetId="4" hidden="1">'ProLink Mapping'!$E$124</definedName>
    <definedName name="SD_6454x1_17_S_0" localSheetId="4" hidden="1">ProLink!$F$120</definedName>
    <definedName name="SD_6454x1_18_S_0" localSheetId="4" hidden="1">ProLink!$F$121</definedName>
    <definedName name="SD_6454x1_25_S_0" localSheetId="4" hidden="1">'ProLink Mapping'!$D$125</definedName>
    <definedName name="SD_6454x1_29_S_0" localSheetId="4" hidden="1">'ProLink Mapping'!$D$128</definedName>
    <definedName name="SD_6454x1_8_S_0" localSheetId="4" hidden="1">ProLink!$F$133</definedName>
    <definedName name="SD_6454x1_9_S_0" localSheetId="4" hidden="1">ProLink!$F$134</definedName>
    <definedName name="SD_7313x1_104_S_0" localSheetId="4" hidden="1">ProLink!$F$25</definedName>
    <definedName name="SD_7313x1_105_S_0" localSheetId="4" hidden="1">ProLink!$F$28</definedName>
    <definedName name="SD_7313x1_114_S_1" localSheetId="4" hidden="1">ProLink!$F$88</definedName>
    <definedName name="SD_7313x1_115_S_0" localSheetId="4" hidden="1">ProLink!$F$89</definedName>
    <definedName name="SD_7313x1_116_S_0" localSheetId="4" hidden="1">ProLink!$F$26</definedName>
    <definedName name="SD_7313x1_117_S_0" localSheetId="4" hidden="1">ProLink!$F$27</definedName>
    <definedName name="SD_7313x1_118_S_0" localSheetId="4" hidden="1">ProLink!$F$29</definedName>
    <definedName name="SD_7313x1_119_S_0" localSheetId="4" hidden="1">ProLink!$F$30</definedName>
    <definedName name="SD_7313x1_120_S_0" localSheetId="4" hidden="1">ProLink!$F$31</definedName>
    <definedName name="SD_7313x1_121_S_0" localSheetId="4" hidden="1">ProLink!$F$33</definedName>
    <definedName name="SD_7313x1_122_S_0" localSheetId="4" hidden="1">ProLink!$F$32</definedName>
    <definedName name="SD_7313x1_123_S_1" localSheetId="4" hidden="1">ProLink!$F$90</definedName>
    <definedName name="SD_7313x1_124_S_0" localSheetId="4" hidden="1">ProLink!$F$91</definedName>
    <definedName name="SD_7313x1_125_S_1" localSheetId="4" hidden="1">ProLink!$F$94</definedName>
    <definedName name="SD_7313x1_126_S_1" localSheetId="4" hidden="1">ProLink!$F$99</definedName>
    <definedName name="SD_7313x1_127_S_0" localSheetId="4" hidden="1">ProLink!$F$95</definedName>
    <definedName name="SD_7313x1_128_S_1" localSheetId="4" hidden="1">'ProLink Mapping'!$C$100</definedName>
    <definedName name="SD_7313x1_129_S_0" localSheetId="4" hidden="1">'ProLink Mapping'!$C$101</definedName>
    <definedName name="SD_7313x1_130_S_0" localSheetId="4" hidden="1">'ProLink Mapping'!$C$102</definedName>
    <definedName name="SD_7313x1_131_S_1" localSheetId="4" hidden="1">'ProLink Mapping'!$C$165</definedName>
    <definedName name="SD_7313x1_132_S_1" localSheetId="4" hidden="1">'ProLink Mapping'!$C$166</definedName>
    <definedName name="SD_7313x1_133_S_1" localSheetId="4" hidden="1">'ProLink Mapping'!$C$167</definedName>
    <definedName name="SD_7313x1_134_S_1" localSheetId="4" hidden="1">'ProLink Mapping'!$C$168</definedName>
    <definedName name="SD_7313x1_135_S_1" localSheetId="4" hidden="1">'ProLink Mapping'!$C$169</definedName>
    <definedName name="SD_7313x1_136_S_1" localSheetId="4" hidden="1">'ProLink Mapping'!$C$170</definedName>
    <definedName name="SD_7313x1_137_S_1" localSheetId="4" hidden="1">'ProLink Mapping'!$C$171</definedName>
    <definedName name="SD_7313x1_138_S_1" localSheetId="4" hidden="1">'ProLink Mapping'!$C$172</definedName>
    <definedName name="SD_7313x1_181_S_1" localSheetId="4" hidden="1">ProLink!$F$136</definedName>
    <definedName name="SD_7313x1_182_S_1" localSheetId="4" hidden="1">ProLink!$F$137</definedName>
    <definedName name="SD_7313x1_183_S_1" localSheetId="4" hidden="1">ProLink!$F$138</definedName>
    <definedName name="SD_7313x1_184_S_0" localSheetId="4" hidden="1">ProLink!$F$139</definedName>
    <definedName name="SD_7313x1_192_S_0" localSheetId="3" hidden="1">ProLink!$F$279</definedName>
    <definedName name="SD_7313x1_193_S_0" localSheetId="3" hidden="1">ProLink!$F$280</definedName>
    <definedName name="SD_7313x1_194_S_0" localSheetId="3" hidden="1">ProLink!$F$281</definedName>
    <definedName name="SD_7313x1_195_S_0" localSheetId="3" hidden="1">ProLink!$F$282</definedName>
    <definedName name="SD_7313x1_198_S_0" localSheetId="3" hidden="1">ProLink!$F$285</definedName>
    <definedName name="SD_7313x1_199_S_0" localSheetId="3" hidden="1">ProLink!$F$286</definedName>
    <definedName name="SD_7313x1_200_S_0" localSheetId="3" hidden="1">ProLink!$F$287</definedName>
    <definedName name="SD_7313x1_201_S_0" localSheetId="3" hidden="1">ProLink!$F$288</definedName>
    <definedName name="SD_7313x1_202_S_0" localSheetId="3" hidden="1">ProLink!$F$289</definedName>
    <definedName name="SD_7313x1_203_S_0" localSheetId="3" hidden="1">ProLink!$F$290</definedName>
    <definedName name="SD_7313x1_204_S_0" localSheetId="3" hidden="1">ProLink!$F$291</definedName>
    <definedName name="SD_7313x1_205_S_0" localSheetId="3" hidden="1">ProLink!$F$292</definedName>
    <definedName name="SD_7313x1_206_S_0" localSheetId="3" hidden="1">ProLink!$F$293</definedName>
    <definedName name="SD_7313x1_207_S_0" localSheetId="3" hidden="1">ProLink!$F$294</definedName>
    <definedName name="SD_7313x1_208_S_0" localSheetId="3" hidden="1">ProLink!$F$295</definedName>
    <definedName name="SD_7313x1_209_S_0" localSheetId="3" hidden="1">ProLink!$F$296</definedName>
    <definedName name="SD_7313x1_212_S_0" localSheetId="3" hidden="1">ProLink!$F$299</definedName>
    <definedName name="SD_7313x1_213_S_0" localSheetId="3" hidden="1">ProLink!$F$300</definedName>
    <definedName name="SD_7313x1_214_S_0" localSheetId="3" hidden="1">ProLink!$F$301</definedName>
    <definedName name="SD_7313x1_215_S_0" localSheetId="3" hidden="1">ProLink!$F$302</definedName>
    <definedName name="SD_7313x1_216_S_0" localSheetId="3" hidden="1">ProLink!$F$303</definedName>
    <definedName name="SD_7313x1_217_S_0" localSheetId="3" hidden="1">ProLink!$F$304</definedName>
    <definedName name="SD_7313x1_220_S_0" localSheetId="3" hidden="1">ProLink!$F$307</definedName>
    <definedName name="SD_7313x1_221_S_0" localSheetId="3" hidden="1">ProLink!$F$308</definedName>
    <definedName name="SD_7313x1_222_S_0" localSheetId="3" hidden="1">ProLink!$F$309</definedName>
    <definedName name="SD_7313x1_223_S_0" localSheetId="3" hidden="1">ProLink!$F$310</definedName>
    <definedName name="SD_7313x1_224_S_0" localSheetId="3" hidden="1">ProLink!$F$311</definedName>
    <definedName name="SD_7313x1_225_S_0" localSheetId="3" hidden="1">ProLink!$F$312</definedName>
    <definedName name="SD_7313x1_226_S_0" localSheetId="3" hidden="1">ProLink!$F$331</definedName>
    <definedName name="SD_7313x1_227_S_0" localSheetId="3" hidden="1">ProLink!$F$332</definedName>
    <definedName name="SD_7313x1_228_S_0" localSheetId="3" hidden="1">ProLink!$F$333</definedName>
    <definedName name="SD_7313x1_229_S_0" localSheetId="3" hidden="1">ProLink!$F$334</definedName>
    <definedName name="SD_7313x1_230_S_0" localSheetId="3" hidden="1">ProLink!$F$330</definedName>
    <definedName name="SD_7313x1_231_S_0" localSheetId="3" hidden="1">ProLink!$F$379</definedName>
    <definedName name="SD_7313x1_232_S_0" localSheetId="3" hidden="1">ProLink!$F$335</definedName>
    <definedName name="SD_7313x1_233_S_0" localSheetId="3" hidden="1">ProLink!$F$336</definedName>
    <definedName name="SD_7313x1_235_S_0" localSheetId="3" hidden="1">ProLink!$F$344</definedName>
    <definedName name="SD_7313x1_237_G_0" localSheetId="3" hidden="1">ProLink!$F$353</definedName>
    <definedName name="SD_7313x1_240_S_0" localSheetId="3" hidden="1">ProLink!$F$342</definedName>
    <definedName name="SD_7313x1_241_S_0" localSheetId="3" hidden="1">ProLink!$F$396</definedName>
    <definedName name="SD_7313x1_242_S_0" localSheetId="3" hidden="1">ProLink!$F$356</definedName>
    <definedName name="SD_7313x1_243_S_0" localSheetId="3" hidden="1">ProLink!$F$357</definedName>
    <definedName name="SD_7313x1_244_S_0" localSheetId="3" hidden="1">ProLink!$F$329</definedName>
    <definedName name="SD_7313x1_245_S_0" localSheetId="3" hidden="1">ProLink!$F$341</definedName>
    <definedName name="SD_7313x1_246_S_0" localSheetId="3" hidden="1">ProLink!$F$363</definedName>
    <definedName name="SD_7313x1_247_S_0" localSheetId="3" hidden="1">ProLink!$F$364</definedName>
    <definedName name="SD_7313x1_248_S_0" localSheetId="3" hidden="1">ProLink!$F$365</definedName>
    <definedName name="SD_7313x1_249_S_0" localSheetId="3" hidden="1">ProLink!$F$377</definedName>
    <definedName name="SD_7313x1_250_S_0" localSheetId="3" hidden="1">ProLink!$F$378</definedName>
    <definedName name="SD_7313x1_251_S_0" localSheetId="3" hidden="1">ProLink!$F$394</definedName>
    <definedName name="SD_7313x1_252_S_0" localSheetId="3" hidden="1">ProLink!$F$395</definedName>
    <definedName name="SD_7313x1_253_S_0" localSheetId="3" hidden="1">ProLink!$F$407</definedName>
    <definedName name="SD_7313x1_254_S_0" localSheetId="3" hidden="1">ProLink!$F$408</definedName>
    <definedName name="SD_7313x1_255_S_0" localSheetId="3" hidden="1">ProLink!$F$409</definedName>
    <definedName name="SD_7313x1_256_S_0" localSheetId="3" hidden="1">ProLink!$F$419</definedName>
    <definedName name="SD_7313x1_257_S_0" localSheetId="3" hidden="1">ProLink!$F$420</definedName>
    <definedName name="SD_7313x1_258_S_0" localSheetId="3" hidden="1">ProLink!$F$421</definedName>
    <definedName name="SD_7313x1_259_S_0" localSheetId="3" hidden="1">ProLink!$F$427</definedName>
    <definedName name="SD_7313x1_260_S_0" localSheetId="3" hidden="1">ProLink!$F$428</definedName>
    <definedName name="SD_7313x1_261_S_0" localSheetId="3" hidden="1">ProLink!$F$429</definedName>
    <definedName name="SD_7313x1_262_S_0" localSheetId="3" hidden="1">ProLink!$F$362</definedName>
    <definedName name="SD_7313x1_263_S_0" localSheetId="3" hidden="1">ProLink!$F$368</definedName>
    <definedName name="SD_7313x1_264_S_0" localSheetId="3" hidden="1">ProLink!$F$384</definedName>
    <definedName name="SD_7313x1_265_S_0" localSheetId="3" hidden="1">ProLink!$F$402</definedName>
    <definedName name="SD_7313x1_266_S_0" localSheetId="3" hidden="1">ProLink!$F$415</definedName>
    <definedName name="SD_7313x1_267_S_0" localSheetId="3" hidden="1">ProLink!$F$426</definedName>
    <definedName name="SD_7313x1_268_S_0" localSheetId="3" hidden="1">ProLink!$F$434</definedName>
    <definedName name="SD_7313x1_269_S_0" localSheetId="3" hidden="1">ProLink!$F$435</definedName>
    <definedName name="SD_7313x1_270_S_0" localSheetId="3" hidden="1">ProLink!$F$436</definedName>
    <definedName name="SD_7313x1_271_S_0" localSheetId="3" hidden="1">ProLink!$F$437</definedName>
    <definedName name="SD_7313x1_272_S_0" localSheetId="3" hidden="1">ProLink!$F$440</definedName>
    <definedName name="SD_7313x1_273_S_0" localSheetId="3" hidden="1">ProLink!$F$441</definedName>
    <definedName name="SD_7313x1_274_S_0" localSheetId="3" hidden="1">ProLink!$F$442</definedName>
    <definedName name="SD_7313x1_275_S_0" localSheetId="3" hidden="1">ProLink!$F$443</definedName>
    <definedName name="SD_7313x1_276_S_0" localSheetId="3" hidden="1">ProLink!$F$444</definedName>
    <definedName name="SD_7313x1_277_S_0" localSheetId="3" hidden="1">ProLink!$F$445</definedName>
    <definedName name="SD_7313x1_278_S_0" localSheetId="3" hidden="1">ProLink!$F$446</definedName>
    <definedName name="SD_7313x1_279_S_0" localSheetId="3" hidden="1">ProLink!$F$447</definedName>
    <definedName name="SD_7313x1_280_S_0" localSheetId="3" hidden="1">ProLink!$F$448</definedName>
    <definedName name="SD_7313x1_281_S_0" localSheetId="3" hidden="1">ProLink!$F$449</definedName>
    <definedName name="SD_7313x1_282_S_0" localSheetId="3" hidden="1">ProLink!$F$450</definedName>
    <definedName name="SD_7313x1_283_S_0" localSheetId="3" hidden="1">ProLink!$F$473</definedName>
    <definedName name="SD_7313x1_284_S_0" localSheetId="3" hidden="1">ProLink!$F$474</definedName>
    <definedName name="SD_7313x1_285_S_0" localSheetId="3" hidden="1">ProLink!$F$451</definedName>
    <definedName name="SD_7313x1_286_S_0" localSheetId="3" hidden="1">ProLink!$F$452</definedName>
    <definedName name="SD_7313x1_287_S_0" localSheetId="3" hidden="1">ProLink!$F$453</definedName>
    <definedName name="SD_7313x1_288_S_0" localSheetId="3" hidden="1">ProLink!$F$454</definedName>
    <definedName name="SD_7313x1_289_S_0" localSheetId="3" hidden="1">ProLink!$F$455</definedName>
    <definedName name="SD_7313x1_290_S_0" localSheetId="3" hidden="1">ProLink!$F$456</definedName>
    <definedName name="SD_7313x1_291_S_0" localSheetId="3" hidden="1">ProLink!$F$457</definedName>
    <definedName name="SD_7313x1_292_S_0" localSheetId="3" hidden="1">ProLink!$F$458</definedName>
    <definedName name="SD_7313x1_293_S_0" localSheetId="3" hidden="1">ProLink!$F$459</definedName>
    <definedName name="SD_7313x1_294_S_0" localSheetId="3" hidden="1">ProLink!$F$460</definedName>
    <definedName name="SD_7313x1_295_S_0" localSheetId="3" hidden="1">ProLink!$F$461</definedName>
    <definedName name="SD_7313x1_296_S_0" localSheetId="3" hidden="1">ProLink!$F$462</definedName>
    <definedName name="SD_7313x1_297_S_0" localSheetId="3" hidden="1">ProLink!$F$463</definedName>
    <definedName name="SD_7313x1_298_S_0" localSheetId="3" hidden="1">ProLink!$F$471</definedName>
    <definedName name="SD_7313x1_299_S_0" localSheetId="3" hidden="1">ProLink!$F$465</definedName>
    <definedName name="SD_7313x1_300_S_0" localSheetId="3" hidden="1">ProLink!$F$466</definedName>
    <definedName name="SD_7313x1_301_S_0" localSheetId="3" hidden="1">ProLink!$F$467</definedName>
    <definedName name="SD_7313x1_302_S_0" localSheetId="3" hidden="1">ProLink!$F$468</definedName>
    <definedName name="SD_7313x1_303_S_0" localSheetId="3" hidden="1">ProLink!$F$469</definedName>
    <definedName name="SD_7313x1_304_S_0" localSheetId="3" hidden="1">ProLink!$F$470</definedName>
    <definedName name="SD_7313x1_305_S_0" localSheetId="3" hidden="1">ProLink!$F$464</definedName>
    <definedName name="SD_7313x1_306_S_0" localSheetId="3" hidden="1">ProLink!$F$472</definedName>
    <definedName name="SD_7313x1_307_S_0" localSheetId="3" hidden="1">ProLink!$F$476</definedName>
    <definedName name="SD_7313x1_308_S_0" localSheetId="3" hidden="1">ProLink!$F$477</definedName>
    <definedName name="SD_7313x1_309_S_0" localSheetId="3" hidden="1">ProLink!$F$478</definedName>
    <definedName name="SD_7313x1_310_S_0" localSheetId="3" hidden="1">ProLink!$F$479</definedName>
    <definedName name="SD_7313x1_311_S_0" localSheetId="3" hidden="1">ProLink!$F$480</definedName>
    <definedName name="SD_7313x1_312_S_0" localSheetId="3" hidden="1">ProLink!$F$481</definedName>
    <definedName name="SD_7313x1_313_S_0" localSheetId="3" hidden="1">ProLink!$F$482</definedName>
    <definedName name="SD_7313x1_314_S_0" localSheetId="3" hidden="1">ProLink!$F$475</definedName>
    <definedName name="SD_7313x1_315_S_0" localSheetId="3" hidden="1">ProLink!$F$483</definedName>
    <definedName name="SD_7313x1_316_S_0" localSheetId="3" hidden="1">ProLink!$F$485</definedName>
    <definedName name="SD_7313x1_317_S_0" localSheetId="3" hidden="1">ProLink!$F$484</definedName>
    <definedName name="SD_7313x1_318_S_0" localSheetId="3" hidden="1">ProLink!$F$486</definedName>
    <definedName name="SD_7313x1_319_S_0" localSheetId="3" hidden="1">ProLink!$F$489</definedName>
    <definedName name="SD_7313x1_320_S_0" localSheetId="3" hidden="1">ProLink!$F$490</definedName>
    <definedName name="SD_7313x1_321_S_0" localSheetId="3" hidden="1">ProLink!$F$491</definedName>
    <definedName name="SD_7313x1_322_S_0" localSheetId="3" hidden="1">ProLink!$F$492</definedName>
    <definedName name="SD_7313x1_323_S_0" localSheetId="3" hidden="1">ProLink!$F$495</definedName>
    <definedName name="SD_7313x1_324_S_0" localSheetId="3" hidden="1">ProLink!$F$496</definedName>
    <definedName name="SD_7313x1_325_S_0" localSheetId="3" hidden="1">ProLink!$F$497</definedName>
    <definedName name="SD_7313x1_326_S_0" localSheetId="3" hidden="1">ProLink!$F$498</definedName>
    <definedName name="SD_7313x1_327_S_0" localSheetId="3" hidden="1">ProLink!$F$503</definedName>
    <definedName name="SD_7313x1_328_S_0" localSheetId="3" hidden="1">ProLink!$F$504</definedName>
    <definedName name="SD_7313x1_329_S_0" localSheetId="3" hidden="1">ProLink!$F$517</definedName>
    <definedName name="SD_7313x1_330_S_0" localSheetId="3" hidden="1">ProLink!$F$518</definedName>
    <definedName name="SD_7313x1_331_S_0" localSheetId="3" hidden="1">ProLink!$F$523</definedName>
    <definedName name="SD_7313x1_332_S_0" localSheetId="3" hidden="1">ProLink!$F$524</definedName>
    <definedName name="SD_7313x1_333_S_0" localSheetId="3" hidden="1">ProLink!$F$538</definedName>
    <definedName name="SD_7313x1_334_S_0" localSheetId="3" hidden="1">ProLink!$F$539</definedName>
    <definedName name="SD_7313x1_335_S_0" localSheetId="3" hidden="1">ProLink!$F$550</definedName>
    <definedName name="SD_7313x1_336_S_0" localSheetId="3" hidden="1">ProLink!$F$551</definedName>
    <definedName name="SD_7313x1_337_S_0" localSheetId="3" hidden="1">ProLink!$F$555</definedName>
    <definedName name="SD_7313x1_338_S_0" localSheetId="3" hidden="1">ProLink!$F$556</definedName>
    <definedName name="SD_7313x1_339_S_0" localSheetId="3" hidden="1">ProLink!$F$561</definedName>
    <definedName name="SD_7313x1_340_S_0" localSheetId="3" hidden="1">ProLink!$F$562</definedName>
    <definedName name="SD_7313x1_341_S_0" localSheetId="3" hidden="1">ProLink!$F$563</definedName>
    <definedName name="SD_7313x1_342_S_0" localSheetId="3" hidden="1">ProLink!$F$564</definedName>
    <definedName name="SD_7313x1_343_S_0" localSheetId="3" hidden="1">ProLink!$F$544</definedName>
    <definedName name="SD_7313x1_344_S_0" localSheetId="3" hidden="1">ProLink!$F$545</definedName>
    <definedName name="SD_7313x1_345_S_0" localSheetId="3" hidden="1">ProLink!$F$546</definedName>
    <definedName name="SD_7313x1_346_S_0" localSheetId="3" hidden="1">ProLink!$F$547</definedName>
    <definedName name="SD_7313x1_347_S_0" localSheetId="3" hidden="1">ProLink!$F$414</definedName>
    <definedName name="SD_7313x1_348_S_0" localSheetId="3" hidden="1">ProLink!$F$401</definedName>
    <definedName name="SD_7313x1_349_S_0" localSheetId="3" hidden="1">ProLink!$F$169</definedName>
    <definedName name="SD_7313x1_350_S_0" localSheetId="3" hidden="1">ProLink!$F$170</definedName>
    <definedName name="SD_7313x1_351_S_0" localSheetId="3" hidden="1">ProLink!$F$266</definedName>
    <definedName name="SD_7313x1_352_S_0" localSheetId="3" hidden="1">ProLink!$F$268</definedName>
    <definedName name="SD_7313x1_353_S_0" localSheetId="3" hidden="1">ProLink!$F$267</definedName>
    <definedName name="SD_7313x1_354_S_0" localSheetId="3" hidden="1">ProLink!$F$269</definedName>
    <definedName name="SD_7313x1_355_S_0" localSheetId="3" hidden="1">ProLink!$F$179</definedName>
    <definedName name="SD_7313x1_356_S_0" localSheetId="3" hidden="1">ProLink!$F$180</definedName>
    <definedName name="SD_7313x1_357_S_0" localSheetId="3" hidden="1">ProLink!$F$181</definedName>
    <definedName name="SD_7313x1_358_S_0" localSheetId="3" hidden="1">ProLink!$F$182</definedName>
    <definedName name="SD_7313x1_359_S_0" localSheetId="3" hidden="1">ProLink!$F$183</definedName>
    <definedName name="SD_7313x1_360_S_0" localSheetId="3" hidden="1">ProLink!$F$184</definedName>
    <definedName name="SD_7313x1_363_S_0" localSheetId="3" hidden="1">ProLink!$F$270</definedName>
    <definedName name="SD_7313x1_364_S_0" localSheetId="3" hidden="1">ProLink!$F$271</definedName>
    <definedName name="SD_7313x1_366_S_0" localSheetId="3" hidden="1">ProLink!$F$173</definedName>
    <definedName name="SD_7313x1_367_S_0" localSheetId="3" hidden="1">ProLink!$F$174</definedName>
    <definedName name="SD_7313x1_371_S_0" localSheetId="3" hidden="1">ProLink!$F$188</definedName>
    <definedName name="SD_7313x1_372_S_0" localSheetId="3" hidden="1">ProLink!$F$189</definedName>
    <definedName name="SD_7313x1_373_S_0" localSheetId="3" hidden="1">ProLink!$F$190</definedName>
    <definedName name="SD_7313x1_374_S_0" localSheetId="3" hidden="1">ProLink!$F$191</definedName>
    <definedName name="SD_7313x1_375_S_0" localSheetId="3" hidden="1">ProLink!$F$192</definedName>
    <definedName name="SD_7313x1_376_S_0" localSheetId="3" hidden="1">ProLink!$F$193</definedName>
    <definedName name="SD_7313x1_377_S_0" localSheetId="3" hidden="1">ProLink!$F$194</definedName>
    <definedName name="SD_7313x1_378_S_0" localSheetId="3" hidden="1">ProLink!$F$195</definedName>
    <definedName name="SD_7313x1_379_S_0" localSheetId="3" hidden="1">ProLink!$F$197</definedName>
    <definedName name="SD_7313x1_380_S_0" localSheetId="3" hidden="1">ProLink!$F$198</definedName>
    <definedName name="SD_7313x1_381_S_0" localSheetId="3" hidden="1">ProLink!$F$199</definedName>
    <definedName name="SD_7313x1_382_S_0" localSheetId="3" hidden="1">ProLink!$F$200</definedName>
    <definedName name="SD_7313x1_383_S_0" localSheetId="3" hidden="1">ProLink!$F$201</definedName>
    <definedName name="SD_7313x1_384_S_0" localSheetId="3" hidden="1">ProLink!$F$202</definedName>
    <definedName name="SD_7313x1_385_S_0" localSheetId="3" hidden="1">ProLink!$F$203</definedName>
    <definedName name="SD_7313x1_386_S_0" localSheetId="3" hidden="1">ProLink!$F$204</definedName>
    <definedName name="SD_7313x1_387_S_0" localSheetId="3" hidden="1">ProLink!$F$205</definedName>
    <definedName name="SD_7313x1_388_S_0" localSheetId="3" hidden="1">ProLink!$F$206</definedName>
    <definedName name="SD_7313x1_389_S_0" localSheetId="3" hidden="1">ProLink!$F$207</definedName>
    <definedName name="SD_7313x1_390_S_0" localSheetId="3" hidden="1">ProLink!$F$208</definedName>
    <definedName name="SD_7313x1_391_S_0" localSheetId="3" hidden="1">ProLink!$F$209</definedName>
    <definedName name="SD_7313x1_392_S_0" localSheetId="3" hidden="1">ProLink!$F$210</definedName>
    <definedName name="SD_7313x1_393_S_0" localSheetId="3" hidden="1">ProLink!$F$211</definedName>
    <definedName name="SD_7313x1_394_S_0" localSheetId="3" hidden="1">ProLink!$F$212</definedName>
    <definedName name="SD_7313x1_395_S_0" localSheetId="3" hidden="1">ProLink!$F$213</definedName>
    <definedName name="SD_7313x1_396_S_0" localSheetId="3" hidden="1">ProLink!$F$214</definedName>
    <definedName name="SD_7313x1_397_S_0" localSheetId="3" hidden="1">ProLink!$F$215</definedName>
    <definedName name="SD_7313x1_398_S_0" localSheetId="3" hidden="1">ProLink!$F$216</definedName>
    <definedName name="SD_7313x1_399_S_0" localSheetId="3" hidden="1">ProLink!$F$217</definedName>
    <definedName name="SD_7313x1_400_S_0" localSheetId="3" hidden="1">ProLink!$F$218</definedName>
    <definedName name="SD_7313x1_401_S_0" localSheetId="3" hidden="1">ProLink!$F$219</definedName>
    <definedName name="SD_7313x1_402_S_0" localSheetId="3" hidden="1">ProLink!$F$220</definedName>
    <definedName name="SD_7313x1_403_S_0" localSheetId="3" hidden="1">ProLink!$F$221</definedName>
    <definedName name="SD_7313x1_404_S_0" localSheetId="3" hidden="1">ProLink!$F$222</definedName>
    <definedName name="SD_7313x1_405_S_0" localSheetId="3" hidden="1">ProLink!$F$223</definedName>
    <definedName name="SD_7313x1_406_S_0" localSheetId="3" hidden="1">ProLink!$F$224</definedName>
    <definedName name="SD_7313x1_407_S_0" localSheetId="3" hidden="1">ProLink!$F$226</definedName>
    <definedName name="SD_7313x1_408_S_0" localSheetId="3" hidden="1">ProLink!$F$227</definedName>
    <definedName name="SD_7313x1_409_S_0" localSheetId="3" hidden="1">ProLink!$F$228</definedName>
    <definedName name="SD_7313x1_410_S_0" localSheetId="3" hidden="1">ProLink!$F$229</definedName>
    <definedName name="SD_7313x1_411_S_0" localSheetId="3" hidden="1">ProLink!$F$230</definedName>
    <definedName name="SD_7313x1_412_S_0" localSheetId="3" hidden="1">ProLink!$F$231</definedName>
    <definedName name="SD_7313x1_413_S_0" localSheetId="3" hidden="1">ProLink!$F$232</definedName>
    <definedName name="SD_7313x1_414_S_0" localSheetId="3" hidden="1">ProLink!$F$233</definedName>
    <definedName name="SD_7313x1_415_S_0" localSheetId="3" hidden="1">ProLink!$F$234</definedName>
    <definedName name="SD_7313x1_416_S_0" localSheetId="3" hidden="1">ProLink!$F$235</definedName>
    <definedName name="SD_7313x1_417_B_0" localSheetId="3" hidden="1">ProLink!$F$236</definedName>
    <definedName name="SD_7313x1_418_S_0" localSheetId="3" hidden="1">ProLink!$F$237</definedName>
    <definedName name="SD_7313x1_419_S_0" localSheetId="3" hidden="1">ProLink!$F$238</definedName>
    <definedName name="SD_7313x1_420_S_0" localSheetId="3" hidden="1">ProLink!$F$239</definedName>
    <definedName name="SD_7313x1_421_S_0" localSheetId="3" hidden="1">ProLink!$F$240</definedName>
    <definedName name="SD_7313x1_422_S_0" localSheetId="3" hidden="1">ProLink!$F$241</definedName>
    <definedName name="SD_7313x1_423_S_0" localSheetId="3" hidden="1">ProLink!$F$242</definedName>
    <definedName name="SD_7313x1_424_S_0" localSheetId="3" hidden="1">ProLink!$F$243</definedName>
    <definedName name="SD_7313x1_425_S_0" localSheetId="3" hidden="1">ProLink!$F$244</definedName>
    <definedName name="SD_7313x1_426_S_0" localSheetId="3" hidden="1">ProLink!$F$245</definedName>
    <definedName name="SD_7313x1_427_S_0" localSheetId="3" hidden="1">ProLink!$F$246</definedName>
    <definedName name="SD_7313x1_428_S_0" localSheetId="3" hidden="1">ProLink!$F$247</definedName>
    <definedName name="SD_7313x1_429_S_0" localSheetId="3" hidden="1">ProLink!$F$248</definedName>
    <definedName name="SD_7313x1_430_S_0" localSheetId="3" hidden="1">ProLink!$F$249</definedName>
    <definedName name="SD_7313x1_431_S_0" localSheetId="3" hidden="1">ProLink!$F$250</definedName>
    <definedName name="SD_7313x1_432_S_0" localSheetId="3" hidden="1">ProLink!$F$251</definedName>
    <definedName name="SD_7313x1_433_S_0" localSheetId="3" hidden="1">ProLink!$F$253</definedName>
    <definedName name="SD_7313x1_434_S_0" localSheetId="3" hidden="1">ProLink!$F$254</definedName>
    <definedName name="SD_7313x1_435_S_0" localSheetId="3" hidden="1">ProLink!$F$255</definedName>
    <definedName name="SD_7313x1_436_S_0" localSheetId="3" hidden="1">ProLink!$F$256</definedName>
    <definedName name="SD_7313x1_439_S_0" localSheetId="3" hidden="1">ProLink!$F$259</definedName>
    <definedName name="SD_7313x1_440_S_0" localSheetId="3" hidden="1">ProLink!$F$260</definedName>
    <definedName name="SD_7313x1_443_S_0" localSheetId="3" hidden="1">ProLink!$F$263</definedName>
    <definedName name="SD_7313x1_444_S_0" localSheetId="3" hidden="1">ProLink!$F$264</definedName>
    <definedName name="SD_7313x1_445_S_0" localSheetId="3" hidden="1">ProLink!$F$505</definedName>
    <definedName name="SD_7313x1_446_S_0" localSheetId="3" hidden="1">ProLink!$F$506</definedName>
    <definedName name="SD_7313x1_447_S_0" localSheetId="3" hidden="1">ProLink!$F$507</definedName>
    <definedName name="SD_7313x1_448_S_0" localSheetId="3" hidden="1">ProLink!$F$508</definedName>
    <definedName name="SD_7313x1_449_S_0" localSheetId="3" hidden="1">ProLink!$F$509</definedName>
    <definedName name="SD_7313x1_450_S_0" localSheetId="3" hidden="1">ProLink!$F$510</definedName>
    <definedName name="SD_7313x1_451_S_0" localSheetId="3" hidden="1">ProLink!$F$511</definedName>
    <definedName name="SD_7313x1_452_S_0" localSheetId="3" hidden="1">ProLink!$F$512</definedName>
    <definedName name="SD_7313x1_453_S_0" localSheetId="3" hidden="1">ProLink!$F$513</definedName>
    <definedName name="SD_7313x1_454_S_0" localSheetId="3" hidden="1">ProLink!$F$514</definedName>
    <definedName name="SD_7313x1_455_S_0" localSheetId="3" hidden="1">ProLink!$F$515</definedName>
    <definedName name="SD_7313x1_456_S_0" localSheetId="3" hidden="1">ProLink!$F$516</definedName>
    <definedName name="SD_7313x1_457_S_0" localSheetId="3" hidden="1">ProLink!$F$525</definedName>
    <definedName name="SD_7313x1_458_S_0" localSheetId="3" hidden="1">ProLink!$F$526</definedName>
    <definedName name="SD_7313x1_459_S_0" localSheetId="3" hidden="1">ProLink!$F$527</definedName>
    <definedName name="SD_7313x1_460_S_0" localSheetId="3" hidden="1">ProLink!$F$528</definedName>
    <definedName name="SD_7313x1_461_S_0" localSheetId="3" hidden="1">ProLink!$F$529</definedName>
    <definedName name="SD_7313x1_462_S_0" localSheetId="3" hidden="1">ProLink!$F$530</definedName>
    <definedName name="SD_7313x1_463_S_0" localSheetId="3" hidden="1">ProLink!$F$531</definedName>
    <definedName name="SD_7313x1_464_S_0" localSheetId="3" hidden="1">ProLink!$F$532</definedName>
    <definedName name="SD_7313x1_465_S_0" localSheetId="3" hidden="1">ProLink!$F$533</definedName>
    <definedName name="SD_7313x1_466_S_0" localSheetId="3" hidden="1">ProLink!$F$534</definedName>
    <definedName name="SD_7313x1_467_S_0" localSheetId="3" hidden="1">ProLink!$F$535</definedName>
    <definedName name="SD_7313x1_468_S_0" localSheetId="3" hidden="1">ProLink!$F$536</definedName>
    <definedName name="SD_7313x1_469_S_0" localSheetId="3" hidden="1">ProLink!$F$537</definedName>
    <definedName name="SD_7313x1_470_S_0" localSheetId="3" hidden="1">ProLink!$F$552</definedName>
    <definedName name="SD_7313x1_471_S_0" localSheetId="3" hidden="1">ProLink!$F$553</definedName>
    <definedName name="SD_7313x1_472_S_0" localSheetId="3" hidden="1">ProLink!$F$554</definedName>
    <definedName name="SD_7313x1_502_S_0" localSheetId="3" hidden="1">ProLink!$F$12</definedName>
    <definedName name="SD_7313x1_503_S_0" localSheetId="3" hidden="1">ProLink!$F$175</definedName>
    <definedName name="SD_7313x1_504_S_0" localSheetId="3" hidden="1">ProLink!$F$176</definedName>
    <definedName name="SD_7313x1_505_S_0" localSheetId="4" hidden="1">'ProLink Mapping'!$L$186</definedName>
    <definedName name="SD_7313x1_506_S_0" localSheetId="3" hidden="1">ProLink!$F$313</definedName>
    <definedName name="SD_7313x1_507_S_0" localSheetId="3" hidden="1">ProLink!$F$315</definedName>
    <definedName name="SD_7313x1_508_S_0" localSheetId="3" hidden="1">ProLink!$F$317</definedName>
    <definedName name="SD_7313x1_509_S_0" localSheetId="3" hidden="1">ProLink!$F$319</definedName>
    <definedName name="SD_7313x1_510_S_0" localSheetId="3" hidden="1">ProLink!$F$314</definedName>
    <definedName name="SD_7313x1_511_S_0" localSheetId="3" hidden="1">ProLink!$F$316</definedName>
    <definedName name="SD_7313x1_512_S_0" localSheetId="3" hidden="1">ProLink!$F$318</definedName>
    <definedName name="SD_7313x1_513_S_0" localSheetId="3" hidden="1">ProLink!$F$320</definedName>
    <definedName name="SD_7313x1_514_S_0" localSheetId="3" hidden="1">ProLink!$F$321</definedName>
    <definedName name="SD_7313x1_515_S_0" localSheetId="3" hidden="1">ProLink!$F$322</definedName>
    <definedName name="SD_7313x1_516_S_0" localSheetId="3" hidden="1">ProLink!$F$325</definedName>
    <definedName name="SD_7313x1_517_S_0" localSheetId="3" hidden="1">ProLink!$F$326</definedName>
    <definedName name="SD_7313x1_518_S_0" localSheetId="3" hidden="1">ProLink!$F$540</definedName>
    <definedName name="SD_7313x1_519_S_0" localSheetId="3" hidden="1">ProLink!$F$541</definedName>
    <definedName name="SD_7313x1_520_S_0" localSheetId="3" hidden="1">ProLink!$F$323</definedName>
    <definedName name="SD_7313x1_521_S_0" localSheetId="3" hidden="1">ProLink!$F$324</definedName>
    <definedName name="SD_7313x1_522_S_0" localSheetId="3" hidden="1">ProLink!$F$337</definedName>
    <definedName name="SD_7313x1_523_S_0" localSheetId="3" hidden="1">ProLink!$F$338</definedName>
    <definedName name="SD_7313x1_524_S_0" localSheetId="3" hidden="1">ProLink!$F$557</definedName>
    <definedName name="SD_7313x1_525_S_0" localSheetId="3" hidden="1">ProLink!$F$558</definedName>
    <definedName name="SD_7313x1_526_S_0" localSheetId="3" hidden="1">ProLink!$F$430</definedName>
    <definedName name="SD_7313x1_527_S_0" localSheetId="3" hidden="1">ProLink!$F$431</definedName>
    <definedName name="SD_7313x1_528_S_0" localSheetId="3" hidden="1">ProLink!$F$380</definedName>
    <definedName name="SD_7313x1_529_S_0" localSheetId="3" hidden="1">ProLink!$F$381</definedName>
    <definedName name="SD_7313x1_530_S_0" localSheetId="3" hidden="1">ProLink!$F$397</definedName>
    <definedName name="SD_7313x1_531_S_0" localSheetId="3" hidden="1">ProLink!$F$398</definedName>
    <definedName name="SD_7313x1_532_S_0" localSheetId="3" hidden="1">ProLink!$F$410</definedName>
    <definedName name="SD_7313x1_533_S_0" localSheetId="3" hidden="1">ProLink!$F$411</definedName>
    <definedName name="SD_7313x1_534_S_0" localSheetId="3" hidden="1">ProLink!$F$422</definedName>
    <definedName name="SD_7313x1_535_S_0" localSheetId="3" hidden="1">ProLink!$F$423</definedName>
    <definedName name="SD_7313x1_536_S_0" localSheetId="3" hidden="1">ProLink!$F$358</definedName>
    <definedName name="SD_7313x1_537_S_0" localSheetId="3" hidden="1">ProLink!$F$359</definedName>
    <definedName name="SD_7313x1_538_S_0" localSheetId="3" hidden="1">ProLink!$F$438</definedName>
    <definedName name="SD_7313x1_539_S_0" localSheetId="3" hidden="1">ProLink!$F$439</definedName>
    <definedName name="SD_7313x1_540_S_0" localSheetId="3" hidden="1">ProLink!$F$499</definedName>
    <definedName name="SD_7313x1_541_S_0" localSheetId="3" hidden="1">ProLink!$F$500</definedName>
    <definedName name="SD_7313x1_542_S_0" localSheetId="3" hidden="1">ProLink!$F$565</definedName>
    <definedName name="SD_7313x1_543_S_0" localSheetId="3" hidden="1">ProLink!$F$566</definedName>
    <definedName name="SD_7313x1_544_S_0" localSheetId="3" hidden="1">ProLink!$F$575</definedName>
    <definedName name="SD_7313x1_545_S_0" localSheetId="3" hidden="1">ProLink!$F$577</definedName>
    <definedName name="SD_7313x1_546_S_0" localSheetId="3" hidden="1">ProLink!$F$617</definedName>
    <definedName name="SD_7313x1_547_S_0" localSheetId="3" hidden="1">ProLink!$F$618</definedName>
    <definedName name="SD_7313x1_548_S_0" localSheetId="3" hidden="1">ProLink!$F$619</definedName>
    <definedName name="SD_7313x1_549_S_0" localSheetId="3" hidden="1">ProLink!$F$519</definedName>
    <definedName name="SD_7313x1_550_S_0" localSheetId="3" hidden="1">ProLink!$F$520</definedName>
    <definedName name="SD_7313x1_551_S_0" localSheetId="3" hidden="1">ProLink!$F$622</definedName>
    <definedName name="SD_7313x1_552_S_0" localSheetId="3" hidden="1">ProLink!$F$623</definedName>
    <definedName name="SD_7313x1_553_S_0" localSheetId="3" hidden="1">ProLink!$F$625</definedName>
    <definedName name="SD_7313x1_554_S_0" localSheetId="3" hidden="1">ProLink!$F$626</definedName>
    <definedName name="SD_7313x1_555_S_0" localSheetId="3" hidden="1">ProLink!$F$627</definedName>
    <definedName name="SD_7313x1_556_S_0" localSheetId="3" hidden="1">ProLink!$F$624</definedName>
    <definedName name="SD_7313x1_557_S_0" localSheetId="3" hidden="1">ProLink!$F$369</definedName>
    <definedName name="SD_7313x1_558_S_0" localSheetId="3" hidden="1">ProLink!$F$370</definedName>
    <definedName name="SD_7313x1_559_S_0" localSheetId="3" hidden="1">ProLink!$F$371</definedName>
    <definedName name="SD_7313x1_560_S_0" localSheetId="3" hidden="1">ProLink!$F$372</definedName>
    <definedName name="SD_7313x1_561_S_0" localSheetId="3" hidden="1">ProLink!$F$373</definedName>
    <definedName name="SD_7313x1_562_S_0" localSheetId="3" hidden="1">ProLink!$F$374</definedName>
    <definedName name="SD_7313x1_563_S_0" localSheetId="3" hidden="1">ProLink!$F$375</definedName>
    <definedName name="SD_7313x1_564_S_0" localSheetId="3" hidden="1">ProLink!$F$376</definedName>
    <definedName name="SD_7313x1_565_S_0" localSheetId="3" hidden="1">ProLink!$F$385</definedName>
    <definedName name="SD_7313x1_566_S_0" localSheetId="3" hidden="1">ProLink!$F$386</definedName>
    <definedName name="SD_7313x1_567_S_0" localSheetId="3" hidden="1">ProLink!$F$387</definedName>
    <definedName name="SD_7313x1_568_S_0" localSheetId="3" hidden="1">ProLink!$F$388</definedName>
    <definedName name="SD_7313x1_569_S_0" localSheetId="3" hidden="1">ProLink!$F$389</definedName>
    <definedName name="SD_7313x1_570_S_0" localSheetId="3" hidden="1">ProLink!$F$390</definedName>
    <definedName name="SD_7313x1_571_S_0" localSheetId="3" hidden="1">ProLink!$F$391</definedName>
    <definedName name="SD_7313x1_572_S_0" localSheetId="3" hidden="1">ProLink!$F$392</definedName>
    <definedName name="SD_7313x1_573_S_0" localSheetId="3" hidden="1">ProLink!$F$393</definedName>
    <definedName name="SD_7313x1_574_S_0" localSheetId="3" hidden="1">ProLink!$F$403</definedName>
    <definedName name="SD_7313x1_575_S_0" localSheetId="3" hidden="1">ProLink!$F$404</definedName>
    <definedName name="SD_7313x1_576_S_0" localSheetId="3" hidden="1">ProLink!$F$405</definedName>
    <definedName name="SD_7313x1_577_S_0" localSheetId="3" hidden="1">ProLink!$F$406</definedName>
    <definedName name="SD_7313x1_578_S_0" localSheetId="3" hidden="1">ProLink!$F$416</definedName>
    <definedName name="SD_7313x1_579_S_0" localSheetId="3" hidden="1">ProLink!$F$417</definedName>
    <definedName name="SD_7313x1_580_S_0" localSheetId="3" hidden="1">ProLink!$F$418</definedName>
    <definedName name="SD_7313x1_581_S_0" localSheetId="3" hidden="1">ProLink!$F$569</definedName>
    <definedName name="SD_7313x1_582_S_0" localSheetId="3" hidden="1">ProLink!$F$571</definedName>
    <definedName name="SD_7313x1_583_S_0" localSheetId="3" hidden="1">ProLink!$F$573</definedName>
    <definedName name="SD_7313x1_584_S_0" localSheetId="3" hidden="1">ProLink!$F$576</definedName>
    <definedName name="SD_7313x1_585_S_0" localSheetId="3" hidden="1">ProLink!$F$574</definedName>
    <definedName name="SD_7313x1_586_S_0" localSheetId="3" hidden="1">ProLink!$F$345</definedName>
    <definedName name="SD_7313x1_587_S_0" localSheetId="3" hidden="1">ProLink!$F$347</definedName>
    <definedName name="SD_7313x1_588_S_0" localSheetId="3" hidden="1">ProLink!$F$349</definedName>
    <definedName name="SD_7313x1_589_S_0" localSheetId="3" hidden="1">ProLink!$F$351</definedName>
    <definedName name="SD_7313x1_590_S_0" localSheetId="3" hidden="1">ProLink!$F$346</definedName>
    <definedName name="SD_7313x1_591_S_0" localSheetId="3" hidden="1">ProLink!$F$348</definedName>
    <definedName name="SD_7313x1_592_S_0" localSheetId="3" hidden="1">ProLink!$F$350</definedName>
    <definedName name="SD_7313x1_595_S_0" localSheetId="3" hidden="1">ProLink!$F$582</definedName>
    <definedName name="SD_7313x1_596_S_0" localSheetId="3" hidden="1">ProLink!$F$583</definedName>
    <definedName name="SD_7313x1_597_S_0" localSheetId="3" hidden="1">ProLink!$F$584</definedName>
    <definedName name="SD_7313x1_598_S_0" localSheetId="3" hidden="1">ProLink!$F$585</definedName>
    <definedName name="SD_7313x1_599_S_0" localSheetId="3" hidden="1">ProLink!$F$586</definedName>
    <definedName name="SD_7313x1_600_S_0" localSheetId="3" hidden="1">ProLink!$F$587</definedName>
    <definedName name="SD_7313x1_601_S_0" localSheetId="3" hidden="1">ProLink!$F$589</definedName>
    <definedName name="SD_7313x1_602_S_0" localSheetId="3" hidden="1">ProLink!$F$591</definedName>
    <definedName name="SD_7313x1_603_S_0" localSheetId="3" hidden="1">ProLink!$F$593</definedName>
    <definedName name="SD_7313x1_604_S_0" localSheetId="3" hidden="1">ProLink!$F$595</definedName>
    <definedName name="SD_7313x1_605_S_0" localSheetId="3" hidden="1">ProLink!$F$597</definedName>
    <definedName name="SD_7313x1_606_S_0" localSheetId="3" hidden="1">ProLink!$F$599</definedName>
    <definedName name="SD_7313x1_607_S_0" localSheetId="3" hidden="1">ProLink!$F$588</definedName>
    <definedName name="SD_7313x1_608_S_0" localSheetId="3" hidden="1">ProLink!$F$590</definedName>
    <definedName name="SD_7313x1_609_S_0" localSheetId="3" hidden="1">ProLink!$F$592</definedName>
    <definedName name="SD_7313x1_610_S_0" localSheetId="3" hidden="1">ProLink!$F$594</definedName>
    <definedName name="SD_7313x1_611_S_0" localSheetId="3" hidden="1">ProLink!$F$596</definedName>
    <definedName name="SD_7313x1_612_S_0" localSheetId="3" hidden="1">ProLink!$F$598</definedName>
    <definedName name="SD_7313x1_613_S_0" localSheetId="3" hidden="1">ProLink!$F$600</definedName>
    <definedName name="SD_7313x1_615_S_0" localSheetId="3" hidden="1">ProLink!$F$570</definedName>
    <definedName name="SD_7313x1_617_S_0" localSheetId="3" hidden="1">ProLink!$F$572</definedName>
    <definedName name="SD_7313x1_623_S_0" localSheetId="3" hidden="1">ProLink!$F$615</definedName>
    <definedName name="SD_7313x1_631_S_0" localSheetId="3" hidden="1">ProLink!$F$616</definedName>
    <definedName name="SD_7313x1_632_S_0" localSheetId="3" hidden="1">ProLink!$F$580</definedName>
    <definedName name="SD_7313x1_633_S_0" localSheetId="3" hidden="1">ProLink!$F$581</definedName>
    <definedName name="SD_7313x1_634_S_0" localSheetId="3" hidden="1">ProLink!$F$122</definedName>
    <definedName name="SD_74_G_0" localSheetId="7" hidden="1">ProLink!$F$5</definedName>
    <definedName name="SD_7634x1_11_S_0" localSheetId="4" hidden="1">'ProLink Mapping'!$V$133</definedName>
    <definedName name="SD_7634x1_13_S_1" localSheetId="4" hidden="1">'ProLink Mapping'!$U$133</definedName>
    <definedName name="SD_7634x1_14_S_1" localSheetId="4" hidden="1">'ProLink Mapping'!$M$133</definedName>
    <definedName name="SD_7634x1_15_S_0" localSheetId="4" hidden="1">'ProLink Mapping'!$W$133</definedName>
    <definedName name="SD_7634x1_16_S_0" localSheetId="4" hidden="1">'ProLink Mapping'!$O$133</definedName>
    <definedName name="SD_7634x1_17_S_0" localSheetId="4" hidden="1">'ProLink Mapping'!$Q$133</definedName>
    <definedName name="SD_7634x1_20_S_0" localSheetId="4" hidden="1">'ProLink Mapping'!$P$133</definedName>
    <definedName name="SD_7634x1_21_S_0" localSheetId="4" hidden="1">'ProLink Mapping'!$R$133</definedName>
    <definedName name="SD_7634x1_23_S_0" localSheetId="4" hidden="1">'ProLink Mapping'!$T$133</definedName>
    <definedName name="SD_7634x1_25_S_0" localSheetId="4" hidden="1">'ProLink Mapping'!$S$133</definedName>
    <definedName name="SD_7634x1_27_S_1" localSheetId="4" hidden="1">'ProLink Mapping'!$N$133</definedName>
    <definedName name="SD_7634x10_11_S_0" localSheetId="4" hidden="1">'ProLink Mapping'!$V$142</definedName>
    <definedName name="SD_7634x10_13_S_1" localSheetId="4" hidden="1">'ProLink Mapping'!$U$142</definedName>
    <definedName name="SD_7634x10_14_S_1" localSheetId="4" hidden="1">'ProLink Mapping'!$M$142</definedName>
    <definedName name="SD_7634x10_15_S_0" localSheetId="4" hidden="1">'ProLink Mapping'!$W$142</definedName>
    <definedName name="SD_7634x10_16_S_0" localSheetId="4" hidden="1">'ProLink Mapping'!$O$142</definedName>
    <definedName name="SD_7634x10_17_S_0" localSheetId="4" hidden="1">'ProLink Mapping'!$Q$142</definedName>
    <definedName name="SD_7634x10_20_S_0" localSheetId="4" hidden="1">'ProLink Mapping'!$P$142</definedName>
    <definedName name="SD_7634x10_21_S_0" localSheetId="4" hidden="1">'ProLink Mapping'!$R$142</definedName>
    <definedName name="SD_7634x10_23_S_0" localSheetId="4" hidden="1">'ProLink Mapping'!$T$142</definedName>
    <definedName name="SD_7634x10_25_S_0" localSheetId="4" hidden="1">'ProLink Mapping'!$S$142</definedName>
    <definedName name="SD_7634x10_27_S_1" localSheetId="4" hidden="1">'ProLink Mapping'!$N$142</definedName>
    <definedName name="SD_7634x11_11_S_0" localSheetId="4" hidden="1">'ProLink Mapping'!$V$143</definedName>
    <definedName name="SD_7634x11_13_S_1" localSheetId="4" hidden="1">'ProLink Mapping'!$U$143</definedName>
    <definedName name="SD_7634x11_14_S_1" localSheetId="4" hidden="1">'ProLink Mapping'!$M$143</definedName>
    <definedName name="SD_7634x11_15_S_0" localSheetId="4" hidden="1">'ProLink Mapping'!$W$143</definedName>
    <definedName name="SD_7634x11_16_S_0" localSheetId="4" hidden="1">'ProLink Mapping'!$O$143</definedName>
    <definedName name="SD_7634x11_17_S_0" localSheetId="4" hidden="1">'ProLink Mapping'!$Q$143</definedName>
    <definedName name="SD_7634x11_20_S_0" localSheetId="4" hidden="1">'ProLink Mapping'!$P$143</definedName>
    <definedName name="SD_7634x11_21_S_0" localSheetId="4" hidden="1">'ProLink Mapping'!$R$143</definedName>
    <definedName name="SD_7634x11_23_S_0" localSheetId="4" hidden="1">'ProLink Mapping'!$T$143</definedName>
    <definedName name="SD_7634x11_25_S_0" localSheetId="4" hidden="1">'ProLink Mapping'!$S$143</definedName>
    <definedName name="SD_7634x11_27_S_1" localSheetId="4" hidden="1">'ProLink Mapping'!$N$143</definedName>
    <definedName name="SD_7634x12_11_S_0" localSheetId="4" hidden="1">'ProLink Mapping'!$V$144</definedName>
    <definedName name="SD_7634x12_13_S_1" localSheetId="4" hidden="1">'ProLink Mapping'!$U$144</definedName>
    <definedName name="SD_7634x12_14_S_1" localSheetId="4" hidden="1">'ProLink Mapping'!$M$144</definedName>
    <definedName name="SD_7634x12_15_S_0" localSheetId="4" hidden="1">'ProLink Mapping'!$W$144</definedName>
    <definedName name="SD_7634x12_16_S_0" localSheetId="4" hidden="1">'ProLink Mapping'!$O$144</definedName>
    <definedName name="SD_7634x12_17_S_0" localSheetId="4" hidden="1">'ProLink Mapping'!$Q$144</definedName>
    <definedName name="SD_7634x12_20_S_0" localSheetId="4" hidden="1">'ProLink Mapping'!$P$144</definedName>
    <definedName name="SD_7634x12_21_S_0" localSheetId="4" hidden="1">'ProLink Mapping'!$R$144</definedName>
    <definedName name="SD_7634x12_23_S_0" localSheetId="4" hidden="1">'ProLink Mapping'!$T$144</definedName>
    <definedName name="SD_7634x12_25_S_0" localSheetId="4" hidden="1">'ProLink Mapping'!$S$144</definedName>
    <definedName name="SD_7634x12_27_S_1" localSheetId="4" hidden="1">'ProLink Mapping'!$N$144</definedName>
    <definedName name="SD_7634x13_11_S_0" localSheetId="4" hidden="1">'ProLink Mapping'!$V$145</definedName>
    <definedName name="SD_7634x13_13_S_1" localSheetId="4" hidden="1">'ProLink Mapping'!$U$145</definedName>
    <definedName name="SD_7634x13_14_S_1" localSheetId="4" hidden="1">'ProLink Mapping'!$M$145</definedName>
    <definedName name="SD_7634x13_15_S_0" localSheetId="4" hidden="1">'ProLink Mapping'!$W$145</definedName>
    <definedName name="SD_7634x13_16_S_0" localSheetId="4" hidden="1">'ProLink Mapping'!$O$145</definedName>
    <definedName name="SD_7634x13_17_S_0" localSheetId="4" hidden="1">'ProLink Mapping'!$Q$145</definedName>
    <definedName name="SD_7634x13_20_S_0" localSheetId="4" hidden="1">'ProLink Mapping'!$P$145</definedName>
    <definedName name="SD_7634x13_21_S_0" localSheetId="4" hidden="1">'ProLink Mapping'!$R$145</definedName>
    <definedName name="SD_7634x13_23_S_0" localSheetId="4" hidden="1">'ProLink Mapping'!$T$145</definedName>
    <definedName name="SD_7634x13_25_S_0" localSheetId="4" hidden="1">'ProLink Mapping'!$S$145</definedName>
    <definedName name="SD_7634x13_27_S_1" localSheetId="4" hidden="1">'ProLink Mapping'!$N$145</definedName>
    <definedName name="SD_7634x14_11_S_0" localSheetId="4" hidden="1">'ProLink Mapping'!$V$146</definedName>
    <definedName name="SD_7634x14_13_S_1" localSheetId="4" hidden="1">'ProLink Mapping'!$U$146</definedName>
    <definedName name="SD_7634x14_14_S_1" localSheetId="4" hidden="1">'ProLink Mapping'!$M$146</definedName>
    <definedName name="SD_7634x14_15_S_0" localSheetId="4" hidden="1">'ProLink Mapping'!$W$146</definedName>
    <definedName name="SD_7634x14_16_S_0" localSheetId="4" hidden="1">'ProLink Mapping'!$O$146</definedName>
    <definedName name="SD_7634x14_17_S_0" localSheetId="4" hidden="1">'ProLink Mapping'!$Q$146</definedName>
    <definedName name="SD_7634x14_20_S_0" localSheetId="4" hidden="1">'ProLink Mapping'!$P$146</definedName>
    <definedName name="SD_7634x14_21_S_0" localSheetId="4" hidden="1">'ProLink Mapping'!$R$146</definedName>
    <definedName name="SD_7634x14_23_S_0" localSheetId="4" hidden="1">'ProLink Mapping'!$T$146</definedName>
    <definedName name="SD_7634x14_25_S_0" localSheetId="4" hidden="1">'ProLink Mapping'!$S$146</definedName>
    <definedName name="SD_7634x14_27_S_1" localSheetId="4" hidden="1">'ProLink Mapping'!$N$146</definedName>
    <definedName name="SD_7634x15_11_S_0" localSheetId="4" hidden="1">'ProLink Mapping'!$V$147</definedName>
    <definedName name="SD_7634x15_13_S_1" localSheetId="4" hidden="1">'ProLink Mapping'!$U$147</definedName>
    <definedName name="SD_7634x15_14_S_1" localSheetId="4" hidden="1">'ProLink Mapping'!$M$147</definedName>
    <definedName name="SD_7634x15_15_S_0" localSheetId="4" hidden="1">'ProLink Mapping'!$W$147</definedName>
    <definedName name="SD_7634x15_16_S_0" localSheetId="4" hidden="1">'ProLink Mapping'!$O$147</definedName>
    <definedName name="SD_7634x15_17_S_0" localSheetId="4" hidden="1">'ProLink Mapping'!$Q$147</definedName>
    <definedName name="SD_7634x15_20_S_0" localSheetId="4" hidden="1">'ProLink Mapping'!$P$147</definedName>
    <definedName name="SD_7634x15_21_S_0" localSheetId="4" hidden="1">'ProLink Mapping'!$R$147</definedName>
    <definedName name="SD_7634x15_23_S_0" localSheetId="4" hidden="1">'ProLink Mapping'!$T$147</definedName>
    <definedName name="SD_7634x15_25_S_0" localSheetId="4" hidden="1">'ProLink Mapping'!$S$147</definedName>
    <definedName name="SD_7634x15_27_S_1" localSheetId="4" hidden="1">'ProLink Mapping'!$N$147</definedName>
    <definedName name="SD_7634x16_11_S_0" localSheetId="4" hidden="1">'ProLink Mapping'!$V$148</definedName>
    <definedName name="SD_7634x16_13_S_1" localSheetId="4" hidden="1">'ProLink Mapping'!$U$148</definedName>
    <definedName name="SD_7634x16_14_S_1" localSheetId="4" hidden="1">'ProLink Mapping'!$M$148</definedName>
    <definedName name="SD_7634x16_15_S_0" localSheetId="4" hidden="1">'ProLink Mapping'!$W$148</definedName>
    <definedName name="SD_7634x16_16_S_0" localSheetId="4" hidden="1">'ProLink Mapping'!$O$148</definedName>
    <definedName name="SD_7634x16_17_S_0" localSheetId="4" hidden="1">'ProLink Mapping'!$Q$148</definedName>
    <definedName name="SD_7634x16_20_S_0" localSheetId="4" hidden="1">'ProLink Mapping'!$P$148</definedName>
    <definedName name="SD_7634x16_21_S_0" localSheetId="4" hidden="1">'ProLink Mapping'!$R$148</definedName>
    <definedName name="SD_7634x16_23_S_0" localSheetId="4" hidden="1">'ProLink Mapping'!$T$148</definedName>
    <definedName name="SD_7634x16_25_S_0" localSheetId="4" hidden="1">'ProLink Mapping'!$S$148</definedName>
    <definedName name="SD_7634x16_27_S_1" localSheetId="4" hidden="1">'ProLink Mapping'!$N$148</definedName>
    <definedName name="SD_7634x17_11_S_0" localSheetId="4" hidden="1">'ProLink Mapping'!$V$149</definedName>
    <definedName name="SD_7634x17_13_S_1" localSheetId="4" hidden="1">'ProLink Mapping'!$U$149</definedName>
    <definedName name="SD_7634x17_14_S_1" localSheetId="4" hidden="1">'ProLink Mapping'!$M$149</definedName>
    <definedName name="SD_7634x17_15_S_0" localSheetId="4" hidden="1">'ProLink Mapping'!$W$149</definedName>
    <definedName name="SD_7634x17_16_S_0" localSheetId="4" hidden="1">'ProLink Mapping'!$O$149</definedName>
    <definedName name="SD_7634x17_17_S_0" localSheetId="4" hidden="1">'ProLink Mapping'!$Q$149</definedName>
    <definedName name="SD_7634x17_20_S_0" localSheetId="4" hidden="1">'ProLink Mapping'!$P$149</definedName>
    <definedName name="SD_7634x17_21_S_0" localSheetId="4" hidden="1">'ProLink Mapping'!$R$149</definedName>
    <definedName name="SD_7634x17_23_S_0" localSheetId="4" hidden="1">'ProLink Mapping'!$T$149</definedName>
    <definedName name="SD_7634x17_25_S_0" localSheetId="4" hidden="1">'ProLink Mapping'!$S$149</definedName>
    <definedName name="SD_7634x17_27_S_1" localSheetId="4" hidden="1">'ProLink Mapping'!$N$149</definedName>
    <definedName name="SD_7634x18_11_S_0" localSheetId="4" hidden="1">'ProLink Mapping'!$V$150</definedName>
    <definedName name="SD_7634x18_13_S_1" localSheetId="4" hidden="1">'ProLink Mapping'!$U$150</definedName>
    <definedName name="SD_7634x18_14_S_1" localSheetId="4" hidden="1">'ProLink Mapping'!$M$150</definedName>
    <definedName name="SD_7634x18_15_S_0" localSheetId="4" hidden="1">'ProLink Mapping'!$W$150</definedName>
    <definedName name="SD_7634x18_16_S_0" localSheetId="4" hidden="1">'ProLink Mapping'!$O$150</definedName>
    <definedName name="SD_7634x18_17_S_0" localSheetId="4" hidden="1">'ProLink Mapping'!$Q$150</definedName>
    <definedName name="SD_7634x18_20_S_0" localSheetId="4" hidden="1">'ProLink Mapping'!$P$150</definedName>
    <definedName name="SD_7634x18_21_S_0" localSheetId="4" hidden="1">'ProLink Mapping'!$R$150</definedName>
    <definedName name="SD_7634x18_23_S_0" localSheetId="4" hidden="1">'ProLink Mapping'!$T$150</definedName>
    <definedName name="SD_7634x18_25_S_0" localSheetId="4" hidden="1">'ProLink Mapping'!$S$150</definedName>
    <definedName name="SD_7634x18_27_S_1" localSheetId="4" hidden="1">'ProLink Mapping'!$N$150</definedName>
    <definedName name="SD_7634x19_11_S_0" localSheetId="4" hidden="1">'ProLink Mapping'!$V$151</definedName>
    <definedName name="SD_7634x19_13_S_1" localSheetId="4" hidden="1">'ProLink Mapping'!$U$151</definedName>
    <definedName name="SD_7634x19_14_S_1" localSheetId="4" hidden="1">'ProLink Mapping'!$M$151</definedName>
    <definedName name="SD_7634x19_15_S_0" localSheetId="4" hidden="1">'ProLink Mapping'!$W$151</definedName>
    <definedName name="SD_7634x19_16_S_0" localSheetId="4" hidden="1">'ProLink Mapping'!$O$151</definedName>
    <definedName name="SD_7634x19_17_S_0" localSheetId="4" hidden="1">'ProLink Mapping'!$Q$151</definedName>
    <definedName name="SD_7634x19_20_S_0" localSheetId="4" hidden="1">'ProLink Mapping'!$P$151</definedName>
    <definedName name="SD_7634x19_21_S_0" localSheetId="4" hidden="1">'ProLink Mapping'!$R$151</definedName>
    <definedName name="SD_7634x19_23_S_0" localSheetId="4" hidden="1">'ProLink Mapping'!$T$151</definedName>
    <definedName name="SD_7634x19_25_S_0" localSheetId="4" hidden="1">'ProLink Mapping'!$S$151</definedName>
    <definedName name="SD_7634x19_27_S_1" localSheetId="4" hidden="1">'ProLink Mapping'!$N$151</definedName>
    <definedName name="SD_7634x2_11_S_0" localSheetId="4" hidden="1">'ProLink Mapping'!$V$134</definedName>
    <definedName name="SD_7634x2_13_S_1" localSheetId="4" hidden="1">'ProLink Mapping'!$U$134</definedName>
    <definedName name="SD_7634x2_14_S_1" localSheetId="4" hidden="1">'ProLink Mapping'!$M$134</definedName>
    <definedName name="SD_7634x2_15_S_0" localSheetId="4" hidden="1">'ProLink Mapping'!$W$134</definedName>
    <definedName name="SD_7634x2_16_S_0" localSheetId="4" hidden="1">'ProLink Mapping'!$O$134</definedName>
    <definedName name="SD_7634x2_17_S_0" localSheetId="4" hidden="1">'ProLink Mapping'!$Q$134</definedName>
    <definedName name="SD_7634x2_20_S_0" localSheetId="4" hidden="1">'ProLink Mapping'!$P$134</definedName>
    <definedName name="SD_7634x2_21_S_0" localSheetId="4" hidden="1">'ProLink Mapping'!$R$134</definedName>
    <definedName name="SD_7634x2_23_S_0" localSheetId="4" hidden="1">'ProLink Mapping'!$T$134</definedName>
    <definedName name="SD_7634x2_25_S_0" localSheetId="4" hidden="1">'ProLink Mapping'!$S$134</definedName>
    <definedName name="SD_7634x2_27_S_1" localSheetId="4" hidden="1">'ProLink Mapping'!$N$134</definedName>
    <definedName name="SD_7634x20_11_S_0" localSheetId="4" hidden="1">'ProLink Mapping'!$V$152</definedName>
    <definedName name="SD_7634x20_13_S_1" localSheetId="4" hidden="1">'ProLink Mapping'!$U$152</definedName>
    <definedName name="SD_7634x20_14_S_1" localSheetId="4" hidden="1">'ProLink Mapping'!$M$152</definedName>
    <definedName name="SD_7634x20_15_S_0" localSheetId="4" hidden="1">'ProLink Mapping'!$W$152</definedName>
    <definedName name="SD_7634x20_16_S_0" localSheetId="4" hidden="1">'ProLink Mapping'!$O$152</definedName>
    <definedName name="SD_7634x20_17_S_0" localSheetId="4" hidden="1">'ProLink Mapping'!$Q$152</definedName>
    <definedName name="SD_7634x20_20_S_0" localSheetId="4" hidden="1">'ProLink Mapping'!$P$152</definedName>
    <definedName name="SD_7634x20_21_S_0" localSheetId="4" hidden="1">'ProLink Mapping'!$R$152</definedName>
    <definedName name="SD_7634x20_23_S_0" localSheetId="4" hidden="1">'ProLink Mapping'!$T$152</definedName>
    <definedName name="SD_7634x20_25_S_0" localSheetId="4" hidden="1">'ProLink Mapping'!$S$152</definedName>
    <definedName name="SD_7634x20_27_S_1" localSheetId="4" hidden="1">'ProLink Mapping'!$N$152</definedName>
    <definedName name="SD_7634x21_11_S_0" localSheetId="4" hidden="1">'ProLink Mapping'!$V$153</definedName>
    <definedName name="SD_7634x21_13_S_1" localSheetId="4" hidden="1">'ProLink Mapping'!$U$153</definedName>
    <definedName name="SD_7634x21_14_S_1" localSheetId="4" hidden="1">'ProLink Mapping'!$M$153</definedName>
    <definedName name="SD_7634x21_15_S_0" localSheetId="4" hidden="1">'ProLink Mapping'!$W$153</definedName>
    <definedName name="SD_7634x21_16_S_0" localSheetId="4" hidden="1">'ProLink Mapping'!$O$153</definedName>
    <definedName name="SD_7634x21_17_S_0" localSheetId="4" hidden="1">'ProLink Mapping'!$Q$153</definedName>
    <definedName name="SD_7634x21_20_S_0" localSheetId="4" hidden="1">'ProLink Mapping'!$P$153</definedName>
    <definedName name="SD_7634x21_21_S_0" localSheetId="4" hidden="1">'ProLink Mapping'!$R$153</definedName>
    <definedName name="SD_7634x21_23_S_0" localSheetId="4" hidden="1">'ProLink Mapping'!$T$153</definedName>
    <definedName name="SD_7634x21_25_S_0" localSheetId="4" hidden="1">'ProLink Mapping'!$S$153</definedName>
    <definedName name="SD_7634x21_27_S_1" localSheetId="4" hidden="1">'ProLink Mapping'!$N$153</definedName>
    <definedName name="SD_7634x22_11_S_0" localSheetId="4" hidden="1">'ProLink Mapping'!$V$154</definedName>
    <definedName name="SD_7634x22_13_S_1" localSheetId="4" hidden="1">'ProLink Mapping'!$U$154</definedName>
    <definedName name="SD_7634x22_14_S_1" localSheetId="4" hidden="1">'ProLink Mapping'!$M$154</definedName>
    <definedName name="SD_7634x22_15_S_0" localSheetId="4" hidden="1">'ProLink Mapping'!$W$154</definedName>
    <definedName name="SD_7634x22_16_S_0" localSheetId="4" hidden="1">'ProLink Mapping'!$O$154</definedName>
    <definedName name="SD_7634x22_17_S_0" localSheetId="4" hidden="1">'ProLink Mapping'!$Q$154</definedName>
    <definedName name="SD_7634x22_20_S_0" localSheetId="4" hidden="1">'ProLink Mapping'!$P$154</definedName>
    <definedName name="SD_7634x22_21_S_0" localSheetId="4" hidden="1">'ProLink Mapping'!$R$154</definedName>
    <definedName name="SD_7634x22_23_S_0" localSheetId="4" hidden="1">'ProLink Mapping'!$T$154</definedName>
    <definedName name="SD_7634x22_25_S_0" localSheetId="4" hidden="1">'ProLink Mapping'!$S$154</definedName>
    <definedName name="SD_7634x22_27_S_1" localSheetId="4" hidden="1">'ProLink Mapping'!$N$154</definedName>
    <definedName name="SD_7634x23_11_S_0" localSheetId="4" hidden="1">'ProLink Mapping'!$V$155</definedName>
    <definedName name="SD_7634x23_13_S_1" localSheetId="4" hidden="1">'ProLink Mapping'!$U$155</definedName>
    <definedName name="SD_7634x23_14_S_1" localSheetId="4" hidden="1">'ProLink Mapping'!$M$155</definedName>
    <definedName name="SD_7634x23_15_S_0" localSheetId="4" hidden="1">'ProLink Mapping'!$W$155</definedName>
    <definedName name="SD_7634x23_16_S_0" localSheetId="4" hidden="1">'ProLink Mapping'!$O$155</definedName>
    <definedName name="SD_7634x23_17_S_0" localSheetId="4" hidden="1">'ProLink Mapping'!$Q$155</definedName>
    <definedName name="SD_7634x23_20_S_0" localSheetId="4" hidden="1">'ProLink Mapping'!$P$155</definedName>
    <definedName name="SD_7634x23_21_S_0" localSheetId="4" hidden="1">'ProLink Mapping'!$R$155</definedName>
    <definedName name="SD_7634x23_23_S_0" localSheetId="4" hidden="1">'ProLink Mapping'!$T$155</definedName>
    <definedName name="SD_7634x23_25_S_0" localSheetId="4" hidden="1">'ProLink Mapping'!$S$155</definedName>
    <definedName name="SD_7634x23_27_S_1" localSheetId="4" hidden="1">'ProLink Mapping'!$N$155</definedName>
    <definedName name="SD_7634x24_11_S_0" localSheetId="4" hidden="1">'ProLink Mapping'!$V$156</definedName>
    <definedName name="SD_7634x24_13_S_1" localSheetId="4" hidden="1">'ProLink Mapping'!$U$156</definedName>
    <definedName name="SD_7634x24_14_S_1" localSheetId="4" hidden="1">'ProLink Mapping'!$M$156</definedName>
    <definedName name="SD_7634x24_15_S_0" localSheetId="4" hidden="1">'ProLink Mapping'!$W$156</definedName>
    <definedName name="SD_7634x24_16_S_0" localSheetId="4" hidden="1">'ProLink Mapping'!$O$156</definedName>
    <definedName name="SD_7634x24_17_S_0" localSheetId="4" hidden="1">'ProLink Mapping'!$Q$156</definedName>
    <definedName name="SD_7634x24_20_S_0" localSheetId="4" hidden="1">'ProLink Mapping'!$P$156</definedName>
    <definedName name="SD_7634x24_21_S_0" localSheetId="4" hidden="1">'ProLink Mapping'!$R$156</definedName>
    <definedName name="SD_7634x24_23_S_0" localSheetId="4" hidden="1">'ProLink Mapping'!$T$156</definedName>
    <definedName name="SD_7634x24_25_S_0" localSheetId="4" hidden="1">'ProLink Mapping'!$S$156</definedName>
    <definedName name="SD_7634x24_27_S_1" localSheetId="4" hidden="1">'ProLink Mapping'!$N$156</definedName>
    <definedName name="SD_7634x25_11_S_0" localSheetId="4" hidden="1">'ProLink Mapping'!$V$157</definedName>
    <definedName name="SD_7634x25_13_S_1" localSheetId="4" hidden="1">'ProLink Mapping'!$U$157</definedName>
    <definedName name="SD_7634x25_14_S_1" localSheetId="4" hidden="1">'ProLink Mapping'!$M$157</definedName>
    <definedName name="SD_7634x25_15_S_0" localSheetId="4" hidden="1">'ProLink Mapping'!$W$157</definedName>
    <definedName name="SD_7634x25_16_S_0" localSheetId="4" hidden="1">'ProLink Mapping'!$O$157</definedName>
    <definedName name="SD_7634x25_17_S_0" localSheetId="4" hidden="1">'ProLink Mapping'!$Q$157</definedName>
    <definedName name="SD_7634x25_20_S_0" localSheetId="4" hidden="1">'ProLink Mapping'!$P$157</definedName>
    <definedName name="SD_7634x25_21_S_0" localSheetId="4" hidden="1">'ProLink Mapping'!$R$157</definedName>
    <definedName name="SD_7634x25_23_S_0" localSheetId="4" hidden="1">'ProLink Mapping'!$T$157</definedName>
    <definedName name="SD_7634x25_25_S_0" localSheetId="4" hidden="1">'ProLink Mapping'!$S$157</definedName>
    <definedName name="SD_7634x25_27_S_1" localSheetId="4" hidden="1">'ProLink Mapping'!$N$157</definedName>
    <definedName name="SD_7634x26_11_S_0" localSheetId="4" hidden="1">'ProLink Mapping'!$V$158</definedName>
    <definedName name="SD_7634x26_13_S_1" localSheetId="4" hidden="1">'ProLink Mapping'!$U$158</definedName>
    <definedName name="SD_7634x26_14_S_1" localSheetId="4" hidden="1">'ProLink Mapping'!$M$158</definedName>
    <definedName name="SD_7634x26_15_S_0" localSheetId="4" hidden="1">'ProLink Mapping'!$W$158</definedName>
    <definedName name="SD_7634x26_16_S_0" localSheetId="4" hidden="1">'ProLink Mapping'!$O$158</definedName>
    <definedName name="SD_7634x26_17_S_0" localSheetId="4" hidden="1">'ProLink Mapping'!$Q$158</definedName>
    <definedName name="SD_7634x26_20_S_0" localSheetId="4" hidden="1">'ProLink Mapping'!$P$158</definedName>
    <definedName name="SD_7634x26_21_S_0" localSheetId="4" hidden="1">'ProLink Mapping'!$R$158</definedName>
    <definedName name="SD_7634x26_23_S_0" localSheetId="4" hidden="1">'ProLink Mapping'!$T$158</definedName>
    <definedName name="SD_7634x26_25_S_0" localSheetId="4" hidden="1">'ProLink Mapping'!$S$158</definedName>
    <definedName name="SD_7634x26_27_S_1" localSheetId="4" hidden="1">'ProLink Mapping'!$N$158</definedName>
    <definedName name="SD_7634x27_11_S_0" localSheetId="4" hidden="1">'ProLink Mapping'!$V$159</definedName>
    <definedName name="SD_7634x27_13_S_1" localSheetId="4" hidden="1">'ProLink Mapping'!$U$159</definedName>
    <definedName name="SD_7634x27_14_S_1" localSheetId="4" hidden="1">'ProLink Mapping'!$M$159</definedName>
    <definedName name="SD_7634x27_15_S_0" localSheetId="4" hidden="1">'ProLink Mapping'!$W$159</definedName>
    <definedName name="SD_7634x27_16_S_0" localSheetId="4" hidden="1">'ProLink Mapping'!$O$159</definedName>
    <definedName name="SD_7634x27_17_S_0" localSheetId="4" hidden="1">'ProLink Mapping'!$Q$159</definedName>
    <definedName name="SD_7634x27_20_S_0" localSheetId="4" hidden="1">'ProLink Mapping'!$P$159</definedName>
    <definedName name="SD_7634x27_21_S_0" localSheetId="4" hidden="1">'ProLink Mapping'!$R$159</definedName>
    <definedName name="SD_7634x27_23_S_0" localSheetId="4" hidden="1">'ProLink Mapping'!$T$159</definedName>
    <definedName name="SD_7634x27_25_S_0" localSheetId="4" hidden="1">'ProLink Mapping'!$S$159</definedName>
    <definedName name="SD_7634x27_27_S_1" localSheetId="4" hidden="1">'ProLink Mapping'!$N$159</definedName>
    <definedName name="SD_7634x28_11_S_0" localSheetId="4" hidden="1">'ProLink Mapping'!$V$160</definedName>
    <definedName name="SD_7634x28_13_S_1" localSheetId="4" hidden="1">'ProLink Mapping'!$U$160</definedName>
    <definedName name="SD_7634x28_14_S_1" localSheetId="4" hidden="1">'ProLink Mapping'!$M$160</definedName>
    <definedName name="SD_7634x28_15_S_0" localSheetId="4" hidden="1">'ProLink Mapping'!$W$160</definedName>
    <definedName name="SD_7634x28_16_S_0" localSheetId="4" hidden="1">'ProLink Mapping'!$O$160</definedName>
    <definedName name="SD_7634x28_17_S_0" localSheetId="4" hidden="1">'ProLink Mapping'!$Q$160</definedName>
    <definedName name="SD_7634x28_20_S_0" localSheetId="4" hidden="1">'ProLink Mapping'!$P$160</definedName>
    <definedName name="SD_7634x28_21_S_0" localSheetId="4" hidden="1">'ProLink Mapping'!$R$160</definedName>
    <definedName name="SD_7634x28_23_S_0" localSheetId="4" hidden="1">'ProLink Mapping'!$T$160</definedName>
    <definedName name="SD_7634x28_25_S_0" localSheetId="4" hidden="1">'ProLink Mapping'!$S$160</definedName>
    <definedName name="SD_7634x28_27_S_1" localSheetId="4" hidden="1">'ProLink Mapping'!$N$160</definedName>
    <definedName name="SD_7634x29_11_S_0" localSheetId="4" hidden="1">'ProLink Mapping'!$V$161</definedName>
    <definedName name="SD_7634x29_13_S_1" localSheetId="4" hidden="1">'ProLink Mapping'!$U$161</definedName>
    <definedName name="SD_7634x29_14_S_1" localSheetId="4" hidden="1">'ProLink Mapping'!$M$161</definedName>
    <definedName name="SD_7634x29_15_S_0" localSheetId="4" hidden="1">'ProLink Mapping'!$W$161</definedName>
    <definedName name="SD_7634x29_16_S_0" localSheetId="4" hidden="1">'ProLink Mapping'!$O$161</definedName>
    <definedName name="SD_7634x29_17_S_0" localSheetId="4" hidden="1">'ProLink Mapping'!$Q$161</definedName>
    <definedName name="SD_7634x29_20_S_0" localSheetId="4" hidden="1">'ProLink Mapping'!$P$161</definedName>
    <definedName name="SD_7634x29_21_S_0" localSheetId="4" hidden="1">'ProLink Mapping'!$R$161</definedName>
    <definedName name="SD_7634x29_23_S_0" localSheetId="4" hidden="1">'ProLink Mapping'!$T$161</definedName>
    <definedName name="SD_7634x29_25_S_0" localSheetId="4" hidden="1">'ProLink Mapping'!$S$161</definedName>
    <definedName name="SD_7634x29_27_S_1" localSheetId="4" hidden="1">'ProLink Mapping'!$N$161</definedName>
    <definedName name="SD_7634x3_11_S_0" localSheetId="4" hidden="1">'ProLink Mapping'!$V$135</definedName>
    <definedName name="SD_7634x3_13_S_1" localSheetId="4" hidden="1">'ProLink Mapping'!$U$135</definedName>
    <definedName name="SD_7634x3_14_S_1" localSheetId="4" hidden="1">'ProLink Mapping'!$M$135</definedName>
    <definedName name="SD_7634x3_15_S_0" localSheetId="4" hidden="1">'ProLink Mapping'!$W$135</definedName>
    <definedName name="SD_7634x3_16_S_0" localSheetId="4" hidden="1">'ProLink Mapping'!$O$135</definedName>
    <definedName name="SD_7634x3_17_S_0" localSheetId="4" hidden="1">'ProLink Mapping'!$Q$135</definedName>
    <definedName name="SD_7634x3_20_S_0" localSheetId="4" hidden="1">'ProLink Mapping'!$P$135</definedName>
    <definedName name="SD_7634x3_21_S_0" localSheetId="4" hidden="1">'ProLink Mapping'!$R$135</definedName>
    <definedName name="SD_7634x3_23_S_0" localSheetId="4" hidden="1">'ProLink Mapping'!$T$135</definedName>
    <definedName name="SD_7634x3_25_S_0" localSheetId="4" hidden="1">'ProLink Mapping'!$S$135</definedName>
    <definedName name="SD_7634x3_27_S_1" localSheetId="4" hidden="1">'ProLink Mapping'!$N$135</definedName>
    <definedName name="SD_7634x30_11_S_0" localSheetId="4" hidden="1">'ProLink Mapping'!$V$162</definedName>
    <definedName name="SD_7634x30_13_S_1" localSheetId="4" hidden="1">'ProLink Mapping'!$U$162</definedName>
    <definedName name="SD_7634x30_14_S_1" localSheetId="4" hidden="1">'ProLink Mapping'!$M$162</definedName>
    <definedName name="SD_7634x30_15_S_0" localSheetId="4" hidden="1">'ProLink Mapping'!$W$162</definedName>
    <definedName name="SD_7634x30_16_S_0" localSheetId="4" hidden="1">'ProLink Mapping'!$O$162</definedName>
    <definedName name="SD_7634x30_17_S_0" localSheetId="4" hidden="1">'ProLink Mapping'!$Q$162</definedName>
    <definedName name="SD_7634x30_20_S_0" localSheetId="4" hidden="1">'ProLink Mapping'!$P$162</definedName>
    <definedName name="SD_7634x30_21_S_0" localSheetId="4" hidden="1">'ProLink Mapping'!$R$162</definedName>
    <definedName name="SD_7634x30_23_S_0" localSheetId="4" hidden="1">'ProLink Mapping'!$T$162</definedName>
    <definedName name="SD_7634x30_25_S_0" localSheetId="4" hidden="1">'ProLink Mapping'!$S$162</definedName>
    <definedName name="SD_7634x30_27_S_1" localSheetId="4" hidden="1">'ProLink Mapping'!$N$162</definedName>
    <definedName name="SD_7634x4_11_S_0" localSheetId="4" hidden="1">'ProLink Mapping'!$V$136</definedName>
    <definedName name="SD_7634x4_13_S_1" localSheetId="4" hidden="1">'ProLink Mapping'!$U$136</definedName>
    <definedName name="SD_7634x4_14_S_1" localSheetId="4" hidden="1">'ProLink Mapping'!$M$136</definedName>
    <definedName name="SD_7634x4_15_S_0" localSheetId="4" hidden="1">'ProLink Mapping'!$W$136</definedName>
    <definedName name="SD_7634x4_16_S_0" localSheetId="4" hidden="1">'ProLink Mapping'!$O$136</definedName>
    <definedName name="SD_7634x4_17_S_0" localSheetId="4" hidden="1">'ProLink Mapping'!$Q$136</definedName>
    <definedName name="SD_7634x4_20_S_0" localSheetId="4" hidden="1">'ProLink Mapping'!$P$136</definedName>
    <definedName name="SD_7634x4_21_S_0" localSheetId="4" hidden="1">'ProLink Mapping'!$R$136</definedName>
    <definedName name="SD_7634x4_23_S_0" localSheetId="4" hidden="1">'ProLink Mapping'!$T$136</definedName>
    <definedName name="SD_7634x4_25_S_0" localSheetId="4" hidden="1">'ProLink Mapping'!$S$136</definedName>
    <definedName name="SD_7634x4_27_S_1" localSheetId="4" hidden="1">'ProLink Mapping'!$N$136</definedName>
    <definedName name="SD_7634x5_11_S_0" localSheetId="4" hidden="1">'ProLink Mapping'!$V$137</definedName>
    <definedName name="SD_7634x5_13_S_1" localSheetId="4" hidden="1">'ProLink Mapping'!$U$137</definedName>
    <definedName name="SD_7634x5_14_S_1" localSheetId="4" hidden="1">'ProLink Mapping'!$M$137</definedName>
    <definedName name="SD_7634x5_15_S_0" localSheetId="4" hidden="1">'ProLink Mapping'!$W$137</definedName>
    <definedName name="SD_7634x5_16_S_0" localSheetId="4" hidden="1">'ProLink Mapping'!$O$137</definedName>
    <definedName name="SD_7634x5_17_S_0" localSheetId="4" hidden="1">'ProLink Mapping'!$Q$137</definedName>
    <definedName name="SD_7634x5_20_S_0" localSheetId="4" hidden="1">'ProLink Mapping'!$P$137</definedName>
    <definedName name="SD_7634x5_21_S_0" localSheetId="4" hidden="1">'ProLink Mapping'!$R$137</definedName>
    <definedName name="SD_7634x5_23_S_0" localSheetId="4" hidden="1">'ProLink Mapping'!$T$137</definedName>
    <definedName name="SD_7634x5_25_S_0" localSheetId="4" hidden="1">'ProLink Mapping'!$S$137</definedName>
    <definedName name="SD_7634x5_27_S_1" localSheetId="4" hidden="1">'ProLink Mapping'!$N$137</definedName>
    <definedName name="SD_7634x6_11_S_0" localSheetId="4" hidden="1">'ProLink Mapping'!$V$138</definedName>
    <definedName name="SD_7634x6_13_S_1" localSheetId="4" hidden="1">'ProLink Mapping'!$U$138</definedName>
    <definedName name="SD_7634x6_14_S_1" localSheetId="4" hidden="1">'ProLink Mapping'!$M$138</definedName>
    <definedName name="SD_7634x6_15_S_0" localSheetId="4" hidden="1">'ProLink Mapping'!$W$138</definedName>
    <definedName name="SD_7634x6_16_S_0" localSheetId="4" hidden="1">'ProLink Mapping'!$O$138</definedName>
    <definedName name="SD_7634x6_17_S_0" localSheetId="4" hidden="1">'ProLink Mapping'!$Q$138</definedName>
    <definedName name="SD_7634x6_20_S_0" localSheetId="4" hidden="1">'ProLink Mapping'!$P$138</definedName>
    <definedName name="SD_7634x6_21_S_0" localSheetId="4" hidden="1">'ProLink Mapping'!$R$138</definedName>
    <definedName name="SD_7634x6_23_S_0" localSheetId="4" hidden="1">'ProLink Mapping'!$T$138</definedName>
    <definedName name="SD_7634x6_25_S_0" localSheetId="4" hidden="1">'ProLink Mapping'!$S$138</definedName>
    <definedName name="SD_7634x6_27_S_1" localSheetId="4" hidden="1">'ProLink Mapping'!$N$138</definedName>
    <definedName name="SD_7634x7_11_S_0" localSheetId="4" hidden="1">'ProLink Mapping'!$V$139</definedName>
    <definedName name="SD_7634x7_13_S_1" localSheetId="4" hidden="1">'ProLink Mapping'!$U$139</definedName>
    <definedName name="SD_7634x7_14_S_1" localSheetId="4" hidden="1">'ProLink Mapping'!$M$139</definedName>
    <definedName name="SD_7634x7_15_S_0" localSheetId="4" hidden="1">'ProLink Mapping'!$W$139</definedName>
    <definedName name="SD_7634x7_16_S_0" localSheetId="4" hidden="1">'ProLink Mapping'!$O$139</definedName>
    <definedName name="SD_7634x7_17_S_0" localSheetId="4" hidden="1">'ProLink Mapping'!$Q$139</definedName>
    <definedName name="SD_7634x7_20_S_0" localSheetId="4" hidden="1">'ProLink Mapping'!$P$139</definedName>
    <definedName name="SD_7634x7_21_S_0" localSheetId="4" hidden="1">'ProLink Mapping'!$R$139</definedName>
    <definedName name="SD_7634x7_23_S_0" localSheetId="4" hidden="1">'ProLink Mapping'!$T$139</definedName>
    <definedName name="SD_7634x7_25_S_0" localSheetId="4" hidden="1">'ProLink Mapping'!$S$139</definedName>
    <definedName name="SD_7634x7_27_S_1" localSheetId="4" hidden="1">'ProLink Mapping'!$N$139</definedName>
    <definedName name="SD_7634x8_11_S_0" localSheetId="4" hidden="1">'ProLink Mapping'!$V$140</definedName>
    <definedName name="SD_7634x8_13_S_1" localSheetId="4" hidden="1">'ProLink Mapping'!$U$140</definedName>
    <definedName name="SD_7634x8_14_S_1" localSheetId="4" hidden="1">'ProLink Mapping'!$M$140</definedName>
    <definedName name="SD_7634x8_15_S_0" localSheetId="4" hidden="1">'ProLink Mapping'!$W$140</definedName>
    <definedName name="SD_7634x8_16_S_0" localSheetId="4" hidden="1">'ProLink Mapping'!$O$140</definedName>
    <definedName name="SD_7634x8_17_S_0" localSheetId="4" hidden="1">'ProLink Mapping'!$Q$140</definedName>
    <definedName name="SD_7634x8_20_S_0" localSheetId="4" hidden="1">'ProLink Mapping'!$P$140</definedName>
    <definedName name="SD_7634x8_21_S_0" localSheetId="4" hidden="1">'ProLink Mapping'!$R$140</definedName>
    <definedName name="SD_7634x8_23_S_0" localSheetId="4" hidden="1">'ProLink Mapping'!$T$140</definedName>
    <definedName name="SD_7634x8_25_S_0" localSheetId="4" hidden="1">'ProLink Mapping'!$S$140</definedName>
    <definedName name="SD_7634x8_27_S_1" localSheetId="4" hidden="1">'ProLink Mapping'!$N$140</definedName>
    <definedName name="SD_7634x9_11_S_0" localSheetId="4" hidden="1">'ProLink Mapping'!$V$141</definedName>
    <definedName name="SD_7634x9_13_S_1" localSheetId="4" hidden="1">'ProLink Mapping'!$U$141</definedName>
    <definedName name="SD_7634x9_14_S_1" localSheetId="4" hidden="1">'ProLink Mapping'!$M$141</definedName>
    <definedName name="SD_7634x9_15_S_0" localSheetId="4" hidden="1">'ProLink Mapping'!$W$141</definedName>
    <definedName name="SD_7634x9_16_S_0" localSheetId="4" hidden="1">'ProLink Mapping'!$O$141</definedName>
    <definedName name="SD_7634x9_17_S_0" localSheetId="4" hidden="1">'ProLink Mapping'!$Q$141</definedName>
    <definedName name="SD_7634x9_20_S_0" localSheetId="4" hidden="1">'ProLink Mapping'!$P$141</definedName>
    <definedName name="SD_7634x9_21_S_0" localSheetId="4" hidden="1">'ProLink Mapping'!$R$141</definedName>
    <definedName name="SD_7634x9_23_S_0" localSheetId="4" hidden="1">'ProLink Mapping'!$T$141</definedName>
    <definedName name="SD_7634x9_25_S_0" localSheetId="4" hidden="1">'ProLink Mapping'!$S$141</definedName>
    <definedName name="SD_7634x9_27_S_1" localSheetId="4" hidden="1">'ProLink Mapping'!$N$141</definedName>
    <definedName name="SD_97_G_0" localSheetId="7" hidden="1">ProLink!$F$6</definedName>
    <definedName name="SD_D_Blank" hidden="1">SD_Dropdowns!$A$1</definedName>
    <definedName name="SD_D_PL_ActivityStatus" hidden="1">SD_Dropdowns!$CS$2:$CT$12</definedName>
    <definedName name="SD_D_PL_ActivityStatus_Name" hidden="1">SD_Dropdowns!$CS$2:$CS$12</definedName>
    <definedName name="SD_D_PL_ActivityStatus_Value" hidden="1">SD_Dropdowns!$CT$2:$CT$12</definedName>
    <definedName name="SD_D_PL_AirConditioningType" hidden="1">SD_Dropdowns!$AU$2:$AV$7</definedName>
    <definedName name="SD_D_PL_AirConditioningType_Name" hidden="1">SD_Dropdowns!$AU$2:$AU$7</definedName>
    <definedName name="SD_D_PL_AirConditioningType_Value" hidden="1">SD_Dropdowns!$AV$2:$AV$7</definedName>
    <definedName name="SD_D_PL_AssetClass" hidden="1">SD_Dropdowns!$CQ$2:$CR$14</definedName>
    <definedName name="SD_D_PL_AssetClass_Name" hidden="1">SD_Dropdowns!$CQ$2:$CQ$14</definedName>
    <definedName name="SD_D_PL_AssetClass_Value" hidden="1">SD_Dropdowns!$CR$2:$CR$14</definedName>
    <definedName name="SD_D_PL_BldgAllocType" hidden="1">SD_Dropdowns!$K$2:$L$9</definedName>
    <definedName name="SD_D_PL_BldgAllocType_Name" hidden="1">SD_Dropdowns!$K$2:$K$9</definedName>
    <definedName name="SD_D_PL_BldgAllocType_Value" hidden="1">SD_Dropdowns!$L$2:$L$9</definedName>
    <definedName name="SD_D_PL_BuildingType" hidden="1">SD_Dropdowns!$BA$2:$BB$8</definedName>
    <definedName name="SD_D_PL_BuildingType_Name" hidden="1">SD_Dropdowns!$BA$2:$BA$8</definedName>
    <definedName name="SD_D_PL_BuildingType_Value" hidden="1">SD_Dropdowns!$BB$2:$BB$8</definedName>
    <definedName name="SD_D_PL_CarryOverAllocationIs" hidden="1">SD_Dropdowns!$AQ$2:$AR$4</definedName>
    <definedName name="SD_D_PL_CarryOverAllocationIs_Name" hidden="1">SD_Dropdowns!$AQ$2:$AQ$4</definedName>
    <definedName name="SD_D_PL_CarryOverAllocationIs_Value" hidden="1">SD_Dropdowns!$AR$2:$AR$4</definedName>
    <definedName name="SD_D_PL_CookingType" hidden="1">SD_Dropdowns!$AY$2:$AZ$6</definedName>
    <definedName name="SD_D_PL_CookingType_Name" hidden="1">SD_Dropdowns!$AY$2:$AY$6</definedName>
    <definedName name="SD_D_PL_CookingType_Value" hidden="1">SD_Dropdowns!$AZ$2:$AZ$6</definedName>
    <definedName name="SD_D_PL_DealEntityRole" hidden="1">SD_Dropdowns!$BS$2:$BT$22</definedName>
    <definedName name="SD_D_PL_DealEntityRole_Name" hidden="1">SD_Dropdowns!$BS$2:$BS$22</definedName>
    <definedName name="SD_D_PL_DealEntityRole_Value" hidden="1">SD_Dropdowns!$BT$2:$BT$22</definedName>
    <definedName name="SD_D_PL_EntityCompanyOrIndividual" hidden="1">SD_Dropdowns!$BQ$2:$BR$4</definedName>
    <definedName name="SD_D_PL_EntityCompanyOrIndividual_Name" hidden="1">SD_Dropdowns!$BQ$2:$BQ$4</definedName>
    <definedName name="SD_D_PL_EntityCompanyOrIndividual_Value" hidden="1">SD_Dropdowns!$BR$2:$BR$4</definedName>
    <definedName name="SD_D_PL_ExtendedUseAgreement" hidden="1">SD_Dropdowns!$I$2:$J$16</definedName>
    <definedName name="SD_D_PL_ExtendedUseAgreement_Name" hidden="1">SD_Dropdowns!$I$2:$I$16</definedName>
    <definedName name="SD_D_PL_ExtendedUseAgreement_Value" hidden="1">SD_Dropdowns!$J$2:$J$16</definedName>
    <definedName name="SD_D_PL_FinancingType" hidden="1">SD_Dropdowns!$AO$2:$AP$5</definedName>
    <definedName name="SD_D_PL_FinancingType_Name" hidden="1">SD_Dropdowns!$AO$2:$AO$5</definedName>
    <definedName name="SD_D_PL_FinancingType_Value" hidden="1">SD_Dropdowns!$AP$2:$AP$5</definedName>
    <definedName name="SD_D_PL_HeatingType" hidden="1">SD_Dropdowns!$AS$2:$AT$10</definedName>
    <definedName name="SD_D_PL_HeatingType_Name" hidden="1">SD_Dropdowns!$AS$2:$AS$10</definedName>
    <definedName name="SD_D_PL_HeatingType_Value" hidden="1">SD_Dropdowns!$AT$2:$AT$10</definedName>
    <definedName name="SD_D_PL_HotWaterType" hidden="1">SD_Dropdowns!$AW$2:$AX$6</definedName>
    <definedName name="SD_D_PL_HotWaterType_Name" hidden="1">SD_Dropdowns!$AW$2:$AW$6</definedName>
    <definedName name="SD_D_PL_HotWaterType_Value" hidden="1">SD_Dropdowns!$AX$2:$AX$6</definedName>
    <definedName name="SD_D_PL_IncomeTarget" hidden="1">SD_Dropdowns!$BC$2:$BD$9</definedName>
    <definedName name="SD_D_PL_IncomeTarget_Name" hidden="1">SD_Dropdowns!$BC$2:$BC$9</definedName>
    <definedName name="SD_D_PL_IncomeTarget_Value" hidden="1">SD_Dropdowns!$BD$2:$BD$9</definedName>
    <definedName name="SD_D_PL_Jurisdiction" hidden="1">SD_Dropdowns!$E$2:$F$74</definedName>
    <definedName name="SD_D_PL_Jurisdiction_Name" hidden="1">SD_Dropdowns!$E$2:$E$74</definedName>
    <definedName name="SD_D_PL_Jurisdiction_Value" hidden="1">SD_Dropdowns!$F$2:$F$74</definedName>
    <definedName name="SD_D_PL_LoanProductType" hidden="1">SD_Dropdowns!$BI$2:$BJ$14</definedName>
    <definedName name="SD_D_PL_LoanProductType_Name" hidden="1">SD_Dropdowns!$BI$2:$BI$14</definedName>
    <definedName name="SD_D_PL_LoanProductType_Value" hidden="1">SD_Dropdowns!$BJ$2:$BJ$14</definedName>
    <definedName name="SD_D_PL_PopulationSubType" hidden="1">SD_Dropdowns!$BE$2:$BF$22</definedName>
    <definedName name="SD_D_PL_PopulationSubType_Name" hidden="1">SD_Dropdowns!$BE$2:$BE$22</definedName>
    <definedName name="SD_D_PL_PopulationSubType_Value" hidden="1">SD_Dropdowns!$BF$2:$BF$22</definedName>
    <definedName name="SD_D_PL_PopulationType" hidden="1">SD_Dropdowns!$BC$2:$BD$6</definedName>
    <definedName name="SD_D_PL_PopulationType_Name" hidden="1">SD_Dropdowns!$BC$2:$BC$6</definedName>
    <definedName name="SD_D_PL_PopulationType_Value" hidden="1">SD_Dropdowns!$BD$2:$BD$6</definedName>
    <definedName name="SD_D_PL_ProgramType" hidden="1">SD_Dropdowns!$BG$2:$BH$10</definedName>
    <definedName name="SD_D_PL_ProgramType_Name" hidden="1">SD_Dropdowns!$BG$2:$BG$10</definedName>
    <definedName name="SD_D_PL_ProgramType_Value" hidden="1">SD_Dropdowns!$BH$2:$BH$10</definedName>
    <definedName name="SD_D_PL_Purpose" hidden="1">SD_Dropdowns!$CY$2:$CZ$15</definedName>
    <definedName name="SD_D_PL_Purpose_Name" hidden="1">SD_Dropdowns!$CY$2:$CY$15</definedName>
    <definedName name="SD_D_PL_Purpose_Value" hidden="1">SD_Dropdowns!$CZ$2:$CZ$15</definedName>
    <definedName name="SD_D_PL_ResidentialApartmentType" hidden="1">SD_Dropdowns!$BM$2:$BN$9</definedName>
    <definedName name="SD_D_PL_ResidentialApartmentType_Name" hidden="1">SD_Dropdowns!$BM$2:$BM$9</definedName>
    <definedName name="SD_D_PL_ResidentialApartmentType_Value" hidden="1">SD_Dropdowns!$BN$2:$BN$9</definedName>
    <definedName name="SD_D_PL_SourceType" hidden="1">SD_Dropdowns!$DA$2:$DB$5</definedName>
    <definedName name="SD_D_PL_SourceType_Name" hidden="1">SD_Dropdowns!$DA$2:$DA$5</definedName>
    <definedName name="SD_D_PL_SourceType_Value" hidden="1">SD_Dropdowns!$DB$2:$DB$5</definedName>
    <definedName name="SD_D_PL_State" hidden="1">SD_Dropdowns!$C$2:$D$53</definedName>
    <definedName name="SD_D_PL_State_Name" hidden="1">SD_Dropdowns!$C$2:$C$53</definedName>
    <definedName name="SD_D_PL_State_Value" hidden="1">SD_Dropdowns!$D$2:$D$53</definedName>
    <definedName name="SD_D_PL_TargetType" hidden="1">SD_Dropdowns!$G$2:$H$9</definedName>
    <definedName name="SD_D_PL_TargetType_Name" hidden="1">SD_Dropdowns!$G$2:$G$9</definedName>
    <definedName name="SD_D_PL_TargetType_Value" hidden="1">SD_Dropdowns!$H$2:$H$9</definedName>
    <definedName name="SD_D_PL_TCUnitMixType" hidden="1">SD_Dropdowns!$BE$2:$BF$8</definedName>
    <definedName name="SD_D_PL_TCUnitMixType_Name" hidden="1">SD_Dropdowns!$BE$2:$BE$8</definedName>
    <definedName name="SD_D_PL_TCUnitMixType_Value" hidden="1">SD_Dropdowns!$BF$2:$BF$8</definedName>
    <definedName name="SD_D_PL_TCUnitType" hidden="1">SD_Dropdowns!$M$2:$N$8</definedName>
    <definedName name="SD_D_PL_TCUnitType_Name" hidden="1">SD_Dropdowns!$M$2:$M$8</definedName>
    <definedName name="SD_D_PL_TCUnitType_Value" hidden="1">SD_Dropdowns!$N$2:$N$8</definedName>
    <definedName name="SD_D_PL_TypeofAllocationRequested" hidden="1">SD_Dropdowns!$CW$2:$CX$4</definedName>
    <definedName name="SD_D_PL_TypeofAllocationRequested_Name" hidden="1">SD_Dropdowns!$CW$2:$CW$4</definedName>
    <definedName name="SD_D_PL_TypeofAllocationRequested_Value" hidden="1">SD_Dropdowns!$CX$2:$CX$4</definedName>
    <definedName name="SD_D_PL_UDF_112" hidden="1">SD_Dropdowns!$O$2:$P$4</definedName>
    <definedName name="SD_D_PL_UDF_112_Name" hidden="1">SD_Dropdowns!$O$2:$O$4</definedName>
    <definedName name="SD_D_PL_UDF_112_Value" hidden="1">SD_Dropdowns!$P$2:$P$4</definedName>
    <definedName name="SD_D_PL_UDF_113" hidden="1">SD_Dropdowns!$Q$2:$R$4</definedName>
    <definedName name="SD_D_PL_UDF_113_Name" hidden="1">SD_Dropdowns!$Q$2:$Q$4</definedName>
    <definedName name="SD_D_PL_UDF_113_Value" hidden="1">SD_Dropdowns!$R$2:$R$4</definedName>
    <definedName name="SD_D_PL_UDF_114" hidden="1">SD_Dropdowns!$BU$2:$BV$4</definedName>
    <definedName name="SD_D_PL_UDF_114_Name" hidden="1">SD_Dropdowns!$BU$2:$BU$4</definedName>
    <definedName name="SD_D_PL_UDF_114_Value" hidden="1">SD_Dropdowns!$BV$2:$BV$4</definedName>
    <definedName name="SD_D_PL_UDF_123" hidden="1">SD_Dropdowns!$BW$2:$BX$4</definedName>
    <definedName name="SD_D_PL_UDF_123_Name" hidden="1">SD_Dropdowns!$BW$2:$BW$4</definedName>
    <definedName name="SD_D_PL_UDF_123_Value" hidden="1">SD_Dropdowns!$BX$2:$BX$4</definedName>
    <definedName name="SD_D_PL_UDF_125" hidden="1">SD_Dropdowns!$BY$2:$BZ$10</definedName>
    <definedName name="SD_D_PL_UDF_125_Name" hidden="1">SD_Dropdowns!$BY$2:$BY$10</definedName>
    <definedName name="SD_D_PL_UDF_125_Value" hidden="1">SD_Dropdowns!$BZ$2:$BZ$10</definedName>
    <definedName name="SD_D_PL_UDF_126" hidden="1">SD_Dropdowns!$CA$2:$CB$5</definedName>
    <definedName name="SD_D_PL_UDF_126_Name" hidden="1">SD_Dropdowns!$CA$2:$CA$5</definedName>
    <definedName name="SD_D_PL_UDF_126_Value" hidden="1">SD_Dropdowns!$CB$2:$CB$5</definedName>
    <definedName name="SD_D_PL_UDF_128" hidden="1">SD_Dropdowns!$CC$2:$CD$4</definedName>
    <definedName name="SD_D_PL_UDF_128_Name" hidden="1">SD_Dropdowns!$CC$2:$CC$4</definedName>
    <definedName name="SD_D_PL_UDF_128_Value" hidden="1">SD_Dropdowns!$CD$2:$CD$4</definedName>
    <definedName name="SD_D_PL_UDF_131" hidden="1">SD_Dropdowns!$CE$2:$CF$4</definedName>
    <definedName name="SD_D_PL_UDF_131_Name" hidden="1">SD_Dropdowns!$CE$2:$CE$4</definedName>
    <definedName name="SD_D_PL_UDF_131_Value" hidden="1">SD_Dropdowns!$CF$2:$CF$4</definedName>
    <definedName name="SD_D_PL_UDF_132" hidden="1">SD_Dropdowns!$CG$2:$CH$4</definedName>
    <definedName name="SD_D_PL_UDF_132_Name" hidden="1">SD_Dropdowns!$CG$2:$CG$4</definedName>
    <definedName name="SD_D_PL_UDF_132_Value" hidden="1">SD_Dropdowns!$CH$2:$CH$4</definedName>
    <definedName name="SD_D_PL_UDF_133" hidden="1">SD_Dropdowns!$CI$2:$CJ$4</definedName>
    <definedName name="SD_D_PL_UDF_133_Name" hidden="1">SD_Dropdowns!$CI$2:$CI$4</definedName>
    <definedName name="SD_D_PL_UDF_133_Value" hidden="1">SD_Dropdowns!$CJ$2:$CJ$4</definedName>
    <definedName name="SD_D_PL_UDF_134" hidden="1">SD_Dropdowns!$CK$2:$CL$4</definedName>
    <definedName name="SD_D_PL_UDF_134_Name" hidden="1">SD_Dropdowns!$CK$2:$CK$4</definedName>
    <definedName name="SD_D_PL_UDF_134_Value" hidden="1">SD_Dropdowns!$CL$2:$CL$4</definedName>
    <definedName name="SD_D_PL_UDF_135" hidden="1">SD_Dropdowns!$CM$2:$CN$4</definedName>
    <definedName name="SD_D_PL_UDF_135_Name" hidden="1">SD_Dropdowns!$CM$2:$CM$4</definedName>
    <definedName name="SD_D_PL_UDF_135_Value" hidden="1">SD_Dropdowns!$CN$2:$CN$4</definedName>
    <definedName name="SD_D_PL_UDF_136" hidden="1">SD_Dropdowns!$CO$2:$CP$4</definedName>
    <definedName name="SD_D_PL_UDF_136_Name" hidden="1">SD_Dropdowns!$CO$2:$CO$4</definedName>
    <definedName name="SD_D_PL_UDF_136_Value" hidden="1">SD_Dropdowns!$CP$2:$CP$4</definedName>
    <definedName name="SD_D_PL_UDF_137" hidden="1">SD_Dropdowns!$CQ$2:$CR$4</definedName>
    <definedName name="SD_D_PL_UDF_137_Name" hidden="1">SD_Dropdowns!$CQ$2:$CQ$4</definedName>
    <definedName name="SD_D_PL_UDF_137_Value" hidden="1">SD_Dropdowns!$CR$2:$CR$4</definedName>
    <definedName name="SD_D_PL_UDF_138" hidden="1">SD_Dropdowns!$CS$2:$CT$4</definedName>
    <definedName name="SD_D_PL_UDF_138_Name" hidden="1">SD_Dropdowns!$CS$2:$CS$4</definedName>
    <definedName name="SD_D_PL_UDF_138_Value" hidden="1">SD_Dropdowns!$CT$2:$CT$4</definedName>
    <definedName name="SD_D_PL_UDF_140" hidden="1">SD_Dropdowns!$S$2:$T$4</definedName>
    <definedName name="SD_D_PL_UDF_140_Name" hidden="1">SD_Dropdowns!$S$2:$S$4</definedName>
    <definedName name="SD_D_PL_UDF_140_Value" hidden="1">SD_Dropdowns!$T$2:$T$4</definedName>
    <definedName name="SD_D_PL_UDF_141" hidden="1">SD_Dropdowns!$U$2:$V$4</definedName>
    <definedName name="SD_D_PL_UDF_141_Name" hidden="1">SD_Dropdowns!$U$2:$U$4</definedName>
    <definedName name="SD_D_PL_UDF_141_Value" hidden="1">SD_Dropdowns!$V$2:$V$4</definedName>
    <definedName name="SD_D_PL_UDF_142" hidden="1">SD_Dropdowns!$W$2:$X$4</definedName>
    <definedName name="SD_D_PL_UDF_142_Name" hidden="1">SD_Dropdowns!$W$2:$W$4</definedName>
    <definedName name="SD_D_PL_UDF_142_Value" hidden="1">SD_Dropdowns!$X$2:$X$4</definedName>
    <definedName name="SD_D_PL_UDF_143" hidden="1">SD_Dropdowns!$Y$2:$Z$4</definedName>
    <definedName name="SD_D_PL_UDF_143_Name" hidden="1">SD_Dropdowns!$Y$2:$Y$4</definedName>
    <definedName name="SD_D_PL_UDF_143_Value" hidden="1">SD_Dropdowns!$Z$2:$Z$4</definedName>
    <definedName name="SD_D_PL_UDF_144" hidden="1">SD_Dropdowns!$AA$2:$AB$4</definedName>
    <definedName name="SD_D_PL_UDF_144_Name" hidden="1">SD_Dropdowns!$AA$2:$AA$4</definedName>
    <definedName name="SD_D_PL_UDF_144_Value" hidden="1">SD_Dropdowns!$AB$2:$AB$4</definedName>
    <definedName name="SD_D_PL_UDF_168" hidden="1">SD_Dropdowns!$AC$2:$AD$4</definedName>
    <definedName name="SD_D_PL_UDF_168_Name" hidden="1">SD_Dropdowns!$AC$2:$AC$4</definedName>
    <definedName name="SD_D_PL_UDF_168_Value" hidden="1">SD_Dropdowns!$AD$2:$AD$4</definedName>
    <definedName name="SD_D_PL_UDF_169" hidden="1">SD_Dropdowns!$AE$2:$AF$4</definedName>
    <definedName name="SD_D_PL_UDF_169_Name" hidden="1">SD_Dropdowns!$AE$2:$AE$4</definedName>
    <definedName name="SD_D_PL_UDF_169_Value" hidden="1">SD_Dropdowns!$AF$2:$AF$4</definedName>
    <definedName name="SD_D_PL_UDF_170" hidden="1">SD_Dropdowns!$AG$2:$AH$4</definedName>
    <definedName name="SD_D_PL_UDF_170_Name" hidden="1">SD_Dropdowns!$AG$2:$AG$4</definedName>
    <definedName name="SD_D_PL_UDF_170_Value" hidden="1">SD_Dropdowns!$AH$2:$AH$4</definedName>
    <definedName name="SD_D_PL_UDF_171" hidden="1">SD_Dropdowns!$AI$2:$AJ$4</definedName>
    <definedName name="SD_D_PL_UDF_171_Name" hidden="1">SD_Dropdowns!$AI$2:$AI$4</definedName>
    <definedName name="SD_D_PL_UDF_171_Value" hidden="1">SD_Dropdowns!$AJ$2:$AJ$4</definedName>
    <definedName name="SD_D_PL_UDF_172" hidden="1">SD_Dropdowns!$AK$2:$AL$4</definedName>
    <definedName name="SD_D_PL_UDF_172_Name" hidden="1">SD_Dropdowns!$AK$2:$AK$4</definedName>
    <definedName name="SD_D_PL_UDF_172_Value" hidden="1">SD_Dropdowns!$AL$2:$AL$4</definedName>
    <definedName name="SD_D_PL_UDF_173" hidden="1">SD_Dropdowns!$AM$2:$AN$4</definedName>
    <definedName name="SD_D_PL_UDF_173_Name" hidden="1">SD_Dropdowns!$AM$2:$AM$4</definedName>
    <definedName name="SD_D_PL_UDF_173_Value" hidden="1">SD_Dropdowns!$AN$2:$AN$4</definedName>
    <definedName name="SD_D_PL_UDF_181" hidden="1">SD_Dropdowns!$CU$2:$CV$4</definedName>
    <definedName name="SD_D_PL_UDF_181_Name" hidden="1">SD_Dropdowns!$CU$2:$CU$4</definedName>
    <definedName name="SD_D_PL_UDF_181_Value" hidden="1">SD_Dropdowns!$CV$2:$CV$4</definedName>
    <definedName name="SD_D_PL_UDF_182" hidden="1">SD_Dropdowns!$CW$2:$CX$4</definedName>
    <definedName name="SD_D_PL_UDF_182_Name" hidden="1">SD_Dropdowns!$CW$2:$CW$4</definedName>
    <definedName name="SD_D_PL_UDF_182_Value" hidden="1">SD_Dropdowns!$CX$2:$CX$4</definedName>
    <definedName name="SD_D_PL_UDF_183" hidden="1">SD_Dropdowns!$CY$2:$CZ$4</definedName>
    <definedName name="SD_D_PL_UDF_183_Name" hidden="1">SD_Dropdowns!$CY$2:$CY$4</definedName>
    <definedName name="SD_D_PL_UDF_183_Value" hidden="1">SD_Dropdowns!$CZ$2:$CZ$4</definedName>
    <definedName name="SD_D_PL_UnitMixAmiPercent" hidden="1">SD_Dropdowns!$BO$2:$BP$11</definedName>
    <definedName name="SD_D_PL_UnitMixAmiPercent_Name" hidden="1">SD_Dropdowns!$BO$2:$BO$11</definedName>
    <definedName name="SD_D_PL_UnitMixAmiPercent_Value" hidden="1">SD_Dropdowns!$BP$2:$BP$11</definedName>
    <definedName name="SD_D_PL_UnitType" hidden="1">SD_Dropdowns!$BK$2:$BL$8</definedName>
    <definedName name="SD_D_PL_UnitType_Name" hidden="1">SD_Dropdowns!$BK$2:$BK$8</definedName>
    <definedName name="SD_D_PL_UnitType_Value" hidden="1">SD_Dropdowns!$BL$2:$BL$8</definedName>
    <definedName name="Section_221_d__3__BMIR">'4. Project Description'!$D$19</definedName>
    <definedName name="Section_221_d__3__BMIR_Number_of_Units">'4. Project Description'!$F$19</definedName>
    <definedName name="Section_236">'4. Project Description'!$D$20</definedName>
    <definedName name="Section_236_Number_of_Units">'4. Project Description'!$F$20</definedName>
    <definedName name="Section_8_Housing_Assistance_Payment_Contract">'4. Project Description'!$D$22</definedName>
    <definedName name="Section_8_Housing_Assistance_Payment_Contract_Number_of_Units">'4. Project Description'!$F$22</definedName>
    <definedName name="Section_8_Rent_Supplemental_or_Rental_Assistance_Payment">'4. Project Description'!$D$21</definedName>
    <definedName name="Section_8_Rent_Supplemental_or_Rental_Assistance_Payment_Number_of_Units">'4. Project Description'!$F$21</definedName>
    <definedName name="Section_811_Vouchers_Number_of_Units">'4. Project Description'!$F$24</definedName>
    <definedName name="Security_Locked_Building">'10. Project and Unit Amenities'!$D$36</definedName>
    <definedName name="Security_Payroll___Contract__incl_taxes_and_benefits">'16. Projected Operating Costs'!$D$43</definedName>
    <definedName name="Security_Rent_Free_Unit">'16. Projected Operating Costs'!$D$44</definedName>
    <definedName name="Self_Scoring">'Self Scoring Checklist'!$B$4</definedName>
    <definedName name="Serve_Low_Income_Ponts">'20. Instructions Scoring Sum'!$G$30</definedName>
    <definedName name="Serves_Large_Families">'22. Tenants Served Score'!$B$11</definedName>
    <definedName name="Serves_Large_Family_Points">'20. Instructions Scoring Sum'!$G$29</definedName>
    <definedName name="Serves_Lowest_Income_Residents">'22. Tenants Served Score'!$B$44</definedName>
    <definedName name="Set_Aside">'4. Project Description'!$D$53</definedName>
    <definedName name="SetAside" localSheetId="27">'Dropdown Lists'!$F$2:$F$4</definedName>
    <definedName name="SetAside" localSheetId="28">'Dropdown Lists'!$F$2:$F$4</definedName>
    <definedName name="SetAside" localSheetId="29">'Dropdown Lists'!$F$2:$F$4</definedName>
    <definedName name="SetAside" localSheetId="30">'Dropdown Lists'!$F$2:$F$4</definedName>
    <definedName name="SetAside">'Dropdown Lists'!$F$2:$F$4</definedName>
    <definedName name="Sewer">'16. Projected Operating Costs'!$D$34</definedName>
    <definedName name="Single_Room_Occupancy">'4. Project Description'!$D$40</definedName>
    <definedName name="Single_Room_Occupancy_Number_of_Units">'4. Project Description'!$F$40</definedName>
    <definedName name="Site_Contol">'7. Site Control'!$B$4</definedName>
    <definedName name="Site_Description">'6. Site Description'!$B$4</definedName>
    <definedName name="Snow_Removal">'16. Projected Operating Costs'!$D$46</definedName>
    <definedName name="Source_1">'12. Funding Sources'!$C$11</definedName>
    <definedName name="Source_10">'12. Funding Sources'!$C$20</definedName>
    <definedName name="Source_11">'12. Funding Sources'!$C$21</definedName>
    <definedName name="Source_12">'12. Funding Sources'!$C$22</definedName>
    <definedName name="Source_13">'12. Funding Sources'!$C$23</definedName>
    <definedName name="Source_2">'12. Funding Sources'!$C$12</definedName>
    <definedName name="Source_3">'12. Funding Sources'!$C$13</definedName>
    <definedName name="Source_4">'12. Funding Sources'!$C$14</definedName>
    <definedName name="Source_5">'12. Funding Sources'!$C$15</definedName>
    <definedName name="Source_6">'12. Funding Sources'!$C$16</definedName>
    <definedName name="Source_7">'12. Funding Sources'!$C$17</definedName>
    <definedName name="Source_8">'12. Funding Sources'!$C$18</definedName>
    <definedName name="Source_9">'12. Funding Sources'!$C$19</definedName>
    <definedName name="SourceOfUtilityAllowanceAssumptions" localSheetId="27">'Dropdown Lists'!$S$2:$S$7</definedName>
    <definedName name="SourceOfUtilityAllowanceAssumptions" localSheetId="28">'Dropdown Lists'!$S$2:$S$7</definedName>
    <definedName name="SourceOfUtilityAllowanceAssumptions" localSheetId="29">'Dropdown Lists'!$S$2:$S$7</definedName>
    <definedName name="SourceOfUtilityAllowanceAssumptions" localSheetId="30">'Dropdown Lists'!$S$2:$S$7</definedName>
    <definedName name="SourceOfUtilityAllowanceAssumptions">'Dropdown Lists'!$S$2:$S$7</definedName>
    <definedName name="SourceUtlityAllowanceAssumptions">'Dropdown Lists'!$V$2:$V$7</definedName>
    <definedName name="State_Credits">'15. Credit Calculation'!$P$50</definedName>
    <definedName name="State_HTC_Equity">'12. Funding Sources'!$E$46</definedName>
    <definedName name="Storage_Units">'10. Project and Unit Amenities'!$D$35</definedName>
    <definedName name="SubsidySource" localSheetId="27">'Dropdown Lists'!$K$2:$K$3</definedName>
    <definedName name="SubsidySource" localSheetId="28">'Dropdown Lists'!$K$2:$K$3</definedName>
    <definedName name="SubsidySource" localSheetId="29">'Dropdown Lists'!$K$2:$K$3</definedName>
    <definedName name="SubsidySource" localSheetId="30">'Dropdown Lists'!$K$2:$K$3</definedName>
    <definedName name="SubsidySource">'Dropdown Lists'!$K$2:$K$3</definedName>
    <definedName name="Subtotal__Administrative_Expenses">'16. Projected Operating Costs'!$D$28</definedName>
    <definedName name="Subtotal__Operating___Maintenance_Expenses">'16. Projected Operating Costs'!$D$49</definedName>
    <definedName name="Subtotal__Rent_Expense">'16. Projected Operating Costs'!$D$12</definedName>
    <definedName name="Subtotal__Service_Expense">'16. Projected Operating Costs'!$D$85</definedName>
    <definedName name="Subtotal__Taxes_and_Insurance">'16. Projected Operating Costs'!$D$59</definedName>
    <definedName name="Subtotal__Utilities_Expenses">'16. Projected Operating Costs'!$D$36</definedName>
    <definedName name="SumCreditRequest">'ACR Form'!$Q$14</definedName>
    <definedName name="Sunrooms">'10. Project and Unit Amenities'!$D$64</definedName>
    <definedName name="Supplies">'16. Projected Operating Costs'!$D$39</definedName>
    <definedName name="Supportive_Housing">'4. Project Description'!$D$39</definedName>
    <definedName name="Supportive_Housing_Header">'22. Tenants Served Score'!$B$75</definedName>
    <definedName name="Supportive_Housing_Number_of_Units">'4. Project Description'!$F$39</definedName>
    <definedName name="Supportive_Housing_Points">'20. Instructions Scoring Sum'!$G$31</definedName>
    <definedName name="Surface_Parking">'10. Project and Unit Amenities'!$D$23</definedName>
    <definedName name="Surface_Rent_Per_Year">'10. Project and Unit Amenities'!$L$21</definedName>
    <definedName name="Syndicator">'9. Ownership and Project Team'!$D$100</definedName>
    <definedName name="Syndicator_City">'9. Ownership and Project Team'!$D$104</definedName>
    <definedName name="Syndicator_Email_Address">'9. Ownership and Project Team'!$G$106</definedName>
    <definedName name="Syndicator_First_Name">'9. Ownership and Project Team'!$D$108</definedName>
    <definedName name="Syndicator_Identity_of_Interest?">'9. Ownership and Project Team'!$D$98</definedName>
    <definedName name="Syndicator_Last_Name">'9. Ownership and Project Team'!$F$108</definedName>
    <definedName name="Syndicator_State">'9. Ownership and Project Team'!$F$104</definedName>
    <definedName name="Syndicator_Street_Address">'9. Ownership and Project Team'!$D$102</definedName>
    <definedName name="Syndicator_Telephone_Number">'9. Ownership and Project Team'!$D$106</definedName>
    <definedName name="Syndicator_Zipcode">'9. Ownership and Project Team'!$H$104</definedName>
    <definedName name="Table_of_Contents">'1. TOC'!$B$4</definedName>
    <definedName name="Tax_Credit_Monitoring_Fees">'16. Projected Operating Costs'!$D$25</definedName>
    <definedName name="Tax_Credit_Signature_Page">'Tax Credit Signatures'!$B$4</definedName>
    <definedName name="Tax_Credit_Year">'QAP Constants'!$B$2</definedName>
    <definedName name="TC_Percent">'4. Project Description'!$D$54</definedName>
    <definedName name="TC_Units_1">'7. Site Control'!$G$47</definedName>
    <definedName name="TC_Units_10">'7. Site Control'!$G$56</definedName>
    <definedName name="TC_Units_11">'7. Site Control'!$G$57</definedName>
    <definedName name="TC_Units_12">'7. Site Control'!$G$58</definedName>
    <definedName name="TC_Units_13">'7. Site Control'!$G$59</definedName>
    <definedName name="TC_Units_14">'7. Site Control'!$G$60</definedName>
    <definedName name="TC_Units_15">'7. Site Control'!$G$61</definedName>
    <definedName name="TC_Units_16">'7. Site Control'!$G$62</definedName>
    <definedName name="TC_Units_17">'7. Site Control'!$G$63</definedName>
    <definedName name="TC_Units_18">'7. Site Control'!$G$64</definedName>
    <definedName name="TC_Units_19">'7. Site Control'!$G$65</definedName>
    <definedName name="TC_Units_2">'7. Site Control'!$G$48</definedName>
    <definedName name="TC_Units_20">'7. Site Control'!$G$66</definedName>
    <definedName name="TC_Units_21">'7. Site Control'!$G$67</definedName>
    <definedName name="TC_Units_22">'7. Site Control'!$G$68</definedName>
    <definedName name="TC_Units_23">'7. Site Control'!$G$69</definedName>
    <definedName name="TC_Units_24">'7. Site Control'!$G$70</definedName>
    <definedName name="TC_Units_25">'7. Site Control'!$G$71</definedName>
    <definedName name="TC_Units_26">'7. Site Control'!$G$72</definedName>
    <definedName name="TC_Units_27">'7. Site Control'!$G$73</definedName>
    <definedName name="TC_Units_28">'7. Site Control'!$G$74</definedName>
    <definedName name="TC_Units_29">'7. Site Control'!$G$75</definedName>
    <definedName name="TC_Units_3">'7. Site Control'!$G$49</definedName>
    <definedName name="TC_Units_30">'7. Site Control'!$G$76</definedName>
    <definedName name="TC_Units_31">'7. Site Control'!$G$77</definedName>
    <definedName name="TC_Units_32">'7. Site Control'!$G$78</definedName>
    <definedName name="TC_Units_33">'7. Site Control'!$G$79</definedName>
    <definedName name="TC_Units_34">'7. Site Control'!$G$80</definedName>
    <definedName name="TC_Units_4">'7. Site Control'!$G$50</definedName>
    <definedName name="TC_Units_5">'7. Site Control'!$G$51</definedName>
    <definedName name="TC_Units_6">'7. Site Control'!$G$52</definedName>
    <definedName name="TC_Units_7">'7. Site Control'!$G$53</definedName>
    <definedName name="TC_Units_8">'7. Site Control'!$G$54</definedName>
    <definedName name="TC_Units_9">'7. Site Control'!$G$55</definedName>
    <definedName name="Temporary_Displaced">'6. Site Description'!$E$29</definedName>
    <definedName name="Term_1">'12. Funding Sources'!$L$11</definedName>
    <definedName name="Term_10">'12. Funding Sources'!$L$20</definedName>
    <definedName name="Term_11">'12. Funding Sources'!$L$21</definedName>
    <definedName name="Term_12">'12. Funding Sources'!$L$22</definedName>
    <definedName name="Term_13">'12. Funding Sources'!$L$23</definedName>
    <definedName name="Term_2">'12. Funding Sources'!$L$12</definedName>
    <definedName name="Term_3">'12. Funding Sources'!$L$13</definedName>
    <definedName name="Term_4">'12. Funding Sources'!$L$14</definedName>
    <definedName name="Term_5">'12. Funding Sources'!$L$15</definedName>
    <definedName name="Term_6">'12. Funding Sources'!$L$16</definedName>
    <definedName name="Term_7">'12. Funding Sources'!$L$17</definedName>
    <definedName name="Term_8">'12. Funding Sources'!$L$18</definedName>
    <definedName name="Term_9">'12. Funding Sources'!$L$19</definedName>
    <definedName name="Test">'14. Project Costs'!$D$113:$E$113</definedName>
    <definedName name="tetertertert" localSheetId="6">MATCH(0.01,End_Bal,-1)+1</definedName>
    <definedName name="tetertertert" localSheetId="39">MATCH(0.01,End_Bal,-1)+1</definedName>
    <definedName name="tetertertert">MATCH(0.01,End_Bal,-1)+1</definedName>
    <definedName name="Therapeutic_Whirlpool_Tub">'10. Project and Unit Amenities'!$J$36</definedName>
    <definedName name="Total____of__Units_1">'11. Unit Mix'!$H$16</definedName>
    <definedName name="Total____of__Units_10">'11. Unit Mix'!$H$25</definedName>
    <definedName name="Total____of__Units_11">'11. Unit Mix'!$H$26</definedName>
    <definedName name="Total____of__Units_12">'11. Unit Mix'!$H$27</definedName>
    <definedName name="Total____of__Units_13">'11. Unit Mix'!$H$28</definedName>
    <definedName name="Total____of__Units_14">'11. Unit Mix'!$H$29</definedName>
    <definedName name="Total____of__Units_15">'11. Unit Mix'!$H$30</definedName>
    <definedName name="Total____of__Units_16">'11. Unit Mix'!$H$31</definedName>
    <definedName name="Total____of__Units_17">'11. Unit Mix'!$H$32</definedName>
    <definedName name="Total____of__Units_18">'11. Unit Mix'!$H$33</definedName>
    <definedName name="Total____of__Units_19">'11. Unit Mix'!$H$34</definedName>
    <definedName name="Total____of__Units_2">'11. Unit Mix'!$H$17</definedName>
    <definedName name="Total____of__Units_20">'11. Unit Mix'!$H$35</definedName>
    <definedName name="Total____of__Units_21">'11. Unit Mix'!$H$36</definedName>
    <definedName name="Total____of__Units_22">'11. Unit Mix'!$H$37</definedName>
    <definedName name="Total____of__Units_23">'11. Unit Mix'!$H$38</definedName>
    <definedName name="Total____of__Units_24">'11. Unit Mix'!$H$39</definedName>
    <definedName name="Total____of__Units_25">'11. Unit Mix'!$H$40</definedName>
    <definedName name="Total____of__Units_26">'11. Unit Mix'!$H$41</definedName>
    <definedName name="Total____of__Units_27">'11. Unit Mix'!$H$42</definedName>
    <definedName name="Total____of__Units_28">'11. Unit Mix'!$H$43</definedName>
    <definedName name="Total____of__Units_29">'11. Unit Mix'!$H$44</definedName>
    <definedName name="Total____of__Units_3">'11. Unit Mix'!$H$18</definedName>
    <definedName name="Total____of__Units_30">'11. Unit Mix'!$H$45</definedName>
    <definedName name="Total____of__Units_31">'11. Unit Mix'!$H$46</definedName>
    <definedName name="Total____of__Units_32">'11. Unit Mix'!$H$47</definedName>
    <definedName name="Total____of__Units_33">'11. Unit Mix'!$H$48</definedName>
    <definedName name="Total____of__Units_34">'11. Unit Mix'!$H$49</definedName>
    <definedName name="Total____of__Units_35">'11. Unit Mix'!$H$50</definedName>
    <definedName name="Total____of__Units_36">'11. Unit Mix'!$H$51</definedName>
    <definedName name="Total____of__Units_37">'11. Unit Mix'!$H$52</definedName>
    <definedName name="Total____of__Units_38">'11. Unit Mix'!$H$53</definedName>
    <definedName name="Total____of__Units_39">'11. Unit Mix'!$H$54</definedName>
    <definedName name="Total____of__Units_4">'11. Unit Mix'!$H$19</definedName>
    <definedName name="Total____of__Units_40">'11. Unit Mix'!$H$55</definedName>
    <definedName name="Total____of__Units_41">'11. Unit Mix'!$H$56</definedName>
    <definedName name="Total____of__Units_42">'11. Unit Mix'!$H$57</definedName>
    <definedName name="Total____of__Units_43">'11. Unit Mix'!$H$58</definedName>
    <definedName name="Total____of__Units_44">'11. Unit Mix'!$H$59</definedName>
    <definedName name="Total____of__Units_45">'11. Unit Mix'!$H$60</definedName>
    <definedName name="Total____of__Units_46">'11. Unit Mix'!$H$61</definedName>
    <definedName name="Total____of__Units_47">'11. Unit Mix'!$H$62</definedName>
    <definedName name="Total____of__Units_48">'11. Unit Mix'!$H$63</definedName>
    <definedName name="Total____of__Units_49">'11. Unit Mix'!$H$64</definedName>
    <definedName name="Total____of__Units_5">'11. Unit Mix'!$H$20</definedName>
    <definedName name="Total____of__Units_50">'11. Unit Mix'!$H$65</definedName>
    <definedName name="Total____of__Units_51">'11. Unit Mix'!$G$96</definedName>
    <definedName name="Total____of__Units_52">'11. Unit Mix'!$G$97</definedName>
    <definedName name="Total____of__Units_53">'11. Unit Mix'!$G$98</definedName>
    <definedName name="Total____of__Units_54">'11. Unit Mix'!$H$104</definedName>
    <definedName name="Total____of__Units_55">'11. Unit Mix'!$H$105</definedName>
    <definedName name="Total____of__Units_56">'11. Unit Mix'!$H$106</definedName>
    <definedName name="Total____of__Units_57">'11. Unit Mix'!$H$107</definedName>
    <definedName name="Total____of__Units_58">'11. Unit Mix'!$H$108</definedName>
    <definedName name="Total____of__Units_59">'11. Unit Mix'!$H$109</definedName>
    <definedName name="Total____of__Units_6">'11. Unit Mix'!$H$21</definedName>
    <definedName name="Total____of__Units_60">'11. Unit Mix'!$H$110</definedName>
    <definedName name="Total____of__Units_61">'11. Unit Mix'!$H$111</definedName>
    <definedName name="Total____of__Units_62">'11. Unit Mix'!$H$112</definedName>
    <definedName name="Total____of__Units_63">'11. Unit Mix'!$H$113</definedName>
    <definedName name="Total____of__Units_7">'11. Unit Mix'!$H$22</definedName>
    <definedName name="Total____of__Units_8">'11. Unit Mix'!$H$23</definedName>
    <definedName name="Total____of__Units_9">'11. Unit Mix'!$H$24</definedName>
    <definedName name="Total_Buildable_Acreage">'6. Site Description'!$E$7</definedName>
    <definedName name="Total_Operating_Expenses">'16. Projected Operating Costs'!$D$88</definedName>
    <definedName name="Total_Points">'20. Instructions Scoring Sum'!$G$43</definedName>
    <definedName name="Total_Site_Acreage">'6. Site Description'!$E$6</definedName>
    <definedName name="Total_Units">'11. Unit Mix'!$F$130</definedName>
    <definedName name="Total60Voucher">'11. Unit Mix'!$BG$66</definedName>
    <definedName name="TotalFundingSources">'12. Funding Sources'!$P$50</definedName>
    <definedName name="Trash_Disposal_Chutes">'10. Project and Unit Amenities'!$G$37</definedName>
    <definedName name="Tribal_Name">'3. Project Location'!$F$16</definedName>
    <definedName name="TypeOfControl" localSheetId="27">'Dropdown Lists'!$M$2:$M$4</definedName>
    <definedName name="TypeOfControl" localSheetId="28">'Dropdown Lists'!$M$2:$M$4</definedName>
    <definedName name="TypeOfControl" localSheetId="29">'Dropdown Lists'!$M$2:$M$4</definedName>
    <definedName name="TypeOfControl" localSheetId="30">'Dropdown Lists'!$M$2:$M$4</definedName>
    <definedName name="TypeOfControl">'Dropdown Lists'!$M$2:$M$4</definedName>
    <definedName name="udrextdshnftjmfr6" localSheetId="6">MATCH(0.01,End_Bal,-1)+1</definedName>
    <definedName name="udrextdshnftjmfr6" localSheetId="39">MATCH(0.01,End_Bal,-1)+1</definedName>
    <definedName name="udrextdshnftjmfr6">MATCH(0.01,End_Bal,-1)+1</definedName>
    <definedName name="UM_Bathrooms_1">'11. Unit Mix'!$F$16</definedName>
    <definedName name="UM_Bathrooms_10">'11. Unit Mix'!$F$25</definedName>
    <definedName name="UM_Bathrooms_11">'11. Unit Mix'!$F$26</definedName>
    <definedName name="UM_Bathrooms_12">'11. Unit Mix'!$F$27</definedName>
    <definedName name="UM_Bathrooms_13">'11. Unit Mix'!$F$28</definedName>
    <definedName name="UM_Bathrooms_14">'11. Unit Mix'!$F$29</definedName>
    <definedName name="UM_Bathrooms_15">'11. Unit Mix'!$F$30</definedName>
    <definedName name="UM_Bathrooms_16">'11. Unit Mix'!$F$31</definedName>
    <definedName name="UM_Bathrooms_17">'11. Unit Mix'!$F$32</definedName>
    <definedName name="UM_Bathrooms_18">'11. Unit Mix'!$F$33</definedName>
    <definedName name="UM_Bathrooms_19">'11. Unit Mix'!$F$34</definedName>
    <definedName name="UM_Bathrooms_2">'11. Unit Mix'!$F$17</definedName>
    <definedName name="UM_Bathrooms_20">'11. Unit Mix'!$F$35</definedName>
    <definedName name="UM_Bathrooms_21">'11. Unit Mix'!$F$36</definedName>
    <definedName name="UM_Bathrooms_22">'11. Unit Mix'!$F$37</definedName>
    <definedName name="UM_Bathrooms_23">'11. Unit Mix'!$F$38</definedName>
    <definedName name="UM_Bathrooms_24">'11. Unit Mix'!$F$39</definedName>
    <definedName name="UM_Bathrooms_25">'11. Unit Mix'!$F$40</definedName>
    <definedName name="UM_Bathrooms_26">'11. Unit Mix'!$F$41</definedName>
    <definedName name="UM_Bathrooms_27">'11. Unit Mix'!$F$42</definedName>
    <definedName name="UM_Bathrooms_28">'11. Unit Mix'!$F$43</definedName>
    <definedName name="UM_Bathrooms_29">'11. Unit Mix'!$F$44</definedName>
    <definedName name="UM_Bathrooms_3">'11. Unit Mix'!$F$18</definedName>
    <definedName name="UM_Bathrooms_30">'11. Unit Mix'!$F$45</definedName>
    <definedName name="UM_Bathrooms_31">'11. Unit Mix'!$F$46</definedName>
    <definedName name="UM_Bathrooms_32">'11. Unit Mix'!$F$47</definedName>
    <definedName name="UM_Bathrooms_33">'11. Unit Mix'!$F$48</definedName>
    <definedName name="UM_Bathrooms_34">'11. Unit Mix'!$F$49</definedName>
    <definedName name="UM_Bathrooms_35">'11. Unit Mix'!$F$50</definedName>
    <definedName name="UM_Bathrooms_36">'11. Unit Mix'!$F$51</definedName>
    <definedName name="UM_Bathrooms_37">'11. Unit Mix'!$F$52</definedName>
    <definedName name="UM_Bathrooms_38">'11. Unit Mix'!$F$53</definedName>
    <definedName name="UM_Bathrooms_39">'11. Unit Mix'!$F$54</definedName>
    <definedName name="UM_Bathrooms_4">'11. Unit Mix'!$F$19</definedName>
    <definedName name="UM_Bathrooms_40">'11. Unit Mix'!$F$55</definedName>
    <definedName name="UM_Bathrooms_41">'11. Unit Mix'!$F$56</definedName>
    <definedName name="UM_Bathrooms_42">'11. Unit Mix'!$F$57</definedName>
    <definedName name="UM_Bathrooms_43">'11. Unit Mix'!$F$58</definedName>
    <definedName name="UM_Bathrooms_44">'11. Unit Mix'!$F$59</definedName>
    <definedName name="UM_Bathrooms_45">'11. Unit Mix'!$F$60</definedName>
    <definedName name="UM_Bathrooms_46">'11. Unit Mix'!$F$61</definedName>
    <definedName name="UM_Bathrooms_47">'11. Unit Mix'!$F$62</definedName>
    <definedName name="UM_Bathrooms_48">'11. Unit Mix'!$F$63</definedName>
    <definedName name="UM_Bathrooms_49">'11. Unit Mix'!$F$64</definedName>
    <definedName name="UM_Bathrooms_5">'11. Unit Mix'!$F$20</definedName>
    <definedName name="UM_Bathrooms_50">'11. Unit Mix'!$F$65</definedName>
    <definedName name="UM_Bathrooms_51">'11. Unit Mix'!$E$96</definedName>
    <definedName name="UM_Bathrooms_52">'11. Unit Mix'!$E$97</definedName>
    <definedName name="UM_Bathrooms_53">'11. Unit Mix'!$E$98</definedName>
    <definedName name="UM_Bathrooms_54">'11. Unit Mix'!$F$104</definedName>
    <definedName name="UM_Bathrooms_55">'11. Unit Mix'!$F$105</definedName>
    <definedName name="UM_Bathrooms_56">'11. Unit Mix'!$F$106</definedName>
    <definedName name="UM_Bathrooms_57">'11. Unit Mix'!$F$107</definedName>
    <definedName name="UM_Bathrooms_58">'11. Unit Mix'!$F$108</definedName>
    <definedName name="UM_Bathrooms_59">'11. Unit Mix'!$F$109</definedName>
    <definedName name="UM_Bathrooms_6">'11. Unit Mix'!$F$21</definedName>
    <definedName name="UM_Bathrooms_60">'11. Unit Mix'!$F$110</definedName>
    <definedName name="UM_Bathrooms_61">'11. Unit Mix'!$F$111</definedName>
    <definedName name="UM_Bathrooms_62">'11. Unit Mix'!$F$112</definedName>
    <definedName name="UM_Bathrooms_63">'11. Unit Mix'!$F$113</definedName>
    <definedName name="UM_Bathrooms_7">'11. Unit Mix'!$F$22</definedName>
    <definedName name="UM_Bathrooms_8">'11. Unit Mix'!$F$23</definedName>
    <definedName name="UM_Bathrooms_9">'11. Unit Mix'!$F$24</definedName>
    <definedName name="UM_Bedroom_1">'11. Unit Mix'!$E$16</definedName>
    <definedName name="UM_Bedroom_10">'11. Unit Mix'!$E$25</definedName>
    <definedName name="UM_Bedroom_11">'11. Unit Mix'!$E$26</definedName>
    <definedName name="UM_Bedroom_12">'11. Unit Mix'!$E$27</definedName>
    <definedName name="UM_Bedroom_13">'11. Unit Mix'!$E$28</definedName>
    <definedName name="UM_Bedroom_14">'11. Unit Mix'!$E$29</definedName>
    <definedName name="UM_Bedroom_15">'11. Unit Mix'!$E$30</definedName>
    <definedName name="UM_Bedroom_16">'11. Unit Mix'!$E$31</definedName>
    <definedName name="UM_Bedroom_17">'11. Unit Mix'!$E$32</definedName>
    <definedName name="UM_Bedroom_18">'11. Unit Mix'!$E$33</definedName>
    <definedName name="UM_Bedroom_19">'11. Unit Mix'!$E$34</definedName>
    <definedName name="UM_Bedroom_2">'11. Unit Mix'!$E$17</definedName>
    <definedName name="UM_Bedroom_20">'11. Unit Mix'!$E$35</definedName>
    <definedName name="UM_Bedroom_21">'11. Unit Mix'!$E$36</definedName>
    <definedName name="UM_Bedroom_22">'11. Unit Mix'!$E$37</definedName>
    <definedName name="UM_Bedroom_23">'11. Unit Mix'!$E$38</definedName>
    <definedName name="UM_Bedroom_24">'11. Unit Mix'!$E$39</definedName>
    <definedName name="UM_Bedroom_25">'11. Unit Mix'!$E$40</definedName>
    <definedName name="UM_Bedroom_26">'11. Unit Mix'!$E$41</definedName>
    <definedName name="UM_Bedroom_27">'11. Unit Mix'!$E$42</definedName>
    <definedName name="UM_Bedroom_28">'11. Unit Mix'!$E$43</definedName>
    <definedName name="UM_Bedroom_29">'11. Unit Mix'!$E$44</definedName>
    <definedName name="UM_Bedroom_3">'11. Unit Mix'!$E$18</definedName>
    <definedName name="UM_Bedroom_30">'11. Unit Mix'!$E$45</definedName>
    <definedName name="UM_Bedroom_31">'11. Unit Mix'!$E$46</definedName>
    <definedName name="UM_Bedroom_32">'11. Unit Mix'!$E$47</definedName>
    <definedName name="UM_Bedroom_33">'11. Unit Mix'!$E$48</definedName>
    <definedName name="UM_Bedroom_34">'11. Unit Mix'!$E$49</definedName>
    <definedName name="UM_Bedroom_35">'11. Unit Mix'!$E$50</definedName>
    <definedName name="UM_Bedroom_36">'11. Unit Mix'!$E$51</definedName>
    <definedName name="UM_Bedroom_37">'11. Unit Mix'!$E$52</definedName>
    <definedName name="UM_Bedroom_38">'11. Unit Mix'!$E$53</definedName>
    <definedName name="UM_Bedroom_39">'11. Unit Mix'!$E$54</definedName>
    <definedName name="UM_Bedroom_4">'11. Unit Mix'!$E$19</definedName>
    <definedName name="UM_Bedroom_40">'11. Unit Mix'!$E$55</definedName>
    <definedName name="UM_Bedroom_41">'11. Unit Mix'!$E$56</definedName>
    <definedName name="UM_Bedroom_42">'11. Unit Mix'!$E$57</definedName>
    <definedName name="UM_Bedroom_43">'11. Unit Mix'!$E$58</definedName>
    <definedName name="UM_Bedroom_44">'11. Unit Mix'!$E$59</definedName>
    <definedName name="UM_Bedroom_45">'11. Unit Mix'!$E$60</definedName>
    <definedName name="UM_Bedroom_46">'11. Unit Mix'!$E$61</definedName>
    <definedName name="UM_Bedroom_47">'11. Unit Mix'!$E$62</definedName>
    <definedName name="UM_Bedroom_48">'11. Unit Mix'!$E$63</definedName>
    <definedName name="UM_Bedroom_49">'11. Unit Mix'!$E$64</definedName>
    <definedName name="UM_Bedroom_5">'11. Unit Mix'!$E$20</definedName>
    <definedName name="UM_Bedroom_50">'11. Unit Mix'!$E$65</definedName>
    <definedName name="UM_Bedroom_51">'11. Unit Mix'!$D$96</definedName>
    <definedName name="UM_Bedroom_52">'11. Unit Mix'!$D$97</definedName>
    <definedName name="UM_Bedroom_53">'11. Unit Mix'!$D$98</definedName>
    <definedName name="UM_Bedroom_54">'11. Unit Mix'!$E$104</definedName>
    <definedName name="UM_Bedroom_55">'11. Unit Mix'!$E$105</definedName>
    <definedName name="UM_Bedroom_56">'11. Unit Mix'!$E$106</definedName>
    <definedName name="UM_Bedroom_57">'11. Unit Mix'!$E$107</definedName>
    <definedName name="UM_Bedroom_58">'11. Unit Mix'!$E$108</definedName>
    <definedName name="UM_Bedroom_59">'11. Unit Mix'!$E$109</definedName>
    <definedName name="UM_Bedroom_6">'11. Unit Mix'!$E$21</definedName>
    <definedName name="UM_Bedroom_60">'11. Unit Mix'!$E$110</definedName>
    <definedName name="UM_Bedroom_61">'11. Unit Mix'!$E$111</definedName>
    <definedName name="UM_Bedroom_62">'11. Unit Mix'!$E$112</definedName>
    <definedName name="UM_Bedroom_63">'11. Unit Mix'!$E$113</definedName>
    <definedName name="UM_Bedroom_7">'11. Unit Mix'!$E$22</definedName>
    <definedName name="UM_Bedroom_8">'11. Unit Mix'!$E$23</definedName>
    <definedName name="UM_Bedroom_9">'11. Unit Mix'!$E$24</definedName>
    <definedName name="UM_Net_SF_1">'11. Unit Mix'!$G$16</definedName>
    <definedName name="UM_Net_SF_10">'11. Unit Mix'!$G$25</definedName>
    <definedName name="UM_Net_SF_11">'11. Unit Mix'!$G$26</definedName>
    <definedName name="UM_Net_SF_12">'11. Unit Mix'!$G$27</definedName>
    <definedName name="UM_Net_SF_13">'11. Unit Mix'!$G$28</definedName>
    <definedName name="UM_Net_SF_14">'11. Unit Mix'!$G$29</definedName>
    <definedName name="UM_Net_SF_15">'11. Unit Mix'!$G$30</definedName>
    <definedName name="UM_Net_SF_16">'11. Unit Mix'!$G$31</definedName>
    <definedName name="UM_Net_SF_17">'11. Unit Mix'!$G$32</definedName>
    <definedName name="UM_Net_SF_18">'11. Unit Mix'!$G$33</definedName>
    <definedName name="UM_Net_SF_19">'11. Unit Mix'!$G$34</definedName>
    <definedName name="UM_Net_SF_2">'11. Unit Mix'!$G$17</definedName>
    <definedName name="UM_Net_SF_20">'11. Unit Mix'!$G$35</definedName>
    <definedName name="UM_Net_SF_21">'11. Unit Mix'!$G$36</definedName>
    <definedName name="UM_Net_SF_22">'11. Unit Mix'!$G$37</definedName>
    <definedName name="UM_Net_SF_23">'11. Unit Mix'!$G$38</definedName>
    <definedName name="UM_Net_SF_24">'11. Unit Mix'!$G$39</definedName>
    <definedName name="UM_Net_SF_25">'11. Unit Mix'!$G$40</definedName>
    <definedName name="UM_Net_SF_26">'11. Unit Mix'!$G$41</definedName>
    <definedName name="UM_Net_SF_27">'11. Unit Mix'!$G$42</definedName>
    <definedName name="UM_Net_SF_28">'11. Unit Mix'!$G$43</definedName>
    <definedName name="UM_Net_SF_29">'11. Unit Mix'!$G$44</definedName>
    <definedName name="UM_Net_SF_3">'11. Unit Mix'!$G$18</definedName>
    <definedName name="UM_Net_SF_30">'11. Unit Mix'!$G$45</definedName>
    <definedName name="UM_Net_SF_31">'11. Unit Mix'!$G$46</definedName>
    <definedName name="UM_Net_SF_32">'11. Unit Mix'!$G$47</definedName>
    <definedName name="UM_Net_SF_33">'11. Unit Mix'!$G$48</definedName>
    <definedName name="UM_Net_SF_34">'11. Unit Mix'!$G$49</definedName>
    <definedName name="UM_Net_SF_35">'11. Unit Mix'!$G$50</definedName>
    <definedName name="UM_Net_SF_36">'11. Unit Mix'!$G$51</definedName>
    <definedName name="UM_Net_SF_37">'11. Unit Mix'!$G$52</definedName>
    <definedName name="UM_Net_SF_38">'11. Unit Mix'!$G$53</definedName>
    <definedName name="UM_Net_SF_39">'11. Unit Mix'!$G$54</definedName>
    <definedName name="UM_Net_SF_4">'11. Unit Mix'!$G$19</definedName>
    <definedName name="UM_Net_SF_40">'11. Unit Mix'!$G$55</definedName>
    <definedName name="UM_Net_SF_41">'11. Unit Mix'!$G$56</definedName>
    <definedName name="UM_Net_SF_42">'11. Unit Mix'!$G$57</definedName>
    <definedName name="UM_Net_SF_43">'11. Unit Mix'!$G$58</definedName>
    <definedName name="UM_Net_SF_44">'11. Unit Mix'!$G$59</definedName>
    <definedName name="UM_Net_SF_45">'11. Unit Mix'!$G$60</definedName>
    <definedName name="UM_Net_SF_46">'11. Unit Mix'!$G$61</definedName>
    <definedName name="UM_Net_SF_47">'11. Unit Mix'!$G$62</definedName>
    <definedName name="UM_Net_SF_48">'11. Unit Mix'!$G$63</definedName>
    <definedName name="UM_Net_SF_49">'11. Unit Mix'!$G$64</definedName>
    <definedName name="UM_Net_SF_5">'11. Unit Mix'!$G$20</definedName>
    <definedName name="UM_Net_SF_50">'11. Unit Mix'!$G$65</definedName>
    <definedName name="UM_Net_SF_51">'11. Unit Mix'!$F$96</definedName>
    <definedName name="UM_Net_SF_52">'11. Unit Mix'!$F$97</definedName>
    <definedName name="UM_Net_SF_53">'11. Unit Mix'!$F$98</definedName>
    <definedName name="UM_Net_SF_54">'11. Unit Mix'!$G$104</definedName>
    <definedName name="UM_Net_SF_55">'11. Unit Mix'!$G$105</definedName>
    <definedName name="UM_Net_SF_56">'11. Unit Mix'!$G$106</definedName>
    <definedName name="UM_Net_SF_57">'11. Unit Mix'!$G$107</definedName>
    <definedName name="UM_Net_SF_58">'11. Unit Mix'!$G$108</definedName>
    <definedName name="UM_Net_SF_59">'11. Unit Mix'!$G$109</definedName>
    <definedName name="UM_Net_SF_6">'11. Unit Mix'!$G$21</definedName>
    <definedName name="UM_Net_SF_60">'11. Unit Mix'!$G$110</definedName>
    <definedName name="UM_Net_SF_61">'11. Unit Mix'!$G$111</definedName>
    <definedName name="UM_Net_SF_62">'11. Unit Mix'!$G$112</definedName>
    <definedName name="UM_Net_SF_63">'11. Unit Mix'!$G$113</definedName>
    <definedName name="UM_Net_SF_7">'11. Unit Mix'!$G$22</definedName>
    <definedName name="UM_Net_SF_8">'11. Unit Mix'!$G$23</definedName>
    <definedName name="UM_Net_SF_9">'11. Unit Mix'!$G$24</definedName>
    <definedName name="UM_Rent_1">'11. Unit Mix'!$N$16</definedName>
    <definedName name="UM_Rent_10">'11. Unit Mix'!$N$25</definedName>
    <definedName name="UM_Rent_11">'11. Unit Mix'!$N$26</definedName>
    <definedName name="UM_Rent_12">'11. Unit Mix'!$N$27</definedName>
    <definedName name="UM_Rent_13">'11. Unit Mix'!$N$28</definedName>
    <definedName name="UM_Rent_14">'11. Unit Mix'!$N$29</definedName>
    <definedName name="UM_Rent_15">'11. Unit Mix'!$N$30</definedName>
    <definedName name="UM_Rent_16">'11. Unit Mix'!$N$31</definedName>
    <definedName name="UM_Rent_17">'11. Unit Mix'!$N$32</definedName>
    <definedName name="UM_Rent_18">'11. Unit Mix'!$N$33</definedName>
    <definedName name="UM_Rent_19">'11. Unit Mix'!$N$34</definedName>
    <definedName name="UM_Rent_2">'11. Unit Mix'!$N$17</definedName>
    <definedName name="UM_Rent_20">'11. Unit Mix'!$N$35</definedName>
    <definedName name="UM_Rent_21">'11. Unit Mix'!$N$36</definedName>
    <definedName name="UM_Rent_22">'11. Unit Mix'!$N$37</definedName>
    <definedName name="UM_Rent_23">'11. Unit Mix'!$N$38</definedName>
    <definedName name="UM_Rent_24">'11. Unit Mix'!$N$39</definedName>
    <definedName name="UM_Rent_25">'11. Unit Mix'!$N$40</definedName>
    <definedName name="UM_Rent_26">'11. Unit Mix'!$N$41</definedName>
    <definedName name="UM_Rent_27">'11. Unit Mix'!$N$42</definedName>
    <definedName name="UM_Rent_28">'11. Unit Mix'!$N$43</definedName>
    <definedName name="UM_Rent_29">'11. Unit Mix'!$N$44</definedName>
    <definedName name="UM_Rent_3">'11. Unit Mix'!$N$18</definedName>
    <definedName name="UM_Rent_30">'11. Unit Mix'!$N$45</definedName>
    <definedName name="UM_Rent_31">'11. Unit Mix'!$N$46</definedName>
    <definedName name="UM_Rent_32">'11. Unit Mix'!$N$47</definedName>
    <definedName name="UM_Rent_33">'11. Unit Mix'!$N$48</definedName>
    <definedName name="UM_Rent_34">'11. Unit Mix'!$N$49</definedName>
    <definedName name="UM_Rent_35">'11. Unit Mix'!$N$50</definedName>
    <definedName name="UM_Rent_36">'11. Unit Mix'!$N$51</definedName>
    <definedName name="UM_Rent_37">'11. Unit Mix'!$N$52</definedName>
    <definedName name="UM_Rent_38">'11. Unit Mix'!$N$53</definedName>
    <definedName name="UM_Rent_39">'11. Unit Mix'!$N$54</definedName>
    <definedName name="UM_Rent_4">'11. Unit Mix'!$N$19</definedName>
    <definedName name="UM_Rent_40">'11. Unit Mix'!$N$55</definedName>
    <definedName name="UM_Rent_41">'11. Unit Mix'!$N$56</definedName>
    <definedName name="UM_Rent_42">'11. Unit Mix'!$N$57</definedName>
    <definedName name="UM_Rent_43">'11. Unit Mix'!$N$58</definedName>
    <definedName name="UM_Rent_44">'11. Unit Mix'!$N$59</definedName>
    <definedName name="UM_Rent_45">'11. Unit Mix'!$N$60</definedName>
    <definedName name="UM_Rent_46">'11. Unit Mix'!$N$61</definedName>
    <definedName name="UM_Rent_47">'11. Unit Mix'!$N$62</definedName>
    <definedName name="UM_Rent_48">'11. Unit Mix'!$N$63</definedName>
    <definedName name="UM_Rent_49">'11. Unit Mix'!$N$64</definedName>
    <definedName name="UM_Rent_5">'11. Unit Mix'!$N$20</definedName>
    <definedName name="UM_Rent_50">'11. Unit Mix'!$N$65</definedName>
    <definedName name="UM_Rent_51">'11. Unit Mix'!$H$96</definedName>
    <definedName name="UM_Rent_52">'11. Unit Mix'!$H$97</definedName>
    <definedName name="UM_Rent_53">'11. Unit Mix'!$H$98</definedName>
    <definedName name="UM_Rent_54">'11. Unit Mix'!$I$104</definedName>
    <definedName name="UM_Rent_55">'11. Unit Mix'!$I$105</definedName>
    <definedName name="UM_Rent_56">'11. Unit Mix'!$I$106</definedName>
    <definedName name="UM_Rent_57">'11. Unit Mix'!$I$107</definedName>
    <definedName name="UM_Rent_58">'11. Unit Mix'!$I$108</definedName>
    <definedName name="UM_Rent_59">'11. Unit Mix'!$I$109</definedName>
    <definedName name="UM_Rent_6">'11. Unit Mix'!$N$21</definedName>
    <definedName name="UM_Rent_60">'11. Unit Mix'!$I$110</definedName>
    <definedName name="UM_Rent_61">'11. Unit Mix'!$I$111</definedName>
    <definedName name="UM_Rent_62">'11. Unit Mix'!$I$112</definedName>
    <definedName name="UM_Rent_63">'11. Unit Mix'!$I$113</definedName>
    <definedName name="UM_Rent_7">'11. Unit Mix'!$N$22</definedName>
    <definedName name="UM_Rent_8">'11. Unit Mix'!$N$23</definedName>
    <definedName name="UM_Rent_9">'11. Unit Mix'!$N$24</definedName>
    <definedName name="Underground_Parking">'10. Project and Unit Amenities'!$D$24</definedName>
    <definedName name="Underground_Rent_Per_Year">'10. Project and Unit Amenities'!$L$22</definedName>
    <definedName name="Unit_Mix">'11. Unit Mix'!$B$4</definedName>
    <definedName name="Unit_Mix_Analysis">'2. Project Summary'!$B$41</definedName>
    <definedName name="UnitTypes" localSheetId="27">'Dropdown Lists'!$T$2:$T$5</definedName>
    <definedName name="UnitTypes" localSheetId="28">'Dropdown Lists'!$T$2:$T$5</definedName>
    <definedName name="UnitTypes" localSheetId="29">'Dropdown Lists'!$T$2:$T$5</definedName>
    <definedName name="UnitTypes" localSheetId="30">'Dropdown Lists'!$T$2:$T$5</definedName>
    <definedName name="UnitTypes">'Dropdown Lists'!$T$2:$T$5</definedName>
    <definedName name="Universal_Design">'23. Building Design Score'!$B$82</definedName>
    <definedName name="Universal_Design_Points">'20. Instructions Scoring Sum'!$G$35</definedName>
    <definedName name="US_Congress_District">'Dropdown Lists'!$AF$2:$AF$9</definedName>
    <definedName name="UtilityApplianceType" localSheetId="27">'Dropdown Lists'!$R$2:$R$10</definedName>
    <definedName name="UtilityApplianceType" localSheetId="28">'Dropdown Lists'!$R$2:$R$10</definedName>
    <definedName name="UtilityApplianceType" localSheetId="29">'Dropdown Lists'!$R$2:$R$10</definedName>
    <definedName name="UtilityApplianceType" localSheetId="30">'Dropdown Lists'!$R$2:$R$10</definedName>
    <definedName name="UtilityApplianceType">'Dropdown Lists'!$R$2:$R$10</definedName>
    <definedName name="UtilityApplicanceType">'Dropdown Lists'!$R$2:$R$10</definedName>
    <definedName name="UtilityTypes" localSheetId="27">'Dropdown Lists'!$Q$2:$Q$5</definedName>
    <definedName name="UtilityTypes" localSheetId="28">'Dropdown Lists'!$Q$2:$Q$5</definedName>
    <definedName name="UtilityTypes" localSheetId="29">'Dropdown Lists'!$Q$2:$Q$5</definedName>
    <definedName name="UtilityTypes" localSheetId="30">'Dropdown Lists'!$Q$2:$Q$5</definedName>
    <definedName name="UtilityTypes">'Dropdown Lists'!$Q$2:$Q$5</definedName>
    <definedName name="Values_Entered" localSheetId="6">IF(Loan_Amount*Interest_Rate*Loan_Years*Loan_Start&gt;0,1,0)</definedName>
    <definedName name="Values_Entered" localSheetId="39">IF(Loan_Amount*Interest_Rate*Loan_Years*Loan_Start&gt;0,1,0)</definedName>
    <definedName name="Values_Entered">IF(Loan_Amount*Interest_Rate*Loan_Years*Loan_Start&gt;0,1,0)</definedName>
    <definedName name="VASH_Vouchers_Number_of_Units">'4. Project Description'!$F$23</definedName>
    <definedName name="Vehicle___Maintenace_Equipment_Operation___Repairs">'16. Projected Operating Costs'!$D$47</definedName>
    <definedName name="Veterans_Housing">'22. Tenants Served Score'!$B$113</definedName>
    <definedName name="Veterans_Housing_Points">'20. Instructions Scoring Sum'!$G$32</definedName>
    <definedName name="Vetersn_Housing_Points">'20. Instructions Scoring Sum'!$G$32</definedName>
    <definedName name="Vinyl">'10. Project and Unit Amenities'!$G$67</definedName>
    <definedName name="Voucher_CMI">'Dropdown Lists'!$J$2:$J$3</definedName>
    <definedName name="W_D_Hookups">'10. Project and Unit Amenities'!$G$61</definedName>
    <definedName name="Walk_in_Closets">'10. Project and Unit Amenities'!$G$62</definedName>
    <definedName name="Walking_Trails">'10. Project and Unit Amenities'!$J$35</definedName>
    <definedName name="Washer_Dryer">'10. Project and Unit Amenities'!$D$61</definedName>
    <definedName name="Water">'16. Projected Operating Costs'!$D$32</definedName>
    <definedName name="What_Score">'23. Building Design Score'!$A$5</definedName>
    <definedName name="WHEDA_Loan_Signature_Page">'WHEDA Loan Signatures'!$B$4</definedName>
    <definedName name="WHEDA_Project_Number" localSheetId="27">ProLink!$F$4</definedName>
    <definedName name="WHEDA_Project_Number" localSheetId="28">ProLink!$F$4</definedName>
    <definedName name="WHEDA_Project_Number" localSheetId="29">ProLink!$F$4</definedName>
    <definedName name="WHEDA_Project_Number" localSheetId="30">ProLink!$F$4</definedName>
    <definedName name="WHEDA_Project_Number">ProLink!$F$4</definedName>
    <definedName name="WHEDATermSheet1">'12. Funding Sources'!$H$11</definedName>
    <definedName name="WHEDATermSheet2">'12. Funding Sources'!$H$12</definedName>
    <definedName name="WHEDATermSheet3">'12. Funding Sources'!$H$13</definedName>
    <definedName name="WHEDATermSheet4">'12. Funding Sources'!$H$14</definedName>
    <definedName name="WHEDATermSheet5">'12. Funding Sources'!$H$15</definedName>
    <definedName name="Where_Score">'21. Location Score'!$B$3</definedName>
    <definedName name="Who_Score">'22. Tenants Served Score'!$A$3</definedName>
    <definedName name="Will_this_project_be_receiving_project_based_federal_rental_assistance?">'4. Project Description'!$D$13</definedName>
    <definedName name="Will_this_project_be_utilizing_federal_assistance?">'4. Project Description'!$D$12</definedName>
    <definedName name="Window_A_C">'10. Project and Unit Amenities'!$J$72</definedName>
    <definedName name="Wisconsin_Assembly_District">'Dropdown Lists'!$AD$2:$AD$100</definedName>
    <definedName name="Wood">'10. Project and Unit Amenities'!$J$67</definedName>
    <definedName name="Workforce_Housing_Communities">'21. Location Score'!$B$123</definedName>
    <definedName name="Workforce_Housing_Points">'20. Instructions Scoring Sum'!$G$26</definedName>
    <definedName name="Workmen_s_Compensation">'16. Projected Operating Costs'!$D$56</definedName>
    <definedName name="wrwerwerewrwer" localSheetId="6">IF('2. Project Summary'!jojoishkjngfsfd,Header_Row+'2. Project Summary'!tetertertert,Header_Row)</definedName>
    <definedName name="wrwerwerewrwer" localSheetId="39">IF('ACR Form'!jojoishkjngfsfd,Header_Row+'ACR Form'!tetertertert,Header_Row)</definedName>
    <definedName name="wrwerwerewrwer">IF(jojoishkjngfsfd,Header_Row+tetertertert,Header_Row)</definedName>
    <definedName name="Year_Built">'6. Site Description'!$E$37</definedName>
    <definedName name="YesNo" localSheetId="27">'Dropdown Lists'!$A$2:$A$3</definedName>
    <definedName name="YesNo" localSheetId="28">'Dropdown Lists'!$A$2:$A$3</definedName>
    <definedName name="YesNo" localSheetId="29">'Dropdown Lists'!$A$2:$A$3</definedName>
    <definedName name="YesNo" localSheetId="30">'Dropdown Lists'!$A$2:$A$3</definedName>
    <definedName name="YesNo">'Dropdown Lists'!$A$2:$A$3</definedName>
    <definedName name="ymymymymyu" localSheetId="6">DATE(YEAR(Loan_Start),MONTH(Loan_Start)+Payment_Number,DAY(Loan_Start))</definedName>
    <definedName name="ymymymymyu" localSheetId="39">DATE(YEAR(Loan_Start),MONTH(Loan_Start)+Payment_Number,DAY(Loan_Start))</definedName>
    <definedName name="ymymymymyu">DATE(YEAR(Loan_Start),MONTH(Loan_Start)+Payment_Number,DAY(Loan_Start))</definedName>
    <definedName name="yui7yuasewrsarf" localSheetId="6">IF(Loan_Amount*Interest_Rate*Loan_Years*Loan_Start&gt;0,1,0)</definedName>
    <definedName name="yui7yuasewrsarf" localSheetId="39">IF(Loan_Amount*Interest_Rate*Loan_Years*Loan_Start&gt;0,1,0)</definedName>
    <definedName name="yui7yuasewrsarf">IF(Loan_Amount*Interest_Rate*Loan_Years*Loan_Start&gt;0,1,0)</definedName>
    <definedName name="yyuyugyuygugyygu" localSheetId="6">IF('2. Project Summary'!yui7yuasewrsarf,Header_Row+'2. Project Summary'!udrextdshnftjmfr6,Header_Row)</definedName>
    <definedName name="yyuyugyuygugyygu" localSheetId="39">IF('ACR Form'!yui7yuasewrsarf,Header_Row+'ACR Form'!udrextdshnftjmfr6,Header_Row)</definedName>
    <definedName name="yyuyugyuygugyygu">IF(yui7yuasewrsarf,Header_Row+udrextdshnftjmfr6,Header_Row)</definedName>
    <definedName name="ZeroOneTwo">'Dropdown Lists'!$B$2:$B$4</definedName>
    <definedName name="Zoning">'8. Zoning'!$B$4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89" l="1"/>
  <c r="C14" i="88"/>
  <c r="C15" i="88"/>
  <c r="C16" i="88"/>
  <c r="C17" i="88"/>
  <c r="C18" i="88"/>
  <c r="C19" i="88"/>
  <c r="C20" i="88"/>
  <c r="C21" i="88"/>
  <c r="C22" i="88"/>
  <c r="C23" i="88"/>
  <c r="C24" i="88"/>
  <c r="C13" i="88"/>
  <c r="S40" i="57"/>
  <c r="S12" i="57"/>
  <c r="G9" i="65"/>
  <c r="S34" i="57" l="1"/>
  <c r="F176" i="102"/>
  <c r="F175" i="102"/>
  <c r="AL162" i="42" l="1"/>
  <c r="AL161" i="42"/>
  <c r="AL160" i="42"/>
  <c r="AL159" i="42"/>
  <c r="AL158" i="42"/>
  <c r="AL157" i="42"/>
  <c r="AL156" i="42"/>
  <c r="AL155" i="42"/>
  <c r="AL154" i="42"/>
  <c r="AL153" i="42"/>
  <c r="AL152" i="42"/>
  <c r="AL151" i="42"/>
  <c r="AL150" i="42"/>
  <c r="AL149" i="42"/>
  <c r="AL148" i="42"/>
  <c r="AL147" i="42"/>
  <c r="AL146" i="42"/>
  <c r="AL145" i="42"/>
  <c r="AL144" i="42"/>
  <c r="AL143" i="42"/>
  <c r="AL142" i="42"/>
  <c r="AL141" i="42"/>
  <c r="AL140" i="42"/>
  <c r="AL139" i="42"/>
  <c r="AL138" i="42"/>
  <c r="AL137" i="42"/>
  <c r="AL136" i="42"/>
  <c r="AL135" i="42"/>
  <c r="AL134" i="42"/>
  <c r="AL133" i="42"/>
  <c r="AA6" i="45"/>
  <c r="B2" i="111"/>
  <c r="B2" i="90"/>
  <c r="B2" i="91"/>
  <c r="B2" i="89"/>
  <c r="B2" i="88"/>
  <c r="B2" i="65"/>
  <c r="B2" i="57"/>
  <c r="B2" i="59"/>
  <c r="B2" i="68"/>
  <c r="B2" i="20"/>
  <c r="B2" i="52"/>
  <c r="B2" i="109"/>
  <c r="B2" i="49"/>
  <c r="B2" i="48"/>
  <c r="B2" i="103"/>
  <c r="B2" i="47"/>
  <c r="B2" i="105"/>
  <c r="B2" i="46"/>
  <c r="B2" i="45"/>
  <c r="B2" i="13"/>
  <c r="B2" i="11"/>
  <c r="B2" i="10"/>
  <c r="B2" i="9"/>
  <c r="B2" i="7"/>
  <c r="B2" i="6"/>
  <c r="B2" i="3"/>
  <c r="B2" i="1"/>
  <c r="B2" i="108"/>
  <c r="B2" i="106"/>
  <c r="AM142" i="42" l="1" a="1"/>
  <c r="AM142" i="42" s="1"/>
  <c r="AM139" i="42" a="1"/>
  <c r="AM139" i="42" s="1"/>
  <c r="AM140" i="42" a="1"/>
  <c r="AM140" i="42" s="1"/>
  <c r="AM141" i="42" a="1"/>
  <c r="AM141" i="42" s="1"/>
  <c r="AM151" i="42" a="1"/>
  <c r="AM151" i="42" s="1"/>
  <c r="AM144" i="42" a="1"/>
  <c r="AM144" i="42" s="1"/>
  <c r="AM156" i="42" a="1"/>
  <c r="AM156" i="42" s="1"/>
  <c r="AM161" i="42" a="1"/>
  <c r="AM161" i="42" s="1"/>
  <c r="AM149" i="42" a="1"/>
  <c r="AM149" i="42" s="1"/>
  <c r="AM137" i="42" a="1"/>
  <c r="AM137" i="42" s="1"/>
  <c r="AM154" i="42" a="1"/>
  <c r="AM154" i="42" s="1"/>
  <c r="AM157" i="42" a="1"/>
  <c r="AM157" i="42" s="1"/>
  <c r="AM145" i="42" a="1"/>
  <c r="AM145" i="42" s="1"/>
  <c r="AM133" i="42" a="1"/>
  <c r="AM133" i="42" s="1"/>
  <c r="AM162" i="42" a="1"/>
  <c r="AM162" i="42" s="1"/>
  <c r="AM150" i="42" a="1"/>
  <c r="AM150" i="42" s="1"/>
  <c r="AM138" i="42" a="1"/>
  <c r="AM138" i="42" s="1"/>
  <c r="AM155" i="42" a="1"/>
  <c r="AM155" i="42" s="1"/>
  <c r="AM143" i="42" a="1"/>
  <c r="AM143" i="42" s="1"/>
  <c r="AM160" i="42" a="1"/>
  <c r="AM160" i="42" s="1"/>
  <c r="AM148" i="42" a="1"/>
  <c r="AM148" i="42" s="1"/>
  <c r="AM153" i="42" a="1"/>
  <c r="AM153" i="42" s="1"/>
  <c r="AM134" i="42" a="1"/>
  <c r="AM134" i="42" s="1"/>
  <c r="AM158" i="42" a="1"/>
  <c r="AM158" i="42" s="1"/>
  <c r="AM135" i="42" a="1"/>
  <c r="AM135" i="42" s="1"/>
  <c r="AM136" i="42" a="1"/>
  <c r="AM136" i="42" s="1"/>
  <c r="AM146" i="42" a="1"/>
  <c r="AM146" i="42" s="1"/>
  <c r="AM147" i="42" a="1"/>
  <c r="AM147" i="42" s="1"/>
  <c r="AM159" i="42" a="1"/>
  <c r="AM159" i="42" s="1"/>
  <c r="AM152" i="42" a="1"/>
  <c r="AM152" i="42" s="1"/>
  <c r="E47" i="9"/>
  <c r="D47" i="9"/>
  <c r="C47" i="9"/>
  <c r="F188" i="102"/>
  <c r="X12" i="46"/>
  <c r="D78" i="46"/>
  <c r="D62" i="46"/>
  <c r="E62" i="46"/>
  <c r="E59" i="46"/>
  <c r="C11" i="46"/>
  <c r="G11" i="46" s="1"/>
  <c r="AT134" i="42" l="1" a="1"/>
  <c r="AT134" i="42" s="1"/>
  <c r="AU134" i="42" a="1"/>
  <c r="AU134" i="42" s="1"/>
  <c r="AS134" i="42" a="1"/>
  <c r="AS134" i="42" s="1"/>
  <c r="AP134" i="42" a="1"/>
  <c r="AP134" i="42" s="1"/>
  <c r="AN134" i="42" a="1"/>
  <c r="AN134" i="42" s="1"/>
  <c r="AO134" i="42" a="1"/>
  <c r="AO134" i="42" s="1"/>
  <c r="AR134" i="42" a="1"/>
  <c r="AR134" i="42" s="1"/>
  <c r="AQ134" i="42" a="1"/>
  <c r="AQ134" i="42" s="1"/>
  <c r="AR156" i="42" a="1"/>
  <c r="AR156" i="42" s="1"/>
  <c r="AP156" i="42" a="1"/>
  <c r="AP156" i="42" s="1"/>
  <c r="AU156" i="42" a="1"/>
  <c r="AU156" i="42" s="1"/>
  <c r="AO156" i="42" a="1"/>
  <c r="AO156" i="42" s="1"/>
  <c r="AT156" i="42" a="1"/>
  <c r="AT156" i="42" s="1"/>
  <c r="AN156" i="42" a="1"/>
  <c r="AN156" i="42" s="1"/>
  <c r="AS156" i="42" a="1"/>
  <c r="AS156" i="42" s="1"/>
  <c r="AQ156" i="42" a="1"/>
  <c r="AQ156" i="42" s="1"/>
  <c r="AS137" i="42" a="1"/>
  <c r="AS137" i="42" s="1"/>
  <c r="AQ137" i="42" a="1"/>
  <c r="AQ137" i="42" s="1"/>
  <c r="AP137" i="42" a="1"/>
  <c r="AP137" i="42" s="1"/>
  <c r="AO137" i="42" a="1"/>
  <c r="AO137" i="42" s="1"/>
  <c r="AT137" i="42" a="1"/>
  <c r="AT137" i="42" s="1"/>
  <c r="AR137" i="42" a="1"/>
  <c r="AR137" i="42" s="1"/>
  <c r="AN137" i="42" a="1"/>
  <c r="AN137" i="42" s="1"/>
  <c r="AU137" i="42" a="1"/>
  <c r="AU137" i="42" s="1"/>
  <c r="AP160" i="42" a="1"/>
  <c r="AP160" i="42" s="1"/>
  <c r="AT160" i="42" a="1"/>
  <c r="AT160" i="42" s="1"/>
  <c r="AN160" i="42" a="1"/>
  <c r="AN160" i="42" s="1"/>
  <c r="AS160" i="42" a="1"/>
  <c r="AS160" i="42" s="1"/>
  <c r="AU160" i="42" a="1"/>
  <c r="AU160" i="42" s="1"/>
  <c r="AR160" i="42" a="1"/>
  <c r="AR160" i="42" s="1"/>
  <c r="AQ160" i="42" a="1"/>
  <c r="AQ160" i="42" s="1"/>
  <c r="AO160" i="42" a="1"/>
  <c r="AO160" i="42" s="1"/>
  <c r="AP144" i="42" a="1"/>
  <c r="AP144" i="42" s="1"/>
  <c r="AU144" i="42" a="1"/>
  <c r="AU144" i="42" s="1"/>
  <c r="AR144" i="42" a="1"/>
  <c r="AR144" i="42" s="1"/>
  <c r="AN144" i="42" a="1"/>
  <c r="AN144" i="42" s="1"/>
  <c r="AT144" i="42" a="1"/>
  <c r="AT144" i="42" s="1"/>
  <c r="AS144" i="42" a="1"/>
  <c r="AS144" i="42" s="1"/>
  <c r="AQ144" i="42" a="1"/>
  <c r="AQ144" i="42" s="1"/>
  <c r="AO144" i="42" a="1"/>
  <c r="AO144" i="42" s="1"/>
  <c r="AT159" i="42" a="1"/>
  <c r="AT159" i="42" s="1"/>
  <c r="AN159" i="42" a="1"/>
  <c r="AN159" i="42" s="1"/>
  <c r="AR159" i="42" a="1"/>
  <c r="AR159" i="42" s="1"/>
  <c r="AQ159" i="42" a="1"/>
  <c r="AQ159" i="42" s="1"/>
  <c r="AO159" i="42" a="1"/>
  <c r="AO159" i="42" s="1"/>
  <c r="AU159" i="42" a="1"/>
  <c r="AU159" i="42" s="1"/>
  <c r="AS159" i="42" a="1"/>
  <c r="AS159" i="42" s="1"/>
  <c r="AP159" i="42" a="1"/>
  <c r="AP159" i="42" s="1"/>
  <c r="AS138" i="42" a="1"/>
  <c r="AS138" i="42" s="1"/>
  <c r="AO138" i="42" a="1"/>
  <c r="AO138" i="42" s="1"/>
  <c r="AT138" i="42" a="1"/>
  <c r="AT138" i="42" s="1"/>
  <c r="AQ138" i="42" a="1"/>
  <c r="AQ138" i="42" s="1"/>
  <c r="AP138" i="42" a="1"/>
  <c r="AP138" i="42" s="1"/>
  <c r="AN138" i="42" a="1"/>
  <c r="AN138" i="42" s="1"/>
  <c r="AR138" i="42" a="1"/>
  <c r="AR138" i="42" s="1"/>
  <c r="AU138" i="42" a="1"/>
  <c r="AU138" i="42" s="1"/>
  <c r="AR151" i="42" a="1"/>
  <c r="AR151" i="42" s="1"/>
  <c r="AP151" i="42" a="1"/>
  <c r="AP151" i="42" s="1"/>
  <c r="AU151" i="42" a="1"/>
  <c r="AU151" i="42" s="1"/>
  <c r="AO151" i="42" a="1"/>
  <c r="AO151" i="42" s="1"/>
  <c r="AQ151" i="42" a="1"/>
  <c r="AQ151" i="42" s="1"/>
  <c r="AN151" i="42" a="1"/>
  <c r="AN151" i="42" s="1"/>
  <c r="AT151" i="42" a="1"/>
  <c r="AT151" i="42" s="1"/>
  <c r="AS151" i="42" a="1"/>
  <c r="AS151" i="42" s="1"/>
  <c r="AQ158" i="42" a="1"/>
  <c r="AQ158" i="42" s="1"/>
  <c r="AU158" i="42" a="1"/>
  <c r="AU158" i="42" s="1"/>
  <c r="AO158" i="42" a="1"/>
  <c r="AO158" i="42" s="1"/>
  <c r="AT158" i="42" a="1"/>
  <c r="AT158" i="42" s="1"/>
  <c r="AN158" i="42" a="1"/>
  <c r="AN158" i="42" s="1"/>
  <c r="AR158" i="42" a="1"/>
  <c r="AR158" i="42" s="1"/>
  <c r="AP158" i="42" a="1"/>
  <c r="AP158" i="42" s="1"/>
  <c r="AS158" i="42" a="1"/>
  <c r="AS158" i="42" s="1"/>
  <c r="AT148" i="42" a="1"/>
  <c r="AT148" i="42" s="1"/>
  <c r="AN148" i="42" a="1"/>
  <c r="AN148" i="42" s="1"/>
  <c r="AS148" i="42" a="1"/>
  <c r="AS148" i="42" s="1"/>
  <c r="AU148" i="42" a="1"/>
  <c r="AU148" i="42" s="1"/>
  <c r="AR148" i="42" a="1"/>
  <c r="AR148" i="42" s="1"/>
  <c r="AQ148" i="42" a="1"/>
  <c r="AQ148" i="42" s="1"/>
  <c r="AP148" i="42" a="1"/>
  <c r="AP148" i="42" s="1"/>
  <c r="AO148" i="42" a="1"/>
  <c r="AO148" i="42" s="1"/>
  <c r="AP155" i="42" a="1"/>
  <c r="AP155" i="42" s="1"/>
  <c r="AT155" i="42" a="1"/>
  <c r="AT155" i="42" s="1"/>
  <c r="AN155" i="42" a="1"/>
  <c r="AN155" i="42" s="1"/>
  <c r="AS155" i="42" a="1"/>
  <c r="AS155" i="42" s="1"/>
  <c r="AR155" i="42" a="1"/>
  <c r="AR155" i="42" s="1"/>
  <c r="AU155" i="42" a="1"/>
  <c r="AU155" i="42" s="1"/>
  <c r="AQ155" i="42" a="1"/>
  <c r="AQ155" i="42" s="1"/>
  <c r="AO155" i="42" a="1"/>
  <c r="AO155" i="42" s="1"/>
  <c r="AU150" i="42" a="1"/>
  <c r="AU150" i="42" s="1"/>
  <c r="AO150" i="42" a="1"/>
  <c r="AO150" i="42" s="1"/>
  <c r="AS150" i="42" a="1"/>
  <c r="AS150" i="42" s="1"/>
  <c r="AR150" i="42" a="1"/>
  <c r="AR150" i="42" s="1"/>
  <c r="AN150" i="42" a="1"/>
  <c r="AN150" i="42" s="1"/>
  <c r="AT150" i="42" a="1"/>
  <c r="AT150" i="42" s="1"/>
  <c r="AQ150" i="42" a="1"/>
  <c r="AQ150" i="42" s="1"/>
  <c r="AP150" i="42" a="1"/>
  <c r="AP150" i="42" s="1"/>
  <c r="AQ141" i="42" a="1"/>
  <c r="AQ141" i="42" s="1"/>
  <c r="AU141" i="42" a="1"/>
  <c r="AU141" i="42" s="1"/>
  <c r="AO141" i="42" a="1"/>
  <c r="AO141" i="42" s="1"/>
  <c r="AT141" i="42" a="1"/>
  <c r="AT141" i="42" s="1"/>
  <c r="AN141" i="42" a="1"/>
  <c r="AN141" i="42" s="1"/>
  <c r="AP141" i="42" a="1"/>
  <c r="AP141" i="42" s="1"/>
  <c r="AR141" i="42" a="1"/>
  <c r="AR141" i="42" s="1"/>
  <c r="AS141" i="42" a="1"/>
  <c r="AS141" i="42" s="1"/>
  <c r="AU157" i="42" a="1"/>
  <c r="AU157" i="42" s="1"/>
  <c r="AO157" i="42" a="1"/>
  <c r="AO157" i="42" s="1"/>
  <c r="AS157" i="42" a="1"/>
  <c r="AS157" i="42" s="1"/>
  <c r="AR157" i="42" a="1"/>
  <c r="AR157" i="42" s="1"/>
  <c r="AP157" i="42" a="1"/>
  <c r="AP157" i="42" s="1"/>
  <c r="AT157" i="42" a="1"/>
  <c r="AT157" i="42" s="1"/>
  <c r="AN157" i="42" a="1"/>
  <c r="AN157" i="42" s="1"/>
  <c r="AQ157" i="42" a="1"/>
  <c r="AQ157" i="42" s="1"/>
  <c r="AS149" i="42" a="1"/>
  <c r="AS149" i="42" s="1"/>
  <c r="AQ149" i="42" a="1"/>
  <c r="AQ149" i="42" s="1"/>
  <c r="AP149" i="42" a="1"/>
  <c r="AP149" i="42" s="1"/>
  <c r="AU149" i="42" a="1"/>
  <c r="AU149" i="42" s="1"/>
  <c r="AT149" i="42" a="1"/>
  <c r="AT149" i="42" s="1"/>
  <c r="AR149" i="42" a="1"/>
  <c r="AR149" i="42" s="1"/>
  <c r="AO149" i="42" a="1"/>
  <c r="AO149" i="42" s="1"/>
  <c r="AN149" i="42" a="1"/>
  <c r="AN149" i="42" s="1"/>
  <c r="AT152" i="42" a="1"/>
  <c r="AT152" i="42" s="1"/>
  <c r="AN152" i="42" a="1"/>
  <c r="AN152" i="42" s="1"/>
  <c r="AR152" i="42" a="1"/>
  <c r="AR152" i="42" s="1"/>
  <c r="AQ152" i="42" a="1"/>
  <c r="AQ152" i="42" s="1"/>
  <c r="AS152" i="42" a="1"/>
  <c r="AS152" i="42" s="1"/>
  <c r="AO152" i="42" a="1"/>
  <c r="AO152" i="42" s="1"/>
  <c r="AP152" i="42" a="1"/>
  <c r="AP152" i="42" s="1"/>
  <c r="AU152" i="42" a="1"/>
  <c r="AU152" i="42" s="1"/>
  <c r="AU162" i="42" a="1"/>
  <c r="AU162" i="42" s="1"/>
  <c r="AO162" i="42" a="1"/>
  <c r="AO162" i="42" s="1"/>
  <c r="AS162" i="42" a="1"/>
  <c r="AS162" i="42" s="1"/>
  <c r="AR162" i="42" a="1"/>
  <c r="AR162" i="42" s="1"/>
  <c r="AQ162" i="42" a="1"/>
  <c r="AQ162" i="42" s="1"/>
  <c r="AN162" i="42" a="1"/>
  <c r="AN162" i="42" s="1"/>
  <c r="AT162" i="42" a="1"/>
  <c r="AT162" i="42" s="1"/>
  <c r="AP162" i="42" a="1"/>
  <c r="AP162" i="42" s="1"/>
  <c r="AR140" i="42" a="1"/>
  <c r="AR140" i="42" s="1"/>
  <c r="AQ140" i="42" a="1"/>
  <c r="AQ140" i="42" s="1"/>
  <c r="AN140" i="42" a="1"/>
  <c r="AN140" i="42" s="1"/>
  <c r="AO140" i="42" a="1"/>
  <c r="AO140" i="42" s="1"/>
  <c r="AU140" i="42" a="1"/>
  <c r="AU140" i="42" s="1"/>
  <c r="AP140" i="42" a="1"/>
  <c r="AP140" i="42" s="1"/>
  <c r="AS140" i="42" a="1"/>
  <c r="AS140" i="42" s="1"/>
  <c r="AT140" i="42" a="1"/>
  <c r="AT140" i="42" s="1"/>
  <c r="AS154" i="42" a="1"/>
  <c r="AS154" i="42" s="1"/>
  <c r="AQ154" i="42" a="1"/>
  <c r="AQ154" i="42" s="1"/>
  <c r="AP154" i="42" a="1"/>
  <c r="AP154" i="42" s="1"/>
  <c r="AR154" i="42" a="1"/>
  <c r="AR154" i="42" s="1"/>
  <c r="AO154" i="42" a="1"/>
  <c r="AO154" i="42" s="1"/>
  <c r="AU154" i="42" a="1"/>
  <c r="AU154" i="42" s="1"/>
  <c r="AT154" i="42" a="1"/>
  <c r="AT154" i="42" s="1"/>
  <c r="AN154" i="42" a="1"/>
  <c r="AN154" i="42" s="1"/>
  <c r="AS161" i="42" a="1"/>
  <c r="AS161" i="42" s="1"/>
  <c r="AQ161" i="42" a="1"/>
  <c r="AQ161" i="42" s="1"/>
  <c r="AP161" i="42" a="1"/>
  <c r="AP161" i="42" s="1"/>
  <c r="AR161" i="42" a="1"/>
  <c r="AR161" i="42" s="1"/>
  <c r="AT161" i="42" a="1"/>
  <c r="AT161" i="42" s="1"/>
  <c r="AU161" i="42" a="1"/>
  <c r="AU161" i="42" s="1"/>
  <c r="AO161" i="42" a="1"/>
  <c r="AO161" i="42" s="1"/>
  <c r="AN161" i="42" a="1"/>
  <c r="AN161" i="42" s="1"/>
  <c r="AU146" i="42" a="1"/>
  <c r="AU146" i="42" s="1"/>
  <c r="AO146" i="42" a="1"/>
  <c r="AO146" i="42" s="1"/>
  <c r="AR146" i="42" a="1"/>
  <c r="AR146" i="42" s="1"/>
  <c r="AS146" i="42" a="1"/>
  <c r="AS146" i="42" s="1"/>
  <c r="AT146" i="42" a="1"/>
  <c r="AT146" i="42" s="1"/>
  <c r="AQ146" i="42" a="1"/>
  <c r="AQ146" i="42" s="1"/>
  <c r="AP146" i="42" a="1"/>
  <c r="AP146" i="42" s="1"/>
  <c r="AN146" i="42" a="1"/>
  <c r="AN146" i="42" s="1"/>
  <c r="AQ136" i="42" a="1"/>
  <c r="AQ136" i="42" s="1"/>
  <c r="AS136" i="42" a="1"/>
  <c r="AS136" i="42" s="1"/>
  <c r="AR136" i="42" a="1"/>
  <c r="AR136" i="42" s="1"/>
  <c r="AU136" i="42" a="1"/>
  <c r="AU136" i="42" s="1"/>
  <c r="AP136" i="42" a="1"/>
  <c r="AP136" i="42" s="1"/>
  <c r="AT136" i="42" a="1"/>
  <c r="AT136" i="42" s="1"/>
  <c r="AO136" i="42" a="1"/>
  <c r="AO136" i="42" s="1"/>
  <c r="AN136" i="42" a="1"/>
  <c r="AN136" i="42" s="1"/>
  <c r="AU133" i="42" a="1"/>
  <c r="AU133" i="42" s="1"/>
  <c r="AO133" i="42" a="1"/>
  <c r="AO133" i="42" s="1"/>
  <c r="AS133" i="42" a="1"/>
  <c r="AS133" i="42" s="1"/>
  <c r="AR133" i="42" a="1"/>
  <c r="AR133" i="42" s="1"/>
  <c r="AN133" i="42" a="1"/>
  <c r="AN133" i="42" s="1"/>
  <c r="AQ133" i="42" a="1"/>
  <c r="AQ133" i="42" s="1"/>
  <c r="AP133" i="42" a="1"/>
  <c r="AP133" i="42" s="1"/>
  <c r="AT133" i="42" a="1"/>
  <c r="AT133" i="42" s="1"/>
  <c r="AR139" i="42" a="1"/>
  <c r="AR139" i="42" s="1"/>
  <c r="AP139" i="42" a="1"/>
  <c r="AP139" i="42" s="1"/>
  <c r="AU139" i="42" a="1"/>
  <c r="AU139" i="42" s="1"/>
  <c r="AO139" i="42" a="1"/>
  <c r="AO139" i="42" s="1"/>
  <c r="AN139" i="42" a="1"/>
  <c r="AN139" i="42" s="1"/>
  <c r="AS139" i="42" a="1"/>
  <c r="AS139" i="42" s="1"/>
  <c r="AQ139" i="42" a="1"/>
  <c r="AQ139" i="42" s="1"/>
  <c r="AT139" i="42" a="1"/>
  <c r="AT139" i="42" s="1"/>
  <c r="AQ153" i="42" a="1"/>
  <c r="AQ153" i="42" s="1"/>
  <c r="AU153" i="42" a="1"/>
  <c r="AU153" i="42" s="1"/>
  <c r="AO153" i="42" a="1"/>
  <c r="AO153" i="42" s="1"/>
  <c r="AT153" i="42" a="1"/>
  <c r="AT153" i="42" s="1"/>
  <c r="AN153" i="42" a="1"/>
  <c r="AN153" i="42" s="1"/>
  <c r="AS153" i="42" a="1"/>
  <c r="AS153" i="42" s="1"/>
  <c r="AP153" i="42" a="1"/>
  <c r="AP153" i="42" s="1"/>
  <c r="AR153" i="42" a="1"/>
  <c r="AR153" i="42" s="1"/>
  <c r="AP143" i="42" a="1"/>
  <c r="AP143" i="42" s="1"/>
  <c r="AT143" i="42" a="1"/>
  <c r="AT143" i="42" s="1"/>
  <c r="AN143" i="42" a="1"/>
  <c r="AN143" i="42" s="1"/>
  <c r="AS143" i="42" a="1"/>
  <c r="AS143" i="42" s="1"/>
  <c r="AU143" i="42" a="1"/>
  <c r="AU143" i="42" s="1"/>
  <c r="AO143" i="42" a="1"/>
  <c r="AO143" i="42" s="1"/>
  <c r="AQ143" i="42" a="1"/>
  <c r="AQ143" i="42" s="1"/>
  <c r="AR143" i="42" a="1"/>
  <c r="AR143" i="42" s="1"/>
  <c r="AT147" i="42" a="1"/>
  <c r="AT147" i="42" s="1"/>
  <c r="AN147" i="42" a="1"/>
  <c r="AN147" i="42" s="1"/>
  <c r="AR147" i="42" a="1"/>
  <c r="AR147" i="42" s="1"/>
  <c r="AQ147" i="42" a="1"/>
  <c r="AQ147" i="42" s="1"/>
  <c r="AU147" i="42" a="1"/>
  <c r="AU147" i="42" s="1"/>
  <c r="AS147" i="42" a="1"/>
  <c r="AS147" i="42" s="1"/>
  <c r="AP147" i="42" a="1"/>
  <c r="AP147" i="42" s="1"/>
  <c r="AO147" i="42" a="1"/>
  <c r="AO147" i="42" s="1"/>
  <c r="AT135" i="42" a="1"/>
  <c r="AT135" i="42" s="1"/>
  <c r="AN135" i="42" a="1"/>
  <c r="AN135" i="42" s="1"/>
  <c r="AR135" i="42" a="1"/>
  <c r="AR135" i="42" s="1"/>
  <c r="AQ135" i="42" a="1"/>
  <c r="AQ135" i="42" s="1"/>
  <c r="AS135" i="42" a="1"/>
  <c r="AS135" i="42" s="1"/>
  <c r="AO135" i="42" a="1"/>
  <c r="AO135" i="42" s="1"/>
  <c r="AU135" i="42" a="1"/>
  <c r="AU135" i="42" s="1"/>
  <c r="AP135" i="42" a="1"/>
  <c r="AP135" i="42" s="1"/>
  <c r="AU145" i="42" a="1"/>
  <c r="AU145" i="42" s="1"/>
  <c r="AO145" i="42" a="1"/>
  <c r="AO145" i="42" s="1"/>
  <c r="AS145" i="42" a="1"/>
  <c r="AS145" i="42" s="1"/>
  <c r="AR145" i="42" a="1"/>
  <c r="AR145" i="42" s="1"/>
  <c r="AN145" i="42" a="1"/>
  <c r="AN145" i="42" s="1"/>
  <c r="AT145" i="42" a="1"/>
  <c r="AT145" i="42" s="1"/>
  <c r="AQ145" i="42" a="1"/>
  <c r="AQ145" i="42" s="1"/>
  <c r="AP145" i="42" a="1"/>
  <c r="AP145" i="42" s="1"/>
  <c r="AQ142" i="42" a="1"/>
  <c r="AQ142" i="42" s="1"/>
  <c r="AU142" i="42" a="1"/>
  <c r="AU142" i="42" s="1"/>
  <c r="AP142" i="42" a="1"/>
  <c r="AP142" i="42" s="1"/>
  <c r="AN142" i="42" a="1"/>
  <c r="AN142" i="42" s="1"/>
  <c r="AO142" i="42" a="1"/>
  <c r="AO142" i="42" s="1"/>
  <c r="AT142" i="42" a="1"/>
  <c r="AT142" i="42" s="1"/>
  <c r="AS142" i="42" a="1"/>
  <c r="AS142" i="42" s="1"/>
  <c r="AR142" i="42" a="1"/>
  <c r="AR142" i="42" s="1"/>
  <c r="C62" i="46"/>
  <c r="C63" i="46" l="1"/>
  <c r="G63" i="46" s="1"/>
  <c r="G62" i="46"/>
  <c r="AL14" i="54" l="1"/>
  <c r="AM14" i="54"/>
  <c r="AN14" i="54"/>
  <c r="AO14" i="54"/>
  <c r="AP14" i="54"/>
  <c r="AQ14" i="54"/>
  <c r="AL15" i="54"/>
  <c r="AM15" i="54"/>
  <c r="AN15" i="54"/>
  <c r="AO15" i="54"/>
  <c r="AP15" i="54"/>
  <c r="AQ15" i="54"/>
  <c r="AL16" i="54"/>
  <c r="AM16" i="54"/>
  <c r="AN16" i="54"/>
  <c r="AO16" i="54"/>
  <c r="AP16" i="54"/>
  <c r="AQ16" i="54"/>
  <c r="AL17" i="54"/>
  <c r="AM17" i="54"/>
  <c r="AN17" i="54"/>
  <c r="AO17" i="54"/>
  <c r="AP17" i="54"/>
  <c r="AQ17" i="54"/>
  <c r="AL18" i="54"/>
  <c r="AM18" i="54"/>
  <c r="AN18" i="54"/>
  <c r="AO18" i="54"/>
  <c r="AP18" i="54"/>
  <c r="AL19" i="54"/>
  <c r="AM19" i="54"/>
  <c r="AN19" i="54"/>
  <c r="AO19" i="54"/>
  <c r="AP19" i="54"/>
  <c r="AQ19" i="54"/>
  <c r="AL20" i="54"/>
  <c r="AM20" i="54"/>
  <c r="AN20" i="54"/>
  <c r="AO20" i="54"/>
  <c r="AQ20" i="54"/>
  <c r="AL21" i="54"/>
  <c r="AM21" i="54"/>
  <c r="AN21" i="54"/>
  <c r="AO21" i="54"/>
  <c r="AP21" i="54"/>
  <c r="AQ21" i="54"/>
  <c r="AL22" i="54"/>
  <c r="AM22" i="54"/>
  <c r="AN22" i="54"/>
  <c r="AO22" i="54"/>
  <c r="AP22" i="54"/>
  <c r="AQ22" i="54"/>
  <c r="AL23" i="54"/>
  <c r="AM23" i="54"/>
  <c r="AN23" i="54"/>
  <c r="AO23" i="54"/>
  <c r="AP23" i="54"/>
  <c r="AQ23" i="54"/>
  <c r="AL24" i="54"/>
  <c r="AM24" i="54"/>
  <c r="AN24" i="54"/>
  <c r="AO24" i="54"/>
  <c r="AP24" i="54"/>
  <c r="AQ24" i="54"/>
  <c r="AL25" i="54"/>
  <c r="AM25" i="54"/>
  <c r="AN25" i="54"/>
  <c r="AO25" i="54"/>
  <c r="AP25" i="54"/>
  <c r="AQ25" i="54"/>
  <c r="AL26" i="54"/>
  <c r="AM26" i="54"/>
  <c r="AN26" i="54"/>
  <c r="AO26" i="54"/>
  <c r="AP26" i="54"/>
  <c r="AQ26" i="54"/>
  <c r="AL27" i="54"/>
  <c r="AM27" i="54"/>
  <c r="AN27" i="54"/>
  <c r="AO27" i="54"/>
  <c r="AP27" i="54"/>
  <c r="AQ27" i="54"/>
  <c r="AL28" i="54"/>
  <c r="AM28" i="54"/>
  <c r="AN28" i="54"/>
  <c r="AO28" i="54"/>
  <c r="AP28" i="54"/>
  <c r="AQ28" i="54"/>
  <c r="AL29" i="54"/>
  <c r="AM29" i="54"/>
  <c r="AN29" i="54"/>
  <c r="AO29" i="54"/>
  <c r="AP29" i="54"/>
  <c r="AQ29" i="54"/>
  <c r="AL30" i="54"/>
  <c r="AM30" i="54"/>
  <c r="AN30" i="54"/>
  <c r="AO30" i="54"/>
  <c r="AP30" i="54"/>
  <c r="AQ30" i="54"/>
  <c r="AL31" i="54"/>
  <c r="AM31" i="54"/>
  <c r="AN31" i="54"/>
  <c r="AO31" i="54"/>
  <c r="AP31" i="54"/>
  <c r="AQ31" i="54"/>
  <c r="AL32" i="54"/>
  <c r="AM32" i="54"/>
  <c r="AN32" i="54"/>
  <c r="AO32" i="54"/>
  <c r="AP32" i="54"/>
  <c r="AQ32" i="54"/>
  <c r="AL33" i="54"/>
  <c r="AM33" i="54"/>
  <c r="AN33" i="54"/>
  <c r="AO33" i="54"/>
  <c r="AP33" i="54"/>
  <c r="AQ33" i="54"/>
  <c r="AL34" i="54"/>
  <c r="AM34" i="54"/>
  <c r="AN34" i="54"/>
  <c r="AO34" i="54"/>
  <c r="AP34" i="54"/>
  <c r="AQ34" i="54"/>
  <c r="AL35" i="54"/>
  <c r="AM35" i="54"/>
  <c r="AN35" i="54"/>
  <c r="AO35" i="54"/>
  <c r="AP35" i="54"/>
  <c r="AQ35" i="54"/>
  <c r="AL36" i="54"/>
  <c r="AM36" i="54"/>
  <c r="AN36" i="54"/>
  <c r="AO36" i="54"/>
  <c r="AP36" i="54"/>
  <c r="AQ36" i="54"/>
  <c r="AL37" i="54"/>
  <c r="AN37" i="54"/>
  <c r="AO37" i="54"/>
  <c r="AP37" i="54"/>
  <c r="AQ37" i="54"/>
  <c r="AL38" i="54"/>
  <c r="AM38" i="54"/>
  <c r="AN38" i="54"/>
  <c r="AO38" i="54"/>
  <c r="AP38" i="54"/>
  <c r="AQ38" i="54"/>
  <c r="AL39" i="54"/>
  <c r="AM39" i="54"/>
  <c r="AN39" i="54"/>
  <c r="AO39" i="54"/>
  <c r="AP39" i="54"/>
  <c r="AQ39" i="54"/>
  <c r="AL40" i="54"/>
  <c r="AM40" i="54"/>
  <c r="AN40" i="54"/>
  <c r="AO40" i="54"/>
  <c r="AP40" i="54"/>
  <c r="AQ40" i="54"/>
  <c r="AL41" i="54"/>
  <c r="AN41" i="54"/>
  <c r="AO41" i="54"/>
  <c r="AP41" i="54"/>
  <c r="AQ41" i="54"/>
  <c r="AL42" i="54"/>
  <c r="AM42" i="54"/>
  <c r="AN42" i="54"/>
  <c r="AO42" i="54"/>
  <c r="AP42" i="54"/>
  <c r="AQ42" i="54"/>
  <c r="AL43" i="54"/>
  <c r="AM43" i="54"/>
  <c r="AN43" i="54"/>
  <c r="AO43" i="54"/>
  <c r="AP43" i="54"/>
  <c r="AQ43" i="54"/>
  <c r="AL44" i="54"/>
  <c r="AM44" i="54"/>
  <c r="AN44" i="54"/>
  <c r="AO44" i="54"/>
  <c r="AP44" i="54"/>
  <c r="AQ44" i="54"/>
  <c r="AL45" i="54"/>
  <c r="AM45" i="54"/>
  <c r="AN45" i="54"/>
  <c r="AO45" i="54"/>
  <c r="AP45" i="54"/>
  <c r="AQ45" i="54"/>
  <c r="AL46" i="54"/>
  <c r="AM46" i="54"/>
  <c r="AN46" i="54"/>
  <c r="AO46" i="54"/>
  <c r="AP46" i="54"/>
  <c r="AQ46" i="54"/>
  <c r="AL47" i="54"/>
  <c r="AM47" i="54"/>
  <c r="AN47" i="54"/>
  <c r="AO47" i="54"/>
  <c r="AP47" i="54"/>
  <c r="AQ47" i="54"/>
  <c r="AL48" i="54"/>
  <c r="AM48" i="54"/>
  <c r="AN48" i="54"/>
  <c r="AO48" i="54"/>
  <c r="AP48" i="54"/>
  <c r="AQ48" i="54"/>
  <c r="AL49" i="54"/>
  <c r="AM49" i="54"/>
  <c r="AN49" i="54"/>
  <c r="AO49" i="54"/>
  <c r="AP49" i="54"/>
  <c r="AQ49" i="54"/>
  <c r="AL50" i="54"/>
  <c r="AM50" i="54"/>
  <c r="AN50" i="54"/>
  <c r="AO50" i="54"/>
  <c r="AP50" i="54"/>
  <c r="AQ50" i="54"/>
  <c r="AL51" i="54"/>
  <c r="AM51" i="54"/>
  <c r="AN51" i="54"/>
  <c r="AO51" i="54"/>
  <c r="AP51" i="54"/>
  <c r="AQ51" i="54"/>
  <c r="AL52" i="54"/>
  <c r="AM52" i="54"/>
  <c r="AN52" i="54"/>
  <c r="AO52" i="54"/>
  <c r="AP52" i="54"/>
  <c r="AQ52" i="54"/>
  <c r="AL53" i="54"/>
  <c r="AM53" i="54"/>
  <c r="AN53" i="54"/>
  <c r="AO53" i="54"/>
  <c r="AP53" i="54"/>
  <c r="AQ53" i="54"/>
  <c r="AL54" i="54"/>
  <c r="AM54" i="54"/>
  <c r="AN54" i="54"/>
  <c r="AO54" i="54"/>
  <c r="AP54" i="54"/>
  <c r="AQ54" i="54"/>
  <c r="AL55" i="54"/>
  <c r="AM55" i="54"/>
  <c r="AN55" i="54"/>
  <c r="AO55" i="54"/>
  <c r="AP55" i="54"/>
  <c r="AQ55" i="54"/>
  <c r="AL56" i="54"/>
  <c r="AM56" i="54"/>
  <c r="AN56" i="54"/>
  <c r="AO56" i="54"/>
  <c r="AP56" i="54"/>
  <c r="AQ56" i="54"/>
  <c r="AL57" i="54"/>
  <c r="AM57" i="54"/>
  <c r="AN57" i="54"/>
  <c r="AO57" i="54"/>
  <c r="AP57" i="54"/>
  <c r="AQ57" i="54"/>
  <c r="AL58" i="54"/>
  <c r="AM58" i="54"/>
  <c r="AN58" i="54"/>
  <c r="AO58" i="54"/>
  <c r="AP58" i="54"/>
  <c r="AQ58" i="54"/>
  <c r="AL59" i="54"/>
  <c r="AM59" i="54"/>
  <c r="AN59" i="54"/>
  <c r="AO59" i="54"/>
  <c r="AP59" i="54"/>
  <c r="AQ59" i="54"/>
  <c r="AL60" i="54"/>
  <c r="AM60" i="54"/>
  <c r="AN60" i="54"/>
  <c r="AO60" i="54"/>
  <c r="AP60" i="54"/>
  <c r="AQ60" i="54"/>
  <c r="AL61" i="54"/>
  <c r="AM61" i="54"/>
  <c r="AN61" i="54"/>
  <c r="AO61" i="54"/>
  <c r="AP61" i="54"/>
  <c r="AQ61" i="54"/>
  <c r="AL62" i="54"/>
  <c r="AM62" i="54"/>
  <c r="AN62" i="54"/>
  <c r="AO62" i="54"/>
  <c r="AP62" i="54"/>
  <c r="AQ62" i="54"/>
  <c r="AL63" i="54"/>
  <c r="AM63" i="54"/>
  <c r="AN63" i="54"/>
  <c r="AO63" i="54"/>
  <c r="AP63" i="54"/>
  <c r="AQ63" i="54"/>
  <c r="AL64" i="54"/>
  <c r="AM64" i="54"/>
  <c r="AN64" i="54"/>
  <c r="AO64" i="54"/>
  <c r="AP64" i="54"/>
  <c r="AQ64" i="54"/>
  <c r="AL65" i="54"/>
  <c r="AM65" i="54"/>
  <c r="AN65" i="54"/>
  <c r="AO65" i="54"/>
  <c r="AP65" i="54"/>
  <c r="AQ65" i="54"/>
  <c r="AL66" i="54"/>
  <c r="AM66" i="54"/>
  <c r="AN66" i="54"/>
  <c r="AO66" i="54"/>
  <c r="AP66" i="54"/>
  <c r="AQ66" i="54"/>
  <c r="AL67" i="54"/>
  <c r="AM67" i="54"/>
  <c r="AN67" i="54"/>
  <c r="AO67" i="54"/>
  <c r="AP67" i="54"/>
  <c r="AQ67" i="54"/>
  <c r="AL68" i="54"/>
  <c r="AM68" i="54"/>
  <c r="AN68" i="54"/>
  <c r="AO68" i="54"/>
  <c r="AP68" i="54"/>
  <c r="AQ68" i="54"/>
  <c r="AL69" i="54"/>
  <c r="AM69" i="54"/>
  <c r="AN69" i="54"/>
  <c r="AO69" i="54"/>
  <c r="AP69" i="54"/>
  <c r="AQ69" i="54"/>
  <c r="AL70" i="54"/>
  <c r="AM70" i="54"/>
  <c r="AN70" i="54"/>
  <c r="AO70" i="54"/>
  <c r="AP70" i="54"/>
  <c r="AQ70" i="54"/>
  <c r="AL71" i="54"/>
  <c r="AM71" i="54"/>
  <c r="AN71" i="54"/>
  <c r="AO71" i="54"/>
  <c r="AP71" i="54"/>
  <c r="AQ71" i="54"/>
  <c r="AL72" i="54"/>
  <c r="AM72" i="54"/>
  <c r="AN72" i="54"/>
  <c r="AO72" i="54"/>
  <c r="AP72" i="54"/>
  <c r="AQ72" i="54"/>
  <c r="AL73" i="54"/>
  <c r="AM73" i="54"/>
  <c r="AN73" i="54"/>
  <c r="AO73" i="54"/>
  <c r="AP73" i="54"/>
  <c r="AQ73" i="54"/>
  <c r="AL74" i="54"/>
  <c r="AM74" i="54"/>
  <c r="AN74" i="54"/>
  <c r="AO74" i="54"/>
  <c r="AP74" i="54"/>
  <c r="AQ74" i="54"/>
  <c r="AL75" i="54"/>
  <c r="AM75" i="54"/>
  <c r="AN75" i="54"/>
  <c r="AO75" i="54"/>
  <c r="AP75" i="54"/>
  <c r="AQ75" i="54"/>
  <c r="AL76" i="54"/>
  <c r="AM76" i="54"/>
  <c r="AN76" i="54"/>
  <c r="AO76" i="54"/>
  <c r="AP76" i="54"/>
  <c r="AQ76" i="54"/>
  <c r="AL77" i="54"/>
  <c r="AM77" i="54"/>
  <c r="AN77" i="54"/>
  <c r="AO77" i="54"/>
  <c r="AP77" i="54"/>
  <c r="AQ77" i="54"/>
  <c r="AL10" i="54"/>
  <c r="AM10" i="54"/>
  <c r="AN10" i="54"/>
  <c r="AO10" i="54"/>
  <c r="AP10" i="54"/>
  <c r="AQ10" i="54"/>
  <c r="AL11" i="54"/>
  <c r="AM11" i="54"/>
  <c r="AN11" i="54"/>
  <c r="AO11" i="54"/>
  <c r="AP11" i="54"/>
  <c r="AQ11" i="54"/>
  <c r="AL12" i="54"/>
  <c r="AM12" i="54"/>
  <c r="AN12" i="54"/>
  <c r="AP12" i="54"/>
  <c r="AQ12" i="54"/>
  <c r="AL13" i="54"/>
  <c r="AM13" i="54"/>
  <c r="AN13" i="54"/>
  <c r="AO13" i="54"/>
  <c r="AP13" i="54"/>
  <c r="AQ13" i="54"/>
  <c r="AL5" i="54"/>
  <c r="AM5" i="54"/>
  <c r="AN5" i="54"/>
  <c r="AO5" i="54"/>
  <c r="AP5" i="54"/>
  <c r="AQ5" i="54"/>
  <c r="AL6" i="54"/>
  <c r="AM6" i="54"/>
  <c r="AN6" i="54"/>
  <c r="AO6" i="54"/>
  <c r="AP6" i="54"/>
  <c r="AQ6" i="54"/>
  <c r="AL7" i="54"/>
  <c r="AM7" i="54"/>
  <c r="AN7" i="54"/>
  <c r="AO7" i="54"/>
  <c r="AP7" i="54"/>
  <c r="AQ7" i="54"/>
  <c r="AL8" i="54"/>
  <c r="AM8" i="54"/>
  <c r="AN8" i="54"/>
  <c r="AO8" i="54"/>
  <c r="AP8" i="54"/>
  <c r="AQ8" i="54"/>
  <c r="AF10" i="54"/>
  <c r="AG10" i="54"/>
  <c r="AH10" i="54"/>
  <c r="AI10" i="54"/>
  <c r="AJ10" i="54"/>
  <c r="AK10" i="54"/>
  <c r="AF11" i="54"/>
  <c r="AG11" i="54"/>
  <c r="AH11" i="54"/>
  <c r="AI11" i="54"/>
  <c r="AJ11" i="54"/>
  <c r="AK11" i="54"/>
  <c r="AF12" i="54"/>
  <c r="AG12" i="54"/>
  <c r="AH12" i="54"/>
  <c r="AJ12" i="54"/>
  <c r="AK12" i="54"/>
  <c r="AF13" i="54"/>
  <c r="AG13" i="54"/>
  <c r="AH13" i="54"/>
  <c r="AI13" i="54"/>
  <c r="AJ13" i="54"/>
  <c r="AK13" i="54"/>
  <c r="AF14" i="54"/>
  <c r="AG14" i="54"/>
  <c r="AH14" i="54"/>
  <c r="AI14" i="54"/>
  <c r="AJ14" i="54"/>
  <c r="AK14" i="54"/>
  <c r="AF15" i="54"/>
  <c r="AG15" i="54"/>
  <c r="AH15" i="54"/>
  <c r="AI15" i="54"/>
  <c r="AJ15" i="54"/>
  <c r="AK15" i="54"/>
  <c r="AF16" i="54"/>
  <c r="AG16" i="54"/>
  <c r="AH16" i="54"/>
  <c r="AI16" i="54"/>
  <c r="AJ16" i="54"/>
  <c r="AK16" i="54"/>
  <c r="AF17" i="54"/>
  <c r="AG17" i="54"/>
  <c r="AH17" i="54"/>
  <c r="AI17" i="54"/>
  <c r="AJ17" i="54"/>
  <c r="AK17" i="54"/>
  <c r="AF18" i="54"/>
  <c r="AG18" i="54"/>
  <c r="AH18" i="54"/>
  <c r="AI18" i="54"/>
  <c r="AJ18" i="54"/>
  <c r="AF19" i="54"/>
  <c r="AG19" i="54"/>
  <c r="AH19" i="54"/>
  <c r="AI19" i="54"/>
  <c r="AJ19" i="54"/>
  <c r="AK19" i="54"/>
  <c r="AF20" i="54"/>
  <c r="AG20" i="54"/>
  <c r="AH20" i="54"/>
  <c r="AI20" i="54"/>
  <c r="AK20" i="54"/>
  <c r="AF21" i="54"/>
  <c r="AG21" i="54"/>
  <c r="AH21" i="54"/>
  <c r="AI21" i="54"/>
  <c r="AJ21" i="54"/>
  <c r="AK21" i="54"/>
  <c r="AF22" i="54"/>
  <c r="AG22" i="54"/>
  <c r="AH22" i="54"/>
  <c r="AI22" i="54"/>
  <c r="AJ22" i="54"/>
  <c r="AK22" i="54"/>
  <c r="AF23" i="54"/>
  <c r="AG23" i="54"/>
  <c r="AH23" i="54"/>
  <c r="AI23" i="54"/>
  <c r="AJ23" i="54"/>
  <c r="AK23" i="54"/>
  <c r="AF24" i="54"/>
  <c r="AG24" i="54"/>
  <c r="AH24" i="54"/>
  <c r="AI24" i="54"/>
  <c r="AJ24" i="54"/>
  <c r="AK24" i="54"/>
  <c r="AF25" i="54"/>
  <c r="AG25" i="54"/>
  <c r="AH25" i="54"/>
  <c r="AI25" i="54"/>
  <c r="AJ25" i="54"/>
  <c r="AK25" i="54"/>
  <c r="AF26" i="54"/>
  <c r="AG26" i="54"/>
  <c r="AH26" i="54"/>
  <c r="AI26" i="54"/>
  <c r="AJ26" i="54"/>
  <c r="AK26" i="54"/>
  <c r="AF27" i="54"/>
  <c r="AG27" i="54"/>
  <c r="AH27" i="54"/>
  <c r="AI27" i="54"/>
  <c r="AJ27" i="54"/>
  <c r="AK27" i="54"/>
  <c r="AF28" i="54"/>
  <c r="AG28" i="54"/>
  <c r="AH28" i="54"/>
  <c r="AI28" i="54"/>
  <c r="AJ28" i="54"/>
  <c r="AK28" i="54"/>
  <c r="AF29" i="54"/>
  <c r="AG29" i="54"/>
  <c r="AH29" i="54"/>
  <c r="AI29" i="54"/>
  <c r="AJ29" i="54"/>
  <c r="AK29" i="54"/>
  <c r="AF30" i="54"/>
  <c r="AG30" i="54"/>
  <c r="AH30" i="54"/>
  <c r="AI30" i="54"/>
  <c r="AJ30" i="54"/>
  <c r="AK30" i="54"/>
  <c r="AF31" i="54"/>
  <c r="AG31" i="54"/>
  <c r="AH31" i="54"/>
  <c r="AI31" i="54"/>
  <c r="AJ31" i="54"/>
  <c r="AK31" i="54"/>
  <c r="AF32" i="54"/>
  <c r="AG32" i="54"/>
  <c r="AH32" i="54"/>
  <c r="AI32" i="54"/>
  <c r="AJ32" i="54"/>
  <c r="AK32" i="54"/>
  <c r="AF33" i="54"/>
  <c r="AG33" i="54"/>
  <c r="AH33" i="54"/>
  <c r="AI33" i="54"/>
  <c r="AJ33" i="54"/>
  <c r="AK33" i="54"/>
  <c r="AF34" i="54"/>
  <c r="AG34" i="54"/>
  <c r="AH34" i="54"/>
  <c r="AI34" i="54"/>
  <c r="AJ34" i="54"/>
  <c r="AK34" i="54"/>
  <c r="AF35" i="54"/>
  <c r="AG35" i="54"/>
  <c r="AH35" i="54"/>
  <c r="AI35" i="54"/>
  <c r="AJ35" i="54"/>
  <c r="AK35" i="54"/>
  <c r="AF36" i="54"/>
  <c r="AG36" i="54"/>
  <c r="AH36" i="54"/>
  <c r="AI36" i="54"/>
  <c r="AJ36" i="54"/>
  <c r="AK36" i="54"/>
  <c r="AF37" i="54"/>
  <c r="AH37" i="54"/>
  <c r="AI37" i="54"/>
  <c r="AJ37" i="54"/>
  <c r="AK37" i="54"/>
  <c r="AF38" i="54"/>
  <c r="AG38" i="54"/>
  <c r="AH38" i="54"/>
  <c r="AI38" i="54"/>
  <c r="AJ38" i="54"/>
  <c r="AK38" i="54"/>
  <c r="AF39" i="54"/>
  <c r="AG39" i="54"/>
  <c r="AH39" i="54"/>
  <c r="AI39" i="54"/>
  <c r="AJ39" i="54"/>
  <c r="AK39" i="54"/>
  <c r="AF40" i="54"/>
  <c r="AG40" i="54"/>
  <c r="AH40" i="54"/>
  <c r="AI40" i="54"/>
  <c r="AJ40" i="54"/>
  <c r="AK40" i="54"/>
  <c r="AF41" i="54"/>
  <c r="AH41" i="54"/>
  <c r="AI41" i="54"/>
  <c r="AJ41" i="54"/>
  <c r="AK41" i="54"/>
  <c r="AF42" i="54"/>
  <c r="AG42" i="54"/>
  <c r="AH42" i="54"/>
  <c r="AI42" i="54"/>
  <c r="AJ42" i="54"/>
  <c r="AK42" i="54"/>
  <c r="AF43" i="54"/>
  <c r="AG43" i="54"/>
  <c r="AH43" i="54"/>
  <c r="AI43" i="54"/>
  <c r="AJ43" i="54"/>
  <c r="AK43" i="54"/>
  <c r="AF44" i="54"/>
  <c r="AG44" i="54"/>
  <c r="AH44" i="54"/>
  <c r="AI44" i="54"/>
  <c r="AJ44" i="54"/>
  <c r="AK44" i="54"/>
  <c r="AF45" i="54"/>
  <c r="AG45" i="54"/>
  <c r="AH45" i="54"/>
  <c r="AI45" i="54"/>
  <c r="AJ45" i="54"/>
  <c r="AK45" i="54"/>
  <c r="AF46" i="54"/>
  <c r="AG46" i="54"/>
  <c r="AH46" i="54"/>
  <c r="AI46" i="54"/>
  <c r="AJ46" i="54"/>
  <c r="AK46" i="54"/>
  <c r="AF47" i="54"/>
  <c r="AG47" i="54"/>
  <c r="AH47" i="54"/>
  <c r="AI47" i="54"/>
  <c r="AJ47" i="54"/>
  <c r="AK47" i="54"/>
  <c r="AF48" i="54"/>
  <c r="AG48" i="54"/>
  <c r="AH48" i="54"/>
  <c r="AI48" i="54"/>
  <c r="AJ48" i="54"/>
  <c r="AK48" i="54"/>
  <c r="AF49" i="54"/>
  <c r="AG49" i="54"/>
  <c r="AH49" i="54"/>
  <c r="AI49" i="54"/>
  <c r="AJ49" i="54"/>
  <c r="AK49" i="54"/>
  <c r="AF50" i="54"/>
  <c r="AG50" i="54"/>
  <c r="AH50" i="54"/>
  <c r="AI50" i="54"/>
  <c r="AJ50" i="54"/>
  <c r="AK50" i="54"/>
  <c r="AF51" i="54"/>
  <c r="AG51" i="54"/>
  <c r="AH51" i="54"/>
  <c r="AI51" i="54"/>
  <c r="AJ51" i="54"/>
  <c r="AK51" i="54"/>
  <c r="AF52" i="54"/>
  <c r="AG52" i="54"/>
  <c r="AH52" i="54"/>
  <c r="AI52" i="54"/>
  <c r="AJ52" i="54"/>
  <c r="AK52" i="54"/>
  <c r="AF53" i="54"/>
  <c r="AG53" i="54"/>
  <c r="AH53" i="54"/>
  <c r="AI53" i="54"/>
  <c r="AJ53" i="54"/>
  <c r="AK53" i="54"/>
  <c r="AF54" i="54"/>
  <c r="AG54" i="54"/>
  <c r="AH54" i="54"/>
  <c r="AI54" i="54"/>
  <c r="AJ54" i="54"/>
  <c r="AK54" i="54"/>
  <c r="AF55" i="54"/>
  <c r="AG55" i="54"/>
  <c r="AH55" i="54"/>
  <c r="AI55" i="54"/>
  <c r="AJ55" i="54"/>
  <c r="AK55" i="54"/>
  <c r="AF56" i="54"/>
  <c r="AG56" i="54"/>
  <c r="AH56" i="54"/>
  <c r="AI56" i="54"/>
  <c r="AJ56" i="54"/>
  <c r="AK56" i="54"/>
  <c r="AF57" i="54"/>
  <c r="AG57" i="54"/>
  <c r="AH57" i="54"/>
  <c r="AI57" i="54"/>
  <c r="AJ57" i="54"/>
  <c r="AK57" i="54"/>
  <c r="AF58" i="54"/>
  <c r="AG58" i="54"/>
  <c r="AH58" i="54"/>
  <c r="AI58" i="54"/>
  <c r="AJ58" i="54"/>
  <c r="AK58" i="54"/>
  <c r="AF59" i="54"/>
  <c r="AG59" i="54"/>
  <c r="AH59" i="54"/>
  <c r="AI59" i="54"/>
  <c r="AJ59" i="54"/>
  <c r="AK59" i="54"/>
  <c r="AF60" i="54"/>
  <c r="AG60" i="54"/>
  <c r="AH60" i="54"/>
  <c r="AI60" i="54"/>
  <c r="AJ60" i="54"/>
  <c r="AK60" i="54"/>
  <c r="AF61" i="54"/>
  <c r="AG61" i="54"/>
  <c r="AH61" i="54"/>
  <c r="AI61" i="54"/>
  <c r="AJ61" i="54"/>
  <c r="AK61" i="54"/>
  <c r="AF62" i="54"/>
  <c r="AG62" i="54"/>
  <c r="AH62" i="54"/>
  <c r="AI62" i="54"/>
  <c r="AJ62" i="54"/>
  <c r="AK62" i="54"/>
  <c r="AF63" i="54"/>
  <c r="AG63" i="54"/>
  <c r="AH63" i="54"/>
  <c r="AI63" i="54"/>
  <c r="AJ63" i="54"/>
  <c r="AK63" i="54"/>
  <c r="AF64" i="54"/>
  <c r="AG64" i="54"/>
  <c r="AH64" i="54"/>
  <c r="AI64" i="54"/>
  <c r="AJ64" i="54"/>
  <c r="AK64" i="54"/>
  <c r="AF65" i="54"/>
  <c r="AG65" i="54"/>
  <c r="AH65" i="54"/>
  <c r="AI65" i="54"/>
  <c r="AJ65" i="54"/>
  <c r="AK65" i="54"/>
  <c r="AF66" i="54"/>
  <c r="AG66" i="54"/>
  <c r="AH66" i="54"/>
  <c r="AI66" i="54"/>
  <c r="AJ66" i="54"/>
  <c r="AK66" i="54"/>
  <c r="AF67" i="54"/>
  <c r="AG67" i="54"/>
  <c r="AH67" i="54"/>
  <c r="AI67" i="54"/>
  <c r="AJ67" i="54"/>
  <c r="AK67" i="54"/>
  <c r="AF68" i="54"/>
  <c r="AG68" i="54"/>
  <c r="AH68" i="54"/>
  <c r="AI68" i="54"/>
  <c r="AJ68" i="54"/>
  <c r="AK68" i="54"/>
  <c r="AF69" i="54"/>
  <c r="AG69" i="54"/>
  <c r="AH69" i="54"/>
  <c r="AI69" i="54"/>
  <c r="AJ69" i="54"/>
  <c r="AK69" i="54"/>
  <c r="AF70" i="54"/>
  <c r="AG70" i="54"/>
  <c r="AH70" i="54"/>
  <c r="AI70" i="54"/>
  <c r="AJ70" i="54"/>
  <c r="AK70" i="54"/>
  <c r="AF71" i="54"/>
  <c r="AG71" i="54"/>
  <c r="AH71" i="54"/>
  <c r="AI71" i="54"/>
  <c r="AJ71" i="54"/>
  <c r="AK71" i="54"/>
  <c r="AF72" i="54"/>
  <c r="AG72" i="54"/>
  <c r="AH72" i="54"/>
  <c r="AI72" i="54"/>
  <c r="AJ72" i="54"/>
  <c r="AK72" i="54"/>
  <c r="AF73" i="54"/>
  <c r="AG73" i="54"/>
  <c r="AH73" i="54"/>
  <c r="AI73" i="54"/>
  <c r="AJ73" i="54"/>
  <c r="AK73" i="54"/>
  <c r="AF74" i="54"/>
  <c r="AG74" i="54"/>
  <c r="AH74" i="54"/>
  <c r="AI74" i="54"/>
  <c r="AJ74" i="54"/>
  <c r="AK74" i="54"/>
  <c r="AF75" i="54"/>
  <c r="AG75" i="54"/>
  <c r="AH75" i="54"/>
  <c r="AI75" i="54"/>
  <c r="AJ75" i="54"/>
  <c r="AK75" i="54"/>
  <c r="AF76" i="54"/>
  <c r="AG76" i="54"/>
  <c r="AH76" i="54"/>
  <c r="AI76" i="54"/>
  <c r="AJ76" i="54"/>
  <c r="AK76" i="54"/>
  <c r="AF77" i="54"/>
  <c r="AG77" i="54"/>
  <c r="AH77" i="54"/>
  <c r="AI77" i="54"/>
  <c r="AJ77" i="54"/>
  <c r="AK77" i="54"/>
  <c r="AF5" i="54"/>
  <c r="AG5" i="54"/>
  <c r="AH5" i="54"/>
  <c r="AI5" i="54"/>
  <c r="AJ5" i="54"/>
  <c r="AK5" i="54"/>
  <c r="AF6" i="54"/>
  <c r="AG6" i="54"/>
  <c r="AH6" i="54"/>
  <c r="AI6" i="54"/>
  <c r="AJ6" i="54"/>
  <c r="AK6" i="54"/>
  <c r="AF7" i="54"/>
  <c r="AG7" i="54"/>
  <c r="AH7" i="54"/>
  <c r="AI7" i="54"/>
  <c r="AJ7" i="54"/>
  <c r="AK7" i="54"/>
  <c r="AF8" i="54"/>
  <c r="AG8" i="54"/>
  <c r="AH8" i="54"/>
  <c r="AI8" i="54"/>
  <c r="AJ8" i="54"/>
  <c r="AK8" i="54"/>
  <c r="Z10" i="54"/>
  <c r="AA10" i="54"/>
  <c r="AB10" i="54"/>
  <c r="AC10" i="54"/>
  <c r="AD10" i="54"/>
  <c r="AE10" i="54"/>
  <c r="Z11" i="54"/>
  <c r="AA11" i="54"/>
  <c r="AB11" i="54"/>
  <c r="AC11" i="54"/>
  <c r="AD11" i="54"/>
  <c r="AE11" i="54"/>
  <c r="Z12" i="54"/>
  <c r="AA12" i="54"/>
  <c r="AB12" i="54"/>
  <c r="AD12" i="54"/>
  <c r="AE12" i="54"/>
  <c r="Z13" i="54"/>
  <c r="AA13" i="54"/>
  <c r="AB13" i="54"/>
  <c r="AC13" i="54"/>
  <c r="AD13" i="54"/>
  <c r="AE13" i="54"/>
  <c r="Z14" i="54"/>
  <c r="AA14" i="54"/>
  <c r="AB14" i="54"/>
  <c r="AC14" i="54"/>
  <c r="AD14" i="54"/>
  <c r="AE14" i="54"/>
  <c r="Z15" i="54"/>
  <c r="AA15" i="54"/>
  <c r="AB15" i="54"/>
  <c r="AC15" i="54"/>
  <c r="AD15" i="54"/>
  <c r="AE15" i="54"/>
  <c r="Z16" i="54"/>
  <c r="AA16" i="54"/>
  <c r="AB16" i="54"/>
  <c r="AC16" i="54"/>
  <c r="AD16" i="54"/>
  <c r="AE16" i="54"/>
  <c r="Z17" i="54"/>
  <c r="AA17" i="54"/>
  <c r="AB17" i="54"/>
  <c r="AC17" i="54"/>
  <c r="AD17" i="54"/>
  <c r="AE17" i="54"/>
  <c r="Z18" i="54"/>
  <c r="AA18" i="54"/>
  <c r="AB18" i="54"/>
  <c r="AC18" i="54"/>
  <c r="AD18" i="54"/>
  <c r="Z19" i="54"/>
  <c r="AA19" i="54"/>
  <c r="AB19" i="54"/>
  <c r="AC19" i="54"/>
  <c r="AD19" i="54"/>
  <c r="AE19" i="54"/>
  <c r="Z20" i="54"/>
  <c r="AA20" i="54"/>
  <c r="AB20" i="54"/>
  <c r="AC20" i="54"/>
  <c r="AE20" i="54"/>
  <c r="Z21" i="54"/>
  <c r="AA21" i="54"/>
  <c r="AB21" i="54"/>
  <c r="AC21" i="54"/>
  <c r="AD21" i="54"/>
  <c r="AE21" i="54"/>
  <c r="Z22" i="54"/>
  <c r="AA22" i="54"/>
  <c r="AB22" i="54"/>
  <c r="AC22" i="54"/>
  <c r="AD22" i="54"/>
  <c r="AE22" i="54"/>
  <c r="Z23" i="54"/>
  <c r="AA23" i="54"/>
  <c r="AB23" i="54"/>
  <c r="AC23" i="54"/>
  <c r="AD23" i="54"/>
  <c r="AE23" i="54"/>
  <c r="Z24" i="54"/>
  <c r="AA24" i="54"/>
  <c r="AB24" i="54"/>
  <c r="AC24" i="54"/>
  <c r="AD24" i="54"/>
  <c r="AE24" i="54"/>
  <c r="Z25" i="54"/>
  <c r="AA25" i="54"/>
  <c r="AB25" i="54"/>
  <c r="AC25" i="54"/>
  <c r="AD25" i="54"/>
  <c r="AE25" i="54"/>
  <c r="Z26" i="54"/>
  <c r="AA26" i="54"/>
  <c r="AB26" i="54"/>
  <c r="AC26" i="54"/>
  <c r="AD26" i="54"/>
  <c r="AE26" i="54"/>
  <c r="Z27" i="54"/>
  <c r="AA27" i="54"/>
  <c r="AB27" i="54"/>
  <c r="AC27" i="54"/>
  <c r="AD27" i="54"/>
  <c r="AE27" i="54"/>
  <c r="Z28" i="54"/>
  <c r="AA28" i="54"/>
  <c r="AB28" i="54"/>
  <c r="AC28" i="54"/>
  <c r="AD28" i="54"/>
  <c r="AE28" i="54"/>
  <c r="Z29" i="54"/>
  <c r="AA29" i="54"/>
  <c r="AB29" i="54"/>
  <c r="AC29" i="54"/>
  <c r="AD29" i="54"/>
  <c r="AE29" i="54"/>
  <c r="Z30" i="54"/>
  <c r="AA30" i="54"/>
  <c r="AB30" i="54"/>
  <c r="AC30" i="54"/>
  <c r="AD30" i="54"/>
  <c r="AE30" i="54"/>
  <c r="Z31" i="54"/>
  <c r="AA31" i="54"/>
  <c r="AB31" i="54"/>
  <c r="AC31" i="54"/>
  <c r="AD31" i="54"/>
  <c r="AE31" i="54"/>
  <c r="Z32" i="54"/>
  <c r="AA32" i="54"/>
  <c r="AB32" i="54"/>
  <c r="AC32" i="54"/>
  <c r="AD32" i="54"/>
  <c r="AE32" i="54"/>
  <c r="Z33" i="54"/>
  <c r="AA33" i="54"/>
  <c r="AB33" i="54"/>
  <c r="AC33" i="54"/>
  <c r="AD33" i="54"/>
  <c r="AE33" i="54"/>
  <c r="Z34" i="54"/>
  <c r="AA34" i="54"/>
  <c r="AB34" i="54"/>
  <c r="AC34" i="54"/>
  <c r="AD34" i="54"/>
  <c r="AE34" i="54"/>
  <c r="Z35" i="54"/>
  <c r="AA35" i="54"/>
  <c r="AB35" i="54"/>
  <c r="AC35" i="54"/>
  <c r="AD35" i="54"/>
  <c r="AE35" i="54"/>
  <c r="Z36" i="54"/>
  <c r="AA36" i="54"/>
  <c r="AB36" i="54"/>
  <c r="AC36" i="54"/>
  <c r="AD36" i="54"/>
  <c r="AE36" i="54"/>
  <c r="Z37" i="54"/>
  <c r="AB37" i="54"/>
  <c r="AC37" i="54"/>
  <c r="AD37" i="54"/>
  <c r="AE37" i="54"/>
  <c r="Z38" i="54"/>
  <c r="AA38" i="54"/>
  <c r="AB38" i="54"/>
  <c r="AC38" i="54"/>
  <c r="AD38" i="54"/>
  <c r="AE38" i="54"/>
  <c r="Z39" i="54"/>
  <c r="AA39" i="54"/>
  <c r="AB39" i="54"/>
  <c r="AC39" i="54"/>
  <c r="AD39" i="54"/>
  <c r="AE39" i="54"/>
  <c r="Z40" i="54"/>
  <c r="AA40" i="54"/>
  <c r="AB40" i="54"/>
  <c r="AC40" i="54"/>
  <c r="AD40" i="54"/>
  <c r="AE40" i="54"/>
  <c r="Z41" i="54"/>
  <c r="AB41" i="54"/>
  <c r="AC41" i="54"/>
  <c r="AD41" i="54"/>
  <c r="AE41" i="54"/>
  <c r="Z42" i="54"/>
  <c r="AA42" i="54"/>
  <c r="AB42" i="54"/>
  <c r="AC42" i="54"/>
  <c r="AD42" i="54"/>
  <c r="AE42" i="54"/>
  <c r="Z43" i="54"/>
  <c r="AA43" i="54"/>
  <c r="AB43" i="54"/>
  <c r="AC43" i="54"/>
  <c r="AD43" i="54"/>
  <c r="AE43" i="54"/>
  <c r="Z44" i="54"/>
  <c r="AA44" i="54"/>
  <c r="AB44" i="54"/>
  <c r="AC44" i="54"/>
  <c r="AD44" i="54"/>
  <c r="AE44" i="54"/>
  <c r="Z45" i="54"/>
  <c r="AA45" i="54"/>
  <c r="AB45" i="54"/>
  <c r="AC45" i="54"/>
  <c r="AD45" i="54"/>
  <c r="AE45" i="54"/>
  <c r="Z46" i="54"/>
  <c r="AA46" i="54"/>
  <c r="AB46" i="54"/>
  <c r="AC46" i="54"/>
  <c r="AD46" i="54"/>
  <c r="AE46" i="54"/>
  <c r="Z47" i="54"/>
  <c r="AA47" i="54"/>
  <c r="AB47" i="54"/>
  <c r="AC47" i="54"/>
  <c r="AD47" i="54"/>
  <c r="AE47" i="54"/>
  <c r="Z48" i="54"/>
  <c r="AA48" i="54"/>
  <c r="AB48" i="54"/>
  <c r="AC48" i="54"/>
  <c r="AD48" i="54"/>
  <c r="AE48" i="54"/>
  <c r="Z49" i="54"/>
  <c r="AA49" i="54"/>
  <c r="AB49" i="54"/>
  <c r="AC49" i="54"/>
  <c r="AD49" i="54"/>
  <c r="AE49" i="54"/>
  <c r="Z50" i="54"/>
  <c r="AA50" i="54"/>
  <c r="AB50" i="54"/>
  <c r="AC50" i="54"/>
  <c r="AD50" i="54"/>
  <c r="AE50" i="54"/>
  <c r="Z51" i="54"/>
  <c r="AA51" i="54"/>
  <c r="AB51" i="54"/>
  <c r="AC51" i="54"/>
  <c r="AD51" i="54"/>
  <c r="AE51" i="54"/>
  <c r="Z52" i="54"/>
  <c r="AA52" i="54"/>
  <c r="AB52" i="54"/>
  <c r="AC52" i="54"/>
  <c r="AD52" i="54"/>
  <c r="AE52" i="54"/>
  <c r="Z53" i="54"/>
  <c r="AA53" i="54"/>
  <c r="AB53" i="54"/>
  <c r="AC53" i="54"/>
  <c r="AD53" i="54"/>
  <c r="AE53" i="54"/>
  <c r="Z54" i="54"/>
  <c r="AA54" i="54"/>
  <c r="AB54" i="54"/>
  <c r="AC54" i="54"/>
  <c r="AD54" i="54"/>
  <c r="AE54" i="54"/>
  <c r="Z55" i="54"/>
  <c r="AA55" i="54"/>
  <c r="AB55" i="54"/>
  <c r="AC55" i="54"/>
  <c r="AD55" i="54"/>
  <c r="AE55" i="54"/>
  <c r="Z56" i="54"/>
  <c r="AA56" i="54"/>
  <c r="AB56" i="54"/>
  <c r="AC56" i="54"/>
  <c r="AD56" i="54"/>
  <c r="AE56" i="54"/>
  <c r="Z57" i="54"/>
  <c r="AA57" i="54"/>
  <c r="AB57" i="54"/>
  <c r="AC57" i="54"/>
  <c r="AD57" i="54"/>
  <c r="AE57" i="54"/>
  <c r="Z58" i="54"/>
  <c r="AA58" i="54"/>
  <c r="AB58" i="54"/>
  <c r="AC58" i="54"/>
  <c r="AD58" i="54"/>
  <c r="AE58" i="54"/>
  <c r="Z59" i="54"/>
  <c r="AA59" i="54"/>
  <c r="AB59" i="54"/>
  <c r="AC59" i="54"/>
  <c r="AD59" i="54"/>
  <c r="AE59" i="54"/>
  <c r="Z60" i="54"/>
  <c r="AA60" i="54"/>
  <c r="AB60" i="54"/>
  <c r="AC60" i="54"/>
  <c r="AD60" i="54"/>
  <c r="AE60" i="54"/>
  <c r="Z61" i="54"/>
  <c r="AA61" i="54"/>
  <c r="AB61" i="54"/>
  <c r="AC61" i="54"/>
  <c r="AD61" i="54"/>
  <c r="AE61" i="54"/>
  <c r="Z62" i="54"/>
  <c r="AA62" i="54"/>
  <c r="AB62" i="54"/>
  <c r="AC62" i="54"/>
  <c r="AD62" i="54"/>
  <c r="AE62" i="54"/>
  <c r="Z63" i="54"/>
  <c r="AA63" i="54"/>
  <c r="AB63" i="54"/>
  <c r="AC63" i="54"/>
  <c r="AD63" i="54"/>
  <c r="AE63" i="54"/>
  <c r="Z64" i="54"/>
  <c r="AA64" i="54"/>
  <c r="AB64" i="54"/>
  <c r="AC64" i="54"/>
  <c r="AD64" i="54"/>
  <c r="AE64" i="54"/>
  <c r="Z65" i="54"/>
  <c r="AA65" i="54"/>
  <c r="AB65" i="54"/>
  <c r="AC65" i="54"/>
  <c r="AD65" i="54"/>
  <c r="AE65" i="54"/>
  <c r="Z66" i="54"/>
  <c r="AA66" i="54"/>
  <c r="AB66" i="54"/>
  <c r="AC66" i="54"/>
  <c r="AD66" i="54"/>
  <c r="AE66" i="54"/>
  <c r="Z67" i="54"/>
  <c r="AA67" i="54"/>
  <c r="AB67" i="54"/>
  <c r="AC67" i="54"/>
  <c r="AD67" i="54"/>
  <c r="AE67" i="54"/>
  <c r="Z68" i="54"/>
  <c r="AA68" i="54"/>
  <c r="AB68" i="54"/>
  <c r="AC68" i="54"/>
  <c r="AD68" i="54"/>
  <c r="AE68" i="54"/>
  <c r="Z69" i="54"/>
  <c r="AA69" i="54"/>
  <c r="AB69" i="54"/>
  <c r="AC69" i="54"/>
  <c r="AD69" i="54"/>
  <c r="AE69" i="54"/>
  <c r="Z70" i="54"/>
  <c r="AA70" i="54"/>
  <c r="AB70" i="54"/>
  <c r="AC70" i="54"/>
  <c r="AD70" i="54"/>
  <c r="AE70" i="54"/>
  <c r="Z71" i="54"/>
  <c r="AA71" i="54"/>
  <c r="AB71" i="54"/>
  <c r="AC71" i="54"/>
  <c r="AD71" i="54"/>
  <c r="AE71" i="54"/>
  <c r="Z72" i="54"/>
  <c r="AA72" i="54"/>
  <c r="AB72" i="54"/>
  <c r="AC72" i="54"/>
  <c r="AD72" i="54"/>
  <c r="AE72" i="54"/>
  <c r="Z73" i="54"/>
  <c r="AA73" i="54"/>
  <c r="AB73" i="54"/>
  <c r="AC73" i="54"/>
  <c r="AD73" i="54"/>
  <c r="AE73" i="54"/>
  <c r="Z74" i="54"/>
  <c r="AA74" i="54"/>
  <c r="AB74" i="54"/>
  <c r="AC74" i="54"/>
  <c r="AD74" i="54"/>
  <c r="AE74" i="54"/>
  <c r="Z75" i="54"/>
  <c r="AA75" i="54"/>
  <c r="AB75" i="54"/>
  <c r="AC75" i="54"/>
  <c r="AD75" i="54"/>
  <c r="AE75" i="54"/>
  <c r="Z76" i="54"/>
  <c r="AA76" i="54"/>
  <c r="AB76" i="54"/>
  <c r="AC76" i="54"/>
  <c r="AD76" i="54"/>
  <c r="AE76" i="54"/>
  <c r="Z77" i="54"/>
  <c r="AA77" i="54"/>
  <c r="AB77" i="54"/>
  <c r="AC77" i="54"/>
  <c r="AD77" i="54"/>
  <c r="AE77" i="54"/>
  <c r="Z5" i="54"/>
  <c r="AA5" i="54"/>
  <c r="AB5" i="54"/>
  <c r="AC5" i="54"/>
  <c r="AD5" i="54"/>
  <c r="AE5" i="54"/>
  <c r="Z6" i="54"/>
  <c r="AA6" i="54"/>
  <c r="AB6" i="54"/>
  <c r="AC6" i="54"/>
  <c r="AD6" i="54"/>
  <c r="AE6" i="54"/>
  <c r="Z7" i="54"/>
  <c r="AA7" i="54"/>
  <c r="AB7" i="54"/>
  <c r="AC7" i="54"/>
  <c r="AD7" i="54"/>
  <c r="AE7" i="54"/>
  <c r="Z8" i="54"/>
  <c r="AA8" i="54"/>
  <c r="AB8" i="54"/>
  <c r="AC8" i="54"/>
  <c r="AD8" i="54"/>
  <c r="AE8" i="54"/>
  <c r="T33" i="54"/>
  <c r="U33" i="54"/>
  <c r="V33" i="54"/>
  <c r="W33" i="54"/>
  <c r="X33" i="54"/>
  <c r="Y33" i="54"/>
  <c r="T34" i="54"/>
  <c r="U34" i="54"/>
  <c r="V34" i="54"/>
  <c r="W34" i="54"/>
  <c r="X34" i="54"/>
  <c r="Y34" i="54"/>
  <c r="T35" i="54"/>
  <c r="U35" i="54"/>
  <c r="V35" i="54"/>
  <c r="W35" i="54"/>
  <c r="X35" i="54"/>
  <c r="Y35" i="54"/>
  <c r="T36" i="54"/>
  <c r="U36" i="54"/>
  <c r="V36" i="54"/>
  <c r="W36" i="54"/>
  <c r="X36" i="54"/>
  <c r="Y36" i="54"/>
  <c r="T37" i="54"/>
  <c r="U37" i="54"/>
  <c r="V37" i="54"/>
  <c r="W37" i="54"/>
  <c r="X37" i="54"/>
  <c r="Y37" i="54"/>
  <c r="T38" i="54"/>
  <c r="U38" i="54"/>
  <c r="V38" i="54"/>
  <c r="W38" i="54"/>
  <c r="X38" i="54"/>
  <c r="Y38" i="54"/>
  <c r="T39" i="54"/>
  <c r="U39" i="54"/>
  <c r="V39" i="54"/>
  <c r="W39" i="54"/>
  <c r="X39" i="54"/>
  <c r="Y39" i="54"/>
  <c r="T40" i="54"/>
  <c r="U40" i="54"/>
  <c r="V40" i="54"/>
  <c r="W40" i="54"/>
  <c r="X40" i="54"/>
  <c r="Y40" i="54"/>
  <c r="T41" i="54"/>
  <c r="U41" i="54"/>
  <c r="V41" i="54"/>
  <c r="W41" i="54"/>
  <c r="X41" i="54"/>
  <c r="Y41" i="54"/>
  <c r="T42" i="54"/>
  <c r="U42" i="54"/>
  <c r="V42" i="54"/>
  <c r="W42" i="54"/>
  <c r="X42" i="54"/>
  <c r="Y42" i="54"/>
  <c r="T43" i="54"/>
  <c r="U43" i="54"/>
  <c r="V43" i="54"/>
  <c r="W43" i="54"/>
  <c r="X43" i="54"/>
  <c r="Y43" i="54"/>
  <c r="T44" i="54"/>
  <c r="U44" i="54"/>
  <c r="V44" i="54"/>
  <c r="W44" i="54"/>
  <c r="X44" i="54"/>
  <c r="Y44" i="54"/>
  <c r="T45" i="54"/>
  <c r="U45" i="54"/>
  <c r="V45" i="54"/>
  <c r="W45" i="54"/>
  <c r="X45" i="54"/>
  <c r="Y45" i="54"/>
  <c r="T46" i="54"/>
  <c r="U46" i="54"/>
  <c r="V46" i="54"/>
  <c r="W46" i="54"/>
  <c r="X46" i="54"/>
  <c r="Y46" i="54"/>
  <c r="T47" i="54"/>
  <c r="U47" i="54"/>
  <c r="V47" i="54"/>
  <c r="W47" i="54"/>
  <c r="X47" i="54"/>
  <c r="Y47" i="54"/>
  <c r="T48" i="54"/>
  <c r="U48" i="54"/>
  <c r="V48" i="54"/>
  <c r="W48" i="54"/>
  <c r="X48" i="54"/>
  <c r="Y48" i="54"/>
  <c r="T49" i="54"/>
  <c r="U49" i="54"/>
  <c r="V49" i="54"/>
  <c r="W49" i="54"/>
  <c r="X49" i="54"/>
  <c r="Y49" i="54"/>
  <c r="T50" i="54"/>
  <c r="U50" i="54"/>
  <c r="V50" i="54"/>
  <c r="W50" i="54"/>
  <c r="X50" i="54"/>
  <c r="Y50" i="54"/>
  <c r="T51" i="54"/>
  <c r="U51" i="54"/>
  <c r="V51" i="54"/>
  <c r="W51" i="54"/>
  <c r="X51" i="54"/>
  <c r="Y51" i="54"/>
  <c r="T52" i="54"/>
  <c r="U52" i="54"/>
  <c r="V52" i="54"/>
  <c r="W52" i="54"/>
  <c r="X52" i="54"/>
  <c r="Y52" i="54"/>
  <c r="T53" i="54"/>
  <c r="U53" i="54"/>
  <c r="V53" i="54"/>
  <c r="W53" i="54"/>
  <c r="X53" i="54"/>
  <c r="Y53" i="54"/>
  <c r="T54" i="54"/>
  <c r="U54" i="54"/>
  <c r="V54" i="54"/>
  <c r="W54" i="54"/>
  <c r="X54" i="54"/>
  <c r="Y54" i="54"/>
  <c r="T55" i="54"/>
  <c r="U55" i="54"/>
  <c r="V55" i="54"/>
  <c r="W55" i="54"/>
  <c r="X55" i="54"/>
  <c r="Y55" i="54"/>
  <c r="T56" i="54"/>
  <c r="U56" i="54"/>
  <c r="V56" i="54"/>
  <c r="W56" i="54"/>
  <c r="X56" i="54"/>
  <c r="Y56" i="54"/>
  <c r="T57" i="54"/>
  <c r="U57" i="54"/>
  <c r="V57" i="54"/>
  <c r="W57" i="54"/>
  <c r="X57" i="54"/>
  <c r="Y57" i="54"/>
  <c r="T58" i="54"/>
  <c r="U58" i="54"/>
  <c r="V58" i="54"/>
  <c r="W58" i="54"/>
  <c r="X58" i="54"/>
  <c r="Y58" i="54"/>
  <c r="T59" i="54"/>
  <c r="U59" i="54"/>
  <c r="V59" i="54"/>
  <c r="W59" i="54"/>
  <c r="X59" i="54"/>
  <c r="Y59" i="54"/>
  <c r="T60" i="54"/>
  <c r="U60" i="54"/>
  <c r="V60" i="54"/>
  <c r="W60" i="54"/>
  <c r="X60" i="54"/>
  <c r="Y60" i="54"/>
  <c r="T61" i="54"/>
  <c r="U61" i="54"/>
  <c r="V61" i="54"/>
  <c r="W61" i="54"/>
  <c r="X61" i="54"/>
  <c r="Y61" i="54"/>
  <c r="T62" i="54"/>
  <c r="U62" i="54"/>
  <c r="V62" i="54"/>
  <c r="W62" i="54"/>
  <c r="X62" i="54"/>
  <c r="Y62" i="54"/>
  <c r="T63" i="54"/>
  <c r="U63" i="54"/>
  <c r="V63" i="54"/>
  <c r="W63" i="54"/>
  <c r="X63" i="54"/>
  <c r="Y63" i="54"/>
  <c r="T64" i="54"/>
  <c r="U64" i="54"/>
  <c r="V64" i="54"/>
  <c r="W64" i="54"/>
  <c r="X64" i="54"/>
  <c r="Y64" i="54"/>
  <c r="T65" i="54"/>
  <c r="U65" i="54"/>
  <c r="V65" i="54"/>
  <c r="W65" i="54"/>
  <c r="X65" i="54"/>
  <c r="Y65" i="54"/>
  <c r="T66" i="54"/>
  <c r="U66" i="54"/>
  <c r="V66" i="54"/>
  <c r="W66" i="54"/>
  <c r="X66" i="54"/>
  <c r="Y66" i="54"/>
  <c r="T67" i="54"/>
  <c r="U67" i="54"/>
  <c r="V67" i="54"/>
  <c r="W67" i="54"/>
  <c r="X67" i="54"/>
  <c r="Y67" i="54"/>
  <c r="T68" i="54"/>
  <c r="U68" i="54"/>
  <c r="V68" i="54"/>
  <c r="W68" i="54"/>
  <c r="X68" i="54"/>
  <c r="Y68" i="54"/>
  <c r="T69" i="54"/>
  <c r="U69" i="54"/>
  <c r="V69" i="54"/>
  <c r="W69" i="54"/>
  <c r="X69" i="54"/>
  <c r="Y69" i="54"/>
  <c r="T70" i="54"/>
  <c r="U70" i="54"/>
  <c r="V70" i="54"/>
  <c r="W70" i="54"/>
  <c r="X70" i="54"/>
  <c r="Y70" i="54"/>
  <c r="T71" i="54"/>
  <c r="U71" i="54"/>
  <c r="V71" i="54"/>
  <c r="W71" i="54"/>
  <c r="X71" i="54"/>
  <c r="Y71" i="54"/>
  <c r="T72" i="54"/>
  <c r="U72" i="54"/>
  <c r="V72" i="54"/>
  <c r="W72" i="54"/>
  <c r="X72" i="54"/>
  <c r="Y72" i="54"/>
  <c r="T73" i="54"/>
  <c r="U73" i="54"/>
  <c r="V73" i="54"/>
  <c r="W73" i="54"/>
  <c r="X73" i="54"/>
  <c r="Y73" i="54"/>
  <c r="T74" i="54"/>
  <c r="U74" i="54"/>
  <c r="V74" i="54"/>
  <c r="W74" i="54"/>
  <c r="X74" i="54"/>
  <c r="Y74" i="54"/>
  <c r="T75" i="54"/>
  <c r="U75" i="54"/>
  <c r="V75" i="54"/>
  <c r="W75" i="54"/>
  <c r="X75" i="54"/>
  <c r="Y75" i="54"/>
  <c r="T76" i="54"/>
  <c r="U76" i="54"/>
  <c r="V76" i="54"/>
  <c r="W76" i="54"/>
  <c r="X76" i="54"/>
  <c r="Y76" i="54"/>
  <c r="T77" i="54"/>
  <c r="U77" i="54"/>
  <c r="V77" i="54"/>
  <c r="W77" i="54"/>
  <c r="X77" i="54"/>
  <c r="Y77" i="54"/>
  <c r="T6" i="54"/>
  <c r="U6" i="54"/>
  <c r="V6" i="54"/>
  <c r="W6" i="54"/>
  <c r="X6" i="54"/>
  <c r="Y6" i="54"/>
  <c r="T7" i="54"/>
  <c r="U7" i="54"/>
  <c r="V7" i="54"/>
  <c r="W7" i="54"/>
  <c r="X7" i="54"/>
  <c r="Y7" i="54"/>
  <c r="T8" i="54"/>
  <c r="U8" i="54"/>
  <c r="V8" i="54"/>
  <c r="W8" i="54"/>
  <c r="X8" i="54"/>
  <c r="Y8" i="54"/>
  <c r="T9" i="54"/>
  <c r="U9" i="54"/>
  <c r="V9" i="54"/>
  <c r="W9" i="54"/>
  <c r="X9" i="54"/>
  <c r="Y9" i="54"/>
  <c r="T10" i="54"/>
  <c r="U10" i="54"/>
  <c r="V10" i="54"/>
  <c r="W10" i="54"/>
  <c r="X10" i="54"/>
  <c r="Y10" i="54"/>
  <c r="T11" i="54"/>
  <c r="U11" i="54"/>
  <c r="V11" i="54"/>
  <c r="W11" i="54"/>
  <c r="X11" i="54"/>
  <c r="Y11" i="54"/>
  <c r="T12" i="54"/>
  <c r="U12" i="54"/>
  <c r="V12" i="54"/>
  <c r="W12" i="54"/>
  <c r="X12" i="54"/>
  <c r="Y12" i="54"/>
  <c r="T13" i="54"/>
  <c r="U13" i="54"/>
  <c r="V13" i="54"/>
  <c r="W13" i="54"/>
  <c r="X13" i="54"/>
  <c r="Y13" i="54"/>
  <c r="T14" i="54"/>
  <c r="U14" i="54"/>
  <c r="V14" i="54"/>
  <c r="W14" i="54"/>
  <c r="X14" i="54"/>
  <c r="Y14" i="54"/>
  <c r="T15" i="54"/>
  <c r="U15" i="54"/>
  <c r="V15" i="54"/>
  <c r="W15" i="54"/>
  <c r="X15" i="54"/>
  <c r="Y15" i="54"/>
  <c r="T16" i="54"/>
  <c r="U16" i="54"/>
  <c r="V16" i="54"/>
  <c r="W16" i="54"/>
  <c r="X16" i="54"/>
  <c r="Y16" i="54"/>
  <c r="T17" i="54"/>
  <c r="U17" i="54"/>
  <c r="V17" i="54"/>
  <c r="W17" i="54"/>
  <c r="X17" i="54"/>
  <c r="Y17" i="54"/>
  <c r="T18" i="54"/>
  <c r="U18" i="54"/>
  <c r="V18" i="54"/>
  <c r="W18" i="54"/>
  <c r="X18" i="54"/>
  <c r="Y18" i="54"/>
  <c r="T19" i="54"/>
  <c r="U19" i="54"/>
  <c r="V19" i="54"/>
  <c r="W19" i="54"/>
  <c r="X19" i="54"/>
  <c r="Y19" i="54"/>
  <c r="T20" i="54"/>
  <c r="U20" i="54"/>
  <c r="V20" i="54"/>
  <c r="W20" i="54"/>
  <c r="X20" i="54"/>
  <c r="Y20" i="54"/>
  <c r="T21" i="54"/>
  <c r="U21" i="54"/>
  <c r="V21" i="54"/>
  <c r="W21" i="54"/>
  <c r="X21" i="54"/>
  <c r="Y21" i="54"/>
  <c r="T22" i="54"/>
  <c r="U22" i="54"/>
  <c r="V22" i="54"/>
  <c r="W22" i="54"/>
  <c r="X22" i="54"/>
  <c r="Y22" i="54"/>
  <c r="T23" i="54"/>
  <c r="U23" i="54"/>
  <c r="V23" i="54"/>
  <c r="W23" i="54"/>
  <c r="X23" i="54"/>
  <c r="Y23" i="54"/>
  <c r="T24" i="54"/>
  <c r="U24" i="54"/>
  <c r="V24" i="54"/>
  <c r="W24" i="54"/>
  <c r="X24" i="54"/>
  <c r="Y24" i="54"/>
  <c r="T25" i="54"/>
  <c r="U25" i="54"/>
  <c r="V25" i="54"/>
  <c r="W25" i="54"/>
  <c r="X25" i="54"/>
  <c r="Y25" i="54"/>
  <c r="T26" i="54"/>
  <c r="U26" i="54"/>
  <c r="V26" i="54"/>
  <c r="W26" i="54"/>
  <c r="X26" i="54"/>
  <c r="Y26" i="54"/>
  <c r="T27" i="54"/>
  <c r="U27" i="54"/>
  <c r="V27" i="54"/>
  <c r="W27" i="54"/>
  <c r="X27" i="54"/>
  <c r="Y27" i="54"/>
  <c r="T28" i="54"/>
  <c r="U28" i="54"/>
  <c r="V28" i="54"/>
  <c r="W28" i="54"/>
  <c r="X28" i="54"/>
  <c r="Y28" i="54"/>
  <c r="T29" i="54"/>
  <c r="U29" i="54"/>
  <c r="V29" i="54"/>
  <c r="W29" i="54"/>
  <c r="X29" i="54"/>
  <c r="Y29" i="54"/>
  <c r="T30" i="54"/>
  <c r="U30" i="54"/>
  <c r="V30" i="54"/>
  <c r="W30" i="54"/>
  <c r="X30" i="54"/>
  <c r="Y30" i="54"/>
  <c r="T31" i="54"/>
  <c r="U31" i="54"/>
  <c r="V31" i="54"/>
  <c r="W31" i="54"/>
  <c r="X31" i="54"/>
  <c r="Y31" i="54"/>
  <c r="T32" i="54"/>
  <c r="U32" i="54"/>
  <c r="V32" i="54"/>
  <c r="W32" i="54"/>
  <c r="X32" i="54"/>
  <c r="Y32" i="54"/>
  <c r="Y5" i="54"/>
  <c r="X5" i="54"/>
  <c r="W5" i="54"/>
  <c r="V5" i="54"/>
  <c r="U5" i="54"/>
  <c r="T5" i="54"/>
  <c r="N6" i="54"/>
  <c r="O6" i="54"/>
  <c r="P6" i="54"/>
  <c r="Q6" i="54"/>
  <c r="R6" i="54"/>
  <c r="S6" i="54"/>
  <c r="N7" i="54"/>
  <c r="O7" i="54"/>
  <c r="P7" i="54"/>
  <c r="Q7" i="54"/>
  <c r="R7" i="54"/>
  <c r="S7" i="54"/>
  <c r="N8" i="54"/>
  <c r="O8" i="54"/>
  <c r="P8" i="54"/>
  <c r="Q8" i="54"/>
  <c r="R8" i="54"/>
  <c r="S8" i="54"/>
  <c r="N9" i="54"/>
  <c r="O9" i="54"/>
  <c r="P9" i="54"/>
  <c r="Q9" i="54"/>
  <c r="R9" i="54"/>
  <c r="S9" i="54"/>
  <c r="N10" i="54"/>
  <c r="O10" i="54"/>
  <c r="P10" i="54"/>
  <c r="Q10" i="54"/>
  <c r="R10" i="54"/>
  <c r="S10" i="54"/>
  <c r="N11" i="54"/>
  <c r="O11" i="54"/>
  <c r="P11" i="54"/>
  <c r="Q11" i="54"/>
  <c r="R11" i="54"/>
  <c r="S11" i="54"/>
  <c r="N12" i="54"/>
  <c r="O12" i="54"/>
  <c r="P12" i="54"/>
  <c r="R12" i="54"/>
  <c r="S12" i="54"/>
  <c r="N13" i="54"/>
  <c r="O13" i="54"/>
  <c r="P13" i="54"/>
  <c r="Q13" i="54"/>
  <c r="R13" i="54"/>
  <c r="S13" i="54"/>
  <c r="N14" i="54"/>
  <c r="O14" i="54"/>
  <c r="P14" i="54"/>
  <c r="Q14" i="54"/>
  <c r="R14" i="54"/>
  <c r="S14" i="54"/>
  <c r="N15" i="54"/>
  <c r="O15" i="54"/>
  <c r="P15" i="54"/>
  <c r="Q15" i="54"/>
  <c r="R15" i="54"/>
  <c r="S15" i="54"/>
  <c r="N16" i="54"/>
  <c r="O16" i="54"/>
  <c r="P16" i="54"/>
  <c r="Q16" i="54"/>
  <c r="R16" i="54"/>
  <c r="S16" i="54"/>
  <c r="N17" i="54"/>
  <c r="O17" i="54"/>
  <c r="P17" i="54"/>
  <c r="Q17" i="54"/>
  <c r="R17" i="54"/>
  <c r="S17" i="54"/>
  <c r="N18" i="54"/>
  <c r="O18" i="54"/>
  <c r="P18" i="54"/>
  <c r="Q18" i="54"/>
  <c r="R18" i="54"/>
  <c r="N19" i="54"/>
  <c r="O19" i="54"/>
  <c r="P19" i="54"/>
  <c r="Q19" i="54"/>
  <c r="R19" i="54"/>
  <c r="S19" i="54"/>
  <c r="N20" i="54"/>
  <c r="O20" i="54"/>
  <c r="P20" i="54"/>
  <c r="Q20" i="54"/>
  <c r="S20" i="54"/>
  <c r="N21" i="54"/>
  <c r="O21" i="54"/>
  <c r="P21" i="54"/>
  <c r="Q21" i="54"/>
  <c r="R21" i="54"/>
  <c r="S21" i="54"/>
  <c r="N22" i="54"/>
  <c r="O22" i="54"/>
  <c r="P22" i="54"/>
  <c r="Q22" i="54"/>
  <c r="R22" i="54"/>
  <c r="S22" i="54"/>
  <c r="N23" i="54"/>
  <c r="O23" i="54"/>
  <c r="P23" i="54"/>
  <c r="Q23" i="54"/>
  <c r="R23" i="54"/>
  <c r="S23" i="54"/>
  <c r="N24" i="54"/>
  <c r="O24" i="54"/>
  <c r="P24" i="54"/>
  <c r="Q24" i="54"/>
  <c r="R24" i="54"/>
  <c r="S24" i="54"/>
  <c r="N25" i="54"/>
  <c r="O25" i="54"/>
  <c r="P25" i="54"/>
  <c r="Q25" i="54"/>
  <c r="R25" i="54"/>
  <c r="S25" i="54"/>
  <c r="N26" i="54"/>
  <c r="O26" i="54"/>
  <c r="P26" i="54"/>
  <c r="Q26" i="54"/>
  <c r="R26" i="54"/>
  <c r="S26" i="54"/>
  <c r="N27" i="54"/>
  <c r="O27" i="54"/>
  <c r="P27" i="54"/>
  <c r="Q27" i="54"/>
  <c r="R27" i="54"/>
  <c r="S27" i="54"/>
  <c r="N28" i="54"/>
  <c r="O28" i="54"/>
  <c r="P28" i="54"/>
  <c r="Q28" i="54"/>
  <c r="R28" i="54"/>
  <c r="S28" i="54"/>
  <c r="N29" i="54"/>
  <c r="O29" i="54"/>
  <c r="P29" i="54"/>
  <c r="Q29" i="54"/>
  <c r="R29" i="54"/>
  <c r="S29" i="54"/>
  <c r="N30" i="54"/>
  <c r="O30" i="54"/>
  <c r="P30" i="54"/>
  <c r="Q30" i="54"/>
  <c r="R30" i="54"/>
  <c r="S30" i="54"/>
  <c r="N31" i="54"/>
  <c r="O31" i="54"/>
  <c r="P31" i="54"/>
  <c r="Q31" i="54"/>
  <c r="R31" i="54"/>
  <c r="S31" i="54"/>
  <c r="N32" i="54"/>
  <c r="O32" i="54"/>
  <c r="P32" i="54"/>
  <c r="Q32" i="54"/>
  <c r="R32" i="54"/>
  <c r="S32" i="54"/>
  <c r="N33" i="54"/>
  <c r="O33" i="54"/>
  <c r="P33" i="54"/>
  <c r="Q33" i="54"/>
  <c r="R33" i="54"/>
  <c r="S33" i="54"/>
  <c r="N34" i="54"/>
  <c r="O34" i="54"/>
  <c r="P34" i="54"/>
  <c r="Q34" i="54"/>
  <c r="R34" i="54"/>
  <c r="S34" i="54"/>
  <c r="N35" i="54"/>
  <c r="O35" i="54"/>
  <c r="P35" i="54"/>
  <c r="Q35" i="54"/>
  <c r="R35" i="54"/>
  <c r="S35" i="54"/>
  <c r="N36" i="54"/>
  <c r="O36" i="54"/>
  <c r="P36" i="54"/>
  <c r="Q36" i="54"/>
  <c r="R36" i="54"/>
  <c r="S36" i="54"/>
  <c r="N37" i="54"/>
  <c r="P37" i="54"/>
  <c r="Q37" i="54"/>
  <c r="R37" i="54"/>
  <c r="S37" i="54"/>
  <c r="N38" i="54"/>
  <c r="O38" i="54"/>
  <c r="P38" i="54"/>
  <c r="Q38" i="54"/>
  <c r="R38" i="54"/>
  <c r="S38" i="54"/>
  <c r="N39" i="54"/>
  <c r="O39" i="54"/>
  <c r="P39" i="54"/>
  <c r="Q39" i="54"/>
  <c r="R39" i="54"/>
  <c r="S39" i="54"/>
  <c r="N40" i="54"/>
  <c r="O40" i="54"/>
  <c r="P40" i="54"/>
  <c r="Q40" i="54"/>
  <c r="R40" i="54"/>
  <c r="S40" i="54"/>
  <c r="N41" i="54"/>
  <c r="P41" i="54"/>
  <c r="Q41" i="54"/>
  <c r="R41" i="54"/>
  <c r="S41" i="54"/>
  <c r="N42" i="54"/>
  <c r="O42" i="54"/>
  <c r="P42" i="54"/>
  <c r="Q42" i="54"/>
  <c r="R42" i="54"/>
  <c r="S42" i="54"/>
  <c r="N43" i="54"/>
  <c r="O43" i="54"/>
  <c r="P43" i="54"/>
  <c r="Q43" i="54"/>
  <c r="R43" i="54"/>
  <c r="S43" i="54"/>
  <c r="N44" i="54"/>
  <c r="O44" i="54"/>
  <c r="P44" i="54"/>
  <c r="Q44" i="54"/>
  <c r="R44" i="54"/>
  <c r="S44" i="54"/>
  <c r="N45" i="54"/>
  <c r="O45" i="54"/>
  <c r="P45" i="54"/>
  <c r="Q45" i="54"/>
  <c r="R45" i="54"/>
  <c r="S45" i="54"/>
  <c r="N46" i="54"/>
  <c r="O46" i="54"/>
  <c r="P46" i="54"/>
  <c r="Q46" i="54"/>
  <c r="R46" i="54"/>
  <c r="S46" i="54"/>
  <c r="N47" i="54"/>
  <c r="O47" i="54"/>
  <c r="P47" i="54"/>
  <c r="Q47" i="54"/>
  <c r="R47" i="54"/>
  <c r="S47" i="54"/>
  <c r="N48" i="54"/>
  <c r="O48" i="54"/>
  <c r="P48" i="54"/>
  <c r="Q48" i="54"/>
  <c r="R48" i="54"/>
  <c r="S48" i="54"/>
  <c r="N49" i="54"/>
  <c r="O49" i="54"/>
  <c r="P49" i="54"/>
  <c r="Q49" i="54"/>
  <c r="R49" i="54"/>
  <c r="S49" i="54"/>
  <c r="N50" i="54"/>
  <c r="O50" i="54"/>
  <c r="P50" i="54"/>
  <c r="Q50" i="54"/>
  <c r="R50" i="54"/>
  <c r="S50" i="54"/>
  <c r="N51" i="54"/>
  <c r="O51" i="54"/>
  <c r="P51" i="54"/>
  <c r="Q51" i="54"/>
  <c r="R51" i="54"/>
  <c r="S51" i="54"/>
  <c r="N52" i="54"/>
  <c r="O52" i="54"/>
  <c r="P52" i="54"/>
  <c r="Q52" i="54"/>
  <c r="R52" i="54"/>
  <c r="S52" i="54"/>
  <c r="N53" i="54"/>
  <c r="O53" i="54"/>
  <c r="P53" i="54"/>
  <c r="Q53" i="54"/>
  <c r="R53" i="54"/>
  <c r="S53" i="54"/>
  <c r="N54" i="54"/>
  <c r="O54" i="54"/>
  <c r="P54" i="54"/>
  <c r="Q54" i="54"/>
  <c r="R54" i="54"/>
  <c r="S54" i="54"/>
  <c r="N55" i="54"/>
  <c r="O55" i="54"/>
  <c r="P55" i="54"/>
  <c r="Q55" i="54"/>
  <c r="R55" i="54"/>
  <c r="S55" i="54"/>
  <c r="N56" i="54"/>
  <c r="O56" i="54"/>
  <c r="P56" i="54"/>
  <c r="Q56" i="54"/>
  <c r="R56" i="54"/>
  <c r="S56" i="54"/>
  <c r="N57" i="54"/>
  <c r="O57" i="54"/>
  <c r="P57" i="54"/>
  <c r="Q57" i="54"/>
  <c r="R57" i="54"/>
  <c r="S57" i="54"/>
  <c r="N58" i="54"/>
  <c r="O58" i="54"/>
  <c r="P58" i="54"/>
  <c r="Q58" i="54"/>
  <c r="R58" i="54"/>
  <c r="S58" i="54"/>
  <c r="N59" i="54"/>
  <c r="O59" i="54"/>
  <c r="P59" i="54"/>
  <c r="Q59" i="54"/>
  <c r="R59" i="54"/>
  <c r="S59" i="54"/>
  <c r="N60" i="54"/>
  <c r="O60" i="54"/>
  <c r="P60" i="54"/>
  <c r="Q60" i="54"/>
  <c r="R60" i="54"/>
  <c r="S60" i="54"/>
  <c r="N61" i="54"/>
  <c r="O61" i="54"/>
  <c r="P61" i="54"/>
  <c r="Q61" i="54"/>
  <c r="R61" i="54"/>
  <c r="S61" i="54"/>
  <c r="N62" i="54"/>
  <c r="O62" i="54"/>
  <c r="P62" i="54"/>
  <c r="Q62" i="54"/>
  <c r="R62" i="54"/>
  <c r="S62" i="54"/>
  <c r="N63" i="54"/>
  <c r="O63" i="54"/>
  <c r="P63" i="54"/>
  <c r="Q63" i="54"/>
  <c r="R63" i="54"/>
  <c r="S63" i="54"/>
  <c r="N64" i="54"/>
  <c r="O64" i="54"/>
  <c r="P64" i="54"/>
  <c r="Q64" i="54"/>
  <c r="R64" i="54"/>
  <c r="S64" i="54"/>
  <c r="N65" i="54"/>
  <c r="O65" i="54"/>
  <c r="P65" i="54"/>
  <c r="Q65" i="54"/>
  <c r="R65" i="54"/>
  <c r="S65" i="54"/>
  <c r="N66" i="54"/>
  <c r="O66" i="54"/>
  <c r="P66" i="54"/>
  <c r="Q66" i="54"/>
  <c r="R66" i="54"/>
  <c r="S66" i="54"/>
  <c r="N67" i="54"/>
  <c r="O67" i="54"/>
  <c r="P67" i="54"/>
  <c r="Q67" i="54"/>
  <c r="R67" i="54"/>
  <c r="S67" i="54"/>
  <c r="N68" i="54"/>
  <c r="O68" i="54"/>
  <c r="P68" i="54"/>
  <c r="Q68" i="54"/>
  <c r="R68" i="54"/>
  <c r="S68" i="54"/>
  <c r="N69" i="54"/>
  <c r="O69" i="54"/>
  <c r="P69" i="54"/>
  <c r="Q69" i="54"/>
  <c r="R69" i="54"/>
  <c r="S69" i="54"/>
  <c r="N70" i="54"/>
  <c r="O70" i="54"/>
  <c r="P70" i="54"/>
  <c r="Q70" i="54"/>
  <c r="R70" i="54"/>
  <c r="S70" i="54"/>
  <c r="N71" i="54"/>
  <c r="O71" i="54"/>
  <c r="P71" i="54"/>
  <c r="Q71" i="54"/>
  <c r="R71" i="54"/>
  <c r="S71" i="54"/>
  <c r="N72" i="54"/>
  <c r="O72" i="54"/>
  <c r="P72" i="54"/>
  <c r="Q72" i="54"/>
  <c r="R72" i="54"/>
  <c r="S72" i="54"/>
  <c r="N73" i="54"/>
  <c r="O73" i="54"/>
  <c r="P73" i="54"/>
  <c r="Q73" i="54"/>
  <c r="R73" i="54"/>
  <c r="S73" i="54"/>
  <c r="N74" i="54"/>
  <c r="O74" i="54"/>
  <c r="P74" i="54"/>
  <c r="Q74" i="54"/>
  <c r="R74" i="54"/>
  <c r="S74" i="54"/>
  <c r="N75" i="54"/>
  <c r="O75" i="54"/>
  <c r="P75" i="54"/>
  <c r="Q75" i="54"/>
  <c r="R75" i="54"/>
  <c r="S75" i="54"/>
  <c r="N76" i="54"/>
  <c r="O76" i="54"/>
  <c r="P76" i="54"/>
  <c r="Q76" i="54"/>
  <c r="R76" i="54"/>
  <c r="S76" i="54"/>
  <c r="N77" i="54"/>
  <c r="O77" i="54"/>
  <c r="P77" i="54"/>
  <c r="Q77" i="54"/>
  <c r="R77" i="54"/>
  <c r="S77" i="54"/>
  <c r="H6" i="54"/>
  <c r="I6" i="54"/>
  <c r="J6" i="54"/>
  <c r="K6" i="54"/>
  <c r="L6" i="54"/>
  <c r="M6" i="54"/>
  <c r="H7" i="54"/>
  <c r="I7" i="54"/>
  <c r="J7" i="54"/>
  <c r="K7" i="54"/>
  <c r="L7" i="54"/>
  <c r="M7" i="54"/>
  <c r="H8" i="54"/>
  <c r="I8" i="54"/>
  <c r="J8" i="54"/>
  <c r="K8" i="54"/>
  <c r="L8" i="54"/>
  <c r="M8" i="54"/>
  <c r="H9" i="54"/>
  <c r="I9" i="54"/>
  <c r="J9" i="54"/>
  <c r="K9" i="54"/>
  <c r="L9" i="54"/>
  <c r="M9" i="54"/>
  <c r="H10" i="54"/>
  <c r="I10" i="54"/>
  <c r="J10" i="54"/>
  <c r="K10" i="54"/>
  <c r="L10" i="54"/>
  <c r="M10" i="54"/>
  <c r="H11" i="54"/>
  <c r="I11" i="54"/>
  <c r="J11" i="54"/>
  <c r="K11" i="54"/>
  <c r="L11" i="54"/>
  <c r="M11" i="54"/>
  <c r="H12" i="54"/>
  <c r="I12" i="54"/>
  <c r="J12" i="54"/>
  <c r="L12" i="54"/>
  <c r="M12" i="54"/>
  <c r="H13" i="54"/>
  <c r="I13" i="54"/>
  <c r="J13" i="54"/>
  <c r="K13" i="54"/>
  <c r="L13" i="54"/>
  <c r="M13" i="54"/>
  <c r="H14" i="54"/>
  <c r="I14" i="54"/>
  <c r="J14" i="54"/>
  <c r="K14" i="54"/>
  <c r="L14" i="54"/>
  <c r="M14" i="54"/>
  <c r="H15" i="54"/>
  <c r="I15" i="54"/>
  <c r="J15" i="54"/>
  <c r="K15" i="54"/>
  <c r="L15" i="54"/>
  <c r="M15" i="54"/>
  <c r="H16" i="54"/>
  <c r="I16" i="54"/>
  <c r="J16" i="54"/>
  <c r="K16" i="54"/>
  <c r="L16" i="54"/>
  <c r="M16" i="54"/>
  <c r="H17" i="54"/>
  <c r="I17" i="54"/>
  <c r="J17" i="54"/>
  <c r="K17" i="54"/>
  <c r="L17" i="54"/>
  <c r="M17" i="54"/>
  <c r="H18" i="54"/>
  <c r="I18" i="54"/>
  <c r="J18" i="54"/>
  <c r="K18" i="54"/>
  <c r="L18" i="54"/>
  <c r="H19" i="54"/>
  <c r="I19" i="54"/>
  <c r="J19" i="54"/>
  <c r="K19" i="54"/>
  <c r="L19" i="54"/>
  <c r="M19" i="54"/>
  <c r="H20" i="54"/>
  <c r="I20" i="54"/>
  <c r="J20" i="54"/>
  <c r="K20" i="54"/>
  <c r="M20" i="54"/>
  <c r="H21" i="54"/>
  <c r="I21" i="54"/>
  <c r="J21" i="54"/>
  <c r="K21" i="54"/>
  <c r="L21" i="54"/>
  <c r="M21" i="54"/>
  <c r="H22" i="54"/>
  <c r="I22" i="54"/>
  <c r="J22" i="54"/>
  <c r="K22" i="54"/>
  <c r="L22" i="54"/>
  <c r="M22" i="54"/>
  <c r="H23" i="54"/>
  <c r="I23" i="54"/>
  <c r="J23" i="54"/>
  <c r="K23" i="54"/>
  <c r="L23" i="54"/>
  <c r="M23" i="54"/>
  <c r="H24" i="54"/>
  <c r="I24" i="54"/>
  <c r="J24" i="54"/>
  <c r="K24" i="54"/>
  <c r="L24" i="54"/>
  <c r="M24" i="54"/>
  <c r="H25" i="54"/>
  <c r="I25" i="54"/>
  <c r="J25" i="54"/>
  <c r="K25" i="54"/>
  <c r="L25" i="54"/>
  <c r="M25" i="54"/>
  <c r="H26" i="54"/>
  <c r="I26" i="54"/>
  <c r="J26" i="54"/>
  <c r="K26" i="54"/>
  <c r="L26" i="54"/>
  <c r="M26" i="54"/>
  <c r="H27" i="54"/>
  <c r="I27" i="54"/>
  <c r="J27" i="54"/>
  <c r="K27" i="54"/>
  <c r="L27" i="54"/>
  <c r="M27" i="54"/>
  <c r="H28" i="54"/>
  <c r="I28" i="54"/>
  <c r="J28" i="54"/>
  <c r="K28" i="54"/>
  <c r="L28" i="54"/>
  <c r="M28" i="54"/>
  <c r="H29" i="54"/>
  <c r="I29" i="54"/>
  <c r="J29" i="54"/>
  <c r="K29" i="54"/>
  <c r="L29" i="54"/>
  <c r="M29" i="54"/>
  <c r="H30" i="54"/>
  <c r="I30" i="54"/>
  <c r="J30" i="54"/>
  <c r="K30" i="54"/>
  <c r="L30" i="54"/>
  <c r="M30" i="54"/>
  <c r="H31" i="54"/>
  <c r="I31" i="54"/>
  <c r="J31" i="54"/>
  <c r="K31" i="54"/>
  <c r="L31" i="54"/>
  <c r="M31" i="54"/>
  <c r="H32" i="54"/>
  <c r="I32" i="54"/>
  <c r="J32" i="54"/>
  <c r="K32" i="54"/>
  <c r="L32" i="54"/>
  <c r="M32" i="54"/>
  <c r="H33" i="54"/>
  <c r="I33" i="54"/>
  <c r="J33" i="54"/>
  <c r="K33" i="54"/>
  <c r="L33" i="54"/>
  <c r="M33" i="54"/>
  <c r="H34" i="54"/>
  <c r="I34" i="54"/>
  <c r="J34" i="54"/>
  <c r="K34" i="54"/>
  <c r="L34" i="54"/>
  <c r="M34" i="54"/>
  <c r="H35" i="54"/>
  <c r="I35" i="54"/>
  <c r="J35" i="54"/>
  <c r="K35" i="54"/>
  <c r="L35" i="54"/>
  <c r="M35" i="54"/>
  <c r="H36" i="54"/>
  <c r="I36" i="54"/>
  <c r="J36" i="54"/>
  <c r="K36" i="54"/>
  <c r="L36" i="54"/>
  <c r="M36" i="54"/>
  <c r="H37" i="54"/>
  <c r="J37" i="54"/>
  <c r="K37" i="54"/>
  <c r="L37" i="54"/>
  <c r="M37" i="54"/>
  <c r="H38" i="54"/>
  <c r="I38" i="54"/>
  <c r="J38" i="54"/>
  <c r="K38" i="54"/>
  <c r="L38" i="54"/>
  <c r="M38" i="54"/>
  <c r="H39" i="54"/>
  <c r="I39" i="54"/>
  <c r="J39" i="54"/>
  <c r="K39" i="54"/>
  <c r="L39" i="54"/>
  <c r="M39" i="54"/>
  <c r="H40" i="54"/>
  <c r="I40" i="54"/>
  <c r="J40" i="54"/>
  <c r="K40" i="54"/>
  <c r="L40" i="54"/>
  <c r="M40" i="54"/>
  <c r="H41" i="54"/>
  <c r="J41" i="54"/>
  <c r="K41" i="54"/>
  <c r="L41" i="54"/>
  <c r="M41" i="54"/>
  <c r="H42" i="54"/>
  <c r="I42" i="54"/>
  <c r="J42" i="54"/>
  <c r="K42" i="54"/>
  <c r="L42" i="54"/>
  <c r="M42" i="54"/>
  <c r="H43" i="54"/>
  <c r="I43" i="54"/>
  <c r="J43" i="54"/>
  <c r="K43" i="54"/>
  <c r="L43" i="54"/>
  <c r="M43" i="54"/>
  <c r="H44" i="54"/>
  <c r="I44" i="54"/>
  <c r="J44" i="54"/>
  <c r="K44" i="54"/>
  <c r="L44" i="54"/>
  <c r="M44" i="54"/>
  <c r="H45" i="54"/>
  <c r="I45" i="54"/>
  <c r="J45" i="54"/>
  <c r="K45" i="54"/>
  <c r="L45" i="54"/>
  <c r="M45" i="54"/>
  <c r="H46" i="54"/>
  <c r="I46" i="54"/>
  <c r="J46" i="54"/>
  <c r="K46" i="54"/>
  <c r="L46" i="54"/>
  <c r="M46" i="54"/>
  <c r="H47" i="54"/>
  <c r="I47" i="54"/>
  <c r="J47" i="54"/>
  <c r="K47" i="54"/>
  <c r="L47" i="54"/>
  <c r="M47" i="54"/>
  <c r="H48" i="54"/>
  <c r="I48" i="54"/>
  <c r="J48" i="54"/>
  <c r="K48" i="54"/>
  <c r="L48" i="54"/>
  <c r="M48" i="54"/>
  <c r="H49" i="54"/>
  <c r="I49" i="54"/>
  <c r="J49" i="54"/>
  <c r="K49" i="54"/>
  <c r="L49" i="54"/>
  <c r="M49" i="54"/>
  <c r="H50" i="54"/>
  <c r="I50" i="54"/>
  <c r="J50" i="54"/>
  <c r="K50" i="54"/>
  <c r="L50" i="54"/>
  <c r="M50" i="54"/>
  <c r="H51" i="54"/>
  <c r="I51" i="54"/>
  <c r="J51" i="54"/>
  <c r="K51" i="54"/>
  <c r="L51" i="54"/>
  <c r="M51" i="54"/>
  <c r="H52" i="54"/>
  <c r="I52" i="54"/>
  <c r="J52" i="54"/>
  <c r="K52" i="54"/>
  <c r="L52" i="54"/>
  <c r="M52" i="54"/>
  <c r="H53" i="54"/>
  <c r="I53" i="54"/>
  <c r="J53" i="54"/>
  <c r="K53" i="54"/>
  <c r="L53" i="54"/>
  <c r="M53" i="54"/>
  <c r="H54" i="54"/>
  <c r="I54" i="54"/>
  <c r="J54" i="54"/>
  <c r="K54" i="54"/>
  <c r="L54" i="54"/>
  <c r="M54" i="54"/>
  <c r="H55" i="54"/>
  <c r="I55" i="54"/>
  <c r="J55" i="54"/>
  <c r="K55" i="54"/>
  <c r="L55" i="54"/>
  <c r="M55" i="54"/>
  <c r="H56" i="54"/>
  <c r="I56" i="54"/>
  <c r="J56" i="54"/>
  <c r="K56" i="54"/>
  <c r="L56" i="54"/>
  <c r="M56" i="54"/>
  <c r="H57" i="54"/>
  <c r="I57" i="54"/>
  <c r="J57" i="54"/>
  <c r="K57" i="54"/>
  <c r="L57" i="54"/>
  <c r="M57" i="54"/>
  <c r="H58" i="54"/>
  <c r="I58" i="54"/>
  <c r="J58" i="54"/>
  <c r="K58" i="54"/>
  <c r="L58" i="54"/>
  <c r="M58" i="54"/>
  <c r="H59" i="54"/>
  <c r="I59" i="54"/>
  <c r="J59" i="54"/>
  <c r="K59" i="54"/>
  <c r="L59" i="54"/>
  <c r="M59" i="54"/>
  <c r="H60" i="54"/>
  <c r="I60" i="54"/>
  <c r="J60" i="54"/>
  <c r="K60" i="54"/>
  <c r="L60" i="54"/>
  <c r="M60" i="54"/>
  <c r="H61" i="54"/>
  <c r="I61" i="54"/>
  <c r="J61" i="54"/>
  <c r="K61" i="54"/>
  <c r="L61" i="54"/>
  <c r="M61" i="54"/>
  <c r="H62" i="54"/>
  <c r="I62" i="54"/>
  <c r="J62" i="54"/>
  <c r="K62" i="54"/>
  <c r="L62" i="54"/>
  <c r="M62" i="54"/>
  <c r="H63" i="54"/>
  <c r="I63" i="54"/>
  <c r="J63" i="54"/>
  <c r="K63" i="54"/>
  <c r="L63" i="54"/>
  <c r="M63" i="54"/>
  <c r="H64" i="54"/>
  <c r="I64" i="54"/>
  <c r="J64" i="54"/>
  <c r="K64" i="54"/>
  <c r="L64" i="54"/>
  <c r="M64" i="54"/>
  <c r="H65" i="54"/>
  <c r="I65" i="54"/>
  <c r="J65" i="54"/>
  <c r="K65" i="54"/>
  <c r="L65" i="54"/>
  <c r="M65" i="54"/>
  <c r="H66" i="54"/>
  <c r="I66" i="54"/>
  <c r="J66" i="54"/>
  <c r="K66" i="54"/>
  <c r="L66" i="54"/>
  <c r="M66" i="54"/>
  <c r="H67" i="54"/>
  <c r="I67" i="54"/>
  <c r="J67" i="54"/>
  <c r="K67" i="54"/>
  <c r="L67" i="54"/>
  <c r="M67" i="54"/>
  <c r="H68" i="54"/>
  <c r="I68" i="54"/>
  <c r="J68" i="54"/>
  <c r="K68" i="54"/>
  <c r="L68" i="54"/>
  <c r="M68" i="54"/>
  <c r="H69" i="54"/>
  <c r="I69" i="54"/>
  <c r="J69" i="54"/>
  <c r="K69" i="54"/>
  <c r="L69" i="54"/>
  <c r="M69" i="54"/>
  <c r="H70" i="54"/>
  <c r="I70" i="54"/>
  <c r="J70" i="54"/>
  <c r="K70" i="54"/>
  <c r="L70" i="54"/>
  <c r="M70" i="54"/>
  <c r="H71" i="54"/>
  <c r="I71" i="54"/>
  <c r="J71" i="54"/>
  <c r="K71" i="54"/>
  <c r="L71" i="54"/>
  <c r="M71" i="54"/>
  <c r="H72" i="54"/>
  <c r="I72" i="54"/>
  <c r="J72" i="54"/>
  <c r="K72" i="54"/>
  <c r="L72" i="54"/>
  <c r="M72" i="54"/>
  <c r="H73" i="54"/>
  <c r="I73" i="54"/>
  <c r="J73" i="54"/>
  <c r="K73" i="54"/>
  <c r="L73" i="54"/>
  <c r="M73" i="54"/>
  <c r="H74" i="54"/>
  <c r="I74" i="54"/>
  <c r="J74" i="54"/>
  <c r="K74" i="54"/>
  <c r="L74" i="54"/>
  <c r="M74" i="54"/>
  <c r="H75" i="54"/>
  <c r="I75" i="54"/>
  <c r="J75" i="54"/>
  <c r="K75" i="54"/>
  <c r="L75" i="54"/>
  <c r="M75" i="54"/>
  <c r="H76" i="54"/>
  <c r="I76" i="54"/>
  <c r="J76" i="54"/>
  <c r="K76" i="54"/>
  <c r="L76" i="54"/>
  <c r="M76" i="54"/>
  <c r="H77" i="54"/>
  <c r="I77" i="54"/>
  <c r="J77" i="54"/>
  <c r="K77" i="54"/>
  <c r="L77" i="54"/>
  <c r="M77" i="54"/>
  <c r="B9" i="54"/>
  <c r="C9" i="54"/>
  <c r="D9" i="54"/>
  <c r="E9" i="54"/>
  <c r="F9" i="54"/>
  <c r="G9" i="54"/>
  <c r="B10" i="54"/>
  <c r="C10" i="54"/>
  <c r="D10" i="54"/>
  <c r="E10" i="54"/>
  <c r="F10" i="54"/>
  <c r="G10" i="54"/>
  <c r="B11" i="54"/>
  <c r="C11" i="54"/>
  <c r="D11" i="54"/>
  <c r="E11" i="54"/>
  <c r="F11" i="54"/>
  <c r="G11" i="54"/>
  <c r="B12" i="54"/>
  <c r="C12" i="54"/>
  <c r="D12" i="54"/>
  <c r="F12" i="54"/>
  <c r="G12" i="54"/>
  <c r="B13" i="54"/>
  <c r="C13" i="54"/>
  <c r="D13" i="54"/>
  <c r="E13" i="54"/>
  <c r="F13" i="54"/>
  <c r="G13" i="54"/>
  <c r="B14" i="54"/>
  <c r="C14" i="54"/>
  <c r="D14" i="54"/>
  <c r="E14" i="54"/>
  <c r="F14" i="54"/>
  <c r="G14" i="54"/>
  <c r="B15" i="54"/>
  <c r="C15" i="54"/>
  <c r="D15" i="54"/>
  <c r="E15" i="54"/>
  <c r="F15" i="54"/>
  <c r="G15" i="54"/>
  <c r="B16" i="54"/>
  <c r="C16" i="54"/>
  <c r="D16" i="54"/>
  <c r="E16" i="54"/>
  <c r="F16" i="54"/>
  <c r="G16" i="54"/>
  <c r="B17" i="54"/>
  <c r="C17" i="54"/>
  <c r="D17" i="54"/>
  <c r="E17" i="54"/>
  <c r="F17" i="54"/>
  <c r="G17" i="54"/>
  <c r="B18" i="54"/>
  <c r="C18" i="54"/>
  <c r="D18" i="54"/>
  <c r="E18" i="54"/>
  <c r="F18" i="54"/>
  <c r="B19" i="54"/>
  <c r="C19" i="54"/>
  <c r="D19" i="54"/>
  <c r="E19" i="54"/>
  <c r="F19" i="54"/>
  <c r="G19" i="54"/>
  <c r="B20" i="54"/>
  <c r="C20" i="54"/>
  <c r="D20" i="54"/>
  <c r="E20" i="54"/>
  <c r="G20" i="54"/>
  <c r="B21" i="54"/>
  <c r="C21" i="54"/>
  <c r="D21" i="54"/>
  <c r="E21" i="54"/>
  <c r="F21" i="54"/>
  <c r="G21" i="54"/>
  <c r="B22" i="54"/>
  <c r="C22" i="54"/>
  <c r="D22" i="54"/>
  <c r="E22" i="54"/>
  <c r="F22" i="54"/>
  <c r="G22" i="54"/>
  <c r="B23" i="54"/>
  <c r="C23" i="54"/>
  <c r="D23" i="54"/>
  <c r="E23" i="54"/>
  <c r="F23" i="54"/>
  <c r="G23" i="54"/>
  <c r="B24" i="54"/>
  <c r="C24" i="54"/>
  <c r="D24" i="54"/>
  <c r="E24" i="54"/>
  <c r="F24" i="54"/>
  <c r="G24" i="54"/>
  <c r="B25" i="54"/>
  <c r="C25" i="54"/>
  <c r="D25" i="54"/>
  <c r="E25" i="54"/>
  <c r="F25" i="54"/>
  <c r="G25" i="54"/>
  <c r="B26" i="54"/>
  <c r="C26" i="54"/>
  <c r="D26" i="54"/>
  <c r="E26" i="54"/>
  <c r="F26" i="54"/>
  <c r="G26" i="54"/>
  <c r="B27" i="54"/>
  <c r="C27" i="54"/>
  <c r="D27" i="54"/>
  <c r="E27" i="54"/>
  <c r="F27" i="54"/>
  <c r="G27" i="54"/>
  <c r="B28" i="54"/>
  <c r="C28" i="54"/>
  <c r="D28" i="54"/>
  <c r="E28" i="54"/>
  <c r="F28" i="54"/>
  <c r="G28" i="54"/>
  <c r="B29" i="54"/>
  <c r="C29" i="54"/>
  <c r="D29" i="54"/>
  <c r="E29" i="54"/>
  <c r="F29" i="54"/>
  <c r="G29" i="54"/>
  <c r="B30" i="54"/>
  <c r="C30" i="54"/>
  <c r="D30" i="54"/>
  <c r="E30" i="54"/>
  <c r="F30" i="54"/>
  <c r="G30" i="54"/>
  <c r="B31" i="54"/>
  <c r="C31" i="54"/>
  <c r="D31" i="54"/>
  <c r="E31" i="54"/>
  <c r="F31" i="54"/>
  <c r="G31" i="54"/>
  <c r="B32" i="54"/>
  <c r="C32" i="54"/>
  <c r="D32" i="54"/>
  <c r="E32" i="54"/>
  <c r="F32" i="54"/>
  <c r="G32" i="54"/>
  <c r="B33" i="54"/>
  <c r="C33" i="54"/>
  <c r="D33" i="54"/>
  <c r="E33" i="54"/>
  <c r="F33" i="54"/>
  <c r="G33" i="54"/>
  <c r="B34" i="54"/>
  <c r="C34" i="54"/>
  <c r="D34" i="54"/>
  <c r="E34" i="54"/>
  <c r="F34" i="54"/>
  <c r="G34" i="54"/>
  <c r="B35" i="54"/>
  <c r="C35" i="54"/>
  <c r="D35" i="54"/>
  <c r="E35" i="54"/>
  <c r="F35" i="54"/>
  <c r="G35" i="54"/>
  <c r="B36" i="54"/>
  <c r="C36" i="54"/>
  <c r="D36" i="54"/>
  <c r="E36" i="54"/>
  <c r="F36" i="54"/>
  <c r="G36" i="54"/>
  <c r="B37" i="54"/>
  <c r="D37" i="54"/>
  <c r="E37" i="54"/>
  <c r="F37" i="54"/>
  <c r="G37" i="54"/>
  <c r="B38" i="54"/>
  <c r="C38" i="54"/>
  <c r="D38" i="54"/>
  <c r="E38" i="54"/>
  <c r="F38" i="54"/>
  <c r="G38" i="54"/>
  <c r="B39" i="54"/>
  <c r="C39" i="54"/>
  <c r="D39" i="54"/>
  <c r="E39" i="54"/>
  <c r="F39" i="54"/>
  <c r="G39" i="54"/>
  <c r="B40" i="54"/>
  <c r="C40" i="54"/>
  <c r="D40" i="54"/>
  <c r="E40" i="54"/>
  <c r="F40" i="54"/>
  <c r="G40" i="54"/>
  <c r="B41" i="54"/>
  <c r="D41" i="54"/>
  <c r="E41" i="54"/>
  <c r="F41" i="54"/>
  <c r="G41" i="54"/>
  <c r="B42" i="54"/>
  <c r="C42" i="54"/>
  <c r="D42" i="54"/>
  <c r="E42" i="54"/>
  <c r="F42" i="54"/>
  <c r="G42" i="54"/>
  <c r="B43" i="54"/>
  <c r="C43" i="54"/>
  <c r="D43" i="54"/>
  <c r="E43" i="54"/>
  <c r="F43" i="54"/>
  <c r="G43" i="54"/>
  <c r="B44" i="54"/>
  <c r="C44" i="54"/>
  <c r="D44" i="54"/>
  <c r="E44" i="54"/>
  <c r="F44" i="54"/>
  <c r="G44" i="54"/>
  <c r="B45" i="54"/>
  <c r="C45" i="54"/>
  <c r="D45" i="54"/>
  <c r="E45" i="54"/>
  <c r="F45" i="54"/>
  <c r="G45" i="54"/>
  <c r="B46" i="54"/>
  <c r="C46" i="54"/>
  <c r="D46" i="54"/>
  <c r="E46" i="54"/>
  <c r="F46" i="54"/>
  <c r="G46" i="54"/>
  <c r="B47" i="54"/>
  <c r="C47" i="54"/>
  <c r="D47" i="54"/>
  <c r="E47" i="54"/>
  <c r="F47" i="54"/>
  <c r="G47" i="54"/>
  <c r="B48" i="54"/>
  <c r="C48" i="54"/>
  <c r="D48" i="54"/>
  <c r="E48" i="54"/>
  <c r="F48" i="54"/>
  <c r="G48" i="54"/>
  <c r="B49" i="54"/>
  <c r="C49" i="54"/>
  <c r="D49" i="54"/>
  <c r="E49" i="54"/>
  <c r="F49" i="54"/>
  <c r="G49" i="54"/>
  <c r="B50" i="54"/>
  <c r="C50" i="54"/>
  <c r="D50" i="54"/>
  <c r="E50" i="54"/>
  <c r="F50" i="54"/>
  <c r="G50" i="54"/>
  <c r="B51" i="54"/>
  <c r="C51" i="54"/>
  <c r="D51" i="54"/>
  <c r="E51" i="54"/>
  <c r="F51" i="54"/>
  <c r="G51" i="54"/>
  <c r="B52" i="54"/>
  <c r="C52" i="54"/>
  <c r="D52" i="54"/>
  <c r="E52" i="54"/>
  <c r="F52" i="54"/>
  <c r="G52" i="54"/>
  <c r="B53" i="54"/>
  <c r="C53" i="54"/>
  <c r="D53" i="54"/>
  <c r="E53" i="54"/>
  <c r="F53" i="54"/>
  <c r="G53" i="54"/>
  <c r="B54" i="54"/>
  <c r="C54" i="54"/>
  <c r="D54" i="54"/>
  <c r="E54" i="54"/>
  <c r="F54" i="54"/>
  <c r="G54" i="54"/>
  <c r="B55" i="54"/>
  <c r="C55" i="54"/>
  <c r="D55" i="54"/>
  <c r="E55" i="54"/>
  <c r="F55" i="54"/>
  <c r="G55" i="54"/>
  <c r="B56" i="54"/>
  <c r="C56" i="54"/>
  <c r="D56" i="54"/>
  <c r="E56" i="54"/>
  <c r="F56" i="54"/>
  <c r="G56" i="54"/>
  <c r="B57" i="54"/>
  <c r="C57" i="54"/>
  <c r="D57" i="54"/>
  <c r="E57" i="54"/>
  <c r="F57" i="54"/>
  <c r="G57" i="54"/>
  <c r="B58" i="54"/>
  <c r="C58" i="54"/>
  <c r="D58" i="54"/>
  <c r="E58" i="54"/>
  <c r="F58" i="54"/>
  <c r="G58" i="54"/>
  <c r="B59" i="54"/>
  <c r="C59" i="54"/>
  <c r="D59" i="54"/>
  <c r="E59" i="54"/>
  <c r="F59" i="54"/>
  <c r="G59" i="54"/>
  <c r="B60" i="54"/>
  <c r="C60" i="54"/>
  <c r="D60" i="54"/>
  <c r="E60" i="54"/>
  <c r="F60" i="54"/>
  <c r="G60" i="54"/>
  <c r="B61" i="54"/>
  <c r="C61" i="54"/>
  <c r="D61" i="54"/>
  <c r="E61" i="54"/>
  <c r="F61" i="54"/>
  <c r="G61" i="54"/>
  <c r="B62" i="54"/>
  <c r="C62" i="54"/>
  <c r="D62" i="54"/>
  <c r="E62" i="54"/>
  <c r="F62" i="54"/>
  <c r="G62" i="54"/>
  <c r="B63" i="54"/>
  <c r="C63" i="54"/>
  <c r="D63" i="54"/>
  <c r="E63" i="54"/>
  <c r="F63" i="54"/>
  <c r="G63" i="54"/>
  <c r="B64" i="54"/>
  <c r="C64" i="54"/>
  <c r="D64" i="54"/>
  <c r="E64" i="54"/>
  <c r="F64" i="54"/>
  <c r="G64" i="54"/>
  <c r="B65" i="54"/>
  <c r="C65" i="54"/>
  <c r="D65" i="54"/>
  <c r="E65" i="54"/>
  <c r="F65" i="54"/>
  <c r="G65" i="54"/>
  <c r="B66" i="54"/>
  <c r="C66" i="54"/>
  <c r="D66" i="54"/>
  <c r="E66" i="54"/>
  <c r="F66" i="54"/>
  <c r="G66" i="54"/>
  <c r="B67" i="54"/>
  <c r="C67" i="54"/>
  <c r="D67" i="54"/>
  <c r="E67" i="54"/>
  <c r="F67" i="54"/>
  <c r="G67" i="54"/>
  <c r="B68" i="54"/>
  <c r="C68" i="54"/>
  <c r="D68" i="54"/>
  <c r="E68" i="54"/>
  <c r="F68" i="54"/>
  <c r="G68" i="54"/>
  <c r="B69" i="54"/>
  <c r="C69" i="54"/>
  <c r="D69" i="54"/>
  <c r="E69" i="54"/>
  <c r="F69" i="54"/>
  <c r="G69" i="54"/>
  <c r="B70" i="54"/>
  <c r="C70" i="54"/>
  <c r="D70" i="54"/>
  <c r="E70" i="54"/>
  <c r="F70" i="54"/>
  <c r="G70" i="54"/>
  <c r="B71" i="54"/>
  <c r="C71" i="54"/>
  <c r="D71" i="54"/>
  <c r="E71" i="54"/>
  <c r="F71" i="54"/>
  <c r="G71" i="54"/>
  <c r="B72" i="54"/>
  <c r="C72" i="54"/>
  <c r="D72" i="54"/>
  <c r="E72" i="54"/>
  <c r="F72" i="54"/>
  <c r="G72" i="54"/>
  <c r="B73" i="54"/>
  <c r="C73" i="54"/>
  <c r="D73" i="54"/>
  <c r="E73" i="54"/>
  <c r="F73" i="54"/>
  <c r="G73" i="54"/>
  <c r="B74" i="54"/>
  <c r="C74" i="54"/>
  <c r="D74" i="54"/>
  <c r="E74" i="54"/>
  <c r="F74" i="54"/>
  <c r="G74" i="54"/>
  <c r="B75" i="54"/>
  <c r="C75" i="54"/>
  <c r="D75" i="54"/>
  <c r="E75" i="54"/>
  <c r="F75" i="54"/>
  <c r="G75" i="54"/>
  <c r="B76" i="54"/>
  <c r="C76" i="54"/>
  <c r="D76" i="54"/>
  <c r="E76" i="54"/>
  <c r="F76" i="54"/>
  <c r="G76" i="54"/>
  <c r="B77" i="54"/>
  <c r="C77" i="54"/>
  <c r="D77" i="54"/>
  <c r="E77" i="54"/>
  <c r="F77" i="54"/>
  <c r="G77" i="54"/>
  <c r="B6" i="54"/>
  <c r="C6" i="54"/>
  <c r="D6" i="54"/>
  <c r="E6" i="54"/>
  <c r="F6" i="54"/>
  <c r="G6" i="54"/>
  <c r="B7" i="54"/>
  <c r="C7" i="54"/>
  <c r="D7" i="54"/>
  <c r="E7" i="54"/>
  <c r="F7" i="54"/>
  <c r="G7" i="54"/>
  <c r="B8" i="54"/>
  <c r="C8" i="54"/>
  <c r="D8" i="54"/>
  <c r="E8" i="54"/>
  <c r="F8" i="54"/>
  <c r="G8" i="54"/>
  <c r="C5" i="54"/>
  <c r="D5" i="54"/>
  <c r="F5" i="54"/>
  <c r="G5" i="54"/>
  <c r="H5" i="54"/>
  <c r="I5" i="54"/>
  <c r="J5" i="54"/>
  <c r="L5" i="54"/>
  <c r="M5" i="54"/>
  <c r="N5" i="54"/>
  <c r="O5" i="54"/>
  <c r="P5" i="54"/>
  <c r="R5" i="54"/>
  <c r="S5" i="54"/>
  <c r="B5" i="54"/>
  <c r="B16" i="55"/>
  <c r="C16" i="55"/>
  <c r="D16" i="55"/>
  <c r="E16" i="55"/>
  <c r="F16" i="55"/>
  <c r="G16" i="55"/>
  <c r="H16" i="55"/>
  <c r="G18" i="54" s="1"/>
  <c r="I16" i="55"/>
  <c r="J16" i="55"/>
  <c r="K16" i="55"/>
  <c r="L16" i="55"/>
  <c r="M16" i="55"/>
  <c r="N16" i="55"/>
  <c r="O16" i="55"/>
  <c r="P16" i="55"/>
  <c r="Q16" i="55"/>
  <c r="M18" i="54" s="1"/>
  <c r="R16" i="55"/>
  <c r="S16" i="55"/>
  <c r="T16" i="55"/>
  <c r="U16" i="55"/>
  <c r="V16" i="55"/>
  <c r="W16" i="55"/>
  <c r="X16" i="55"/>
  <c r="Y16" i="55"/>
  <c r="Z16" i="55"/>
  <c r="S18" i="54" s="1"/>
  <c r="AA16" i="55"/>
  <c r="AB16" i="55"/>
  <c r="B17" i="55"/>
  <c r="C17" i="55"/>
  <c r="D17" i="55"/>
  <c r="E17" i="55"/>
  <c r="F17" i="55"/>
  <c r="G17" i="55"/>
  <c r="H17" i="55"/>
  <c r="I17" i="55"/>
  <c r="J17" i="55"/>
  <c r="K17" i="55"/>
  <c r="L17" i="55"/>
  <c r="M17" i="55"/>
  <c r="N17" i="55"/>
  <c r="O17" i="55"/>
  <c r="P17" i="55"/>
  <c r="Q17" i="55"/>
  <c r="R17" i="55"/>
  <c r="S17" i="55"/>
  <c r="T17" i="55"/>
  <c r="U17" i="55"/>
  <c r="V17" i="55"/>
  <c r="W17" i="55"/>
  <c r="X17" i="55"/>
  <c r="Y17" i="55"/>
  <c r="Z17" i="55"/>
  <c r="AA17" i="55"/>
  <c r="AB17" i="55"/>
  <c r="B18" i="55"/>
  <c r="C18" i="55"/>
  <c r="D18" i="55"/>
  <c r="E18" i="55"/>
  <c r="F18" i="55"/>
  <c r="G18" i="55"/>
  <c r="F20" i="54" s="1"/>
  <c r="H18" i="55"/>
  <c r="I18" i="55"/>
  <c r="J18" i="55"/>
  <c r="K18" i="55"/>
  <c r="L18" i="55"/>
  <c r="M18" i="55"/>
  <c r="N18" i="55"/>
  <c r="O18" i="55"/>
  <c r="P18" i="55"/>
  <c r="L20" i="54" s="1"/>
  <c r="Q18" i="55"/>
  <c r="R18" i="55"/>
  <c r="S18" i="55"/>
  <c r="T18" i="55"/>
  <c r="U18" i="55"/>
  <c r="V18" i="55"/>
  <c r="W18" i="55"/>
  <c r="X18" i="55"/>
  <c r="Y18" i="55"/>
  <c r="R20" i="54" s="1"/>
  <c r="Z18" i="55"/>
  <c r="AA18" i="55"/>
  <c r="AB18" i="55"/>
  <c r="B19" i="55"/>
  <c r="C19" i="55"/>
  <c r="D19" i="55"/>
  <c r="E19" i="55"/>
  <c r="F19" i="55"/>
  <c r="G19" i="55"/>
  <c r="H19" i="55"/>
  <c r="I19" i="55"/>
  <c r="J19" i="55"/>
  <c r="K19" i="55"/>
  <c r="L19" i="55"/>
  <c r="M19" i="55"/>
  <c r="N19" i="55"/>
  <c r="O19" i="55"/>
  <c r="P19" i="55"/>
  <c r="Q19" i="55"/>
  <c r="R19" i="55"/>
  <c r="S19" i="55"/>
  <c r="T19" i="55"/>
  <c r="U19" i="55"/>
  <c r="V19" i="55"/>
  <c r="W19" i="55"/>
  <c r="X19" i="55"/>
  <c r="Y19" i="55"/>
  <c r="Z19" i="55"/>
  <c r="AA19" i="55"/>
  <c r="AB19" i="55"/>
  <c r="B20" i="55"/>
  <c r="C20" i="55"/>
  <c r="D20" i="55"/>
  <c r="E20" i="55"/>
  <c r="F20" i="55"/>
  <c r="G20" i="55"/>
  <c r="H20" i="55"/>
  <c r="I20" i="55"/>
  <c r="J20" i="55"/>
  <c r="K20" i="55"/>
  <c r="L20" i="55"/>
  <c r="M20" i="55"/>
  <c r="N20" i="55"/>
  <c r="O20" i="55"/>
  <c r="P20" i="55"/>
  <c r="Q20" i="55"/>
  <c r="R20" i="55"/>
  <c r="S20" i="55"/>
  <c r="T20" i="55"/>
  <c r="U20" i="55"/>
  <c r="V20" i="55"/>
  <c r="W20" i="55"/>
  <c r="X20" i="55"/>
  <c r="Y20" i="55"/>
  <c r="Z20" i="55"/>
  <c r="AA20" i="55"/>
  <c r="AB20" i="55"/>
  <c r="B21" i="55"/>
  <c r="C21" i="55"/>
  <c r="D21" i="55"/>
  <c r="E21" i="55"/>
  <c r="F21" i="55"/>
  <c r="G21" i="55"/>
  <c r="H21" i="55"/>
  <c r="I21" i="55"/>
  <c r="J21" i="55"/>
  <c r="K21" i="55"/>
  <c r="L21" i="55"/>
  <c r="M21" i="55"/>
  <c r="N21" i="55"/>
  <c r="O21" i="55"/>
  <c r="P21" i="55"/>
  <c r="Q21" i="55"/>
  <c r="R21" i="55"/>
  <c r="S21" i="55"/>
  <c r="T21" i="55"/>
  <c r="U21" i="55"/>
  <c r="V21" i="55"/>
  <c r="W21" i="55"/>
  <c r="X21" i="55"/>
  <c r="Y21" i="55"/>
  <c r="Z21" i="55"/>
  <c r="AA21" i="55"/>
  <c r="AB21" i="55"/>
  <c r="B22" i="55"/>
  <c r="C22" i="55"/>
  <c r="D22" i="55"/>
  <c r="E22" i="55"/>
  <c r="F22" i="55"/>
  <c r="G22" i="55"/>
  <c r="H22" i="55"/>
  <c r="I22" i="55"/>
  <c r="J22" i="55"/>
  <c r="K22" i="55"/>
  <c r="L22" i="55"/>
  <c r="M22" i="55"/>
  <c r="N22" i="55"/>
  <c r="O22" i="55"/>
  <c r="P22" i="55"/>
  <c r="Q22" i="55"/>
  <c r="R22" i="55"/>
  <c r="S22" i="55"/>
  <c r="T22" i="55"/>
  <c r="U22" i="55"/>
  <c r="V22" i="55"/>
  <c r="W22" i="55"/>
  <c r="X22" i="55"/>
  <c r="Y22" i="55"/>
  <c r="Z22" i="55"/>
  <c r="AA22" i="55"/>
  <c r="AB22" i="55"/>
  <c r="B23" i="55"/>
  <c r="C23" i="55"/>
  <c r="D23" i="55"/>
  <c r="E23" i="55"/>
  <c r="F23" i="55"/>
  <c r="G23" i="55"/>
  <c r="H23" i="55"/>
  <c r="I23" i="55"/>
  <c r="J23" i="55"/>
  <c r="K23" i="55"/>
  <c r="L23" i="55"/>
  <c r="M23" i="55"/>
  <c r="N23" i="55"/>
  <c r="O23" i="55"/>
  <c r="P23" i="55"/>
  <c r="Q23" i="55"/>
  <c r="R23" i="55"/>
  <c r="S23" i="55"/>
  <c r="T23" i="55"/>
  <c r="U23" i="55"/>
  <c r="V23" i="55"/>
  <c r="W23" i="55"/>
  <c r="X23" i="55"/>
  <c r="Y23" i="55"/>
  <c r="Z23" i="55"/>
  <c r="AA23" i="55"/>
  <c r="AB23" i="55"/>
  <c r="B24" i="55"/>
  <c r="C24" i="55"/>
  <c r="D24" i="55"/>
  <c r="E24" i="55"/>
  <c r="F24" i="55"/>
  <c r="G24" i="55"/>
  <c r="H24" i="55"/>
  <c r="I24" i="55"/>
  <c r="J24" i="55"/>
  <c r="K24" i="55"/>
  <c r="L24" i="55"/>
  <c r="M24" i="55"/>
  <c r="N24" i="55"/>
  <c r="O24" i="55"/>
  <c r="P24" i="55"/>
  <c r="Q24" i="55"/>
  <c r="R24" i="55"/>
  <c r="S24" i="55"/>
  <c r="T24" i="55"/>
  <c r="U24" i="55"/>
  <c r="V24" i="55"/>
  <c r="W24" i="55"/>
  <c r="X24" i="55"/>
  <c r="Y24" i="55"/>
  <c r="Z24" i="55"/>
  <c r="AA24" i="55"/>
  <c r="AB24" i="55"/>
  <c r="B25" i="55"/>
  <c r="C25" i="55"/>
  <c r="D25" i="55"/>
  <c r="E25" i="55"/>
  <c r="F25" i="55"/>
  <c r="G25" i="55"/>
  <c r="H25" i="55"/>
  <c r="I25" i="55"/>
  <c r="J25" i="55"/>
  <c r="K25" i="55"/>
  <c r="L25" i="55"/>
  <c r="M25" i="55"/>
  <c r="N25" i="55"/>
  <c r="O25" i="55"/>
  <c r="P25" i="55"/>
  <c r="Q25" i="55"/>
  <c r="R25" i="55"/>
  <c r="S25" i="55"/>
  <c r="T25" i="55"/>
  <c r="U25" i="55"/>
  <c r="V25" i="55"/>
  <c r="W25" i="55"/>
  <c r="X25" i="55"/>
  <c r="Y25" i="55"/>
  <c r="Z25" i="55"/>
  <c r="AA25" i="55"/>
  <c r="AB25" i="55"/>
  <c r="B26" i="55"/>
  <c r="C26" i="55"/>
  <c r="D26" i="55"/>
  <c r="E26" i="55"/>
  <c r="F26" i="55"/>
  <c r="G26" i="55"/>
  <c r="H26" i="55"/>
  <c r="I26" i="55"/>
  <c r="J26" i="55"/>
  <c r="K26" i="55"/>
  <c r="L26" i="55"/>
  <c r="M26" i="55"/>
  <c r="N26" i="55"/>
  <c r="O26" i="55"/>
  <c r="P26" i="55"/>
  <c r="Q26" i="55"/>
  <c r="R26" i="55"/>
  <c r="S26" i="55"/>
  <c r="T26" i="55"/>
  <c r="U26" i="55"/>
  <c r="V26" i="55"/>
  <c r="W26" i="55"/>
  <c r="X26" i="55"/>
  <c r="Y26" i="55"/>
  <c r="Z26" i="55"/>
  <c r="AA26" i="55"/>
  <c r="AB26" i="55"/>
  <c r="B27" i="55"/>
  <c r="C27" i="55"/>
  <c r="D27" i="55"/>
  <c r="E27" i="55"/>
  <c r="F27" i="55"/>
  <c r="G27" i="55"/>
  <c r="H27" i="55"/>
  <c r="I27" i="55"/>
  <c r="J27" i="55"/>
  <c r="K27" i="55"/>
  <c r="L27" i="55"/>
  <c r="M27" i="55"/>
  <c r="N27" i="55"/>
  <c r="O27" i="55"/>
  <c r="P27" i="55"/>
  <c r="Q27" i="55"/>
  <c r="R27" i="55"/>
  <c r="S27" i="55"/>
  <c r="T27" i="55"/>
  <c r="U27" i="55"/>
  <c r="V27" i="55"/>
  <c r="W27" i="55"/>
  <c r="X27" i="55"/>
  <c r="Y27" i="55"/>
  <c r="Z27" i="55"/>
  <c r="AA27" i="55"/>
  <c r="AB27" i="55"/>
  <c r="B28" i="55"/>
  <c r="C28" i="55"/>
  <c r="D28" i="55"/>
  <c r="E28" i="55"/>
  <c r="F28" i="55"/>
  <c r="G28" i="55"/>
  <c r="H28" i="55"/>
  <c r="I28" i="55"/>
  <c r="J28" i="55"/>
  <c r="K28" i="55"/>
  <c r="L28" i="55"/>
  <c r="M28" i="55"/>
  <c r="N28" i="55"/>
  <c r="O28" i="55"/>
  <c r="P28" i="55"/>
  <c r="Q28" i="55"/>
  <c r="R28" i="55"/>
  <c r="S28" i="55"/>
  <c r="T28" i="55"/>
  <c r="U28" i="55"/>
  <c r="V28" i="55"/>
  <c r="W28" i="55"/>
  <c r="X28" i="55"/>
  <c r="Y28" i="55"/>
  <c r="Z28" i="55"/>
  <c r="AA28" i="55"/>
  <c r="AB28" i="55"/>
  <c r="B29" i="55"/>
  <c r="C29" i="55"/>
  <c r="D29" i="55"/>
  <c r="E29" i="55"/>
  <c r="F29" i="55"/>
  <c r="G29" i="55"/>
  <c r="H29" i="55"/>
  <c r="I29" i="55"/>
  <c r="J29" i="55"/>
  <c r="K29" i="55"/>
  <c r="L29" i="55"/>
  <c r="M29" i="55"/>
  <c r="N29" i="55"/>
  <c r="O29" i="55"/>
  <c r="P29" i="55"/>
  <c r="Q29" i="55"/>
  <c r="R29" i="55"/>
  <c r="S29" i="55"/>
  <c r="T29" i="55"/>
  <c r="U29" i="55"/>
  <c r="V29" i="55"/>
  <c r="W29" i="55"/>
  <c r="X29" i="55"/>
  <c r="Y29" i="55"/>
  <c r="Z29" i="55"/>
  <c r="AA29" i="55"/>
  <c r="AB29" i="55"/>
  <c r="B30" i="55"/>
  <c r="C30" i="55"/>
  <c r="D30" i="55"/>
  <c r="E30" i="55"/>
  <c r="F30" i="55"/>
  <c r="G30" i="55"/>
  <c r="H30" i="55"/>
  <c r="I30" i="55"/>
  <c r="J30" i="55"/>
  <c r="K30" i="55"/>
  <c r="L30" i="55"/>
  <c r="M30" i="55"/>
  <c r="N30" i="55"/>
  <c r="O30" i="55"/>
  <c r="P30" i="55"/>
  <c r="Q30" i="55"/>
  <c r="R30" i="55"/>
  <c r="S30" i="55"/>
  <c r="T30" i="55"/>
  <c r="U30" i="55"/>
  <c r="V30" i="55"/>
  <c r="W30" i="55"/>
  <c r="X30" i="55"/>
  <c r="Y30" i="55"/>
  <c r="Z30" i="55"/>
  <c r="AA30" i="55"/>
  <c r="AB30" i="55"/>
  <c r="B31" i="55"/>
  <c r="C31" i="55"/>
  <c r="D31" i="55"/>
  <c r="E31" i="55"/>
  <c r="F31" i="55"/>
  <c r="G31" i="55"/>
  <c r="H31" i="55"/>
  <c r="I31" i="55"/>
  <c r="J31" i="55"/>
  <c r="K31" i="55"/>
  <c r="L31" i="55"/>
  <c r="M31" i="55"/>
  <c r="N31" i="55"/>
  <c r="O31" i="55"/>
  <c r="P31" i="55"/>
  <c r="Q31" i="55"/>
  <c r="R31" i="55"/>
  <c r="S31" i="55"/>
  <c r="T31" i="55"/>
  <c r="U31" i="55"/>
  <c r="V31" i="55"/>
  <c r="W31" i="55"/>
  <c r="X31" i="55"/>
  <c r="Y31" i="55"/>
  <c r="Z31" i="55"/>
  <c r="AA31" i="55"/>
  <c r="AB31" i="55"/>
  <c r="B32" i="55"/>
  <c r="C32" i="55"/>
  <c r="D32" i="55"/>
  <c r="E32" i="55"/>
  <c r="F32" i="55"/>
  <c r="G32" i="55"/>
  <c r="H32" i="55"/>
  <c r="I32" i="55"/>
  <c r="J32" i="55"/>
  <c r="K32" i="55"/>
  <c r="L32" i="55"/>
  <c r="M32" i="55"/>
  <c r="N32" i="55"/>
  <c r="O32" i="55"/>
  <c r="P32" i="55"/>
  <c r="Q32" i="55"/>
  <c r="R32" i="55"/>
  <c r="S32" i="55"/>
  <c r="T32" i="55"/>
  <c r="U32" i="55"/>
  <c r="V32" i="55"/>
  <c r="W32" i="55"/>
  <c r="X32" i="55"/>
  <c r="Y32" i="55"/>
  <c r="Z32" i="55"/>
  <c r="AA32" i="55"/>
  <c r="AB32" i="55"/>
  <c r="B33" i="55"/>
  <c r="C33" i="55"/>
  <c r="D33" i="55"/>
  <c r="E33" i="55"/>
  <c r="F33" i="55"/>
  <c r="G33" i="55"/>
  <c r="H33" i="55"/>
  <c r="I33" i="55"/>
  <c r="J33" i="55"/>
  <c r="K33" i="55"/>
  <c r="L33" i="55"/>
  <c r="M33" i="55"/>
  <c r="N33" i="55"/>
  <c r="O33" i="55"/>
  <c r="P33" i="55"/>
  <c r="Q33" i="55"/>
  <c r="R33" i="55"/>
  <c r="S33" i="55"/>
  <c r="T33" i="55"/>
  <c r="U33" i="55"/>
  <c r="V33" i="55"/>
  <c r="W33" i="55"/>
  <c r="X33" i="55"/>
  <c r="Y33" i="55"/>
  <c r="Z33" i="55"/>
  <c r="AA33" i="55"/>
  <c r="AB33" i="55"/>
  <c r="B34" i="55"/>
  <c r="C34" i="55"/>
  <c r="D34" i="55"/>
  <c r="E34" i="55"/>
  <c r="F34" i="55"/>
  <c r="G34" i="55"/>
  <c r="H34" i="55"/>
  <c r="I34" i="55"/>
  <c r="J34" i="55"/>
  <c r="K34" i="55"/>
  <c r="L34" i="55"/>
  <c r="M34" i="55"/>
  <c r="N34" i="55"/>
  <c r="O34" i="55"/>
  <c r="P34" i="55"/>
  <c r="Q34" i="55"/>
  <c r="R34" i="55"/>
  <c r="S34" i="55"/>
  <c r="T34" i="55"/>
  <c r="U34" i="55"/>
  <c r="V34" i="55"/>
  <c r="W34" i="55"/>
  <c r="X34" i="55"/>
  <c r="Y34" i="55"/>
  <c r="Z34" i="55"/>
  <c r="AA34" i="55"/>
  <c r="AB34" i="55"/>
  <c r="B35" i="55"/>
  <c r="C35" i="55"/>
  <c r="C37" i="54" s="1"/>
  <c r="D35" i="55"/>
  <c r="E35" i="55"/>
  <c r="F35" i="55"/>
  <c r="G35" i="55"/>
  <c r="H35" i="55"/>
  <c r="I35" i="55"/>
  <c r="J35" i="55"/>
  <c r="K35" i="55"/>
  <c r="L35" i="55"/>
  <c r="I37" i="54" s="1"/>
  <c r="M35" i="55"/>
  <c r="N35" i="55"/>
  <c r="O35" i="55"/>
  <c r="P35" i="55"/>
  <c r="Q35" i="55"/>
  <c r="R35" i="55"/>
  <c r="S35" i="55"/>
  <c r="T35" i="55"/>
  <c r="U35" i="55"/>
  <c r="O37" i="54" s="1"/>
  <c r="V35" i="55"/>
  <c r="W35" i="55"/>
  <c r="X35" i="55"/>
  <c r="Y35" i="55"/>
  <c r="Z35" i="55"/>
  <c r="AA35" i="55"/>
  <c r="AB35" i="55"/>
  <c r="B36" i="55"/>
  <c r="C36" i="55"/>
  <c r="D36" i="55"/>
  <c r="E36" i="55"/>
  <c r="F36" i="55"/>
  <c r="G36" i="55"/>
  <c r="H36" i="55"/>
  <c r="I36" i="55"/>
  <c r="J36" i="55"/>
  <c r="K36" i="55"/>
  <c r="L36" i="55"/>
  <c r="M36" i="55"/>
  <c r="N36" i="55"/>
  <c r="O36" i="55"/>
  <c r="P36" i="55"/>
  <c r="Q36" i="55"/>
  <c r="R36" i="55"/>
  <c r="S36" i="55"/>
  <c r="T36" i="55"/>
  <c r="U36" i="55"/>
  <c r="V36" i="55"/>
  <c r="W36" i="55"/>
  <c r="X36" i="55"/>
  <c r="Y36" i="55"/>
  <c r="Z36" i="55"/>
  <c r="AA36" i="55"/>
  <c r="AB36" i="55"/>
  <c r="B37" i="55"/>
  <c r="C37" i="55"/>
  <c r="D37" i="55"/>
  <c r="E37" i="55"/>
  <c r="F37" i="55"/>
  <c r="G37" i="55"/>
  <c r="H37" i="55"/>
  <c r="I37" i="55"/>
  <c r="J37" i="55"/>
  <c r="K37" i="55"/>
  <c r="L37" i="55"/>
  <c r="M37" i="55"/>
  <c r="N37" i="55"/>
  <c r="O37" i="55"/>
  <c r="P37" i="55"/>
  <c r="Q37" i="55"/>
  <c r="R37" i="55"/>
  <c r="S37" i="55"/>
  <c r="T37" i="55"/>
  <c r="U37" i="55"/>
  <c r="V37" i="55"/>
  <c r="W37" i="55"/>
  <c r="X37" i="55"/>
  <c r="Y37" i="55"/>
  <c r="Z37" i="55"/>
  <c r="AA37" i="55"/>
  <c r="AB37" i="55"/>
  <c r="B38" i="55"/>
  <c r="C38" i="55"/>
  <c r="D38" i="55"/>
  <c r="E38" i="55"/>
  <c r="F38" i="55"/>
  <c r="G38" i="55"/>
  <c r="H38" i="55"/>
  <c r="I38" i="55"/>
  <c r="J38" i="55"/>
  <c r="K38" i="55"/>
  <c r="L38" i="55"/>
  <c r="M38" i="55"/>
  <c r="N38" i="55"/>
  <c r="O38" i="55"/>
  <c r="P38" i="55"/>
  <c r="Q38" i="55"/>
  <c r="R38" i="55"/>
  <c r="S38" i="55"/>
  <c r="T38" i="55"/>
  <c r="U38" i="55"/>
  <c r="V38" i="55"/>
  <c r="W38" i="55"/>
  <c r="X38" i="55"/>
  <c r="Y38" i="55"/>
  <c r="Z38" i="55"/>
  <c r="AA38" i="55"/>
  <c r="AB38" i="55"/>
  <c r="B39" i="55"/>
  <c r="C39" i="55"/>
  <c r="C41" i="54" s="1"/>
  <c r="D39" i="55"/>
  <c r="E39" i="55"/>
  <c r="F39" i="55"/>
  <c r="G39" i="55"/>
  <c r="H39" i="55"/>
  <c r="I39" i="55"/>
  <c r="J39" i="55"/>
  <c r="K39" i="55"/>
  <c r="L39" i="55"/>
  <c r="I41" i="54" s="1"/>
  <c r="M39" i="55"/>
  <c r="N39" i="55"/>
  <c r="O39" i="55"/>
  <c r="P39" i="55"/>
  <c r="Q39" i="55"/>
  <c r="R39" i="55"/>
  <c r="S39" i="55"/>
  <c r="T39" i="55"/>
  <c r="U39" i="55"/>
  <c r="O41" i="54" s="1"/>
  <c r="V39" i="55"/>
  <c r="W39" i="55"/>
  <c r="X39" i="55"/>
  <c r="Y39" i="55"/>
  <c r="Z39" i="55"/>
  <c r="AA39" i="55"/>
  <c r="AB39" i="55"/>
  <c r="B40" i="55"/>
  <c r="C40" i="55"/>
  <c r="D40" i="55"/>
  <c r="E40" i="55"/>
  <c r="F40" i="55"/>
  <c r="G40" i="55"/>
  <c r="H40" i="55"/>
  <c r="I40" i="55"/>
  <c r="J40" i="55"/>
  <c r="K40" i="55"/>
  <c r="L40" i="55"/>
  <c r="M40" i="55"/>
  <c r="N40" i="55"/>
  <c r="O40" i="55"/>
  <c r="P40" i="55"/>
  <c r="Q40" i="55"/>
  <c r="R40" i="55"/>
  <c r="S40" i="55"/>
  <c r="T40" i="55"/>
  <c r="U40" i="55"/>
  <c r="V40" i="55"/>
  <c r="W40" i="55"/>
  <c r="X40" i="55"/>
  <c r="Y40" i="55"/>
  <c r="Z40" i="55"/>
  <c r="AA40" i="55"/>
  <c r="AB40" i="55"/>
  <c r="B41" i="55"/>
  <c r="C41" i="55"/>
  <c r="D41" i="55"/>
  <c r="E41" i="55"/>
  <c r="F41" i="55"/>
  <c r="G41" i="55"/>
  <c r="H41" i="55"/>
  <c r="I41" i="55"/>
  <c r="J41" i="55"/>
  <c r="K41" i="55"/>
  <c r="L41" i="55"/>
  <c r="M41" i="55"/>
  <c r="N41" i="55"/>
  <c r="O41" i="55"/>
  <c r="P41" i="55"/>
  <c r="Q41" i="55"/>
  <c r="R41" i="55"/>
  <c r="S41" i="55"/>
  <c r="T41" i="55"/>
  <c r="U41" i="55"/>
  <c r="V41" i="55"/>
  <c r="W41" i="55"/>
  <c r="X41" i="55"/>
  <c r="Y41" i="55"/>
  <c r="Z41" i="55"/>
  <c r="AA41" i="55"/>
  <c r="AB41" i="55"/>
  <c r="B42" i="55"/>
  <c r="C42" i="55"/>
  <c r="D42" i="55"/>
  <c r="E42" i="55"/>
  <c r="F42" i="55"/>
  <c r="G42" i="55"/>
  <c r="H42" i="55"/>
  <c r="I42" i="55"/>
  <c r="J42" i="55"/>
  <c r="K42" i="55"/>
  <c r="L42" i="55"/>
  <c r="M42" i="55"/>
  <c r="N42" i="55"/>
  <c r="O42" i="55"/>
  <c r="P42" i="55"/>
  <c r="Q42" i="55"/>
  <c r="R42" i="55"/>
  <c r="S42" i="55"/>
  <c r="T42" i="55"/>
  <c r="U42" i="55"/>
  <c r="V42" i="55"/>
  <c r="W42" i="55"/>
  <c r="X42" i="55"/>
  <c r="Y42" i="55"/>
  <c r="Z42" i="55"/>
  <c r="AA42" i="55"/>
  <c r="AB42" i="55"/>
  <c r="B43" i="55"/>
  <c r="C43" i="55"/>
  <c r="D43" i="55"/>
  <c r="E43" i="55"/>
  <c r="F43" i="55"/>
  <c r="G43" i="55"/>
  <c r="H43" i="55"/>
  <c r="I43" i="55"/>
  <c r="J43" i="55"/>
  <c r="K43" i="55"/>
  <c r="L43" i="55"/>
  <c r="M43" i="55"/>
  <c r="N43" i="55"/>
  <c r="O43" i="55"/>
  <c r="P43" i="55"/>
  <c r="Q43" i="55"/>
  <c r="R43" i="55"/>
  <c r="S43" i="55"/>
  <c r="T43" i="55"/>
  <c r="U43" i="55"/>
  <c r="V43" i="55"/>
  <c r="W43" i="55"/>
  <c r="X43" i="55"/>
  <c r="Y43" i="55"/>
  <c r="Z43" i="55"/>
  <c r="AA43" i="55"/>
  <c r="AB43" i="55"/>
  <c r="B44" i="55"/>
  <c r="C44" i="55"/>
  <c r="D44" i="55"/>
  <c r="E44" i="55"/>
  <c r="F44" i="55"/>
  <c r="G44" i="55"/>
  <c r="H44" i="55"/>
  <c r="I44" i="55"/>
  <c r="J44" i="55"/>
  <c r="K44" i="55"/>
  <c r="L44" i="55"/>
  <c r="M44" i="55"/>
  <c r="N44" i="55"/>
  <c r="O44" i="55"/>
  <c r="P44" i="55"/>
  <c r="Q44" i="55"/>
  <c r="R44" i="55"/>
  <c r="S44" i="55"/>
  <c r="T44" i="55"/>
  <c r="U44" i="55"/>
  <c r="V44" i="55"/>
  <c r="W44" i="55"/>
  <c r="X44" i="55"/>
  <c r="Y44" i="55"/>
  <c r="Z44" i="55"/>
  <c r="AA44" i="55"/>
  <c r="AB44" i="55"/>
  <c r="B45" i="55"/>
  <c r="C45" i="55"/>
  <c r="D45" i="55"/>
  <c r="E45" i="55"/>
  <c r="F45" i="55"/>
  <c r="G45" i="55"/>
  <c r="H45" i="55"/>
  <c r="I45" i="55"/>
  <c r="J45" i="55"/>
  <c r="K45" i="55"/>
  <c r="L45" i="55"/>
  <c r="M45" i="55"/>
  <c r="N45" i="55"/>
  <c r="O45" i="55"/>
  <c r="P45" i="55"/>
  <c r="Q45" i="55"/>
  <c r="R45" i="55"/>
  <c r="S45" i="55"/>
  <c r="T45" i="55"/>
  <c r="U45" i="55"/>
  <c r="V45" i="55"/>
  <c r="W45" i="55"/>
  <c r="X45" i="55"/>
  <c r="Y45" i="55"/>
  <c r="Z45" i="55"/>
  <c r="AA45" i="55"/>
  <c r="AB45" i="55"/>
  <c r="B46" i="55"/>
  <c r="C46" i="55"/>
  <c r="D46" i="55"/>
  <c r="E46" i="55"/>
  <c r="F46" i="55"/>
  <c r="G46" i="55"/>
  <c r="H46" i="55"/>
  <c r="I46" i="55"/>
  <c r="J46" i="55"/>
  <c r="K46" i="55"/>
  <c r="L46" i="55"/>
  <c r="M46" i="55"/>
  <c r="N46" i="55"/>
  <c r="O46" i="55"/>
  <c r="P46" i="55"/>
  <c r="Q46" i="55"/>
  <c r="R46" i="55"/>
  <c r="S46" i="55"/>
  <c r="T46" i="55"/>
  <c r="U46" i="55"/>
  <c r="V46" i="55"/>
  <c r="W46" i="55"/>
  <c r="X46" i="55"/>
  <c r="Y46" i="55"/>
  <c r="Z46" i="55"/>
  <c r="AA46" i="55"/>
  <c r="AB46" i="55"/>
  <c r="B47" i="55"/>
  <c r="C47" i="55"/>
  <c r="D47" i="55"/>
  <c r="E47" i="55"/>
  <c r="F47" i="55"/>
  <c r="G47" i="55"/>
  <c r="H47" i="55"/>
  <c r="I47" i="55"/>
  <c r="J47" i="55"/>
  <c r="K47" i="55"/>
  <c r="L47" i="55"/>
  <c r="M47" i="55"/>
  <c r="N47" i="55"/>
  <c r="O47" i="55"/>
  <c r="P47" i="55"/>
  <c r="Q47" i="55"/>
  <c r="R47" i="55"/>
  <c r="S47" i="55"/>
  <c r="T47" i="55"/>
  <c r="U47" i="55"/>
  <c r="V47" i="55"/>
  <c r="W47" i="55"/>
  <c r="X47" i="55"/>
  <c r="Y47" i="55"/>
  <c r="Z47" i="55"/>
  <c r="AA47" i="55"/>
  <c r="AB47" i="55"/>
  <c r="B48" i="55"/>
  <c r="C48" i="55"/>
  <c r="D48" i="55"/>
  <c r="E48" i="55"/>
  <c r="F48" i="55"/>
  <c r="G48" i="55"/>
  <c r="H48" i="55"/>
  <c r="I48" i="55"/>
  <c r="J48" i="55"/>
  <c r="K48" i="55"/>
  <c r="L48" i="55"/>
  <c r="M48" i="55"/>
  <c r="N48" i="55"/>
  <c r="O48" i="55"/>
  <c r="P48" i="55"/>
  <c r="Q48" i="55"/>
  <c r="R48" i="55"/>
  <c r="S48" i="55"/>
  <c r="T48" i="55"/>
  <c r="U48" i="55"/>
  <c r="V48" i="55"/>
  <c r="W48" i="55"/>
  <c r="X48" i="55"/>
  <c r="Y48" i="55"/>
  <c r="Z48" i="55"/>
  <c r="AA48" i="55"/>
  <c r="AB48" i="55"/>
  <c r="B49" i="55"/>
  <c r="C49" i="55"/>
  <c r="D49" i="55"/>
  <c r="E49" i="55"/>
  <c r="F49" i="55"/>
  <c r="G49" i="55"/>
  <c r="H49" i="55"/>
  <c r="I49" i="55"/>
  <c r="J49" i="55"/>
  <c r="K49" i="55"/>
  <c r="L49" i="55"/>
  <c r="M49" i="55"/>
  <c r="N49" i="55"/>
  <c r="O49" i="55"/>
  <c r="P49" i="55"/>
  <c r="Q49" i="55"/>
  <c r="R49" i="55"/>
  <c r="S49" i="55"/>
  <c r="T49" i="55"/>
  <c r="U49" i="55"/>
  <c r="V49" i="55"/>
  <c r="W49" i="55"/>
  <c r="X49" i="55"/>
  <c r="Y49" i="55"/>
  <c r="Z49" i="55"/>
  <c r="AA49" i="55"/>
  <c r="AB49" i="55"/>
  <c r="B50" i="55"/>
  <c r="C50" i="55"/>
  <c r="D50" i="55"/>
  <c r="E50" i="55"/>
  <c r="F50" i="55"/>
  <c r="G50" i="55"/>
  <c r="H50" i="55"/>
  <c r="I50" i="55"/>
  <c r="J50" i="55"/>
  <c r="K50" i="55"/>
  <c r="L50" i="55"/>
  <c r="M50" i="55"/>
  <c r="N50" i="55"/>
  <c r="O50" i="55"/>
  <c r="P50" i="55"/>
  <c r="Q50" i="55"/>
  <c r="R50" i="55"/>
  <c r="S50" i="55"/>
  <c r="T50" i="55"/>
  <c r="U50" i="55"/>
  <c r="V50" i="55"/>
  <c r="W50" i="55"/>
  <c r="X50" i="55"/>
  <c r="Y50" i="55"/>
  <c r="Z50" i="55"/>
  <c r="AA50" i="55"/>
  <c r="AB50" i="55"/>
  <c r="B51" i="55"/>
  <c r="C51" i="55"/>
  <c r="D51" i="55"/>
  <c r="E51" i="55"/>
  <c r="F51" i="55"/>
  <c r="G51" i="55"/>
  <c r="H51" i="55"/>
  <c r="I51" i="55"/>
  <c r="J51" i="55"/>
  <c r="K51" i="55"/>
  <c r="L51" i="55"/>
  <c r="M51" i="55"/>
  <c r="N51" i="55"/>
  <c r="O51" i="55"/>
  <c r="P51" i="55"/>
  <c r="Q51" i="55"/>
  <c r="R51" i="55"/>
  <c r="S51" i="55"/>
  <c r="T51" i="55"/>
  <c r="U51" i="55"/>
  <c r="V51" i="55"/>
  <c r="W51" i="55"/>
  <c r="X51" i="55"/>
  <c r="Y51" i="55"/>
  <c r="Z51" i="55"/>
  <c r="AA51" i="55"/>
  <c r="AB51" i="55"/>
  <c r="B52" i="55"/>
  <c r="C52" i="55"/>
  <c r="D52" i="55"/>
  <c r="E52" i="55"/>
  <c r="F52" i="55"/>
  <c r="G52" i="55"/>
  <c r="H52" i="55"/>
  <c r="I52" i="55"/>
  <c r="J52" i="55"/>
  <c r="K52" i="55"/>
  <c r="L52" i="55"/>
  <c r="M52" i="55"/>
  <c r="N52" i="55"/>
  <c r="O52" i="55"/>
  <c r="P52" i="55"/>
  <c r="Q52" i="55"/>
  <c r="R52" i="55"/>
  <c r="S52" i="55"/>
  <c r="T52" i="55"/>
  <c r="U52" i="55"/>
  <c r="V52" i="55"/>
  <c r="W52" i="55"/>
  <c r="X52" i="55"/>
  <c r="Y52" i="55"/>
  <c r="Z52" i="55"/>
  <c r="AA52" i="55"/>
  <c r="AB52" i="55"/>
  <c r="B53" i="55"/>
  <c r="C53" i="55"/>
  <c r="D53" i="55"/>
  <c r="E53" i="55"/>
  <c r="F53" i="55"/>
  <c r="G53" i="55"/>
  <c r="H53" i="55"/>
  <c r="I53" i="55"/>
  <c r="J53" i="55"/>
  <c r="K53" i="55"/>
  <c r="L53" i="55"/>
  <c r="M53" i="55"/>
  <c r="N53" i="55"/>
  <c r="O53" i="55"/>
  <c r="P53" i="55"/>
  <c r="Q53" i="55"/>
  <c r="R53" i="55"/>
  <c r="S53" i="55"/>
  <c r="T53" i="55"/>
  <c r="U53" i="55"/>
  <c r="V53" i="55"/>
  <c r="W53" i="55"/>
  <c r="X53" i="55"/>
  <c r="Y53" i="55"/>
  <c r="Z53" i="55"/>
  <c r="AA53" i="55"/>
  <c r="AB53" i="55"/>
  <c r="B54" i="55"/>
  <c r="C54" i="55"/>
  <c r="D54" i="55"/>
  <c r="E54" i="55"/>
  <c r="F54" i="55"/>
  <c r="G54" i="55"/>
  <c r="H54" i="55"/>
  <c r="I54" i="55"/>
  <c r="J54" i="55"/>
  <c r="K54" i="55"/>
  <c r="L54" i="55"/>
  <c r="M54" i="55"/>
  <c r="N54" i="55"/>
  <c r="O54" i="55"/>
  <c r="P54" i="55"/>
  <c r="Q54" i="55"/>
  <c r="R54" i="55"/>
  <c r="S54" i="55"/>
  <c r="T54" i="55"/>
  <c r="U54" i="55"/>
  <c r="V54" i="55"/>
  <c r="W54" i="55"/>
  <c r="X54" i="55"/>
  <c r="Y54" i="55"/>
  <c r="Z54" i="55"/>
  <c r="AA54" i="55"/>
  <c r="AB54" i="55"/>
  <c r="B55" i="55"/>
  <c r="C55" i="55"/>
  <c r="D55" i="55"/>
  <c r="E55" i="55"/>
  <c r="F55" i="55"/>
  <c r="G55" i="55"/>
  <c r="H55" i="55"/>
  <c r="I55" i="55"/>
  <c r="J55" i="55"/>
  <c r="K55" i="55"/>
  <c r="L55" i="55"/>
  <c r="M55" i="55"/>
  <c r="N55" i="55"/>
  <c r="O55" i="55"/>
  <c r="P55" i="55"/>
  <c r="Q55" i="55"/>
  <c r="R55" i="55"/>
  <c r="S55" i="55"/>
  <c r="T55" i="55"/>
  <c r="U55" i="55"/>
  <c r="V55" i="55"/>
  <c r="W55" i="55"/>
  <c r="X55" i="55"/>
  <c r="Y55" i="55"/>
  <c r="Z55" i="55"/>
  <c r="AA55" i="55"/>
  <c r="AB55" i="55"/>
  <c r="B56" i="55"/>
  <c r="C56" i="55"/>
  <c r="D56" i="55"/>
  <c r="E56" i="55"/>
  <c r="F56" i="55"/>
  <c r="G56" i="55"/>
  <c r="H56" i="55"/>
  <c r="I56" i="55"/>
  <c r="J56" i="55"/>
  <c r="K56" i="55"/>
  <c r="L56" i="55"/>
  <c r="M56" i="55"/>
  <c r="N56" i="55"/>
  <c r="O56" i="55"/>
  <c r="P56" i="55"/>
  <c r="Q56" i="55"/>
  <c r="R56" i="55"/>
  <c r="S56" i="55"/>
  <c r="T56" i="55"/>
  <c r="U56" i="55"/>
  <c r="V56" i="55"/>
  <c r="W56" i="55"/>
  <c r="X56" i="55"/>
  <c r="Y56" i="55"/>
  <c r="Z56" i="55"/>
  <c r="AA56" i="55"/>
  <c r="AB56" i="55"/>
  <c r="B57" i="55"/>
  <c r="C57" i="55"/>
  <c r="D57" i="55"/>
  <c r="E57" i="55"/>
  <c r="F57" i="55"/>
  <c r="G57" i="55"/>
  <c r="H57" i="55"/>
  <c r="I57" i="55"/>
  <c r="J57" i="55"/>
  <c r="K57" i="55"/>
  <c r="L57" i="55"/>
  <c r="M57" i="55"/>
  <c r="N57" i="55"/>
  <c r="O57" i="55"/>
  <c r="P57" i="55"/>
  <c r="Q57" i="55"/>
  <c r="R57" i="55"/>
  <c r="S57" i="55"/>
  <c r="T57" i="55"/>
  <c r="U57" i="55"/>
  <c r="V57" i="55"/>
  <c r="W57" i="55"/>
  <c r="X57" i="55"/>
  <c r="Y57" i="55"/>
  <c r="Z57" i="55"/>
  <c r="AA57" i="55"/>
  <c r="AB57"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B59" i="55"/>
  <c r="C59" i="55"/>
  <c r="D59" i="55"/>
  <c r="E59" i="55"/>
  <c r="F59" i="55"/>
  <c r="G59" i="55"/>
  <c r="H59" i="55"/>
  <c r="I59" i="55"/>
  <c r="J59" i="55"/>
  <c r="K59" i="55"/>
  <c r="L59" i="55"/>
  <c r="M59" i="55"/>
  <c r="N59" i="55"/>
  <c r="O59" i="55"/>
  <c r="P59" i="55"/>
  <c r="Q59" i="55"/>
  <c r="R59" i="55"/>
  <c r="S59" i="55"/>
  <c r="T59" i="55"/>
  <c r="U59" i="55"/>
  <c r="V59" i="55"/>
  <c r="W59" i="55"/>
  <c r="X59" i="55"/>
  <c r="Y59" i="55"/>
  <c r="Z59" i="55"/>
  <c r="AA59" i="55"/>
  <c r="AB59" i="55"/>
  <c r="B60" i="55"/>
  <c r="C60" i="55"/>
  <c r="D60" i="55"/>
  <c r="E60" i="55"/>
  <c r="F60" i="55"/>
  <c r="G60" i="55"/>
  <c r="H60" i="55"/>
  <c r="I60" i="55"/>
  <c r="J60" i="55"/>
  <c r="K60" i="55"/>
  <c r="L60" i="55"/>
  <c r="M60" i="55"/>
  <c r="N60" i="55"/>
  <c r="O60" i="55"/>
  <c r="P60" i="55"/>
  <c r="Q60" i="55"/>
  <c r="R60" i="55"/>
  <c r="S60" i="55"/>
  <c r="T60" i="55"/>
  <c r="U60" i="55"/>
  <c r="V60" i="55"/>
  <c r="W60" i="55"/>
  <c r="X60" i="55"/>
  <c r="Y60" i="55"/>
  <c r="Z60" i="55"/>
  <c r="AA60" i="55"/>
  <c r="AB60" i="55"/>
  <c r="B61" i="55"/>
  <c r="C61" i="55"/>
  <c r="D61" i="55"/>
  <c r="E61" i="55"/>
  <c r="F61" i="55"/>
  <c r="G61" i="55"/>
  <c r="H61" i="55"/>
  <c r="I61" i="55"/>
  <c r="J61" i="55"/>
  <c r="K61" i="55"/>
  <c r="L61" i="55"/>
  <c r="M61" i="55"/>
  <c r="N61" i="55"/>
  <c r="O61" i="55"/>
  <c r="P61" i="55"/>
  <c r="Q61" i="55"/>
  <c r="R61" i="55"/>
  <c r="S61" i="55"/>
  <c r="T61" i="55"/>
  <c r="U61" i="55"/>
  <c r="V61" i="55"/>
  <c r="W61" i="55"/>
  <c r="X61" i="55"/>
  <c r="Y61" i="55"/>
  <c r="Z61" i="55"/>
  <c r="AA61" i="55"/>
  <c r="AB61" i="55"/>
  <c r="B62" i="55"/>
  <c r="C62" i="55"/>
  <c r="D62" i="55"/>
  <c r="E62" i="55"/>
  <c r="F62" i="55"/>
  <c r="G62" i="55"/>
  <c r="H62" i="55"/>
  <c r="I62" i="55"/>
  <c r="J62" i="55"/>
  <c r="K62" i="55"/>
  <c r="L62" i="55"/>
  <c r="M62" i="55"/>
  <c r="N62" i="55"/>
  <c r="O62" i="55"/>
  <c r="P62" i="55"/>
  <c r="Q62" i="55"/>
  <c r="R62" i="55"/>
  <c r="S62" i="55"/>
  <c r="T62" i="55"/>
  <c r="U62" i="55"/>
  <c r="V62" i="55"/>
  <c r="W62" i="55"/>
  <c r="X62" i="55"/>
  <c r="Y62" i="55"/>
  <c r="Z62" i="55"/>
  <c r="AA62" i="55"/>
  <c r="AB62" i="55"/>
  <c r="B63" i="55"/>
  <c r="C63" i="55"/>
  <c r="D63" i="55"/>
  <c r="E63" i="55"/>
  <c r="F63" i="55"/>
  <c r="G63" i="55"/>
  <c r="H63" i="55"/>
  <c r="I63" i="55"/>
  <c r="J63" i="55"/>
  <c r="K63" i="55"/>
  <c r="L63" i="55"/>
  <c r="M63" i="55"/>
  <c r="N63" i="55"/>
  <c r="O63" i="55"/>
  <c r="P63" i="55"/>
  <c r="Q63" i="55"/>
  <c r="R63" i="55"/>
  <c r="S63" i="55"/>
  <c r="T63" i="55"/>
  <c r="U63" i="55"/>
  <c r="V63" i="55"/>
  <c r="W63" i="55"/>
  <c r="X63" i="55"/>
  <c r="Y63" i="55"/>
  <c r="Z63" i="55"/>
  <c r="AA63" i="55"/>
  <c r="AB63" i="55"/>
  <c r="B64" i="55"/>
  <c r="C64" i="55"/>
  <c r="D64" i="55"/>
  <c r="E64" i="55"/>
  <c r="F64" i="55"/>
  <c r="G64" i="55"/>
  <c r="H64" i="55"/>
  <c r="I64" i="55"/>
  <c r="J64" i="55"/>
  <c r="K64" i="55"/>
  <c r="L64" i="55"/>
  <c r="M64" i="55"/>
  <c r="N64" i="55"/>
  <c r="O64" i="55"/>
  <c r="P64" i="55"/>
  <c r="Q64" i="55"/>
  <c r="R64" i="55"/>
  <c r="S64" i="55"/>
  <c r="T64" i="55"/>
  <c r="U64" i="55"/>
  <c r="V64" i="55"/>
  <c r="W64" i="55"/>
  <c r="X64" i="55"/>
  <c r="Y64" i="55"/>
  <c r="Z64" i="55"/>
  <c r="AA64" i="55"/>
  <c r="AB64" i="55"/>
  <c r="B65" i="55"/>
  <c r="C65" i="55"/>
  <c r="D65" i="55"/>
  <c r="E65" i="55"/>
  <c r="F65" i="55"/>
  <c r="G65" i="55"/>
  <c r="H65" i="55"/>
  <c r="I65" i="55"/>
  <c r="J65" i="55"/>
  <c r="K65" i="55"/>
  <c r="L65" i="55"/>
  <c r="M65" i="55"/>
  <c r="N65" i="55"/>
  <c r="O65" i="55"/>
  <c r="P65" i="55"/>
  <c r="Q65" i="55"/>
  <c r="R65" i="55"/>
  <c r="S65" i="55"/>
  <c r="T65" i="55"/>
  <c r="U65" i="55"/>
  <c r="V65" i="55"/>
  <c r="W65" i="55"/>
  <c r="X65" i="55"/>
  <c r="Y65" i="55"/>
  <c r="Z65" i="55"/>
  <c r="AA65" i="55"/>
  <c r="AB65" i="55"/>
  <c r="B66" i="55"/>
  <c r="C66" i="55"/>
  <c r="D66" i="55"/>
  <c r="E66" i="55"/>
  <c r="F66" i="55"/>
  <c r="G66" i="55"/>
  <c r="H66" i="55"/>
  <c r="I66" i="55"/>
  <c r="J66" i="55"/>
  <c r="K66" i="55"/>
  <c r="L66" i="55"/>
  <c r="M66" i="55"/>
  <c r="N66" i="55"/>
  <c r="O66" i="55"/>
  <c r="P66" i="55"/>
  <c r="Q66" i="55"/>
  <c r="R66" i="55"/>
  <c r="S66" i="55"/>
  <c r="T66" i="55"/>
  <c r="U66" i="55"/>
  <c r="V66" i="55"/>
  <c r="W66" i="55"/>
  <c r="X66" i="55"/>
  <c r="Y66" i="55"/>
  <c r="Z66" i="55"/>
  <c r="AA66" i="55"/>
  <c r="AB66" i="55"/>
  <c r="B67" i="55"/>
  <c r="C67" i="55"/>
  <c r="D67" i="55"/>
  <c r="E67" i="55"/>
  <c r="F67" i="55"/>
  <c r="G67" i="55"/>
  <c r="H67" i="55"/>
  <c r="I67" i="55"/>
  <c r="J67" i="55"/>
  <c r="K67" i="55"/>
  <c r="L67" i="55"/>
  <c r="M67" i="55"/>
  <c r="N67" i="55"/>
  <c r="O67" i="55"/>
  <c r="P67" i="55"/>
  <c r="Q67" i="55"/>
  <c r="R67" i="55"/>
  <c r="S67" i="55"/>
  <c r="T67" i="55"/>
  <c r="U67" i="55"/>
  <c r="V67" i="55"/>
  <c r="W67" i="55"/>
  <c r="X67" i="55"/>
  <c r="Y67" i="55"/>
  <c r="Z67" i="55"/>
  <c r="AA67" i="55"/>
  <c r="AB67" i="55"/>
  <c r="B68" i="55"/>
  <c r="C68" i="55"/>
  <c r="D68" i="55"/>
  <c r="E68" i="55"/>
  <c r="F68" i="55"/>
  <c r="G68" i="55"/>
  <c r="H68" i="55"/>
  <c r="I68" i="55"/>
  <c r="J68" i="55"/>
  <c r="K68" i="55"/>
  <c r="L68" i="55"/>
  <c r="M68" i="55"/>
  <c r="N68" i="55"/>
  <c r="O68" i="55"/>
  <c r="P68" i="55"/>
  <c r="Q68" i="55"/>
  <c r="R68" i="55"/>
  <c r="S68" i="55"/>
  <c r="T68" i="55"/>
  <c r="U68" i="55"/>
  <c r="V68" i="55"/>
  <c r="W68" i="55"/>
  <c r="X68" i="55"/>
  <c r="Y68" i="55"/>
  <c r="Z68" i="55"/>
  <c r="AA68" i="55"/>
  <c r="AB68" i="55"/>
  <c r="B69" i="55"/>
  <c r="C69" i="55"/>
  <c r="D69" i="55"/>
  <c r="E69" i="55"/>
  <c r="F69" i="55"/>
  <c r="G69" i="55"/>
  <c r="H69" i="55"/>
  <c r="I69" i="55"/>
  <c r="J69" i="55"/>
  <c r="K69" i="55"/>
  <c r="L69" i="55"/>
  <c r="M69" i="55"/>
  <c r="N69" i="55"/>
  <c r="O69" i="55"/>
  <c r="P69" i="55"/>
  <c r="Q69" i="55"/>
  <c r="R69" i="55"/>
  <c r="S69" i="55"/>
  <c r="T69" i="55"/>
  <c r="U69" i="55"/>
  <c r="V69" i="55"/>
  <c r="W69" i="55"/>
  <c r="X69" i="55"/>
  <c r="Y69" i="55"/>
  <c r="Z69" i="55"/>
  <c r="AA69" i="55"/>
  <c r="AB69" i="55"/>
  <c r="B70" i="55"/>
  <c r="C70" i="55"/>
  <c r="D70" i="55"/>
  <c r="E70" i="55"/>
  <c r="F70" i="55"/>
  <c r="G70" i="55"/>
  <c r="H70" i="55"/>
  <c r="I70" i="55"/>
  <c r="J70" i="55"/>
  <c r="K70" i="55"/>
  <c r="L70" i="55"/>
  <c r="M70" i="55"/>
  <c r="N70" i="55"/>
  <c r="O70" i="55"/>
  <c r="P70" i="55"/>
  <c r="Q70" i="55"/>
  <c r="R70" i="55"/>
  <c r="S70" i="55"/>
  <c r="T70" i="55"/>
  <c r="U70" i="55"/>
  <c r="V70" i="55"/>
  <c r="W70" i="55"/>
  <c r="X70" i="55"/>
  <c r="Y70" i="55"/>
  <c r="Z70" i="55"/>
  <c r="AA70" i="55"/>
  <c r="AB70"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B72" i="55"/>
  <c r="C72" i="55"/>
  <c r="D72" i="55"/>
  <c r="E72" i="55"/>
  <c r="F72" i="55"/>
  <c r="G72" i="55"/>
  <c r="H72" i="55"/>
  <c r="I72" i="55"/>
  <c r="J72" i="55"/>
  <c r="K72" i="55"/>
  <c r="L72" i="55"/>
  <c r="M72" i="55"/>
  <c r="N72" i="55"/>
  <c r="O72" i="55"/>
  <c r="P72" i="55"/>
  <c r="Q72" i="55"/>
  <c r="R72" i="55"/>
  <c r="S72" i="55"/>
  <c r="T72" i="55"/>
  <c r="U72" i="55"/>
  <c r="V72" i="55"/>
  <c r="W72" i="55"/>
  <c r="X72" i="55"/>
  <c r="Y72" i="55"/>
  <c r="Z72" i="55"/>
  <c r="AA72" i="55"/>
  <c r="AB72" i="55"/>
  <c r="B73" i="55"/>
  <c r="C73" i="55"/>
  <c r="D73" i="55"/>
  <c r="E73" i="55"/>
  <c r="F73" i="55"/>
  <c r="G73" i="55"/>
  <c r="H73" i="55"/>
  <c r="I73" i="55"/>
  <c r="J73" i="55"/>
  <c r="K73" i="55"/>
  <c r="L73" i="55"/>
  <c r="M73" i="55"/>
  <c r="N73" i="55"/>
  <c r="O73" i="55"/>
  <c r="P73" i="55"/>
  <c r="Q73" i="55"/>
  <c r="R73" i="55"/>
  <c r="S73" i="55"/>
  <c r="T73" i="55"/>
  <c r="U73" i="55"/>
  <c r="V73" i="55"/>
  <c r="W73" i="55"/>
  <c r="X73" i="55"/>
  <c r="Y73" i="55"/>
  <c r="Z73" i="55"/>
  <c r="AA73" i="55"/>
  <c r="AB73" i="55"/>
  <c r="B74" i="55"/>
  <c r="C74" i="55"/>
  <c r="D74" i="55"/>
  <c r="E74" i="55"/>
  <c r="F74" i="55"/>
  <c r="G74" i="55"/>
  <c r="H74" i="55"/>
  <c r="I74" i="55"/>
  <c r="J74" i="55"/>
  <c r="K74" i="55"/>
  <c r="L74" i="55"/>
  <c r="M74" i="55"/>
  <c r="N74" i="55"/>
  <c r="O74" i="55"/>
  <c r="P74" i="55"/>
  <c r="Q74" i="55"/>
  <c r="R74" i="55"/>
  <c r="S74" i="55"/>
  <c r="T74" i="55"/>
  <c r="U74" i="55"/>
  <c r="V74" i="55"/>
  <c r="W74" i="55"/>
  <c r="X74" i="55"/>
  <c r="Y74" i="55"/>
  <c r="Z74" i="55"/>
  <c r="AA74" i="55"/>
  <c r="AB74" i="55"/>
  <c r="B75" i="55"/>
  <c r="C75" i="55"/>
  <c r="D75" i="55"/>
  <c r="E75" i="55"/>
  <c r="F75" i="55"/>
  <c r="G75" i="55"/>
  <c r="H75" i="55"/>
  <c r="I75" i="55"/>
  <c r="J75" i="55"/>
  <c r="K75" i="55"/>
  <c r="L75" i="55"/>
  <c r="M75" i="55"/>
  <c r="N75" i="55"/>
  <c r="O75" i="55"/>
  <c r="P75" i="55"/>
  <c r="Q75" i="55"/>
  <c r="R75" i="55"/>
  <c r="S75" i="55"/>
  <c r="T75" i="55"/>
  <c r="U75" i="55"/>
  <c r="V75" i="55"/>
  <c r="W75" i="55"/>
  <c r="X75" i="55"/>
  <c r="Y75" i="55"/>
  <c r="Z75" i="55"/>
  <c r="AA75" i="55"/>
  <c r="AB75" i="55"/>
  <c r="B8" i="55"/>
  <c r="C8" i="55"/>
  <c r="D8" i="55"/>
  <c r="E8" i="55"/>
  <c r="F8" i="55"/>
  <c r="G8" i="55"/>
  <c r="H8" i="55"/>
  <c r="I8" i="55"/>
  <c r="J8" i="55"/>
  <c r="K8" i="55"/>
  <c r="L8" i="55"/>
  <c r="M8" i="55"/>
  <c r="N8" i="55"/>
  <c r="O8" i="55"/>
  <c r="P8" i="55"/>
  <c r="Q8" i="55"/>
  <c r="R8" i="55"/>
  <c r="S8" i="55"/>
  <c r="T8" i="55"/>
  <c r="U8" i="55"/>
  <c r="V8" i="55"/>
  <c r="W8" i="55"/>
  <c r="X8" i="55"/>
  <c r="Y8" i="55"/>
  <c r="Z8" i="55"/>
  <c r="AA8" i="55"/>
  <c r="AB8" i="55"/>
  <c r="B9" i="55"/>
  <c r="C9" i="55"/>
  <c r="D9" i="55"/>
  <c r="E9" i="55"/>
  <c r="F9" i="55"/>
  <c r="G9" i="55"/>
  <c r="H9" i="55"/>
  <c r="I9" i="55"/>
  <c r="J9" i="55"/>
  <c r="K9" i="55"/>
  <c r="L9" i="55"/>
  <c r="M9" i="55"/>
  <c r="N9" i="55"/>
  <c r="O9" i="55"/>
  <c r="P9" i="55"/>
  <c r="Q9" i="55"/>
  <c r="R9" i="55"/>
  <c r="S9" i="55"/>
  <c r="T9" i="55"/>
  <c r="U9" i="55"/>
  <c r="V9" i="55"/>
  <c r="W9" i="55"/>
  <c r="X9" i="55"/>
  <c r="Y9" i="55"/>
  <c r="Z9" i="55"/>
  <c r="AA9" i="55"/>
  <c r="AB9" i="55"/>
  <c r="B10" i="55"/>
  <c r="C10" i="55"/>
  <c r="D10" i="55"/>
  <c r="E10" i="55"/>
  <c r="F10" i="55"/>
  <c r="E12" i="54" s="1"/>
  <c r="G10" i="55"/>
  <c r="H10" i="55"/>
  <c r="I10" i="55"/>
  <c r="J10" i="55"/>
  <c r="K10" i="55"/>
  <c r="L10" i="55"/>
  <c r="M10" i="55"/>
  <c r="N10" i="55"/>
  <c r="O10" i="55"/>
  <c r="K12" i="54" s="1"/>
  <c r="P10" i="55"/>
  <c r="Q10" i="55"/>
  <c r="R10" i="55"/>
  <c r="S10" i="55"/>
  <c r="T10" i="55"/>
  <c r="U10" i="55"/>
  <c r="V10" i="55"/>
  <c r="W10" i="55"/>
  <c r="X10" i="55"/>
  <c r="Q12" i="54" s="1"/>
  <c r="Y10" i="55"/>
  <c r="Z10" i="55"/>
  <c r="AA10" i="55"/>
  <c r="AB10" i="55"/>
  <c r="B11" i="55"/>
  <c r="C11" i="55"/>
  <c r="D11" i="55"/>
  <c r="E11" i="55"/>
  <c r="F11" i="55"/>
  <c r="G11" i="55"/>
  <c r="H11" i="55"/>
  <c r="I11" i="55"/>
  <c r="J11" i="55"/>
  <c r="K11" i="55"/>
  <c r="L11" i="55"/>
  <c r="M11" i="55"/>
  <c r="N11" i="55"/>
  <c r="O11" i="55"/>
  <c r="P11" i="55"/>
  <c r="Q11" i="55"/>
  <c r="R11" i="55"/>
  <c r="S11" i="55"/>
  <c r="T11" i="55"/>
  <c r="U11" i="55"/>
  <c r="V11" i="55"/>
  <c r="W11" i="55"/>
  <c r="X11" i="55"/>
  <c r="Y11" i="55"/>
  <c r="Z11" i="55"/>
  <c r="AA11" i="55"/>
  <c r="AB11"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B13" i="55"/>
  <c r="C13" i="55"/>
  <c r="D13" i="55"/>
  <c r="E13" i="55"/>
  <c r="F13" i="55"/>
  <c r="G13" i="55"/>
  <c r="H13" i="55"/>
  <c r="I13" i="55"/>
  <c r="J13" i="55"/>
  <c r="K13" i="55"/>
  <c r="L13" i="55"/>
  <c r="M13" i="55"/>
  <c r="N13" i="55"/>
  <c r="O13" i="55"/>
  <c r="P13" i="55"/>
  <c r="Q13" i="55"/>
  <c r="R13" i="55"/>
  <c r="S13" i="55"/>
  <c r="T13" i="55"/>
  <c r="U13" i="55"/>
  <c r="V13" i="55"/>
  <c r="W13" i="55"/>
  <c r="X13" i="55"/>
  <c r="Y13" i="55"/>
  <c r="Z13" i="55"/>
  <c r="AA13" i="55"/>
  <c r="AB13" i="55"/>
  <c r="B14" i="55"/>
  <c r="C14" i="55"/>
  <c r="D14" i="55"/>
  <c r="E14" i="55"/>
  <c r="F14" i="55"/>
  <c r="G14" i="55"/>
  <c r="H14" i="55"/>
  <c r="I14" i="55"/>
  <c r="J14" i="55"/>
  <c r="K14" i="55"/>
  <c r="L14" i="55"/>
  <c r="M14" i="55"/>
  <c r="N14" i="55"/>
  <c r="O14" i="55"/>
  <c r="P14" i="55"/>
  <c r="Q14" i="55"/>
  <c r="R14" i="55"/>
  <c r="S14" i="55"/>
  <c r="T14" i="55"/>
  <c r="U14" i="55"/>
  <c r="V14" i="55"/>
  <c r="W14" i="55"/>
  <c r="X14" i="55"/>
  <c r="Y14" i="55"/>
  <c r="Z14" i="55"/>
  <c r="AA14" i="55"/>
  <c r="AB14" i="55"/>
  <c r="B15" i="55"/>
  <c r="C15" i="55"/>
  <c r="D15" i="55"/>
  <c r="E15" i="55"/>
  <c r="F15" i="55"/>
  <c r="G15" i="55"/>
  <c r="H15" i="55"/>
  <c r="I15" i="55"/>
  <c r="J15" i="55"/>
  <c r="K15" i="55"/>
  <c r="L15" i="55"/>
  <c r="M15" i="55"/>
  <c r="N15" i="55"/>
  <c r="O15" i="55"/>
  <c r="P15" i="55"/>
  <c r="Q15" i="55"/>
  <c r="R15" i="55"/>
  <c r="S15" i="55"/>
  <c r="T15" i="55"/>
  <c r="U15" i="55"/>
  <c r="V15" i="55"/>
  <c r="W15" i="55"/>
  <c r="X15" i="55"/>
  <c r="Y15" i="55"/>
  <c r="Z15" i="55"/>
  <c r="AA15" i="55"/>
  <c r="AB15" i="55"/>
  <c r="B3" i="55"/>
  <c r="C3" i="55"/>
  <c r="D3" i="55"/>
  <c r="E3" i="55"/>
  <c r="F3" i="55"/>
  <c r="E5" i="54" s="1"/>
  <c r="G3" i="55"/>
  <c r="H3" i="55"/>
  <c r="I3" i="55"/>
  <c r="J3" i="55"/>
  <c r="K3" i="55"/>
  <c r="L3" i="55"/>
  <c r="M3" i="55"/>
  <c r="N3" i="55"/>
  <c r="O3" i="55"/>
  <c r="K5" i="54" s="1"/>
  <c r="P3" i="55"/>
  <c r="Q3" i="55"/>
  <c r="R3" i="55"/>
  <c r="S3" i="55"/>
  <c r="T3" i="55"/>
  <c r="U3" i="55"/>
  <c r="V3" i="55"/>
  <c r="W3" i="55"/>
  <c r="X3" i="55"/>
  <c r="Q5" i="54" s="1"/>
  <c r="Y3" i="55"/>
  <c r="Z3" i="55"/>
  <c r="AA3" i="55"/>
  <c r="AB3" i="55"/>
  <c r="B4" i="55"/>
  <c r="C4" i="55"/>
  <c r="D4" i="55"/>
  <c r="E4" i="55"/>
  <c r="F4" i="55"/>
  <c r="G4" i="55"/>
  <c r="H4" i="55"/>
  <c r="I4" i="55"/>
  <c r="J4" i="55"/>
  <c r="K4" i="55"/>
  <c r="L4" i="55"/>
  <c r="M4" i="55"/>
  <c r="N4" i="55"/>
  <c r="O4" i="55"/>
  <c r="P4" i="55"/>
  <c r="Q4" i="55"/>
  <c r="R4" i="55"/>
  <c r="S4" i="55"/>
  <c r="T4" i="55"/>
  <c r="U4" i="55"/>
  <c r="V4" i="55"/>
  <c r="W4" i="55"/>
  <c r="X4" i="55"/>
  <c r="Y4" i="55"/>
  <c r="Z4" i="55"/>
  <c r="AA4" i="55"/>
  <c r="AB4" i="55"/>
  <c r="B5" i="55"/>
  <c r="C5" i="55"/>
  <c r="D5" i="55"/>
  <c r="E5" i="55"/>
  <c r="F5" i="55"/>
  <c r="G5" i="55"/>
  <c r="H5" i="55"/>
  <c r="I5" i="55"/>
  <c r="J5" i="55"/>
  <c r="K5" i="55"/>
  <c r="L5" i="55"/>
  <c r="M5" i="55"/>
  <c r="N5" i="55"/>
  <c r="O5" i="55"/>
  <c r="P5" i="55"/>
  <c r="Q5" i="55"/>
  <c r="R5" i="55"/>
  <c r="S5" i="55"/>
  <c r="T5" i="55"/>
  <c r="U5" i="55"/>
  <c r="V5" i="55"/>
  <c r="W5" i="55"/>
  <c r="X5" i="55"/>
  <c r="Y5" i="55"/>
  <c r="Z5" i="55"/>
  <c r="AA5" i="55"/>
  <c r="AB5" i="55"/>
  <c r="B6" i="55"/>
  <c r="C6" i="55"/>
  <c r="D6" i="55"/>
  <c r="E6" i="55"/>
  <c r="F6" i="55"/>
  <c r="G6" i="55"/>
  <c r="H6" i="55"/>
  <c r="I6" i="55"/>
  <c r="J6" i="55"/>
  <c r="K6" i="55"/>
  <c r="L6" i="55"/>
  <c r="M6" i="55"/>
  <c r="N6" i="55"/>
  <c r="O6" i="55"/>
  <c r="P6" i="55"/>
  <c r="Q6" i="55"/>
  <c r="R6" i="55"/>
  <c r="S6" i="55"/>
  <c r="T6" i="55"/>
  <c r="U6" i="55"/>
  <c r="V6" i="55"/>
  <c r="W6" i="55"/>
  <c r="X6" i="55"/>
  <c r="Y6" i="55"/>
  <c r="Z6" i="55"/>
  <c r="AA6" i="55"/>
  <c r="AB6" i="55"/>
  <c r="BD13" i="55"/>
  <c r="BE13" i="55"/>
  <c r="BF13" i="55"/>
  <c r="BG13" i="55"/>
  <c r="BH13" i="55"/>
  <c r="BI13" i="55"/>
  <c r="BJ13" i="55"/>
  <c r="BK13" i="55"/>
  <c r="BL13" i="55"/>
  <c r="BD14" i="55"/>
  <c r="BE14" i="55"/>
  <c r="BF14" i="55"/>
  <c r="BG14" i="55"/>
  <c r="BH14" i="55"/>
  <c r="BI14" i="55"/>
  <c r="BJ14" i="55"/>
  <c r="BK14" i="55"/>
  <c r="BL14" i="55"/>
  <c r="BD15" i="55"/>
  <c r="BE15" i="55"/>
  <c r="BF15" i="55"/>
  <c r="BG15" i="55"/>
  <c r="BH15" i="55"/>
  <c r="BI15" i="55"/>
  <c r="BJ15" i="55"/>
  <c r="BK15" i="55"/>
  <c r="BL15" i="55"/>
  <c r="BD16" i="55"/>
  <c r="BE16" i="55"/>
  <c r="BF16" i="55"/>
  <c r="BG16" i="55"/>
  <c r="BH16" i="55"/>
  <c r="BI16" i="55"/>
  <c r="BJ16" i="55"/>
  <c r="AQ18" i="54" s="1"/>
  <c r="BK16" i="55"/>
  <c r="BL16" i="55"/>
  <c r="BD17" i="55"/>
  <c r="BE17" i="55"/>
  <c r="BF17" i="55"/>
  <c r="BG17" i="55"/>
  <c r="BH17" i="55"/>
  <c r="BI17" i="55"/>
  <c r="BJ17" i="55"/>
  <c r="BK17" i="55"/>
  <c r="BL17" i="55"/>
  <c r="BD18" i="55"/>
  <c r="BE18" i="55"/>
  <c r="BF18" i="55"/>
  <c r="BG18" i="55"/>
  <c r="BH18" i="55"/>
  <c r="BI18" i="55"/>
  <c r="AP20" i="54" s="1"/>
  <c r="BJ18" i="55"/>
  <c r="BK18" i="55"/>
  <c r="BL18" i="55"/>
  <c r="BD19" i="55"/>
  <c r="BE19" i="55"/>
  <c r="BF19" i="55"/>
  <c r="BG19" i="55"/>
  <c r="BH19" i="55"/>
  <c r="BI19" i="55"/>
  <c r="BJ19" i="55"/>
  <c r="BK19" i="55"/>
  <c r="BL19" i="55"/>
  <c r="BD20" i="55"/>
  <c r="BE20" i="55"/>
  <c r="BF20" i="55"/>
  <c r="BG20" i="55"/>
  <c r="BH20" i="55"/>
  <c r="BI20" i="55"/>
  <c r="BJ20" i="55"/>
  <c r="BK20" i="55"/>
  <c r="BL20" i="55"/>
  <c r="BD21" i="55"/>
  <c r="BE21" i="55"/>
  <c r="BF21" i="55"/>
  <c r="BG21" i="55"/>
  <c r="BH21" i="55"/>
  <c r="BI21" i="55"/>
  <c r="BJ21" i="55"/>
  <c r="BK21" i="55"/>
  <c r="BL21" i="55"/>
  <c r="BD22" i="55"/>
  <c r="BE22" i="55"/>
  <c r="BF22" i="55"/>
  <c r="BG22" i="55"/>
  <c r="BH22" i="55"/>
  <c r="BI22" i="55"/>
  <c r="BJ22" i="55"/>
  <c r="BK22" i="55"/>
  <c r="BL22" i="55"/>
  <c r="BD23" i="55"/>
  <c r="BE23" i="55"/>
  <c r="BF23" i="55"/>
  <c r="BG23" i="55"/>
  <c r="BH23" i="55"/>
  <c r="BI23" i="55"/>
  <c r="BJ23" i="55"/>
  <c r="BK23" i="55"/>
  <c r="BL23" i="55"/>
  <c r="BD24" i="55"/>
  <c r="BE24" i="55"/>
  <c r="BF24" i="55"/>
  <c r="BG24" i="55"/>
  <c r="BH24" i="55"/>
  <c r="BI24" i="55"/>
  <c r="BJ24" i="55"/>
  <c r="BK24" i="55"/>
  <c r="BL24" i="55"/>
  <c r="BD25" i="55"/>
  <c r="BE25" i="55"/>
  <c r="BF25" i="55"/>
  <c r="BG25" i="55"/>
  <c r="BH25" i="55"/>
  <c r="BI25" i="55"/>
  <c r="BJ25" i="55"/>
  <c r="BK25" i="55"/>
  <c r="BL25" i="55"/>
  <c r="BD26" i="55"/>
  <c r="BE26" i="55"/>
  <c r="BF26" i="55"/>
  <c r="BG26" i="55"/>
  <c r="BH26" i="55"/>
  <c r="BI26" i="55"/>
  <c r="BJ26" i="55"/>
  <c r="BK26" i="55"/>
  <c r="BL26" i="55"/>
  <c r="BD27" i="55"/>
  <c r="BE27" i="55"/>
  <c r="BF27" i="55"/>
  <c r="BG27" i="55"/>
  <c r="BH27" i="55"/>
  <c r="BI27" i="55"/>
  <c r="BJ27" i="55"/>
  <c r="BK27" i="55"/>
  <c r="BL27" i="55"/>
  <c r="BD28" i="55"/>
  <c r="BE28" i="55"/>
  <c r="BF28" i="55"/>
  <c r="BG28" i="55"/>
  <c r="BH28" i="55"/>
  <c r="BI28" i="55"/>
  <c r="BJ28" i="55"/>
  <c r="BK28" i="55"/>
  <c r="BL28" i="55"/>
  <c r="BD29" i="55"/>
  <c r="BE29" i="55"/>
  <c r="BF29" i="55"/>
  <c r="BG29" i="55"/>
  <c r="BH29" i="55"/>
  <c r="BI29" i="55"/>
  <c r="BJ29" i="55"/>
  <c r="BK29" i="55"/>
  <c r="BL29" i="55"/>
  <c r="BD30" i="55"/>
  <c r="BE30" i="55"/>
  <c r="BF30" i="55"/>
  <c r="BG30" i="55"/>
  <c r="BH30" i="55"/>
  <c r="BI30" i="55"/>
  <c r="BJ30" i="55"/>
  <c r="BK30" i="55"/>
  <c r="BL30" i="55"/>
  <c r="BD31" i="55"/>
  <c r="BE31" i="55"/>
  <c r="BF31" i="55"/>
  <c r="BG31" i="55"/>
  <c r="BH31" i="55"/>
  <c r="BI31" i="55"/>
  <c r="BJ31" i="55"/>
  <c r="BK31" i="55"/>
  <c r="BL31" i="55"/>
  <c r="BD32" i="55"/>
  <c r="BE32" i="55"/>
  <c r="BF32" i="55"/>
  <c r="BG32" i="55"/>
  <c r="BH32" i="55"/>
  <c r="BI32" i="55"/>
  <c r="BJ32" i="55"/>
  <c r="BK32" i="55"/>
  <c r="BL32" i="55"/>
  <c r="BD33" i="55"/>
  <c r="BE33" i="55"/>
  <c r="BF33" i="55"/>
  <c r="BG33" i="55"/>
  <c r="BH33" i="55"/>
  <c r="BI33" i="55"/>
  <c r="BJ33" i="55"/>
  <c r="BK33" i="55"/>
  <c r="BL33" i="55"/>
  <c r="BD34" i="55"/>
  <c r="BE34" i="55"/>
  <c r="BF34" i="55"/>
  <c r="BG34" i="55"/>
  <c r="BH34" i="55"/>
  <c r="BI34" i="55"/>
  <c r="BJ34" i="55"/>
  <c r="BK34" i="55"/>
  <c r="BL34" i="55"/>
  <c r="BD35" i="55"/>
  <c r="BE35" i="55"/>
  <c r="AM37" i="54" s="1"/>
  <c r="BF35" i="55"/>
  <c r="BG35" i="55"/>
  <c r="BH35" i="55"/>
  <c r="BI35" i="55"/>
  <c r="BJ35" i="55"/>
  <c r="BK35" i="55"/>
  <c r="BL35" i="55"/>
  <c r="BD36" i="55"/>
  <c r="BE36" i="55"/>
  <c r="BF36" i="55"/>
  <c r="BG36" i="55"/>
  <c r="BH36" i="55"/>
  <c r="BI36" i="55"/>
  <c r="BJ36" i="55"/>
  <c r="BK36" i="55"/>
  <c r="BL36" i="55"/>
  <c r="BD37" i="55"/>
  <c r="BE37" i="55"/>
  <c r="BF37" i="55"/>
  <c r="BG37" i="55"/>
  <c r="BH37" i="55"/>
  <c r="BI37" i="55"/>
  <c r="BJ37" i="55"/>
  <c r="BK37" i="55"/>
  <c r="BL37" i="55"/>
  <c r="BD38" i="55"/>
  <c r="BE38" i="55"/>
  <c r="BF38" i="55"/>
  <c r="BG38" i="55"/>
  <c r="BH38" i="55"/>
  <c r="BI38" i="55"/>
  <c r="BJ38" i="55"/>
  <c r="BK38" i="55"/>
  <c r="BL38" i="55"/>
  <c r="BD39" i="55"/>
  <c r="BE39" i="55"/>
  <c r="AM41" i="54" s="1"/>
  <c r="BF39" i="55"/>
  <c r="BG39" i="55"/>
  <c r="BH39" i="55"/>
  <c r="BI39" i="55"/>
  <c r="BJ39" i="55"/>
  <c r="BK39" i="55"/>
  <c r="BL39" i="55"/>
  <c r="BD40" i="55"/>
  <c r="BE40" i="55"/>
  <c r="BF40" i="55"/>
  <c r="BG40" i="55"/>
  <c r="BH40" i="55"/>
  <c r="BI40" i="55"/>
  <c r="BJ40" i="55"/>
  <c r="BK40" i="55"/>
  <c r="BL40" i="55"/>
  <c r="BD41" i="55"/>
  <c r="BE41" i="55"/>
  <c r="BF41" i="55"/>
  <c r="BG41" i="55"/>
  <c r="BH41" i="55"/>
  <c r="BI41" i="55"/>
  <c r="BJ41" i="55"/>
  <c r="BK41" i="55"/>
  <c r="BL41" i="55"/>
  <c r="BD42" i="55"/>
  <c r="BE42" i="55"/>
  <c r="BF42" i="55"/>
  <c r="BG42" i="55"/>
  <c r="BH42" i="55"/>
  <c r="BI42" i="55"/>
  <c r="BJ42" i="55"/>
  <c r="BK42" i="55"/>
  <c r="BL42" i="55"/>
  <c r="BD43" i="55"/>
  <c r="BE43" i="55"/>
  <c r="BF43" i="55"/>
  <c r="BG43" i="55"/>
  <c r="BH43" i="55"/>
  <c r="BI43" i="55"/>
  <c r="BJ43" i="55"/>
  <c r="BK43" i="55"/>
  <c r="BL43" i="55"/>
  <c r="BD44" i="55"/>
  <c r="BE44" i="55"/>
  <c r="BF44" i="55"/>
  <c r="BG44" i="55"/>
  <c r="BH44" i="55"/>
  <c r="BI44" i="55"/>
  <c r="BJ44" i="55"/>
  <c r="BK44" i="55"/>
  <c r="BL44" i="55"/>
  <c r="BD45" i="55"/>
  <c r="BE45" i="55"/>
  <c r="BF45" i="55"/>
  <c r="BG45" i="55"/>
  <c r="BH45" i="55"/>
  <c r="BI45" i="55"/>
  <c r="BJ45" i="55"/>
  <c r="BK45" i="55"/>
  <c r="BL45" i="55"/>
  <c r="BD46" i="55"/>
  <c r="BE46" i="55"/>
  <c r="BF46" i="55"/>
  <c r="BG46" i="55"/>
  <c r="BH46" i="55"/>
  <c r="BI46" i="55"/>
  <c r="BJ46" i="55"/>
  <c r="BK46" i="55"/>
  <c r="BL46" i="55"/>
  <c r="BD47" i="55"/>
  <c r="BE47" i="55"/>
  <c r="BF47" i="55"/>
  <c r="BG47" i="55"/>
  <c r="BH47" i="55"/>
  <c r="BI47" i="55"/>
  <c r="BJ47" i="55"/>
  <c r="BK47" i="55"/>
  <c r="BL47" i="55"/>
  <c r="BD48" i="55"/>
  <c r="BE48" i="55"/>
  <c r="BF48" i="55"/>
  <c r="BG48" i="55"/>
  <c r="BH48" i="55"/>
  <c r="BI48" i="55"/>
  <c r="BJ48" i="55"/>
  <c r="BK48" i="55"/>
  <c r="BL48" i="55"/>
  <c r="BD49" i="55"/>
  <c r="BE49" i="55"/>
  <c r="BF49" i="55"/>
  <c r="BG49" i="55"/>
  <c r="BH49" i="55"/>
  <c r="BI49" i="55"/>
  <c r="BJ49" i="55"/>
  <c r="BK49" i="55"/>
  <c r="BL49" i="55"/>
  <c r="BD50" i="55"/>
  <c r="BE50" i="55"/>
  <c r="BF50" i="55"/>
  <c r="BG50" i="55"/>
  <c r="BH50" i="55"/>
  <c r="BI50" i="55"/>
  <c r="BJ50" i="55"/>
  <c r="BK50" i="55"/>
  <c r="BL50" i="55"/>
  <c r="BD51" i="55"/>
  <c r="BE51" i="55"/>
  <c r="BF51" i="55"/>
  <c r="BG51" i="55"/>
  <c r="BH51" i="55"/>
  <c r="BI51" i="55"/>
  <c r="BJ51" i="55"/>
  <c r="BK51" i="55"/>
  <c r="BL51" i="55"/>
  <c r="BD52" i="55"/>
  <c r="BE52" i="55"/>
  <c r="BF52" i="55"/>
  <c r="BG52" i="55"/>
  <c r="BH52" i="55"/>
  <c r="BI52" i="55"/>
  <c r="BJ52" i="55"/>
  <c r="BK52" i="55"/>
  <c r="BL52" i="55"/>
  <c r="BD53" i="55"/>
  <c r="BE53" i="55"/>
  <c r="BF53" i="55"/>
  <c r="BG53" i="55"/>
  <c r="BH53" i="55"/>
  <c r="BI53" i="55"/>
  <c r="BJ53" i="55"/>
  <c r="BK53" i="55"/>
  <c r="BL53" i="55"/>
  <c r="BD54" i="55"/>
  <c r="BE54" i="55"/>
  <c r="BF54" i="55"/>
  <c r="BG54" i="55"/>
  <c r="BH54" i="55"/>
  <c r="BI54" i="55"/>
  <c r="BJ54" i="55"/>
  <c r="BK54" i="55"/>
  <c r="BL54" i="55"/>
  <c r="BD55" i="55"/>
  <c r="BE55" i="55"/>
  <c r="BF55" i="55"/>
  <c r="BG55" i="55"/>
  <c r="BH55" i="55"/>
  <c r="BI55" i="55"/>
  <c r="BJ55" i="55"/>
  <c r="BK55" i="55"/>
  <c r="BL55" i="55"/>
  <c r="BD56" i="55"/>
  <c r="BE56" i="55"/>
  <c r="BF56" i="55"/>
  <c r="BG56" i="55"/>
  <c r="BH56" i="55"/>
  <c r="BI56" i="55"/>
  <c r="BJ56" i="55"/>
  <c r="BK56" i="55"/>
  <c r="BL56" i="55"/>
  <c r="BD57" i="55"/>
  <c r="BE57" i="55"/>
  <c r="BF57" i="55"/>
  <c r="BG57" i="55"/>
  <c r="BH57" i="55"/>
  <c r="BI57" i="55"/>
  <c r="BJ57" i="55"/>
  <c r="BK57" i="55"/>
  <c r="BL57" i="55"/>
  <c r="BD58" i="55"/>
  <c r="BE58" i="55"/>
  <c r="BF58" i="55"/>
  <c r="BG58" i="55"/>
  <c r="BH58" i="55"/>
  <c r="BI58" i="55"/>
  <c r="BJ58" i="55"/>
  <c r="BK58" i="55"/>
  <c r="BL58" i="55"/>
  <c r="BD59" i="55"/>
  <c r="BE59" i="55"/>
  <c r="BF59" i="55"/>
  <c r="BG59" i="55"/>
  <c r="BH59" i="55"/>
  <c r="BI59" i="55"/>
  <c r="BJ59" i="55"/>
  <c r="BK59" i="55"/>
  <c r="BL59" i="55"/>
  <c r="BD60" i="55"/>
  <c r="BE60" i="55"/>
  <c r="BF60" i="55"/>
  <c r="BG60" i="55"/>
  <c r="BH60" i="55"/>
  <c r="BI60" i="55"/>
  <c r="BJ60" i="55"/>
  <c r="BK60" i="55"/>
  <c r="BL60" i="55"/>
  <c r="BD61" i="55"/>
  <c r="BE61" i="55"/>
  <c r="BF61" i="55"/>
  <c r="BG61" i="55"/>
  <c r="BH61" i="55"/>
  <c r="BI61" i="55"/>
  <c r="BJ61" i="55"/>
  <c r="BK61" i="55"/>
  <c r="BL61" i="55"/>
  <c r="BD62" i="55"/>
  <c r="BE62" i="55"/>
  <c r="BF62" i="55"/>
  <c r="BG62" i="55"/>
  <c r="BH62" i="55"/>
  <c r="BI62" i="55"/>
  <c r="BJ62" i="55"/>
  <c r="BK62" i="55"/>
  <c r="BL62" i="55"/>
  <c r="BD63" i="55"/>
  <c r="BE63" i="55"/>
  <c r="BF63" i="55"/>
  <c r="BG63" i="55"/>
  <c r="BH63" i="55"/>
  <c r="BI63" i="55"/>
  <c r="BJ63" i="55"/>
  <c r="BK63" i="55"/>
  <c r="BL63" i="55"/>
  <c r="BD64" i="55"/>
  <c r="BE64" i="55"/>
  <c r="BF64" i="55"/>
  <c r="BG64" i="55"/>
  <c r="BH64" i="55"/>
  <c r="BI64" i="55"/>
  <c r="BJ64" i="55"/>
  <c r="BK64" i="55"/>
  <c r="BL64" i="55"/>
  <c r="BD65" i="55"/>
  <c r="BE65" i="55"/>
  <c r="BF65" i="55"/>
  <c r="BG65" i="55"/>
  <c r="BH65" i="55"/>
  <c r="BI65" i="55"/>
  <c r="BJ65" i="55"/>
  <c r="BK65" i="55"/>
  <c r="BL65" i="55"/>
  <c r="BD66" i="55"/>
  <c r="BE66" i="55"/>
  <c r="BF66" i="55"/>
  <c r="BG66" i="55"/>
  <c r="BH66" i="55"/>
  <c r="BI66" i="55"/>
  <c r="BJ66" i="55"/>
  <c r="BK66" i="55"/>
  <c r="BL66" i="55"/>
  <c r="BD67" i="55"/>
  <c r="BE67" i="55"/>
  <c r="BF67" i="55"/>
  <c r="BG67" i="55"/>
  <c r="BH67" i="55"/>
  <c r="BI67" i="55"/>
  <c r="BJ67" i="55"/>
  <c r="BK67" i="55"/>
  <c r="BL67" i="55"/>
  <c r="BD68" i="55"/>
  <c r="BE68" i="55"/>
  <c r="BF68" i="55"/>
  <c r="BG68" i="55"/>
  <c r="BH68" i="55"/>
  <c r="BI68" i="55"/>
  <c r="BJ68" i="55"/>
  <c r="BK68" i="55"/>
  <c r="BL68" i="55"/>
  <c r="BD69" i="55"/>
  <c r="BE69" i="55"/>
  <c r="BF69" i="55"/>
  <c r="BG69" i="55"/>
  <c r="BH69" i="55"/>
  <c r="BI69" i="55"/>
  <c r="BJ69" i="55"/>
  <c r="BK69" i="55"/>
  <c r="BL69" i="55"/>
  <c r="BD70" i="55"/>
  <c r="BE70" i="55"/>
  <c r="BF70" i="55"/>
  <c r="BG70" i="55"/>
  <c r="BH70" i="55"/>
  <c r="BI70" i="55"/>
  <c r="BJ70" i="55"/>
  <c r="BK70" i="55"/>
  <c r="BL70" i="55"/>
  <c r="BD71" i="55"/>
  <c r="BE71" i="55"/>
  <c r="BF71" i="55"/>
  <c r="BG71" i="55"/>
  <c r="BH71" i="55"/>
  <c r="BI71" i="55"/>
  <c r="BJ71" i="55"/>
  <c r="BK71" i="55"/>
  <c r="BL71" i="55"/>
  <c r="BD72" i="55"/>
  <c r="BE72" i="55"/>
  <c r="BF72" i="55"/>
  <c r="BG72" i="55"/>
  <c r="BH72" i="55"/>
  <c r="BI72" i="55"/>
  <c r="BJ72" i="55"/>
  <c r="BK72" i="55"/>
  <c r="BL72" i="55"/>
  <c r="BD73" i="55"/>
  <c r="BE73" i="55"/>
  <c r="BF73" i="55"/>
  <c r="BG73" i="55"/>
  <c r="BH73" i="55"/>
  <c r="BI73" i="55"/>
  <c r="BJ73" i="55"/>
  <c r="BK73" i="55"/>
  <c r="BL73" i="55"/>
  <c r="BD74" i="55"/>
  <c r="BE74" i="55"/>
  <c r="BF74" i="55"/>
  <c r="BG74" i="55"/>
  <c r="BH74" i="55"/>
  <c r="BI74" i="55"/>
  <c r="BJ74" i="55"/>
  <c r="BK74" i="55"/>
  <c r="BL74" i="55"/>
  <c r="BD75" i="55"/>
  <c r="BE75" i="55"/>
  <c r="BF75" i="55"/>
  <c r="BG75" i="55"/>
  <c r="BH75" i="55"/>
  <c r="BI75" i="55"/>
  <c r="BJ75" i="55"/>
  <c r="BK75" i="55"/>
  <c r="BL75" i="55"/>
  <c r="BD8" i="55"/>
  <c r="BE8" i="55"/>
  <c r="BF8" i="55"/>
  <c r="BG8" i="55"/>
  <c r="BH8" i="55"/>
  <c r="BI8" i="55"/>
  <c r="BJ8" i="55"/>
  <c r="BK8" i="55"/>
  <c r="BL8" i="55"/>
  <c r="BD9" i="55"/>
  <c r="BE9" i="55"/>
  <c r="BF9" i="55"/>
  <c r="BG9" i="55"/>
  <c r="BH9" i="55"/>
  <c r="BI9" i="55"/>
  <c r="BJ9" i="55"/>
  <c r="BK9" i="55"/>
  <c r="BL9" i="55"/>
  <c r="BD10" i="55"/>
  <c r="BE10" i="55"/>
  <c r="BF10" i="55"/>
  <c r="BG10" i="55"/>
  <c r="BH10" i="55"/>
  <c r="AO12" i="54" s="1"/>
  <c r="BI10" i="55"/>
  <c r="BJ10" i="55"/>
  <c r="BK10" i="55"/>
  <c r="BL10" i="55"/>
  <c r="BD11" i="55"/>
  <c r="BE11" i="55"/>
  <c r="BF11" i="55"/>
  <c r="BG11" i="55"/>
  <c r="BH11" i="55"/>
  <c r="BI11" i="55"/>
  <c r="BJ11" i="55"/>
  <c r="BK11" i="55"/>
  <c r="BL11" i="55"/>
  <c r="BD12" i="55"/>
  <c r="BE12" i="55"/>
  <c r="BF12" i="55"/>
  <c r="BG12" i="55"/>
  <c r="BH12" i="55"/>
  <c r="BI12" i="55"/>
  <c r="BJ12" i="55"/>
  <c r="BK12" i="55"/>
  <c r="BL12" i="55"/>
  <c r="BD3" i="55"/>
  <c r="BE3" i="55"/>
  <c r="BF3" i="55"/>
  <c r="BG3" i="55"/>
  <c r="BH3" i="55"/>
  <c r="BI3" i="55"/>
  <c r="BJ3" i="55"/>
  <c r="BK3" i="55"/>
  <c r="BL3" i="55"/>
  <c r="BD4" i="55"/>
  <c r="BE4" i="55"/>
  <c r="BF4" i="55"/>
  <c r="BG4" i="55"/>
  <c r="BH4" i="55"/>
  <c r="BI4" i="55"/>
  <c r="BJ4" i="55"/>
  <c r="BK4" i="55"/>
  <c r="BL4" i="55"/>
  <c r="BD5" i="55"/>
  <c r="BE5" i="55"/>
  <c r="BF5" i="55"/>
  <c r="BG5" i="55"/>
  <c r="BH5" i="55"/>
  <c r="BI5" i="55"/>
  <c r="BJ5" i="55"/>
  <c r="BK5" i="55"/>
  <c r="BL5" i="55"/>
  <c r="BD6" i="55"/>
  <c r="BE6" i="55"/>
  <c r="BF6" i="55"/>
  <c r="BG6" i="55"/>
  <c r="BH6" i="55"/>
  <c r="BI6" i="55"/>
  <c r="BJ6" i="55"/>
  <c r="BK6" i="55"/>
  <c r="BL6" i="55"/>
  <c r="AL3" i="55"/>
  <c r="AM3" i="55"/>
  <c r="AN3" i="55"/>
  <c r="AO3" i="55"/>
  <c r="AP3" i="55"/>
  <c r="AQ3" i="55"/>
  <c r="AR3" i="55"/>
  <c r="AS3" i="55"/>
  <c r="AT3" i="55"/>
  <c r="AU3" i="55"/>
  <c r="AV3" i="55"/>
  <c r="AW3" i="55"/>
  <c r="AX3" i="55"/>
  <c r="AY3" i="55"/>
  <c r="AZ3" i="55"/>
  <c r="BA3" i="55"/>
  <c r="BB3" i="55"/>
  <c r="BC3" i="55"/>
  <c r="AL4" i="55"/>
  <c r="AM4" i="55"/>
  <c r="AN4" i="55"/>
  <c r="AO4" i="55"/>
  <c r="AP4" i="55"/>
  <c r="AQ4" i="55"/>
  <c r="AR4" i="55"/>
  <c r="AS4" i="55"/>
  <c r="AT4" i="55"/>
  <c r="AU4" i="55"/>
  <c r="AV4" i="55"/>
  <c r="AW4" i="55"/>
  <c r="AX4" i="55"/>
  <c r="AY4" i="55"/>
  <c r="AZ4" i="55"/>
  <c r="BA4" i="55"/>
  <c r="BB4" i="55"/>
  <c r="BC4" i="55"/>
  <c r="AL5" i="55"/>
  <c r="AM5" i="55"/>
  <c r="AN5" i="55"/>
  <c r="AO5" i="55"/>
  <c r="AP5" i="55"/>
  <c r="AQ5" i="55"/>
  <c r="AR5" i="55"/>
  <c r="AS5" i="55"/>
  <c r="AT5" i="55"/>
  <c r="AU5" i="55"/>
  <c r="AV5" i="55"/>
  <c r="AW5" i="55"/>
  <c r="AX5" i="55"/>
  <c r="AY5" i="55"/>
  <c r="AZ5" i="55"/>
  <c r="BA5" i="55"/>
  <c r="BB5" i="55"/>
  <c r="BC5" i="55"/>
  <c r="AL6" i="55"/>
  <c r="AM6" i="55"/>
  <c r="AN6" i="55"/>
  <c r="AO6" i="55"/>
  <c r="AP6" i="55"/>
  <c r="AQ6" i="55"/>
  <c r="AR6" i="55"/>
  <c r="AS6" i="55"/>
  <c r="AT6" i="55"/>
  <c r="AU6" i="55"/>
  <c r="AV6" i="55"/>
  <c r="AW6" i="55"/>
  <c r="AX6" i="55"/>
  <c r="AY6" i="55"/>
  <c r="AZ6" i="55"/>
  <c r="BA6" i="55"/>
  <c r="BB6" i="55"/>
  <c r="BC6" i="55"/>
  <c r="AL34" i="55"/>
  <c r="AM34" i="55"/>
  <c r="AN34" i="55"/>
  <c r="AO34" i="55"/>
  <c r="AP34" i="55"/>
  <c r="AQ34" i="55"/>
  <c r="AR34" i="55"/>
  <c r="AS34" i="55"/>
  <c r="AT34" i="55"/>
  <c r="AU34" i="55"/>
  <c r="AV34" i="55"/>
  <c r="AW34" i="55"/>
  <c r="AX34" i="55"/>
  <c r="AY34" i="55"/>
  <c r="AZ34" i="55"/>
  <c r="BA34" i="55"/>
  <c r="BB34" i="55"/>
  <c r="BC34" i="55"/>
  <c r="AL35" i="55"/>
  <c r="AM35" i="55"/>
  <c r="AA37" i="54" s="1"/>
  <c r="AN35" i="55"/>
  <c r="AO35" i="55"/>
  <c r="AP35" i="55"/>
  <c r="AQ35" i="55"/>
  <c r="AR35" i="55"/>
  <c r="AS35" i="55"/>
  <c r="AT35" i="55"/>
  <c r="AU35" i="55"/>
  <c r="AV35" i="55"/>
  <c r="AG37" i="54" s="1"/>
  <c r="AW35" i="55"/>
  <c r="AX35" i="55"/>
  <c r="AY35" i="55"/>
  <c r="AZ35" i="55"/>
  <c r="BA35" i="55"/>
  <c r="BB35" i="55"/>
  <c r="BC35" i="55"/>
  <c r="AL36" i="55"/>
  <c r="AM36" i="55"/>
  <c r="AN36" i="55"/>
  <c r="AO36" i="55"/>
  <c r="AP36" i="55"/>
  <c r="AQ36" i="55"/>
  <c r="AR36" i="55"/>
  <c r="AS36" i="55"/>
  <c r="AT36" i="55"/>
  <c r="AU36" i="55"/>
  <c r="AV36" i="55"/>
  <c r="AW36" i="55"/>
  <c r="AX36" i="55"/>
  <c r="AY36" i="55"/>
  <c r="AZ36" i="55"/>
  <c r="BA36" i="55"/>
  <c r="BB36" i="55"/>
  <c r="BC36" i="55"/>
  <c r="AL37" i="55"/>
  <c r="AM37" i="55"/>
  <c r="AN37" i="55"/>
  <c r="AO37" i="55"/>
  <c r="AP37" i="55"/>
  <c r="AQ37" i="55"/>
  <c r="AR37" i="55"/>
  <c r="AS37" i="55"/>
  <c r="AT37" i="55"/>
  <c r="AU37" i="55"/>
  <c r="AV37" i="55"/>
  <c r="AW37" i="55"/>
  <c r="AX37" i="55"/>
  <c r="AY37" i="55"/>
  <c r="AZ37" i="55"/>
  <c r="BA37" i="55"/>
  <c r="BB37" i="55"/>
  <c r="BC37" i="55"/>
  <c r="AL38" i="55"/>
  <c r="AM38" i="55"/>
  <c r="AN38" i="55"/>
  <c r="AO38" i="55"/>
  <c r="AP38" i="55"/>
  <c r="AQ38" i="55"/>
  <c r="AR38" i="55"/>
  <c r="AS38" i="55"/>
  <c r="AT38" i="55"/>
  <c r="AU38" i="55"/>
  <c r="AV38" i="55"/>
  <c r="AW38" i="55"/>
  <c r="AX38" i="55"/>
  <c r="AY38" i="55"/>
  <c r="AZ38" i="55"/>
  <c r="BA38" i="55"/>
  <c r="BB38" i="55"/>
  <c r="BC38" i="55"/>
  <c r="AL39" i="55"/>
  <c r="AM39" i="55"/>
  <c r="AA41" i="54" s="1"/>
  <c r="AN39" i="55"/>
  <c r="AO39" i="55"/>
  <c r="AP39" i="55"/>
  <c r="AQ39" i="55"/>
  <c r="AR39" i="55"/>
  <c r="AS39" i="55"/>
  <c r="AT39" i="55"/>
  <c r="AU39" i="55"/>
  <c r="AV39" i="55"/>
  <c r="AG41" i="54" s="1"/>
  <c r="AW39" i="55"/>
  <c r="AX39" i="55"/>
  <c r="AY39" i="55"/>
  <c r="AZ39" i="55"/>
  <c r="BA39" i="55"/>
  <c r="BB39" i="55"/>
  <c r="BC39" i="55"/>
  <c r="AL40" i="55"/>
  <c r="AM40" i="55"/>
  <c r="AN40" i="55"/>
  <c r="AO40" i="55"/>
  <c r="AP40" i="55"/>
  <c r="AQ40" i="55"/>
  <c r="AR40" i="55"/>
  <c r="AS40" i="55"/>
  <c r="AT40" i="55"/>
  <c r="AU40" i="55"/>
  <c r="AV40" i="55"/>
  <c r="AW40" i="55"/>
  <c r="AX40" i="55"/>
  <c r="AY40" i="55"/>
  <c r="AZ40" i="55"/>
  <c r="BA40" i="55"/>
  <c r="BB40" i="55"/>
  <c r="BC40" i="55"/>
  <c r="AL41" i="55"/>
  <c r="AM41" i="55"/>
  <c r="AN41" i="55"/>
  <c r="AO41" i="55"/>
  <c r="AP41" i="55"/>
  <c r="AQ41" i="55"/>
  <c r="AR41" i="55"/>
  <c r="AS41" i="55"/>
  <c r="AT41" i="55"/>
  <c r="AU41" i="55"/>
  <c r="AV41" i="55"/>
  <c r="AW41" i="55"/>
  <c r="AX41" i="55"/>
  <c r="AY41" i="55"/>
  <c r="AZ41" i="55"/>
  <c r="BA41" i="55"/>
  <c r="BB41" i="55"/>
  <c r="BC41" i="55"/>
  <c r="AL42" i="55"/>
  <c r="AM42" i="55"/>
  <c r="AN42" i="55"/>
  <c r="AO42" i="55"/>
  <c r="AP42" i="55"/>
  <c r="AQ42" i="55"/>
  <c r="AR42" i="55"/>
  <c r="AS42" i="55"/>
  <c r="AT42" i="55"/>
  <c r="AU42" i="55"/>
  <c r="AV42" i="55"/>
  <c r="AW42" i="55"/>
  <c r="AX42" i="55"/>
  <c r="AY42" i="55"/>
  <c r="AZ42" i="55"/>
  <c r="BA42" i="55"/>
  <c r="BB42" i="55"/>
  <c r="BC42" i="55"/>
  <c r="AL43" i="55"/>
  <c r="AM43" i="55"/>
  <c r="AN43" i="55"/>
  <c r="AO43" i="55"/>
  <c r="AP43" i="55"/>
  <c r="AQ43" i="55"/>
  <c r="AR43" i="55"/>
  <c r="AS43" i="55"/>
  <c r="AT43" i="55"/>
  <c r="AU43" i="55"/>
  <c r="AV43" i="55"/>
  <c r="AW43" i="55"/>
  <c r="AX43" i="55"/>
  <c r="AY43" i="55"/>
  <c r="AZ43" i="55"/>
  <c r="BA43" i="55"/>
  <c r="BB43" i="55"/>
  <c r="BC43" i="55"/>
  <c r="AL44" i="55"/>
  <c r="AM44" i="55"/>
  <c r="AN44" i="55"/>
  <c r="AO44" i="55"/>
  <c r="AP44" i="55"/>
  <c r="AQ44" i="55"/>
  <c r="AR44" i="55"/>
  <c r="AS44" i="55"/>
  <c r="AT44" i="55"/>
  <c r="AU44" i="55"/>
  <c r="AV44" i="55"/>
  <c r="AW44" i="55"/>
  <c r="AX44" i="55"/>
  <c r="AY44" i="55"/>
  <c r="AZ44" i="55"/>
  <c r="BA44" i="55"/>
  <c r="BB44" i="55"/>
  <c r="BC44" i="55"/>
  <c r="AL45" i="55"/>
  <c r="AM45" i="55"/>
  <c r="AN45" i="55"/>
  <c r="AO45" i="55"/>
  <c r="AP45" i="55"/>
  <c r="AQ45" i="55"/>
  <c r="AR45" i="55"/>
  <c r="AS45" i="55"/>
  <c r="AT45" i="55"/>
  <c r="AU45" i="55"/>
  <c r="AV45" i="55"/>
  <c r="AW45" i="55"/>
  <c r="AX45" i="55"/>
  <c r="AY45" i="55"/>
  <c r="AZ45" i="55"/>
  <c r="BA45" i="55"/>
  <c r="BB45" i="55"/>
  <c r="BC45" i="55"/>
  <c r="AL46" i="55"/>
  <c r="AM46" i="55"/>
  <c r="AN46" i="55"/>
  <c r="AO46" i="55"/>
  <c r="AP46" i="55"/>
  <c r="AQ46" i="55"/>
  <c r="AR46" i="55"/>
  <c r="AS46" i="55"/>
  <c r="AT46" i="55"/>
  <c r="AU46" i="55"/>
  <c r="AV46" i="55"/>
  <c r="AW46" i="55"/>
  <c r="AX46" i="55"/>
  <c r="AY46" i="55"/>
  <c r="AZ46" i="55"/>
  <c r="BA46" i="55"/>
  <c r="BB46" i="55"/>
  <c r="BC46" i="55"/>
  <c r="AL47" i="55"/>
  <c r="AM47" i="55"/>
  <c r="AN47" i="55"/>
  <c r="AO47" i="55"/>
  <c r="AP47" i="55"/>
  <c r="AQ47" i="55"/>
  <c r="AR47" i="55"/>
  <c r="AS47" i="55"/>
  <c r="AT47" i="55"/>
  <c r="AU47" i="55"/>
  <c r="AV47" i="55"/>
  <c r="AW47" i="55"/>
  <c r="AX47" i="55"/>
  <c r="AY47" i="55"/>
  <c r="AZ47" i="55"/>
  <c r="BA47" i="55"/>
  <c r="BB47" i="55"/>
  <c r="BC47" i="55"/>
  <c r="AL48" i="55"/>
  <c r="AM48" i="55"/>
  <c r="AN48" i="55"/>
  <c r="AO48" i="55"/>
  <c r="AP48" i="55"/>
  <c r="AQ48" i="55"/>
  <c r="AR48" i="55"/>
  <c r="AS48" i="55"/>
  <c r="AT48" i="55"/>
  <c r="AU48" i="55"/>
  <c r="AV48" i="55"/>
  <c r="AW48" i="55"/>
  <c r="AX48" i="55"/>
  <c r="AY48" i="55"/>
  <c r="AZ48" i="55"/>
  <c r="BA48" i="55"/>
  <c r="BB48" i="55"/>
  <c r="BC48" i="55"/>
  <c r="AL49" i="55"/>
  <c r="AM49" i="55"/>
  <c r="AN49" i="55"/>
  <c r="AO49" i="55"/>
  <c r="AP49" i="55"/>
  <c r="AQ49" i="55"/>
  <c r="AR49" i="55"/>
  <c r="AS49" i="55"/>
  <c r="AT49" i="55"/>
  <c r="AU49" i="55"/>
  <c r="AV49" i="55"/>
  <c r="AW49" i="55"/>
  <c r="AX49" i="55"/>
  <c r="AY49" i="55"/>
  <c r="AZ49" i="55"/>
  <c r="BA49" i="55"/>
  <c r="BB49" i="55"/>
  <c r="BC49" i="55"/>
  <c r="AL50" i="55"/>
  <c r="AM50" i="55"/>
  <c r="AN50" i="55"/>
  <c r="AO50" i="55"/>
  <c r="AP50" i="55"/>
  <c r="AQ50" i="55"/>
  <c r="AR50" i="55"/>
  <c r="AS50" i="55"/>
  <c r="AT50" i="55"/>
  <c r="AU50" i="55"/>
  <c r="AV50" i="55"/>
  <c r="AW50" i="55"/>
  <c r="AX50" i="55"/>
  <c r="AY50" i="55"/>
  <c r="AZ50" i="55"/>
  <c r="BA50" i="55"/>
  <c r="BB50" i="55"/>
  <c r="BC50" i="55"/>
  <c r="AL51" i="55"/>
  <c r="AM51" i="55"/>
  <c r="AN51" i="55"/>
  <c r="AO51" i="55"/>
  <c r="AP51" i="55"/>
  <c r="AQ51" i="55"/>
  <c r="AR51" i="55"/>
  <c r="AS51" i="55"/>
  <c r="AT51" i="55"/>
  <c r="AU51" i="55"/>
  <c r="AV51" i="55"/>
  <c r="AW51" i="55"/>
  <c r="AX51" i="55"/>
  <c r="AY51" i="55"/>
  <c r="AZ51" i="55"/>
  <c r="BA51" i="55"/>
  <c r="BB51" i="55"/>
  <c r="BC51" i="55"/>
  <c r="AL52" i="55"/>
  <c r="AM52" i="55"/>
  <c r="AN52" i="55"/>
  <c r="AO52" i="55"/>
  <c r="AP52" i="55"/>
  <c r="AQ52" i="55"/>
  <c r="AR52" i="55"/>
  <c r="AS52" i="55"/>
  <c r="AT52" i="55"/>
  <c r="AU52" i="55"/>
  <c r="AV52" i="55"/>
  <c r="AW52" i="55"/>
  <c r="AX52" i="55"/>
  <c r="AY52" i="55"/>
  <c r="AZ52" i="55"/>
  <c r="BA52" i="55"/>
  <c r="BB52" i="55"/>
  <c r="BC52" i="55"/>
  <c r="AL53" i="55"/>
  <c r="AM53" i="55"/>
  <c r="AN53" i="55"/>
  <c r="AO53" i="55"/>
  <c r="AP53" i="55"/>
  <c r="AQ53" i="55"/>
  <c r="AR53" i="55"/>
  <c r="AS53" i="55"/>
  <c r="AT53" i="55"/>
  <c r="AU53" i="55"/>
  <c r="AV53" i="55"/>
  <c r="AW53" i="55"/>
  <c r="AX53" i="55"/>
  <c r="AY53" i="55"/>
  <c r="AZ53" i="55"/>
  <c r="BA53" i="55"/>
  <c r="BB53" i="55"/>
  <c r="BC53" i="55"/>
  <c r="AL54" i="55"/>
  <c r="AM54" i="55"/>
  <c r="AN54" i="55"/>
  <c r="AO54" i="55"/>
  <c r="AP54" i="55"/>
  <c r="AQ54" i="55"/>
  <c r="AR54" i="55"/>
  <c r="AS54" i="55"/>
  <c r="AT54" i="55"/>
  <c r="AU54" i="55"/>
  <c r="AV54" i="55"/>
  <c r="AW54" i="55"/>
  <c r="AX54" i="55"/>
  <c r="AY54" i="55"/>
  <c r="AZ54" i="55"/>
  <c r="BA54" i="55"/>
  <c r="BB54" i="55"/>
  <c r="BC54" i="55"/>
  <c r="AL55" i="55"/>
  <c r="AM55" i="55"/>
  <c r="AN55" i="55"/>
  <c r="AO55" i="55"/>
  <c r="AP55" i="55"/>
  <c r="AQ55" i="55"/>
  <c r="AR55" i="55"/>
  <c r="AS55" i="55"/>
  <c r="AT55" i="55"/>
  <c r="AU55" i="55"/>
  <c r="AV55" i="55"/>
  <c r="AW55" i="55"/>
  <c r="AX55" i="55"/>
  <c r="AY55" i="55"/>
  <c r="AZ55" i="55"/>
  <c r="BA55" i="55"/>
  <c r="BB55" i="55"/>
  <c r="BC55" i="55"/>
  <c r="AL56" i="55"/>
  <c r="AM56" i="55"/>
  <c r="AN56" i="55"/>
  <c r="AO56" i="55"/>
  <c r="AP56" i="55"/>
  <c r="AQ56" i="55"/>
  <c r="AR56" i="55"/>
  <c r="AS56" i="55"/>
  <c r="AT56" i="55"/>
  <c r="AU56" i="55"/>
  <c r="AV56" i="55"/>
  <c r="AW56" i="55"/>
  <c r="AX56" i="55"/>
  <c r="AY56" i="55"/>
  <c r="AZ56" i="55"/>
  <c r="BA56" i="55"/>
  <c r="BB56" i="55"/>
  <c r="BC56" i="55"/>
  <c r="AL57" i="55"/>
  <c r="AM57" i="55"/>
  <c r="AN57" i="55"/>
  <c r="AO57" i="55"/>
  <c r="AP57" i="55"/>
  <c r="AQ57" i="55"/>
  <c r="AR57" i="55"/>
  <c r="AS57" i="55"/>
  <c r="AT57" i="55"/>
  <c r="AU57" i="55"/>
  <c r="AV57" i="55"/>
  <c r="AW57" i="55"/>
  <c r="AX57" i="55"/>
  <c r="AY57" i="55"/>
  <c r="AZ57" i="55"/>
  <c r="BA57" i="55"/>
  <c r="BB57" i="55"/>
  <c r="BC57" i="55"/>
  <c r="AL58" i="55"/>
  <c r="AM58" i="55"/>
  <c r="AN58" i="55"/>
  <c r="AO58" i="55"/>
  <c r="AP58" i="55"/>
  <c r="AQ58" i="55"/>
  <c r="AR58" i="55"/>
  <c r="AS58" i="55"/>
  <c r="AT58" i="55"/>
  <c r="AU58" i="55"/>
  <c r="AV58" i="55"/>
  <c r="AW58" i="55"/>
  <c r="AX58" i="55"/>
  <c r="AY58" i="55"/>
  <c r="AZ58" i="55"/>
  <c r="BA58" i="55"/>
  <c r="BB58" i="55"/>
  <c r="BC58" i="55"/>
  <c r="AL59" i="55"/>
  <c r="AM59" i="55"/>
  <c r="AN59" i="55"/>
  <c r="AO59" i="55"/>
  <c r="AP59" i="55"/>
  <c r="AQ59" i="55"/>
  <c r="AR59" i="55"/>
  <c r="AS59" i="55"/>
  <c r="AT59" i="55"/>
  <c r="AU59" i="55"/>
  <c r="AV59" i="55"/>
  <c r="AW59" i="55"/>
  <c r="AX59" i="55"/>
  <c r="AY59" i="55"/>
  <c r="AZ59" i="55"/>
  <c r="BA59" i="55"/>
  <c r="BB59" i="55"/>
  <c r="BC59" i="55"/>
  <c r="AL60" i="55"/>
  <c r="AM60" i="55"/>
  <c r="AN60" i="55"/>
  <c r="AO60" i="55"/>
  <c r="AP60" i="55"/>
  <c r="AQ60" i="55"/>
  <c r="AR60" i="55"/>
  <c r="AS60" i="55"/>
  <c r="AT60" i="55"/>
  <c r="AU60" i="55"/>
  <c r="AV60" i="55"/>
  <c r="AW60" i="55"/>
  <c r="AX60" i="55"/>
  <c r="AY60" i="55"/>
  <c r="AZ60" i="55"/>
  <c r="BA60" i="55"/>
  <c r="BB60" i="55"/>
  <c r="BC60" i="55"/>
  <c r="AL61" i="55"/>
  <c r="AM61" i="55"/>
  <c r="AN61" i="55"/>
  <c r="AO61" i="55"/>
  <c r="AP61" i="55"/>
  <c r="AQ61" i="55"/>
  <c r="AR61" i="55"/>
  <c r="AS61" i="55"/>
  <c r="AT61" i="55"/>
  <c r="AU61" i="55"/>
  <c r="AV61" i="55"/>
  <c r="AW61" i="55"/>
  <c r="AX61" i="55"/>
  <c r="AY61" i="55"/>
  <c r="AZ61" i="55"/>
  <c r="BA61" i="55"/>
  <c r="BB61" i="55"/>
  <c r="BC61" i="55"/>
  <c r="AL62" i="55"/>
  <c r="AM62" i="55"/>
  <c r="AN62" i="55"/>
  <c r="AO62" i="55"/>
  <c r="AP62" i="55"/>
  <c r="AQ62" i="55"/>
  <c r="AR62" i="55"/>
  <c r="AS62" i="55"/>
  <c r="AT62" i="55"/>
  <c r="AU62" i="55"/>
  <c r="AV62" i="55"/>
  <c r="AW62" i="55"/>
  <c r="AX62" i="55"/>
  <c r="AY62" i="55"/>
  <c r="AZ62" i="55"/>
  <c r="BA62" i="55"/>
  <c r="BB62" i="55"/>
  <c r="BC62" i="55"/>
  <c r="AL63" i="55"/>
  <c r="AM63" i="55"/>
  <c r="AN63" i="55"/>
  <c r="AO63" i="55"/>
  <c r="AP63" i="55"/>
  <c r="AQ63" i="55"/>
  <c r="AR63" i="55"/>
  <c r="AS63" i="55"/>
  <c r="AT63" i="55"/>
  <c r="AU63" i="55"/>
  <c r="AV63" i="55"/>
  <c r="AW63" i="55"/>
  <c r="AX63" i="55"/>
  <c r="AY63" i="55"/>
  <c r="AZ63" i="55"/>
  <c r="BA63" i="55"/>
  <c r="BB63" i="55"/>
  <c r="BC63" i="55"/>
  <c r="AL64" i="55"/>
  <c r="AM64" i="55"/>
  <c r="AN64" i="55"/>
  <c r="AO64" i="55"/>
  <c r="AP64" i="55"/>
  <c r="AQ64" i="55"/>
  <c r="AR64" i="55"/>
  <c r="AS64" i="55"/>
  <c r="AT64" i="55"/>
  <c r="AU64" i="55"/>
  <c r="AV64" i="55"/>
  <c r="AW64" i="55"/>
  <c r="AX64" i="55"/>
  <c r="AY64" i="55"/>
  <c r="AZ64" i="55"/>
  <c r="BA64" i="55"/>
  <c r="BB64" i="55"/>
  <c r="BC64" i="55"/>
  <c r="AL65" i="55"/>
  <c r="AM65" i="55"/>
  <c r="AN65" i="55"/>
  <c r="AO65" i="55"/>
  <c r="AP65" i="55"/>
  <c r="AQ65" i="55"/>
  <c r="AR65" i="55"/>
  <c r="AS65" i="55"/>
  <c r="AT65" i="55"/>
  <c r="AU65" i="55"/>
  <c r="AV65" i="55"/>
  <c r="AW65" i="55"/>
  <c r="AX65" i="55"/>
  <c r="AY65" i="55"/>
  <c r="AZ65" i="55"/>
  <c r="BA65" i="55"/>
  <c r="BB65" i="55"/>
  <c r="BC65" i="55"/>
  <c r="AL66" i="55"/>
  <c r="AM66" i="55"/>
  <c r="AN66" i="55"/>
  <c r="AO66" i="55"/>
  <c r="AP66" i="55"/>
  <c r="AQ66" i="55"/>
  <c r="AR66" i="55"/>
  <c r="AS66" i="55"/>
  <c r="AT66" i="55"/>
  <c r="AU66" i="55"/>
  <c r="AV66" i="55"/>
  <c r="AW66" i="55"/>
  <c r="AX66" i="55"/>
  <c r="AY66" i="55"/>
  <c r="AZ66" i="55"/>
  <c r="BA66" i="55"/>
  <c r="BB66" i="55"/>
  <c r="BC66" i="55"/>
  <c r="AL67" i="55"/>
  <c r="AM67" i="55"/>
  <c r="AN67" i="55"/>
  <c r="AO67" i="55"/>
  <c r="AP67" i="55"/>
  <c r="AQ67" i="55"/>
  <c r="AR67" i="55"/>
  <c r="AS67" i="55"/>
  <c r="AT67" i="55"/>
  <c r="AU67" i="55"/>
  <c r="AV67" i="55"/>
  <c r="AW67" i="55"/>
  <c r="AX67" i="55"/>
  <c r="AY67" i="55"/>
  <c r="AZ67" i="55"/>
  <c r="BA67" i="55"/>
  <c r="BB67" i="55"/>
  <c r="BC67" i="55"/>
  <c r="AL68" i="55"/>
  <c r="AM68" i="55"/>
  <c r="AN68" i="55"/>
  <c r="AO68" i="55"/>
  <c r="AP68" i="55"/>
  <c r="AQ68" i="55"/>
  <c r="AR68" i="55"/>
  <c r="AS68" i="55"/>
  <c r="AT68" i="55"/>
  <c r="AU68" i="55"/>
  <c r="AV68" i="55"/>
  <c r="AW68" i="55"/>
  <c r="AX68" i="55"/>
  <c r="AY68" i="55"/>
  <c r="AZ68" i="55"/>
  <c r="BA68" i="55"/>
  <c r="BB68" i="55"/>
  <c r="BC68" i="55"/>
  <c r="AL69" i="55"/>
  <c r="AM69" i="55"/>
  <c r="AN69" i="55"/>
  <c r="AO69" i="55"/>
  <c r="AP69" i="55"/>
  <c r="AQ69" i="55"/>
  <c r="AR69" i="55"/>
  <c r="AS69" i="55"/>
  <c r="AT69" i="55"/>
  <c r="AU69" i="55"/>
  <c r="AV69" i="55"/>
  <c r="AW69" i="55"/>
  <c r="AX69" i="55"/>
  <c r="AY69" i="55"/>
  <c r="AZ69" i="55"/>
  <c r="BA69" i="55"/>
  <c r="BB69" i="55"/>
  <c r="BC69" i="55"/>
  <c r="AL70" i="55"/>
  <c r="AM70" i="55"/>
  <c r="AN70" i="55"/>
  <c r="AO70" i="55"/>
  <c r="AP70" i="55"/>
  <c r="AQ70" i="55"/>
  <c r="AR70" i="55"/>
  <c r="AS70" i="55"/>
  <c r="AT70" i="55"/>
  <c r="AU70" i="55"/>
  <c r="AV70" i="55"/>
  <c r="AW70" i="55"/>
  <c r="AX70" i="55"/>
  <c r="AY70" i="55"/>
  <c r="AZ70" i="55"/>
  <c r="BA70" i="55"/>
  <c r="BB70" i="55"/>
  <c r="BC70" i="55"/>
  <c r="AL71" i="55"/>
  <c r="AM71" i="55"/>
  <c r="AN71" i="55"/>
  <c r="AO71" i="55"/>
  <c r="AP71" i="55"/>
  <c r="AQ71" i="55"/>
  <c r="AR71" i="55"/>
  <c r="AS71" i="55"/>
  <c r="AT71" i="55"/>
  <c r="AU71" i="55"/>
  <c r="AV71" i="55"/>
  <c r="AW71" i="55"/>
  <c r="AX71" i="55"/>
  <c r="AY71" i="55"/>
  <c r="AZ71" i="55"/>
  <c r="BA71" i="55"/>
  <c r="BB71" i="55"/>
  <c r="BC71" i="55"/>
  <c r="AL72" i="55"/>
  <c r="AM72" i="55"/>
  <c r="AN72" i="55"/>
  <c r="AO72" i="55"/>
  <c r="AP72" i="55"/>
  <c r="AQ72" i="55"/>
  <c r="AR72" i="55"/>
  <c r="AS72" i="55"/>
  <c r="AT72" i="55"/>
  <c r="AU72" i="55"/>
  <c r="AV72" i="55"/>
  <c r="AW72" i="55"/>
  <c r="AX72" i="55"/>
  <c r="AY72" i="55"/>
  <c r="AZ72" i="55"/>
  <c r="BA72" i="55"/>
  <c r="BB72" i="55"/>
  <c r="BC72" i="55"/>
  <c r="AL73" i="55"/>
  <c r="AM73" i="55"/>
  <c r="AN73" i="55"/>
  <c r="AO73" i="55"/>
  <c r="AP73" i="55"/>
  <c r="AQ73" i="55"/>
  <c r="AR73" i="55"/>
  <c r="AS73" i="55"/>
  <c r="AT73" i="55"/>
  <c r="AU73" i="55"/>
  <c r="AV73" i="55"/>
  <c r="AW73" i="55"/>
  <c r="AX73" i="55"/>
  <c r="AY73" i="55"/>
  <c r="AZ73" i="55"/>
  <c r="BA73" i="55"/>
  <c r="BB73" i="55"/>
  <c r="BC73" i="55"/>
  <c r="AL74" i="55"/>
  <c r="AM74" i="55"/>
  <c r="AN74" i="55"/>
  <c r="AO74" i="55"/>
  <c r="AP74" i="55"/>
  <c r="AQ74" i="55"/>
  <c r="AR74" i="55"/>
  <c r="AS74" i="55"/>
  <c r="AT74" i="55"/>
  <c r="AU74" i="55"/>
  <c r="AV74" i="55"/>
  <c r="AW74" i="55"/>
  <c r="AX74" i="55"/>
  <c r="AY74" i="55"/>
  <c r="AZ74" i="55"/>
  <c r="BA74" i="55"/>
  <c r="BB74" i="55"/>
  <c r="BC74" i="55"/>
  <c r="AL75" i="55"/>
  <c r="AM75" i="55"/>
  <c r="AN75" i="55"/>
  <c r="AO75" i="55"/>
  <c r="AP75" i="55"/>
  <c r="AQ75" i="55"/>
  <c r="AR75" i="55"/>
  <c r="AS75" i="55"/>
  <c r="AT75" i="55"/>
  <c r="AU75" i="55"/>
  <c r="AV75" i="55"/>
  <c r="AW75" i="55"/>
  <c r="AX75" i="55"/>
  <c r="AY75" i="55"/>
  <c r="AZ75" i="55"/>
  <c r="BA75" i="55"/>
  <c r="BB75" i="55"/>
  <c r="BC75" i="55"/>
  <c r="AL30" i="55"/>
  <c r="AM30" i="55"/>
  <c r="AN30" i="55"/>
  <c r="AO30" i="55"/>
  <c r="AP30" i="55"/>
  <c r="AQ30" i="55"/>
  <c r="AR30" i="55"/>
  <c r="AS30" i="55"/>
  <c r="AT30" i="55"/>
  <c r="AU30" i="55"/>
  <c r="AV30" i="55"/>
  <c r="AW30" i="55"/>
  <c r="AX30" i="55"/>
  <c r="AY30" i="55"/>
  <c r="AZ30" i="55"/>
  <c r="BA30" i="55"/>
  <c r="BB30" i="55"/>
  <c r="BC30" i="55"/>
  <c r="AL31" i="55"/>
  <c r="AM31" i="55"/>
  <c r="AN31" i="55"/>
  <c r="AO31" i="55"/>
  <c r="AP31" i="55"/>
  <c r="AQ31" i="55"/>
  <c r="AR31" i="55"/>
  <c r="AS31" i="55"/>
  <c r="AT31" i="55"/>
  <c r="AU31" i="55"/>
  <c r="AV31" i="55"/>
  <c r="AW31" i="55"/>
  <c r="AX31" i="55"/>
  <c r="AY31" i="55"/>
  <c r="AZ31" i="55"/>
  <c r="BA31" i="55"/>
  <c r="BB31" i="55"/>
  <c r="BC31" i="55"/>
  <c r="AL32" i="55"/>
  <c r="AM32" i="55"/>
  <c r="AN32" i="55"/>
  <c r="AO32" i="55"/>
  <c r="AP32" i="55"/>
  <c r="AQ32" i="55"/>
  <c r="AR32" i="55"/>
  <c r="AS32" i="55"/>
  <c r="AT32" i="55"/>
  <c r="AU32" i="55"/>
  <c r="AV32" i="55"/>
  <c r="AW32" i="55"/>
  <c r="AX32" i="55"/>
  <c r="AY32" i="55"/>
  <c r="AZ32" i="55"/>
  <c r="BA32" i="55"/>
  <c r="BB32" i="55"/>
  <c r="BC32" i="55"/>
  <c r="AL33" i="55"/>
  <c r="AM33" i="55"/>
  <c r="AN33" i="55"/>
  <c r="AO33" i="55"/>
  <c r="AP33" i="55"/>
  <c r="AQ33" i="55"/>
  <c r="AR33" i="55"/>
  <c r="AS33" i="55"/>
  <c r="AT33" i="55"/>
  <c r="AU33" i="55"/>
  <c r="AV33" i="55"/>
  <c r="AW33" i="55"/>
  <c r="AX33" i="55"/>
  <c r="AY33" i="55"/>
  <c r="AZ33" i="55"/>
  <c r="BA33" i="55"/>
  <c r="BB33" i="55"/>
  <c r="BC33" i="55"/>
  <c r="AL14" i="55"/>
  <c r="AM14" i="55"/>
  <c r="AN14" i="55"/>
  <c r="AO14" i="55"/>
  <c r="AP14" i="55"/>
  <c r="AQ14" i="55"/>
  <c r="AR14" i="55"/>
  <c r="AS14" i="55"/>
  <c r="AT14" i="55"/>
  <c r="AU14" i="55"/>
  <c r="AV14" i="55"/>
  <c r="AW14" i="55"/>
  <c r="AX14" i="55"/>
  <c r="AY14" i="55"/>
  <c r="AZ14" i="55"/>
  <c r="BA14" i="55"/>
  <c r="BB14" i="55"/>
  <c r="BC14" i="55"/>
  <c r="AL15" i="55"/>
  <c r="AM15" i="55"/>
  <c r="AN15" i="55"/>
  <c r="AO15" i="55"/>
  <c r="AP15" i="55"/>
  <c r="AQ15" i="55"/>
  <c r="AR15" i="55"/>
  <c r="AS15" i="55"/>
  <c r="AT15" i="55"/>
  <c r="AU15" i="55"/>
  <c r="AV15" i="55"/>
  <c r="AW15" i="55"/>
  <c r="AX15" i="55"/>
  <c r="AY15" i="55"/>
  <c r="AZ15" i="55"/>
  <c r="BA15" i="55"/>
  <c r="BB15" i="55"/>
  <c r="BC15" i="55"/>
  <c r="AL16" i="55"/>
  <c r="AM16" i="55"/>
  <c r="AN16" i="55"/>
  <c r="AO16" i="55"/>
  <c r="AP16" i="55"/>
  <c r="AQ16" i="55"/>
  <c r="AR16" i="55"/>
  <c r="AE18" i="54" s="1"/>
  <c r="AS16" i="55"/>
  <c r="AT16" i="55"/>
  <c r="AU16" i="55"/>
  <c r="AV16" i="55"/>
  <c r="AW16" i="55"/>
  <c r="AX16" i="55"/>
  <c r="AY16" i="55"/>
  <c r="AZ16" i="55"/>
  <c r="BA16" i="55"/>
  <c r="AK18" i="54" s="1"/>
  <c r="BB16" i="55"/>
  <c r="BC16" i="55"/>
  <c r="AL17" i="55"/>
  <c r="AM17" i="55"/>
  <c r="AN17" i="55"/>
  <c r="AO17" i="55"/>
  <c r="AP17" i="55"/>
  <c r="AQ17" i="55"/>
  <c r="AR17" i="55"/>
  <c r="AS17" i="55"/>
  <c r="AT17" i="55"/>
  <c r="AU17" i="55"/>
  <c r="AV17" i="55"/>
  <c r="AW17" i="55"/>
  <c r="AX17" i="55"/>
  <c r="AY17" i="55"/>
  <c r="AZ17" i="55"/>
  <c r="BA17" i="55"/>
  <c r="BB17" i="55"/>
  <c r="BC17" i="55"/>
  <c r="AL18" i="55"/>
  <c r="AM18" i="55"/>
  <c r="AN18" i="55"/>
  <c r="AO18" i="55"/>
  <c r="AP18" i="55"/>
  <c r="AQ18" i="55"/>
  <c r="AD20" i="54" s="1"/>
  <c r="AR18" i="55"/>
  <c r="AS18" i="55"/>
  <c r="AT18" i="55"/>
  <c r="AU18" i="55"/>
  <c r="AV18" i="55"/>
  <c r="AW18" i="55"/>
  <c r="AX18" i="55"/>
  <c r="AY18" i="55"/>
  <c r="AZ18" i="55"/>
  <c r="AJ20" i="54" s="1"/>
  <c r="BA18" i="55"/>
  <c r="BB18" i="55"/>
  <c r="BC18" i="55"/>
  <c r="AL19" i="55"/>
  <c r="AM19" i="55"/>
  <c r="AN19" i="55"/>
  <c r="AO19" i="55"/>
  <c r="AP19" i="55"/>
  <c r="AQ19" i="55"/>
  <c r="AR19" i="55"/>
  <c r="AS19" i="55"/>
  <c r="AT19" i="55"/>
  <c r="AU19" i="55"/>
  <c r="AV19" i="55"/>
  <c r="AW19" i="55"/>
  <c r="AX19" i="55"/>
  <c r="AY19" i="55"/>
  <c r="AZ19" i="55"/>
  <c r="BA19" i="55"/>
  <c r="BB19" i="55"/>
  <c r="BC19" i="55"/>
  <c r="AL20" i="55"/>
  <c r="AM20" i="55"/>
  <c r="AN20" i="55"/>
  <c r="AO20" i="55"/>
  <c r="AP20" i="55"/>
  <c r="AQ20" i="55"/>
  <c r="AR20" i="55"/>
  <c r="AS20" i="55"/>
  <c r="AT20" i="55"/>
  <c r="AU20" i="55"/>
  <c r="AV20" i="55"/>
  <c r="AW20" i="55"/>
  <c r="AX20" i="55"/>
  <c r="AY20" i="55"/>
  <c r="AZ20" i="55"/>
  <c r="BA20" i="55"/>
  <c r="BB20" i="55"/>
  <c r="BC20" i="55"/>
  <c r="AL21" i="55"/>
  <c r="AM21" i="55"/>
  <c r="AN21" i="55"/>
  <c r="AO21" i="55"/>
  <c r="AP21" i="55"/>
  <c r="AQ21" i="55"/>
  <c r="AR21" i="55"/>
  <c r="AS21" i="55"/>
  <c r="AT21" i="55"/>
  <c r="AU21" i="55"/>
  <c r="AV21" i="55"/>
  <c r="AW21" i="55"/>
  <c r="AX21" i="55"/>
  <c r="AY21" i="55"/>
  <c r="AZ21" i="55"/>
  <c r="BA21" i="55"/>
  <c r="BB21" i="55"/>
  <c r="BC21" i="55"/>
  <c r="AL22" i="55"/>
  <c r="AM22" i="55"/>
  <c r="AN22" i="55"/>
  <c r="AO22" i="55"/>
  <c r="AP22" i="55"/>
  <c r="AQ22" i="55"/>
  <c r="AR22" i="55"/>
  <c r="AS22" i="55"/>
  <c r="AT22" i="55"/>
  <c r="AU22" i="55"/>
  <c r="AV22" i="55"/>
  <c r="AW22" i="55"/>
  <c r="AX22" i="55"/>
  <c r="AY22" i="55"/>
  <c r="AZ22" i="55"/>
  <c r="BA22" i="55"/>
  <c r="BB22" i="55"/>
  <c r="BC22" i="55"/>
  <c r="AL23" i="55"/>
  <c r="AM23" i="55"/>
  <c r="AN23" i="55"/>
  <c r="AO23" i="55"/>
  <c r="AP23" i="55"/>
  <c r="AQ23" i="55"/>
  <c r="AR23" i="55"/>
  <c r="AS23" i="55"/>
  <c r="AT23" i="55"/>
  <c r="AU23" i="55"/>
  <c r="AV23" i="55"/>
  <c r="AW23" i="55"/>
  <c r="AX23" i="55"/>
  <c r="AY23" i="55"/>
  <c r="AZ23" i="55"/>
  <c r="BA23" i="55"/>
  <c r="BB23" i="55"/>
  <c r="BC23" i="55"/>
  <c r="AL24" i="55"/>
  <c r="AM24" i="55"/>
  <c r="AN24" i="55"/>
  <c r="AO24" i="55"/>
  <c r="AP24" i="55"/>
  <c r="AQ24" i="55"/>
  <c r="AR24" i="55"/>
  <c r="AS24" i="55"/>
  <c r="AT24" i="55"/>
  <c r="AU24" i="55"/>
  <c r="AV24" i="55"/>
  <c r="AW24" i="55"/>
  <c r="AX24" i="55"/>
  <c r="AY24" i="55"/>
  <c r="AZ24" i="55"/>
  <c r="BA24" i="55"/>
  <c r="BB24" i="55"/>
  <c r="BC24" i="55"/>
  <c r="AL25" i="55"/>
  <c r="AM25" i="55"/>
  <c r="AN25" i="55"/>
  <c r="AO25" i="55"/>
  <c r="AP25" i="55"/>
  <c r="AQ25" i="55"/>
  <c r="AR25" i="55"/>
  <c r="AS25" i="55"/>
  <c r="AT25" i="55"/>
  <c r="AU25" i="55"/>
  <c r="AV25" i="55"/>
  <c r="AW25" i="55"/>
  <c r="AX25" i="55"/>
  <c r="AY25" i="55"/>
  <c r="AZ25" i="55"/>
  <c r="BA25" i="55"/>
  <c r="BB25" i="55"/>
  <c r="BC25" i="55"/>
  <c r="AL26" i="55"/>
  <c r="AM26" i="55"/>
  <c r="AN26" i="55"/>
  <c r="AO26" i="55"/>
  <c r="AP26" i="55"/>
  <c r="AQ26" i="55"/>
  <c r="AR26" i="55"/>
  <c r="AS26" i="55"/>
  <c r="AT26" i="55"/>
  <c r="AU26" i="55"/>
  <c r="AV26" i="55"/>
  <c r="AW26" i="55"/>
  <c r="AX26" i="55"/>
  <c r="AY26" i="55"/>
  <c r="AZ26" i="55"/>
  <c r="BA26" i="55"/>
  <c r="BB26" i="55"/>
  <c r="BC26" i="55"/>
  <c r="AL27" i="55"/>
  <c r="AM27" i="55"/>
  <c r="AN27" i="55"/>
  <c r="AO27" i="55"/>
  <c r="AP27" i="55"/>
  <c r="AQ27" i="55"/>
  <c r="AR27" i="55"/>
  <c r="AS27" i="55"/>
  <c r="AT27" i="55"/>
  <c r="AU27" i="55"/>
  <c r="AV27" i="55"/>
  <c r="AW27" i="55"/>
  <c r="AX27" i="55"/>
  <c r="AY27" i="55"/>
  <c r="AZ27" i="55"/>
  <c r="BA27" i="55"/>
  <c r="BB27" i="55"/>
  <c r="BC27" i="55"/>
  <c r="AL28" i="55"/>
  <c r="AM28" i="55"/>
  <c r="AN28" i="55"/>
  <c r="AO28" i="55"/>
  <c r="AP28" i="55"/>
  <c r="AQ28" i="55"/>
  <c r="AR28" i="55"/>
  <c r="AS28" i="55"/>
  <c r="AT28" i="55"/>
  <c r="AU28" i="55"/>
  <c r="AV28" i="55"/>
  <c r="AW28" i="55"/>
  <c r="AX28" i="55"/>
  <c r="AY28" i="55"/>
  <c r="AZ28" i="55"/>
  <c r="BA28" i="55"/>
  <c r="BB28" i="55"/>
  <c r="BC28" i="55"/>
  <c r="AL29" i="55"/>
  <c r="AM29" i="55"/>
  <c r="AN29" i="55"/>
  <c r="AO29" i="55"/>
  <c r="AP29" i="55"/>
  <c r="AQ29" i="55"/>
  <c r="AR29" i="55"/>
  <c r="AS29" i="55"/>
  <c r="AT29" i="55"/>
  <c r="AU29" i="55"/>
  <c r="AV29" i="55"/>
  <c r="AW29" i="55"/>
  <c r="AX29" i="55"/>
  <c r="AY29" i="55"/>
  <c r="AZ29" i="55"/>
  <c r="BA29" i="55"/>
  <c r="BB29" i="55"/>
  <c r="BC29" i="55"/>
  <c r="AL12" i="55"/>
  <c r="AM12" i="55"/>
  <c r="AN12" i="55"/>
  <c r="AO12" i="55"/>
  <c r="AP12" i="55"/>
  <c r="AQ12" i="55"/>
  <c r="AR12" i="55"/>
  <c r="AS12" i="55"/>
  <c r="AT12" i="55"/>
  <c r="AU12" i="55"/>
  <c r="AV12" i="55"/>
  <c r="AW12" i="55"/>
  <c r="AX12" i="55"/>
  <c r="AY12" i="55"/>
  <c r="AZ12" i="55"/>
  <c r="BA12" i="55"/>
  <c r="BB12" i="55"/>
  <c r="BC12" i="55"/>
  <c r="AL13" i="55"/>
  <c r="AM13" i="55"/>
  <c r="AN13" i="55"/>
  <c r="AO13" i="55"/>
  <c r="AP13" i="55"/>
  <c r="AQ13" i="55"/>
  <c r="AR13" i="55"/>
  <c r="AS13" i="55"/>
  <c r="AT13" i="55"/>
  <c r="AU13" i="55"/>
  <c r="AV13" i="55"/>
  <c r="AW13" i="55"/>
  <c r="AX13" i="55"/>
  <c r="AY13" i="55"/>
  <c r="AZ13" i="55"/>
  <c r="BA13" i="55"/>
  <c r="BB13" i="55"/>
  <c r="BC13" i="55"/>
  <c r="AL8" i="55"/>
  <c r="AM8" i="55"/>
  <c r="AN8" i="55"/>
  <c r="AO8" i="55"/>
  <c r="AP8" i="55"/>
  <c r="AQ8" i="55"/>
  <c r="AR8" i="55"/>
  <c r="AS8" i="55"/>
  <c r="AT8" i="55"/>
  <c r="AU8" i="55"/>
  <c r="AV8" i="55"/>
  <c r="AW8" i="55"/>
  <c r="AX8" i="55"/>
  <c r="AY8" i="55"/>
  <c r="AZ8" i="55"/>
  <c r="BA8" i="55"/>
  <c r="BB8" i="55"/>
  <c r="BC8" i="55"/>
  <c r="AL9" i="55"/>
  <c r="AM9" i="55"/>
  <c r="AN9" i="55"/>
  <c r="AO9" i="55"/>
  <c r="AP9" i="55"/>
  <c r="AQ9" i="55"/>
  <c r="AR9" i="55"/>
  <c r="AS9" i="55"/>
  <c r="AT9" i="55"/>
  <c r="AU9" i="55"/>
  <c r="AV9" i="55"/>
  <c r="AW9" i="55"/>
  <c r="AX9" i="55"/>
  <c r="AY9" i="55"/>
  <c r="AZ9" i="55"/>
  <c r="BA9" i="55"/>
  <c r="BB9" i="55"/>
  <c r="BC9" i="55"/>
  <c r="F122" i="102"/>
  <c r="W162" i="42"/>
  <c r="W161" i="42"/>
  <c r="W160" i="42"/>
  <c r="W159" i="42"/>
  <c r="W158" i="42"/>
  <c r="W157" i="42"/>
  <c r="W156" i="42"/>
  <c r="W155" i="42"/>
  <c r="W154" i="42"/>
  <c r="W153" i="42"/>
  <c r="W152" i="42"/>
  <c r="W151" i="42"/>
  <c r="W150" i="42"/>
  <c r="W149" i="42"/>
  <c r="W148" i="42"/>
  <c r="W147" i="42"/>
  <c r="W146" i="42"/>
  <c r="W145" i="42"/>
  <c r="W144" i="42"/>
  <c r="W143" i="42"/>
  <c r="W142" i="42"/>
  <c r="V162" i="42"/>
  <c r="V161" i="42"/>
  <c r="V160" i="42"/>
  <c r="V159" i="42"/>
  <c r="V158" i="42"/>
  <c r="V157" i="42"/>
  <c r="V156" i="42"/>
  <c r="V155" i="42"/>
  <c r="V154" i="42"/>
  <c r="V153" i="42"/>
  <c r="V152" i="42"/>
  <c r="V151" i="42"/>
  <c r="V150" i="42"/>
  <c r="V149" i="42"/>
  <c r="V148" i="42"/>
  <c r="V147" i="42"/>
  <c r="V146" i="42"/>
  <c r="V145" i="42"/>
  <c r="V144" i="42"/>
  <c r="V143" i="42"/>
  <c r="V142" i="42"/>
  <c r="U162" i="42"/>
  <c r="U161" i="42"/>
  <c r="U160" i="42"/>
  <c r="U159" i="42"/>
  <c r="U158" i="42"/>
  <c r="U157" i="42"/>
  <c r="U156" i="42"/>
  <c r="U155" i="42"/>
  <c r="U154" i="42"/>
  <c r="U153" i="42"/>
  <c r="U152" i="42"/>
  <c r="U151" i="42"/>
  <c r="U150" i="42"/>
  <c r="U149" i="42"/>
  <c r="U148" i="42"/>
  <c r="U147" i="42"/>
  <c r="U146" i="42"/>
  <c r="U145" i="42"/>
  <c r="U144" i="42"/>
  <c r="U143" i="42"/>
  <c r="U142" i="42"/>
  <c r="T162" i="42"/>
  <c r="T161" i="42"/>
  <c r="T160" i="42"/>
  <c r="T159" i="42"/>
  <c r="T158" i="42"/>
  <c r="T157" i="42"/>
  <c r="T156" i="42"/>
  <c r="T155" i="42"/>
  <c r="T154" i="42"/>
  <c r="T153" i="42"/>
  <c r="T152" i="42"/>
  <c r="T151" i="42"/>
  <c r="T150" i="42"/>
  <c r="T149" i="42"/>
  <c r="T148" i="42"/>
  <c r="T147" i="42"/>
  <c r="T146" i="42"/>
  <c r="T145" i="42"/>
  <c r="T144" i="42"/>
  <c r="T143" i="42"/>
  <c r="T142" i="42"/>
  <c r="S162" i="42"/>
  <c r="S161" i="42"/>
  <c r="S160" i="42"/>
  <c r="S159" i="42"/>
  <c r="S158" i="42"/>
  <c r="S157" i="42"/>
  <c r="S156" i="42"/>
  <c r="S155" i="42"/>
  <c r="S154" i="42"/>
  <c r="S153" i="42"/>
  <c r="S152" i="42"/>
  <c r="S151" i="42"/>
  <c r="S150" i="42"/>
  <c r="S149" i="42"/>
  <c r="S148" i="42"/>
  <c r="S147" i="42"/>
  <c r="S146" i="42"/>
  <c r="S145" i="42"/>
  <c r="S144" i="42"/>
  <c r="S143" i="42"/>
  <c r="S142" i="42"/>
  <c r="R162" i="42"/>
  <c r="R161" i="42"/>
  <c r="R160" i="42"/>
  <c r="R159" i="42"/>
  <c r="R158" i="42"/>
  <c r="R157" i="42"/>
  <c r="R156" i="42"/>
  <c r="R155" i="42"/>
  <c r="R154" i="42"/>
  <c r="R153" i="42"/>
  <c r="R152" i="42"/>
  <c r="R151" i="42"/>
  <c r="R150" i="42"/>
  <c r="R149" i="42"/>
  <c r="R148" i="42"/>
  <c r="R147" i="42"/>
  <c r="R146" i="42"/>
  <c r="R145" i="42"/>
  <c r="R144" i="42"/>
  <c r="R143" i="42"/>
  <c r="R142" i="42"/>
  <c r="N162" i="42"/>
  <c r="N161" i="42"/>
  <c r="N160" i="42"/>
  <c r="N159" i="42"/>
  <c r="N158" i="42"/>
  <c r="N157" i="42"/>
  <c r="N156" i="42"/>
  <c r="N155" i="42"/>
  <c r="N154" i="42"/>
  <c r="N153" i="42"/>
  <c r="N152" i="42"/>
  <c r="N151" i="42"/>
  <c r="N150" i="42"/>
  <c r="N149" i="42"/>
  <c r="N148" i="42"/>
  <c r="N147" i="42"/>
  <c r="N146" i="42"/>
  <c r="N145" i="42"/>
  <c r="N144" i="42"/>
  <c r="N143" i="42"/>
  <c r="N142" i="42"/>
  <c r="M162" i="42"/>
  <c r="M161" i="42"/>
  <c r="M160" i="42"/>
  <c r="M159" i="42"/>
  <c r="M158" i="42"/>
  <c r="M157" i="42"/>
  <c r="M156" i="42"/>
  <c r="M155" i="42"/>
  <c r="M154" i="42"/>
  <c r="M153" i="42"/>
  <c r="M152" i="42"/>
  <c r="M151" i="42"/>
  <c r="M150" i="42"/>
  <c r="M149" i="42"/>
  <c r="M148" i="42"/>
  <c r="M147" i="42"/>
  <c r="M146" i="42"/>
  <c r="M145" i="42"/>
  <c r="M144" i="42"/>
  <c r="M143" i="42"/>
  <c r="M142" i="42"/>
  <c r="L162" i="42"/>
  <c r="L161" i="42"/>
  <c r="L160" i="42"/>
  <c r="L159" i="42"/>
  <c r="L158" i="42"/>
  <c r="L157" i="42"/>
  <c r="L156" i="42"/>
  <c r="L155" i="42"/>
  <c r="L154" i="42"/>
  <c r="L153" i="42"/>
  <c r="L152" i="42"/>
  <c r="L151" i="42"/>
  <c r="L150" i="42"/>
  <c r="L149" i="42"/>
  <c r="L148" i="42"/>
  <c r="L147" i="42"/>
  <c r="L146" i="42"/>
  <c r="L145" i="42"/>
  <c r="L144" i="42"/>
  <c r="L143" i="42"/>
  <c r="L142" i="42"/>
  <c r="G41" i="20"/>
  <c r="F90" i="108"/>
  <c r="Q71" i="108"/>
  <c r="Q76" i="108"/>
  <c r="Q83" i="108"/>
  <c r="Q92" i="108"/>
  <c r="G78" i="108"/>
  <c r="G81" i="108"/>
  <c r="G83" i="108"/>
  <c r="G77" i="108"/>
  <c r="M112" i="47"/>
  <c r="B7" i="55"/>
  <c r="F625" i="102"/>
  <c r="F627" i="102"/>
  <c r="F626" i="102"/>
  <c r="F617" i="102"/>
  <c r="F624" i="102"/>
  <c r="F622" i="102"/>
  <c r="F520" i="102"/>
  <c r="F519" i="102"/>
  <c r="F619" i="102"/>
  <c r="F618" i="102"/>
  <c r="F576" i="102"/>
  <c r="F575" i="102"/>
  <c r="F616" i="102"/>
  <c r="F577" i="102"/>
  <c r="F565" i="102"/>
  <c r="F574" i="102"/>
  <c r="F495" i="102"/>
  <c r="F566" i="102"/>
  <c r="F564" i="102"/>
  <c r="F500" i="102"/>
  <c r="F499" i="102"/>
  <c r="F440" i="102"/>
  <c r="F439" i="102"/>
  <c r="F438" i="102"/>
  <c r="F359" i="102"/>
  <c r="F358" i="102"/>
  <c r="F357" i="102"/>
  <c r="F349" i="102"/>
  <c r="F347" i="102"/>
  <c r="F345" i="102"/>
  <c r="F333" i="102"/>
  <c r="F423" i="102"/>
  <c r="F422" i="102"/>
  <c r="F421" i="102"/>
  <c r="F416" i="102"/>
  <c r="F411" i="102"/>
  <c r="F410" i="102"/>
  <c r="F409" i="102"/>
  <c r="F398" i="102"/>
  <c r="F397" i="102"/>
  <c r="F396" i="102"/>
  <c r="F381" i="102"/>
  <c r="F380" i="102"/>
  <c r="F379" i="102"/>
  <c r="F431" i="102"/>
  <c r="F430" i="102"/>
  <c r="F429" i="102"/>
  <c r="F558" i="102"/>
  <c r="F557" i="102"/>
  <c r="F556" i="102"/>
  <c r="F338" i="102"/>
  <c r="F337" i="102"/>
  <c r="F336" i="102"/>
  <c r="F541" i="102"/>
  <c r="F540" i="102"/>
  <c r="F539" i="102"/>
  <c r="F514" i="102"/>
  <c r="F510" i="102"/>
  <c r="F506" i="102"/>
  <c r="O18" i="65" l="1"/>
  <c r="F593" i="102" s="1"/>
  <c r="O21" i="65"/>
  <c r="F599" i="102" s="1"/>
  <c r="O19" i="65"/>
  <c r="F595" i="102" s="1"/>
  <c r="F16" i="111"/>
  <c r="L186" i="42" l="1"/>
  <c r="O17" i="65"/>
  <c r="F591" i="102" s="1"/>
  <c r="O16" i="65"/>
  <c r="F589" i="102" s="1"/>
  <c r="O15" i="65"/>
  <c r="F587" i="102" s="1"/>
  <c r="C248" i="57"/>
  <c r="F569" i="102" s="1"/>
  <c r="F12" i="102"/>
  <c r="T34" i="108"/>
  <c r="D63" i="49"/>
  <c r="G162" i="42"/>
  <c r="AV19" i="111"/>
  <c r="AV20" i="111"/>
  <c r="AV21" i="111"/>
  <c r="AV22" i="111"/>
  <c r="AV23" i="111"/>
  <c r="AV24" i="111"/>
  <c r="AV25" i="111"/>
  <c r="AV26" i="111"/>
  <c r="AV27" i="111"/>
  <c r="AV28" i="111"/>
  <c r="AV29" i="111"/>
  <c r="AV30" i="111"/>
  <c r="AV31" i="111"/>
  <c r="AV32" i="111"/>
  <c r="AV33" i="111"/>
  <c r="AV34" i="111"/>
  <c r="AV35" i="111"/>
  <c r="AV36" i="111"/>
  <c r="AV37" i="111"/>
  <c r="AV38" i="111"/>
  <c r="AV39" i="111"/>
  <c r="AV40" i="111"/>
  <c r="AV41" i="111"/>
  <c r="AV42" i="111"/>
  <c r="AV43" i="111"/>
  <c r="AV44" i="111"/>
  <c r="AV45" i="111"/>
  <c r="AV46" i="111"/>
  <c r="AV47" i="111"/>
  <c r="AV48" i="111"/>
  <c r="AV49" i="111"/>
  <c r="AV50" i="111"/>
  <c r="AV51" i="111"/>
  <c r="AV52" i="111"/>
  <c r="AV53" i="111"/>
  <c r="AV54" i="111"/>
  <c r="AV55" i="111"/>
  <c r="AV56" i="111"/>
  <c r="AV57" i="111"/>
  <c r="AV58" i="111"/>
  <c r="AV59" i="111"/>
  <c r="AV60" i="111"/>
  <c r="AV61" i="111"/>
  <c r="AV62" i="111"/>
  <c r="AV63" i="111"/>
  <c r="AV64" i="111"/>
  <c r="AV65" i="111"/>
  <c r="AV66" i="111"/>
  <c r="AV67" i="111"/>
  <c r="AV68" i="111"/>
  <c r="AV69" i="111"/>
  <c r="AV70" i="111"/>
  <c r="AV71" i="111"/>
  <c r="AV72" i="111"/>
  <c r="AV73" i="111"/>
  <c r="AV74" i="111"/>
  <c r="AV75" i="111"/>
  <c r="AV76" i="111"/>
  <c r="AV77" i="111"/>
  <c r="AV78" i="111"/>
  <c r="AV79" i="111"/>
  <c r="AV80" i="111"/>
  <c r="AV81" i="111"/>
  <c r="AV82" i="111"/>
  <c r="AV83" i="111"/>
  <c r="AV84" i="111"/>
  <c r="AV85" i="111"/>
  <c r="AV86" i="111"/>
  <c r="AV87" i="111"/>
  <c r="AV88" i="111"/>
  <c r="AV89" i="111"/>
  <c r="AV90" i="111"/>
  <c r="AV91" i="111"/>
  <c r="AV92" i="111"/>
  <c r="AV93" i="111"/>
  <c r="AV94" i="111"/>
  <c r="AV95" i="111"/>
  <c r="AV96" i="111"/>
  <c r="AV97" i="111"/>
  <c r="AV98" i="111"/>
  <c r="AV99" i="111"/>
  <c r="AV100" i="111"/>
  <c r="AV101" i="111"/>
  <c r="AV102" i="111"/>
  <c r="AV103" i="111"/>
  <c r="AV104" i="111"/>
  <c r="AV105" i="111"/>
  <c r="AV106" i="111"/>
  <c r="AV107" i="111"/>
  <c r="AV108" i="111"/>
  <c r="AV109" i="111"/>
  <c r="AV110" i="111"/>
  <c r="AV111" i="111"/>
  <c r="AV112" i="111"/>
  <c r="AV113" i="111"/>
  <c r="AV114" i="111"/>
  <c r="AV115" i="111"/>
  <c r="AV18" i="111"/>
  <c r="AV17" i="111"/>
  <c r="AV16" i="111"/>
  <c r="D9" i="111" l="1"/>
  <c r="H162" i="42" l="1"/>
  <c r="H161" i="42"/>
  <c r="H160" i="42"/>
  <c r="H148" i="42"/>
  <c r="H147" i="42"/>
  <c r="H146" i="42"/>
  <c r="H145" i="42"/>
  <c r="H144" i="42"/>
  <c r="H143" i="42"/>
  <c r="H142" i="42"/>
  <c r="H141" i="42"/>
  <c r="H140" i="42"/>
  <c r="H139" i="42"/>
  <c r="H138" i="42"/>
  <c r="H134" i="42"/>
  <c r="H133" i="42"/>
  <c r="G161" i="42"/>
  <c r="G160" i="42"/>
  <c r="G148" i="42"/>
  <c r="G147" i="42"/>
  <c r="G146" i="42"/>
  <c r="G145" i="42"/>
  <c r="G144" i="42"/>
  <c r="G143" i="42"/>
  <c r="G142" i="42"/>
  <c r="G141" i="42"/>
  <c r="G140" i="42"/>
  <c r="G139" i="42"/>
  <c r="G138" i="42"/>
  <c r="G134" i="42"/>
  <c r="G133" i="42"/>
  <c r="C144" i="42"/>
  <c r="C162" i="42"/>
  <c r="C161" i="42"/>
  <c r="C160" i="42"/>
  <c r="C159" i="42"/>
  <c r="C158" i="42"/>
  <c r="C157" i="42"/>
  <c r="C156" i="42"/>
  <c r="C155" i="42"/>
  <c r="C154" i="42"/>
  <c r="C153" i="42"/>
  <c r="C152" i="42"/>
  <c r="C151" i="42"/>
  <c r="C150" i="42"/>
  <c r="C149" i="42"/>
  <c r="C148" i="42"/>
  <c r="E148" i="42" s="1"/>
  <c r="C147" i="42"/>
  <c r="E147" i="42" s="1"/>
  <c r="C146" i="42"/>
  <c r="E146" i="42" s="1"/>
  <c r="C143" i="42"/>
  <c r="C137" i="42"/>
  <c r="C136" i="42"/>
  <c r="C135" i="42"/>
  <c r="C115" i="42"/>
  <c r="C114" i="42"/>
  <c r="C109" i="42"/>
  <c r="C108" i="42"/>
  <c r="C107" i="42"/>
  <c r="C106" i="42"/>
  <c r="C134" i="42" s="1"/>
  <c r="F134" i="102"/>
  <c r="F133" i="102"/>
  <c r="C133" i="42" s="1"/>
  <c r="C130" i="42"/>
  <c r="C129" i="42"/>
  <c r="C145" i="42" s="1"/>
  <c r="C128" i="42"/>
  <c r="C127" i="42"/>
  <c r="C142" i="42" s="1"/>
  <c r="C126" i="42"/>
  <c r="C141" i="42" s="1"/>
  <c r="C125" i="42"/>
  <c r="C124" i="42"/>
  <c r="C140" i="42" s="1"/>
  <c r="C123" i="42"/>
  <c r="C122" i="42"/>
  <c r="C139" i="42" s="1"/>
  <c r="C121" i="42"/>
  <c r="C120" i="42"/>
  <c r="C138" i="42" s="1"/>
  <c r="C601" i="42"/>
  <c r="AC328" i="42" l="1"/>
  <c r="E327" i="42"/>
  <c r="S141" i="42" l="1"/>
  <c r="T141" i="42"/>
  <c r="L141" i="42"/>
  <c r="L139" i="42"/>
  <c r="L140" i="42"/>
  <c r="T139" i="42"/>
  <c r="T140" i="42"/>
  <c r="S139" i="42"/>
  <c r="S140" i="42"/>
  <c r="S137" i="42"/>
  <c r="S138" i="42"/>
  <c r="L137" i="42"/>
  <c r="L138" i="42"/>
  <c r="T137" i="42"/>
  <c r="T138" i="42"/>
  <c r="S135" i="42"/>
  <c r="S136" i="42"/>
  <c r="L135" i="42"/>
  <c r="L136" i="42"/>
  <c r="T135" i="42"/>
  <c r="T136" i="42"/>
  <c r="S133" i="42"/>
  <c r="S134" i="42"/>
  <c r="L133" i="42"/>
  <c r="L134" i="42"/>
  <c r="T133" i="42"/>
  <c r="T134" i="42"/>
  <c r="F515" i="102"/>
  <c r="F505" i="102"/>
  <c r="F509" i="102"/>
  <c r="F513" i="102"/>
  <c r="F511" i="102"/>
  <c r="F507" i="102"/>
  <c r="F482" i="102"/>
  <c r="F480" i="102"/>
  <c r="F478" i="102"/>
  <c r="F472" i="102"/>
  <c r="F466" i="102"/>
  <c r="F448" i="102"/>
  <c r="F442" i="102"/>
  <c r="F492" i="102"/>
  <c r="F464" i="102"/>
  <c r="S20" i="68"/>
  <c r="C20" i="68" s="1"/>
  <c r="E74" i="46" l="1"/>
  <c r="E24" i="46"/>
  <c r="E40" i="46"/>
  <c r="H34" i="103"/>
  <c r="H33" i="103"/>
  <c r="E45" i="108" l="1"/>
  <c r="R132" i="57" l="1"/>
  <c r="F468" i="102" l="1"/>
  <c r="F462" i="102"/>
  <c r="F460" i="102"/>
  <c r="F458" i="102"/>
  <c r="F456" i="102"/>
  <c r="F454" i="102"/>
  <c r="G22" i="65" l="1"/>
  <c r="F586" i="102" s="1"/>
  <c r="G15" i="65"/>
  <c r="F581" i="102" s="1"/>
  <c r="J50" i="68" l="1"/>
  <c r="O15" i="45"/>
  <c r="G31" i="105"/>
  <c r="W12" i="46" a="1"/>
  <c r="W12" i="46" s="1"/>
  <c r="V12" i="46"/>
  <c r="V25" i="46"/>
  <c r="S28" i="45"/>
  <c r="S27" i="45"/>
  <c r="S29" i="45"/>
  <c r="Q95" i="108"/>
  <c r="M60" i="109"/>
  <c r="U60" i="109"/>
  <c r="S64" i="109"/>
  <c r="T61" i="109"/>
  <c r="T60" i="109"/>
  <c r="S61" i="109"/>
  <c r="U61" i="109" s="1"/>
  <c r="S60" i="109"/>
  <c r="S57" i="109"/>
  <c r="S55" i="109"/>
  <c r="S53" i="109"/>
  <c r="S51" i="109"/>
  <c r="S50" i="109"/>
  <c r="S49" i="109"/>
  <c r="S48" i="109"/>
  <c r="S47" i="109"/>
  <c r="S46" i="109"/>
  <c r="S45" i="109"/>
  <c r="N17" i="46" l="1"/>
  <c r="N16" i="46"/>
  <c r="K49" i="47"/>
  <c r="V60" i="109" l="1"/>
  <c r="AN122" i="49" l="1"/>
  <c r="AN127" i="49"/>
  <c r="AN132" i="49"/>
  <c r="AP132" i="49"/>
  <c r="BF133" i="49"/>
  <c r="BF132" i="49"/>
  <c r="BF131" i="49"/>
  <c r="BF130" i="49"/>
  <c r="BF129" i="49"/>
  <c r="AQ132" i="49"/>
  <c r="AO131" i="49"/>
  <c r="BB123" i="49"/>
  <c r="BB122" i="49"/>
  <c r="BB121" i="49"/>
  <c r="AX130" i="49"/>
  <c r="AX131" i="49"/>
  <c r="AX132" i="49"/>
  <c r="AT133" i="49"/>
  <c r="AT132" i="49"/>
  <c r="AT131" i="49"/>
  <c r="AT130" i="49"/>
  <c r="AT129" i="49"/>
  <c r="AT128" i="49"/>
  <c r="AT127" i="49"/>
  <c r="AT126" i="49"/>
  <c r="AT125" i="49"/>
  <c r="AS133" i="49"/>
  <c r="AS132" i="49"/>
  <c r="AS131" i="49"/>
  <c r="AO121" i="49"/>
  <c r="F138" i="105" l="1"/>
  <c r="G46" i="108" l="1"/>
  <c r="T27" i="108"/>
  <c r="T26" i="108"/>
  <c r="T25" i="108"/>
  <c r="L88" i="108"/>
  <c r="L87" i="108"/>
  <c r="L86" i="108"/>
  <c r="L85" i="108"/>
  <c r="P43" i="103" l="1"/>
  <c r="P26" i="103"/>
  <c r="D135" i="49" l="1"/>
  <c r="AT124" i="49"/>
  <c r="AQ127" i="49" l="1"/>
  <c r="BX120" i="49"/>
  <c r="AO126" i="49"/>
  <c r="BY121" i="49" l="1"/>
  <c r="BY120" i="49"/>
  <c r="D125" i="49"/>
  <c r="F125" i="49"/>
  <c r="G125" i="49"/>
  <c r="H125" i="49"/>
  <c r="I125" i="49"/>
  <c r="J125" i="49"/>
  <c r="K125" i="49"/>
  <c r="L125" i="49"/>
  <c r="M125" i="49"/>
  <c r="N125" i="49"/>
  <c r="O125" i="49"/>
  <c r="P125" i="49"/>
  <c r="Q125" i="49"/>
  <c r="R125" i="49"/>
  <c r="S125" i="49"/>
  <c r="T125" i="49"/>
  <c r="U125" i="49"/>
  <c r="V125" i="49"/>
  <c r="W125" i="49"/>
  <c r="X125" i="49"/>
  <c r="Y125" i="49"/>
  <c r="Z125" i="49"/>
  <c r="AA125" i="49"/>
  <c r="AB125" i="49"/>
  <c r="AC125" i="49"/>
  <c r="AD125" i="49"/>
  <c r="AE125" i="49"/>
  <c r="AF125" i="49"/>
  <c r="AG125" i="49"/>
  <c r="AH125" i="49"/>
  <c r="AI125" i="49"/>
  <c r="AJ125" i="49"/>
  <c r="AK125" i="49"/>
  <c r="AL125" i="49"/>
  <c r="E125" i="49"/>
  <c r="AI126" i="49"/>
  <c r="D130" i="49" l="1"/>
  <c r="E130" i="49"/>
  <c r="F130" i="49"/>
  <c r="G130" i="49"/>
  <c r="H130" i="49"/>
  <c r="I130" i="49"/>
  <c r="J130" i="49"/>
  <c r="K130" i="49"/>
  <c r="L130" i="49"/>
  <c r="M130" i="49"/>
  <c r="N130" i="49"/>
  <c r="O130" i="49"/>
  <c r="P130" i="49"/>
  <c r="Q130" i="49"/>
  <c r="R130" i="49"/>
  <c r="S130" i="49"/>
  <c r="T130" i="49"/>
  <c r="U130" i="49"/>
  <c r="V130" i="49"/>
  <c r="W130" i="49"/>
  <c r="X130" i="49"/>
  <c r="Y130" i="49"/>
  <c r="Z130" i="49"/>
  <c r="AA130" i="49"/>
  <c r="AB130" i="49"/>
  <c r="AC130" i="49"/>
  <c r="AD130" i="49"/>
  <c r="AE130" i="49"/>
  <c r="AF130" i="49"/>
  <c r="AG130" i="49"/>
  <c r="AH130" i="49"/>
  <c r="AI130" i="49"/>
  <c r="AJ130" i="49"/>
  <c r="AK130" i="49"/>
  <c r="AL130" i="49"/>
  <c r="AS130" i="49"/>
  <c r="E135" i="49"/>
  <c r="F135" i="49"/>
  <c r="G135" i="49"/>
  <c r="H135" i="49"/>
  <c r="I135" i="49"/>
  <c r="J135" i="49"/>
  <c r="K135" i="49"/>
  <c r="L135" i="49"/>
  <c r="M135" i="49"/>
  <c r="N135" i="49"/>
  <c r="O135" i="49"/>
  <c r="P135" i="49"/>
  <c r="Q135" i="49"/>
  <c r="R135" i="49"/>
  <c r="S135" i="49"/>
  <c r="T135" i="49"/>
  <c r="U135" i="49"/>
  <c r="V135" i="49"/>
  <c r="W135" i="49"/>
  <c r="X135" i="49"/>
  <c r="Y135" i="49"/>
  <c r="Z135" i="49"/>
  <c r="AA135" i="49"/>
  <c r="AB135" i="49"/>
  <c r="AC135" i="49"/>
  <c r="AD135" i="49"/>
  <c r="AE135" i="49"/>
  <c r="AF135" i="49"/>
  <c r="AG135" i="49"/>
  <c r="AH135" i="49"/>
  <c r="AI135" i="49"/>
  <c r="AJ135" i="49"/>
  <c r="AK135" i="49"/>
  <c r="AL135" i="49"/>
  <c r="D137" i="49"/>
  <c r="AN137" i="49"/>
  <c r="AO137" i="49" s="1"/>
  <c r="E138" i="49"/>
  <c r="F138" i="49"/>
  <c r="G138" i="49"/>
  <c r="H138" i="49"/>
  <c r="I138" i="49"/>
  <c r="J138" i="49"/>
  <c r="K138" i="49"/>
  <c r="L138" i="49"/>
  <c r="M138" i="49"/>
  <c r="N138" i="49"/>
  <c r="O138" i="49"/>
  <c r="P138" i="49"/>
  <c r="Q138" i="49"/>
  <c r="R138" i="49"/>
  <c r="S138" i="49"/>
  <c r="T138" i="49"/>
  <c r="U138" i="49"/>
  <c r="V138" i="49"/>
  <c r="W138" i="49"/>
  <c r="X138" i="49"/>
  <c r="Y138" i="49"/>
  <c r="Z138" i="49"/>
  <c r="AA138" i="49"/>
  <c r="AB138" i="49"/>
  <c r="AC138" i="49"/>
  <c r="AD138" i="49"/>
  <c r="AE138" i="49"/>
  <c r="AF138" i="49"/>
  <c r="AG138" i="49"/>
  <c r="AH138" i="49"/>
  <c r="AI138" i="49"/>
  <c r="AJ138" i="49"/>
  <c r="AK138" i="49"/>
  <c r="AL138" i="49"/>
  <c r="D140" i="49"/>
  <c r="E140" i="49"/>
  <c r="F140" i="49"/>
  <c r="G140" i="49"/>
  <c r="H140" i="49"/>
  <c r="I140" i="49"/>
  <c r="J140" i="49"/>
  <c r="K140" i="49"/>
  <c r="L140" i="49"/>
  <c r="M140" i="49"/>
  <c r="N140" i="49"/>
  <c r="O140" i="49"/>
  <c r="P140" i="49"/>
  <c r="Q140" i="49"/>
  <c r="R140" i="49"/>
  <c r="S140" i="49"/>
  <c r="T140" i="49"/>
  <c r="U140" i="49"/>
  <c r="V140" i="49"/>
  <c r="W140" i="49"/>
  <c r="X140" i="49"/>
  <c r="Y140" i="49"/>
  <c r="Z140" i="49"/>
  <c r="AA140" i="49"/>
  <c r="AB140" i="49"/>
  <c r="AC140" i="49"/>
  <c r="AD140" i="49"/>
  <c r="AE140" i="49"/>
  <c r="AF140" i="49"/>
  <c r="AG140" i="49"/>
  <c r="AH140" i="49"/>
  <c r="AI140" i="49"/>
  <c r="AJ140" i="49"/>
  <c r="AK140" i="49"/>
  <c r="AL140" i="49"/>
  <c r="D142" i="49"/>
  <c r="AN142" i="49"/>
  <c r="AO142" i="49" s="1"/>
  <c r="E143" i="49"/>
  <c r="F143" i="49"/>
  <c r="G143" i="49"/>
  <c r="H143" i="49"/>
  <c r="I143" i="49"/>
  <c r="J143" i="49"/>
  <c r="K143" i="49"/>
  <c r="L143" i="49"/>
  <c r="M143" i="49"/>
  <c r="N143" i="49"/>
  <c r="O143" i="49"/>
  <c r="P143" i="49"/>
  <c r="Q143" i="49"/>
  <c r="R143" i="49"/>
  <c r="S143" i="49"/>
  <c r="T143" i="49"/>
  <c r="U143" i="49"/>
  <c r="V143" i="49"/>
  <c r="W143" i="49"/>
  <c r="X143" i="49"/>
  <c r="Y143" i="49"/>
  <c r="Z143" i="49"/>
  <c r="AA143" i="49"/>
  <c r="AB143" i="49"/>
  <c r="AC143" i="49"/>
  <c r="AD143" i="49"/>
  <c r="AE143" i="49"/>
  <c r="AF143" i="49"/>
  <c r="AG143" i="49"/>
  <c r="AH143" i="49"/>
  <c r="AI143" i="49"/>
  <c r="AJ143" i="49"/>
  <c r="AK143" i="49"/>
  <c r="AL143" i="49"/>
  <c r="AN151" i="49"/>
  <c r="AO151" i="49" s="1"/>
  <c r="E155" i="49"/>
  <c r="F155" i="49" s="1"/>
  <c r="G155" i="49" s="1"/>
  <c r="H155" i="49" s="1"/>
  <c r="I155" i="49" s="1"/>
  <c r="J155" i="49" s="1"/>
  <c r="K155" i="49" s="1"/>
  <c r="L155" i="49" s="1"/>
  <c r="M155" i="49" s="1"/>
  <c r="N155" i="49" s="1"/>
  <c r="O155" i="49" s="1"/>
  <c r="P155" i="49" s="1"/>
  <c r="Q155" i="49" s="1"/>
  <c r="R155" i="49" s="1"/>
  <c r="S155" i="49" s="1"/>
  <c r="T155" i="49" s="1"/>
  <c r="U155" i="49" s="1"/>
  <c r="V155" i="49" s="1"/>
  <c r="W155" i="49" s="1"/>
  <c r="X155" i="49" s="1"/>
  <c r="Y155" i="49" s="1"/>
  <c r="Z155" i="49" s="1"/>
  <c r="AA155" i="49" s="1"/>
  <c r="AB155" i="49" s="1"/>
  <c r="AC155" i="49" s="1"/>
  <c r="AD155" i="49" s="1"/>
  <c r="AE155" i="49" s="1"/>
  <c r="AF155" i="49" s="1"/>
  <c r="AG155" i="49" s="1"/>
  <c r="AH155" i="49" s="1"/>
  <c r="AI155" i="49" s="1"/>
  <c r="AJ155" i="49" s="1"/>
  <c r="AK155" i="49" s="1"/>
  <c r="AL155" i="49" s="1"/>
  <c r="E161" i="49"/>
  <c r="F161" i="49" s="1"/>
  <c r="G161" i="49" s="1"/>
  <c r="H161" i="49" s="1"/>
  <c r="I161" i="49" s="1"/>
  <c r="J161" i="49" s="1"/>
  <c r="K161" i="49" s="1"/>
  <c r="L161" i="49" s="1"/>
  <c r="M161" i="49" s="1"/>
  <c r="N161" i="49" s="1"/>
  <c r="O161" i="49" s="1"/>
  <c r="P161" i="49" s="1"/>
  <c r="Q161" i="49" s="1"/>
  <c r="R161" i="49" s="1"/>
  <c r="S161" i="49" s="1"/>
  <c r="T161" i="49" s="1"/>
  <c r="U161" i="49" s="1"/>
  <c r="V161" i="49" s="1"/>
  <c r="W161" i="49" s="1"/>
  <c r="X161" i="49" s="1"/>
  <c r="Y161" i="49" s="1"/>
  <c r="Z161" i="49" s="1"/>
  <c r="AA161" i="49" s="1"/>
  <c r="AB161" i="49" s="1"/>
  <c r="AC161" i="49" s="1"/>
  <c r="AD161" i="49" s="1"/>
  <c r="AE161" i="49" s="1"/>
  <c r="AF161" i="49" s="1"/>
  <c r="AG161" i="49" s="1"/>
  <c r="AH161" i="49" s="1"/>
  <c r="AI161" i="49" s="1"/>
  <c r="AJ161" i="49" s="1"/>
  <c r="AK161" i="49" s="1"/>
  <c r="AL161" i="49" s="1"/>
  <c r="AS129" i="49"/>
  <c r="AX129" i="49"/>
  <c r="AQ122" i="49"/>
  <c r="BR120" i="49"/>
  <c r="BL120" i="49"/>
  <c r="BS120" i="49" l="1"/>
  <c r="BS121" i="49"/>
  <c r="C49" i="68" l="1"/>
  <c r="S14" i="68"/>
  <c r="G16" i="47" l="1"/>
  <c r="W13" i="46" a="1"/>
  <c r="W13" i="46" s="1"/>
  <c r="W14" i="46" a="1"/>
  <c r="W14" i="46" s="1"/>
  <c r="W15" i="46" a="1"/>
  <c r="W15" i="46" s="1"/>
  <c r="W16" i="46" a="1"/>
  <c r="W16" i="46" s="1"/>
  <c r="W17" i="46" a="1"/>
  <c r="W17" i="46" s="1"/>
  <c r="W18" i="46" a="1"/>
  <c r="W18" i="46" s="1"/>
  <c r="W19" i="46" a="1"/>
  <c r="W19" i="46" s="1"/>
  <c r="W20" i="46" a="1"/>
  <c r="W20" i="46" s="1"/>
  <c r="W21" i="46" a="1"/>
  <c r="W21" i="46" s="1"/>
  <c r="W22" i="46" a="1"/>
  <c r="W22" i="46" s="1"/>
  <c r="W23" i="46" a="1"/>
  <c r="W23" i="46" s="1"/>
  <c r="V13" i="46"/>
  <c r="V14" i="46"/>
  <c r="V15" i="46"/>
  <c r="V16" i="46"/>
  <c r="V17" i="46"/>
  <c r="V18" i="46"/>
  <c r="V19" i="46"/>
  <c r="V20" i="46"/>
  <c r="V21" i="46"/>
  <c r="V22" i="46"/>
  <c r="V23" i="46"/>
  <c r="AT123" i="49"/>
  <c r="D120" i="49"/>
  <c r="AH120" i="49"/>
  <c r="AT121" i="49"/>
  <c r="AT122" i="49"/>
  <c r="BM120" i="49"/>
  <c r="BB126" i="49"/>
  <c r="BF128" i="49"/>
  <c r="BF127" i="49"/>
  <c r="BF126" i="49"/>
  <c r="BF125" i="49"/>
  <c r="BF124" i="49"/>
  <c r="BF123" i="49"/>
  <c r="AP127" i="49" s="1"/>
  <c r="BF122" i="49"/>
  <c r="AP122" i="49" s="1"/>
  <c r="BF121" i="49"/>
  <c r="C42" i="90"/>
  <c r="M19" i="45"/>
  <c r="P48" i="103"/>
  <c r="S12" i="68"/>
  <c r="S13" i="68" s="1"/>
  <c r="B12" i="68" s="1"/>
  <c r="C17" i="68" l="1"/>
  <c r="C28" i="68"/>
  <c r="BM121" i="49"/>
  <c r="C129" i="68"/>
  <c r="C52" i="68" l="1"/>
  <c r="F170" i="102"/>
  <c r="I179" i="42"/>
  <c r="L22" i="13"/>
  <c r="L21" i="13"/>
  <c r="L20" i="13"/>
  <c r="I178" i="42" l="1"/>
  <c r="E89" i="49" l="1"/>
  <c r="F89" i="49" s="1"/>
  <c r="G89" i="49" s="1"/>
  <c r="H89" i="49" s="1"/>
  <c r="I89" i="49" s="1"/>
  <c r="J89" i="49" s="1"/>
  <c r="K89" i="49" s="1"/>
  <c r="L89" i="49" s="1"/>
  <c r="M89" i="49" s="1"/>
  <c r="N89" i="49" s="1"/>
  <c r="O89" i="49" s="1"/>
  <c r="P89" i="49" s="1"/>
  <c r="Q89" i="49" s="1"/>
  <c r="R89" i="49" s="1"/>
  <c r="S89" i="49" s="1"/>
  <c r="T89" i="49" s="1"/>
  <c r="U89" i="49" s="1"/>
  <c r="V89" i="49" s="1"/>
  <c r="W89" i="49" s="1"/>
  <c r="X89" i="49" s="1"/>
  <c r="Y89" i="49" s="1"/>
  <c r="Z89" i="49" s="1"/>
  <c r="AA89" i="49" s="1"/>
  <c r="AB89" i="49" s="1"/>
  <c r="AC89" i="49" s="1"/>
  <c r="AD89" i="49" s="1"/>
  <c r="AE89" i="49" s="1"/>
  <c r="AF89" i="49" s="1"/>
  <c r="AG89" i="49" s="1"/>
  <c r="AH89" i="49" s="1"/>
  <c r="AI89" i="49" s="1"/>
  <c r="AJ89" i="49" s="1"/>
  <c r="AK89" i="49" s="1"/>
  <c r="AL89" i="49" s="1"/>
  <c r="S54" i="57" l="1" a="1"/>
  <c r="S54" i="57" s="1"/>
  <c r="F351" i="102" s="1"/>
  <c r="S30" i="57" a="1"/>
  <c r="S30" i="57" s="1"/>
  <c r="E9" i="59"/>
  <c r="E9" i="57"/>
  <c r="F344" i="102" l="1"/>
  <c r="G14" i="65"/>
  <c r="F580" i="102" s="1"/>
  <c r="Z46" i="65" l="1"/>
  <c r="W46" i="65"/>
  <c r="S196" i="68"/>
  <c r="G6" i="1"/>
  <c r="F13" i="47" l="1"/>
  <c r="F12" i="47"/>
  <c r="E234" i="105" l="1"/>
  <c r="E235" i="105"/>
  <c r="E236" i="105"/>
  <c r="E237" i="105"/>
  <c r="E238" i="105"/>
  <c r="F45" i="47"/>
  <c r="C319" i="42"/>
  <c r="C318" i="42"/>
  <c r="C317" i="42"/>
  <c r="C316" i="42"/>
  <c r="C314" i="42"/>
  <c r="C313" i="42"/>
  <c r="C312" i="42"/>
  <c r="C311" i="42"/>
  <c r="C310" i="42"/>
  <c r="C309" i="42"/>
  <c r="C308" i="42"/>
  <c r="C289" i="42"/>
  <c r="C288" i="42"/>
  <c r="C287" i="42"/>
  <c r="C286" i="42"/>
  <c r="C285" i="42"/>
  <c r="C280" i="42"/>
  <c r="C315" i="42"/>
  <c r="C295" i="42"/>
  <c r="C296" i="42"/>
  <c r="C297" i="42"/>
  <c r="C298" i="42"/>
  <c r="C299" i="42"/>
  <c r="C300" i="42"/>
  <c r="C301" i="42"/>
  <c r="C302" i="42"/>
  <c r="C303" i="42"/>
  <c r="C304" i="42"/>
  <c r="C305" i="42"/>
  <c r="C281" i="42"/>
  <c r="C282" i="42"/>
  <c r="C283" i="42"/>
  <c r="C284" i="42"/>
  <c r="C290" i="42"/>
  <c r="C291" i="42"/>
  <c r="C292" i="42"/>
  <c r="F37" i="3" l="1"/>
  <c r="D24" i="59" s="1"/>
  <c r="F36" i="3"/>
  <c r="R16" i="45"/>
  <c r="L16" i="45"/>
  <c r="D36" i="3" l="1"/>
  <c r="D37" i="3"/>
  <c r="T11" i="108"/>
  <c r="T10" i="108"/>
  <c r="T7" i="108"/>
  <c r="T8" i="108"/>
  <c r="T9" i="108"/>
  <c r="C47" i="7"/>
  <c r="C15" i="3"/>
  <c r="C14" i="3"/>
  <c r="C44" i="9"/>
  <c r="D10" i="1"/>
  <c r="L150" i="108"/>
  <c r="J32" i="106" l="1"/>
  <c r="J33" i="106"/>
  <c r="J28" i="106" l="1"/>
  <c r="N11" i="46" l="1"/>
  <c r="AJ120" i="49" l="1"/>
  <c r="Z5" i="42"/>
  <c r="Z4" i="42"/>
  <c r="Z3" i="42"/>
  <c r="T16" i="108" l="1"/>
  <c r="F426" i="102" l="1"/>
  <c r="F437" i="102"/>
  <c r="F356" i="102" l="1"/>
  <c r="F16" i="65"/>
  <c r="F335" i="102"/>
  <c r="G40" i="20"/>
  <c r="F324" i="102" s="1"/>
  <c r="G35" i="20"/>
  <c r="C618" i="42" s="1"/>
  <c r="F428" i="102"/>
  <c r="F420" i="102"/>
  <c r="F408" i="102"/>
  <c r="F395" i="102"/>
  <c r="F378" i="102"/>
  <c r="F555" i="102"/>
  <c r="F538" i="102" l="1"/>
  <c r="B5" i="93" l="1"/>
  <c r="D5" i="93" s="1"/>
  <c r="F518" i="102"/>
  <c r="F498" i="102" l="1"/>
  <c r="F497" i="102"/>
  <c r="I5" i="93" a="1"/>
  <c r="I5" i="93" l="1"/>
  <c r="F563" i="102"/>
  <c r="F491" i="102"/>
  <c r="P179" i="42"/>
  <c r="P178" i="42"/>
  <c r="S158" i="68"/>
  <c r="P177" i="42"/>
  <c r="P176" i="42"/>
  <c r="W114" i="65" l="1"/>
  <c r="G97" i="47"/>
  <c r="M57" i="47"/>
  <c r="K57" i="47"/>
  <c r="D112" i="47" s="1"/>
  <c r="H57" i="47"/>
  <c r="G57" i="47"/>
  <c r="J51" i="68"/>
  <c r="T23" i="108"/>
  <c r="J34" i="106"/>
  <c r="J31" i="106"/>
  <c r="I1" i="90"/>
  <c r="J1" i="90"/>
  <c r="L1" i="91"/>
  <c r="P1" i="91"/>
  <c r="K1" i="89"/>
  <c r="G1" i="89"/>
  <c r="J1" i="88"/>
  <c r="G1" i="88"/>
  <c r="R207" i="57" l="1"/>
  <c r="H249" i="57"/>
  <c r="H250" i="57"/>
  <c r="H248" i="57"/>
  <c r="F346" i="102"/>
  <c r="S36" i="57"/>
  <c r="F350" i="102" s="1"/>
  <c r="S35" i="57"/>
  <c r="F348" i="102" s="1"/>
  <c r="S62" i="57"/>
  <c r="F353" i="102" l="1"/>
  <c r="S64" i="57"/>
  <c r="S37" i="57"/>
  <c r="S38" i="57" s="1"/>
  <c r="AC90" i="65" l="1"/>
  <c r="AD90" i="65" s="1"/>
  <c r="AC87" i="65"/>
  <c r="AC88" i="65"/>
  <c r="AC80" i="65"/>
  <c r="AC79" i="65"/>
  <c r="AB86" i="65"/>
  <c r="Z90" i="65"/>
  <c r="AA90" i="65" s="1"/>
  <c r="Z88" i="65"/>
  <c r="Z87" i="65"/>
  <c r="Z80" i="65"/>
  <c r="Z79" i="65"/>
  <c r="Z95" i="65"/>
  <c r="Y95" i="65"/>
  <c r="Y86" i="65"/>
  <c r="X90" i="65"/>
  <c r="Y90" i="65" s="1"/>
  <c r="X80" i="65"/>
  <c r="X79" i="65"/>
  <c r="W86" i="65"/>
  <c r="X88" i="65"/>
  <c r="X87" i="65"/>
  <c r="AC14" i="65" l="1"/>
  <c r="AD19" i="65"/>
  <c r="AD20" i="65"/>
  <c r="AC20" i="65"/>
  <c r="AC19" i="65"/>
  <c r="AD14" i="65"/>
  <c r="AD17" i="65"/>
  <c r="AD18" i="65"/>
  <c r="AC15" i="65"/>
  <c r="AD16" i="65"/>
  <c r="AD15" i="65"/>
  <c r="AC16" i="65"/>
  <c r="AC17" i="65"/>
  <c r="AC18" i="65"/>
  <c r="X86" i="65"/>
  <c r="W78" i="65"/>
  <c r="X78" i="65" s="1"/>
  <c r="AB78" i="65"/>
  <c r="AC78" i="65" s="1"/>
  <c r="Y78" i="65"/>
  <c r="Z78" i="65" s="1"/>
  <c r="AC86" i="65"/>
  <c r="Z86" i="65"/>
  <c r="E31" i="65" l="1"/>
  <c r="E28" i="65"/>
  <c r="E26" i="65"/>
  <c r="O90" i="65"/>
  <c r="E32" i="65"/>
  <c r="E29" i="65"/>
  <c r="E30" i="65"/>
  <c r="E27" i="65"/>
  <c r="J55" i="68"/>
  <c r="J54" i="68"/>
  <c r="J53" i="68"/>
  <c r="J52" i="68"/>
  <c r="J49" i="68"/>
  <c r="F53" i="47"/>
  <c r="F52" i="47"/>
  <c r="L28" i="68"/>
  <c r="L29" i="68"/>
  <c r="L20" i="68"/>
  <c r="L18" i="68"/>
  <c r="F51" i="47"/>
  <c r="E49" i="52" s="1"/>
  <c r="L17" i="68"/>
  <c r="W64" i="109"/>
  <c r="S92" i="68"/>
  <c r="S90" i="68" a="1"/>
  <c r="S90" i="68" s="1"/>
  <c r="E39" i="20"/>
  <c r="E33" i="20"/>
  <c r="E28" i="20"/>
  <c r="J13" i="106"/>
  <c r="C55" i="68"/>
  <c r="F535" i="102" s="1"/>
  <c r="C54" i="68"/>
  <c r="C53" i="68"/>
  <c r="F533" i="102" s="1"/>
  <c r="F532" i="102"/>
  <c r="T15" i="108"/>
  <c r="T17" i="108"/>
  <c r="T18" i="108"/>
  <c r="T19" i="108"/>
  <c r="T20" i="108"/>
  <c r="T24" i="108"/>
  <c r="T28" i="108"/>
  <c r="T29" i="108"/>
  <c r="T30" i="108"/>
  <c r="T31" i="108"/>
  <c r="E43" i="20" l="1"/>
  <c r="F534" i="102"/>
  <c r="K7" i="55" l="1"/>
  <c r="O20" i="65" l="1"/>
  <c r="F597" i="102" s="1"/>
  <c r="Q15" i="65"/>
  <c r="F588" i="102" s="1"/>
  <c r="B147" i="49"/>
  <c r="B151" i="49"/>
  <c r="R160" i="57"/>
  <c r="R188" i="57" s="1"/>
  <c r="D151" i="49" l="1"/>
  <c r="D152" i="49" s="1"/>
  <c r="D147" i="49"/>
  <c r="D148" i="49" s="1"/>
  <c r="G42" i="20"/>
  <c r="F326" i="102" s="1"/>
  <c r="G38" i="20"/>
  <c r="F322" i="102" s="1"/>
  <c r="AX122" i="49"/>
  <c r="N12" i="46"/>
  <c r="N13" i="46"/>
  <c r="N14" i="46"/>
  <c r="N15" i="46"/>
  <c r="N18" i="46"/>
  <c r="N19" i="46"/>
  <c r="AU129" i="49" s="1"/>
  <c r="N20" i="46"/>
  <c r="AU130" i="49" s="1"/>
  <c r="N21" i="46"/>
  <c r="AU131" i="49" s="1"/>
  <c r="N22" i="46"/>
  <c r="AU132" i="49" s="1"/>
  <c r="N23" i="46"/>
  <c r="AU133" i="49" s="1"/>
  <c r="I25" i="49" l="1"/>
  <c r="BB125" i="49"/>
  <c r="BB124" i="49"/>
  <c r="AX121" i="49"/>
  <c r="AU128" i="49"/>
  <c r="AU126" i="49"/>
  <c r="AU125" i="49"/>
  <c r="AS128" i="49"/>
  <c r="AS127" i="49"/>
  <c r="AS126" i="49"/>
  <c r="AS125" i="49"/>
  <c r="AS124" i="49"/>
  <c r="AS123" i="49"/>
  <c r="AS122" i="49"/>
  <c r="AS121" i="49"/>
  <c r="X114" i="65"/>
  <c r="E124" i="65" s="1"/>
  <c r="AL120" i="49"/>
  <c r="AK120" i="49"/>
  <c r="AI120" i="49"/>
  <c r="AG120" i="49"/>
  <c r="AF120" i="49"/>
  <c r="AE120" i="49"/>
  <c r="AD120" i="49"/>
  <c r="AC120" i="49"/>
  <c r="AB120" i="49"/>
  <c r="AA120" i="49"/>
  <c r="Z120" i="49"/>
  <c r="Y120" i="49"/>
  <c r="X120" i="49"/>
  <c r="W120" i="49"/>
  <c r="V120" i="49"/>
  <c r="U120" i="49"/>
  <c r="T120" i="49"/>
  <c r="S120" i="49"/>
  <c r="R120" i="49"/>
  <c r="Q120" i="49"/>
  <c r="P120" i="49"/>
  <c r="O120" i="49"/>
  <c r="N120" i="49"/>
  <c r="M120" i="49"/>
  <c r="L120" i="49"/>
  <c r="K120" i="49"/>
  <c r="J120" i="49"/>
  <c r="I120" i="49"/>
  <c r="H120" i="49"/>
  <c r="G120" i="49"/>
  <c r="F120" i="49"/>
  <c r="E120" i="49"/>
  <c r="D65" i="49"/>
  <c r="F39" i="65"/>
  <c r="F46" i="65" s="1"/>
  <c r="Q21" i="65"/>
  <c r="F600" i="102" s="1"/>
  <c r="Q20" i="65"/>
  <c r="F598" i="102" s="1"/>
  <c r="Q19" i="65"/>
  <c r="F596" i="102" s="1"/>
  <c r="Q18" i="65"/>
  <c r="F594" i="102" s="1"/>
  <c r="Q17" i="65"/>
  <c r="F592" i="102" s="1"/>
  <c r="Q16" i="65"/>
  <c r="R205" i="57"/>
  <c r="R97" i="57"/>
  <c r="S97" i="57" s="1"/>
  <c r="R101" i="57"/>
  <c r="S101" i="57" s="1"/>
  <c r="R102" i="57"/>
  <c r="S102" i="57" s="1"/>
  <c r="R103" i="57"/>
  <c r="S103" i="57" s="1"/>
  <c r="R109" i="57"/>
  <c r="S109" i="57" s="1"/>
  <c r="R110" i="57"/>
  <c r="S110" i="57" s="1"/>
  <c r="R111" i="57"/>
  <c r="S111" i="57" s="1"/>
  <c r="R112" i="57"/>
  <c r="S112" i="57" s="1"/>
  <c r="R113" i="57"/>
  <c r="S113" i="57" s="1"/>
  <c r="R114" i="57"/>
  <c r="S114" i="57" s="1"/>
  <c r="R115" i="57"/>
  <c r="S115" i="57" s="1"/>
  <c r="R116" i="57"/>
  <c r="S116" i="57" s="1"/>
  <c r="R117" i="57"/>
  <c r="S117" i="57" s="1"/>
  <c r="R118" i="57"/>
  <c r="S118" i="57" s="1"/>
  <c r="R119" i="57"/>
  <c r="S119" i="57" s="1"/>
  <c r="R125" i="57"/>
  <c r="S125" i="57" s="1"/>
  <c r="R126" i="57"/>
  <c r="S126" i="57" s="1"/>
  <c r="R127" i="57"/>
  <c r="S127" i="57" s="1"/>
  <c r="R128" i="57"/>
  <c r="S128" i="57" s="1"/>
  <c r="R129" i="57"/>
  <c r="S129" i="57" s="1"/>
  <c r="R130" i="57"/>
  <c r="S130" i="57" s="1"/>
  <c r="R131" i="57"/>
  <c r="S131" i="57" s="1"/>
  <c r="S132" i="57"/>
  <c r="D66" i="57"/>
  <c r="M115" i="111"/>
  <c r="M114" i="111"/>
  <c r="M113" i="111"/>
  <c r="M112" i="111"/>
  <c r="M111" i="111"/>
  <c r="M110" i="111"/>
  <c r="M109" i="111"/>
  <c r="M108" i="111"/>
  <c r="M107" i="111"/>
  <c r="M106" i="111"/>
  <c r="M105" i="111"/>
  <c r="M104" i="111"/>
  <c r="M103" i="111"/>
  <c r="M102" i="111"/>
  <c r="M101" i="111"/>
  <c r="M100" i="111"/>
  <c r="M99" i="111"/>
  <c r="M98" i="111"/>
  <c r="M97" i="111"/>
  <c r="M96" i="111"/>
  <c r="M95" i="111"/>
  <c r="M94" i="111"/>
  <c r="M93" i="111"/>
  <c r="M92" i="111"/>
  <c r="M91" i="111"/>
  <c r="M90" i="111"/>
  <c r="M89" i="111"/>
  <c r="M88" i="111"/>
  <c r="M87" i="111"/>
  <c r="M86" i="111"/>
  <c r="M85" i="111"/>
  <c r="M84" i="111"/>
  <c r="M83" i="111"/>
  <c r="M82" i="111"/>
  <c r="M81" i="111"/>
  <c r="M80" i="111"/>
  <c r="M79" i="111"/>
  <c r="M78" i="111"/>
  <c r="M77" i="111"/>
  <c r="M76" i="111"/>
  <c r="M75" i="111"/>
  <c r="M74" i="111"/>
  <c r="M73" i="111"/>
  <c r="M72" i="111"/>
  <c r="M71" i="111"/>
  <c r="M70" i="111"/>
  <c r="M69" i="111"/>
  <c r="M68" i="111"/>
  <c r="M67" i="111"/>
  <c r="M66" i="111"/>
  <c r="M65" i="111"/>
  <c r="M64" i="111"/>
  <c r="M63" i="111"/>
  <c r="M62" i="111"/>
  <c r="M61" i="111"/>
  <c r="M60" i="111"/>
  <c r="M59" i="111"/>
  <c r="M58" i="111"/>
  <c r="M57" i="111"/>
  <c r="M56" i="111"/>
  <c r="M55" i="111"/>
  <c r="M54" i="111"/>
  <c r="M53" i="111"/>
  <c r="M52" i="111"/>
  <c r="M51" i="111"/>
  <c r="M50" i="111"/>
  <c r="M49" i="111"/>
  <c r="M48" i="111"/>
  <c r="M47" i="111"/>
  <c r="M46" i="111"/>
  <c r="M45" i="111"/>
  <c r="M44" i="111"/>
  <c r="M43" i="111"/>
  <c r="M42" i="111"/>
  <c r="M41" i="111"/>
  <c r="M40" i="111"/>
  <c r="M39" i="111"/>
  <c r="M38" i="111"/>
  <c r="M37" i="111"/>
  <c r="M36" i="111"/>
  <c r="M35" i="111"/>
  <c r="M34" i="111"/>
  <c r="M33" i="111"/>
  <c r="M32" i="111"/>
  <c r="M31" i="111"/>
  <c r="M30" i="111"/>
  <c r="M29" i="111"/>
  <c r="M28" i="111"/>
  <c r="M27" i="111"/>
  <c r="M26" i="111"/>
  <c r="M16" i="111"/>
  <c r="O16" i="111" s="1"/>
  <c r="Q22" i="65" l="1"/>
  <c r="G18" i="65" s="1"/>
  <c r="F584" i="102" s="1"/>
  <c r="F590" i="102"/>
  <c r="F42" i="20"/>
  <c r="F325" i="102" s="1"/>
  <c r="F623" i="102"/>
  <c r="R135" i="57"/>
  <c r="S133" i="57"/>
  <c r="R225" i="57"/>
  <c r="D227" i="57" s="1"/>
  <c r="F562" i="102" s="1"/>
  <c r="AY122" i="49"/>
  <c r="E24" i="65"/>
  <c r="D188" i="57"/>
  <c r="F496" i="102" s="1"/>
  <c r="R142" i="57" l="1"/>
  <c r="S142" i="57" s="1"/>
  <c r="R140" i="57"/>
  <c r="R139" i="57"/>
  <c r="S139" i="57" s="1"/>
  <c r="R138" i="57"/>
  <c r="S138" i="57" s="1"/>
  <c r="R136" i="57"/>
  <c r="S136" i="57" s="1"/>
  <c r="R137" i="57"/>
  <c r="S137" i="57" s="1"/>
  <c r="S140" i="57"/>
  <c r="S90" i="65"/>
  <c r="Q90" i="65"/>
  <c r="E94" i="65" s="1"/>
  <c r="F41" i="20" s="1"/>
  <c r="F301" i="102" s="1"/>
  <c r="AX123" i="49"/>
  <c r="D133" i="57"/>
  <c r="AY123" i="49" l="1"/>
  <c r="AX124" i="49" s="1"/>
  <c r="S143" i="57"/>
  <c r="G39" i="20" l="1"/>
  <c r="F320" i="102" s="1"/>
  <c r="F517" i="102"/>
  <c r="R143" i="57"/>
  <c r="R144" i="57" s="1"/>
  <c r="D143" i="57" s="1"/>
  <c r="AY124" i="49"/>
  <c r="AS7" i="111"/>
  <c r="AS6" i="111"/>
  <c r="F1" i="111"/>
  <c r="C93" i="59"/>
  <c r="F403" i="102" s="1"/>
  <c r="F525" i="102" l="1"/>
  <c r="C133" i="68"/>
  <c r="D141" i="68" s="1"/>
  <c r="F26" i="20" s="1"/>
  <c r="AX125" i="49"/>
  <c r="O17" i="111"/>
  <c r="AY125" i="49" l="1"/>
  <c r="AX126" i="49" s="1"/>
  <c r="AY126" i="49" s="1"/>
  <c r="AC39" i="111"/>
  <c r="E1" i="111"/>
  <c r="D6" i="111"/>
  <c r="C7" i="111" s="1"/>
  <c r="G6" i="111"/>
  <c r="AF6" i="111"/>
  <c r="AH6" i="111" s="1"/>
  <c r="AF7" i="111"/>
  <c r="AH7" i="111" s="1"/>
  <c r="D8" i="111"/>
  <c r="AJ9" i="111" s="1"/>
  <c r="AK9" i="111" s="1"/>
  <c r="G8" i="111"/>
  <c r="AF8" i="111"/>
  <c r="AH8" i="111" s="1"/>
  <c r="AF9" i="111"/>
  <c r="AH9" i="111" s="1"/>
  <c r="AF10" i="111"/>
  <c r="AH10" i="111" s="1"/>
  <c r="AF11" i="111"/>
  <c r="AH11" i="111" s="1"/>
  <c r="AF12" i="111"/>
  <c r="AH12" i="111" s="1"/>
  <c r="AF13" i="111"/>
  <c r="AH13" i="111" s="1"/>
  <c r="L14" i="111"/>
  <c r="AF14" i="111"/>
  <c r="AH14" i="111" s="1"/>
  <c r="AF15" i="111"/>
  <c r="AH15" i="111" s="1"/>
  <c r="AF16" i="111"/>
  <c r="AH16" i="111" s="1"/>
  <c r="Q17" i="111"/>
  <c r="AF17" i="111"/>
  <c r="AH17" i="111" s="1"/>
  <c r="O18" i="111"/>
  <c r="Q18" i="111" s="1"/>
  <c r="AF18" i="111"/>
  <c r="AH18" i="111" s="1"/>
  <c r="O19" i="111"/>
  <c r="Q19" i="111" s="1"/>
  <c r="AF19" i="111"/>
  <c r="AH19" i="111" s="1"/>
  <c r="O20" i="111"/>
  <c r="Q20" i="111" s="1"/>
  <c r="AF20" i="111"/>
  <c r="AH20" i="111" s="1"/>
  <c r="O21" i="111"/>
  <c r="Q21" i="111" s="1"/>
  <c r="AF21" i="111"/>
  <c r="AH21" i="111" s="1"/>
  <c r="O22" i="111"/>
  <c r="Q22" i="111" s="1"/>
  <c r="AF22" i="111"/>
  <c r="AH22" i="111" s="1"/>
  <c r="O23" i="111"/>
  <c r="Q23" i="111" s="1"/>
  <c r="AF23" i="111"/>
  <c r="AH23" i="111" s="1"/>
  <c r="O24" i="111"/>
  <c r="Q24" i="111" s="1"/>
  <c r="AF24" i="111"/>
  <c r="AH24" i="111" s="1"/>
  <c r="O25" i="111"/>
  <c r="Q25" i="111" s="1"/>
  <c r="AF25" i="111"/>
  <c r="AH25" i="111" s="1"/>
  <c r="O26" i="111"/>
  <c r="Q26" i="111" s="1"/>
  <c r="AF26" i="111"/>
  <c r="AH26" i="111" s="1"/>
  <c r="O27" i="111"/>
  <c r="Q27" i="111" s="1"/>
  <c r="AF27" i="111"/>
  <c r="AH27" i="111" s="1"/>
  <c r="O28" i="111"/>
  <c r="Q28" i="111" s="1"/>
  <c r="AF28" i="111"/>
  <c r="AH28" i="111" s="1"/>
  <c r="O29" i="111"/>
  <c r="Q29" i="111" s="1"/>
  <c r="AF29" i="111"/>
  <c r="AH29" i="111" s="1"/>
  <c r="O30" i="111"/>
  <c r="Q30" i="111" s="1"/>
  <c r="AF30" i="111"/>
  <c r="AH30" i="111" s="1"/>
  <c r="O31" i="111"/>
  <c r="Q31" i="111" s="1"/>
  <c r="AF31" i="111"/>
  <c r="AH31" i="111" s="1"/>
  <c r="O32" i="111"/>
  <c r="Q32" i="111" s="1"/>
  <c r="AF32" i="111"/>
  <c r="AH32" i="111"/>
  <c r="O33" i="111"/>
  <c r="Q33" i="111" s="1"/>
  <c r="AF33" i="111"/>
  <c r="AH33" i="111" s="1"/>
  <c r="O34" i="111"/>
  <c r="Q34" i="111" s="1"/>
  <c r="AF34" i="111"/>
  <c r="AH34" i="111" s="1"/>
  <c r="O35" i="111"/>
  <c r="Q35" i="111" s="1"/>
  <c r="AF35" i="111"/>
  <c r="AH35" i="111" s="1"/>
  <c r="O36" i="111"/>
  <c r="Q36" i="111" s="1"/>
  <c r="AF36" i="111"/>
  <c r="AH36" i="111" s="1"/>
  <c r="O37" i="111"/>
  <c r="Q37" i="111" s="1"/>
  <c r="AF37" i="111"/>
  <c r="AH37" i="111" s="1"/>
  <c r="O38" i="111"/>
  <c r="Q38" i="111" s="1"/>
  <c r="AF38" i="111"/>
  <c r="AH38" i="111" s="1"/>
  <c r="O39" i="111"/>
  <c r="Q39" i="111" s="1"/>
  <c r="AF39" i="111"/>
  <c r="AH39" i="111" s="1"/>
  <c r="O40" i="111"/>
  <c r="Q40" i="111" s="1"/>
  <c r="AF40" i="111"/>
  <c r="AH40" i="111" s="1"/>
  <c r="O41" i="111"/>
  <c r="Q41" i="111" s="1"/>
  <c r="AF41" i="111"/>
  <c r="AH41" i="111" s="1"/>
  <c r="O42" i="111"/>
  <c r="Q42" i="111" s="1"/>
  <c r="AF42" i="111"/>
  <c r="AH42" i="111" s="1"/>
  <c r="O43" i="111"/>
  <c r="Q43" i="111" s="1"/>
  <c r="AF43" i="111"/>
  <c r="AH43" i="111" s="1"/>
  <c r="O44" i="111"/>
  <c r="Q44" i="111" s="1"/>
  <c r="AF44" i="111"/>
  <c r="AH44" i="111" s="1"/>
  <c r="O45" i="111"/>
  <c r="Q45" i="111" s="1"/>
  <c r="AF45" i="111"/>
  <c r="AH45" i="111" s="1"/>
  <c r="O46" i="111"/>
  <c r="Q46" i="111" s="1"/>
  <c r="AF46" i="111"/>
  <c r="AH46" i="111" s="1"/>
  <c r="O47" i="111"/>
  <c r="Q47" i="111" s="1"/>
  <c r="AF47" i="111"/>
  <c r="AH47" i="111" s="1"/>
  <c r="O48" i="111"/>
  <c r="Q48" i="111" s="1"/>
  <c r="AF48" i="111"/>
  <c r="AH48" i="111" s="1"/>
  <c r="O49" i="111"/>
  <c r="Q49" i="111" s="1"/>
  <c r="AF49" i="111"/>
  <c r="AH49" i="111" s="1"/>
  <c r="O50" i="111"/>
  <c r="Q50" i="111" s="1"/>
  <c r="AF50" i="111"/>
  <c r="AH50" i="111" s="1"/>
  <c r="O51" i="111"/>
  <c r="Q51" i="111" s="1"/>
  <c r="AF51" i="111"/>
  <c r="AH51" i="111" s="1"/>
  <c r="O52" i="111"/>
  <c r="Q52" i="111" s="1"/>
  <c r="AF52" i="111"/>
  <c r="AH52" i="111"/>
  <c r="O53" i="111"/>
  <c r="Q53" i="111" s="1"/>
  <c r="AF53" i="111"/>
  <c r="AH53" i="111" s="1"/>
  <c r="O54" i="111"/>
  <c r="Q54" i="111" s="1"/>
  <c r="AF54" i="111"/>
  <c r="AH54" i="111" s="1"/>
  <c r="O55" i="111"/>
  <c r="Q55" i="111" s="1"/>
  <c r="AF55" i="111"/>
  <c r="AH55" i="111" s="1"/>
  <c r="O56" i="111"/>
  <c r="Q56" i="111" s="1"/>
  <c r="AF56" i="111"/>
  <c r="AH56" i="111" s="1"/>
  <c r="O57" i="111"/>
  <c r="Q57" i="111" s="1"/>
  <c r="AF57" i="111"/>
  <c r="AH57" i="111" s="1"/>
  <c r="O58" i="111"/>
  <c r="Q58" i="111" s="1"/>
  <c r="AF58" i="111"/>
  <c r="AH58" i="111" s="1"/>
  <c r="O59" i="111"/>
  <c r="Q59" i="111" s="1"/>
  <c r="AF59" i="111"/>
  <c r="AH59" i="111" s="1"/>
  <c r="O60" i="111"/>
  <c r="Q60" i="111" s="1"/>
  <c r="AF60" i="111"/>
  <c r="AH60" i="111" s="1"/>
  <c r="O61" i="111"/>
  <c r="Q61" i="111" s="1"/>
  <c r="AF61" i="111"/>
  <c r="AH61" i="111" s="1"/>
  <c r="O62" i="111"/>
  <c r="Q62" i="111" s="1"/>
  <c r="AF62" i="111"/>
  <c r="AH62" i="111" s="1"/>
  <c r="O63" i="111"/>
  <c r="Q63" i="111" s="1"/>
  <c r="AF63" i="111"/>
  <c r="AH63" i="111" s="1"/>
  <c r="O64" i="111"/>
  <c r="Q64" i="111" s="1"/>
  <c r="AF64" i="111"/>
  <c r="AH64" i="111" s="1"/>
  <c r="O65" i="111"/>
  <c r="Q65" i="111" s="1"/>
  <c r="AF65" i="111"/>
  <c r="AH65" i="111" s="1"/>
  <c r="O66" i="111"/>
  <c r="Q66" i="111" s="1"/>
  <c r="AF66" i="111"/>
  <c r="AH66" i="111" s="1"/>
  <c r="O67" i="111"/>
  <c r="Q67" i="111" s="1"/>
  <c r="AF67" i="111"/>
  <c r="AH67" i="111" s="1"/>
  <c r="O68" i="111"/>
  <c r="Q68" i="111" s="1"/>
  <c r="AF68" i="111"/>
  <c r="AH68" i="111" s="1"/>
  <c r="O69" i="111"/>
  <c r="Q69" i="111" s="1"/>
  <c r="AF69" i="111"/>
  <c r="AH69" i="111" s="1"/>
  <c r="O70" i="111"/>
  <c r="Q70" i="111" s="1"/>
  <c r="AF70" i="111"/>
  <c r="AH70" i="111" s="1"/>
  <c r="O71" i="111"/>
  <c r="Q71" i="111" s="1"/>
  <c r="AF71" i="111"/>
  <c r="AH71" i="111" s="1"/>
  <c r="O72" i="111"/>
  <c r="Q72" i="111" s="1"/>
  <c r="AF72" i="111"/>
  <c r="AH72" i="111" s="1"/>
  <c r="O73" i="111"/>
  <c r="Q73" i="111" s="1"/>
  <c r="AF73" i="111"/>
  <c r="AH73" i="111" s="1"/>
  <c r="O74" i="111"/>
  <c r="Q74" i="111" s="1"/>
  <c r="AF74" i="111"/>
  <c r="AH74" i="111" s="1"/>
  <c r="O75" i="111"/>
  <c r="Q75" i="111" s="1"/>
  <c r="AF75" i="111"/>
  <c r="AH75" i="111" s="1"/>
  <c r="O76" i="111"/>
  <c r="Q76" i="111" s="1"/>
  <c r="AF76" i="111"/>
  <c r="AH76" i="111" s="1"/>
  <c r="O77" i="111"/>
  <c r="Q77" i="111" s="1"/>
  <c r="AF77" i="111"/>
  <c r="AH77" i="111" s="1"/>
  <c r="O78" i="111"/>
  <c r="Q78" i="111" s="1"/>
  <c r="AF78" i="111"/>
  <c r="AH78" i="111" s="1"/>
  <c r="O79" i="111"/>
  <c r="Q79" i="111" s="1"/>
  <c r="AF79" i="111"/>
  <c r="AH79" i="111" s="1"/>
  <c r="O80" i="111"/>
  <c r="Q80" i="111" s="1"/>
  <c r="AF80" i="111"/>
  <c r="AH80" i="111" s="1"/>
  <c r="O81" i="111"/>
  <c r="Q81" i="111" s="1"/>
  <c r="AF81" i="111"/>
  <c r="AH81" i="111" s="1"/>
  <c r="O82" i="111"/>
  <c r="Q82" i="111" s="1"/>
  <c r="AF82" i="111"/>
  <c r="AH82" i="111" s="1"/>
  <c r="O83" i="111"/>
  <c r="Q83" i="111" s="1"/>
  <c r="AF83" i="111"/>
  <c r="AH83" i="111" s="1"/>
  <c r="O84" i="111"/>
  <c r="Q84" i="111" s="1"/>
  <c r="AF84" i="111"/>
  <c r="AH84" i="111" s="1"/>
  <c r="O85" i="111"/>
  <c r="Q85" i="111" s="1"/>
  <c r="AF85" i="111"/>
  <c r="AH85" i="111" s="1"/>
  <c r="O86" i="111"/>
  <c r="Q86" i="111" s="1"/>
  <c r="AF86" i="111"/>
  <c r="AH86" i="111" s="1"/>
  <c r="O87" i="111"/>
  <c r="Q87" i="111" s="1"/>
  <c r="AF87" i="111"/>
  <c r="AH87" i="111" s="1"/>
  <c r="O88" i="111"/>
  <c r="Q88" i="111" s="1"/>
  <c r="AF88" i="111"/>
  <c r="AH88" i="111"/>
  <c r="O89" i="111"/>
  <c r="Q89" i="111" s="1"/>
  <c r="AF89" i="111"/>
  <c r="AH89" i="111" s="1"/>
  <c r="O90" i="111"/>
  <c r="Q90" i="111" s="1"/>
  <c r="AF90" i="111"/>
  <c r="AH90" i="111" s="1"/>
  <c r="O91" i="111"/>
  <c r="Q91" i="111" s="1"/>
  <c r="AF91" i="111"/>
  <c r="AH91" i="111" s="1"/>
  <c r="O92" i="111"/>
  <c r="Q92" i="111" s="1"/>
  <c r="AF92" i="111"/>
  <c r="AH92" i="111" s="1"/>
  <c r="O93" i="111"/>
  <c r="Q93" i="111" s="1"/>
  <c r="AF93" i="111"/>
  <c r="AH93" i="111" s="1"/>
  <c r="O94" i="111"/>
  <c r="Q94" i="111" s="1"/>
  <c r="AF94" i="111"/>
  <c r="AH94" i="111" s="1"/>
  <c r="O95" i="111"/>
  <c r="Q95" i="111" s="1"/>
  <c r="AF95" i="111"/>
  <c r="AH95" i="111" s="1"/>
  <c r="O96" i="111"/>
  <c r="Q96" i="111" s="1"/>
  <c r="AF96" i="111"/>
  <c r="AH96" i="111" s="1"/>
  <c r="O97" i="111"/>
  <c r="Q97" i="111" s="1"/>
  <c r="AF97" i="111"/>
  <c r="AH97" i="111" s="1"/>
  <c r="O98" i="111"/>
  <c r="Q98" i="111" s="1"/>
  <c r="AF98" i="111"/>
  <c r="AH98" i="111" s="1"/>
  <c r="O99" i="111"/>
  <c r="Q99" i="111" s="1"/>
  <c r="AF99" i="111"/>
  <c r="AH99" i="111" s="1"/>
  <c r="O100" i="111"/>
  <c r="Q100" i="111" s="1"/>
  <c r="AF100" i="111"/>
  <c r="AH100" i="111" s="1"/>
  <c r="O101" i="111"/>
  <c r="Q101" i="111" s="1"/>
  <c r="AF101" i="111"/>
  <c r="AH101" i="111" s="1"/>
  <c r="O102" i="111"/>
  <c r="Q102" i="111" s="1"/>
  <c r="AF102" i="111"/>
  <c r="AH102" i="111" s="1"/>
  <c r="O103" i="111"/>
  <c r="Q103" i="111" s="1"/>
  <c r="AF103" i="111"/>
  <c r="AH103" i="111" s="1"/>
  <c r="O104" i="111"/>
  <c r="Q104" i="111" s="1"/>
  <c r="AF104" i="111"/>
  <c r="AH104" i="111" s="1"/>
  <c r="O105" i="111"/>
  <c r="Q105" i="111" s="1"/>
  <c r="AF105" i="111"/>
  <c r="AH105" i="111"/>
  <c r="O106" i="111"/>
  <c r="Q106" i="111" s="1"/>
  <c r="O107" i="111"/>
  <c r="Q107" i="111" s="1"/>
  <c r="O108" i="111"/>
  <c r="Q108" i="111" s="1"/>
  <c r="O109" i="111"/>
  <c r="Q109" i="111" s="1"/>
  <c r="O110" i="111"/>
  <c r="Q110" i="111" s="1"/>
  <c r="O111" i="111"/>
  <c r="Q111" i="111" s="1"/>
  <c r="O112" i="111"/>
  <c r="Q112" i="111" s="1"/>
  <c r="O113" i="111"/>
  <c r="Q113" i="111" s="1"/>
  <c r="O114" i="111"/>
  <c r="Q114" i="111" s="1"/>
  <c r="O115" i="111"/>
  <c r="Q115" i="111" s="1"/>
  <c r="AX127" i="49" l="1"/>
  <c r="AJ92" i="111"/>
  <c r="AK92" i="111" s="1"/>
  <c r="AJ85" i="111"/>
  <c r="AK85" i="111" s="1"/>
  <c r="AJ72" i="111"/>
  <c r="AK72" i="111" s="1"/>
  <c r="AJ96" i="111"/>
  <c r="AK96" i="111" s="1"/>
  <c r="AJ60" i="111"/>
  <c r="AK60" i="111" s="1"/>
  <c r="AJ69" i="111"/>
  <c r="AK69" i="111" s="1"/>
  <c r="AJ51" i="111"/>
  <c r="AK51" i="111" s="1"/>
  <c r="AJ101" i="111"/>
  <c r="AK101" i="111" s="1"/>
  <c r="AJ49" i="111"/>
  <c r="AK49" i="111" s="1"/>
  <c r="AJ105" i="111"/>
  <c r="AK105" i="111" s="1"/>
  <c r="AJ97" i="111"/>
  <c r="AK97" i="111" s="1"/>
  <c r="AJ80" i="111"/>
  <c r="AK80" i="111" s="1"/>
  <c r="AJ12" i="111"/>
  <c r="AK12" i="111" s="1"/>
  <c r="AJ84" i="111"/>
  <c r="AK84" i="111" s="1"/>
  <c r="AJ75" i="111"/>
  <c r="AK75" i="111" s="1"/>
  <c r="AJ57" i="111"/>
  <c r="AK57" i="111" s="1"/>
  <c r="AJ99" i="111"/>
  <c r="AK99" i="111" s="1"/>
  <c r="AJ104" i="111"/>
  <c r="AK104" i="111" s="1"/>
  <c r="AJ70" i="111"/>
  <c r="AK70" i="111" s="1"/>
  <c r="AJ61" i="111"/>
  <c r="AK61" i="111" s="1"/>
  <c r="AJ95" i="111"/>
  <c r="AK95" i="111" s="1"/>
  <c r="AJ15" i="111"/>
  <c r="AK15" i="111" s="1"/>
  <c r="AJ25" i="111"/>
  <c r="AK25" i="111" s="1"/>
  <c r="AC91" i="111"/>
  <c r="AJ58" i="111"/>
  <c r="AK58" i="111" s="1"/>
  <c r="AJ94" i="111"/>
  <c r="AK94" i="111" s="1"/>
  <c r="AJ82" i="111"/>
  <c r="AK82" i="111" s="1"/>
  <c r="AJ48" i="111"/>
  <c r="AK48" i="111" s="1"/>
  <c r="AJ93" i="111"/>
  <c r="AK93" i="111" s="1"/>
  <c r="AJ89" i="111"/>
  <c r="AK89" i="111" s="1"/>
  <c r="AJ81" i="111"/>
  <c r="AK81" i="111" s="1"/>
  <c r="AJ77" i="111"/>
  <c r="AK77" i="111" s="1"/>
  <c r="AJ73" i="111"/>
  <c r="AK73" i="111" s="1"/>
  <c r="AJ26" i="111"/>
  <c r="AK26" i="111" s="1"/>
  <c r="AJ68" i="111"/>
  <c r="AK68" i="111" s="1"/>
  <c r="AJ87" i="111"/>
  <c r="AK87" i="111" s="1"/>
  <c r="AJ63" i="111"/>
  <c r="AK63" i="111" s="1"/>
  <c r="AJ45" i="111"/>
  <c r="AK45" i="111" s="1"/>
  <c r="AC98" i="111"/>
  <c r="AC40" i="111"/>
  <c r="AC14" i="111"/>
  <c r="AC30" i="111"/>
  <c r="AC33" i="111"/>
  <c r="AC86" i="111"/>
  <c r="AC63" i="111"/>
  <c r="AO63" i="111" s="1"/>
  <c r="AC42" i="111"/>
  <c r="AC53" i="111"/>
  <c r="AC7" i="111"/>
  <c r="AC56" i="111"/>
  <c r="AC11" i="111"/>
  <c r="AC96" i="111"/>
  <c r="AO96" i="111" s="1"/>
  <c r="AC34" i="111"/>
  <c r="AC28" i="111"/>
  <c r="AC15" i="111"/>
  <c r="AC37" i="111"/>
  <c r="AC31" i="111"/>
  <c r="AC101" i="111"/>
  <c r="AO101" i="111" s="1"/>
  <c r="AC43" i="111"/>
  <c r="AP80" i="111" s="1"/>
  <c r="AC55" i="111"/>
  <c r="AC17" i="111"/>
  <c r="AC10" i="111"/>
  <c r="AC84" i="111"/>
  <c r="AO84" i="111" s="1"/>
  <c r="AC36" i="111"/>
  <c r="AC23" i="111"/>
  <c r="AC20" i="111"/>
  <c r="AC103" i="111"/>
  <c r="AC60" i="111"/>
  <c r="AO60" i="111" s="1"/>
  <c r="AC48" i="111"/>
  <c r="AP90" i="111" s="1"/>
  <c r="AC45" i="111"/>
  <c r="AP85" i="111" s="1"/>
  <c r="AC89" i="111"/>
  <c r="AO89" i="111" s="1"/>
  <c r="AC66" i="111"/>
  <c r="AC51" i="111"/>
  <c r="AP97" i="111" s="1"/>
  <c r="AC105" i="111"/>
  <c r="AC94" i="111"/>
  <c r="AO94" i="111" s="1"/>
  <c r="AC69" i="111"/>
  <c r="AC71" i="111"/>
  <c r="AC65" i="111"/>
  <c r="AC76" i="111"/>
  <c r="AC73" i="111"/>
  <c r="AC75" i="111"/>
  <c r="AC61" i="111"/>
  <c r="AO61" i="111" s="1"/>
  <c r="AC50" i="111"/>
  <c r="AC87" i="111"/>
  <c r="AC82" i="111"/>
  <c r="AO82" i="111" s="1"/>
  <c r="AC77" i="111"/>
  <c r="AO77" i="111" s="1"/>
  <c r="AC47" i="111"/>
  <c r="AC102" i="111"/>
  <c r="AC100" i="111"/>
  <c r="AC58" i="111"/>
  <c r="AC25" i="111"/>
  <c r="AC22" i="111"/>
  <c r="AC19" i="111"/>
  <c r="AC80" i="111"/>
  <c r="AC13" i="111"/>
  <c r="AC70" i="111"/>
  <c r="AO70" i="111" s="1"/>
  <c r="AC81" i="111"/>
  <c r="AO81" i="111" s="1"/>
  <c r="AC74" i="111"/>
  <c r="AC104" i="111"/>
  <c r="AO104" i="111" s="1"/>
  <c r="AC99" i="111"/>
  <c r="AO99" i="111" s="1"/>
  <c r="AC83" i="111"/>
  <c r="AC59" i="111"/>
  <c r="AC54" i="111"/>
  <c r="AC38" i="111"/>
  <c r="AC35" i="111"/>
  <c r="AC12" i="111"/>
  <c r="AC92" i="111"/>
  <c r="AO92" i="111" s="1"/>
  <c r="AC78" i="111"/>
  <c r="AC67" i="111"/>
  <c r="AC64" i="111"/>
  <c r="AC32" i="111"/>
  <c r="AC29" i="111"/>
  <c r="AC26" i="111"/>
  <c r="AC93" i="111"/>
  <c r="AO93" i="111" s="1"/>
  <c r="AC68" i="111"/>
  <c r="AC52" i="111"/>
  <c r="AC27" i="111"/>
  <c r="AC95" i="111"/>
  <c r="AO95" i="111" s="1"/>
  <c r="AC90" i="111"/>
  <c r="AC88" i="111"/>
  <c r="AC62" i="111"/>
  <c r="AC49" i="111"/>
  <c r="AO49" i="111" s="1"/>
  <c r="AC44" i="111"/>
  <c r="AC41" i="111"/>
  <c r="AC16" i="111"/>
  <c r="AC97" i="111"/>
  <c r="AC79" i="111"/>
  <c r="AC85" i="111"/>
  <c r="AC72" i="111"/>
  <c r="AO72" i="111" s="1"/>
  <c r="AC57" i="111"/>
  <c r="AO57" i="111" s="1"/>
  <c r="AC46" i="111"/>
  <c r="AP86" i="111" s="1"/>
  <c r="AC24" i="111"/>
  <c r="AC21" i="111"/>
  <c r="AC18" i="111"/>
  <c r="AC8" i="111"/>
  <c r="AJ36" i="111"/>
  <c r="AK36" i="111" s="1"/>
  <c r="F10" i="111"/>
  <c r="AJ37" i="111"/>
  <c r="AK37" i="111" s="1"/>
  <c r="Q16" i="111"/>
  <c r="Q14" i="111" s="1"/>
  <c r="O14" i="111"/>
  <c r="AJ6" i="111"/>
  <c r="AK6" i="111" s="1"/>
  <c r="AJ98" i="111"/>
  <c r="AK98" i="111" s="1"/>
  <c r="AJ86" i="111"/>
  <c r="AK86" i="111" s="1"/>
  <c r="AJ74" i="111"/>
  <c r="AK74" i="111" s="1"/>
  <c r="AJ62" i="111"/>
  <c r="AK62" i="111" s="1"/>
  <c r="AJ50" i="111"/>
  <c r="AK50" i="111" s="1"/>
  <c r="AJ38" i="111"/>
  <c r="AK38" i="111" s="1"/>
  <c r="AJ27" i="111"/>
  <c r="AK27" i="111" s="1"/>
  <c r="AJ16" i="111"/>
  <c r="AK16" i="111" s="1"/>
  <c r="AC9" i="111"/>
  <c r="AJ39" i="111"/>
  <c r="AK39" i="111" s="1"/>
  <c r="AJ28" i="111"/>
  <c r="AK28" i="111" s="1"/>
  <c r="AJ10" i="111"/>
  <c r="AK10" i="111" s="1"/>
  <c r="AJ100" i="111"/>
  <c r="AK100" i="111" s="1"/>
  <c r="AJ88" i="111"/>
  <c r="AK88" i="111" s="1"/>
  <c r="AJ76" i="111"/>
  <c r="AK76" i="111" s="1"/>
  <c r="AJ64" i="111"/>
  <c r="AK64" i="111" s="1"/>
  <c r="AJ52" i="111"/>
  <c r="AK52" i="111" s="1"/>
  <c r="AJ40" i="111"/>
  <c r="AK40" i="111" s="1"/>
  <c r="AJ29" i="111"/>
  <c r="AK29" i="111" s="1"/>
  <c r="AJ17" i="111"/>
  <c r="AK17" i="111" s="1"/>
  <c r="AC6" i="111"/>
  <c r="AJ65" i="111"/>
  <c r="AK65" i="111" s="1"/>
  <c r="AJ53" i="111"/>
  <c r="AK53" i="111" s="1"/>
  <c r="AJ41" i="111"/>
  <c r="AK41" i="111" s="1"/>
  <c r="AJ18" i="111"/>
  <c r="AK18" i="111" s="1"/>
  <c r="AJ7" i="111"/>
  <c r="AK7" i="111" s="1"/>
  <c r="AJ78" i="111"/>
  <c r="AK78" i="111" s="1"/>
  <c r="AJ66" i="111"/>
  <c r="AK66" i="111" s="1"/>
  <c r="AJ54" i="111"/>
  <c r="AK54" i="111" s="1"/>
  <c r="AJ42" i="111"/>
  <c r="AK42" i="111" s="1"/>
  <c r="AJ30" i="111"/>
  <c r="AK30" i="111" s="1"/>
  <c r="AJ19" i="111"/>
  <c r="AK19" i="111" s="1"/>
  <c r="AJ13" i="111"/>
  <c r="AK13" i="111" s="1"/>
  <c r="AJ102" i="111"/>
  <c r="AK102" i="111" s="1"/>
  <c r="AJ90" i="111"/>
  <c r="AK90" i="111" s="1"/>
  <c r="AJ103" i="111"/>
  <c r="AK103" i="111" s="1"/>
  <c r="AJ91" i="111"/>
  <c r="AK91" i="111" s="1"/>
  <c r="AJ79" i="111"/>
  <c r="AK79" i="111" s="1"/>
  <c r="AJ67" i="111"/>
  <c r="AK67" i="111" s="1"/>
  <c r="AJ55" i="111"/>
  <c r="AK55" i="111" s="1"/>
  <c r="AJ43" i="111"/>
  <c r="AK43" i="111" s="1"/>
  <c r="AJ31" i="111"/>
  <c r="AK31" i="111" s="1"/>
  <c r="AJ20" i="111"/>
  <c r="AK20" i="111" s="1"/>
  <c r="AJ56" i="111"/>
  <c r="AK56" i="111" s="1"/>
  <c r="AJ44" i="111"/>
  <c r="AK44" i="111" s="1"/>
  <c r="AJ32" i="111"/>
  <c r="AK32" i="111" s="1"/>
  <c r="AJ21" i="111"/>
  <c r="AK21" i="111" s="1"/>
  <c r="AJ14" i="111"/>
  <c r="AK14" i="111" s="1"/>
  <c r="AJ11" i="111"/>
  <c r="AK11" i="111" s="1"/>
  <c r="AJ8" i="111"/>
  <c r="AK8" i="111" s="1"/>
  <c r="AJ33" i="111"/>
  <c r="AK33" i="111" s="1"/>
  <c r="AJ22" i="111"/>
  <c r="AK22" i="111" s="1"/>
  <c r="AJ46" i="111"/>
  <c r="AK46" i="111" s="1"/>
  <c r="AJ34" i="111"/>
  <c r="AK34" i="111" s="1"/>
  <c r="AJ23" i="111"/>
  <c r="AK23" i="111" s="1"/>
  <c r="AJ83" i="111"/>
  <c r="AK83" i="111" s="1"/>
  <c r="AJ71" i="111"/>
  <c r="AK71" i="111" s="1"/>
  <c r="AJ59" i="111"/>
  <c r="AK59" i="111" s="1"/>
  <c r="AJ47" i="111"/>
  <c r="AK47" i="111" s="1"/>
  <c r="AJ35" i="111"/>
  <c r="AK35" i="111" s="1"/>
  <c r="AJ24" i="111"/>
  <c r="AK24" i="111" s="1"/>
  <c r="AY127" i="49" l="1"/>
  <c r="AX128" i="49" s="1"/>
  <c r="AY128" i="49" s="1"/>
  <c r="AY129" i="49" s="1"/>
  <c r="AP19" i="111"/>
  <c r="AO105" i="111"/>
  <c r="AO87" i="111"/>
  <c r="AO75" i="111"/>
  <c r="AO85" i="111"/>
  <c r="C95" i="111" s="1"/>
  <c r="AU95" i="111" s="1"/>
  <c r="AO73" i="111"/>
  <c r="AO68" i="111"/>
  <c r="AO54" i="111"/>
  <c r="AP45" i="111"/>
  <c r="AP25" i="111"/>
  <c r="AO80" i="111"/>
  <c r="C90" i="111" s="1"/>
  <c r="AU90" i="111" s="1"/>
  <c r="AO97" i="111"/>
  <c r="C107" i="111" s="1"/>
  <c r="AU107" i="111" s="1"/>
  <c r="AO59" i="111"/>
  <c r="AO58" i="111"/>
  <c r="AO26" i="111"/>
  <c r="AO69" i="111"/>
  <c r="AO36" i="111"/>
  <c r="AP41" i="111"/>
  <c r="AO71" i="111"/>
  <c r="AO91" i="111"/>
  <c r="AP17" i="111"/>
  <c r="AP83" i="111"/>
  <c r="AO37" i="111"/>
  <c r="AP66" i="111"/>
  <c r="AP67" i="111"/>
  <c r="AO32" i="111"/>
  <c r="AP33" i="111"/>
  <c r="AO22" i="111"/>
  <c r="AP88" i="111"/>
  <c r="AP23" i="111"/>
  <c r="AO103" i="111"/>
  <c r="AO100" i="111"/>
  <c r="AO55" i="111"/>
  <c r="AO98" i="111"/>
  <c r="AP60" i="111"/>
  <c r="C70" i="111" s="1"/>
  <c r="AU70" i="111" s="1"/>
  <c r="AP68" i="111"/>
  <c r="AP94" i="111"/>
  <c r="C104" i="111" s="1"/>
  <c r="AU104" i="111" s="1"/>
  <c r="AO66" i="111"/>
  <c r="C76" i="111" s="1"/>
  <c r="AU76" i="111" s="1"/>
  <c r="AP91" i="111"/>
  <c r="AO90" i="111"/>
  <c r="C100" i="111" s="1"/>
  <c r="AU100" i="111" s="1"/>
  <c r="AO48" i="111"/>
  <c r="AP69" i="111"/>
  <c r="AP40" i="111"/>
  <c r="AP8" i="111"/>
  <c r="AO86" i="111"/>
  <c r="C96" i="111" s="1"/>
  <c r="AU96" i="111" s="1"/>
  <c r="AP46" i="111"/>
  <c r="AO56" i="111"/>
  <c r="C66" i="111" s="1"/>
  <c r="AU66" i="111" s="1"/>
  <c r="AP35" i="111"/>
  <c r="AO30" i="111"/>
  <c r="AP24" i="111"/>
  <c r="AO45" i="111"/>
  <c r="AP81" i="111"/>
  <c r="C91" i="111" s="1"/>
  <c r="AU91" i="111" s="1"/>
  <c r="AO15" i="111"/>
  <c r="AP96" i="111"/>
  <c r="C106" i="111" s="1"/>
  <c r="AU106" i="111" s="1"/>
  <c r="AP47" i="111"/>
  <c r="AP100" i="111"/>
  <c r="AO51" i="111"/>
  <c r="AP84" i="111"/>
  <c r="C94" i="111" s="1"/>
  <c r="AU94" i="111" s="1"/>
  <c r="AP15" i="111"/>
  <c r="AP63" i="111"/>
  <c r="C73" i="111" s="1"/>
  <c r="AU73" i="111" s="1"/>
  <c r="AO31" i="111"/>
  <c r="AP78" i="111"/>
  <c r="AO40" i="111"/>
  <c r="AP59" i="111"/>
  <c r="AO102" i="111"/>
  <c r="AP44" i="111"/>
  <c r="AO18" i="111"/>
  <c r="AP32" i="111"/>
  <c r="AO76" i="111"/>
  <c r="AP39" i="111"/>
  <c r="AO25" i="111"/>
  <c r="C35" i="111" s="1"/>
  <c r="AU35" i="111" s="1"/>
  <c r="AO12" i="111"/>
  <c r="AO65" i="111"/>
  <c r="AP87" i="111"/>
  <c r="AP18" i="111"/>
  <c r="AP64" i="111"/>
  <c r="AP70" i="111"/>
  <c r="C80" i="111" s="1"/>
  <c r="AU80" i="111" s="1"/>
  <c r="AO21" i="111"/>
  <c r="AP20" i="111"/>
  <c r="AP76" i="111"/>
  <c r="AO62" i="111"/>
  <c r="AO83" i="111"/>
  <c r="C93" i="111" s="1"/>
  <c r="AU93" i="111" s="1"/>
  <c r="AO19" i="111"/>
  <c r="AO74" i="111"/>
  <c r="AO24" i="111"/>
  <c r="AO78" i="111"/>
  <c r="C88" i="111" s="1"/>
  <c r="AU88" i="111" s="1"/>
  <c r="AO64" i="111"/>
  <c r="AO67" i="111"/>
  <c r="AP102" i="111"/>
  <c r="AP52" i="111"/>
  <c r="AP10" i="111"/>
  <c r="AO79" i="111"/>
  <c r="AO88" i="111"/>
  <c r="C98" i="111" s="1"/>
  <c r="AU98" i="111" s="1"/>
  <c r="AP92" i="111"/>
  <c r="C102" i="111" s="1"/>
  <c r="AU102" i="111" s="1"/>
  <c r="AP93" i="111"/>
  <c r="C103" i="111" s="1"/>
  <c r="AU103" i="111" s="1"/>
  <c r="AP14" i="111"/>
  <c r="AP77" i="111"/>
  <c r="C87" i="111" s="1"/>
  <c r="AU87" i="111" s="1"/>
  <c r="AO23" i="111"/>
  <c r="AO14" i="111"/>
  <c r="AP22" i="111"/>
  <c r="AO8" i="111"/>
  <c r="AP105" i="111"/>
  <c r="AP103" i="111"/>
  <c r="AP11" i="111"/>
  <c r="AP34" i="111"/>
  <c r="AP65" i="111"/>
  <c r="AP57" i="111"/>
  <c r="C67" i="111" s="1"/>
  <c r="AU67" i="111" s="1"/>
  <c r="AP29" i="111"/>
  <c r="AP28" i="111"/>
  <c r="AP9" i="111"/>
  <c r="AO20" i="111"/>
  <c r="AP31" i="111"/>
  <c r="AO46" i="111"/>
  <c r="AP21" i="111"/>
  <c r="AO50" i="111"/>
  <c r="AP95" i="111"/>
  <c r="C105" i="111" s="1"/>
  <c r="AU105" i="111" s="1"/>
  <c r="AO17" i="111"/>
  <c r="C27" i="111" s="1"/>
  <c r="AU27" i="111" s="1"/>
  <c r="AO7" i="111"/>
  <c r="AP53" i="111"/>
  <c r="AP104" i="111"/>
  <c r="C114" i="111" s="1"/>
  <c r="AU114" i="111" s="1"/>
  <c r="AO33" i="111"/>
  <c r="AO29" i="111"/>
  <c r="C39" i="111" s="1"/>
  <c r="AU39" i="111" s="1"/>
  <c r="AO34" i="111"/>
  <c r="AO41" i="111"/>
  <c r="AP61" i="111"/>
  <c r="C71" i="111" s="1"/>
  <c r="AU71" i="111" s="1"/>
  <c r="AP56" i="111"/>
  <c r="AP74" i="111"/>
  <c r="AP75" i="111"/>
  <c r="AO43" i="111"/>
  <c r="AP98" i="111"/>
  <c r="AP99" i="111"/>
  <c r="C109" i="111" s="1"/>
  <c r="AU109" i="111" s="1"/>
  <c r="AO28" i="111"/>
  <c r="AP51" i="111"/>
  <c r="AP62" i="111"/>
  <c r="AP82" i="111"/>
  <c r="C92" i="111" s="1"/>
  <c r="AU92" i="111" s="1"/>
  <c r="AP50" i="111"/>
  <c r="AP54" i="111"/>
  <c r="AP89" i="111"/>
  <c r="C99" i="111" s="1"/>
  <c r="AU99" i="111" s="1"/>
  <c r="AO13" i="111"/>
  <c r="AO44" i="111"/>
  <c r="C54" i="111" s="1"/>
  <c r="AU54" i="111" s="1"/>
  <c r="AP55" i="111"/>
  <c r="AO39" i="111"/>
  <c r="C49" i="111" s="1"/>
  <c r="AU49" i="111" s="1"/>
  <c r="AP73" i="111"/>
  <c r="AP72" i="111"/>
  <c r="C82" i="111" s="1"/>
  <c r="AU82" i="111" s="1"/>
  <c r="AO11" i="111"/>
  <c r="AO10" i="111"/>
  <c r="AO47" i="111"/>
  <c r="AP12" i="111"/>
  <c r="AO9" i="111"/>
  <c r="AP13" i="111"/>
  <c r="AP26" i="111"/>
  <c r="AO16" i="111"/>
  <c r="C26" i="111" s="1"/>
  <c r="AU26" i="111" s="1"/>
  <c r="AP38" i="111"/>
  <c r="AP58" i="111"/>
  <c r="AO35" i="111"/>
  <c r="AO42" i="111"/>
  <c r="AP27" i="111"/>
  <c r="AP42" i="111"/>
  <c r="AP37" i="111"/>
  <c r="AP36" i="111"/>
  <c r="AP49" i="111"/>
  <c r="C59" i="111" s="1"/>
  <c r="AU59" i="111" s="1"/>
  <c r="AP48" i="111"/>
  <c r="AO27" i="111"/>
  <c r="AP101" i="111"/>
  <c r="C111" i="111" s="1"/>
  <c r="AU111" i="111" s="1"/>
  <c r="AO53" i="111"/>
  <c r="AP30" i="111"/>
  <c r="AP43" i="111"/>
  <c r="AO6" i="111"/>
  <c r="AP6" i="111"/>
  <c r="AP7" i="111"/>
  <c r="AP79" i="111"/>
  <c r="AP71" i="111"/>
  <c r="AO38" i="111"/>
  <c r="AP16" i="111"/>
  <c r="AO52" i="111"/>
  <c r="C62" i="111" s="1"/>
  <c r="AU62" i="111" s="1"/>
  <c r="C51" i="111" l="1"/>
  <c r="AU51" i="111" s="1"/>
  <c r="C57" i="111"/>
  <c r="AU57" i="111" s="1"/>
  <c r="C30" i="111"/>
  <c r="AU30" i="111" s="1"/>
  <c r="C20" i="111"/>
  <c r="AU20" i="111" s="1"/>
  <c r="C21" i="111"/>
  <c r="AU21" i="111" s="1"/>
  <c r="C33" i="111"/>
  <c r="AU33" i="111" s="1"/>
  <c r="C74" i="111"/>
  <c r="AU74" i="111" s="1"/>
  <c r="C50" i="111"/>
  <c r="AU50" i="111" s="1"/>
  <c r="C42" i="111"/>
  <c r="AU42" i="111" s="1"/>
  <c r="C68" i="111"/>
  <c r="AU68" i="111" s="1"/>
  <c r="C75" i="111"/>
  <c r="AU75" i="111" s="1"/>
  <c r="C41" i="111"/>
  <c r="AU41" i="111" s="1"/>
  <c r="C40" i="111"/>
  <c r="AU40" i="111" s="1"/>
  <c r="C84" i="111"/>
  <c r="AU84" i="111" s="1"/>
  <c r="C23" i="111"/>
  <c r="AU23" i="111" s="1"/>
  <c r="C63" i="111"/>
  <c r="AU63" i="111" s="1"/>
  <c r="C56" i="111"/>
  <c r="AU56" i="111" s="1"/>
  <c r="C18" i="111"/>
  <c r="AU18" i="111" s="1"/>
  <c r="C48" i="111"/>
  <c r="AU48" i="111" s="1"/>
  <c r="C44" i="111"/>
  <c r="AU44" i="111" s="1"/>
  <c r="C24" i="111"/>
  <c r="AU24" i="111" s="1"/>
  <c r="C55" i="111"/>
  <c r="AU55" i="111" s="1"/>
  <c r="C36" i="111"/>
  <c r="AU36" i="111" s="1"/>
  <c r="C97" i="111"/>
  <c r="AU97" i="111" s="1"/>
  <c r="C115" i="111"/>
  <c r="AU115" i="111" s="1"/>
  <c r="C69" i="111"/>
  <c r="AU69" i="111" s="1"/>
  <c r="C22" i="111"/>
  <c r="AU22" i="111" s="1"/>
  <c r="C34" i="111"/>
  <c r="AU34" i="111" s="1"/>
  <c r="C29" i="111"/>
  <c r="AU29" i="111" s="1"/>
  <c r="C47" i="111"/>
  <c r="AU47" i="111" s="1"/>
  <c r="C17" i="111"/>
  <c r="AU17" i="111" s="1"/>
  <c r="C108" i="111"/>
  <c r="AU108" i="111" s="1"/>
  <c r="C38" i="111"/>
  <c r="AU38" i="111" s="1"/>
  <c r="C53" i="111"/>
  <c r="AU53" i="111" s="1"/>
  <c r="C72" i="111"/>
  <c r="AU72" i="111" s="1"/>
  <c r="C86" i="111"/>
  <c r="AU86" i="111" s="1"/>
  <c r="C61" i="111"/>
  <c r="AU61" i="111" s="1"/>
  <c r="C65" i="111"/>
  <c r="AU65" i="111" s="1"/>
  <c r="C43" i="111"/>
  <c r="AU43" i="111" s="1"/>
  <c r="C16" i="111"/>
  <c r="AU16" i="111" s="1"/>
  <c r="C89" i="111"/>
  <c r="AU89" i="111" s="1"/>
  <c r="C110" i="111"/>
  <c r="AU110" i="111" s="1"/>
  <c r="C101" i="111"/>
  <c r="AU101" i="111" s="1"/>
  <c r="C64" i="111"/>
  <c r="AU64" i="111" s="1"/>
  <c r="C37" i="111"/>
  <c r="AU37" i="111" s="1"/>
  <c r="C60" i="111"/>
  <c r="AU60" i="111" s="1"/>
  <c r="C28" i="111"/>
  <c r="AU28" i="111" s="1"/>
  <c r="C113" i="111"/>
  <c r="AU113" i="111" s="1"/>
  <c r="C81" i="111"/>
  <c r="AU81" i="111" s="1"/>
  <c r="C78" i="111"/>
  <c r="AU78" i="111" s="1"/>
  <c r="C52" i="111"/>
  <c r="AU52" i="111" s="1"/>
  <c r="C45" i="111"/>
  <c r="AU45" i="111" s="1"/>
  <c r="C31" i="111"/>
  <c r="AU31" i="111" s="1"/>
  <c r="C83" i="111"/>
  <c r="AU83" i="111" s="1"/>
  <c r="C112" i="111"/>
  <c r="AU112" i="111" s="1"/>
  <c r="C25" i="111"/>
  <c r="AU25" i="111" s="1"/>
  <c r="C58" i="111"/>
  <c r="AU58" i="111" s="1"/>
  <c r="C46" i="111"/>
  <c r="AU46" i="111" s="1"/>
  <c r="C19" i="111"/>
  <c r="AU19" i="111" s="1"/>
  <c r="C77" i="111"/>
  <c r="AU77" i="111" s="1"/>
  <c r="C32" i="111"/>
  <c r="AU32" i="111" s="1"/>
  <c r="C79" i="111"/>
  <c r="AU79" i="111" s="1"/>
  <c r="C85" i="111"/>
  <c r="AU85" i="111" s="1"/>
  <c r="AY130" i="49"/>
  <c r="AY131" i="49" s="1"/>
  <c r="AY132" i="49" s="1"/>
  <c r="AX133" i="49" s="1"/>
  <c r="E9" i="68"/>
  <c r="G25" i="20"/>
  <c r="R90" i="68"/>
  <c r="R97" i="68"/>
  <c r="C250" i="57"/>
  <c r="R248" i="57" l="1"/>
  <c r="S248" i="57" s="1"/>
  <c r="F572" i="102" s="1"/>
  <c r="F571" i="102"/>
  <c r="AW16" i="111" a="1"/>
  <c r="AW16" i="111" s="1"/>
  <c r="BA133" i="49"/>
  <c r="BA121" i="49"/>
  <c r="BA122" i="49"/>
  <c r="BA128" i="49"/>
  <c r="BA129" i="49"/>
  <c r="BA130" i="49"/>
  <c r="BA124" i="49"/>
  <c r="AY133" i="49"/>
  <c r="BA126" i="49"/>
  <c r="BA125" i="49"/>
  <c r="BA132" i="49"/>
  <c r="BA123" i="49"/>
  <c r="BA127" i="49"/>
  <c r="BA131" i="49"/>
  <c r="R247" i="57"/>
  <c r="S247" i="57" s="1"/>
  <c r="F536" i="102"/>
  <c r="R109" i="68"/>
  <c r="D109" i="68" s="1"/>
  <c r="F25" i="20" s="1"/>
  <c r="F551" i="102"/>
  <c r="S252" i="57" l="1"/>
  <c r="D253" i="57" s="1"/>
  <c r="F570" i="102"/>
  <c r="BC121" i="49" a="1"/>
  <c r="BC121" i="49" s="1"/>
  <c r="F38" i="20"/>
  <c r="F321" i="102" s="1"/>
  <c r="F39" i="47"/>
  <c r="D9" i="57" l="1"/>
  <c r="F573" i="102"/>
  <c r="H19" i="103"/>
  <c r="K31" i="47" l="1"/>
  <c r="K39" i="47"/>
  <c r="B319" i="42" l="1"/>
  <c r="B318" i="42"/>
  <c r="B317" i="42"/>
  <c r="B316" i="42"/>
  <c r="B315" i="42"/>
  <c r="B314" i="42"/>
  <c r="B313" i="42"/>
  <c r="B312" i="42"/>
  <c r="B311" i="42"/>
  <c r="B308" i="42"/>
  <c r="B309" i="42"/>
  <c r="B310" i="42"/>
  <c r="B305" i="42"/>
  <c r="B304" i="42"/>
  <c r="B303" i="42"/>
  <c r="B302" i="42"/>
  <c r="B301" i="42"/>
  <c r="B300" i="42"/>
  <c r="B299" i="42"/>
  <c r="B298" i="42"/>
  <c r="B297" i="42"/>
  <c r="B296" i="42"/>
  <c r="B295" i="42"/>
  <c r="B292" i="42"/>
  <c r="B291" i="42"/>
  <c r="B290" i="42"/>
  <c r="B289" i="42"/>
  <c r="B288" i="42"/>
  <c r="B287" i="42"/>
  <c r="B286" i="42"/>
  <c r="B285" i="42"/>
  <c r="B284" i="42"/>
  <c r="B283" i="42"/>
  <c r="B282" i="42"/>
  <c r="B281" i="42"/>
  <c r="B280" i="42"/>
  <c r="G305" i="42" l="1"/>
  <c r="G304" i="42"/>
  <c r="G303" i="42"/>
  <c r="G302" i="42"/>
  <c r="G301" i="42"/>
  <c r="M292" i="42" a="1"/>
  <c r="M292" i="42" s="1"/>
  <c r="M291" i="42" a="1"/>
  <c r="M291" i="42" s="1"/>
  <c r="M290" i="42" a="1"/>
  <c r="M290" i="42" s="1"/>
  <c r="M289" i="42"/>
  <c r="K292" i="42"/>
  <c r="K291" i="42"/>
  <c r="K290" i="42"/>
  <c r="K289" i="42"/>
  <c r="I292" i="42"/>
  <c r="I291" i="42"/>
  <c r="I290" i="42"/>
  <c r="G292" i="42"/>
  <c r="G291" i="42"/>
  <c r="G290" i="42"/>
  <c r="G289" i="42"/>
  <c r="W25" i="46" l="1" a="1"/>
  <c r="W25" i="46" s="1"/>
  <c r="I15" i="46"/>
  <c r="E78" i="46" l="1"/>
  <c r="F62" i="46"/>
  <c r="F72" i="46"/>
  <c r="F73" i="46"/>
  <c r="J27" i="106"/>
  <c r="F173" i="49"/>
  <c r="D180" i="49" s="1"/>
  <c r="E180" i="49" s="1"/>
  <c r="F180" i="49" s="1"/>
  <c r="G180" i="49" s="1"/>
  <c r="H180" i="49" s="1"/>
  <c r="I180" i="49" s="1"/>
  <c r="J180" i="49" s="1"/>
  <c r="K180" i="49" s="1"/>
  <c r="L180" i="49" s="1"/>
  <c r="M180" i="49" s="1"/>
  <c r="N180" i="49" s="1"/>
  <c r="O180" i="49" s="1"/>
  <c r="P180" i="49" s="1"/>
  <c r="Q180" i="49" s="1"/>
  <c r="R180" i="49" s="1"/>
  <c r="S180" i="49" s="1"/>
  <c r="E85" i="49"/>
  <c r="E73" i="49"/>
  <c r="F73" i="49" s="1"/>
  <c r="G73" i="49" s="1"/>
  <c r="H73" i="49" s="1"/>
  <c r="I73" i="49" s="1"/>
  <c r="J73" i="49" s="1"/>
  <c r="K73" i="49" s="1"/>
  <c r="L73" i="49" s="1"/>
  <c r="M73" i="49" s="1"/>
  <c r="N73" i="49" s="1"/>
  <c r="O73" i="49" s="1"/>
  <c r="P73" i="49" s="1"/>
  <c r="Q73" i="49" s="1"/>
  <c r="R73" i="49" s="1"/>
  <c r="S73" i="49" s="1"/>
  <c r="T73" i="49" s="1"/>
  <c r="U73" i="49" s="1"/>
  <c r="V73" i="49" s="1"/>
  <c r="W73" i="49" s="1"/>
  <c r="X73" i="49" s="1"/>
  <c r="Y73" i="49" s="1"/>
  <c r="Z73" i="49" s="1"/>
  <c r="AA73" i="49" s="1"/>
  <c r="AB73" i="49" s="1"/>
  <c r="AC73" i="49" s="1"/>
  <c r="AD73" i="49" s="1"/>
  <c r="AE73" i="49" s="1"/>
  <c r="AF73" i="49" s="1"/>
  <c r="AG73" i="49" s="1"/>
  <c r="AH73" i="49" s="1"/>
  <c r="AI73" i="49" s="1"/>
  <c r="AJ73" i="49" s="1"/>
  <c r="AK73" i="49" s="1"/>
  <c r="AL73" i="49" s="1"/>
  <c r="E147" i="49" l="1"/>
  <c r="E148" i="49" s="1"/>
  <c r="E151" i="49"/>
  <c r="E152" i="49" s="1"/>
  <c r="F85" i="49"/>
  <c r="G85" i="49"/>
  <c r="D397" i="42"/>
  <c r="E397" i="42"/>
  <c r="E336" i="42"/>
  <c r="D336" i="42"/>
  <c r="C527" i="42"/>
  <c r="E402" i="42"/>
  <c r="D402" i="42"/>
  <c r="F339" i="42"/>
  <c r="C339" i="42"/>
  <c r="J19" i="106"/>
  <c r="J12" i="106"/>
  <c r="D326" i="42"/>
  <c r="N86" i="45"/>
  <c r="M16" i="45" s="1"/>
  <c r="N16" i="45" s="1"/>
  <c r="O86" i="45"/>
  <c r="P86" i="45"/>
  <c r="Q86" i="45"/>
  <c r="R86" i="45"/>
  <c r="M86" i="45"/>
  <c r="M22" i="45"/>
  <c r="N22" i="45" s="1"/>
  <c r="M23" i="45"/>
  <c r="N23" i="45" s="1"/>
  <c r="M24" i="45"/>
  <c r="N24" i="45" s="1"/>
  <c r="M25" i="45"/>
  <c r="N25" i="45" s="1"/>
  <c r="M26" i="45"/>
  <c r="N26" i="45" s="1"/>
  <c r="M27" i="45"/>
  <c r="N27" i="45" s="1"/>
  <c r="M28" i="45"/>
  <c r="N28" i="45" s="1"/>
  <c r="M29" i="45"/>
  <c r="N29" i="45" s="1"/>
  <c r="M30" i="45"/>
  <c r="N30" i="45" s="1"/>
  <c r="M31" i="45"/>
  <c r="N31" i="45" s="1"/>
  <c r="M32" i="45"/>
  <c r="N32" i="45" s="1"/>
  <c r="M33" i="45"/>
  <c r="N33" i="45" s="1"/>
  <c r="M34" i="45"/>
  <c r="N34" i="45" s="1"/>
  <c r="M35" i="45"/>
  <c r="N35" i="45" s="1"/>
  <c r="M36" i="45"/>
  <c r="N36" i="45" s="1"/>
  <c r="M37" i="45"/>
  <c r="N37" i="45" s="1"/>
  <c r="M38" i="45"/>
  <c r="N38" i="45" s="1"/>
  <c r="M39" i="45"/>
  <c r="N39" i="45" s="1"/>
  <c r="M40" i="45"/>
  <c r="N40" i="45" s="1"/>
  <c r="M41" i="45"/>
  <c r="N41" i="45" s="1"/>
  <c r="M42" i="45"/>
  <c r="N42" i="45" s="1"/>
  <c r="M43" i="45"/>
  <c r="N43" i="45" s="1"/>
  <c r="M44" i="45"/>
  <c r="N44" i="45" s="1"/>
  <c r="M45" i="45"/>
  <c r="N45" i="45" s="1"/>
  <c r="M46" i="45"/>
  <c r="N46" i="45" s="1"/>
  <c r="M47" i="45"/>
  <c r="N47" i="45" s="1"/>
  <c r="M48" i="45"/>
  <c r="N48" i="45" s="1"/>
  <c r="M49" i="45"/>
  <c r="N49" i="45" s="1"/>
  <c r="M50" i="45"/>
  <c r="N50" i="45" s="1"/>
  <c r="M51" i="45"/>
  <c r="N51" i="45" s="1"/>
  <c r="M52" i="45"/>
  <c r="N52" i="45" s="1"/>
  <c r="M53" i="45"/>
  <c r="N53" i="45" s="1"/>
  <c r="M54" i="45"/>
  <c r="N54" i="45" s="1"/>
  <c r="M55" i="45"/>
  <c r="N55" i="45" s="1"/>
  <c r="M56" i="45"/>
  <c r="N56" i="45" s="1"/>
  <c r="M57" i="45"/>
  <c r="N57" i="45" s="1"/>
  <c r="M58" i="45"/>
  <c r="N58" i="45" s="1"/>
  <c r="M59" i="45"/>
  <c r="N59" i="45" s="1"/>
  <c r="M60" i="45"/>
  <c r="N60" i="45" s="1"/>
  <c r="M61" i="45"/>
  <c r="N61" i="45" s="1"/>
  <c r="M62" i="45"/>
  <c r="N62" i="45" s="1"/>
  <c r="M63" i="45"/>
  <c r="N63" i="45" s="1"/>
  <c r="N64" i="45"/>
  <c r="M65" i="45"/>
  <c r="N65" i="45" s="1"/>
  <c r="AA13" i="45"/>
  <c r="G147" i="49" l="1"/>
  <c r="G148" i="49" s="1"/>
  <c r="G151" i="49"/>
  <c r="G152" i="49" s="1"/>
  <c r="F147" i="49"/>
  <c r="F148" i="49" s="1"/>
  <c r="F151" i="49"/>
  <c r="F152" i="49" s="1"/>
  <c r="M18" i="45"/>
  <c r="M17" i="45"/>
  <c r="H85" i="49"/>
  <c r="E478" i="42"/>
  <c r="E476" i="42"/>
  <c r="E475" i="42"/>
  <c r="E474" i="42"/>
  <c r="E469" i="42"/>
  <c r="E465" i="42"/>
  <c r="E462" i="42"/>
  <c r="D478" i="42"/>
  <c r="D476" i="42"/>
  <c r="D475" i="42"/>
  <c r="D474" i="42"/>
  <c r="D469" i="42"/>
  <c r="D465" i="42"/>
  <c r="D462" i="42"/>
  <c r="E445" i="42"/>
  <c r="E444" i="42"/>
  <c r="E443" i="42"/>
  <c r="E442" i="42"/>
  <c r="D445" i="42"/>
  <c r="D444" i="42"/>
  <c r="D443" i="42"/>
  <c r="D442" i="42"/>
  <c r="E422" i="42"/>
  <c r="E421" i="42"/>
  <c r="E420" i="42"/>
  <c r="E419" i="42"/>
  <c r="E418" i="42"/>
  <c r="E415" i="42"/>
  <c r="D422" i="42"/>
  <c r="D421" i="42"/>
  <c r="D420" i="42"/>
  <c r="D419" i="42"/>
  <c r="D418" i="42"/>
  <c r="D415" i="42"/>
  <c r="D414" i="42"/>
  <c r="E414" i="42"/>
  <c r="E400" i="42"/>
  <c r="E395" i="42"/>
  <c r="E394" i="42"/>
  <c r="E393" i="42"/>
  <c r="D400" i="42"/>
  <c r="D395" i="42"/>
  <c r="D394" i="42"/>
  <c r="D393" i="42"/>
  <c r="E366" i="42"/>
  <c r="H147" i="49" l="1"/>
  <c r="H148" i="49" s="1"/>
  <c r="H151" i="49"/>
  <c r="H152" i="49" s="1"/>
  <c r="I85" i="49"/>
  <c r="D473" i="42"/>
  <c r="J85" i="49"/>
  <c r="E473" i="42"/>
  <c r="F160" i="102"/>
  <c r="D390" i="42"/>
  <c r="E390" i="42"/>
  <c r="E386" i="42"/>
  <c r="E387" i="42" s="1"/>
  <c r="E367" i="42"/>
  <c r="E373" i="42"/>
  <c r="E374" i="42"/>
  <c r="E383" i="42"/>
  <c r="E360" i="42"/>
  <c r="E359" i="42"/>
  <c r="D386" i="42"/>
  <c r="D387" i="42" s="1"/>
  <c r="D383" i="42"/>
  <c r="D374" i="42"/>
  <c r="D373" i="42"/>
  <c r="D367" i="42"/>
  <c r="D366" i="42"/>
  <c r="E358" i="42"/>
  <c r="E357" i="42"/>
  <c r="E354" i="42"/>
  <c r="E352" i="42"/>
  <c r="E351" i="42"/>
  <c r="E348" i="42"/>
  <c r="E347" i="42"/>
  <c r="D360" i="42"/>
  <c r="D359" i="42"/>
  <c r="D358" i="42"/>
  <c r="D357" i="42"/>
  <c r="D354" i="42"/>
  <c r="D352" i="42"/>
  <c r="D351" i="42"/>
  <c r="D348" i="42"/>
  <c r="D347" i="42"/>
  <c r="D345" i="42"/>
  <c r="E335" i="42"/>
  <c r="E334" i="42"/>
  <c r="E332" i="42"/>
  <c r="E326" i="42"/>
  <c r="E325" i="42"/>
  <c r="D335" i="42"/>
  <c r="D334" i="42"/>
  <c r="D332" i="42"/>
  <c r="D327" i="42"/>
  <c r="D325" i="42"/>
  <c r="C36" i="7"/>
  <c r="I147" i="49" l="1"/>
  <c r="I148" i="49" s="1"/>
  <c r="I151" i="49"/>
  <c r="I152" i="49" s="1"/>
  <c r="J147" i="49"/>
  <c r="J148" i="49" s="1"/>
  <c r="J151" i="49"/>
  <c r="J152" i="49" s="1"/>
  <c r="K85" i="49"/>
  <c r="K151" i="49" l="1"/>
  <c r="K152" i="49" s="1"/>
  <c r="K147" i="49"/>
  <c r="K148" i="49" s="1"/>
  <c r="L85" i="49"/>
  <c r="L147" i="49" l="1"/>
  <c r="L148" i="49" s="1"/>
  <c r="L151" i="49"/>
  <c r="L152" i="49" s="1"/>
  <c r="M85" i="49"/>
  <c r="J1" i="108"/>
  <c r="B1" i="108"/>
  <c r="I1" i="68"/>
  <c r="L1" i="65"/>
  <c r="J1" i="59"/>
  <c r="K1" i="57"/>
  <c r="E1" i="20"/>
  <c r="E1" i="52"/>
  <c r="K1" i="109"/>
  <c r="E1" i="49"/>
  <c r="E1" i="48"/>
  <c r="I1" i="103"/>
  <c r="E1" i="47"/>
  <c r="G1" i="105"/>
  <c r="F1" i="46"/>
  <c r="F1" i="45"/>
  <c r="E1" i="13"/>
  <c r="D1" i="11"/>
  <c r="D1" i="10"/>
  <c r="D1" i="9"/>
  <c r="E1" i="7"/>
  <c r="E1" i="6"/>
  <c r="D1" i="3"/>
  <c r="E1" i="1"/>
  <c r="J11" i="106"/>
  <c r="M147" i="49" l="1"/>
  <c r="M148" i="49" s="1"/>
  <c r="M151" i="49"/>
  <c r="M152" i="49" s="1"/>
  <c r="N85" i="49"/>
  <c r="J38" i="106"/>
  <c r="J37" i="106"/>
  <c r="J30" i="106"/>
  <c r="J29" i="106"/>
  <c r="J26" i="106"/>
  <c r="J25" i="106"/>
  <c r="J24" i="106"/>
  <c r="J23" i="106"/>
  <c r="J22" i="106"/>
  <c r="J21" i="106"/>
  <c r="J20" i="106"/>
  <c r="J18" i="106"/>
  <c r="J17" i="106"/>
  <c r="J16" i="106"/>
  <c r="J15" i="106"/>
  <c r="J14" i="106"/>
  <c r="B1" i="106"/>
  <c r="N147" i="49" l="1"/>
  <c r="N148" i="49" s="1"/>
  <c r="N151" i="49"/>
  <c r="N152" i="49" s="1"/>
  <c r="O85" i="49"/>
  <c r="B1" i="111"/>
  <c r="B1" i="88"/>
  <c r="B1" i="90"/>
  <c r="B1" i="91"/>
  <c r="B1" i="89"/>
  <c r="B1" i="1"/>
  <c r="B1" i="65"/>
  <c r="B1" i="57"/>
  <c r="P85" i="49"/>
  <c r="B1" i="9"/>
  <c r="B1" i="49"/>
  <c r="B1" i="7"/>
  <c r="B1" i="48"/>
  <c r="B1" i="6"/>
  <c r="B1" i="103"/>
  <c r="B1" i="3"/>
  <c r="B1" i="59"/>
  <c r="B1" i="47"/>
  <c r="B1" i="20"/>
  <c r="B1" i="105"/>
  <c r="B1" i="13"/>
  <c r="B1" i="109"/>
  <c r="B1" i="46"/>
  <c r="B1" i="68"/>
  <c r="B1" i="45"/>
  <c r="B1" i="10"/>
  <c r="B1" i="52"/>
  <c r="B1" i="11"/>
  <c r="E18" i="88"/>
  <c r="O151" i="49" l="1"/>
  <c r="O152" i="49" s="1"/>
  <c r="O147" i="49"/>
  <c r="O148" i="49" s="1"/>
  <c r="P151" i="49"/>
  <c r="P152" i="49" s="1"/>
  <c r="P147" i="49"/>
  <c r="P148" i="49" s="1"/>
  <c r="Q85" i="49"/>
  <c r="BH17" i="45"/>
  <c r="BH18" i="45"/>
  <c r="BH19" i="45"/>
  <c r="BH20" i="45"/>
  <c r="BH21" i="45"/>
  <c r="BH22" i="45"/>
  <c r="BH23" i="45"/>
  <c r="BH24" i="45"/>
  <c r="BH25" i="45"/>
  <c r="BH26" i="45"/>
  <c r="BH27" i="45"/>
  <c r="BH28" i="45"/>
  <c r="BH29" i="45"/>
  <c r="BH30" i="45"/>
  <c r="BH31" i="45"/>
  <c r="BH32" i="45"/>
  <c r="BH33" i="45"/>
  <c r="BH34" i="45"/>
  <c r="BH35" i="45"/>
  <c r="BH36" i="45"/>
  <c r="BH37" i="45"/>
  <c r="BH38" i="45"/>
  <c r="BH39" i="45"/>
  <c r="BH40" i="45"/>
  <c r="BH41" i="45"/>
  <c r="BH42" i="45"/>
  <c r="BH43" i="45"/>
  <c r="BH44" i="45"/>
  <c r="BH45" i="45"/>
  <c r="BH46" i="45"/>
  <c r="BH47" i="45"/>
  <c r="BH48" i="45"/>
  <c r="BH49" i="45"/>
  <c r="BH50" i="45"/>
  <c r="BH51" i="45"/>
  <c r="BH52" i="45"/>
  <c r="BH53" i="45"/>
  <c r="BH54" i="45"/>
  <c r="BH55" i="45"/>
  <c r="BH56" i="45"/>
  <c r="BH57" i="45"/>
  <c r="BH58" i="45"/>
  <c r="BH59" i="45"/>
  <c r="BH60" i="45"/>
  <c r="BH61" i="45"/>
  <c r="BH62" i="45"/>
  <c r="BH63" i="45"/>
  <c r="BH64" i="45"/>
  <c r="BH65" i="45"/>
  <c r="BH16" i="45"/>
  <c r="Q151" i="49" l="1"/>
  <c r="Q152" i="49" s="1"/>
  <c r="Q147" i="49"/>
  <c r="Q148" i="49" s="1"/>
  <c r="R85" i="49"/>
  <c r="G194" i="42"/>
  <c r="R147" i="49" l="1"/>
  <c r="R148" i="49" s="1"/>
  <c r="R151" i="49"/>
  <c r="R152" i="49" s="1"/>
  <c r="S85" i="49"/>
  <c r="C192" i="42"/>
  <c r="S147" i="49" l="1"/>
  <c r="S148" i="49" s="1"/>
  <c r="S151" i="49"/>
  <c r="S152" i="49" s="1"/>
  <c r="T85" i="49"/>
  <c r="F37" i="102"/>
  <c r="F35" i="102"/>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3" i="4"/>
  <c r="AE4" i="4"/>
  <c r="AE5" i="4"/>
  <c r="AE6" i="4"/>
  <c r="AE7" i="4"/>
  <c r="AE8" i="4"/>
  <c r="AE9" i="4"/>
  <c r="AE10" i="4"/>
  <c r="AE11" i="4"/>
  <c r="AE12" i="4"/>
  <c r="AE2" i="4"/>
  <c r="F401" i="102"/>
  <c r="F79" i="102"/>
  <c r="F414" i="102"/>
  <c r="H26" i="103"/>
  <c r="L95" i="108"/>
  <c r="M33" i="109"/>
  <c r="T147" i="49" l="1"/>
  <c r="T148" i="49" s="1"/>
  <c r="T151" i="49"/>
  <c r="T152" i="49" s="1"/>
  <c r="H48" i="103"/>
  <c r="U85" i="49"/>
  <c r="F219" i="102"/>
  <c r="U151" i="49" l="1"/>
  <c r="U152" i="49" s="1"/>
  <c r="U147" i="49"/>
  <c r="U148" i="49" s="1"/>
  <c r="V85" i="49"/>
  <c r="M1" i="109"/>
  <c r="V147" i="49" l="1"/>
  <c r="V148" i="49" s="1"/>
  <c r="V151" i="49"/>
  <c r="V152" i="49" s="1"/>
  <c r="W85" i="49"/>
  <c r="G72" i="108"/>
  <c r="W151" i="49" l="1"/>
  <c r="W152" i="49" s="1"/>
  <c r="W147" i="49"/>
  <c r="W148" i="49" s="1"/>
  <c r="X85" i="49"/>
  <c r="D46" i="108"/>
  <c r="E46" i="108"/>
  <c r="F46" i="108"/>
  <c r="H46" i="108"/>
  <c r="I46" i="108"/>
  <c r="D47" i="108"/>
  <c r="E47" i="108"/>
  <c r="F47" i="108"/>
  <c r="G47" i="108"/>
  <c r="H47" i="108"/>
  <c r="I47" i="108"/>
  <c r="D48" i="108"/>
  <c r="E48" i="108"/>
  <c r="F48" i="108"/>
  <c r="G48" i="108"/>
  <c r="H48" i="108"/>
  <c r="I48" i="108"/>
  <c r="D49" i="108"/>
  <c r="E49" i="108"/>
  <c r="F49" i="108"/>
  <c r="G49" i="108"/>
  <c r="H49" i="108"/>
  <c r="I49" i="108"/>
  <c r="D50" i="108"/>
  <c r="E50" i="108"/>
  <c r="F50" i="108"/>
  <c r="G50" i="108"/>
  <c r="H50" i="108"/>
  <c r="I50" i="108"/>
  <c r="F45" i="108"/>
  <c r="G45" i="108"/>
  <c r="H45" i="108"/>
  <c r="I45" i="108"/>
  <c r="D45" i="108"/>
  <c r="X147" i="49" l="1"/>
  <c r="X148" i="49" s="1"/>
  <c r="X151" i="49"/>
  <c r="X152" i="49" s="1"/>
  <c r="J49" i="108"/>
  <c r="J47" i="108"/>
  <c r="J50" i="108"/>
  <c r="J48" i="108"/>
  <c r="J46" i="108"/>
  <c r="J45" i="108"/>
  <c r="Y85" i="49"/>
  <c r="F254" i="102"/>
  <c r="F253" i="102"/>
  <c r="F248" i="102"/>
  <c r="F240" i="102"/>
  <c r="F222" i="102"/>
  <c r="F221" i="102"/>
  <c r="F204" i="102"/>
  <c r="F203" i="102"/>
  <c r="Q80" i="108"/>
  <c r="Q79" i="108"/>
  <c r="Q78" i="108"/>
  <c r="L80" i="108"/>
  <c r="L79" i="108"/>
  <c r="L78" i="108"/>
  <c r="Y147" i="49" l="1"/>
  <c r="Y148" i="49" s="1"/>
  <c r="Y151" i="49"/>
  <c r="Y152" i="49" s="1"/>
  <c r="Z85" i="49"/>
  <c r="C9" i="88"/>
  <c r="C10" i="88" s="1"/>
  <c r="C11" i="88" s="1"/>
  <c r="C12" i="88" s="1"/>
  <c r="C26" i="88" s="1"/>
  <c r="C27" i="88" s="1"/>
  <c r="C28" i="88" s="1"/>
  <c r="C29" i="88" s="1"/>
  <c r="C30" i="88" l="1"/>
  <c r="C31" i="88" s="1"/>
  <c r="C33" i="88" s="1"/>
  <c r="C34" i="88" s="1"/>
  <c r="C36" i="88" s="1"/>
  <c r="C38" i="88" s="1"/>
  <c r="AA85" i="49"/>
  <c r="C53" i="108"/>
  <c r="C39" i="88" l="1"/>
  <c r="AB85" i="49"/>
  <c r="F528" i="102"/>
  <c r="T39" i="108"/>
  <c r="AC85" i="49" l="1"/>
  <c r="F516" i="102"/>
  <c r="AD85" i="49" l="1"/>
  <c r="D56" i="7"/>
  <c r="AE85" i="49" l="1"/>
  <c r="E51" i="108"/>
  <c r="F51" i="108"/>
  <c r="G51" i="108"/>
  <c r="H51" i="108"/>
  <c r="I51" i="108"/>
  <c r="D51" i="108"/>
  <c r="E52" i="108"/>
  <c r="F52" i="108"/>
  <c r="G52" i="108"/>
  <c r="H52" i="108"/>
  <c r="I52" i="108"/>
  <c r="D52" i="108"/>
  <c r="P53" i="108"/>
  <c r="C6" i="108"/>
  <c r="J51" i="108" l="1"/>
  <c r="J52" i="108"/>
  <c r="AF85" i="49"/>
  <c r="D53" i="108"/>
  <c r="D57" i="108" s="1"/>
  <c r="AG85" i="49" l="1"/>
  <c r="D59" i="108"/>
  <c r="D62" i="108"/>
  <c r="D64" i="108"/>
  <c r="D58" i="108"/>
  <c r="D61" i="108"/>
  <c r="D63" i="108"/>
  <c r="D60" i="108"/>
  <c r="AH85" i="49" l="1"/>
  <c r="D65" i="108"/>
  <c r="AI85" i="49" l="1"/>
  <c r="D26" i="1"/>
  <c r="F36" i="102" s="1"/>
  <c r="AJ85" i="49" l="1"/>
  <c r="AK85" i="49" l="1"/>
  <c r="V61" i="109"/>
  <c r="C17" i="109"/>
  <c r="AL85" i="49" l="1"/>
  <c r="C15" i="109"/>
  <c r="K1" i="68"/>
  <c r="P1" i="65"/>
  <c r="L1" i="59"/>
  <c r="M1" i="57"/>
  <c r="G1" i="20"/>
  <c r="F1" i="52"/>
  <c r="F1" i="49"/>
  <c r="G1" i="48"/>
  <c r="K1" i="103"/>
  <c r="F1" i="47"/>
  <c r="I1" i="105"/>
  <c r="G1" i="46"/>
  <c r="H1" i="45"/>
  <c r="F1" i="13"/>
  <c r="F1" i="11"/>
  <c r="E1" i="10"/>
  <c r="F1" i="9"/>
  <c r="F1" i="7"/>
  <c r="F1" i="6"/>
  <c r="E1" i="3"/>
  <c r="F1" i="1"/>
  <c r="L1" i="108"/>
  <c r="M21" i="45" l="1"/>
  <c r="N21" i="45" s="1"/>
  <c r="M20" i="45"/>
  <c r="N20" i="45" s="1"/>
  <c r="N19" i="45"/>
  <c r="N18" i="45"/>
  <c r="N17" i="45"/>
  <c r="AJ55" i="52"/>
  <c r="AI55" i="52"/>
  <c r="AH55" i="52"/>
  <c r="AG55" i="52"/>
  <c r="AF55" i="52"/>
  <c r="AE55" i="52"/>
  <c r="AD55" i="52"/>
  <c r="AC55" i="52"/>
  <c r="AB55" i="52"/>
  <c r="AA55" i="52"/>
  <c r="Z55"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K172" i="47"/>
  <c r="H172" i="47"/>
  <c r="G172" i="47"/>
  <c r="K149" i="47"/>
  <c r="H149" i="47"/>
  <c r="G149" i="47"/>
  <c r="H133" i="47"/>
  <c r="G133" i="47"/>
  <c r="H123" i="47"/>
  <c r="G123" i="47"/>
  <c r="K117" i="47"/>
  <c r="H117" i="47"/>
  <c r="G117" i="47"/>
  <c r="H110" i="47"/>
  <c r="G110" i="47"/>
  <c r="K97" i="47"/>
  <c r="H97" i="47"/>
  <c r="K85" i="47"/>
  <c r="H85" i="47"/>
  <c r="G85" i="47"/>
  <c r="K62" i="47"/>
  <c r="H62" i="47"/>
  <c r="G62" i="47"/>
  <c r="K16" i="47" l="1"/>
  <c r="H16" i="47"/>
  <c r="M35" i="109"/>
  <c r="T55" i="109"/>
  <c r="T53" i="109"/>
  <c r="T51" i="109"/>
  <c r="F85" i="48" l="1"/>
  <c r="F36" i="48"/>
  <c r="F28" i="48"/>
  <c r="F12" i="48"/>
  <c r="M42" i="109" l="1"/>
  <c r="T48" i="109" s="1"/>
  <c r="F77" i="102"/>
  <c r="F81" i="102"/>
  <c r="F83" i="102"/>
  <c r="F85" i="102"/>
  <c r="I7" i="52" l="1"/>
  <c r="L188" i="52" s="1"/>
  <c r="F529" i="102"/>
  <c r="AE192" i="52" l="1"/>
  <c r="AI191" i="52"/>
  <c r="K191" i="52"/>
  <c r="S189" i="52"/>
  <c r="K188" i="52"/>
  <c r="R192" i="52"/>
  <c r="V191" i="52"/>
  <c r="N190" i="52"/>
  <c r="R189" i="52"/>
  <c r="J188" i="52"/>
  <c r="AC192" i="52"/>
  <c r="AG191" i="52"/>
  <c r="I191" i="52"/>
  <c r="AC189" i="52"/>
  <c r="Q189" i="52"/>
  <c r="AG188" i="52"/>
  <c r="U188" i="52"/>
  <c r="I188" i="52"/>
  <c r="H192" i="52"/>
  <c r="AB192" i="52"/>
  <c r="P192" i="52"/>
  <c r="AF191" i="52"/>
  <c r="T191" i="52"/>
  <c r="AJ190" i="52"/>
  <c r="X190" i="52"/>
  <c r="L190" i="52"/>
  <c r="AB189" i="52"/>
  <c r="P189" i="52"/>
  <c r="AF188" i="52"/>
  <c r="T188" i="52"/>
  <c r="H191" i="52"/>
  <c r="AA192" i="52"/>
  <c r="O192" i="52"/>
  <c r="AE191" i="52"/>
  <c r="S191" i="52"/>
  <c r="AI190" i="52"/>
  <c r="W190" i="52"/>
  <c r="K190" i="52"/>
  <c r="AA189" i="52"/>
  <c r="O189" i="52"/>
  <c r="AE188" i="52"/>
  <c r="S188" i="52"/>
  <c r="H190" i="52"/>
  <c r="Z192" i="52"/>
  <c r="N192" i="52"/>
  <c r="AD191" i="52"/>
  <c r="R191" i="52"/>
  <c r="AH190" i="52"/>
  <c r="V190" i="52"/>
  <c r="J190" i="52"/>
  <c r="Z189" i="52"/>
  <c r="N189" i="52"/>
  <c r="AD188" i="52"/>
  <c r="R188" i="52"/>
  <c r="J191" i="52"/>
  <c r="AH188" i="52"/>
  <c r="Q192" i="52"/>
  <c r="Y190" i="52"/>
  <c r="H189" i="52"/>
  <c r="M192" i="52"/>
  <c r="AG190" i="52"/>
  <c r="I190" i="52"/>
  <c r="Q188" i="52"/>
  <c r="X192" i="52"/>
  <c r="AB191" i="52"/>
  <c r="AF190" i="52"/>
  <c r="AJ189" i="52"/>
  <c r="P188" i="52"/>
  <c r="AI192" i="52"/>
  <c r="K192" i="52"/>
  <c r="O191" i="52"/>
  <c r="S190" i="52"/>
  <c r="W189" i="52"/>
  <c r="AA188" i="52"/>
  <c r="AH192" i="52"/>
  <c r="V192" i="52"/>
  <c r="J192" i="52"/>
  <c r="Z191" i="52"/>
  <c r="N191" i="52"/>
  <c r="AD190" i="52"/>
  <c r="R190" i="52"/>
  <c r="AH189" i="52"/>
  <c r="V189" i="52"/>
  <c r="J189" i="52"/>
  <c r="Z188" i="52"/>
  <c r="N188" i="52"/>
  <c r="S192" i="52"/>
  <c r="W191" i="52"/>
  <c r="AA190" i="52"/>
  <c r="O190" i="52"/>
  <c r="AE189" i="52"/>
  <c r="AI188" i="52"/>
  <c r="W188" i="52"/>
  <c r="AD192" i="52"/>
  <c r="AH191" i="52"/>
  <c r="Z190" i="52"/>
  <c r="AD189" i="52"/>
  <c r="V188" i="52"/>
  <c r="H188" i="52"/>
  <c r="U191" i="52"/>
  <c r="M190" i="52"/>
  <c r="Y192" i="52"/>
  <c r="AC191" i="52"/>
  <c r="Q191" i="52"/>
  <c r="U190" i="52"/>
  <c r="Y189" i="52"/>
  <c r="M189" i="52"/>
  <c r="AC188" i="52"/>
  <c r="AJ192" i="52"/>
  <c r="L192" i="52"/>
  <c r="P191" i="52"/>
  <c r="T190" i="52"/>
  <c r="X189" i="52"/>
  <c r="L189" i="52"/>
  <c r="AB188" i="52"/>
  <c r="W192" i="52"/>
  <c r="AA191" i="52"/>
  <c r="AE190" i="52"/>
  <c r="AI189" i="52"/>
  <c r="K189" i="52"/>
  <c r="O188" i="52"/>
  <c r="AG192" i="52"/>
  <c r="U192" i="52"/>
  <c r="I192" i="52"/>
  <c r="Y191" i="52"/>
  <c r="M191" i="52"/>
  <c r="AC190" i="52"/>
  <c r="Q190" i="52"/>
  <c r="AG189" i="52"/>
  <c r="U189" i="52"/>
  <c r="I189" i="52"/>
  <c r="Y188" i="52"/>
  <c r="M188" i="52"/>
  <c r="AF192" i="52"/>
  <c r="T192" i="52"/>
  <c r="AJ191" i="52"/>
  <c r="X191" i="52"/>
  <c r="L191" i="52"/>
  <c r="AB190" i="52"/>
  <c r="P190" i="52"/>
  <c r="AF189" i="52"/>
  <c r="T189" i="52"/>
  <c r="AJ188" i="52"/>
  <c r="X188" i="52"/>
  <c r="AA8" i="45"/>
  <c r="F220" i="102" l="1"/>
  <c r="M34" i="109"/>
  <c r="M47" i="109"/>
  <c r="C58" i="109"/>
  <c r="F174" i="102"/>
  <c r="F173" i="102"/>
  <c r="H259" i="42" l="1"/>
  <c r="H258" i="42"/>
  <c r="H257" i="42"/>
  <c r="E198" i="42" l="1"/>
  <c r="E197" i="42"/>
  <c r="D68" i="49" l="1"/>
  <c r="D67" i="49"/>
  <c r="D66" i="49"/>
  <c r="H17" i="103" l="1"/>
  <c r="K18" i="103"/>
  <c r="D69" i="49" l="1"/>
  <c r="D79" i="49"/>
  <c r="E79" i="49" s="1"/>
  <c r="F79" i="49" s="1"/>
  <c r="G79" i="49" s="1"/>
  <c r="H79" i="49" s="1"/>
  <c r="I79" i="49" s="1"/>
  <c r="J79" i="49" s="1"/>
  <c r="K79" i="49" s="1"/>
  <c r="L79" i="49" s="1"/>
  <c r="M79" i="49" s="1"/>
  <c r="N79" i="49" s="1"/>
  <c r="O79" i="49" s="1"/>
  <c r="P79" i="49" s="1"/>
  <c r="Q79" i="49" s="1"/>
  <c r="R79" i="49" s="1"/>
  <c r="S79" i="49" s="1"/>
  <c r="T79" i="49" s="1"/>
  <c r="U79" i="49" s="1"/>
  <c r="V79" i="49" s="1"/>
  <c r="W79" i="49" s="1"/>
  <c r="X79" i="49" s="1"/>
  <c r="Y79" i="49" s="1"/>
  <c r="Z79" i="49" s="1"/>
  <c r="AA79" i="49" s="1"/>
  <c r="AB79" i="49" s="1"/>
  <c r="AC79" i="49" s="1"/>
  <c r="AD79" i="49" s="1"/>
  <c r="AE79" i="49" s="1"/>
  <c r="AF79" i="49" s="1"/>
  <c r="AG79" i="49" s="1"/>
  <c r="AH79" i="49" s="1"/>
  <c r="AI79" i="49" s="1"/>
  <c r="AJ79" i="49" s="1"/>
  <c r="AK79" i="49" s="1"/>
  <c r="AL79" i="49" s="1"/>
  <c r="C79" i="49"/>
  <c r="I21" i="49" l="1"/>
  <c r="I20" i="49"/>
  <c r="C25" i="52" a="1"/>
  <c r="C25" i="52" s="1"/>
  <c r="C24" i="52" a="1"/>
  <c r="C24" i="52" s="1"/>
  <c r="C23" i="52" a="1"/>
  <c r="C23" i="52" s="1"/>
  <c r="H114" i="45" l="1"/>
  <c r="T8" i="103" s="1"/>
  <c r="G99" i="45"/>
  <c r="T9" i="103" s="1"/>
  <c r="H66" i="45"/>
  <c r="L32" i="9"/>
  <c r="F48" i="47"/>
  <c r="F54" i="47"/>
  <c r="F57" i="47" s="1"/>
  <c r="T7" i="103" l="1"/>
  <c r="T10" i="103" s="1"/>
  <c r="F179" i="102"/>
  <c r="F183" i="102"/>
  <c r="F182" i="102"/>
  <c r="F552" i="102"/>
  <c r="F553" i="102"/>
  <c r="F19" i="102"/>
  <c r="F21" i="102"/>
  <c r="F169" i="102"/>
  <c r="P41" i="103"/>
  <c r="F245" i="102" s="1"/>
  <c r="H41" i="103"/>
  <c r="F244" i="102" s="1"/>
  <c r="F485" i="102"/>
  <c r="F483" i="102"/>
  <c r="F481" i="102"/>
  <c r="F479" i="102"/>
  <c r="F477" i="102"/>
  <c r="F475" i="102"/>
  <c r="F473" i="102"/>
  <c r="F471" i="102"/>
  <c r="F469" i="102"/>
  <c r="F467" i="102"/>
  <c r="F465" i="102"/>
  <c r="F463" i="102"/>
  <c r="F461" i="102"/>
  <c r="F459" i="102"/>
  <c r="F457" i="102"/>
  <c r="F455" i="102"/>
  <c r="F453" i="102"/>
  <c r="F451" i="102"/>
  <c r="F449" i="102"/>
  <c r="F447" i="102"/>
  <c r="F445" i="102"/>
  <c r="F443" i="102"/>
  <c r="F441" i="102"/>
  <c r="F334" i="102"/>
  <c r="F331" i="102"/>
  <c r="F332" i="102" s="1"/>
  <c r="F374" i="102" l="1"/>
  <c r="F75" i="102"/>
  <c r="F255" i="102"/>
  <c r="F73" i="102"/>
  <c r="E496" i="42"/>
  <c r="F526" i="102"/>
  <c r="F167" i="47"/>
  <c r="F168" i="47"/>
  <c r="D154" i="49" s="1"/>
  <c r="F169" i="47"/>
  <c r="F170" i="47"/>
  <c r="F171" i="47"/>
  <c r="F152" i="47"/>
  <c r="F153" i="47"/>
  <c r="F154" i="47"/>
  <c r="F155" i="47"/>
  <c r="F156" i="47"/>
  <c r="F157" i="47"/>
  <c r="F158" i="47"/>
  <c r="F159" i="47"/>
  <c r="F184" i="102" s="1"/>
  <c r="F160" i="47"/>
  <c r="F161" i="47"/>
  <c r="F162" i="47"/>
  <c r="F163" i="47"/>
  <c r="F136" i="47"/>
  <c r="F137" i="47"/>
  <c r="F138" i="47"/>
  <c r="F139" i="47"/>
  <c r="F125" i="47"/>
  <c r="F126" i="47"/>
  <c r="F175" i="49" s="1"/>
  <c r="D178" i="49" s="1"/>
  <c r="F127" i="47"/>
  <c r="F128" i="47"/>
  <c r="F129" i="47"/>
  <c r="F130" i="47"/>
  <c r="F131" i="47"/>
  <c r="F132" i="47"/>
  <c r="C438" i="42" s="1"/>
  <c r="F119" i="47"/>
  <c r="F120" i="47"/>
  <c r="F121" i="47"/>
  <c r="F122" i="47"/>
  <c r="F112" i="47"/>
  <c r="F113" i="47"/>
  <c r="F114" i="47"/>
  <c r="F115" i="47"/>
  <c r="F116" i="47"/>
  <c r="F101" i="47"/>
  <c r="F102" i="47"/>
  <c r="E102" i="47" s="1"/>
  <c r="F103" i="47"/>
  <c r="F104" i="47"/>
  <c r="F105" i="47"/>
  <c r="F106" i="47"/>
  <c r="F107" i="47"/>
  <c r="F108" i="47"/>
  <c r="F109" i="47"/>
  <c r="F87" i="47"/>
  <c r="F88" i="47"/>
  <c r="F89" i="47"/>
  <c r="F90" i="47"/>
  <c r="F91" i="47"/>
  <c r="F92" i="47"/>
  <c r="F93" i="47"/>
  <c r="F94" i="47"/>
  <c r="F95" i="47"/>
  <c r="F96" i="47"/>
  <c r="F77" i="47"/>
  <c r="F78" i="47"/>
  <c r="F79" i="47"/>
  <c r="F80" i="47"/>
  <c r="F81" i="47"/>
  <c r="F82" i="47"/>
  <c r="F83" i="47"/>
  <c r="F84" i="47"/>
  <c r="F74" i="47"/>
  <c r="F67" i="47"/>
  <c r="F68" i="47"/>
  <c r="E68" i="47" s="1"/>
  <c r="F60" i="47"/>
  <c r="F61" i="47"/>
  <c r="F26" i="47"/>
  <c r="F28" i="47"/>
  <c r="F29" i="47"/>
  <c r="F30" i="47"/>
  <c r="H7" i="52"/>
  <c r="C150" i="52"/>
  <c r="C149" i="52"/>
  <c r="C148" i="52"/>
  <c r="E178" i="52"/>
  <c r="AU121" i="49"/>
  <c r="D158" i="49" l="1"/>
  <c r="D156" i="49"/>
  <c r="F172" i="47"/>
  <c r="C397" i="42"/>
  <c r="C433" i="42"/>
  <c r="D179" i="49"/>
  <c r="AV121" i="49"/>
  <c r="F86" i="102"/>
  <c r="E67" i="47"/>
  <c r="C373" i="42"/>
  <c r="F256" i="102"/>
  <c r="G188" i="52"/>
  <c r="I187" i="52"/>
  <c r="J187" i="52"/>
  <c r="K187" i="52"/>
  <c r="L187" i="52"/>
  <c r="M187" i="52"/>
  <c r="N187" i="52"/>
  <c r="O187" i="52"/>
  <c r="P187" i="52"/>
  <c r="Q187" i="52"/>
  <c r="R187" i="52"/>
  <c r="S187" i="52"/>
  <c r="T187" i="52"/>
  <c r="U187" i="52"/>
  <c r="V187" i="52"/>
  <c r="W187" i="52"/>
  <c r="X187" i="52"/>
  <c r="Y187" i="52"/>
  <c r="Z187" i="52"/>
  <c r="AA187" i="52"/>
  <c r="AB187" i="52"/>
  <c r="AC187" i="52"/>
  <c r="AD187" i="52"/>
  <c r="AE187" i="52"/>
  <c r="AF187" i="52"/>
  <c r="AG187" i="52"/>
  <c r="AH187" i="52"/>
  <c r="AI187" i="52"/>
  <c r="AJ187" i="52"/>
  <c r="H187" i="52"/>
  <c r="M20" i="47"/>
  <c r="M21" i="47"/>
  <c r="M22" i="47"/>
  <c r="M23" i="47"/>
  <c r="M24" i="47"/>
  <c r="M25" i="47"/>
  <c r="M26" i="47"/>
  <c r="M27" i="47"/>
  <c r="M28" i="47"/>
  <c r="M29" i="47"/>
  <c r="M30" i="47"/>
  <c r="M32" i="47"/>
  <c r="M33" i="47"/>
  <c r="M34" i="47"/>
  <c r="M35" i="47"/>
  <c r="M36" i="47"/>
  <c r="M37" i="47"/>
  <c r="M38" i="47"/>
  <c r="M39" i="47"/>
  <c r="M41" i="47"/>
  <c r="M42" i="47"/>
  <c r="M43" i="47"/>
  <c r="M44" i="47"/>
  <c r="M45" i="47"/>
  <c r="M46" i="47"/>
  <c r="M47" i="47"/>
  <c r="M48" i="47"/>
  <c r="M49" i="47"/>
  <c r="M51" i="47"/>
  <c r="M52" i="47"/>
  <c r="M53" i="47"/>
  <c r="M54" i="47"/>
  <c r="M55" i="47"/>
  <c r="M56" i="47"/>
  <c r="M60" i="47"/>
  <c r="M61" i="47"/>
  <c r="M62" i="47"/>
  <c r="M65" i="47"/>
  <c r="M66" i="47"/>
  <c r="M67" i="47"/>
  <c r="M68" i="47"/>
  <c r="M69" i="47"/>
  <c r="M70" i="47"/>
  <c r="M71" i="47"/>
  <c r="M72" i="47"/>
  <c r="M74" i="47"/>
  <c r="M75" i="47"/>
  <c r="M77" i="47"/>
  <c r="M78" i="47"/>
  <c r="M79" i="47"/>
  <c r="M80" i="47"/>
  <c r="M81" i="47"/>
  <c r="M82" i="47"/>
  <c r="M83" i="47"/>
  <c r="M84" i="47"/>
  <c r="M85" i="47"/>
  <c r="M87" i="47"/>
  <c r="M88" i="47"/>
  <c r="M89" i="47"/>
  <c r="M90" i="47"/>
  <c r="M91" i="47"/>
  <c r="M92" i="47"/>
  <c r="M93" i="47"/>
  <c r="M94" i="47"/>
  <c r="M95" i="47"/>
  <c r="M96" i="47"/>
  <c r="M97" i="47"/>
  <c r="M98" i="47"/>
  <c r="M101" i="47"/>
  <c r="M102" i="47"/>
  <c r="M103" i="47"/>
  <c r="M104" i="47"/>
  <c r="M105" i="47"/>
  <c r="M106" i="47"/>
  <c r="M107" i="47"/>
  <c r="M108" i="47"/>
  <c r="M109" i="47"/>
  <c r="M110" i="47"/>
  <c r="M113" i="47"/>
  <c r="M114" i="47"/>
  <c r="M115" i="47"/>
  <c r="M116" i="47"/>
  <c r="M117" i="47"/>
  <c r="M118" i="47"/>
  <c r="M119" i="47"/>
  <c r="M120" i="47"/>
  <c r="M121" i="47"/>
  <c r="M122" i="47"/>
  <c r="M123" i="47"/>
  <c r="M125" i="47"/>
  <c r="M126" i="47"/>
  <c r="M127" i="47"/>
  <c r="M128" i="47"/>
  <c r="M129" i="47"/>
  <c r="M130" i="47"/>
  <c r="M131" i="47"/>
  <c r="M132" i="47"/>
  <c r="M133" i="47"/>
  <c r="M136" i="47"/>
  <c r="M137" i="47"/>
  <c r="M138" i="47"/>
  <c r="M139" i="47"/>
  <c r="M140" i="47"/>
  <c r="M141" i="47"/>
  <c r="M142" i="47"/>
  <c r="M143" i="47"/>
  <c r="M144" i="47"/>
  <c r="M145" i="47"/>
  <c r="M146" i="47"/>
  <c r="M147" i="47"/>
  <c r="M148" i="47"/>
  <c r="M149" i="47"/>
  <c r="M151" i="47"/>
  <c r="M152" i="47"/>
  <c r="M153" i="47"/>
  <c r="M154" i="47"/>
  <c r="M155" i="47"/>
  <c r="M156" i="47"/>
  <c r="M157" i="47"/>
  <c r="M158" i="47"/>
  <c r="M159" i="47"/>
  <c r="F180" i="102" s="1"/>
  <c r="M160" i="47"/>
  <c r="M161" i="47"/>
  <c r="M162" i="47"/>
  <c r="M163" i="47"/>
  <c r="M164" i="47"/>
  <c r="M167" i="47"/>
  <c r="M168" i="47"/>
  <c r="M169" i="47"/>
  <c r="M170" i="47"/>
  <c r="M171" i="47"/>
  <c r="M172" i="47"/>
  <c r="M19" i="47"/>
  <c r="M13" i="47"/>
  <c r="M14" i="47"/>
  <c r="M16" i="47"/>
  <c r="M12" i="47"/>
  <c r="I250" i="105"/>
  <c r="I44" i="105"/>
  <c r="I45" i="105"/>
  <c r="I46" i="105"/>
  <c r="I47" i="105"/>
  <c r="I48" i="105"/>
  <c r="I49" i="105"/>
  <c r="I50" i="105"/>
  <c r="I52" i="105"/>
  <c r="I53" i="105"/>
  <c r="I54" i="105"/>
  <c r="I55" i="105"/>
  <c r="I56" i="105"/>
  <c r="I57" i="105"/>
  <c r="I58" i="105"/>
  <c r="I60" i="105"/>
  <c r="I61" i="105"/>
  <c r="I62" i="105"/>
  <c r="I63" i="105"/>
  <c r="I64" i="105"/>
  <c r="I65" i="105"/>
  <c r="I66" i="105"/>
  <c r="I67" i="105"/>
  <c r="I69" i="105"/>
  <c r="I70" i="105"/>
  <c r="I71" i="105"/>
  <c r="I72" i="105"/>
  <c r="I73" i="105"/>
  <c r="I74" i="105"/>
  <c r="I75" i="105"/>
  <c r="I76" i="105"/>
  <c r="I77" i="105"/>
  <c r="I79" i="105"/>
  <c r="I80" i="105"/>
  <c r="I81" i="105"/>
  <c r="I82" i="105"/>
  <c r="I83" i="105"/>
  <c r="I84" i="105"/>
  <c r="I85" i="105"/>
  <c r="I86" i="105"/>
  <c r="I87" i="105"/>
  <c r="I88" i="105"/>
  <c r="I89" i="105"/>
  <c r="I90" i="105"/>
  <c r="I92" i="105"/>
  <c r="I93" i="105"/>
  <c r="I94" i="105"/>
  <c r="I95" i="105"/>
  <c r="I96" i="105"/>
  <c r="I97" i="105"/>
  <c r="I98" i="105"/>
  <c r="I99" i="105"/>
  <c r="I100" i="105"/>
  <c r="I101" i="105"/>
  <c r="I103" i="105"/>
  <c r="I104" i="105"/>
  <c r="I105" i="105"/>
  <c r="I106" i="105"/>
  <c r="I107" i="105"/>
  <c r="I108" i="105"/>
  <c r="I109" i="105"/>
  <c r="I110" i="105"/>
  <c r="I111" i="105"/>
  <c r="I112" i="105"/>
  <c r="I114" i="105"/>
  <c r="I115" i="105"/>
  <c r="I116" i="105"/>
  <c r="I117" i="105"/>
  <c r="I118" i="105"/>
  <c r="I119" i="105"/>
  <c r="I120" i="105"/>
  <c r="I121" i="105"/>
  <c r="I122" i="105"/>
  <c r="I124" i="105"/>
  <c r="I125" i="105"/>
  <c r="I126" i="105"/>
  <c r="I127" i="105"/>
  <c r="I128" i="105"/>
  <c r="I129" i="105"/>
  <c r="I130" i="105"/>
  <c r="I131" i="105"/>
  <c r="I132" i="105"/>
  <c r="I133" i="105"/>
  <c r="I134" i="105"/>
  <c r="I135" i="105"/>
  <c r="I136" i="105"/>
  <c r="I138" i="105"/>
  <c r="I139" i="105"/>
  <c r="I140" i="105"/>
  <c r="I141" i="105"/>
  <c r="I142" i="105"/>
  <c r="I143" i="105"/>
  <c r="I144" i="105"/>
  <c r="I145" i="105"/>
  <c r="I146" i="105"/>
  <c r="I148" i="105"/>
  <c r="I149" i="105"/>
  <c r="I150" i="105"/>
  <c r="I151" i="105"/>
  <c r="I152" i="105"/>
  <c r="I153" i="105"/>
  <c r="I154" i="105"/>
  <c r="I156" i="105"/>
  <c r="I157" i="105"/>
  <c r="I158" i="105"/>
  <c r="I159" i="105"/>
  <c r="I160" i="105"/>
  <c r="I161" i="105"/>
  <c r="I162" i="105"/>
  <c r="I163" i="105"/>
  <c r="I164" i="105"/>
  <c r="I166" i="105"/>
  <c r="I167" i="105"/>
  <c r="I168" i="105"/>
  <c r="I169" i="105"/>
  <c r="I170" i="105"/>
  <c r="I171" i="105"/>
  <c r="I173" i="105"/>
  <c r="I174" i="105"/>
  <c r="I175" i="105"/>
  <c r="I176" i="105"/>
  <c r="I177" i="105"/>
  <c r="I178" i="105"/>
  <c r="I179" i="105"/>
  <c r="I181" i="105"/>
  <c r="I182" i="105"/>
  <c r="I183" i="105"/>
  <c r="I184" i="105"/>
  <c r="I185" i="105"/>
  <c r="I186" i="105"/>
  <c r="I187" i="105"/>
  <c r="I188" i="105"/>
  <c r="I189" i="105"/>
  <c r="I190" i="105"/>
  <c r="I192" i="105"/>
  <c r="I193" i="105"/>
  <c r="I194" i="105"/>
  <c r="I195" i="105"/>
  <c r="I196" i="105"/>
  <c r="I197" i="105"/>
  <c r="I199" i="105"/>
  <c r="I200" i="105"/>
  <c r="I201" i="105"/>
  <c r="I202" i="105"/>
  <c r="I203" i="105"/>
  <c r="I204" i="105"/>
  <c r="I205" i="105"/>
  <c r="I207" i="105"/>
  <c r="I208" i="105"/>
  <c r="I209" i="105"/>
  <c r="I210" i="105"/>
  <c r="I211" i="105"/>
  <c r="I212" i="105"/>
  <c r="I213" i="105"/>
  <c r="I215" i="105"/>
  <c r="I216" i="105"/>
  <c r="I217" i="105"/>
  <c r="I218" i="105"/>
  <c r="I219" i="105"/>
  <c r="I220" i="105"/>
  <c r="I222" i="105"/>
  <c r="I223" i="105"/>
  <c r="I224" i="105"/>
  <c r="I225" i="105"/>
  <c r="I226" i="105"/>
  <c r="I227" i="105"/>
  <c r="I228" i="105"/>
  <c r="I229" i="105"/>
  <c r="I230" i="105"/>
  <c r="I232" i="105"/>
  <c r="I233" i="105"/>
  <c r="I234" i="105"/>
  <c r="I235" i="105"/>
  <c r="I236" i="105"/>
  <c r="I237" i="105"/>
  <c r="I238" i="105"/>
  <c r="I240" i="105"/>
  <c r="I241" i="105"/>
  <c r="I242" i="105"/>
  <c r="I243" i="105"/>
  <c r="I244" i="105"/>
  <c r="I245" i="105"/>
  <c r="I246" i="105"/>
  <c r="I247" i="105"/>
  <c r="I248" i="105"/>
  <c r="I249" i="105"/>
  <c r="I33" i="105"/>
  <c r="I34" i="105"/>
  <c r="I35" i="105"/>
  <c r="I36" i="105"/>
  <c r="I37" i="105"/>
  <c r="I38" i="105"/>
  <c r="I39" i="105"/>
  <c r="I41" i="105"/>
  <c r="I42" i="105"/>
  <c r="I43" i="105"/>
  <c r="I32" i="105"/>
  <c r="I31" i="105"/>
  <c r="I21" i="105"/>
  <c r="I22" i="105"/>
  <c r="I23" i="105"/>
  <c r="I24" i="105"/>
  <c r="I25" i="105"/>
  <c r="I26" i="105"/>
  <c r="I27" i="105"/>
  <c r="I28" i="105"/>
  <c r="I29" i="105"/>
  <c r="I20" i="105"/>
  <c r="I19" i="105"/>
  <c r="I9" i="105"/>
  <c r="I10" i="105"/>
  <c r="I11" i="105"/>
  <c r="I12" i="105"/>
  <c r="I13" i="105"/>
  <c r="I14" i="105"/>
  <c r="I15" i="105"/>
  <c r="I16" i="105"/>
  <c r="I17" i="105"/>
  <c r="I8" i="105"/>
  <c r="I7" i="105"/>
  <c r="E156" i="49" l="1"/>
  <c r="D157" i="49"/>
  <c r="E158" i="49"/>
  <c r="D182" i="49"/>
  <c r="E178" i="49" s="1"/>
  <c r="E188" i="52"/>
  <c r="D496" i="42"/>
  <c r="K27" i="103"/>
  <c r="P39" i="103"/>
  <c r="F241" i="102" s="1"/>
  <c r="E157" i="49" l="1"/>
  <c r="F158" i="49"/>
  <c r="F157" i="49" s="1"/>
  <c r="E179" i="49"/>
  <c r="E182" i="49"/>
  <c r="E249" i="105"/>
  <c r="E248" i="105"/>
  <c r="E247" i="105"/>
  <c r="E246" i="105"/>
  <c r="E245" i="105"/>
  <c r="E244" i="105"/>
  <c r="E243" i="105"/>
  <c r="E242" i="105"/>
  <c r="E241" i="105"/>
  <c r="H240" i="105"/>
  <c r="G240" i="105"/>
  <c r="F240" i="105"/>
  <c r="E233" i="105"/>
  <c r="H232" i="105"/>
  <c r="G232" i="105"/>
  <c r="H41" i="47" s="1"/>
  <c r="F232" i="105"/>
  <c r="G41" i="47" s="1"/>
  <c r="E230" i="105"/>
  <c r="E229" i="105"/>
  <c r="E228" i="105"/>
  <c r="E227" i="105"/>
  <c r="E226" i="105"/>
  <c r="E225" i="105"/>
  <c r="E224" i="105"/>
  <c r="E223" i="105"/>
  <c r="H222" i="105"/>
  <c r="G222" i="105"/>
  <c r="H42" i="47" s="1"/>
  <c r="F222" i="105"/>
  <c r="E220" i="105"/>
  <c r="E219" i="105"/>
  <c r="E218" i="105"/>
  <c r="E217" i="105"/>
  <c r="E216" i="105"/>
  <c r="H215" i="105"/>
  <c r="G215" i="105"/>
  <c r="F215" i="105"/>
  <c r="E213" i="105"/>
  <c r="E212" i="105"/>
  <c r="E211" i="105"/>
  <c r="E210" i="105"/>
  <c r="E209" i="105"/>
  <c r="E208" i="105"/>
  <c r="H207" i="105"/>
  <c r="G207" i="105"/>
  <c r="F207" i="105"/>
  <c r="E205" i="105"/>
  <c r="E204" i="105"/>
  <c r="E203" i="105"/>
  <c r="E202" i="105"/>
  <c r="E201" i="105"/>
  <c r="E200" i="105"/>
  <c r="H199" i="105"/>
  <c r="G199" i="105"/>
  <c r="F199" i="105"/>
  <c r="E197" i="105"/>
  <c r="E196" i="105"/>
  <c r="E195" i="105"/>
  <c r="E194" i="105"/>
  <c r="E193" i="105"/>
  <c r="H192" i="105"/>
  <c r="G192" i="105"/>
  <c r="F192" i="105"/>
  <c r="E190" i="105"/>
  <c r="E189" i="105"/>
  <c r="E188" i="105"/>
  <c r="E187" i="105"/>
  <c r="E186" i="105"/>
  <c r="E185" i="105"/>
  <c r="E184" i="105"/>
  <c r="E183" i="105"/>
  <c r="E182" i="105"/>
  <c r="H181" i="105"/>
  <c r="G181" i="105"/>
  <c r="F181" i="105"/>
  <c r="E179" i="105"/>
  <c r="E178" i="105"/>
  <c r="E177" i="105"/>
  <c r="E176" i="105"/>
  <c r="E175" i="105"/>
  <c r="E174" i="105"/>
  <c r="H173" i="105"/>
  <c r="G173" i="105"/>
  <c r="F173" i="105"/>
  <c r="E171" i="105"/>
  <c r="E170" i="105"/>
  <c r="E169" i="105"/>
  <c r="E168" i="105"/>
  <c r="E167" i="105"/>
  <c r="H166" i="105"/>
  <c r="G166" i="105"/>
  <c r="F166" i="105"/>
  <c r="E164" i="105"/>
  <c r="E163" i="105"/>
  <c r="E162" i="105"/>
  <c r="E161" i="105"/>
  <c r="E160" i="105"/>
  <c r="E159" i="105"/>
  <c r="E158" i="105"/>
  <c r="E157" i="105"/>
  <c r="H156" i="105"/>
  <c r="G156" i="105"/>
  <c r="F156" i="105"/>
  <c r="E154" i="105"/>
  <c r="E153" i="105"/>
  <c r="E152" i="105"/>
  <c r="E151" i="105"/>
  <c r="E150" i="105"/>
  <c r="E149" i="105"/>
  <c r="H148" i="105"/>
  <c r="G148" i="105"/>
  <c r="F148" i="105"/>
  <c r="E146" i="105"/>
  <c r="E145" i="105"/>
  <c r="E144" i="105"/>
  <c r="E143" i="105"/>
  <c r="E142" i="105"/>
  <c r="E141" i="105"/>
  <c r="E140" i="105"/>
  <c r="E139" i="105"/>
  <c r="H138" i="105"/>
  <c r="G138" i="105"/>
  <c r="E136" i="105"/>
  <c r="E135" i="105"/>
  <c r="E134" i="105"/>
  <c r="E133" i="105"/>
  <c r="E132" i="105"/>
  <c r="E131" i="105"/>
  <c r="E130" i="105"/>
  <c r="E129" i="105"/>
  <c r="E128" i="105"/>
  <c r="E127" i="105"/>
  <c r="E126" i="105"/>
  <c r="E125" i="105"/>
  <c r="H124" i="105"/>
  <c r="G124" i="105"/>
  <c r="F124" i="105"/>
  <c r="E122" i="105"/>
  <c r="E121" i="105"/>
  <c r="E120" i="105"/>
  <c r="E119" i="105"/>
  <c r="E118" i="105"/>
  <c r="E117" i="105"/>
  <c r="E116" i="105"/>
  <c r="E115" i="105"/>
  <c r="H114" i="105"/>
  <c r="G114" i="105"/>
  <c r="F114" i="105"/>
  <c r="E112" i="105"/>
  <c r="E111" i="105"/>
  <c r="E110" i="105"/>
  <c r="E109" i="105"/>
  <c r="E108" i="105"/>
  <c r="E107" i="105"/>
  <c r="E106" i="105"/>
  <c r="E105" i="105"/>
  <c r="E104" i="105"/>
  <c r="H103" i="105"/>
  <c r="G103" i="105"/>
  <c r="F103" i="105"/>
  <c r="E101" i="105"/>
  <c r="E100" i="105"/>
  <c r="E99" i="105"/>
  <c r="E98" i="105"/>
  <c r="E97" i="105"/>
  <c r="E96" i="105"/>
  <c r="E95" i="105"/>
  <c r="E94" i="105"/>
  <c r="E93" i="105"/>
  <c r="H92" i="105"/>
  <c r="G92" i="105"/>
  <c r="F92" i="105"/>
  <c r="E90" i="105"/>
  <c r="E89" i="105"/>
  <c r="E88" i="105"/>
  <c r="E87" i="105"/>
  <c r="E86" i="105"/>
  <c r="E85" i="105"/>
  <c r="E84" i="105"/>
  <c r="E83" i="105"/>
  <c r="E82" i="105"/>
  <c r="E81" i="105"/>
  <c r="E80" i="105"/>
  <c r="H79" i="105"/>
  <c r="G79" i="105"/>
  <c r="F79" i="105"/>
  <c r="E77" i="105"/>
  <c r="E76" i="105"/>
  <c r="E75" i="105"/>
  <c r="E74" i="105"/>
  <c r="E73" i="105"/>
  <c r="E72" i="105"/>
  <c r="E71" i="105"/>
  <c r="E70" i="105"/>
  <c r="H69" i="105"/>
  <c r="G69" i="105"/>
  <c r="F69" i="105"/>
  <c r="E67" i="105"/>
  <c r="E66" i="105"/>
  <c r="E65" i="105"/>
  <c r="E64" i="105"/>
  <c r="E63" i="105"/>
  <c r="E62" i="105"/>
  <c r="E61" i="105"/>
  <c r="H60" i="105"/>
  <c r="G60" i="105"/>
  <c r="F60" i="105"/>
  <c r="E58" i="105"/>
  <c r="E57" i="105"/>
  <c r="E56" i="105"/>
  <c r="E55" i="105"/>
  <c r="E54" i="105"/>
  <c r="E53" i="105"/>
  <c r="H52" i="105"/>
  <c r="G52" i="105"/>
  <c r="F52" i="105"/>
  <c r="E50" i="105"/>
  <c r="E49" i="105"/>
  <c r="E48" i="105"/>
  <c r="E47" i="105"/>
  <c r="E46" i="105"/>
  <c r="E45" i="105"/>
  <c r="E44" i="105"/>
  <c r="E43" i="105"/>
  <c r="E42" i="105"/>
  <c r="H41" i="105"/>
  <c r="G41" i="105"/>
  <c r="F41" i="105"/>
  <c r="E39" i="105"/>
  <c r="E38" i="105"/>
  <c r="E37" i="105"/>
  <c r="E36" i="105"/>
  <c r="E35" i="105"/>
  <c r="E34" i="105"/>
  <c r="E33" i="105"/>
  <c r="E32" i="105"/>
  <c r="H31" i="105"/>
  <c r="F31" i="105"/>
  <c r="E29" i="105"/>
  <c r="E28" i="105"/>
  <c r="E27" i="105"/>
  <c r="E26" i="105"/>
  <c r="E25" i="105"/>
  <c r="E24" i="105"/>
  <c r="E23" i="105"/>
  <c r="E22" i="105"/>
  <c r="E21" i="105"/>
  <c r="E20" i="105"/>
  <c r="H19" i="105"/>
  <c r="G19" i="105"/>
  <c r="F19" i="105"/>
  <c r="E17" i="105"/>
  <c r="E16" i="105"/>
  <c r="E15" i="105"/>
  <c r="E14" i="105"/>
  <c r="E13" i="105"/>
  <c r="E12" i="105"/>
  <c r="E11" i="105"/>
  <c r="E10" i="105"/>
  <c r="E9" i="105"/>
  <c r="E8" i="105"/>
  <c r="H7" i="105"/>
  <c r="G7" i="105"/>
  <c r="F7" i="105"/>
  <c r="G158" i="49" l="1"/>
  <c r="G157" i="49" s="1"/>
  <c r="F178" i="49"/>
  <c r="G25" i="47"/>
  <c r="H49" i="47"/>
  <c r="F41" i="47"/>
  <c r="G250" i="105"/>
  <c r="G24" i="47"/>
  <c r="H25" i="47"/>
  <c r="E339" i="42"/>
  <c r="H250" i="105"/>
  <c r="I19" i="47" s="1"/>
  <c r="G42" i="47"/>
  <c r="F42" i="47" s="1"/>
  <c r="F250" i="105"/>
  <c r="H24" i="47"/>
  <c r="E240" i="105"/>
  <c r="E232" i="105"/>
  <c r="E215" i="105"/>
  <c r="E199" i="105"/>
  <c r="E166" i="105"/>
  <c r="E156" i="105"/>
  <c r="E207" i="105"/>
  <c r="E79" i="105"/>
  <c r="E69" i="105"/>
  <c r="E124" i="105"/>
  <c r="E92" i="105"/>
  <c r="E103" i="105"/>
  <c r="E114" i="105"/>
  <c r="E148" i="105"/>
  <c r="E222" i="105"/>
  <c r="E60" i="105"/>
  <c r="E138" i="105"/>
  <c r="E181" i="105"/>
  <c r="E192" i="105"/>
  <c r="E19" i="105"/>
  <c r="E41" i="105"/>
  <c r="E52" i="105"/>
  <c r="E7" i="105"/>
  <c r="E31" i="105"/>
  <c r="E173" i="105"/>
  <c r="H158" i="49" l="1"/>
  <c r="H157" i="49" s="1"/>
  <c r="F25" i="47"/>
  <c r="G19" i="47"/>
  <c r="F179" i="49"/>
  <c r="F182" i="49" s="1"/>
  <c r="F24" i="47"/>
  <c r="C352" i="42" s="1"/>
  <c r="C335" i="42" s="1"/>
  <c r="G49" i="47"/>
  <c r="F49" i="47"/>
  <c r="D339" i="42"/>
  <c r="H19" i="47"/>
  <c r="F19" i="47" s="1"/>
  <c r="E24" i="52"/>
  <c r="C347" i="42"/>
  <c r="E250" i="105"/>
  <c r="E252" i="105" s="1"/>
  <c r="E23" i="52"/>
  <c r="H252" i="105"/>
  <c r="H253" i="105"/>
  <c r="H254" i="105" s="1"/>
  <c r="G253" i="105"/>
  <c r="G254" i="105" s="1"/>
  <c r="G252" i="105"/>
  <c r="F253" i="105"/>
  <c r="F254" i="105" s="1"/>
  <c r="F252" i="105"/>
  <c r="I158" i="49" l="1"/>
  <c r="J158" i="49" s="1"/>
  <c r="G178" i="49"/>
  <c r="G179" i="49" s="1"/>
  <c r="G182" i="49" s="1"/>
  <c r="H178" i="49" s="1"/>
  <c r="S171" i="68"/>
  <c r="H27" i="47"/>
  <c r="H31" i="47" s="1"/>
  <c r="G27" i="47"/>
  <c r="G31" i="47" s="1"/>
  <c r="E253" i="105"/>
  <c r="E254" i="105" s="1"/>
  <c r="J157" i="49" l="1"/>
  <c r="K158" i="49"/>
  <c r="L158" i="49" s="1"/>
  <c r="I157" i="49"/>
  <c r="H179" i="49"/>
  <c r="H182" i="49" s="1"/>
  <c r="I178" i="49" s="1"/>
  <c r="F27" i="47"/>
  <c r="F537" i="102"/>
  <c r="K157" i="49" l="1"/>
  <c r="L157" i="49"/>
  <c r="M158" i="49"/>
  <c r="I179" i="49"/>
  <c r="I182" i="49" s="1"/>
  <c r="J178" i="49" s="1"/>
  <c r="E25" i="52"/>
  <c r="P52" i="108"/>
  <c r="L52" i="108"/>
  <c r="H164" i="47"/>
  <c r="H75" i="47"/>
  <c r="H72" i="47"/>
  <c r="M157" i="49" l="1"/>
  <c r="N158" i="49"/>
  <c r="J179" i="49"/>
  <c r="J182" i="49" s="1"/>
  <c r="K178" i="49" s="1"/>
  <c r="H98" i="47"/>
  <c r="N157" i="49" l="1"/>
  <c r="O158" i="49"/>
  <c r="K179" i="49"/>
  <c r="K182" i="49" s="1"/>
  <c r="Q88" i="108"/>
  <c r="Q87" i="108"/>
  <c r="Q85" i="108"/>
  <c r="Q86" i="108"/>
  <c r="Q82" i="108"/>
  <c r="L82" i="108"/>
  <c r="L76" i="108"/>
  <c r="L75" i="108"/>
  <c r="L74" i="108"/>
  <c r="L73" i="108"/>
  <c r="L72" i="108"/>
  <c r="F486" i="102"/>
  <c r="F484" i="102"/>
  <c r="F476" i="102"/>
  <c r="F474" i="102"/>
  <c r="F470" i="102"/>
  <c r="F452" i="102"/>
  <c r="F450" i="102"/>
  <c r="F446" i="102"/>
  <c r="F444" i="102"/>
  <c r="M39" i="109"/>
  <c r="T45" i="109" s="1"/>
  <c r="D9" i="47"/>
  <c r="S175" i="68" s="1"/>
  <c r="O157" i="49" l="1"/>
  <c r="P158" i="49"/>
  <c r="P157" i="49" s="1"/>
  <c r="L178" i="49"/>
  <c r="M46" i="109"/>
  <c r="T50" i="109" s="1"/>
  <c r="M45" i="109"/>
  <c r="T49" i="109" s="1"/>
  <c r="M40" i="109"/>
  <c r="T46" i="109" s="1"/>
  <c r="M36" i="109"/>
  <c r="T64" i="109" s="1"/>
  <c r="I149" i="47"/>
  <c r="J149" i="47"/>
  <c r="F14" i="47"/>
  <c r="Q94" i="108"/>
  <c r="L94" i="108"/>
  <c r="Q84" i="108"/>
  <c r="L84" i="108"/>
  <c r="L83" i="108"/>
  <c r="Q77" i="108"/>
  <c r="Q75" i="108"/>
  <c r="Q74" i="108"/>
  <c r="Q73" i="108"/>
  <c r="Q72" i="108"/>
  <c r="P49" i="108"/>
  <c r="L49" i="108"/>
  <c r="P47" i="108"/>
  <c r="P51" i="108"/>
  <c r="P48" i="108"/>
  <c r="P46" i="108"/>
  <c r="P50" i="108"/>
  <c r="P45" i="108"/>
  <c r="Q158" i="49" l="1"/>
  <c r="L179" i="49"/>
  <c r="L182" i="49" s="1"/>
  <c r="Y60" i="109"/>
  <c r="Y61" i="109"/>
  <c r="T57" i="109"/>
  <c r="W51" i="109"/>
  <c r="W53" i="109"/>
  <c r="V50" i="109"/>
  <c r="U49" i="109"/>
  <c r="M41" i="109"/>
  <c r="T47" i="109" s="1"/>
  <c r="P44" i="108"/>
  <c r="F72" i="47"/>
  <c r="R158" i="49" l="1"/>
  <c r="Q157" i="49"/>
  <c r="M54" i="109"/>
  <c r="M55" i="109" s="1"/>
  <c r="M56" i="109" s="1"/>
  <c r="M178" i="49"/>
  <c r="AU122" i="49"/>
  <c r="E63" i="49"/>
  <c r="F63" i="49" s="1"/>
  <c r="G63" i="49" s="1"/>
  <c r="H63" i="49" s="1"/>
  <c r="I63" i="49" s="1"/>
  <c r="J63" i="49" s="1"/>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AK63" i="49" s="1"/>
  <c r="AL63" i="49" s="1"/>
  <c r="AF172" i="47"/>
  <c r="S158" i="49" l="1"/>
  <c r="S157" i="49" s="1"/>
  <c r="L144" i="108"/>
  <c r="R157" i="49"/>
  <c r="M179" i="49"/>
  <c r="M182" i="49"/>
  <c r="W60" i="109"/>
  <c r="AV122" i="49"/>
  <c r="D25" i="49"/>
  <c r="T158" i="49" l="1"/>
  <c r="T157" i="49" s="1"/>
  <c r="N178" i="49"/>
  <c r="Z60" i="109"/>
  <c r="X60" i="109"/>
  <c r="AA60" i="109" s="1"/>
  <c r="AU123" i="49"/>
  <c r="I16" i="47"/>
  <c r="J16" i="47"/>
  <c r="I57" i="47"/>
  <c r="J57" i="47"/>
  <c r="G75" i="47"/>
  <c r="I75" i="47"/>
  <c r="J75" i="47"/>
  <c r="G72" i="47"/>
  <c r="I72" i="47"/>
  <c r="J72" i="47"/>
  <c r="I85" i="47"/>
  <c r="J85" i="47"/>
  <c r="I97" i="47"/>
  <c r="J97" i="47"/>
  <c r="I110" i="47"/>
  <c r="J110" i="47"/>
  <c r="I117" i="47"/>
  <c r="J117" i="47"/>
  <c r="I123" i="47"/>
  <c r="J123" i="47"/>
  <c r="I133" i="47"/>
  <c r="J133" i="47"/>
  <c r="I172" i="47"/>
  <c r="G164" i="47"/>
  <c r="U158" i="49" l="1"/>
  <c r="V158" i="49" s="1"/>
  <c r="W158" i="49" s="1"/>
  <c r="W157" i="49" s="1"/>
  <c r="N179" i="49"/>
  <c r="N182" i="49" s="1"/>
  <c r="AV123" i="49"/>
  <c r="AU124" i="49" s="1"/>
  <c r="F527" i="102"/>
  <c r="I98" i="47"/>
  <c r="J98" i="47"/>
  <c r="G98" i="47"/>
  <c r="V157" i="49" l="1"/>
  <c r="U157" i="49"/>
  <c r="X158" i="49"/>
  <c r="X157" i="49" s="1"/>
  <c r="O178" i="49"/>
  <c r="AV126" i="49"/>
  <c r="AU127" i="49" s="1"/>
  <c r="D104" i="49" s="1"/>
  <c r="D100" i="49"/>
  <c r="AV125" i="49"/>
  <c r="C100" i="49"/>
  <c r="AV124" i="49"/>
  <c r="AN112" i="49"/>
  <c r="AO112" i="49" s="1"/>
  <c r="D112" i="49"/>
  <c r="Y158" i="49" l="1"/>
  <c r="Z158" i="49" s="1"/>
  <c r="O179" i="49"/>
  <c r="O182" i="49" s="1"/>
  <c r="AN100" i="49"/>
  <c r="AO100" i="49" s="1"/>
  <c r="C104" i="49"/>
  <c r="AN90" i="49"/>
  <c r="AO90" i="49" s="1"/>
  <c r="C90" i="49"/>
  <c r="AV133" i="49"/>
  <c r="AV130" i="49"/>
  <c r="AV127" i="49"/>
  <c r="AV132" i="49"/>
  <c r="AV129" i="49"/>
  <c r="C116" i="49"/>
  <c r="D90" i="49"/>
  <c r="D116" i="49"/>
  <c r="C96" i="49"/>
  <c r="D108" i="49"/>
  <c r="D96" i="49"/>
  <c r="AV128" i="49"/>
  <c r="AN108" i="49"/>
  <c r="AO108" i="49" s="1"/>
  <c r="AV131" i="49"/>
  <c r="C108" i="49"/>
  <c r="AN96" i="49"/>
  <c r="AN116" i="49"/>
  <c r="AO116" i="49" s="1"/>
  <c r="C112" i="49"/>
  <c r="AN104" i="49"/>
  <c r="E112" i="49"/>
  <c r="F112" i="49" s="1"/>
  <c r="G112" i="49" s="1"/>
  <c r="H112" i="49" s="1"/>
  <c r="I112" i="49" s="1"/>
  <c r="J112" i="49" s="1"/>
  <c r="K112" i="49" s="1"/>
  <c r="L112" i="49" s="1"/>
  <c r="M112" i="49" s="1"/>
  <c r="N112" i="49" s="1"/>
  <c r="O112" i="49" s="1"/>
  <c r="P112" i="49" s="1"/>
  <c r="Q112" i="49" s="1"/>
  <c r="R112" i="49" s="1"/>
  <c r="S112" i="49" s="1"/>
  <c r="T112" i="49" s="1"/>
  <c r="U112" i="49" s="1"/>
  <c r="V112" i="49" s="1"/>
  <c r="W112" i="49" s="1"/>
  <c r="X112" i="49" s="1"/>
  <c r="Y112" i="49" s="1"/>
  <c r="Z112" i="49" s="1"/>
  <c r="Z113" i="49" s="1"/>
  <c r="Y157" i="49" l="1"/>
  <c r="Z157" i="49"/>
  <c r="AA158" i="49"/>
  <c r="E100" i="49"/>
  <c r="F100" i="49" s="1"/>
  <c r="G100" i="49" s="1"/>
  <c r="H100" i="49" s="1"/>
  <c r="I100" i="49" s="1"/>
  <c r="J100" i="49" s="1"/>
  <c r="K100" i="49" s="1"/>
  <c r="L100" i="49" s="1"/>
  <c r="M100" i="49" s="1"/>
  <c r="N100" i="49" s="1"/>
  <c r="O100" i="49" s="1"/>
  <c r="P100" i="49" s="1"/>
  <c r="Q100" i="49" s="1"/>
  <c r="R100" i="49" s="1"/>
  <c r="S100" i="49" s="1"/>
  <c r="T100" i="49" s="1"/>
  <c r="U100" i="49" s="1"/>
  <c r="V100" i="49" s="1"/>
  <c r="W100" i="49" s="1"/>
  <c r="X100" i="49" s="1"/>
  <c r="Y100" i="49" s="1"/>
  <c r="Z100" i="49" s="1"/>
  <c r="AA100" i="49" s="1"/>
  <c r="AB100" i="49" s="1"/>
  <c r="P178" i="49"/>
  <c r="E90" i="49"/>
  <c r="F90" i="49" s="1"/>
  <c r="G90" i="49" s="1"/>
  <c r="H90" i="49" s="1"/>
  <c r="E116" i="49"/>
  <c r="AO96" i="49"/>
  <c r="E96" i="49"/>
  <c r="F96" i="49" s="1"/>
  <c r="G96" i="49" s="1"/>
  <c r="H96" i="49" s="1"/>
  <c r="I96" i="49" s="1"/>
  <c r="J96" i="49" s="1"/>
  <c r="K96" i="49" s="1"/>
  <c r="L96" i="49" s="1"/>
  <c r="M96" i="49" s="1"/>
  <c r="N96" i="49" s="1"/>
  <c r="O96" i="49" s="1"/>
  <c r="P96" i="49" s="1"/>
  <c r="Q96" i="49" s="1"/>
  <c r="R96" i="49" s="1"/>
  <c r="S96" i="49" s="1"/>
  <c r="T96" i="49" s="1"/>
  <c r="U96" i="49" s="1"/>
  <c r="V96" i="49" s="1"/>
  <c r="W96" i="49" s="1"/>
  <c r="X96" i="49" s="1"/>
  <c r="Y96" i="49" s="1"/>
  <c r="Z96" i="49" s="1"/>
  <c r="AA96" i="49" s="1"/>
  <c r="AB96" i="49" s="1"/>
  <c r="AC96" i="49" s="1"/>
  <c r="AD96" i="49" s="1"/>
  <c r="AE96" i="49" s="1"/>
  <c r="AF96" i="49" s="1"/>
  <c r="AG96" i="49" s="1"/>
  <c r="AH96" i="49" s="1"/>
  <c r="AI96" i="49" s="1"/>
  <c r="AJ96" i="49" s="1"/>
  <c r="AK96" i="49" s="1"/>
  <c r="AL96" i="49" s="1"/>
  <c r="F116" i="49"/>
  <c r="G116" i="49" s="1"/>
  <c r="H116" i="49" s="1"/>
  <c r="I116" i="49" s="1"/>
  <c r="J116" i="49" s="1"/>
  <c r="K116" i="49" s="1"/>
  <c r="L116" i="49" s="1"/>
  <c r="M116" i="49" s="1"/>
  <c r="N116" i="49" s="1"/>
  <c r="O116" i="49" s="1"/>
  <c r="P116" i="49" s="1"/>
  <c r="Q116" i="49" s="1"/>
  <c r="R116" i="49" s="1"/>
  <c r="S116" i="49" s="1"/>
  <c r="T116" i="49" s="1"/>
  <c r="U116" i="49" s="1"/>
  <c r="V116" i="49" s="1"/>
  <c r="W116" i="49" s="1"/>
  <c r="X116" i="49" s="1"/>
  <c r="Y116" i="49" s="1"/>
  <c r="Z116" i="49" s="1"/>
  <c r="Z117" i="49" s="1"/>
  <c r="E108" i="49"/>
  <c r="F108" i="49" s="1"/>
  <c r="G108" i="49" s="1"/>
  <c r="AO104" i="49"/>
  <c r="E104" i="49"/>
  <c r="F104" i="49" s="1"/>
  <c r="G104" i="49" s="1"/>
  <c r="H104" i="49" s="1"/>
  <c r="I104" i="49" s="1"/>
  <c r="J104" i="49" s="1"/>
  <c r="K104" i="49" s="1"/>
  <c r="L104" i="49" s="1"/>
  <c r="M104" i="49" s="1"/>
  <c r="N104" i="49" s="1"/>
  <c r="O104" i="49" s="1"/>
  <c r="P104" i="49" s="1"/>
  <c r="Q104" i="49" s="1"/>
  <c r="R104" i="49" s="1"/>
  <c r="S104" i="49" s="1"/>
  <c r="T104" i="49" s="1"/>
  <c r="U104" i="49" s="1"/>
  <c r="V104" i="49" s="1"/>
  <c r="W104" i="49" s="1"/>
  <c r="X104" i="49" s="1"/>
  <c r="Y104" i="49" s="1"/>
  <c r="Z104" i="49" s="1"/>
  <c r="AA112" i="49"/>
  <c r="AB112" i="49" s="1"/>
  <c r="AB113" i="49" s="1"/>
  <c r="AA157" i="49" l="1"/>
  <c r="AB158" i="49"/>
  <c r="AB157" i="49" s="1"/>
  <c r="P179" i="49"/>
  <c r="P182" i="49" s="1"/>
  <c r="AA104" i="49"/>
  <c r="H108" i="49"/>
  <c r="AA116" i="49"/>
  <c r="I90" i="49"/>
  <c r="AA113" i="49"/>
  <c r="AC112" i="49"/>
  <c r="AC113" i="49" s="1"/>
  <c r="AC100" i="49"/>
  <c r="F162" i="102"/>
  <c r="AC158" i="49" l="1"/>
  <c r="AD158" i="49" s="1"/>
  <c r="Q178" i="49"/>
  <c r="I108" i="49"/>
  <c r="J108" i="49" s="1"/>
  <c r="AD112" i="49"/>
  <c r="AD113" i="49" s="1"/>
  <c r="AB104" i="49"/>
  <c r="J90" i="49"/>
  <c r="AA117" i="49"/>
  <c r="AB116" i="49"/>
  <c r="AD100" i="49"/>
  <c r="F161" i="102"/>
  <c r="F165" i="102"/>
  <c r="F164" i="102"/>
  <c r="F163" i="102"/>
  <c r="F145" i="102"/>
  <c r="F146" i="102"/>
  <c r="F144" i="102"/>
  <c r="F149" i="102"/>
  <c r="D57" i="49"/>
  <c r="D56" i="49" s="1"/>
  <c r="F148" i="102"/>
  <c r="F147" i="102"/>
  <c r="AC157" i="49" l="1"/>
  <c r="AD157" i="49"/>
  <c r="AE158" i="49"/>
  <c r="Q179" i="49"/>
  <c r="Q182" i="49" s="1"/>
  <c r="AE112" i="49"/>
  <c r="AF112" i="49" s="1"/>
  <c r="AG112" i="49" s="1"/>
  <c r="AC104" i="49"/>
  <c r="AB117" i="49"/>
  <c r="AC116" i="49"/>
  <c r="K90" i="49"/>
  <c r="K108" i="49"/>
  <c r="AE100" i="49"/>
  <c r="D61" i="49"/>
  <c r="E61" i="49" s="1"/>
  <c r="F61" i="49" s="1"/>
  <c r="G61" i="49" s="1"/>
  <c r="H61" i="49" s="1"/>
  <c r="I61" i="49" s="1"/>
  <c r="J61" i="49" s="1"/>
  <c r="K61" i="49" s="1"/>
  <c r="L61" i="49" s="1"/>
  <c r="M61" i="49" s="1"/>
  <c r="N61" i="49" s="1"/>
  <c r="O61" i="49" s="1"/>
  <c r="P61" i="49" s="1"/>
  <c r="Q61" i="49" s="1"/>
  <c r="R61" i="49" s="1"/>
  <c r="S61" i="49" s="1"/>
  <c r="T61" i="49" s="1"/>
  <c r="U61" i="49" s="1"/>
  <c r="V61" i="49" s="1"/>
  <c r="W61" i="49" s="1"/>
  <c r="X61" i="49" s="1"/>
  <c r="Y61" i="49" s="1"/>
  <c r="Z61" i="49" s="1"/>
  <c r="AA61" i="49" s="1"/>
  <c r="AB61" i="49" s="1"/>
  <c r="AC61" i="49" s="1"/>
  <c r="AD61" i="49" s="1"/>
  <c r="AE61" i="49" s="1"/>
  <c r="AF61" i="49" s="1"/>
  <c r="AG61" i="49" s="1"/>
  <c r="AH61" i="49" s="1"/>
  <c r="AI61" i="49" s="1"/>
  <c r="AJ61" i="49" s="1"/>
  <c r="AK61" i="49" s="1"/>
  <c r="AL61" i="49" s="1"/>
  <c r="AE157" i="49" l="1"/>
  <c r="AF158" i="49"/>
  <c r="AF157" i="49" s="1"/>
  <c r="R178" i="49"/>
  <c r="AF113" i="49"/>
  <c r="AE113" i="49"/>
  <c r="AD104" i="49"/>
  <c r="L90" i="49"/>
  <c r="AC117" i="49"/>
  <c r="AD116" i="49"/>
  <c r="L108" i="49"/>
  <c r="AF100" i="49"/>
  <c r="AG113" i="49"/>
  <c r="AH112" i="49"/>
  <c r="I62" i="47"/>
  <c r="F151" i="47"/>
  <c r="F147" i="47"/>
  <c r="F146" i="47"/>
  <c r="F145" i="47"/>
  <c r="F144" i="47"/>
  <c r="F143" i="47"/>
  <c r="F142" i="47"/>
  <c r="F71" i="47"/>
  <c r="F70" i="47"/>
  <c r="F69" i="47"/>
  <c r="F66" i="47"/>
  <c r="F65" i="47"/>
  <c r="F56" i="47"/>
  <c r="F55" i="47"/>
  <c r="F15" i="47"/>
  <c r="M15" i="47" s="1"/>
  <c r="F16" i="47"/>
  <c r="I140" i="47"/>
  <c r="I148" i="47"/>
  <c r="I164" i="47"/>
  <c r="F139" i="102"/>
  <c r="F138" i="102"/>
  <c r="F137" i="102"/>
  <c r="F136" i="102"/>
  <c r="F135" i="102"/>
  <c r="D133" i="42"/>
  <c r="AO257" i="105"/>
  <c r="AN257" i="105"/>
  <c r="AM257"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G392" i="105"/>
  <c r="AQ392" i="105" s="1"/>
  <c r="G393" i="105"/>
  <c r="AQ393" i="105" s="1"/>
  <c r="G394" i="105"/>
  <c r="AQ394" i="105" s="1"/>
  <c r="G395" i="105"/>
  <c r="G396" i="105"/>
  <c r="AQ396" i="105" s="1"/>
  <c r="G397" i="105"/>
  <c r="AQ397" i="105" s="1"/>
  <c r="G398" i="105"/>
  <c r="AQ398" i="105" s="1"/>
  <c r="G399" i="105"/>
  <c r="G400" i="105"/>
  <c r="AQ400" i="105" s="1"/>
  <c r="G401" i="105"/>
  <c r="G402" i="105"/>
  <c r="AQ402" i="105" s="1"/>
  <c r="G403" i="105"/>
  <c r="AQ403" i="105" s="1"/>
  <c r="G404" i="105"/>
  <c r="AQ404" i="105" s="1"/>
  <c r="G405" i="105"/>
  <c r="AQ405" i="105" s="1"/>
  <c r="G406" i="105"/>
  <c r="G407" i="105"/>
  <c r="G408" i="105"/>
  <c r="AQ408" i="105" s="1"/>
  <c r="G409" i="105"/>
  <c r="AQ409" i="105" s="1"/>
  <c r="G410" i="105"/>
  <c r="AQ410" i="105" s="1"/>
  <c r="H411" i="105"/>
  <c r="I411" i="105"/>
  <c r="J411" i="105"/>
  <c r="K411" i="105"/>
  <c r="L411" i="105"/>
  <c r="M411" i="105"/>
  <c r="N411" i="105"/>
  <c r="O411" i="105"/>
  <c r="P411" i="105"/>
  <c r="Q411" i="105"/>
  <c r="R411" i="105"/>
  <c r="S411" i="105"/>
  <c r="T411" i="105"/>
  <c r="U411" i="105"/>
  <c r="V411" i="105"/>
  <c r="W411" i="105"/>
  <c r="X411" i="105"/>
  <c r="Y411" i="105"/>
  <c r="Z411" i="105"/>
  <c r="AA411" i="105"/>
  <c r="AB411" i="105"/>
  <c r="AC411" i="105"/>
  <c r="AD411" i="105"/>
  <c r="AE411" i="105"/>
  <c r="AF411" i="105"/>
  <c r="AG411" i="105"/>
  <c r="AH411" i="105"/>
  <c r="AI411" i="105"/>
  <c r="AJ411" i="105"/>
  <c r="AK411" i="105"/>
  <c r="AL411" i="105"/>
  <c r="AM411" i="105"/>
  <c r="AN411" i="105"/>
  <c r="AO411" i="105"/>
  <c r="AP411" i="105"/>
  <c r="G366" i="105"/>
  <c r="G367" i="105"/>
  <c r="AQ367" i="105" s="1"/>
  <c r="G368" i="105"/>
  <c r="G369" i="105"/>
  <c r="AQ369" i="105" s="1"/>
  <c r="G370" i="105"/>
  <c r="AQ370" i="105" s="1"/>
  <c r="G371" i="105"/>
  <c r="AQ371" i="105" s="1"/>
  <c r="G372" i="105"/>
  <c r="AQ372" i="105" s="1"/>
  <c r="G373" i="105"/>
  <c r="AQ373" i="105" s="1"/>
  <c r="G374" i="105"/>
  <c r="G375" i="105"/>
  <c r="AQ375" i="105" s="1"/>
  <c r="G376" i="105"/>
  <c r="AQ376" i="105" s="1"/>
  <c r="G377" i="105"/>
  <c r="AQ377" i="105" s="1"/>
  <c r="G378" i="105"/>
  <c r="G379" i="105"/>
  <c r="AQ379" i="105" s="1"/>
  <c r="G380" i="105"/>
  <c r="G381" i="105"/>
  <c r="AQ381" i="105" s="1"/>
  <c r="G382" i="105"/>
  <c r="AQ382" i="105" s="1"/>
  <c r="G383" i="105"/>
  <c r="AQ383" i="105" s="1"/>
  <c r="G384" i="105"/>
  <c r="AQ384" i="105" s="1"/>
  <c r="G385" i="105"/>
  <c r="AQ385" i="105" s="1"/>
  <c r="G386" i="105"/>
  <c r="AQ386" i="105" s="1"/>
  <c r="G387" i="105"/>
  <c r="AQ387" i="105" s="1"/>
  <c r="G388" i="105"/>
  <c r="AQ388" i="105" s="1"/>
  <c r="G389" i="105"/>
  <c r="AQ389" i="105" s="1"/>
  <c r="H390" i="105"/>
  <c r="I390" i="105"/>
  <c r="J390" i="105"/>
  <c r="K390" i="105"/>
  <c r="L390" i="105"/>
  <c r="M390" i="105"/>
  <c r="N390" i="105"/>
  <c r="O390" i="105"/>
  <c r="P390" i="105"/>
  <c r="Q390" i="105"/>
  <c r="R390" i="105"/>
  <c r="S390" i="105"/>
  <c r="T390" i="105"/>
  <c r="U390" i="105"/>
  <c r="V390" i="105"/>
  <c r="W390" i="105"/>
  <c r="X390" i="105"/>
  <c r="Y390" i="105"/>
  <c r="Z390" i="105"/>
  <c r="AA390" i="105"/>
  <c r="AB390" i="105"/>
  <c r="AC390" i="105"/>
  <c r="AD390" i="105"/>
  <c r="AE390" i="105"/>
  <c r="AF390" i="105"/>
  <c r="AG390" i="105"/>
  <c r="AH390" i="105"/>
  <c r="AI390" i="105"/>
  <c r="AJ390" i="105"/>
  <c r="AK390" i="105"/>
  <c r="AL390" i="105"/>
  <c r="AM390" i="105"/>
  <c r="AN390" i="105"/>
  <c r="AO390" i="105"/>
  <c r="AP390" i="105"/>
  <c r="G340" i="105"/>
  <c r="G341" i="105"/>
  <c r="AQ341" i="105" s="1"/>
  <c r="G342" i="105"/>
  <c r="G343" i="105"/>
  <c r="AQ343" i="105" s="1"/>
  <c r="G344" i="105"/>
  <c r="AQ344" i="105" s="1"/>
  <c r="G345" i="105"/>
  <c r="AQ345" i="105" s="1"/>
  <c r="G346" i="105"/>
  <c r="AQ346" i="105" s="1"/>
  <c r="G347" i="105"/>
  <c r="AQ347" i="105" s="1"/>
  <c r="G348" i="105"/>
  <c r="G349" i="105"/>
  <c r="AQ349" i="105" s="1"/>
  <c r="G350" i="105"/>
  <c r="AQ350" i="105" s="1"/>
  <c r="G351" i="105"/>
  <c r="AQ351" i="105" s="1"/>
  <c r="G352" i="105"/>
  <c r="G353" i="105"/>
  <c r="AQ353" i="105" s="1"/>
  <c r="G354" i="105"/>
  <c r="G355" i="105"/>
  <c r="AQ355" i="105" s="1"/>
  <c r="G356" i="105"/>
  <c r="AQ356" i="105" s="1"/>
  <c r="G357" i="105"/>
  <c r="AQ357" i="105" s="1"/>
  <c r="G358" i="105"/>
  <c r="AQ358" i="105" s="1"/>
  <c r="G359" i="105"/>
  <c r="AQ359" i="105" s="1"/>
  <c r="G360" i="105"/>
  <c r="G361" i="105"/>
  <c r="AQ361" i="105" s="1"/>
  <c r="G362" i="105"/>
  <c r="AQ362" i="105" s="1"/>
  <c r="G363" i="105"/>
  <c r="AQ363" i="105" s="1"/>
  <c r="H364" i="105"/>
  <c r="I364" i="105"/>
  <c r="J364" i="105"/>
  <c r="K364" i="105"/>
  <c r="L364" i="105"/>
  <c r="M364" i="105"/>
  <c r="N364" i="105"/>
  <c r="O364" i="105"/>
  <c r="P364" i="105"/>
  <c r="Q364" i="105"/>
  <c r="R364" i="105"/>
  <c r="S364" i="105"/>
  <c r="T364" i="105"/>
  <c r="U364" i="105"/>
  <c r="V364" i="105"/>
  <c r="W364" i="105"/>
  <c r="X364" i="105"/>
  <c r="Y364" i="105"/>
  <c r="Z364" i="105"/>
  <c r="AA364" i="105"/>
  <c r="AB364" i="105"/>
  <c r="AC364" i="105"/>
  <c r="AD364" i="105"/>
  <c r="AE364" i="105"/>
  <c r="AF364" i="105"/>
  <c r="AG364" i="105"/>
  <c r="AH364" i="105"/>
  <c r="AI364" i="105"/>
  <c r="AJ364" i="105"/>
  <c r="AK364" i="105"/>
  <c r="AL364" i="105"/>
  <c r="AM364" i="105"/>
  <c r="AN364" i="105"/>
  <c r="AO364" i="105"/>
  <c r="AP364" i="105"/>
  <c r="G329" i="105"/>
  <c r="G330" i="105"/>
  <c r="AQ330" i="105" s="1"/>
  <c r="G331" i="105"/>
  <c r="G332" i="105"/>
  <c r="AQ332" i="105" s="1"/>
  <c r="G333" i="105"/>
  <c r="AQ333" i="105" s="1"/>
  <c r="G334" i="105"/>
  <c r="AQ334" i="105" s="1"/>
  <c r="G335" i="105"/>
  <c r="AQ335" i="105" s="1"/>
  <c r="G336" i="105"/>
  <c r="AQ336" i="105" s="1"/>
  <c r="G337" i="105"/>
  <c r="H338" i="105"/>
  <c r="I338" i="105"/>
  <c r="J338" i="105"/>
  <c r="K338" i="105"/>
  <c r="L338" i="105"/>
  <c r="M338" i="105"/>
  <c r="N338" i="105"/>
  <c r="O338" i="105"/>
  <c r="P338" i="105"/>
  <c r="Q338" i="105"/>
  <c r="R338" i="105"/>
  <c r="S338" i="105"/>
  <c r="T338" i="105"/>
  <c r="U338" i="105"/>
  <c r="V338" i="105"/>
  <c r="W338" i="105"/>
  <c r="X338" i="105"/>
  <c r="Y338" i="105"/>
  <c r="Z338" i="105"/>
  <c r="AA338" i="105"/>
  <c r="AB338" i="105"/>
  <c r="AC338" i="105"/>
  <c r="AD338" i="105"/>
  <c r="AE338" i="105"/>
  <c r="AF338" i="105"/>
  <c r="AG338" i="105"/>
  <c r="AH338" i="105"/>
  <c r="AI338" i="105"/>
  <c r="AJ338" i="105"/>
  <c r="AK338" i="105"/>
  <c r="AL338" i="105"/>
  <c r="AM338" i="105"/>
  <c r="AN338" i="105"/>
  <c r="AO338" i="105"/>
  <c r="AP338" i="105"/>
  <c r="G318" i="105"/>
  <c r="AQ318" i="105" s="1"/>
  <c r="G319" i="105"/>
  <c r="AQ319" i="105" s="1"/>
  <c r="G320" i="105"/>
  <c r="AQ320" i="105" s="1"/>
  <c r="G321" i="105"/>
  <c r="G322" i="105"/>
  <c r="AQ322" i="105" s="1"/>
  <c r="G323" i="105"/>
  <c r="G324" i="105"/>
  <c r="AQ324" i="105" s="1"/>
  <c r="G325" i="105"/>
  <c r="AQ325" i="105" s="1"/>
  <c r="G326" i="105"/>
  <c r="AQ326" i="105" s="1"/>
  <c r="H327" i="105"/>
  <c r="I327" i="105"/>
  <c r="J327" i="105"/>
  <c r="K327" i="105"/>
  <c r="L327" i="105"/>
  <c r="M327" i="105"/>
  <c r="N327" i="105"/>
  <c r="O327" i="105"/>
  <c r="P327" i="105"/>
  <c r="Q327" i="105"/>
  <c r="R327" i="105"/>
  <c r="S327" i="105"/>
  <c r="T327" i="105"/>
  <c r="U327" i="105"/>
  <c r="V327" i="105"/>
  <c r="W327" i="105"/>
  <c r="X327" i="105"/>
  <c r="Y327" i="105"/>
  <c r="Z327" i="105"/>
  <c r="AA327" i="105"/>
  <c r="AB327" i="105"/>
  <c r="AC327" i="105"/>
  <c r="AD327" i="105"/>
  <c r="AE327" i="105"/>
  <c r="AF327" i="105"/>
  <c r="AG327" i="105"/>
  <c r="AH327" i="105"/>
  <c r="AI327" i="105"/>
  <c r="AJ327" i="105"/>
  <c r="AK327" i="105"/>
  <c r="AL327" i="105"/>
  <c r="AM327" i="105"/>
  <c r="AN327" i="105"/>
  <c r="AO327" i="105"/>
  <c r="AP327" i="105"/>
  <c r="G290" i="105"/>
  <c r="G291" i="105"/>
  <c r="AQ291" i="105" s="1"/>
  <c r="G292" i="105"/>
  <c r="AQ292" i="105" s="1"/>
  <c r="G293" i="105"/>
  <c r="AQ293" i="105" s="1"/>
  <c r="G294" i="105"/>
  <c r="AQ294" i="105" s="1"/>
  <c r="G295" i="105"/>
  <c r="AQ295" i="105" s="1"/>
  <c r="G296" i="105"/>
  <c r="AQ296" i="105" s="1"/>
  <c r="G297" i="105"/>
  <c r="AQ297" i="105" s="1"/>
  <c r="G298" i="105"/>
  <c r="AQ298" i="105" s="1"/>
  <c r="G299" i="105"/>
  <c r="AQ299" i="105" s="1"/>
  <c r="G300" i="105"/>
  <c r="AQ300" i="105" s="1"/>
  <c r="G301" i="105"/>
  <c r="AQ301" i="105" s="1"/>
  <c r="G302" i="105"/>
  <c r="G303" i="105"/>
  <c r="AQ303" i="105" s="1"/>
  <c r="G304" i="105"/>
  <c r="AQ304" i="105" s="1"/>
  <c r="G305" i="105"/>
  <c r="AQ305" i="105" s="1"/>
  <c r="G306" i="105"/>
  <c r="G307" i="105"/>
  <c r="AQ307" i="105" s="1"/>
  <c r="G308" i="105"/>
  <c r="G309" i="105"/>
  <c r="AQ309" i="105" s="1"/>
  <c r="G310" i="105"/>
  <c r="G311" i="105"/>
  <c r="AQ311" i="105" s="1"/>
  <c r="G312" i="105"/>
  <c r="AQ312" i="105" s="1"/>
  <c r="G313" i="105"/>
  <c r="AQ313" i="105" s="1"/>
  <c r="G314" i="105"/>
  <c r="AQ314" i="105" s="1"/>
  <c r="G315" i="105"/>
  <c r="AQ315" i="105" s="1"/>
  <c r="H316" i="105"/>
  <c r="I316" i="105"/>
  <c r="J316" i="105"/>
  <c r="K316" i="105"/>
  <c r="L316" i="105"/>
  <c r="M316" i="105"/>
  <c r="N316" i="105"/>
  <c r="O316" i="105"/>
  <c r="P316" i="105"/>
  <c r="Q316" i="105"/>
  <c r="R316" i="105"/>
  <c r="S316" i="105"/>
  <c r="T316" i="105"/>
  <c r="U316" i="105"/>
  <c r="V316" i="105"/>
  <c r="W316" i="105"/>
  <c r="X316" i="105"/>
  <c r="Y316" i="105"/>
  <c r="Z316" i="105"/>
  <c r="AA316" i="105"/>
  <c r="AB316" i="105"/>
  <c r="AC316" i="105"/>
  <c r="AD316" i="105"/>
  <c r="AE316" i="105"/>
  <c r="AF316" i="105"/>
  <c r="AG316" i="105"/>
  <c r="AH316" i="105"/>
  <c r="AI316" i="105"/>
  <c r="AJ316" i="105"/>
  <c r="AK316" i="105"/>
  <c r="AL316" i="105"/>
  <c r="AM316" i="105"/>
  <c r="AN316" i="105"/>
  <c r="AO316" i="105"/>
  <c r="AP316" i="105"/>
  <c r="G278" i="105"/>
  <c r="G279" i="105"/>
  <c r="AQ279" i="105" s="1"/>
  <c r="G280" i="105"/>
  <c r="AQ280" i="105" s="1"/>
  <c r="G281" i="105"/>
  <c r="AQ281" i="105" s="1"/>
  <c r="G282" i="105"/>
  <c r="G283" i="105"/>
  <c r="AQ283" i="105" s="1"/>
  <c r="G284" i="105"/>
  <c r="G285" i="105"/>
  <c r="AQ285" i="105" s="1"/>
  <c r="G286" i="105"/>
  <c r="AQ286" i="105" s="1"/>
  <c r="G287" i="105"/>
  <c r="AQ287" i="105" s="1"/>
  <c r="H288" i="105"/>
  <c r="I288" i="105"/>
  <c r="J288" i="105"/>
  <c r="K288" i="105"/>
  <c r="L288" i="105"/>
  <c r="M288" i="105"/>
  <c r="N288" i="105"/>
  <c r="O288" i="105"/>
  <c r="P288" i="105"/>
  <c r="Q288" i="105"/>
  <c r="R288" i="105"/>
  <c r="S288" i="105"/>
  <c r="T288" i="105"/>
  <c r="U288" i="105"/>
  <c r="V288" i="105"/>
  <c r="W288" i="105"/>
  <c r="X288" i="105"/>
  <c r="Y288" i="105"/>
  <c r="Z288" i="105"/>
  <c r="AA288" i="105"/>
  <c r="AB288" i="105"/>
  <c r="AC288" i="105"/>
  <c r="AD288" i="105"/>
  <c r="AE288" i="105"/>
  <c r="AF288" i="105"/>
  <c r="AG288" i="105"/>
  <c r="AH288" i="105"/>
  <c r="AI288" i="105"/>
  <c r="AJ288" i="105"/>
  <c r="AK288" i="105"/>
  <c r="AL288" i="105"/>
  <c r="AM288" i="105"/>
  <c r="AN288" i="105"/>
  <c r="AO288" i="105"/>
  <c r="AP288" i="105"/>
  <c r="G267" i="105"/>
  <c r="AQ267" i="105" s="1"/>
  <c r="G268" i="105"/>
  <c r="AQ268" i="105" s="1"/>
  <c r="G269" i="105"/>
  <c r="G270" i="105"/>
  <c r="AQ270" i="105" s="1"/>
  <c r="G271" i="105"/>
  <c r="AQ271" i="105" s="1"/>
  <c r="G272" i="105"/>
  <c r="AQ272" i="105" s="1"/>
  <c r="G273" i="105"/>
  <c r="G274" i="105"/>
  <c r="AQ274" i="105" s="1"/>
  <c r="G275" i="105"/>
  <c r="H276" i="105"/>
  <c r="F21" i="47" s="1"/>
  <c r="I276" i="105"/>
  <c r="J276" i="105"/>
  <c r="K276" i="105"/>
  <c r="L276" i="105"/>
  <c r="M276" i="105"/>
  <c r="N276" i="105"/>
  <c r="O276" i="105"/>
  <c r="P276" i="105"/>
  <c r="Q276" i="105"/>
  <c r="R276" i="105"/>
  <c r="S276" i="105"/>
  <c r="T276" i="105"/>
  <c r="U276" i="105"/>
  <c r="V276" i="105"/>
  <c r="W276" i="105"/>
  <c r="X276" i="105"/>
  <c r="Y276" i="105"/>
  <c r="Z276" i="105"/>
  <c r="AA276" i="105"/>
  <c r="AB276" i="105"/>
  <c r="AC276" i="105"/>
  <c r="AD276" i="105"/>
  <c r="AE276" i="105"/>
  <c r="AF276" i="105"/>
  <c r="AG276" i="105"/>
  <c r="AH276" i="105"/>
  <c r="AI276" i="105"/>
  <c r="AJ276" i="105"/>
  <c r="AK276" i="105"/>
  <c r="AL276" i="105"/>
  <c r="AM276" i="105"/>
  <c r="AN276" i="105"/>
  <c r="AO276" i="105"/>
  <c r="AP276" i="105"/>
  <c r="G258" i="105"/>
  <c r="G259" i="105"/>
  <c r="AQ259" i="105" s="1"/>
  <c r="G260" i="105"/>
  <c r="AQ260" i="105" s="1"/>
  <c r="G261" i="105"/>
  <c r="AQ261" i="105" s="1"/>
  <c r="G262" i="105"/>
  <c r="AQ262" i="105" s="1"/>
  <c r="G263" i="105"/>
  <c r="AQ263" i="105" s="1"/>
  <c r="G264" i="105"/>
  <c r="H265" i="105"/>
  <c r="I265" i="105"/>
  <c r="J265" i="105"/>
  <c r="K265" i="105"/>
  <c r="L265" i="105"/>
  <c r="M265" i="105"/>
  <c r="N265" i="105"/>
  <c r="O265" i="105"/>
  <c r="P265" i="105"/>
  <c r="Q265" i="105"/>
  <c r="R265" i="105"/>
  <c r="S265" i="105"/>
  <c r="T265" i="105"/>
  <c r="U265" i="105"/>
  <c r="V265" i="105"/>
  <c r="W265" i="105"/>
  <c r="X265" i="105"/>
  <c r="Y265" i="105"/>
  <c r="Z265" i="105"/>
  <c r="AA265" i="105"/>
  <c r="AB265" i="105"/>
  <c r="AC265" i="105"/>
  <c r="AD265" i="105"/>
  <c r="AE265" i="105"/>
  <c r="AF265" i="105"/>
  <c r="AG265" i="105"/>
  <c r="AH265" i="105"/>
  <c r="AI265" i="105"/>
  <c r="AJ265" i="105"/>
  <c r="AK265" i="105"/>
  <c r="AL265" i="105"/>
  <c r="AM265" i="105"/>
  <c r="AN265" i="105"/>
  <c r="AO265" i="105"/>
  <c r="AP265" i="105"/>
  <c r="F66" i="102"/>
  <c r="F129" i="102"/>
  <c r="F128" i="102"/>
  <c r="F127" i="102"/>
  <c r="F125" i="102"/>
  <c r="F124" i="102"/>
  <c r="F123" i="102"/>
  <c r="F119" i="102"/>
  <c r="F121" i="102"/>
  <c r="F120" i="102"/>
  <c r="F117" i="102"/>
  <c r="F116" i="102"/>
  <c r="F111" i="102"/>
  <c r="F114" i="102"/>
  <c r="F113" i="102"/>
  <c r="F112" i="102"/>
  <c r="F107" i="102"/>
  <c r="F106" i="102"/>
  <c r="F105" i="102"/>
  <c r="F103" i="102"/>
  <c r="F104" i="102"/>
  <c r="F102" i="102"/>
  <c r="F101" i="102"/>
  <c r="F95" i="102"/>
  <c r="F94" i="102"/>
  <c r="F92" i="102"/>
  <c r="F91" i="102"/>
  <c r="F90" i="102"/>
  <c r="F89" i="102"/>
  <c r="F88" i="102"/>
  <c r="F84" i="102"/>
  <c r="F82" i="102"/>
  <c r="F80" i="102"/>
  <c r="F78" i="102"/>
  <c r="F76" i="102"/>
  <c r="F74" i="102"/>
  <c r="F72" i="102"/>
  <c r="F63" i="102"/>
  <c r="F58" i="102"/>
  <c r="F59" i="102"/>
  <c r="F57" i="102"/>
  <c r="F55" i="102"/>
  <c r="F62" i="102"/>
  <c r="F56" i="102"/>
  <c r="F52" i="102"/>
  <c r="AG158" i="49" l="1"/>
  <c r="AG157" i="49" s="1"/>
  <c r="R179" i="49"/>
  <c r="R182" i="49" s="1"/>
  <c r="AE104" i="49"/>
  <c r="AD117" i="49"/>
  <c r="AE116" i="49"/>
  <c r="M90" i="49"/>
  <c r="M108" i="49"/>
  <c r="AG100" i="49"/>
  <c r="AH113" i="49"/>
  <c r="AI112" i="49"/>
  <c r="H58" i="47"/>
  <c r="H165" i="47" s="1"/>
  <c r="H173" i="47" s="1"/>
  <c r="F23" i="47"/>
  <c r="F20" i="47"/>
  <c r="F22" i="47"/>
  <c r="AQ368" i="105"/>
  <c r="AQ406" i="105"/>
  <c r="AQ360" i="105"/>
  <c r="AQ354" i="105"/>
  <c r="AQ348" i="105"/>
  <c r="G364" i="105"/>
  <c r="AQ310" i="105"/>
  <c r="G390" i="105"/>
  <c r="G276" i="105"/>
  <c r="I49" i="47"/>
  <c r="AQ284" i="105"/>
  <c r="AQ323" i="105"/>
  <c r="AQ278" i="105"/>
  <c r="AQ407" i="105"/>
  <c r="AQ337" i="105"/>
  <c r="G338" i="105"/>
  <c r="AQ302" i="105"/>
  <c r="AQ342" i="105"/>
  <c r="G327" i="105"/>
  <c r="AQ264" i="105"/>
  <c r="AQ331" i="105"/>
  <c r="G316" i="105"/>
  <c r="AQ401" i="105"/>
  <c r="G265" i="105"/>
  <c r="G288" i="105"/>
  <c r="AQ395" i="105"/>
  <c r="AQ275" i="105"/>
  <c r="AQ290" i="105"/>
  <c r="AQ380" i="105"/>
  <c r="G411" i="105"/>
  <c r="AQ269" i="105"/>
  <c r="AQ374" i="105"/>
  <c r="AQ273" i="105"/>
  <c r="AQ282" i="105"/>
  <c r="AQ306" i="105"/>
  <c r="AQ308" i="105"/>
  <c r="AQ321" i="105"/>
  <c r="AQ329" i="105"/>
  <c r="AQ352" i="105"/>
  <c r="AQ340" i="105"/>
  <c r="AQ378" i="105"/>
  <c r="AQ366" i="105"/>
  <c r="AQ399" i="105"/>
  <c r="AQ258" i="105"/>
  <c r="I31" i="47"/>
  <c r="D37" i="42"/>
  <c r="F54" i="102"/>
  <c r="AH158" i="49" l="1"/>
  <c r="AH157" i="49" s="1"/>
  <c r="S178" i="49"/>
  <c r="AF104" i="49"/>
  <c r="N90" i="49"/>
  <c r="AF116" i="49"/>
  <c r="AE117" i="49"/>
  <c r="N108" i="49"/>
  <c r="F31" i="47"/>
  <c r="AH100" i="49"/>
  <c r="AI113" i="49"/>
  <c r="AJ112" i="49"/>
  <c r="G415" i="105"/>
  <c r="G416" i="105" s="1"/>
  <c r="G58" i="47"/>
  <c r="G165" i="47" s="1"/>
  <c r="G173" i="47" s="1"/>
  <c r="I58" i="47"/>
  <c r="G414" i="105"/>
  <c r="AI158" i="49" l="1"/>
  <c r="AI157" i="49" s="1"/>
  <c r="S179" i="49"/>
  <c r="S182" i="49" s="1"/>
  <c r="AG104" i="49"/>
  <c r="AG116" i="49"/>
  <c r="AF117" i="49"/>
  <c r="O90" i="49"/>
  <c r="O108" i="49"/>
  <c r="AI100" i="49"/>
  <c r="AJ113" i="49"/>
  <c r="AK112" i="49"/>
  <c r="M31" i="47"/>
  <c r="J31" i="47"/>
  <c r="J58" i="47" s="1"/>
  <c r="AJ158" i="49" l="1"/>
  <c r="AK158" i="49" s="1"/>
  <c r="AH104" i="49"/>
  <c r="P90" i="49"/>
  <c r="AG117" i="49"/>
  <c r="AH116" i="49"/>
  <c r="P108" i="49"/>
  <c r="AJ100" i="49"/>
  <c r="AI101" i="49"/>
  <c r="AL112" i="49"/>
  <c r="AL113" i="49" s="1"/>
  <c r="AK113" i="49"/>
  <c r="F91" i="108"/>
  <c r="L139" i="108"/>
  <c r="L134" i="108"/>
  <c r="L129" i="108"/>
  <c r="F62" i="47"/>
  <c r="F92" i="108" s="1"/>
  <c r="G193" i="52"/>
  <c r="E195" i="52"/>
  <c r="G192" i="52"/>
  <c r="G191" i="52"/>
  <c r="G190" i="52"/>
  <c r="G189" i="52"/>
  <c r="G7" i="52"/>
  <c r="M10" i="52" s="1"/>
  <c r="Q168" i="47"/>
  <c r="R168" i="47"/>
  <c r="AJ157" i="49" l="1"/>
  <c r="AK157" i="49"/>
  <c r="AL158" i="49"/>
  <c r="AL157" i="49" s="1"/>
  <c r="AI104" i="49"/>
  <c r="AI116" i="49"/>
  <c r="AH117" i="49"/>
  <c r="Q90" i="49"/>
  <c r="Q108" i="49"/>
  <c r="AJ101" i="49"/>
  <c r="AK100" i="49"/>
  <c r="W61" i="109"/>
  <c r="X61" i="109" s="1"/>
  <c r="AA61" i="109" s="1"/>
  <c r="E193" i="52"/>
  <c r="G78" i="52"/>
  <c r="F58" i="47"/>
  <c r="E60" i="47" s="1"/>
  <c r="L10" i="52"/>
  <c r="AJ10" i="52"/>
  <c r="X10" i="52"/>
  <c r="AI10" i="52"/>
  <c r="W10" i="52"/>
  <c r="K10" i="52"/>
  <c r="AH10" i="52"/>
  <c r="V10" i="52"/>
  <c r="J10" i="52"/>
  <c r="AG10" i="52"/>
  <c r="U10" i="52"/>
  <c r="I10" i="52"/>
  <c r="AF10" i="52"/>
  <c r="T10" i="52"/>
  <c r="H10" i="52"/>
  <c r="S10" i="52"/>
  <c r="AD10" i="52"/>
  <c r="R10" i="52"/>
  <c r="G11" i="52"/>
  <c r="AE10" i="52"/>
  <c r="AC10" i="52"/>
  <c r="Q10" i="52"/>
  <c r="AB10" i="52"/>
  <c r="P10" i="52"/>
  <c r="AA10" i="52"/>
  <c r="O10" i="52"/>
  <c r="Z10" i="52"/>
  <c r="N10" i="52"/>
  <c r="G10" i="52"/>
  <c r="Y10" i="52"/>
  <c r="M58" i="47" l="1"/>
  <c r="AA62" i="109"/>
  <c r="M58" i="109" s="1"/>
  <c r="M62" i="109" s="1"/>
  <c r="AJ104" i="49"/>
  <c r="AI105" i="49"/>
  <c r="R90" i="49"/>
  <c r="AJ116" i="49"/>
  <c r="AI117" i="49"/>
  <c r="R108" i="49"/>
  <c r="Z61" i="109"/>
  <c r="AK101" i="49"/>
  <c r="AL100" i="49"/>
  <c r="H11" i="52"/>
  <c r="G23" i="52"/>
  <c r="G24" i="52"/>
  <c r="G25" i="52"/>
  <c r="AK104" i="49" l="1"/>
  <c r="AJ105" i="49"/>
  <c r="AK116" i="49"/>
  <c r="AJ117" i="49"/>
  <c r="S90" i="49"/>
  <c r="S108" i="49"/>
  <c r="Z62" i="109"/>
  <c r="AL101" i="49"/>
  <c r="I11" i="52"/>
  <c r="H23" i="52"/>
  <c r="H24" i="52"/>
  <c r="H25" i="52"/>
  <c r="O169" i="47"/>
  <c r="AL104" i="49" l="1"/>
  <c r="AL105" i="49" s="1"/>
  <c r="AK105" i="49"/>
  <c r="T90" i="49"/>
  <c r="AL116" i="49"/>
  <c r="AL117" i="49" s="1"/>
  <c r="AK117" i="49"/>
  <c r="T108" i="49"/>
  <c r="J11" i="52"/>
  <c r="I23" i="52"/>
  <c r="I24" i="52"/>
  <c r="I25" i="52"/>
  <c r="F249" i="102"/>
  <c r="F60" i="102"/>
  <c r="H35" i="103"/>
  <c r="F232" i="102" s="1"/>
  <c r="F230" i="102"/>
  <c r="F228" i="102"/>
  <c r="F61" i="102"/>
  <c r="F67" i="102"/>
  <c r="F68" i="102"/>
  <c r="F70" i="102"/>
  <c r="F69" i="102"/>
  <c r="F51" i="102"/>
  <c r="F48" i="102"/>
  <c r="F64" i="102"/>
  <c r="F205" i="102"/>
  <c r="U90" i="49" l="1"/>
  <c r="U108" i="49"/>
  <c r="K11" i="52"/>
  <c r="J23" i="52"/>
  <c r="J24" i="52"/>
  <c r="J25" i="52"/>
  <c r="F496" i="42"/>
  <c r="G145" i="45"/>
  <c r="V90" i="49" l="1"/>
  <c r="V108" i="49"/>
  <c r="L11" i="52"/>
  <c r="K23" i="52"/>
  <c r="K24" i="52"/>
  <c r="K25" i="52"/>
  <c r="F53" i="102"/>
  <c r="F47" i="102"/>
  <c r="F49" i="102"/>
  <c r="F43" i="102"/>
  <c r="F44" i="102"/>
  <c r="F42" i="102"/>
  <c r="F40" i="102"/>
  <c r="F31" i="102"/>
  <c r="F33" i="102"/>
  <c r="F28" i="102"/>
  <c r="F27" i="102"/>
  <c r="F32" i="102"/>
  <c r="F30" i="102"/>
  <c r="F29" i="102"/>
  <c r="F26" i="102"/>
  <c r="F25" i="102"/>
  <c r="F23" i="102"/>
  <c r="F13" i="102"/>
  <c r="F14" i="102"/>
  <c r="F20" i="102"/>
  <c r="F18" i="102"/>
  <c r="F17" i="102"/>
  <c r="F15" i="102"/>
  <c r="W90" i="49" l="1"/>
  <c r="W108" i="49"/>
  <c r="M11" i="52"/>
  <c r="L23" i="52"/>
  <c r="L24" i="52"/>
  <c r="L25" i="52"/>
  <c r="X90" i="49" l="1"/>
  <c r="X108" i="49"/>
  <c r="X109" i="49" s="1"/>
  <c r="N11" i="52"/>
  <c r="M23" i="52"/>
  <c r="M24" i="52"/>
  <c r="M25" i="52"/>
  <c r="I4" i="101"/>
  <c r="C23" i="101"/>
  <c r="C22" i="101"/>
  <c r="C21" i="101"/>
  <c r="C20" i="101"/>
  <c r="C19" i="101"/>
  <c r="C18" i="101"/>
  <c r="C17" i="101"/>
  <c r="C6" i="101"/>
  <c r="C7" i="101"/>
  <c r="C8" i="101"/>
  <c r="C9" i="101"/>
  <c r="C10" i="101"/>
  <c r="C11" i="101"/>
  <c r="C12" i="101"/>
  <c r="C13" i="101"/>
  <c r="C14" i="101"/>
  <c r="C5" i="101"/>
  <c r="Y90" i="49" l="1"/>
  <c r="Y108" i="49"/>
  <c r="Y109" i="49" s="1"/>
  <c r="O11" i="52"/>
  <c r="N23" i="52"/>
  <c r="N24" i="52"/>
  <c r="N25" i="52"/>
  <c r="T54" i="3"/>
  <c r="T53" i="3"/>
  <c r="Z90" i="49" l="1"/>
  <c r="Z108" i="49"/>
  <c r="Z109" i="49" s="1"/>
  <c r="P11" i="52"/>
  <c r="O23" i="52"/>
  <c r="O24" i="52"/>
  <c r="O25" i="52"/>
  <c r="G42" i="101"/>
  <c r="C42" i="101"/>
  <c r="G40" i="101"/>
  <c r="G4" i="101" s="1"/>
  <c r="C40" i="101"/>
  <c r="G3" i="101" s="1"/>
  <c r="C30" i="101"/>
  <c r="C29" i="101"/>
  <c r="C27" i="101"/>
  <c r="C26" i="101"/>
  <c r="F4" i="101"/>
  <c r="F3" i="101"/>
  <c r="AA90" i="49" l="1"/>
  <c r="AA108" i="49"/>
  <c r="AA109" i="49" s="1"/>
  <c r="Q11" i="52"/>
  <c r="P23" i="52"/>
  <c r="P24" i="52"/>
  <c r="P25" i="52"/>
  <c r="H3" i="101"/>
  <c r="J3" i="101" s="1"/>
  <c r="H4" i="101"/>
  <c r="J4" i="101" s="1"/>
  <c r="AB90" i="49" l="1"/>
  <c r="AB108" i="49"/>
  <c r="AB109" i="49" s="1"/>
  <c r="R11" i="52"/>
  <c r="Q23" i="52"/>
  <c r="Q24" i="52"/>
  <c r="Q25" i="52"/>
  <c r="H5" i="101"/>
  <c r="J5" i="101"/>
  <c r="K4" i="101" s="1"/>
  <c r="G36" i="101" s="1"/>
  <c r="AC90" i="49" l="1"/>
  <c r="AC108" i="49"/>
  <c r="AC109" i="49" s="1"/>
  <c r="S11" i="52"/>
  <c r="R23" i="52"/>
  <c r="R24" i="52"/>
  <c r="R25" i="52"/>
  <c r="K3" i="101"/>
  <c r="C36" i="101" s="1"/>
  <c r="AD90" i="49" l="1"/>
  <c r="AD108" i="49"/>
  <c r="AD109" i="49" s="1"/>
  <c r="T11" i="52"/>
  <c r="S23" i="52"/>
  <c r="S24" i="52"/>
  <c r="S25" i="52"/>
  <c r="R17" i="45"/>
  <c r="R18" i="45"/>
  <c r="R19"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AE90" i="49" l="1"/>
  <c r="AE108" i="49"/>
  <c r="AE109" i="49" s="1"/>
  <c r="U11" i="52"/>
  <c r="T23" i="52"/>
  <c r="T24" i="52"/>
  <c r="T25" i="52"/>
  <c r="E117" i="52"/>
  <c r="G117" i="52" s="1"/>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56" i="45"/>
  <c r="BD57" i="45"/>
  <c r="BD58" i="45"/>
  <c r="BD59" i="45"/>
  <c r="BD60" i="45"/>
  <c r="BD61" i="45"/>
  <c r="BD62" i="45"/>
  <c r="BD63" i="45"/>
  <c r="BD64" i="45"/>
  <c r="BD65" i="45"/>
  <c r="BD16" i="45"/>
  <c r="AF90" i="49" l="1"/>
  <c r="AF108" i="49"/>
  <c r="AF109" i="49" s="1"/>
  <c r="V11" i="52"/>
  <c r="U23" i="52"/>
  <c r="U24" i="52"/>
  <c r="U25" i="52"/>
  <c r="AG90" i="49" l="1"/>
  <c r="AG108" i="49"/>
  <c r="AG109" i="49" s="1"/>
  <c r="W11" i="52"/>
  <c r="V23" i="52"/>
  <c r="V24" i="52"/>
  <c r="V25" i="52"/>
  <c r="AH90" i="49" l="1"/>
  <c r="AH108" i="49"/>
  <c r="AH109" i="49" s="1"/>
  <c r="X11" i="52"/>
  <c r="W23" i="52"/>
  <c r="W24" i="52"/>
  <c r="W25" i="52"/>
  <c r="AI90" i="49" l="1"/>
  <c r="AI108" i="49"/>
  <c r="AI109" i="49" s="1"/>
  <c r="Y11" i="52"/>
  <c r="X23" i="52"/>
  <c r="X24" i="52"/>
  <c r="X25" i="52"/>
  <c r="AJ90" i="49" l="1"/>
  <c r="AJ108" i="49"/>
  <c r="AJ109" i="49" s="1"/>
  <c r="Z11" i="52"/>
  <c r="Y23" i="52"/>
  <c r="Y24" i="52"/>
  <c r="Y25" i="52"/>
  <c r="AE166" i="47"/>
  <c r="X183" i="47"/>
  <c r="AA183" i="47"/>
  <c r="AA184" i="47"/>
  <c r="AA185" i="47"/>
  <c r="AA190" i="47"/>
  <c r="AA192" i="47"/>
  <c r="AA194" i="47"/>
  <c r="AK90" i="49" l="1"/>
  <c r="AK108" i="49"/>
  <c r="AK109" i="49" s="1"/>
  <c r="AA11" i="52"/>
  <c r="Z23" i="52"/>
  <c r="Z24" i="52"/>
  <c r="Z25" i="52"/>
  <c r="AB2" i="42"/>
  <c r="AL90" i="49" l="1"/>
  <c r="AL108" i="49"/>
  <c r="AL109" i="49" s="1"/>
  <c r="AB11" i="52"/>
  <c r="AA23" i="52"/>
  <c r="AA24" i="52"/>
  <c r="AA25" i="52"/>
  <c r="P17" i="46"/>
  <c r="AC11" i="52" l="1"/>
  <c r="AB23" i="52"/>
  <c r="AB24" i="52"/>
  <c r="AB25" i="52"/>
  <c r="D200" i="52"/>
  <c r="AD11" i="52" l="1"/>
  <c r="AC23" i="52"/>
  <c r="AC24" i="52"/>
  <c r="AC25" i="52"/>
  <c r="D209" i="52"/>
  <c r="D208" i="52"/>
  <c r="D207" i="52"/>
  <c r="D206" i="52"/>
  <c r="D205" i="52"/>
  <c r="D204" i="52"/>
  <c r="D203" i="52"/>
  <c r="D202" i="52"/>
  <c r="D201" i="52"/>
  <c r="C209" i="52"/>
  <c r="C208" i="52"/>
  <c r="C207" i="52"/>
  <c r="C206" i="52"/>
  <c r="C205" i="52"/>
  <c r="C204" i="52"/>
  <c r="C203" i="52"/>
  <c r="C202" i="52"/>
  <c r="C201" i="52"/>
  <c r="C200" i="52"/>
  <c r="AE11" i="52" l="1"/>
  <c r="AD23" i="52"/>
  <c r="AD24" i="52"/>
  <c r="AD25" i="52"/>
  <c r="AN178" i="52"/>
  <c r="AM178" i="52"/>
  <c r="AL178" i="52"/>
  <c r="AF11" i="52" l="1"/>
  <c r="AE23" i="52"/>
  <c r="AE24" i="52"/>
  <c r="AE25" i="52"/>
  <c r="AO178" i="52"/>
  <c r="AC343" i="42"/>
  <c r="AC331" i="42"/>
  <c r="AA410" i="42"/>
  <c r="Z410" i="42"/>
  <c r="AA409" i="42"/>
  <c r="Z409" i="42"/>
  <c r="AA408" i="42"/>
  <c r="Z408" i="42"/>
  <c r="AA407" i="42"/>
  <c r="Z407" i="42"/>
  <c r="AE407" i="42" s="1"/>
  <c r="AA406" i="42"/>
  <c r="Z406" i="42"/>
  <c r="AA404" i="42"/>
  <c r="Z404" i="42"/>
  <c r="AA403" i="42"/>
  <c r="Z403" i="42"/>
  <c r="AE403" i="42" s="1"/>
  <c r="AA402" i="42"/>
  <c r="Z402" i="42"/>
  <c r="AA401" i="42"/>
  <c r="Z401" i="42"/>
  <c r="AA400" i="42"/>
  <c r="Z400" i="42"/>
  <c r="AA399" i="42"/>
  <c r="Z399" i="42"/>
  <c r="AA398" i="42"/>
  <c r="Z398" i="42"/>
  <c r="AA397" i="42"/>
  <c r="Z397" i="42"/>
  <c r="AA395" i="42"/>
  <c r="Z395" i="42"/>
  <c r="AA394" i="42"/>
  <c r="Z394" i="42"/>
  <c r="AA393" i="42"/>
  <c r="Z393" i="42"/>
  <c r="AA392" i="42"/>
  <c r="Z392" i="42"/>
  <c r="AA390" i="42"/>
  <c r="Z390" i="42"/>
  <c r="AA389" i="42"/>
  <c r="Z389" i="42"/>
  <c r="AA388" i="42"/>
  <c r="Z388" i="42"/>
  <c r="AA387" i="42"/>
  <c r="Z387" i="42"/>
  <c r="AA386" i="42"/>
  <c r="Z386" i="42"/>
  <c r="AA385" i="42"/>
  <c r="Z385" i="42"/>
  <c r="AA384" i="42"/>
  <c r="Z384" i="42"/>
  <c r="AA382" i="42"/>
  <c r="Z382" i="42"/>
  <c r="AA381" i="42"/>
  <c r="Z381" i="42"/>
  <c r="AA380" i="42"/>
  <c r="Z380" i="42"/>
  <c r="AA378" i="42"/>
  <c r="Z378" i="42"/>
  <c r="AE378" i="42" s="1"/>
  <c r="AA377" i="42"/>
  <c r="Z377" i="42"/>
  <c r="AA376" i="42"/>
  <c r="Z376" i="42"/>
  <c r="AA375" i="42"/>
  <c r="Z375" i="42"/>
  <c r="AA374" i="42"/>
  <c r="Z374" i="42"/>
  <c r="AA372" i="42"/>
  <c r="Z372" i="42"/>
  <c r="AE372" i="42" s="1"/>
  <c r="AA371" i="42"/>
  <c r="Z371" i="42"/>
  <c r="AA370" i="42"/>
  <c r="Z370" i="42"/>
  <c r="AA369" i="42"/>
  <c r="Z369" i="42"/>
  <c r="AA368" i="42"/>
  <c r="Z368" i="42"/>
  <c r="AE368" i="42" s="1"/>
  <c r="AA366" i="42"/>
  <c r="Z366" i="42"/>
  <c r="AE366" i="42" s="1"/>
  <c r="AA365" i="42"/>
  <c r="Z365" i="42"/>
  <c r="AA364" i="42"/>
  <c r="Z364" i="42"/>
  <c r="AA363" i="42"/>
  <c r="Z363" i="42"/>
  <c r="AA362" i="42"/>
  <c r="Z362" i="42"/>
  <c r="AA361" i="42"/>
  <c r="Z361" i="42"/>
  <c r="AA360" i="42"/>
  <c r="Z360" i="42"/>
  <c r="AA358" i="42"/>
  <c r="Z358" i="42"/>
  <c r="AE358" i="42" s="1"/>
  <c r="AA357" i="42"/>
  <c r="Z357" i="42"/>
  <c r="AA356" i="42"/>
  <c r="Z356" i="42"/>
  <c r="AA355" i="42"/>
  <c r="Z355" i="42"/>
  <c r="AE355" i="42" s="1"/>
  <c r="AA353" i="42"/>
  <c r="Z353" i="42"/>
  <c r="AA351" i="42"/>
  <c r="Z351" i="42"/>
  <c r="AE351" i="42" s="1"/>
  <c r="AA350" i="42"/>
  <c r="Z350" i="42"/>
  <c r="AA348" i="42"/>
  <c r="Z348" i="42"/>
  <c r="AA347" i="42"/>
  <c r="Z347" i="42"/>
  <c r="AA345" i="42"/>
  <c r="Z345" i="42"/>
  <c r="AE345" i="42" s="1"/>
  <c r="AA344" i="42"/>
  <c r="Z344" i="42"/>
  <c r="AA343" i="42"/>
  <c r="Z343" i="42"/>
  <c r="AA342" i="42"/>
  <c r="Z342" i="42"/>
  <c r="AA340" i="42"/>
  <c r="Z340" i="42"/>
  <c r="AA339" i="42"/>
  <c r="Z339" i="42"/>
  <c r="AA338" i="42"/>
  <c r="Z338" i="42"/>
  <c r="AA337" i="42"/>
  <c r="Z337" i="42"/>
  <c r="AA336" i="42"/>
  <c r="Z336" i="42"/>
  <c r="AA334" i="42"/>
  <c r="Z334" i="42"/>
  <c r="AA332" i="42"/>
  <c r="Z332" i="42"/>
  <c r="AE332" i="42" s="1"/>
  <c r="AA331" i="42"/>
  <c r="Z331" i="42"/>
  <c r="AE331" i="42" s="1"/>
  <c r="AA330" i="42"/>
  <c r="Z330" i="42"/>
  <c r="AA328" i="42"/>
  <c r="Z328" i="42"/>
  <c r="AA326" i="42"/>
  <c r="Z326" i="42"/>
  <c r="AA325" i="42"/>
  <c r="Z325" i="42"/>
  <c r="AA324" i="42"/>
  <c r="Z324" i="42"/>
  <c r="AC380" i="42"/>
  <c r="AC381" i="42"/>
  <c r="AC384" i="42"/>
  <c r="AC385" i="42"/>
  <c r="AC386" i="42"/>
  <c r="AC392" i="42"/>
  <c r="AC393" i="42"/>
  <c r="AC394" i="42"/>
  <c r="AC395" i="42"/>
  <c r="AC397" i="42"/>
  <c r="AC400" i="42"/>
  <c r="AC401" i="42"/>
  <c r="AC402" i="42"/>
  <c r="AC403" i="42"/>
  <c r="AC404" i="42"/>
  <c r="AC406" i="42"/>
  <c r="AC407" i="42"/>
  <c r="AC409" i="42"/>
  <c r="AC374" i="42"/>
  <c r="AC375" i="42"/>
  <c r="AC376" i="42"/>
  <c r="AC377" i="42"/>
  <c r="AC378" i="42"/>
  <c r="AC368" i="42"/>
  <c r="AC370" i="42"/>
  <c r="AC371" i="42"/>
  <c r="AC372" i="42"/>
  <c r="AC360" i="42"/>
  <c r="AC361" i="42"/>
  <c r="AC362" i="42"/>
  <c r="AC363" i="42"/>
  <c r="AC364" i="42"/>
  <c r="AC366" i="42"/>
  <c r="AC355" i="42"/>
  <c r="AC356" i="42"/>
  <c r="AC358" i="42"/>
  <c r="AC350" i="42"/>
  <c r="AC351" i="42"/>
  <c r="AC347" i="42"/>
  <c r="AC348" i="42"/>
  <c r="AC342" i="42"/>
  <c r="AC344" i="42"/>
  <c r="AC345" i="42"/>
  <c r="AC336" i="42"/>
  <c r="AC337" i="42"/>
  <c r="AC338" i="42"/>
  <c r="AC339" i="42"/>
  <c r="AC340" i="42"/>
  <c r="AC334" i="42"/>
  <c r="AC330" i="42"/>
  <c r="AC332" i="42"/>
  <c r="AC324" i="42"/>
  <c r="AC325" i="42"/>
  <c r="AG11" i="52" l="1"/>
  <c r="AF23" i="52"/>
  <c r="AF24" i="52"/>
  <c r="AF25" i="52"/>
  <c r="C172" i="42"/>
  <c r="AH11" i="52" l="1"/>
  <c r="AG23" i="52"/>
  <c r="AG24" i="52"/>
  <c r="AG25" i="52"/>
  <c r="AN185" i="52"/>
  <c r="AM185" i="52"/>
  <c r="AL185" i="52"/>
  <c r="AN184" i="52"/>
  <c r="AM184" i="52"/>
  <c r="AL184" i="52"/>
  <c r="AN183" i="52"/>
  <c r="AM183" i="52"/>
  <c r="AL183" i="52"/>
  <c r="AN182" i="52"/>
  <c r="AM182" i="52"/>
  <c r="AL182" i="52"/>
  <c r="AN181" i="52"/>
  <c r="AM181" i="52"/>
  <c r="AL181" i="52"/>
  <c r="AN180" i="52"/>
  <c r="AM180" i="52"/>
  <c r="AL180" i="52"/>
  <c r="AN179" i="52"/>
  <c r="AM179" i="52"/>
  <c r="AL179" i="52"/>
  <c r="AI11" i="52" l="1"/>
  <c r="AH23" i="52"/>
  <c r="AH24" i="52"/>
  <c r="AH25" i="52"/>
  <c r="AO182" i="52"/>
  <c r="AO179" i="52"/>
  <c r="AO180" i="52"/>
  <c r="AO181" i="52"/>
  <c r="AO184" i="52"/>
  <c r="AO185" i="52"/>
  <c r="AO183" i="52"/>
  <c r="AJ11" i="52" l="1"/>
  <c r="AI23" i="52"/>
  <c r="AI24" i="52"/>
  <c r="AI25" i="52"/>
  <c r="E60" i="49"/>
  <c r="AJ23" i="52" l="1"/>
  <c r="AJ24" i="52"/>
  <c r="F24" i="52" s="1"/>
  <c r="AJ25" i="52"/>
  <c r="F25" i="52" s="1"/>
  <c r="F60" i="49"/>
  <c r="G60" i="49" s="1"/>
  <c r="S188" i="47"/>
  <c r="T188" i="47" s="1"/>
  <c r="T196" i="47"/>
  <c r="S187" i="47"/>
  <c r="T195" i="47"/>
  <c r="F23" i="52" l="1"/>
  <c r="H60" i="49"/>
  <c r="I60" i="49" l="1"/>
  <c r="J60" i="49" l="1"/>
  <c r="AB65" i="45"/>
  <c r="AB64" i="45"/>
  <c r="AB63" i="45"/>
  <c r="AB62" i="45"/>
  <c r="AB61" i="45"/>
  <c r="AB60" i="45"/>
  <c r="AB59" i="45"/>
  <c r="AB58" i="45"/>
  <c r="AB57" i="45"/>
  <c r="AB56" i="45"/>
  <c r="AB55" i="45"/>
  <c r="AB54" i="45"/>
  <c r="AB53" i="45"/>
  <c r="AB52" i="45"/>
  <c r="AB51" i="45"/>
  <c r="AB50" i="45"/>
  <c r="AB49" i="45"/>
  <c r="AB48" i="45"/>
  <c r="AB47" i="45"/>
  <c r="AB46" i="45"/>
  <c r="AB45" i="45"/>
  <c r="AB44" i="45"/>
  <c r="AB43" i="45"/>
  <c r="AB42" i="45"/>
  <c r="AB41" i="45"/>
  <c r="AB40" i="45"/>
  <c r="AB39" i="45"/>
  <c r="AB38" i="45"/>
  <c r="AB37" i="45"/>
  <c r="AB36" i="45"/>
  <c r="AB35" i="45"/>
  <c r="AB34" i="45"/>
  <c r="AB33" i="45"/>
  <c r="AB32" i="45"/>
  <c r="AB31" i="45"/>
  <c r="AB30" i="45"/>
  <c r="AB29" i="45"/>
  <c r="AB28" i="45"/>
  <c r="AB27" i="45"/>
  <c r="AB26" i="45"/>
  <c r="AB25" i="45"/>
  <c r="AB24" i="45"/>
  <c r="AB23" i="45"/>
  <c r="AB22" i="45"/>
  <c r="AB21" i="45"/>
  <c r="AB20" i="45"/>
  <c r="AB19" i="45"/>
  <c r="AB18" i="45"/>
  <c r="AB17" i="45"/>
  <c r="AB16" i="45"/>
  <c r="K60" i="49" l="1"/>
  <c r="L60" i="49" l="1"/>
  <c r="D75" i="49"/>
  <c r="M60" i="49" l="1"/>
  <c r="N60" i="49" l="1"/>
  <c r="O60" i="49" l="1"/>
  <c r="P60" i="49" l="1"/>
  <c r="A5" i="93"/>
  <c r="Q60" i="49" l="1"/>
  <c r="A6" i="93"/>
  <c r="A7" i="93" s="1"/>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C5" i="93"/>
  <c r="R60" i="49" l="1"/>
  <c r="B6" i="93"/>
  <c r="C6" i="93"/>
  <c r="C7" i="93" s="1"/>
  <c r="C8" i="93" s="1"/>
  <c r="C411" i="42"/>
  <c r="S60" i="49" l="1"/>
  <c r="D6" i="93"/>
  <c r="B7" i="93"/>
  <c r="B8" i="93" s="1"/>
  <c r="E5" i="93"/>
  <c r="C9" i="93"/>
  <c r="C374" i="42"/>
  <c r="C366" i="42"/>
  <c r="I6" i="93" a="1"/>
  <c r="G5" i="93" a="1"/>
  <c r="H5" i="93" a="1"/>
  <c r="J5" i="93" a="1"/>
  <c r="K5" i="93" a="1"/>
  <c r="F5" i="93" a="1"/>
  <c r="J5" i="93" l="1"/>
  <c r="I6" i="93"/>
  <c r="F5" i="93"/>
  <c r="H5" i="93"/>
  <c r="G5" i="93"/>
  <c r="J197" i="42" s="1"/>
  <c r="K5" i="93"/>
  <c r="T60" i="49"/>
  <c r="E6" i="93"/>
  <c r="J6" i="93" s="1" a="1"/>
  <c r="D7" i="93"/>
  <c r="B9" i="93"/>
  <c r="C10" i="93"/>
  <c r="C400" i="42"/>
  <c r="C401" i="42"/>
  <c r="C478" i="42"/>
  <c r="C476" i="42"/>
  <c r="C475" i="42"/>
  <c r="C474" i="42"/>
  <c r="C469" i="42"/>
  <c r="C466" i="42"/>
  <c r="C465" i="42"/>
  <c r="C462" i="42"/>
  <c r="C402" i="42" s="1"/>
  <c r="C460" i="42"/>
  <c r="C459" i="42"/>
  <c r="C445" i="42"/>
  <c r="C444" i="42"/>
  <c r="C443" i="42"/>
  <c r="C442" i="42"/>
  <c r="C437" i="42"/>
  <c r="C436" i="42"/>
  <c r="C435" i="42"/>
  <c r="C434" i="42"/>
  <c r="C432" i="42"/>
  <c r="C431" i="42"/>
  <c r="C422" i="42"/>
  <c r="C421" i="42"/>
  <c r="C420" i="42"/>
  <c r="C419" i="42"/>
  <c r="C418" i="42"/>
  <c r="C415" i="42"/>
  <c r="C408" i="42"/>
  <c r="C407" i="42"/>
  <c r="C414" i="42"/>
  <c r="C395" i="42"/>
  <c r="C394" i="42"/>
  <c r="C393" i="42"/>
  <c r="C390" i="42"/>
  <c r="C386" i="42"/>
  <c r="C387" i="42" s="1"/>
  <c r="C383" i="42"/>
  <c r="C380" i="42"/>
  <c r="C367" i="42"/>
  <c r="C360" i="42"/>
  <c r="C359" i="42"/>
  <c r="C358" i="42"/>
  <c r="C357" i="42"/>
  <c r="C354" i="42"/>
  <c r="C351" i="42"/>
  <c r="C348" i="42"/>
  <c r="C336" i="42"/>
  <c r="C334" i="42"/>
  <c r="C332" i="42"/>
  <c r="C327" i="42"/>
  <c r="C326" i="42"/>
  <c r="C325" i="42"/>
  <c r="K355" i="42"/>
  <c r="K351" i="42"/>
  <c r="K350" i="42"/>
  <c r="K349" i="42"/>
  <c r="K348" i="42"/>
  <c r="K345" i="42"/>
  <c r="K344" i="42"/>
  <c r="K343" i="42"/>
  <c r="K342" i="42"/>
  <c r="K341" i="42"/>
  <c r="K334" i="42"/>
  <c r="K333" i="42"/>
  <c r="K332" i="42"/>
  <c r="K331" i="42"/>
  <c r="K330" i="42"/>
  <c r="K329" i="42"/>
  <c r="K327" i="42"/>
  <c r="K488" i="42"/>
  <c r="K484" i="42"/>
  <c r="K483" i="42"/>
  <c r="K482" i="42"/>
  <c r="K481" i="42"/>
  <c r="K478" i="42"/>
  <c r="K477" i="42"/>
  <c r="K476" i="42"/>
  <c r="K475" i="42"/>
  <c r="K474" i="42"/>
  <c r="K467" i="42"/>
  <c r="K466" i="42"/>
  <c r="K465" i="42"/>
  <c r="K464" i="42"/>
  <c r="K463" i="42"/>
  <c r="K462" i="42"/>
  <c r="K460" i="42"/>
  <c r="G6" i="93" l="1" a="1"/>
  <c r="G6" i="93" s="1"/>
  <c r="J6" i="93"/>
  <c r="I7" i="93" a="1"/>
  <c r="I7" i="93" s="1"/>
  <c r="E7" i="93"/>
  <c r="H7" i="93" s="1" a="1"/>
  <c r="L197" i="42"/>
  <c r="P197" i="42" s="1"/>
  <c r="C197" i="42"/>
  <c r="D8" i="93"/>
  <c r="C473" i="42"/>
  <c r="U60" i="49"/>
  <c r="C11" i="93"/>
  <c r="B10" i="93"/>
  <c r="C458" i="42"/>
  <c r="F6" i="93" a="1"/>
  <c r="H6" i="93" a="1"/>
  <c r="K6" i="93" a="1"/>
  <c r="I8" i="93" l="1" a="1"/>
  <c r="I8" i="93" s="1"/>
  <c r="J7" i="93" a="1"/>
  <c r="J7" i="93" s="1"/>
  <c r="H7" i="93"/>
  <c r="K6" i="93"/>
  <c r="F6" i="93"/>
  <c r="C198" i="42" s="1"/>
  <c r="H6" i="93"/>
  <c r="L198" i="42" s="1"/>
  <c r="P198" i="42" s="1"/>
  <c r="J198" i="42"/>
  <c r="D9" i="93"/>
  <c r="H197" i="42"/>
  <c r="E8" i="93"/>
  <c r="K8" i="93" s="1" a="1"/>
  <c r="D10" i="93"/>
  <c r="R197" i="42"/>
  <c r="V60" i="49"/>
  <c r="B11" i="93"/>
  <c r="C12" i="93"/>
  <c r="K7" i="93" a="1"/>
  <c r="F7" i="93" a="1"/>
  <c r="G7" i="93" a="1"/>
  <c r="I9" i="93" l="1" a="1"/>
  <c r="I9" i="93" s="1"/>
  <c r="J8" i="93" a="1"/>
  <c r="J8" i="93" s="1"/>
  <c r="I10" i="93" a="1"/>
  <c r="I10" i="93" s="1"/>
  <c r="K8" i="93"/>
  <c r="K7" i="93"/>
  <c r="N199" i="42"/>
  <c r="G7" i="93"/>
  <c r="J199" i="42" s="1"/>
  <c r="F7" i="93"/>
  <c r="C199" i="42" s="1"/>
  <c r="E9" i="93"/>
  <c r="J9" i="93" s="1" a="1"/>
  <c r="J9" i="93" s="1"/>
  <c r="D11" i="93"/>
  <c r="L199" i="42"/>
  <c r="P199" i="42" s="1"/>
  <c r="H198" i="42"/>
  <c r="E10" i="93"/>
  <c r="J10" i="93" s="1" a="1"/>
  <c r="J10" i="93" s="1"/>
  <c r="W60" i="49"/>
  <c r="C13" i="93"/>
  <c r="B12" i="93"/>
  <c r="D12" i="93" s="1"/>
  <c r="F8" i="93" a="1"/>
  <c r="G8" i="93" a="1"/>
  <c r="H8" i="93" a="1"/>
  <c r="I11" i="93" l="1" a="1"/>
  <c r="I11" i="93" s="1"/>
  <c r="I12" i="93" a="1"/>
  <c r="I12" i="93" s="1"/>
  <c r="F9" i="93" a="1"/>
  <c r="F9" i="93" s="1"/>
  <c r="C201" i="42" s="1"/>
  <c r="N200" i="42"/>
  <c r="H8" i="93"/>
  <c r="L200" i="42" s="1"/>
  <c r="P200" i="42" s="1"/>
  <c r="G8" i="93"/>
  <c r="J200" i="42" s="1"/>
  <c r="F8" i="93"/>
  <c r="C200" i="42" s="1"/>
  <c r="K9" i="93" a="1"/>
  <c r="K9" i="93" s="1"/>
  <c r="G9" i="93" a="1"/>
  <c r="G9" i="93" s="1"/>
  <c r="J201" i="42" s="1"/>
  <c r="H9" i="93" a="1"/>
  <c r="H9" i="93" s="1"/>
  <c r="L201" i="42" s="1"/>
  <c r="P201" i="42" s="1"/>
  <c r="H10" i="93" a="1"/>
  <c r="H10" i="93" s="1"/>
  <c r="K10" i="93" a="1"/>
  <c r="K10" i="93" s="1"/>
  <c r="F10" i="93" a="1"/>
  <c r="F10" i="93" s="1"/>
  <c r="G10" i="93" a="1"/>
  <c r="G10" i="93" s="1"/>
  <c r="E11" i="93"/>
  <c r="F11" i="93" s="1" a="1"/>
  <c r="F11" i="93" s="1"/>
  <c r="N201" i="42"/>
  <c r="H199" i="42"/>
  <c r="X60" i="49"/>
  <c r="E12" i="93"/>
  <c r="K12" i="93" s="1" a="1"/>
  <c r="K12" i="93" s="1"/>
  <c r="B13" i="93"/>
  <c r="D13" i="93" s="1"/>
  <c r="C14" i="93"/>
  <c r="BL7" i="55"/>
  <c r="BK7" i="55"/>
  <c r="BJ7" i="55"/>
  <c r="BI7" i="55"/>
  <c r="BH7" i="55"/>
  <c r="BG7" i="55"/>
  <c r="BF7" i="55"/>
  <c r="BE7" i="55"/>
  <c r="BD7" i="55"/>
  <c r="J11" i="93" l="1" a="1"/>
  <c r="J11" i="93" s="1"/>
  <c r="N203" i="42" s="1"/>
  <c r="I13" i="93" a="1"/>
  <c r="I13" i="93" s="1"/>
  <c r="J12" i="93" a="1"/>
  <c r="J12" i="93" s="1"/>
  <c r="N204" i="42" s="1"/>
  <c r="F12" i="93" a="1"/>
  <c r="F12" i="93" s="1"/>
  <c r="H12" i="93" a="1"/>
  <c r="H12" i="93" s="1"/>
  <c r="G12" i="93" a="1"/>
  <c r="G12" i="93" s="1"/>
  <c r="G11" i="93" a="1"/>
  <c r="G11" i="93" s="1"/>
  <c r="J203" i="42" s="1"/>
  <c r="H11" i="93" a="1"/>
  <c r="H11" i="93" s="1"/>
  <c r="L203" i="42" s="1"/>
  <c r="P203" i="42" s="1"/>
  <c r="K11" i="93" a="1"/>
  <c r="K11" i="93" s="1"/>
  <c r="C203" i="42"/>
  <c r="N202" i="42"/>
  <c r="J202" i="42"/>
  <c r="L202" i="42"/>
  <c r="P202" i="42" s="1"/>
  <c r="C202" i="42"/>
  <c r="H200" i="42"/>
  <c r="H201" i="42"/>
  <c r="Y60" i="49"/>
  <c r="Z60" i="49" s="1"/>
  <c r="AA60" i="49" s="1"/>
  <c r="AB60" i="49" s="1"/>
  <c r="AC60" i="49" s="1"/>
  <c r="AD60" i="49" s="1"/>
  <c r="AE60" i="49" s="1"/>
  <c r="AF60" i="49" s="1"/>
  <c r="AG60" i="49" s="1"/>
  <c r="AH60" i="49" s="1"/>
  <c r="AI60" i="49" s="1"/>
  <c r="AJ60" i="49" s="1"/>
  <c r="AK60" i="49" s="1"/>
  <c r="AL60" i="49" s="1"/>
  <c r="E13" i="93"/>
  <c r="J13" i="93" s="1" a="1"/>
  <c r="J13" i="93" s="1"/>
  <c r="C15" i="93"/>
  <c r="B14" i="93"/>
  <c r="D14" i="93" s="1"/>
  <c r="I14" i="93" l="1" a="1"/>
  <c r="I14" i="93" s="1"/>
  <c r="K13" i="93" a="1"/>
  <c r="K13" i="93" s="1"/>
  <c r="F13" i="93" a="1"/>
  <c r="F13" i="93" s="1"/>
  <c r="G13" i="93" a="1"/>
  <c r="G13" i="93" s="1"/>
  <c r="H13" i="93" a="1"/>
  <c r="H13" i="93" s="1"/>
  <c r="H203" i="42"/>
  <c r="N205" i="42"/>
  <c r="J204" i="42"/>
  <c r="L204" i="42"/>
  <c r="P204" i="42" s="1"/>
  <c r="C204" i="42"/>
  <c r="H202" i="42"/>
  <c r="E14" i="93"/>
  <c r="H14" i="93" s="1" a="1"/>
  <c r="H14" i="93" s="1"/>
  <c r="C16" i="93"/>
  <c r="B15" i="93"/>
  <c r="D15" i="93" s="1"/>
  <c r="I15" i="93" l="1" a="1"/>
  <c r="I15" i="93" s="1"/>
  <c r="J14" i="93" a="1"/>
  <c r="J14" i="93" s="1"/>
  <c r="K14" i="93" a="1"/>
  <c r="K14" i="93" s="1"/>
  <c r="F14" i="93" a="1"/>
  <c r="F14" i="93" s="1"/>
  <c r="G14" i="93" a="1"/>
  <c r="G14" i="93" s="1"/>
  <c r="H204" i="42"/>
  <c r="J205" i="42"/>
  <c r="C205" i="42"/>
  <c r="L205" i="42"/>
  <c r="P205" i="42" s="1"/>
  <c r="E15" i="93"/>
  <c r="K15" i="93" s="1" a="1"/>
  <c r="K15" i="93" s="1"/>
  <c r="B16" i="93"/>
  <c r="D16" i="93" s="1"/>
  <c r="C17" i="93"/>
  <c r="I16" i="93" l="1" a="1"/>
  <c r="I16" i="93" s="1"/>
  <c r="J15" i="93" a="1"/>
  <c r="J15" i="93" s="1"/>
  <c r="N207" i="42" s="1"/>
  <c r="F15" i="93" a="1"/>
  <c r="F15" i="93" s="1"/>
  <c r="H15" i="93" a="1"/>
  <c r="H15" i="93" s="1"/>
  <c r="G15" i="93" a="1"/>
  <c r="G15" i="93" s="1"/>
  <c r="N206" i="42"/>
  <c r="C206" i="42"/>
  <c r="L206" i="42"/>
  <c r="P206" i="42" s="1"/>
  <c r="J206" i="42"/>
  <c r="H205" i="42"/>
  <c r="E16" i="93"/>
  <c r="F16" i="93" s="1" a="1"/>
  <c r="F16" i="93" s="1"/>
  <c r="C18" i="93"/>
  <c r="B17" i="93"/>
  <c r="D17" i="93" s="1"/>
  <c r="Z296" i="42"/>
  <c r="Z299" i="42"/>
  <c r="Z298" i="42"/>
  <c r="Z297" i="42"/>
  <c r="Z295" i="42"/>
  <c r="AF289" i="42"/>
  <c r="AF288" i="42"/>
  <c r="AF287" i="42"/>
  <c r="AF286" i="42"/>
  <c r="AF285" i="42"/>
  <c r="AF284" i="42"/>
  <c r="AF283" i="42"/>
  <c r="AF282" i="42"/>
  <c r="AF281" i="42"/>
  <c r="AF280" i="42"/>
  <c r="I17" i="93" l="1" a="1"/>
  <c r="I17" i="93" s="1"/>
  <c r="J16" i="93" a="1"/>
  <c r="J16" i="93" s="1"/>
  <c r="N208" i="42" s="1"/>
  <c r="G16" i="93" a="1"/>
  <c r="G16" i="93" s="1"/>
  <c r="H16" i="93" a="1"/>
  <c r="H16" i="93" s="1"/>
  <c r="K16" i="93" a="1"/>
  <c r="K16" i="93" s="1"/>
  <c r="H206" i="42"/>
  <c r="J207" i="42"/>
  <c r="C207" i="42"/>
  <c r="L207" i="42"/>
  <c r="P207" i="42" s="1"/>
  <c r="E17" i="93"/>
  <c r="J17" i="93" s="1" a="1"/>
  <c r="J17" i="93" s="1"/>
  <c r="B18" i="93"/>
  <c r="D18" i="93" s="1"/>
  <c r="C19" i="93"/>
  <c r="I18" i="93" l="1" a="1"/>
  <c r="I18" i="93" s="1"/>
  <c r="F17" i="93" a="1"/>
  <c r="F17" i="93" s="1"/>
  <c r="C209" i="42" s="1"/>
  <c r="G17" i="93" a="1"/>
  <c r="G17" i="93" s="1"/>
  <c r="H17" i="93" a="1"/>
  <c r="H17" i="93" s="1"/>
  <c r="K17" i="93" a="1"/>
  <c r="K17" i="93" s="1"/>
  <c r="L208" i="42"/>
  <c r="P208" i="42" s="1"/>
  <c r="J208" i="42"/>
  <c r="C208" i="42"/>
  <c r="H207" i="42"/>
  <c r="E18" i="93"/>
  <c r="H18" i="93" s="1" a="1"/>
  <c r="H18" i="93" s="1"/>
  <c r="C20" i="93"/>
  <c r="B19" i="93"/>
  <c r="D19" i="93" s="1"/>
  <c r="AQ9" i="54"/>
  <c r="AN9" i="54"/>
  <c r="AM9" i="54"/>
  <c r="AL9" i="54"/>
  <c r="J18" i="93" l="1" a="1"/>
  <c r="J18" i="93" s="1"/>
  <c r="N210" i="42" s="1"/>
  <c r="I19" i="93" a="1"/>
  <c r="I19" i="93" s="1"/>
  <c r="K18" i="93" a="1"/>
  <c r="K18" i="93" s="1"/>
  <c r="F18" i="93" a="1"/>
  <c r="F18" i="93" s="1"/>
  <c r="G18" i="93" a="1"/>
  <c r="G18" i="93" s="1"/>
  <c r="H208" i="42"/>
  <c r="N209" i="42"/>
  <c r="J209" i="42"/>
  <c r="L209" i="42"/>
  <c r="P209" i="42" s="1"/>
  <c r="E19" i="93"/>
  <c r="H19" i="93" s="1" a="1"/>
  <c r="H19" i="93" s="1"/>
  <c r="B20" i="93"/>
  <c r="D20" i="93" s="1"/>
  <c r="C21" i="93"/>
  <c r="AF279" i="42"/>
  <c r="I20" i="93" l="1" a="1"/>
  <c r="I20" i="93" s="1"/>
  <c r="J19" i="93" a="1"/>
  <c r="J19" i="93" s="1"/>
  <c r="N211" i="42" s="1"/>
  <c r="F19" i="93" a="1"/>
  <c r="F19" i="93" s="1"/>
  <c r="K19" i="93" a="1"/>
  <c r="K19" i="93" s="1"/>
  <c r="G19" i="93" a="1"/>
  <c r="G19" i="93" s="1"/>
  <c r="H209" i="42"/>
  <c r="C210" i="42"/>
  <c r="J210" i="42"/>
  <c r="L210" i="42"/>
  <c r="P210" i="42" s="1"/>
  <c r="E20" i="93"/>
  <c r="G20" i="93" s="1" a="1"/>
  <c r="G20" i="93" s="1"/>
  <c r="C22" i="93"/>
  <c r="B21" i="93"/>
  <c r="D21" i="93" s="1"/>
  <c r="I21" i="93" l="1" a="1"/>
  <c r="I21" i="93" s="1"/>
  <c r="J20" i="93" a="1"/>
  <c r="J20" i="93" s="1"/>
  <c r="N212" i="42" s="1"/>
  <c r="H20" i="93" a="1"/>
  <c r="H20" i="93" s="1"/>
  <c r="K20" i="93" a="1"/>
  <c r="K20" i="93" s="1"/>
  <c r="F20" i="93" a="1"/>
  <c r="F20" i="93" s="1"/>
  <c r="H210" i="42"/>
  <c r="L211" i="42"/>
  <c r="P211" i="42" s="1"/>
  <c r="C211" i="42"/>
  <c r="J211" i="42"/>
  <c r="E21" i="93"/>
  <c r="F21" i="93" s="1" a="1"/>
  <c r="F21" i="93" s="1"/>
  <c r="B22" i="93"/>
  <c r="D22" i="93" s="1"/>
  <c r="C23" i="93"/>
  <c r="I177" i="42"/>
  <c r="G193" i="42"/>
  <c r="G192" i="42"/>
  <c r="G191" i="42"/>
  <c r="G190" i="42"/>
  <c r="G189" i="42"/>
  <c r="G188" i="42"/>
  <c r="G187" i="42"/>
  <c r="G186" i="42"/>
  <c r="AJ299" i="42"/>
  <c r="AJ298" i="42"/>
  <c r="AL298" i="42" s="1"/>
  <c r="AJ297" i="42"/>
  <c r="AJ296" i="42"/>
  <c r="AJ295" i="42"/>
  <c r="AH299" i="42"/>
  <c r="AH298" i="42"/>
  <c r="AH297" i="42"/>
  <c r="AH296" i="42"/>
  <c r="AH295" i="42"/>
  <c r="AF299" i="42"/>
  <c r="AF298" i="42"/>
  <c r="AF297" i="42"/>
  <c r="AF296" i="42"/>
  <c r="AF295" i="42"/>
  <c r="AD299" i="42"/>
  <c r="AD298" i="42"/>
  <c r="AD297" i="42"/>
  <c r="AD296" i="42"/>
  <c r="AD295" i="42"/>
  <c r="AB299" i="42"/>
  <c r="AB298" i="42"/>
  <c r="AB297" i="42"/>
  <c r="AB296" i="42"/>
  <c r="AB295" i="42"/>
  <c r="AH289" i="42"/>
  <c r="AH288" i="42"/>
  <c r="AH287" i="42"/>
  <c r="AH286" i="42"/>
  <c r="AH285" i="42"/>
  <c r="AJ289" i="42"/>
  <c r="AJ288" i="42"/>
  <c r="AJ287" i="42"/>
  <c r="AJ286" i="42"/>
  <c r="AJ285" i="42"/>
  <c r="J21" i="93" l="1" a="1"/>
  <c r="J21" i="93" s="1"/>
  <c r="N213" i="42" s="1"/>
  <c r="I22" i="93" a="1"/>
  <c r="I22" i="93" s="1"/>
  <c r="AL295" i="42"/>
  <c r="AL296" i="42"/>
  <c r="AL297" i="42"/>
  <c r="AL299" i="42"/>
  <c r="H21" i="93" a="1"/>
  <c r="H21" i="93" s="1"/>
  <c r="L213" i="42" s="1"/>
  <c r="P213" i="42" s="1"/>
  <c r="G21" i="93" a="1"/>
  <c r="G21" i="93" s="1"/>
  <c r="J213" i="42" s="1"/>
  <c r="K21" i="93" a="1"/>
  <c r="K21" i="93" s="1"/>
  <c r="C213" i="42"/>
  <c r="H211" i="42"/>
  <c r="L212" i="42"/>
  <c r="P212" i="42" s="1"/>
  <c r="C212" i="42"/>
  <c r="J212" i="42"/>
  <c r="E22" i="93"/>
  <c r="J22" i="93" s="1" a="1"/>
  <c r="J22" i="93" s="1"/>
  <c r="C24" i="93"/>
  <c r="B23" i="93"/>
  <c r="D23" i="93" s="1"/>
  <c r="E256" i="42"/>
  <c r="E255" i="42"/>
  <c r="E254" i="42"/>
  <c r="E253" i="42"/>
  <c r="E252" i="42"/>
  <c r="E251" i="42"/>
  <c r="E250" i="42"/>
  <c r="E249" i="42"/>
  <c r="E248" i="42"/>
  <c r="E247" i="42"/>
  <c r="E259" i="42"/>
  <c r="E258" i="42"/>
  <c r="E257" i="42"/>
  <c r="I23" i="93" l="1" a="1"/>
  <c r="I23" i="93" s="1"/>
  <c r="G22" i="93" a="1"/>
  <c r="G22" i="93" s="1"/>
  <c r="J214" i="42" s="1"/>
  <c r="N214" i="42"/>
  <c r="K22" i="93" a="1"/>
  <c r="K22" i="93" s="1"/>
  <c r="F22" i="93" a="1"/>
  <c r="F22" i="93" s="1"/>
  <c r="C214" i="42" s="1"/>
  <c r="H22" i="93" a="1"/>
  <c r="H22" i="93" s="1"/>
  <c r="L214" i="42" s="1"/>
  <c r="P214" i="42" s="1"/>
  <c r="H212" i="42"/>
  <c r="H213" i="42"/>
  <c r="E23" i="93"/>
  <c r="K23" i="93" s="1" a="1"/>
  <c r="K23" i="93" s="1"/>
  <c r="B24" i="93"/>
  <c r="D24" i="93" s="1"/>
  <c r="C25" i="93"/>
  <c r="F276" i="42"/>
  <c r="C272" i="42"/>
  <c r="F275" i="42"/>
  <c r="I24" i="93" l="1" a="1"/>
  <c r="I24" i="93" s="1"/>
  <c r="J23" i="93" a="1"/>
  <c r="J23" i="93" s="1"/>
  <c r="N215" i="42" s="1"/>
  <c r="G23" i="93" a="1"/>
  <c r="G23" i="93" s="1"/>
  <c r="J215" i="42" s="1"/>
  <c r="H23" i="93" a="1"/>
  <c r="H23" i="93" s="1"/>
  <c r="L215" i="42" s="1"/>
  <c r="P215" i="42" s="1"/>
  <c r="F23" i="93" a="1"/>
  <c r="F23" i="93" s="1"/>
  <c r="C215" i="42" s="1"/>
  <c r="H214" i="42"/>
  <c r="E24" i="93"/>
  <c r="G24" i="93" s="1" a="1"/>
  <c r="G24" i="93" s="1"/>
  <c r="C26" i="93"/>
  <c r="B25" i="93"/>
  <c r="D25" i="93" s="1"/>
  <c r="U36" i="3"/>
  <c r="U37" i="3"/>
  <c r="U38" i="3"/>
  <c r="U39" i="3"/>
  <c r="U40" i="3"/>
  <c r="U41" i="3"/>
  <c r="U42" i="3"/>
  <c r="B179" i="42"/>
  <c r="E191" i="42"/>
  <c r="C191" i="42"/>
  <c r="E190" i="42"/>
  <c r="C190" i="42"/>
  <c r="O177" i="42"/>
  <c r="O178" i="42"/>
  <c r="O179" i="42"/>
  <c r="O176" i="42"/>
  <c r="H268" i="42"/>
  <c r="I268" i="42"/>
  <c r="H269" i="42"/>
  <c r="J24" i="93" l="1" a="1"/>
  <c r="J24" i="93" s="1"/>
  <c r="N216" i="42" s="1"/>
  <c r="I25" i="93" a="1"/>
  <c r="I25" i="93" s="1"/>
  <c r="F24" i="93" a="1"/>
  <c r="F24" i="93" s="1"/>
  <c r="C216" i="42" s="1"/>
  <c r="H24" i="93" a="1"/>
  <c r="H24" i="93" s="1"/>
  <c r="L216" i="42" s="1"/>
  <c r="P216" i="42" s="1"/>
  <c r="K24" i="93" a="1"/>
  <c r="K24" i="93" s="1"/>
  <c r="H215" i="42"/>
  <c r="J216" i="42"/>
  <c r="I269" i="42"/>
  <c r="E25" i="93"/>
  <c r="K25" i="93" s="1" a="1"/>
  <c r="K25" i="93" s="1"/>
  <c r="B26" i="93"/>
  <c r="D26" i="93" s="1"/>
  <c r="C27" i="93"/>
  <c r="I26" i="93" l="1" a="1"/>
  <c r="I26" i="93" s="1"/>
  <c r="J25" i="93" a="1"/>
  <c r="J25" i="93" s="1"/>
  <c r="N217" i="42" s="1"/>
  <c r="F25" i="93" a="1"/>
  <c r="F25" i="93" s="1"/>
  <c r="C217" i="42" s="1"/>
  <c r="G25" i="93" a="1"/>
  <c r="G25" i="93" s="1"/>
  <c r="J217" i="42" s="1"/>
  <c r="H25" i="93" a="1"/>
  <c r="H25" i="93" s="1"/>
  <c r="L217" i="42" s="1"/>
  <c r="P217" i="42" s="1"/>
  <c r="H216" i="42"/>
  <c r="E26" i="93"/>
  <c r="K26" i="93" s="1" a="1"/>
  <c r="K26" i="93" s="1"/>
  <c r="C28" i="93"/>
  <c r="B27" i="93"/>
  <c r="D27" i="93" s="1"/>
  <c r="E153" i="42"/>
  <c r="J26" i="93" l="1" a="1"/>
  <c r="J26" i="93" s="1"/>
  <c r="N218" i="42" s="1"/>
  <c r="I27" i="93" a="1"/>
  <c r="I27" i="93" s="1"/>
  <c r="F26" i="93" a="1"/>
  <c r="F26" i="93" s="1"/>
  <c r="C218" i="42" s="1"/>
  <c r="G26" i="93" a="1"/>
  <c r="G26" i="93" s="1"/>
  <c r="J218" i="42" s="1"/>
  <c r="H26" i="93" a="1"/>
  <c r="H26" i="93" s="1"/>
  <c r="L218" i="42" s="1"/>
  <c r="P218" i="42" s="1"/>
  <c r="H217" i="42"/>
  <c r="E27" i="93"/>
  <c r="J27" i="93" s="1" a="1"/>
  <c r="J27" i="93" s="1"/>
  <c r="B28" i="93"/>
  <c r="D28" i="93" s="1"/>
  <c r="C29" i="93"/>
  <c r="I28" i="93" l="1" a="1"/>
  <c r="I28" i="93" s="1"/>
  <c r="F27" i="93" a="1"/>
  <c r="F27" i="93" s="1"/>
  <c r="C219" i="42" s="1"/>
  <c r="G27" i="93" a="1"/>
  <c r="G27" i="93" s="1"/>
  <c r="J219" i="42" s="1"/>
  <c r="H27" i="93" a="1"/>
  <c r="H27" i="93" s="1"/>
  <c r="L219" i="42" s="1"/>
  <c r="P219" i="42" s="1"/>
  <c r="K27" i="93" a="1"/>
  <c r="K27" i="93" s="1"/>
  <c r="H218" i="42"/>
  <c r="N219" i="42"/>
  <c r="E28" i="93"/>
  <c r="K28" i="93" s="1" a="1"/>
  <c r="K28" i="93" s="1"/>
  <c r="C30" i="93"/>
  <c r="B29" i="93"/>
  <c r="D29" i="93" s="1"/>
  <c r="AR281" i="42"/>
  <c r="AR282" i="42"/>
  <c r="AR283" i="42"/>
  <c r="AR284" i="42"/>
  <c r="AR280" i="42"/>
  <c r="AP281" i="42"/>
  <c r="AP282" i="42"/>
  <c r="AP283" i="42"/>
  <c r="AP284" i="42"/>
  <c r="AP280" i="42"/>
  <c r="AN281" i="42"/>
  <c r="AN282" i="42"/>
  <c r="AN283" i="42"/>
  <c r="AN284" i="42"/>
  <c r="AN280" i="42"/>
  <c r="AL281" i="42"/>
  <c r="AL282" i="42"/>
  <c r="AL283" i="42"/>
  <c r="AL284" i="42"/>
  <c r="AL280" i="42"/>
  <c r="AJ281" i="42"/>
  <c r="AJ282" i="42"/>
  <c r="AJ283" i="42"/>
  <c r="AJ284" i="42"/>
  <c r="AJ280" i="42"/>
  <c r="AH281" i="42"/>
  <c r="AH282" i="42"/>
  <c r="AH283" i="42"/>
  <c r="AH284" i="42"/>
  <c r="AH280" i="42"/>
  <c r="I29" i="93" l="1" a="1"/>
  <c r="I29" i="93" s="1"/>
  <c r="J28" i="93" a="1"/>
  <c r="J28" i="93" s="1"/>
  <c r="N220" i="42" s="1"/>
  <c r="F28" i="93" a="1"/>
  <c r="F28" i="93" s="1"/>
  <c r="C220" i="42" s="1"/>
  <c r="G28" i="93" a="1"/>
  <c r="G28" i="93" s="1"/>
  <c r="J220" i="42" s="1"/>
  <c r="H28" i="93" a="1"/>
  <c r="H28" i="93" s="1"/>
  <c r="L220" i="42" s="1"/>
  <c r="P220" i="42" s="1"/>
  <c r="H219" i="42"/>
  <c r="E29" i="93"/>
  <c r="G29" i="93" s="1" a="1"/>
  <c r="G29" i="93" s="1"/>
  <c r="B30" i="93"/>
  <c r="D30" i="93" s="1"/>
  <c r="C31" i="93"/>
  <c r="AB281" i="42"/>
  <c r="AB282" i="42"/>
  <c r="AB283" i="42"/>
  <c r="AB284" i="42"/>
  <c r="AB280" i="42"/>
  <c r="I30" i="93" l="1" a="1"/>
  <c r="I30" i="93" s="1"/>
  <c r="J29" i="93" a="1"/>
  <c r="J29" i="93" s="1"/>
  <c r="N221" i="42" s="1"/>
  <c r="F29" i="93" a="1"/>
  <c r="F29" i="93" s="1"/>
  <c r="C221" i="42" s="1"/>
  <c r="K29" i="93" a="1"/>
  <c r="K29" i="93" s="1"/>
  <c r="H29" i="93" a="1"/>
  <c r="H29" i="93" s="1"/>
  <c r="L221" i="42" s="1"/>
  <c r="P221" i="42" s="1"/>
  <c r="J221" i="42"/>
  <c r="H220" i="42"/>
  <c r="E30" i="93"/>
  <c r="K30" i="93" s="1" a="1"/>
  <c r="K30" i="93" s="1"/>
  <c r="C32" i="93"/>
  <c r="B31" i="93"/>
  <c r="D31" i="93" s="1"/>
  <c r="AD281" i="42"/>
  <c r="AD282" i="42"/>
  <c r="AD283" i="42"/>
  <c r="AD284" i="42"/>
  <c r="AD280" i="42"/>
  <c r="Z284" i="42" a="1"/>
  <c r="Z284" i="42" s="1"/>
  <c r="Z283" i="42" a="1"/>
  <c r="Z283" i="42" s="1"/>
  <c r="Z282" i="42" a="1"/>
  <c r="Z282" i="42" s="1"/>
  <c r="Z281" i="42" a="1"/>
  <c r="Z281" i="42" s="1"/>
  <c r="Z280" i="42" a="1"/>
  <c r="Z280" i="42" s="1"/>
  <c r="I31" i="93" l="1" a="1"/>
  <c r="I31" i="93" s="1"/>
  <c r="J30" i="93" a="1"/>
  <c r="J30" i="93" s="1"/>
  <c r="N222" i="42" s="1"/>
  <c r="F30" i="93" a="1"/>
  <c r="F30" i="93" s="1"/>
  <c r="C222" i="42" s="1"/>
  <c r="G30" i="93" a="1"/>
  <c r="G30" i="93" s="1"/>
  <c r="J222" i="42" s="1"/>
  <c r="H30" i="93" a="1"/>
  <c r="H30" i="93" s="1"/>
  <c r="L222" i="42" s="1"/>
  <c r="P222" i="42" s="1"/>
  <c r="H221" i="42"/>
  <c r="E31" i="93"/>
  <c r="H31" i="93" s="1" a="1"/>
  <c r="H31" i="93" s="1"/>
  <c r="B32" i="93"/>
  <c r="D32" i="93" s="1"/>
  <c r="C33" i="93"/>
  <c r="F68" i="6"/>
  <c r="F65" i="6"/>
  <c r="F62" i="6"/>
  <c r="I32" i="93" l="1" a="1"/>
  <c r="I32" i="93" s="1"/>
  <c r="J31" i="93" a="1"/>
  <c r="J31" i="93" s="1"/>
  <c r="N223" i="42" s="1"/>
  <c r="K31" i="93" a="1"/>
  <c r="K31" i="93" s="1"/>
  <c r="F31" i="93" a="1"/>
  <c r="F31" i="93" s="1"/>
  <c r="C223" i="42" s="1"/>
  <c r="G31" i="93" a="1"/>
  <c r="G31" i="93" s="1"/>
  <c r="J223" i="42" s="1"/>
  <c r="H222" i="42"/>
  <c r="L223" i="42"/>
  <c r="P223" i="42" s="1"/>
  <c r="E32" i="93"/>
  <c r="J32" i="93" s="1" a="1"/>
  <c r="J32" i="93" s="1"/>
  <c r="C34" i="93"/>
  <c r="B33" i="93"/>
  <c r="D33" i="93" s="1"/>
  <c r="I33" i="93" l="1" a="1"/>
  <c r="I33" i="93" s="1"/>
  <c r="K32" i="93" a="1"/>
  <c r="K32" i="93" s="1"/>
  <c r="F32" i="93" a="1"/>
  <c r="F32" i="93" s="1"/>
  <c r="C224" i="42" s="1"/>
  <c r="G32" i="93" a="1"/>
  <c r="G32" i="93" s="1"/>
  <c r="J224" i="42" s="1"/>
  <c r="H32" i="93" a="1"/>
  <c r="H32" i="93" s="1"/>
  <c r="L224" i="42" s="1"/>
  <c r="P224" i="42" s="1"/>
  <c r="N224" i="42"/>
  <c r="H223" i="42"/>
  <c r="AF170" i="47"/>
  <c r="E33" i="93"/>
  <c r="H33" i="93" s="1" a="1"/>
  <c r="H33" i="93" s="1"/>
  <c r="B34" i="93"/>
  <c r="D34" i="93" s="1"/>
  <c r="C35" i="93"/>
  <c r="I34" i="93" l="1" a="1"/>
  <c r="I34" i="93" s="1"/>
  <c r="J33" i="93" a="1"/>
  <c r="J33" i="93" s="1"/>
  <c r="N225" i="42" s="1"/>
  <c r="K33" i="93" a="1"/>
  <c r="K33" i="93" s="1"/>
  <c r="F33" i="93" a="1"/>
  <c r="F33" i="93" s="1"/>
  <c r="C225" i="42" s="1"/>
  <c r="G33" i="93" a="1"/>
  <c r="G33" i="93" s="1"/>
  <c r="J225" i="42" s="1"/>
  <c r="L225" i="42"/>
  <c r="P225" i="42" s="1"/>
  <c r="H224" i="42"/>
  <c r="E34" i="93"/>
  <c r="G34" i="93" s="1" a="1"/>
  <c r="G34" i="93" s="1"/>
  <c r="C36" i="93"/>
  <c r="B35" i="93"/>
  <c r="D35" i="93" s="1"/>
  <c r="L108" i="47"/>
  <c r="F414" i="42" s="1"/>
  <c r="L109" i="47"/>
  <c r="F415" i="42" s="1"/>
  <c r="F99" i="45"/>
  <c r="U9" i="103" s="1"/>
  <c r="F114" i="45"/>
  <c r="U8" i="103" s="1"/>
  <c r="G66" i="45"/>
  <c r="U7" i="103" s="1"/>
  <c r="AE16" i="45"/>
  <c r="I35" i="93" l="1" a="1"/>
  <c r="I35" i="93" s="1"/>
  <c r="J34" i="93" a="1"/>
  <c r="J34" i="93" s="1"/>
  <c r="N226" i="42" s="1"/>
  <c r="F34" i="93" a="1"/>
  <c r="F34" i="93" s="1"/>
  <c r="C226" i="42" s="1"/>
  <c r="H34" i="93" a="1"/>
  <c r="H34" i="93" s="1"/>
  <c r="L226" i="42" s="1"/>
  <c r="P226" i="42" s="1"/>
  <c r="K34" i="93" a="1"/>
  <c r="K34" i="93" s="1"/>
  <c r="U10" i="103"/>
  <c r="J226" i="42"/>
  <c r="H9" i="103"/>
  <c r="P9" i="103" s="1"/>
  <c r="H225" i="42"/>
  <c r="K186" i="47"/>
  <c r="E35" i="93"/>
  <c r="K35" i="93" s="1" a="1"/>
  <c r="K35" i="93" s="1"/>
  <c r="B36" i="93"/>
  <c r="D36" i="93" s="1"/>
  <c r="C37" i="93"/>
  <c r="D169" i="52"/>
  <c r="D168" i="52"/>
  <c r="D167" i="52"/>
  <c r="D166" i="52"/>
  <c r="D165" i="52"/>
  <c r="D164" i="52"/>
  <c r="C169" i="52"/>
  <c r="C167" i="52"/>
  <c r="C166" i="52"/>
  <c r="C165" i="52"/>
  <c r="C164" i="52"/>
  <c r="C160" i="52" a="1"/>
  <c r="C160" i="52" s="1"/>
  <c r="C159" i="52" a="1"/>
  <c r="C159" i="52" s="1"/>
  <c r="C158" i="52" a="1"/>
  <c r="C158" i="52" s="1"/>
  <c r="C157" i="52" a="1"/>
  <c r="C157" i="52" s="1"/>
  <c r="C156" i="52" a="1"/>
  <c r="C156" i="52" s="1"/>
  <c r="C155" i="52" a="1"/>
  <c r="C155" i="52" s="1"/>
  <c r="C154" i="52" a="1"/>
  <c r="C154" i="52" s="1"/>
  <c r="C153" i="52" a="1"/>
  <c r="C153" i="52" s="1"/>
  <c r="C152" i="52" a="1"/>
  <c r="C152" i="52" s="1"/>
  <c r="C151" i="52" a="1"/>
  <c r="C151" i="52" s="1"/>
  <c r="C144" i="52"/>
  <c r="C143" i="52"/>
  <c r="C142" i="52"/>
  <c r="C141" i="52"/>
  <c r="C140" i="52"/>
  <c r="C139" i="52"/>
  <c r="C136" i="52" a="1"/>
  <c r="C136" i="52" s="1"/>
  <c r="C135" i="52" a="1"/>
  <c r="C135" i="52" s="1"/>
  <c r="C134" i="52" a="1"/>
  <c r="C134" i="52" s="1"/>
  <c r="C133" i="52" a="1"/>
  <c r="C133" i="52" s="1"/>
  <c r="C129" i="52" a="1"/>
  <c r="C129" i="52" s="1"/>
  <c r="C128" i="52" a="1"/>
  <c r="C128" i="52" s="1"/>
  <c r="C127" i="52" a="1"/>
  <c r="C127" i="52" s="1"/>
  <c r="C126" i="52" a="1"/>
  <c r="C126" i="52" s="1"/>
  <c r="C125" i="52" a="1"/>
  <c r="C125" i="52" s="1"/>
  <c r="C124" i="52" a="1"/>
  <c r="C124" i="52" s="1"/>
  <c r="C123" i="52" a="1"/>
  <c r="C123" i="52" s="1"/>
  <c r="C122" i="52" a="1"/>
  <c r="C122" i="52" s="1"/>
  <c r="C113" i="52" a="1"/>
  <c r="C113" i="52" s="1"/>
  <c r="C112" i="52" a="1"/>
  <c r="C112" i="52" s="1"/>
  <c r="C111" i="52" a="1"/>
  <c r="C111" i="52" s="1"/>
  <c r="C106" i="52" a="1"/>
  <c r="C106" i="52" s="1"/>
  <c r="C105" i="52" a="1"/>
  <c r="C105" i="52" s="1"/>
  <c r="C104" i="52" a="1"/>
  <c r="C104" i="52" s="1"/>
  <c r="C103" i="52" a="1"/>
  <c r="C103" i="52" s="1"/>
  <c r="C102" i="52" a="1"/>
  <c r="C102" i="52" s="1"/>
  <c r="C101" i="52" a="1"/>
  <c r="C101" i="52" s="1"/>
  <c r="C100" i="52" a="1"/>
  <c r="C100" i="52" s="1"/>
  <c r="C99" i="52" a="1"/>
  <c r="C99" i="52" s="1"/>
  <c r="C98" i="52" a="1"/>
  <c r="C98" i="52" s="1"/>
  <c r="C119" i="52" a="1"/>
  <c r="C119" i="52" s="1"/>
  <c r="C116" i="52" a="1"/>
  <c r="C116" i="52" s="1"/>
  <c r="C78" i="52"/>
  <c r="C118" i="52" a="1"/>
  <c r="C118" i="52" s="1"/>
  <c r="C94" i="52" a="1"/>
  <c r="C94" i="52" s="1"/>
  <c r="C93" i="52" a="1"/>
  <c r="C93" i="52" s="1"/>
  <c r="C92" i="52" a="1"/>
  <c r="C92" i="52" s="1"/>
  <c r="C91" i="52" a="1"/>
  <c r="C91" i="52" s="1"/>
  <c r="C90" i="52" a="1"/>
  <c r="C90" i="52" s="1"/>
  <c r="C89" i="52" a="1"/>
  <c r="C89" i="52" s="1"/>
  <c r="C88" i="52" a="1"/>
  <c r="C88" i="52" s="1"/>
  <c r="C87" i="52" a="1"/>
  <c r="C87" i="52" s="1"/>
  <c r="C86" i="52" a="1"/>
  <c r="C86" i="52" s="1"/>
  <c r="C85" i="52" a="1"/>
  <c r="C85" i="52" s="1"/>
  <c r="C82" i="52" a="1"/>
  <c r="C82" i="52" s="1"/>
  <c r="C81" i="52" a="1"/>
  <c r="C81" i="52" s="1"/>
  <c r="C80" i="52" a="1"/>
  <c r="C80" i="52" s="1"/>
  <c r="C79" i="52" a="1"/>
  <c r="C79" i="52" s="1"/>
  <c r="C77" i="52" a="1"/>
  <c r="C77" i="52" s="1"/>
  <c r="C76" i="52" a="1"/>
  <c r="C76" i="52" s="1"/>
  <c r="C75" i="52" a="1"/>
  <c r="C75" i="52" s="1"/>
  <c r="C72" i="52" a="1"/>
  <c r="C72" i="52" s="1"/>
  <c r="C69" i="52" a="1"/>
  <c r="C69" i="52" s="1"/>
  <c r="C68" i="52" a="1"/>
  <c r="C68" i="52" s="1"/>
  <c r="C67" i="52" a="1"/>
  <c r="C67" i="52" s="1"/>
  <c r="C66" i="52" a="1"/>
  <c r="C66" i="52" s="1"/>
  <c r="C65" i="52" a="1"/>
  <c r="C65" i="52" s="1"/>
  <c r="C64" i="52" a="1"/>
  <c r="C64" i="52" s="1"/>
  <c r="C63" i="52" a="1"/>
  <c r="C63" i="52" s="1"/>
  <c r="C59" i="52" a="1"/>
  <c r="C59" i="52" s="1"/>
  <c r="C58" i="52" a="1"/>
  <c r="C58" i="52" s="1"/>
  <c r="C52" i="52" a="1"/>
  <c r="C52" i="52" s="1"/>
  <c r="C51" i="52" a="1"/>
  <c r="C51" i="52" s="1"/>
  <c r="C50" i="52" a="1"/>
  <c r="C50" i="52" s="1"/>
  <c r="C49" i="52" a="1"/>
  <c r="C49" i="52" s="1"/>
  <c r="C46" i="52" a="1"/>
  <c r="C46" i="52" s="1"/>
  <c r="C45" i="52" a="1"/>
  <c r="C45" i="52" s="1"/>
  <c r="C44" i="52" a="1"/>
  <c r="C44" i="52" s="1"/>
  <c r="C43" i="52" a="1"/>
  <c r="C43" i="52" s="1"/>
  <c r="C42" i="52" a="1"/>
  <c r="C42" i="52" s="1"/>
  <c r="C41" i="52" a="1"/>
  <c r="C41" i="52" s="1"/>
  <c r="C40" i="52" a="1"/>
  <c r="C40" i="52" s="1"/>
  <c r="C39" i="52" a="1"/>
  <c r="C39" i="52" s="1"/>
  <c r="C36" i="52" a="1"/>
  <c r="C36" i="52" s="1"/>
  <c r="C35" i="52" a="1"/>
  <c r="C35" i="52" s="1"/>
  <c r="C34" i="52" a="1"/>
  <c r="C34" i="52" s="1"/>
  <c r="C33" i="52" a="1"/>
  <c r="C33" i="52" s="1"/>
  <c r="C32" i="52" a="1"/>
  <c r="C32" i="52" s="1"/>
  <c r="C31" i="52" a="1"/>
  <c r="C31" i="52" s="1"/>
  <c r="C28" i="52" a="1"/>
  <c r="C28" i="52" s="1"/>
  <c r="C27" i="52" a="1"/>
  <c r="C27" i="52" s="1"/>
  <c r="C26" i="52" a="1"/>
  <c r="C26" i="52" s="1"/>
  <c r="C22" i="52" a="1"/>
  <c r="C22" i="52" s="1"/>
  <c r="C18" i="52" a="1"/>
  <c r="C18" i="52" s="1"/>
  <c r="C17" i="52" a="1"/>
  <c r="C17" i="52" s="1"/>
  <c r="C16" i="52" a="1"/>
  <c r="C16" i="52" s="1"/>
  <c r="C15" i="52" a="1"/>
  <c r="C15" i="52" s="1"/>
  <c r="J35" i="93" l="1" a="1"/>
  <c r="J35" i="93" s="1"/>
  <c r="N227" i="42" s="1"/>
  <c r="I36" i="93" a="1"/>
  <c r="I36" i="93" s="1"/>
  <c r="H35" i="93" a="1"/>
  <c r="H35" i="93" s="1"/>
  <c r="L227" i="42" s="1"/>
  <c r="P227" i="42" s="1"/>
  <c r="F35" i="93" a="1"/>
  <c r="F35" i="93" s="1"/>
  <c r="C227" i="42" s="1"/>
  <c r="G35" i="93" a="1"/>
  <c r="G35" i="93" s="1"/>
  <c r="J227" i="42" s="1"/>
  <c r="H24" i="103"/>
  <c r="P24" i="103" s="1"/>
  <c r="F190" i="102"/>
  <c r="H226" i="42"/>
  <c r="C494" i="42"/>
  <c r="D494" i="42"/>
  <c r="F191" i="102"/>
  <c r="E36" i="93"/>
  <c r="K36" i="93" s="1" a="1"/>
  <c r="K36" i="93" s="1"/>
  <c r="C38" i="93"/>
  <c r="B37" i="93"/>
  <c r="D37" i="93" s="1"/>
  <c r="E78" i="52"/>
  <c r="L139" i="47"/>
  <c r="F445" i="42" s="1"/>
  <c r="L138" i="47"/>
  <c r="F444" i="42" s="1"/>
  <c r="I37" i="93" l="1" a="1"/>
  <c r="I37" i="93" s="1"/>
  <c r="J36" i="93" a="1"/>
  <c r="J36" i="93" s="1"/>
  <c r="N228" i="42" s="1"/>
  <c r="E494" i="42"/>
  <c r="F36" i="93" a="1"/>
  <c r="F36" i="93" s="1"/>
  <c r="C228" i="42" s="1"/>
  <c r="H36" i="93" a="1"/>
  <c r="H36" i="93" s="1"/>
  <c r="L228" i="42" s="1"/>
  <c r="P228" i="42" s="1"/>
  <c r="G36" i="93" a="1"/>
  <c r="G36" i="93" s="1"/>
  <c r="J228" i="42" s="1"/>
  <c r="F215" i="102"/>
  <c r="F494" i="42"/>
  <c r="F216" i="102"/>
  <c r="H227" i="42"/>
  <c r="E37" i="93"/>
  <c r="J37" i="93" s="1" a="1"/>
  <c r="J37" i="93" s="1"/>
  <c r="B38" i="93"/>
  <c r="D38" i="93" s="1"/>
  <c r="C39" i="93"/>
  <c r="L171" i="47"/>
  <c r="F478" i="42" s="1"/>
  <c r="L170" i="47"/>
  <c r="F476" i="42" s="1"/>
  <c r="L169" i="47"/>
  <c r="F475" i="42" s="1"/>
  <c r="L168" i="47"/>
  <c r="F474" i="42" s="1"/>
  <c r="L167" i="47"/>
  <c r="L163" i="47"/>
  <c r="F469" i="42" s="1"/>
  <c r="L159" i="47"/>
  <c r="F465" i="42" s="1"/>
  <c r="L157" i="47"/>
  <c r="L156" i="47"/>
  <c r="L155" i="47"/>
  <c r="L147" i="47"/>
  <c r="L146" i="47"/>
  <c r="L145" i="47"/>
  <c r="L144" i="47"/>
  <c r="L143" i="47"/>
  <c r="L142" i="47"/>
  <c r="L137" i="47"/>
  <c r="F443" i="42" s="1"/>
  <c r="L136" i="47"/>
  <c r="F442" i="42" s="1"/>
  <c r="L116" i="47"/>
  <c r="F422" i="42" s="1"/>
  <c r="L115" i="47"/>
  <c r="F421" i="42" s="1"/>
  <c r="L114" i="47"/>
  <c r="F420" i="42" s="1"/>
  <c r="L113" i="47"/>
  <c r="F419" i="42" s="1"/>
  <c r="L112" i="47"/>
  <c r="F418" i="42" s="1"/>
  <c r="L96" i="47"/>
  <c r="F402" i="42" s="1"/>
  <c r="L94" i="47"/>
  <c r="F400" i="42" s="1"/>
  <c r="L93" i="47"/>
  <c r="L92" i="47"/>
  <c r="L91" i="47"/>
  <c r="F397" i="42" s="1"/>
  <c r="L90" i="47"/>
  <c r="L89" i="47"/>
  <c r="F395" i="42" s="1"/>
  <c r="L88" i="47"/>
  <c r="F394" i="42" s="1"/>
  <c r="L87" i="47"/>
  <c r="F393" i="42" s="1"/>
  <c r="L84" i="47"/>
  <c r="F390" i="42" s="1"/>
  <c r="L83" i="47"/>
  <c r="L82" i="47"/>
  <c r="L81" i="47"/>
  <c r="L80" i="47"/>
  <c r="F386" i="42" s="1"/>
  <c r="L79" i="47"/>
  <c r="L78" i="47"/>
  <c r="L77" i="47"/>
  <c r="F383" i="42" s="1"/>
  <c r="L71" i="47"/>
  <c r="L70" i="47"/>
  <c r="L69" i="47"/>
  <c r="L68" i="47"/>
  <c r="F374" i="42" s="1"/>
  <c r="L67" i="47"/>
  <c r="F373" i="42" s="1"/>
  <c r="L65" i="47"/>
  <c r="L61" i="47"/>
  <c r="F367" i="42" s="1"/>
  <c r="L60" i="47"/>
  <c r="F366" i="42" s="1"/>
  <c r="L54" i="47"/>
  <c r="F360" i="42" s="1"/>
  <c r="L53" i="47"/>
  <c r="F359" i="42" s="1"/>
  <c r="L52" i="47"/>
  <c r="F358" i="42" s="1"/>
  <c r="L51" i="47"/>
  <c r="F357" i="42" s="1"/>
  <c r="L48" i="47"/>
  <c r="F354" i="42" s="1"/>
  <c r="L47" i="47"/>
  <c r="L46" i="47"/>
  <c r="F352" i="42" s="1"/>
  <c r="L45" i="47"/>
  <c r="F351" i="42" s="1"/>
  <c r="L44" i="47"/>
  <c r="L43" i="47"/>
  <c r="L42" i="47"/>
  <c r="F348" i="42" s="1"/>
  <c r="F347" i="42"/>
  <c r="L38" i="47"/>
  <c r="L37" i="47"/>
  <c r="L36" i="47"/>
  <c r="L35" i="47"/>
  <c r="L34" i="47"/>
  <c r="L33" i="47"/>
  <c r="L30" i="47"/>
  <c r="F336" i="42" s="1"/>
  <c r="L29" i="47"/>
  <c r="F335" i="42" s="1"/>
  <c r="L28" i="47"/>
  <c r="F334" i="42" s="1"/>
  <c r="L19" i="47"/>
  <c r="L14" i="47"/>
  <c r="F327" i="42" s="1"/>
  <c r="L13" i="47"/>
  <c r="F326" i="42" s="1"/>
  <c r="I38" i="93" l="1" a="1"/>
  <c r="I38" i="93" s="1"/>
  <c r="K37" i="93" a="1"/>
  <c r="K37" i="93" s="1"/>
  <c r="H37" i="93" a="1"/>
  <c r="H37" i="93" s="1"/>
  <c r="L229" i="42" s="1"/>
  <c r="P229" i="42" s="1"/>
  <c r="G37" i="93" a="1"/>
  <c r="G37" i="93" s="1"/>
  <c r="J229" i="42" s="1"/>
  <c r="N229" i="42"/>
  <c r="F37" i="93" a="1"/>
  <c r="F37" i="93" s="1"/>
  <c r="C229" i="42" s="1"/>
  <c r="H228" i="42"/>
  <c r="F332" i="42"/>
  <c r="L31" i="47"/>
  <c r="F473" i="42"/>
  <c r="F387" i="42"/>
  <c r="F462" i="42"/>
  <c r="E38" i="93"/>
  <c r="J38" i="93" s="1" a="1"/>
  <c r="J38" i="93" s="1"/>
  <c r="C40" i="93"/>
  <c r="B39" i="93"/>
  <c r="D39" i="93" s="1"/>
  <c r="I39" i="93" l="1" a="1"/>
  <c r="I39" i="93" s="1"/>
  <c r="F38" i="93" a="1"/>
  <c r="F38" i="93" s="1"/>
  <c r="C230" i="42" s="1"/>
  <c r="G38" i="93" a="1"/>
  <c r="G38" i="93" s="1"/>
  <c r="J230" i="42" s="1"/>
  <c r="H38" i="93" a="1"/>
  <c r="H38" i="93" s="1"/>
  <c r="L230" i="42" s="1"/>
  <c r="P230" i="42" s="1"/>
  <c r="K38" i="93" a="1"/>
  <c r="K38" i="93" s="1"/>
  <c r="N230" i="42"/>
  <c r="H229" i="42"/>
  <c r="E39" i="93"/>
  <c r="F39" i="93" s="1" a="1"/>
  <c r="F39" i="93" s="1"/>
  <c r="B40" i="93"/>
  <c r="D40" i="93" s="1"/>
  <c r="C41" i="93"/>
  <c r="F71" i="46"/>
  <c r="I40" i="93" l="1" a="1"/>
  <c r="I40" i="93" s="1"/>
  <c r="J39" i="93" a="1"/>
  <c r="J39" i="93" s="1"/>
  <c r="N231" i="42" s="1"/>
  <c r="H39" i="93" a="1"/>
  <c r="H39" i="93" s="1"/>
  <c r="L231" i="42" s="1"/>
  <c r="P231" i="42" s="1"/>
  <c r="G39" i="93" a="1"/>
  <c r="G39" i="93" s="1"/>
  <c r="J231" i="42" s="1"/>
  <c r="K39" i="93" a="1"/>
  <c r="K39" i="93" s="1"/>
  <c r="C231" i="42"/>
  <c r="H230" i="42"/>
  <c r="E40" i="93"/>
  <c r="K40" i="93" s="1" a="1"/>
  <c r="K40" i="93" s="1"/>
  <c r="B41" i="93"/>
  <c r="D41" i="93" s="1"/>
  <c r="C42" i="93"/>
  <c r="F63" i="46"/>
  <c r="F64" i="46"/>
  <c r="F66" i="46"/>
  <c r="J177" i="47"/>
  <c r="K176" i="47" s="1"/>
  <c r="K194" i="47"/>
  <c r="F70" i="46"/>
  <c r="F69" i="46"/>
  <c r="F68" i="46"/>
  <c r="F67" i="46"/>
  <c r="F65" i="46"/>
  <c r="I41" i="93" l="1" a="1"/>
  <c r="I41" i="93" s="1"/>
  <c r="J40" i="93" a="1"/>
  <c r="J40" i="93" s="1"/>
  <c r="N232" i="42" s="1"/>
  <c r="G40" i="93" a="1"/>
  <c r="G40" i="93" s="1"/>
  <c r="J232" i="42" s="1"/>
  <c r="F40" i="93" a="1"/>
  <c r="F40" i="93" s="1"/>
  <c r="C232" i="42" s="1"/>
  <c r="H40" i="93" a="1"/>
  <c r="H40" i="93" s="1"/>
  <c r="L232" i="42" s="1"/>
  <c r="P232" i="42" s="1"/>
  <c r="F74" i="46"/>
  <c r="H231" i="42"/>
  <c r="E41" i="93"/>
  <c r="F41" i="93" s="1" a="1"/>
  <c r="F41" i="93" s="1"/>
  <c r="C43" i="93"/>
  <c r="B42" i="93"/>
  <c r="D42" i="93" s="1"/>
  <c r="I42" i="93" l="1" a="1"/>
  <c r="I42" i="93" s="1"/>
  <c r="J41" i="93" a="1"/>
  <c r="J41" i="93" s="1"/>
  <c r="N233" i="42" s="1"/>
  <c r="G41" i="93" a="1"/>
  <c r="G41" i="93" s="1"/>
  <c r="J233" i="42" s="1"/>
  <c r="H41" i="93" a="1"/>
  <c r="H41" i="93" s="1"/>
  <c r="L233" i="42" s="1"/>
  <c r="P233" i="42" s="1"/>
  <c r="K41" i="93" a="1"/>
  <c r="K41" i="93" s="1"/>
  <c r="C233" i="42"/>
  <c r="H232" i="42"/>
  <c r="E42" i="93"/>
  <c r="H42" i="93" s="1" a="1"/>
  <c r="H42" i="93" s="1"/>
  <c r="B43" i="93"/>
  <c r="D43" i="93" s="1"/>
  <c r="C44" i="93"/>
  <c r="I43" i="93" l="1" a="1"/>
  <c r="I43" i="93" s="1"/>
  <c r="J42" i="93" a="1"/>
  <c r="J42" i="93" s="1"/>
  <c r="N234" i="42" s="1"/>
  <c r="F42" i="93" a="1"/>
  <c r="F42" i="93" s="1"/>
  <c r="C234" i="42" s="1"/>
  <c r="G42" i="93" a="1"/>
  <c r="G42" i="93" s="1"/>
  <c r="J234" i="42" s="1"/>
  <c r="K42" i="93" a="1"/>
  <c r="K42" i="93" s="1"/>
  <c r="L234" i="42"/>
  <c r="P234" i="42" s="1"/>
  <c r="H233" i="42"/>
  <c r="E43" i="93"/>
  <c r="K43" i="93" s="1" a="1"/>
  <c r="K43" i="93" s="1"/>
  <c r="B44" i="93"/>
  <c r="D44" i="93" s="1"/>
  <c r="C45" i="93"/>
  <c r="G27" i="20"/>
  <c r="P54" i="108"/>
  <c r="E64" i="52"/>
  <c r="E15" i="52"/>
  <c r="G15" i="52" s="1"/>
  <c r="B163" i="49"/>
  <c r="E66" i="49"/>
  <c r="E69" i="49"/>
  <c r="F69" i="49" s="1"/>
  <c r="G69" i="49" s="1"/>
  <c r="H69" i="49" s="1"/>
  <c r="I69" i="49" s="1"/>
  <c r="J69" i="49" s="1"/>
  <c r="K69" i="49" s="1"/>
  <c r="L69" i="49" s="1"/>
  <c r="M69" i="49" s="1"/>
  <c r="N69" i="49" s="1"/>
  <c r="O69" i="49" s="1"/>
  <c r="P69" i="49" s="1"/>
  <c r="Q69" i="49" s="1"/>
  <c r="R69" i="49" s="1"/>
  <c r="S69" i="49" s="1"/>
  <c r="T69" i="49" s="1"/>
  <c r="U69" i="49" s="1"/>
  <c r="V69" i="49" s="1"/>
  <c r="W69" i="49" s="1"/>
  <c r="X69" i="49" s="1"/>
  <c r="Y69" i="49" s="1"/>
  <c r="Z69" i="49" s="1"/>
  <c r="AA69" i="49" s="1"/>
  <c r="AB69" i="49" s="1"/>
  <c r="AC69" i="49" s="1"/>
  <c r="AD69" i="49" s="1"/>
  <c r="AE69" i="49" s="1"/>
  <c r="AF69" i="49" s="1"/>
  <c r="AG69" i="49" s="1"/>
  <c r="AH69" i="49" s="1"/>
  <c r="AI69" i="49" s="1"/>
  <c r="AJ69" i="49" s="1"/>
  <c r="AK69" i="49" s="1"/>
  <c r="AL69" i="49" s="1"/>
  <c r="E68" i="49"/>
  <c r="F68" i="49" s="1"/>
  <c r="G68" i="49" s="1"/>
  <c r="H68" i="49" s="1"/>
  <c r="I68" i="49" s="1"/>
  <c r="J68" i="49" s="1"/>
  <c r="K68" i="49" s="1"/>
  <c r="L68" i="49" s="1"/>
  <c r="M68" i="49" s="1"/>
  <c r="N68" i="49" s="1"/>
  <c r="O68" i="49" s="1"/>
  <c r="P68" i="49" s="1"/>
  <c r="Q68" i="49" s="1"/>
  <c r="R68" i="49" s="1"/>
  <c r="S68" i="49" s="1"/>
  <c r="T68" i="49" s="1"/>
  <c r="U68" i="49" s="1"/>
  <c r="V68" i="49" s="1"/>
  <c r="W68" i="49" s="1"/>
  <c r="X68" i="49" s="1"/>
  <c r="Y68" i="49" s="1"/>
  <c r="Z68" i="49" s="1"/>
  <c r="AA68" i="49" s="1"/>
  <c r="AB68" i="49" s="1"/>
  <c r="AC68" i="49" s="1"/>
  <c r="AD68" i="49" s="1"/>
  <c r="AE68" i="49" s="1"/>
  <c r="AF68" i="49" s="1"/>
  <c r="AG68" i="49" s="1"/>
  <c r="AH68" i="49" s="1"/>
  <c r="AI68" i="49" s="1"/>
  <c r="AJ68" i="49" s="1"/>
  <c r="AK68" i="49" s="1"/>
  <c r="AL68" i="49" s="1"/>
  <c r="E67" i="49"/>
  <c r="F67" i="49" s="1"/>
  <c r="I44" i="93" l="1" a="1"/>
  <c r="I44" i="93" s="1"/>
  <c r="J43" i="93" a="1"/>
  <c r="J43" i="93" s="1"/>
  <c r="N235" i="42" s="1"/>
  <c r="F163" i="49"/>
  <c r="F165" i="49" s="1"/>
  <c r="F166" i="49" s="1"/>
  <c r="R163" i="49"/>
  <c r="R165" i="49" s="1"/>
  <c r="R166" i="49" s="1"/>
  <c r="AD163" i="49"/>
  <c r="AD165" i="49" s="1"/>
  <c r="AD166" i="49" s="1"/>
  <c r="AG163" i="49"/>
  <c r="AG165" i="49" s="1"/>
  <c r="AG166" i="49" s="1"/>
  <c r="G163" i="49"/>
  <c r="G165" i="49" s="1"/>
  <c r="G166" i="49" s="1"/>
  <c r="S163" i="49"/>
  <c r="S165" i="49" s="1"/>
  <c r="S166" i="49" s="1"/>
  <c r="AE163" i="49"/>
  <c r="AE165" i="49" s="1"/>
  <c r="AE166" i="49" s="1"/>
  <c r="H163" i="49"/>
  <c r="H165" i="49" s="1"/>
  <c r="H166" i="49" s="1"/>
  <c r="T163" i="49"/>
  <c r="T165" i="49" s="1"/>
  <c r="T166" i="49" s="1"/>
  <c r="AF163" i="49"/>
  <c r="AF165" i="49" s="1"/>
  <c r="AF166" i="49" s="1"/>
  <c r="I163" i="49"/>
  <c r="I165" i="49" s="1"/>
  <c r="I166" i="49" s="1"/>
  <c r="U163" i="49"/>
  <c r="U165" i="49" s="1"/>
  <c r="U166" i="49" s="1"/>
  <c r="D163" i="49"/>
  <c r="D165" i="49" s="1"/>
  <c r="D166" i="49" s="1"/>
  <c r="J163" i="49"/>
  <c r="J165" i="49" s="1"/>
  <c r="J166" i="49" s="1"/>
  <c r="V163" i="49"/>
  <c r="V165" i="49" s="1"/>
  <c r="V166" i="49" s="1"/>
  <c r="AH163" i="49"/>
  <c r="AH165" i="49" s="1"/>
  <c r="AH166" i="49" s="1"/>
  <c r="P163" i="49"/>
  <c r="P165" i="49" s="1"/>
  <c r="P166" i="49" s="1"/>
  <c r="Q163" i="49"/>
  <c r="Q165" i="49" s="1"/>
  <c r="Q166" i="49" s="1"/>
  <c r="K163" i="49"/>
  <c r="K165" i="49" s="1"/>
  <c r="K166" i="49" s="1"/>
  <c r="W163" i="49"/>
  <c r="W165" i="49" s="1"/>
  <c r="W166" i="49" s="1"/>
  <c r="AI163" i="49"/>
  <c r="AI165" i="49" s="1"/>
  <c r="AI166" i="49" s="1"/>
  <c r="AB163" i="49"/>
  <c r="AB165" i="49" s="1"/>
  <c r="AB166" i="49" s="1"/>
  <c r="L163" i="49"/>
  <c r="L165" i="49" s="1"/>
  <c r="L166" i="49" s="1"/>
  <c r="X163" i="49"/>
  <c r="X165" i="49" s="1"/>
  <c r="X166" i="49" s="1"/>
  <c r="AJ163" i="49"/>
  <c r="AJ165" i="49" s="1"/>
  <c r="AJ166" i="49" s="1"/>
  <c r="N163" i="49"/>
  <c r="N165" i="49" s="1"/>
  <c r="N166" i="49" s="1"/>
  <c r="M163" i="49"/>
  <c r="M165" i="49" s="1"/>
  <c r="M166" i="49" s="1"/>
  <c r="Y163" i="49"/>
  <c r="Y165" i="49" s="1"/>
  <c r="Y166" i="49" s="1"/>
  <c r="AK163" i="49"/>
  <c r="AK165" i="49" s="1"/>
  <c r="AK166" i="49" s="1"/>
  <c r="AL163" i="49"/>
  <c r="AL165" i="49" s="1"/>
  <c r="AL166" i="49" s="1"/>
  <c r="AC163" i="49"/>
  <c r="AC165" i="49" s="1"/>
  <c r="AC166" i="49" s="1"/>
  <c r="Z163" i="49"/>
  <c r="Z165" i="49" s="1"/>
  <c r="Z166" i="49" s="1"/>
  <c r="E163" i="49"/>
  <c r="E165" i="49" s="1"/>
  <c r="E166" i="49" s="1"/>
  <c r="O163" i="49"/>
  <c r="O165" i="49" s="1"/>
  <c r="O166" i="49" s="1"/>
  <c r="AA163" i="49"/>
  <c r="AA165" i="49" s="1"/>
  <c r="AA166" i="49" s="1"/>
  <c r="F294" i="102"/>
  <c r="C622" i="42"/>
  <c r="F43" i="93" a="1"/>
  <c r="F43" i="93" s="1"/>
  <c r="C235" i="42" s="1"/>
  <c r="G43" i="93" a="1"/>
  <c r="G43" i="93" s="1"/>
  <c r="J235" i="42" s="1"/>
  <c r="H43" i="93" a="1"/>
  <c r="H43" i="93" s="1"/>
  <c r="L235" i="42" s="1"/>
  <c r="P235" i="42" s="1"/>
  <c r="F298" i="102"/>
  <c r="H234" i="42"/>
  <c r="X117" i="49"/>
  <c r="Y117" i="49"/>
  <c r="X113" i="49"/>
  <c r="Y113" i="49"/>
  <c r="E44" i="93"/>
  <c r="F44" i="93" s="1" a="1"/>
  <c r="F44" i="93" s="1"/>
  <c r="C46" i="93"/>
  <c r="B45" i="93"/>
  <c r="D45" i="93" s="1"/>
  <c r="G67" i="49"/>
  <c r="D167" i="49" l="1"/>
  <c r="I45" i="93" a="1"/>
  <c r="I45" i="93" s="1"/>
  <c r="J44" i="93" a="1"/>
  <c r="J44" i="93" s="1"/>
  <c r="N236" i="42" s="1"/>
  <c r="G44" i="93" a="1"/>
  <c r="G44" i="93" s="1"/>
  <c r="J236" i="42" s="1"/>
  <c r="H44" i="93" a="1"/>
  <c r="H44" i="93" s="1"/>
  <c r="L236" i="42" s="1"/>
  <c r="P236" i="42" s="1"/>
  <c r="K44" i="93" a="1"/>
  <c r="K44" i="93" s="1"/>
  <c r="AK167" i="49"/>
  <c r="AJ167" i="49"/>
  <c r="AI167" i="49"/>
  <c r="AH167" i="49"/>
  <c r="AG167" i="49"/>
  <c r="AF167" i="49"/>
  <c r="AE167" i="49"/>
  <c r="AD167" i="49"/>
  <c r="AC167" i="49"/>
  <c r="AB167" i="49"/>
  <c r="AA167" i="49"/>
  <c r="AL167" i="49"/>
  <c r="Z167" i="49"/>
  <c r="C236" i="42"/>
  <c r="H235" i="42"/>
  <c r="E45" i="93"/>
  <c r="J45" i="93" s="1" a="1"/>
  <c r="J45" i="93" s="1"/>
  <c r="B46" i="93"/>
  <c r="D46" i="93" s="1"/>
  <c r="C47" i="93"/>
  <c r="H67" i="49"/>
  <c r="I46" i="93" l="1" a="1"/>
  <c r="I46" i="93" s="1"/>
  <c r="F45" i="93" a="1"/>
  <c r="F45" i="93" s="1"/>
  <c r="C237" i="42" s="1"/>
  <c r="G45" i="93" a="1"/>
  <c r="G45" i="93" s="1"/>
  <c r="J237" i="42" s="1"/>
  <c r="H45" i="93" a="1"/>
  <c r="H45" i="93" s="1"/>
  <c r="L237" i="42" s="1"/>
  <c r="P237" i="42" s="1"/>
  <c r="K45" i="93" a="1"/>
  <c r="K45" i="93" s="1"/>
  <c r="N237" i="42"/>
  <c r="H236" i="42"/>
  <c r="E46" i="93"/>
  <c r="J46" i="93" s="1" a="1"/>
  <c r="J46" i="93" s="1"/>
  <c r="C48" i="93"/>
  <c r="B47" i="93"/>
  <c r="D47" i="93" s="1"/>
  <c r="I67" i="49"/>
  <c r="I47" i="93" l="1" a="1"/>
  <c r="I47" i="93" s="1"/>
  <c r="G46" i="93" a="1"/>
  <c r="G46" i="93" s="1"/>
  <c r="J238" i="42" s="1"/>
  <c r="K46" i="93" a="1"/>
  <c r="K46" i="93" s="1"/>
  <c r="F46" i="93" a="1"/>
  <c r="F46" i="93" s="1"/>
  <c r="C238" i="42" s="1"/>
  <c r="H46" i="93" a="1"/>
  <c r="H46" i="93" s="1"/>
  <c r="L238" i="42" s="1"/>
  <c r="P238" i="42" s="1"/>
  <c r="N238" i="42"/>
  <c r="H237" i="42"/>
  <c r="E47" i="93"/>
  <c r="H47" i="93" s="1" a="1"/>
  <c r="H47" i="93" s="1"/>
  <c r="B48" i="93"/>
  <c r="D48" i="93" s="1"/>
  <c r="C49" i="93"/>
  <c r="J67" i="49"/>
  <c r="I48" i="93" l="1" a="1"/>
  <c r="I48" i="93" s="1"/>
  <c r="J47" i="93" a="1"/>
  <c r="J47" i="93" s="1"/>
  <c r="N239" i="42" s="1"/>
  <c r="K47" i="93" a="1"/>
  <c r="K47" i="93" s="1"/>
  <c r="F47" i="93" a="1"/>
  <c r="F47" i="93" s="1"/>
  <c r="C239" i="42" s="1"/>
  <c r="G47" i="93" a="1"/>
  <c r="G47" i="93" s="1"/>
  <c r="J239" i="42" s="1"/>
  <c r="L239" i="42"/>
  <c r="P239" i="42" s="1"/>
  <c r="H238" i="42"/>
  <c r="E48" i="93"/>
  <c r="K48" i="93" s="1" a="1"/>
  <c r="K48" i="93" s="1"/>
  <c r="C50" i="93"/>
  <c r="B49" i="93"/>
  <c r="D49" i="93" s="1"/>
  <c r="K67" i="49"/>
  <c r="I49" i="93" l="1" a="1"/>
  <c r="I49" i="93" s="1"/>
  <c r="J48" i="93" a="1"/>
  <c r="J48" i="93" s="1"/>
  <c r="N240" i="42" s="1"/>
  <c r="F48" i="93" a="1"/>
  <c r="F48" i="93" s="1"/>
  <c r="C240" i="42" s="1"/>
  <c r="G48" i="93" a="1"/>
  <c r="G48" i="93" s="1"/>
  <c r="J240" i="42" s="1"/>
  <c r="H48" i="93" a="1"/>
  <c r="H48" i="93" s="1"/>
  <c r="L240" i="42" s="1"/>
  <c r="P240" i="42" s="1"/>
  <c r="H239" i="42"/>
  <c r="E49" i="93"/>
  <c r="F49" i="93" s="1" a="1"/>
  <c r="F49" i="93" s="1"/>
  <c r="B50" i="93"/>
  <c r="D50" i="93" s="1"/>
  <c r="C51" i="93"/>
  <c r="L67" i="49"/>
  <c r="I50" i="93" l="1" a="1"/>
  <c r="I50" i="93" s="1"/>
  <c r="J49" i="93" a="1"/>
  <c r="J49" i="93" s="1"/>
  <c r="N241" i="42" s="1"/>
  <c r="G49" i="93" a="1"/>
  <c r="G49" i="93" s="1"/>
  <c r="J241" i="42" s="1"/>
  <c r="H49" i="93" a="1"/>
  <c r="H49" i="93" s="1"/>
  <c r="L241" i="42" s="1"/>
  <c r="P241" i="42" s="1"/>
  <c r="K49" i="93" a="1"/>
  <c r="K49" i="93" s="1"/>
  <c r="C241" i="42"/>
  <c r="H240" i="42"/>
  <c r="E50" i="93"/>
  <c r="J50" i="93" s="1" a="1"/>
  <c r="J50" i="93" s="1"/>
  <c r="C52" i="93"/>
  <c r="B51" i="93"/>
  <c r="D51" i="93" s="1"/>
  <c r="M67" i="49"/>
  <c r="I51" i="93" l="1" a="1"/>
  <c r="I51" i="93" s="1"/>
  <c r="F50" i="93" a="1"/>
  <c r="F50" i="93" s="1"/>
  <c r="C242" i="42" s="1"/>
  <c r="G50" i="93" a="1"/>
  <c r="G50" i="93" s="1"/>
  <c r="J242" i="42" s="1"/>
  <c r="N242" i="42"/>
  <c r="K50" i="93" a="1"/>
  <c r="K50" i="93" s="1"/>
  <c r="H50" i="93" a="1"/>
  <c r="H50" i="93" s="1"/>
  <c r="L242" i="42" s="1"/>
  <c r="P242" i="42" s="1"/>
  <c r="H241" i="42"/>
  <c r="E51" i="93"/>
  <c r="K51" i="93" s="1" a="1"/>
  <c r="K51" i="93" s="1"/>
  <c r="B52" i="93"/>
  <c r="D52" i="93" s="1"/>
  <c r="C53" i="93"/>
  <c r="N67" i="49"/>
  <c r="I52" i="93" l="1" a="1"/>
  <c r="I52" i="93" s="1"/>
  <c r="J51" i="93" a="1"/>
  <c r="J51" i="93" s="1"/>
  <c r="N243" i="42" s="1"/>
  <c r="F51" i="93" a="1"/>
  <c r="F51" i="93" s="1"/>
  <c r="C243" i="42" s="1"/>
  <c r="G51" i="93" a="1"/>
  <c r="G51" i="93" s="1"/>
  <c r="J243" i="42" s="1"/>
  <c r="H51" i="93" a="1"/>
  <c r="H51" i="93" s="1"/>
  <c r="L243" i="42" s="1"/>
  <c r="P243" i="42" s="1"/>
  <c r="H242" i="42"/>
  <c r="E52" i="93"/>
  <c r="G52" i="93" s="1" a="1"/>
  <c r="G52" i="93" s="1"/>
  <c r="C54" i="93"/>
  <c r="B53" i="93"/>
  <c r="D53" i="93" s="1"/>
  <c r="O67" i="49"/>
  <c r="I53" i="93" l="1" a="1"/>
  <c r="I53" i="93" s="1"/>
  <c r="J52" i="93" a="1"/>
  <c r="J52" i="93" s="1"/>
  <c r="N244" i="42" s="1"/>
  <c r="H52" i="93" a="1"/>
  <c r="H52" i="93" s="1"/>
  <c r="L244" i="42" s="1"/>
  <c r="P244" i="42" s="1"/>
  <c r="K52" i="93" a="1"/>
  <c r="K52" i="93" s="1"/>
  <c r="F52" i="93" a="1"/>
  <c r="F52" i="93" s="1"/>
  <c r="C244" i="42" s="1"/>
  <c r="J244" i="42"/>
  <c r="H243" i="42"/>
  <c r="E53" i="93"/>
  <c r="K53" i="93" s="1" a="1"/>
  <c r="K53" i="93" s="1"/>
  <c r="B54" i="93"/>
  <c r="D54" i="93" s="1"/>
  <c r="C55" i="93"/>
  <c r="P67" i="49"/>
  <c r="I54" i="93" l="1" a="1"/>
  <c r="I54" i="93" s="1"/>
  <c r="J53" i="93" a="1"/>
  <c r="J53" i="93" s="1"/>
  <c r="N245" i="42" s="1"/>
  <c r="F53" i="93" a="1"/>
  <c r="F53" i="93" s="1"/>
  <c r="C245" i="42" s="1"/>
  <c r="G53" i="93" a="1"/>
  <c r="G53" i="93" s="1"/>
  <c r="J245" i="42" s="1"/>
  <c r="H53" i="93" a="1"/>
  <c r="H53" i="93" s="1"/>
  <c r="L245" i="42" s="1"/>
  <c r="P245" i="42" s="1"/>
  <c r="H244" i="42"/>
  <c r="E54" i="93"/>
  <c r="K54" i="93" s="1" a="1"/>
  <c r="K54" i="93" s="1"/>
  <c r="C56" i="93"/>
  <c r="B55" i="93"/>
  <c r="D55" i="93" s="1"/>
  <c r="Q67" i="49"/>
  <c r="I55" i="93" l="1" a="1"/>
  <c r="I55" i="93" s="1"/>
  <c r="J54" i="93" a="1"/>
  <c r="J54" i="93" s="1"/>
  <c r="N246" i="42" s="1"/>
  <c r="H54" i="93" a="1"/>
  <c r="H54" i="93" s="1"/>
  <c r="L246" i="42" s="1"/>
  <c r="P246" i="42" s="1"/>
  <c r="F54" i="93" a="1"/>
  <c r="F54" i="93" s="1"/>
  <c r="C246" i="42" s="1"/>
  <c r="G54" i="93" a="1"/>
  <c r="G54" i="93" s="1"/>
  <c r="J246" i="42" s="1"/>
  <c r="H245" i="42"/>
  <c r="E55" i="93"/>
  <c r="J55" i="93" s="1" a="1"/>
  <c r="J55" i="93" s="1"/>
  <c r="B56" i="93"/>
  <c r="D56" i="93" s="1"/>
  <c r="C57" i="93"/>
  <c r="R67" i="49"/>
  <c r="I56" i="93" l="1" a="1"/>
  <c r="I56" i="93" s="1"/>
  <c r="F55" i="93" a="1"/>
  <c r="F55" i="93" s="1"/>
  <c r="C247" i="42" s="1"/>
  <c r="G55" i="93" a="1"/>
  <c r="G55" i="93" s="1"/>
  <c r="J247" i="42" s="1"/>
  <c r="N247" i="42"/>
  <c r="K55" i="93" a="1"/>
  <c r="K55" i="93" s="1"/>
  <c r="H55" i="93" a="1"/>
  <c r="H55" i="93" s="1"/>
  <c r="L247" i="42" s="1"/>
  <c r="P247" i="42" s="1"/>
  <c r="G268" i="42"/>
  <c r="E268" i="42" s="1"/>
  <c r="G266" i="42"/>
  <c r="E266" i="42" s="1"/>
  <c r="G267" i="42"/>
  <c r="E267" i="42" s="1"/>
  <c r="G264" i="42"/>
  <c r="E264" i="42" s="1"/>
  <c r="G265" i="42"/>
  <c r="E265" i="42" s="1"/>
  <c r="G263" i="42"/>
  <c r="E263" i="42" s="1"/>
  <c r="H246" i="42"/>
  <c r="E56" i="93"/>
  <c r="K56" i="93" s="1" a="1"/>
  <c r="K56" i="93" s="1"/>
  <c r="C58" i="93"/>
  <c r="B57" i="93"/>
  <c r="D57" i="93" s="1"/>
  <c r="S67" i="49"/>
  <c r="I57" i="93" l="1" a="1"/>
  <c r="I57" i="93" s="1"/>
  <c r="J56" i="93" a="1"/>
  <c r="J56" i="93" s="1"/>
  <c r="N248" i="42" s="1"/>
  <c r="F56" i="93" a="1"/>
  <c r="F56" i="93" s="1"/>
  <c r="C248" i="42" s="1"/>
  <c r="G56" i="93" a="1"/>
  <c r="G56" i="93" s="1"/>
  <c r="J248" i="42" s="1"/>
  <c r="H56" i="93" a="1"/>
  <c r="H56" i="93" s="1"/>
  <c r="L248" i="42" s="1"/>
  <c r="P248" i="42" s="1"/>
  <c r="H247" i="42"/>
  <c r="E57" i="93"/>
  <c r="G57" i="93" s="1" a="1"/>
  <c r="G57" i="93" s="1"/>
  <c r="B58" i="93"/>
  <c r="D58" i="93" s="1"/>
  <c r="C59" i="93"/>
  <c r="T67" i="49"/>
  <c r="I58" i="93" l="1" a="1"/>
  <c r="I58" i="93" s="1"/>
  <c r="J57" i="93" a="1"/>
  <c r="J57" i="93" s="1"/>
  <c r="N249" i="42" s="1"/>
  <c r="H57" i="93" a="1"/>
  <c r="H57" i="93" s="1"/>
  <c r="L249" i="42" s="1"/>
  <c r="P249" i="42" s="1"/>
  <c r="K57" i="93" a="1"/>
  <c r="K57" i="93" s="1"/>
  <c r="F57" i="93" a="1"/>
  <c r="F57" i="93" s="1"/>
  <c r="C249" i="42" s="1"/>
  <c r="J249" i="42"/>
  <c r="H248" i="42"/>
  <c r="E58" i="93"/>
  <c r="K58" i="93" s="1" a="1"/>
  <c r="K58" i="93" s="1"/>
  <c r="R247" i="42"/>
  <c r="C60" i="93"/>
  <c r="B59" i="93"/>
  <c r="D59" i="93" s="1"/>
  <c r="U67" i="49"/>
  <c r="J58" i="93" l="1" a="1"/>
  <c r="J58" i="93" s="1"/>
  <c r="N250" i="42" s="1"/>
  <c r="I59" i="93" a="1"/>
  <c r="I59" i="93" s="1"/>
  <c r="F58" i="93" a="1"/>
  <c r="F58" i="93" s="1"/>
  <c r="C250" i="42" s="1"/>
  <c r="G58" i="93" a="1"/>
  <c r="G58" i="93" s="1"/>
  <c r="J250" i="42" s="1"/>
  <c r="H58" i="93" a="1"/>
  <c r="H58" i="93" s="1"/>
  <c r="L250" i="42" s="1"/>
  <c r="P250" i="42" s="1"/>
  <c r="H249" i="42"/>
  <c r="E59" i="93"/>
  <c r="J59" i="93" s="1" a="1"/>
  <c r="J59" i="93" s="1"/>
  <c r="R248" i="42"/>
  <c r="B60" i="93"/>
  <c r="D60" i="93" s="1"/>
  <c r="C61" i="93"/>
  <c r="V67" i="49"/>
  <c r="I60" i="93" l="1" a="1"/>
  <c r="I60" i="93" s="1"/>
  <c r="H59" i="93" a="1"/>
  <c r="H59" i="93" s="1"/>
  <c r="L251" i="42" s="1"/>
  <c r="P251" i="42" s="1"/>
  <c r="G59" i="93" a="1"/>
  <c r="G59" i="93" s="1"/>
  <c r="J251" i="42" s="1"/>
  <c r="K59" i="93" a="1"/>
  <c r="K59" i="93" s="1"/>
  <c r="F59" i="93" a="1"/>
  <c r="F59" i="93" s="1"/>
  <c r="C251" i="42" s="1"/>
  <c r="N251" i="42"/>
  <c r="H250" i="42"/>
  <c r="E60" i="93"/>
  <c r="H60" i="93" s="1" a="1"/>
  <c r="H60" i="93" s="1"/>
  <c r="R249" i="42"/>
  <c r="C62" i="93"/>
  <c r="B61" i="93"/>
  <c r="D61" i="93" s="1"/>
  <c r="W67" i="49"/>
  <c r="I61" i="93" l="1" a="1"/>
  <c r="I61" i="93" s="1"/>
  <c r="J60" i="93" a="1"/>
  <c r="J60" i="93" s="1"/>
  <c r="N252" i="42" s="1"/>
  <c r="K60" i="93" a="1"/>
  <c r="K60" i="93" s="1"/>
  <c r="F60" i="93" a="1"/>
  <c r="F60" i="93" s="1"/>
  <c r="C252" i="42" s="1"/>
  <c r="G60" i="93" a="1"/>
  <c r="G60" i="93" s="1"/>
  <c r="J252" i="42" s="1"/>
  <c r="H251" i="42"/>
  <c r="L252" i="42"/>
  <c r="P252" i="42" s="1"/>
  <c r="E61" i="93"/>
  <c r="G61" i="93" s="1" a="1"/>
  <c r="G61" i="93" s="1"/>
  <c r="R250" i="42"/>
  <c r="C63" i="93"/>
  <c r="B62" i="93"/>
  <c r="D62" i="93" s="1"/>
  <c r="X67" i="49"/>
  <c r="J61" i="93" l="1" a="1"/>
  <c r="J61" i="93" s="1"/>
  <c r="N253" i="42" s="1"/>
  <c r="I62" i="93" a="1"/>
  <c r="I62" i="93" s="1"/>
  <c r="F61" i="93" a="1"/>
  <c r="F61" i="93" s="1"/>
  <c r="C253" i="42" s="1"/>
  <c r="H61" i="93" a="1"/>
  <c r="H61" i="93" s="1"/>
  <c r="L253" i="42" s="1"/>
  <c r="P253" i="42" s="1"/>
  <c r="K61" i="93" a="1"/>
  <c r="K61" i="93" s="1"/>
  <c r="J253" i="42"/>
  <c r="H252" i="42"/>
  <c r="E62" i="93"/>
  <c r="K62" i="93" s="1" a="1"/>
  <c r="K62" i="93" s="1"/>
  <c r="R251" i="42"/>
  <c r="C64" i="93"/>
  <c r="B63" i="93"/>
  <c r="D63" i="93" s="1"/>
  <c r="Y67" i="49"/>
  <c r="Z67" i="49" s="1"/>
  <c r="AA67" i="49" s="1"/>
  <c r="AB67" i="49" s="1"/>
  <c r="AC67" i="49" s="1"/>
  <c r="AD67" i="49" s="1"/>
  <c r="AE67" i="49" s="1"/>
  <c r="AF67" i="49" s="1"/>
  <c r="AG67" i="49" s="1"/>
  <c r="AH67" i="49" s="1"/>
  <c r="AI67" i="49" s="1"/>
  <c r="AJ67" i="49" s="1"/>
  <c r="AK67" i="49" s="1"/>
  <c r="AL67" i="49" s="1"/>
  <c r="J62" i="93" l="1" a="1"/>
  <c r="J62" i="93" s="1"/>
  <c r="N254" i="42" s="1"/>
  <c r="I63" i="93" a="1"/>
  <c r="I63" i="93" s="1"/>
  <c r="H62" i="93" a="1"/>
  <c r="H62" i="93" s="1"/>
  <c r="L254" i="42" s="1"/>
  <c r="P254" i="42" s="1"/>
  <c r="F62" i="93" a="1"/>
  <c r="F62" i="93" s="1"/>
  <c r="C254" i="42" s="1"/>
  <c r="G62" i="93" a="1"/>
  <c r="G62" i="93" s="1"/>
  <c r="J254" i="42" s="1"/>
  <c r="H253" i="42"/>
  <c r="E63" i="93"/>
  <c r="K63" i="93" s="1" a="1"/>
  <c r="K63" i="93" s="1"/>
  <c r="R252" i="42"/>
  <c r="B64" i="93"/>
  <c r="D64" i="93" s="1"/>
  <c r="L172" i="47"/>
  <c r="L56" i="47"/>
  <c r="L55" i="47"/>
  <c r="L16" i="47"/>
  <c r="J63" i="93" l="1" a="1"/>
  <c r="J63" i="93" s="1"/>
  <c r="N255" i="42" s="1"/>
  <c r="I64" i="93" a="1"/>
  <c r="I64" i="93" s="1"/>
  <c r="G63" i="93" a="1"/>
  <c r="G63" i="93" s="1"/>
  <c r="J255" i="42" s="1"/>
  <c r="H63" i="93" a="1"/>
  <c r="H63" i="93" s="1"/>
  <c r="L255" i="42" s="1"/>
  <c r="P255" i="42" s="1"/>
  <c r="F63" i="93" a="1"/>
  <c r="F63" i="93" s="1"/>
  <c r="C255" i="42" s="1"/>
  <c r="H254" i="42"/>
  <c r="H8" i="103"/>
  <c r="P8" i="103" s="1"/>
  <c r="E64" i="93"/>
  <c r="J64" i="93" s="1" a="1"/>
  <c r="J64" i="93" s="1"/>
  <c r="R253" i="42"/>
  <c r="U11" i="46"/>
  <c r="E48" i="46"/>
  <c r="H36" i="103" l="1"/>
  <c r="F234" i="102" s="1"/>
  <c r="H64" i="93" a="1"/>
  <c r="H64" i="93" s="1"/>
  <c r="L256" i="42" s="1"/>
  <c r="P256" i="42" s="1"/>
  <c r="F64" i="93" a="1"/>
  <c r="F64" i="93" s="1"/>
  <c r="C256" i="42" s="1"/>
  <c r="G64" i="93" a="1"/>
  <c r="G64" i="93" s="1"/>
  <c r="J256" i="42" s="1"/>
  <c r="K64" i="93" a="1"/>
  <c r="K64" i="93" s="1"/>
  <c r="H16" i="103"/>
  <c r="F199" i="102" s="1"/>
  <c r="Q93" i="108"/>
  <c r="H255" i="42"/>
  <c r="H10" i="103"/>
  <c r="N256" i="42"/>
  <c r="C28" i="101"/>
  <c r="C32" i="101" s="1"/>
  <c r="R254" i="42"/>
  <c r="R27" i="46"/>
  <c r="P10" i="103" l="1"/>
  <c r="F193" i="102" s="1"/>
  <c r="F189" i="102"/>
  <c r="H12" i="103"/>
  <c r="F192" i="102"/>
  <c r="F266" i="102"/>
  <c r="H256" i="42"/>
  <c r="F268" i="42"/>
  <c r="R255" i="42"/>
  <c r="R256" i="42"/>
  <c r="F272" i="42"/>
  <c r="P12" i="103" l="1"/>
  <c r="F195" i="102" s="1"/>
  <c r="F268" i="102"/>
  <c r="H37" i="103"/>
  <c r="F194" i="102"/>
  <c r="Z53" i="42"/>
  <c r="F236" i="102" l="1"/>
  <c r="Z52" i="42"/>
  <c r="P25" i="42" l="1"/>
  <c r="C52" i="42" l="1"/>
  <c r="G37" i="20" l="1"/>
  <c r="G26" i="20"/>
  <c r="C625" i="42" s="1"/>
  <c r="F306" i="102"/>
  <c r="F302" i="102"/>
  <c r="G36" i="20"/>
  <c r="F296" i="102"/>
  <c r="G32" i="20"/>
  <c r="G31" i="20"/>
  <c r="F290" i="102" s="1"/>
  <c r="G30" i="20"/>
  <c r="F288" i="102" s="1"/>
  <c r="G29" i="20"/>
  <c r="F284" i="102"/>
  <c r="G34" i="20"/>
  <c r="G33" i="20" s="1"/>
  <c r="F318" i="102" s="1"/>
  <c r="F280" i="102"/>
  <c r="G24" i="20"/>
  <c r="G23" i="20" s="1"/>
  <c r="F314" i="102" s="1"/>
  <c r="G28" i="20" l="1"/>
  <c r="F316" i="102" s="1"/>
  <c r="F292" i="102"/>
  <c r="C617" i="42"/>
  <c r="G43" i="20"/>
  <c r="F282" i="102"/>
  <c r="F300" i="102"/>
  <c r="C620" i="42"/>
  <c r="F304" i="102"/>
  <c r="C623" i="42"/>
  <c r="C626" i="42"/>
  <c r="F310" i="102"/>
  <c r="F308" i="102"/>
  <c r="F286" i="102"/>
  <c r="F330" i="102"/>
  <c r="C611" i="42"/>
  <c r="F305" i="102"/>
  <c r="F36" i="20"/>
  <c r="F299" i="102" s="1"/>
  <c r="E237" i="52"/>
  <c r="E236" i="52"/>
  <c r="E235" i="52"/>
  <c r="E234" i="52"/>
  <c r="E233" i="52"/>
  <c r="E226" i="52"/>
  <c r="E225" i="52"/>
  <c r="E224" i="52"/>
  <c r="E223" i="52"/>
  <c r="E221" i="52"/>
  <c r="D226" i="52"/>
  <c r="D225" i="52"/>
  <c r="D224" i="52"/>
  <c r="D223" i="52"/>
  <c r="D222" i="52"/>
  <c r="D221" i="52"/>
  <c r="D220" i="52"/>
  <c r="C226" i="52"/>
  <c r="C225" i="52"/>
  <c r="C224" i="52"/>
  <c r="C223" i="52"/>
  <c r="C222" i="52"/>
  <c r="C221" i="52"/>
  <c r="C220" i="52"/>
  <c r="E217" i="52"/>
  <c r="E216" i="52"/>
  <c r="E215" i="52"/>
  <c r="E214" i="52"/>
  <c r="E213" i="52"/>
  <c r="E212" i="52"/>
  <c r="E211" i="52"/>
  <c r="D217" i="52"/>
  <c r="D216" i="52"/>
  <c r="D215" i="52"/>
  <c r="D214" i="52"/>
  <c r="D213" i="52"/>
  <c r="D212" i="52"/>
  <c r="D211" i="52"/>
  <c r="C217" i="52"/>
  <c r="C216" i="52"/>
  <c r="C215" i="52"/>
  <c r="C214" i="52"/>
  <c r="C213" i="52"/>
  <c r="C212" i="52"/>
  <c r="C211" i="52"/>
  <c r="E209" i="52"/>
  <c r="E208" i="52"/>
  <c r="E207" i="52"/>
  <c r="E206" i="52"/>
  <c r="E205" i="52"/>
  <c r="E204" i="52"/>
  <c r="E203" i="52"/>
  <c r="E202" i="52"/>
  <c r="E201" i="52"/>
  <c r="E200" i="52"/>
  <c r="E182" i="52"/>
  <c r="F182" i="52" s="1"/>
  <c r="E181" i="52"/>
  <c r="F181" i="52" s="1"/>
  <c r="E180" i="52"/>
  <c r="F180" i="52" s="1"/>
  <c r="E179" i="52"/>
  <c r="F179" i="52" s="1"/>
  <c r="D185" i="52"/>
  <c r="D184" i="52"/>
  <c r="D183" i="52"/>
  <c r="D182" i="52"/>
  <c r="D192" i="52" s="1"/>
  <c r="D181" i="52"/>
  <c r="D191" i="52" s="1"/>
  <c r="D180" i="52"/>
  <c r="D190" i="52" s="1"/>
  <c r="D179" i="52"/>
  <c r="D189" i="52" s="1"/>
  <c r="D178" i="52"/>
  <c r="D188" i="52" s="1"/>
  <c r="C185" i="52"/>
  <c r="C184" i="52"/>
  <c r="C183" i="52"/>
  <c r="C182" i="52"/>
  <c r="C181" i="52"/>
  <c r="C180" i="52"/>
  <c r="C179" i="52"/>
  <c r="C178" i="52"/>
  <c r="E169" i="52"/>
  <c r="E167" i="52"/>
  <c r="E166" i="52"/>
  <c r="E165" i="52"/>
  <c r="E164" i="52"/>
  <c r="E160" i="52"/>
  <c r="E159" i="52"/>
  <c r="E158" i="52"/>
  <c r="E157" i="52"/>
  <c r="E156" i="52"/>
  <c r="E155" i="52"/>
  <c r="E154" i="52"/>
  <c r="E153" i="52"/>
  <c r="E152" i="52"/>
  <c r="E151" i="52"/>
  <c r="E150" i="52"/>
  <c r="E149" i="52"/>
  <c r="E148" i="52"/>
  <c r="E144" i="52"/>
  <c r="E143" i="52"/>
  <c r="E142" i="52"/>
  <c r="E141" i="52"/>
  <c r="E140" i="52"/>
  <c r="E139" i="52"/>
  <c r="E136" i="52"/>
  <c r="G136" i="52" s="1"/>
  <c r="E135" i="52"/>
  <c r="G135" i="52" s="1"/>
  <c r="E134" i="52"/>
  <c r="G134" i="52" s="1"/>
  <c r="E133" i="52"/>
  <c r="G133" i="52" s="1"/>
  <c r="E129" i="52"/>
  <c r="E128" i="52"/>
  <c r="E127" i="52"/>
  <c r="E126" i="52"/>
  <c r="E125" i="52"/>
  <c r="E124" i="52"/>
  <c r="E123" i="52"/>
  <c r="E122" i="52"/>
  <c r="E119" i="52"/>
  <c r="G119" i="52" s="1"/>
  <c r="E118" i="52"/>
  <c r="G118" i="52" s="1"/>
  <c r="E116" i="52"/>
  <c r="G116" i="52" s="1"/>
  <c r="E113" i="52"/>
  <c r="G113" i="52" s="1"/>
  <c r="E112" i="52"/>
  <c r="G112" i="52" s="1"/>
  <c r="E111" i="52"/>
  <c r="G111" i="52" s="1"/>
  <c r="E110" i="52"/>
  <c r="E109" i="52"/>
  <c r="G109" i="52" s="1"/>
  <c r="E106" i="52"/>
  <c r="G106" i="52" s="1"/>
  <c r="E105" i="52"/>
  <c r="G105" i="52" s="1"/>
  <c r="E104" i="52"/>
  <c r="G104" i="52" s="1"/>
  <c r="E103" i="52"/>
  <c r="G103" i="52" s="1"/>
  <c r="E102" i="52"/>
  <c r="G102" i="52" s="1"/>
  <c r="E101" i="52"/>
  <c r="G101" i="52" s="1"/>
  <c r="E100" i="52"/>
  <c r="G100" i="52" s="1"/>
  <c r="E99" i="52"/>
  <c r="G99" i="52" s="1"/>
  <c r="E98" i="52"/>
  <c r="G98" i="52" s="1"/>
  <c r="E94" i="52"/>
  <c r="E93" i="52"/>
  <c r="E92" i="52"/>
  <c r="E91" i="52"/>
  <c r="E90" i="52"/>
  <c r="E89" i="52"/>
  <c r="G89" i="52" s="1"/>
  <c r="E88" i="52"/>
  <c r="E87" i="52"/>
  <c r="E86" i="52"/>
  <c r="E85" i="52"/>
  <c r="G85" i="52" s="1"/>
  <c r="E82" i="52"/>
  <c r="G82" i="52" s="1"/>
  <c r="E81" i="52"/>
  <c r="E80" i="52"/>
  <c r="E79" i="52"/>
  <c r="E77" i="52"/>
  <c r="E76" i="52"/>
  <c r="E75" i="52"/>
  <c r="G75" i="52" s="1"/>
  <c r="E72" i="52"/>
  <c r="E69" i="52"/>
  <c r="E68" i="52"/>
  <c r="E67" i="52"/>
  <c r="E66" i="52"/>
  <c r="G66" i="52" s="1"/>
  <c r="E65" i="52"/>
  <c r="G65" i="52" s="1"/>
  <c r="E63" i="52"/>
  <c r="E59" i="52"/>
  <c r="E58" i="52"/>
  <c r="E54" i="52"/>
  <c r="E53" i="52"/>
  <c r="E52" i="52"/>
  <c r="E51" i="52"/>
  <c r="E50" i="52"/>
  <c r="E46" i="52"/>
  <c r="E45" i="52"/>
  <c r="E44" i="52"/>
  <c r="E33" i="52"/>
  <c r="E43" i="52"/>
  <c r="E42" i="52"/>
  <c r="E41" i="52"/>
  <c r="E40" i="52"/>
  <c r="E39" i="52"/>
  <c r="E36" i="52"/>
  <c r="E35" i="52"/>
  <c r="E34" i="52"/>
  <c r="E32" i="52"/>
  <c r="E31" i="52"/>
  <c r="E28" i="52"/>
  <c r="E27" i="52"/>
  <c r="E26" i="52"/>
  <c r="E22" i="52"/>
  <c r="E18" i="52"/>
  <c r="E17" i="52"/>
  <c r="G17" i="52" s="1"/>
  <c r="E16" i="52"/>
  <c r="G16" i="52" s="1"/>
  <c r="D82" i="49"/>
  <c r="S196" i="47"/>
  <c r="U196" i="47" s="1"/>
  <c r="S195" i="47"/>
  <c r="U195" i="47" s="1"/>
  <c r="F85" i="47"/>
  <c r="AA65" i="45"/>
  <c r="AC65" i="45" s="1"/>
  <c r="AA64" i="45"/>
  <c r="AC64" i="45" s="1"/>
  <c r="O64" i="45" s="1"/>
  <c r="AA63" i="45"/>
  <c r="AC63" i="45" s="1"/>
  <c r="O63" i="45" s="1"/>
  <c r="AA62" i="45"/>
  <c r="AC62" i="45" s="1"/>
  <c r="AA61" i="45"/>
  <c r="AC61" i="45" s="1"/>
  <c r="O61" i="45" s="1"/>
  <c r="AA60" i="45"/>
  <c r="AC60" i="45" s="1"/>
  <c r="O60" i="45" s="1"/>
  <c r="AA59" i="45"/>
  <c r="AC59" i="45" s="1"/>
  <c r="O59" i="45" s="1"/>
  <c r="AA58" i="45"/>
  <c r="AC58" i="45" s="1"/>
  <c r="O58" i="45" s="1"/>
  <c r="AA57" i="45"/>
  <c r="AC57" i="45" s="1"/>
  <c r="O57" i="45" s="1"/>
  <c r="AA56" i="45"/>
  <c r="AC56" i="45" s="1"/>
  <c r="O56" i="45" s="1"/>
  <c r="AA55" i="45"/>
  <c r="AC55" i="45" s="1"/>
  <c r="O55" i="45" s="1"/>
  <c r="AA54" i="45"/>
  <c r="AC54" i="45" s="1"/>
  <c r="O54" i="45" s="1"/>
  <c r="AA53" i="45"/>
  <c r="AC53" i="45" s="1"/>
  <c r="O53" i="45" s="1"/>
  <c r="AA52" i="45"/>
  <c r="AC52" i="45" s="1"/>
  <c r="O52" i="45" s="1"/>
  <c r="AA51" i="45"/>
  <c r="AC51" i="45" s="1"/>
  <c r="O51" i="45" s="1"/>
  <c r="AA50" i="45"/>
  <c r="AC50" i="45" s="1"/>
  <c r="O50" i="45" s="1"/>
  <c r="AA49" i="45"/>
  <c r="AC49" i="45" s="1"/>
  <c r="O49" i="45" s="1"/>
  <c r="AA48" i="45"/>
  <c r="AC48" i="45" s="1"/>
  <c r="O48" i="45" s="1"/>
  <c r="AA47" i="45"/>
  <c r="AC47" i="45" s="1"/>
  <c r="O47" i="45" s="1"/>
  <c r="AA46" i="45"/>
  <c r="AC46" i="45" s="1"/>
  <c r="O46" i="45" s="1"/>
  <c r="AA45" i="45"/>
  <c r="AC45" i="45" s="1"/>
  <c r="O45" i="45" s="1"/>
  <c r="AA44" i="45"/>
  <c r="AC44" i="45" s="1"/>
  <c r="O44" i="45" s="1"/>
  <c r="AA43" i="45"/>
  <c r="AC43" i="45" s="1"/>
  <c r="O43" i="45" s="1"/>
  <c r="AA42" i="45"/>
  <c r="AC42" i="45" s="1"/>
  <c r="O42" i="45" s="1"/>
  <c r="AA41" i="45"/>
  <c r="AC41" i="45" s="1"/>
  <c r="O41" i="45" s="1"/>
  <c r="AA40" i="45"/>
  <c r="AC40" i="45" s="1"/>
  <c r="O40" i="45" s="1"/>
  <c r="AA39" i="45"/>
  <c r="AC39" i="45" s="1"/>
  <c r="O39" i="45" s="1"/>
  <c r="AA38" i="45"/>
  <c r="AC38" i="45" s="1"/>
  <c r="O38" i="45" s="1"/>
  <c r="AA37" i="45"/>
  <c r="AC37" i="45" s="1"/>
  <c r="O37" i="45" s="1"/>
  <c r="AA36" i="45"/>
  <c r="AC36" i="45" s="1"/>
  <c r="O36" i="45" s="1"/>
  <c r="AA35" i="45"/>
  <c r="AC35" i="45" s="1"/>
  <c r="O35" i="45" s="1"/>
  <c r="AA34" i="45"/>
  <c r="AC34" i="45" s="1"/>
  <c r="O34" i="45" s="1"/>
  <c r="AA33" i="45"/>
  <c r="AC33" i="45" s="1"/>
  <c r="O33" i="45" s="1"/>
  <c r="AA32" i="45"/>
  <c r="AC32" i="45" s="1"/>
  <c r="O32" i="45" s="1"/>
  <c r="AA31" i="45"/>
  <c r="AC31" i="45" s="1"/>
  <c r="O31" i="45" s="1"/>
  <c r="AA30" i="45"/>
  <c r="AA29" i="45"/>
  <c r="AC29" i="45" s="1"/>
  <c r="AA28" i="45"/>
  <c r="AA27" i="45"/>
  <c r="AC27" i="45" s="1"/>
  <c r="AA26" i="45"/>
  <c r="AA25" i="45"/>
  <c r="AC25" i="45" s="1"/>
  <c r="AA24" i="45"/>
  <c r="AA23" i="45"/>
  <c r="AA22" i="45"/>
  <c r="AA21" i="45"/>
  <c r="AA20" i="45"/>
  <c r="AA19" i="45"/>
  <c r="AA18" i="45"/>
  <c r="AA17" i="45"/>
  <c r="AA16" i="45"/>
  <c r="BC11" i="55"/>
  <c r="BB11" i="55"/>
  <c r="BA11" i="55"/>
  <c r="AZ11" i="55"/>
  <c r="AY11" i="55"/>
  <c r="AX11" i="55"/>
  <c r="AW11" i="55"/>
  <c r="AV11" i="55"/>
  <c r="AU11" i="55"/>
  <c r="AT11" i="55"/>
  <c r="AS11" i="55"/>
  <c r="AR11" i="55"/>
  <c r="AQ11" i="55"/>
  <c r="AP11" i="55"/>
  <c r="AO11" i="55"/>
  <c r="AN11" i="55"/>
  <c r="AM11" i="55"/>
  <c r="AL11" i="55"/>
  <c r="BC10" i="55"/>
  <c r="BB10" i="55"/>
  <c r="BA10" i="55"/>
  <c r="AZ10" i="55"/>
  <c r="AY10" i="55"/>
  <c r="AI12" i="54" s="1"/>
  <c r="AX10" i="55"/>
  <c r="AW10" i="55"/>
  <c r="AV10" i="55"/>
  <c r="AU10" i="55"/>
  <c r="AT10" i="55"/>
  <c r="AS10" i="55"/>
  <c r="AR10" i="55"/>
  <c r="AQ10" i="55"/>
  <c r="AP10" i="55"/>
  <c r="AC12" i="54" s="1"/>
  <c r="AO10" i="55"/>
  <c r="AN10" i="55"/>
  <c r="AM10" i="55"/>
  <c r="AL10" i="55"/>
  <c r="AP9" i="54"/>
  <c r="AO9" i="54"/>
  <c r="BC7" i="55"/>
  <c r="BB7" i="55"/>
  <c r="BA7" i="55"/>
  <c r="AZ7" i="55"/>
  <c r="AJ9" i="54" s="1"/>
  <c r="AY7" i="55"/>
  <c r="AX7" i="55"/>
  <c r="AW7" i="55"/>
  <c r="AH9" i="54" s="1"/>
  <c r="AV7" i="55"/>
  <c r="AU7" i="55"/>
  <c r="AT7" i="55"/>
  <c r="AS7" i="55"/>
  <c r="AR7" i="55"/>
  <c r="AQ7" i="55"/>
  <c r="AD9" i="54" s="1"/>
  <c r="AP7" i="55"/>
  <c r="AO7" i="55"/>
  <c r="AN7" i="55"/>
  <c r="AB9" i="54" s="1"/>
  <c r="AM7" i="55"/>
  <c r="AL7" i="55"/>
  <c r="AB7" i="55"/>
  <c r="AA7" i="55"/>
  <c r="Z7" i="55"/>
  <c r="Y7" i="55"/>
  <c r="X7" i="55"/>
  <c r="W7" i="55"/>
  <c r="V7" i="55"/>
  <c r="U7" i="55"/>
  <c r="T7" i="55"/>
  <c r="S7" i="55"/>
  <c r="R7" i="55"/>
  <c r="Q7" i="55"/>
  <c r="P7" i="55"/>
  <c r="O7" i="55"/>
  <c r="N7" i="55"/>
  <c r="M7" i="55"/>
  <c r="L7" i="55"/>
  <c r="J7" i="55"/>
  <c r="I7" i="55"/>
  <c r="H7" i="55"/>
  <c r="G7" i="55"/>
  <c r="F7" i="55"/>
  <c r="E7" i="55"/>
  <c r="D7" i="55"/>
  <c r="C7" i="55"/>
  <c r="AC28" i="45"/>
  <c r="AC30" i="45"/>
  <c r="AC20" i="45"/>
  <c r="F312" i="102" l="1"/>
  <c r="G83" i="52"/>
  <c r="G19" i="52"/>
  <c r="O62" i="45"/>
  <c r="O65" i="45"/>
  <c r="O30" i="45"/>
  <c r="O28" i="45"/>
  <c r="O29" i="45"/>
  <c r="O27" i="45"/>
  <c r="AK9" i="54"/>
  <c r="J22" i="52"/>
  <c r="V22" i="52"/>
  <c r="AH22" i="52"/>
  <c r="K22" i="52"/>
  <c r="W22" i="52"/>
  <c r="AI22" i="52"/>
  <c r="X22" i="52"/>
  <c r="AF22" i="52"/>
  <c r="I22" i="52"/>
  <c r="Y22" i="52"/>
  <c r="H22" i="52"/>
  <c r="L22" i="52"/>
  <c r="AJ22" i="52"/>
  <c r="M22" i="52"/>
  <c r="R22" i="52"/>
  <c r="S22" i="52"/>
  <c r="U22" i="52"/>
  <c r="N22" i="52"/>
  <c r="Z22" i="52"/>
  <c r="O22" i="52"/>
  <c r="AA22" i="52"/>
  <c r="P22" i="52"/>
  <c r="AB22" i="52"/>
  <c r="Q22" i="52"/>
  <c r="AC22" i="52"/>
  <c r="AD22" i="52"/>
  <c r="AE22" i="52"/>
  <c r="T22" i="52"/>
  <c r="AG22" i="52"/>
  <c r="R27" i="52"/>
  <c r="AD27" i="52"/>
  <c r="G27" i="52"/>
  <c r="S27" i="52"/>
  <c r="AE27" i="52"/>
  <c r="H27" i="52"/>
  <c r="T27" i="52"/>
  <c r="AF27" i="52"/>
  <c r="I27" i="52"/>
  <c r="U27" i="52"/>
  <c r="AG27" i="52"/>
  <c r="AH27" i="52"/>
  <c r="K27" i="52"/>
  <c r="W27" i="52"/>
  <c r="AJ27" i="52"/>
  <c r="O27" i="52"/>
  <c r="AA27" i="52"/>
  <c r="Q27" i="52"/>
  <c r="J27" i="52"/>
  <c r="V27" i="52"/>
  <c r="AI27" i="52"/>
  <c r="N27" i="52"/>
  <c r="P27" i="52"/>
  <c r="L27" i="52"/>
  <c r="X27" i="52"/>
  <c r="M27" i="52"/>
  <c r="Y27" i="52"/>
  <c r="Z27" i="52"/>
  <c r="AB27" i="52"/>
  <c r="AC27" i="52"/>
  <c r="R92" i="52"/>
  <c r="AD92" i="52"/>
  <c r="G92" i="52"/>
  <c r="V92" i="52"/>
  <c r="AI92" i="52"/>
  <c r="S92" i="52"/>
  <c r="AE92" i="52"/>
  <c r="AH92" i="52"/>
  <c r="W92" i="52"/>
  <c r="AB92" i="52"/>
  <c r="H92" i="52"/>
  <c r="T92" i="52"/>
  <c r="AF92" i="52"/>
  <c r="K92" i="52"/>
  <c r="M92" i="52"/>
  <c r="AA92" i="52"/>
  <c r="I92" i="52"/>
  <c r="U92" i="52"/>
  <c r="AG92" i="52"/>
  <c r="J92" i="52"/>
  <c r="Z92" i="52"/>
  <c r="AC92" i="52"/>
  <c r="O92" i="52"/>
  <c r="L92" i="52"/>
  <c r="X92" i="52"/>
  <c r="AJ92" i="52"/>
  <c r="Y92" i="52"/>
  <c r="P92" i="52"/>
  <c r="N92" i="52"/>
  <c r="Q92" i="52"/>
  <c r="M93" i="52"/>
  <c r="Y93" i="52"/>
  <c r="AF93" i="52"/>
  <c r="AJ93" i="52"/>
  <c r="N93" i="52"/>
  <c r="Z93" i="52"/>
  <c r="G93" i="52"/>
  <c r="AD93" i="52"/>
  <c r="H93" i="52"/>
  <c r="U93" i="52"/>
  <c r="AH93" i="52"/>
  <c r="AI93" i="52"/>
  <c r="X93" i="52"/>
  <c r="O93" i="52"/>
  <c r="AA93" i="52"/>
  <c r="Q93" i="52"/>
  <c r="P93" i="52"/>
  <c r="AB93" i="52"/>
  <c r="R93" i="52"/>
  <c r="V93" i="52"/>
  <c r="K93" i="52"/>
  <c r="AC93" i="52"/>
  <c r="AE93" i="52"/>
  <c r="AG93" i="52"/>
  <c r="T93" i="52"/>
  <c r="L93" i="52"/>
  <c r="S93" i="52"/>
  <c r="I93" i="52"/>
  <c r="J93" i="52"/>
  <c r="W93" i="52"/>
  <c r="E73" i="52"/>
  <c r="G72" i="52"/>
  <c r="F37" i="20"/>
  <c r="O25" i="45"/>
  <c r="F178" i="52"/>
  <c r="E247" i="52"/>
  <c r="R234" i="52"/>
  <c r="AD234" i="52"/>
  <c r="S234" i="52"/>
  <c r="AE234" i="52"/>
  <c r="T234" i="52"/>
  <c r="AF234" i="52"/>
  <c r="I234" i="52"/>
  <c r="U234" i="52"/>
  <c r="AG234" i="52"/>
  <c r="AC234" i="52"/>
  <c r="J234" i="52"/>
  <c r="V234" i="52"/>
  <c r="AH234" i="52"/>
  <c r="K234" i="52"/>
  <c r="W234" i="52"/>
  <c r="AI234" i="52"/>
  <c r="L234" i="52"/>
  <c r="X234" i="52"/>
  <c r="AJ234" i="52"/>
  <c r="M234" i="52"/>
  <c r="Y234" i="52"/>
  <c r="H234" i="52"/>
  <c r="N234" i="52"/>
  <c r="Z234" i="52"/>
  <c r="Q234" i="52"/>
  <c r="O234" i="52"/>
  <c r="AA234" i="52"/>
  <c r="P234" i="52"/>
  <c r="AB234" i="52"/>
  <c r="N235" i="52"/>
  <c r="Z235" i="52"/>
  <c r="O235" i="52"/>
  <c r="AA235" i="52"/>
  <c r="P235" i="52"/>
  <c r="AB235" i="52"/>
  <c r="Q235" i="52"/>
  <c r="AC235" i="52"/>
  <c r="R235" i="52"/>
  <c r="AD235" i="52"/>
  <c r="S235" i="52"/>
  <c r="AE235" i="52"/>
  <c r="Y235" i="52"/>
  <c r="T235" i="52"/>
  <c r="AF235" i="52"/>
  <c r="I235" i="52"/>
  <c r="U235" i="52"/>
  <c r="AG235" i="52"/>
  <c r="M235" i="52"/>
  <c r="J235" i="52"/>
  <c r="V235" i="52"/>
  <c r="AH235" i="52"/>
  <c r="H235" i="52"/>
  <c r="K235" i="52"/>
  <c r="W235" i="52"/>
  <c r="AI235" i="52"/>
  <c r="L235" i="52"/>
  <c r="X235" i="52"/>
  <c r="AJ235" i="52"/>
  <c r="J236" i="52"/>
  <c r="V236" i="52"/>
  <c r="AH236" i="52"/>
  <c r="AG236" i="52"/>
  <c r="K236" i="52"/>
  <c r="W236" i="52"/>
  <c r="AI236" i="52"/>
  <c r="L236" i="52"/>
  <c r="X236" i="52"/>
  <c r="AJ236" i="52"/>
  <c r="M236" i="52"/>
  <c r="Y236" i="52"/>
  <c r="N236" i="52"/>
  <c r="Z236" i="52"/>
  <c r="O236" i="52"/>
  <c r="AA236" i="52"/>
  <c r="P236" i="52"/>
  <c r="AB236" i="52"/>
  <c r="U236" i="52"/>
  <c r="Q236" i="52"/>
  <c r="AC236" i="52"/>
  <c r="R236" i="52"/>
  <c r="AD236" i="52"/>
  <c r="S236" i="52"/>
  <c r="AE236" i="52"/>
  <c r="H236" i="52"/>
  <c r="T236" i="52"/>
  <c r="AF236" i="52"/>
  <c r="I236" i="52"/>
  <c r="R237" i="52"/>
  <c r="AD237" i="52"/>
  <c r="S237" i="52"/>
  <c r="AE237" i="52"/>
  <c r="AC237" i="52"/>
  <c r="T237" i="52"/>
  <c r="AF237" i="52"/>
  <c r="I237" i="52"/>
  <c r="U237" i="52"/>
  <c r="AG237" i="52"/>
  <c r="J237" i="52"/>
  <c r="V237" i="52"/>
  <c r="AH237" i="52"/>
  <c r="Q237" i="52"/>
  <c r="K237" i="52"/>
  <c r="W237" i="52"/>
  <c r="AI237" i="52"/>
  <c r="L237" i="52"/>
  <c r="X237" i="52"/>
  <c r="AJ237" i="52"/>
  <c r="M237" i="52"/>
  <c r="Y237" i="52"/>
  <c r="N237" i="52"/>
  <c r="Z237" i="52"/>
  <c r="O237" i="52"/>
  <c r="AA237" i="52"/>
  <c r="P237" i="52"/>
  <c r="AB237" i="52"/>
  <c r="H237" i="52"/>
  <c r="G22" i="52"/>
  <c r="J233" i="52"/>
  <c r="V233" i="52"/>
  <c r="AH233" i="52"/>
  <c r="K233" i="52"/>
  <c r="W233" i="52"/>
  <c r="AI233" i="52"/>
  <c r="I233" i="52"/>
  <c r="L233" i="52"/>
  <c r="X233" i="52"/>
  <c r="AJ233" i="52"/>
  <c r="M233" i="52"/>
  <c r="Y233" i="52"/>
  <c r="N233" i="52"/>
  <c r="Z233" i="52"/>
  <c r="U233" i="52"/>
  <c r="O233" i="52"/>
  <c r="AA233" i="52"/>
  <c r="P233" i="52"/>
  <c r="AB233" i="52"/>
  <c r="Q233" i="52"/>
  <c r="AC233" i="52"/>
  <c r="R233" i="52"/>
  <c r="AD233" i="52"/>
  <c r="S233" i="52"/>
  <c r="AE233" i="52"/>
  <c r="AG233" i="52"/>
  <c r="T233" i="52"/>
  <c r="AF233" i="52"/>
  <c r="AJ26" i="52"/>
  <c r="X26" i="52"/>
  <c r="L26" i="52"/>
  <c r="AI26" i="52"/>
  <c r="W26" i="52"/>
  <c r="K26" i="52"/>
  <c r="AH26" i="52"/>
  <c r="V26" i="52"/>
  <c r="J26" i="52"/>
  <c r="AG26" i="52"/>
  <c r="U26" i="52"/>
  <c r="I26" i="52"/>
  <c r="AF26" i="52"/>
  <c r="T26" i="52"/>
  <c r="H26" i="52"/>
  <c r="Y26" i="52"/>
  <c r="AE26" i="52"/>
  <c r="S26" i="52"/>
  <c r="G26" i="52"/>
  <c r="AD26" i="52"/>
  <c r="R26" i="52"/>
  <c r="AC26" i="52"/>
  <c r="Q26" i="52"/>
  <c r="AB26" i="52"/>
  <c r="P26" i="52"/>
  <c r="AA26" i="52"/>
  <c r="O26" i="52"/>
  <c r="Z26" i="52"/>
  <c r="N26" i="52"/>
  <c r="M26" i="52"/>
  <c r="AD28" i="52"/>
  <c r="R28" i="52"/>
  <c r="AC28" i="52"/>
  <c r="Q28" i="52"/>
  <c r="AB28" i="52"/>
  <c r="P28" i="52"/>
  <c r="AA28" i="52"/>
  <c r="O28" i="52"/>
  <c r="S28" i="52"/>
  <c r="Z28" i="52"/>
  <c r="N28" i="52"/>
  <c r="Y28" i="52"/>
  <c r="M28" i="52"/>
  <c r="G28" i="52"/>
  <c r="AJ28" i="52"/>
  <c r="X28" i="52"/>
  <c r="L28" i="52"/>
  <c r="AI28" i="52"/>
  <c r="W28" i="52"/>
  <c r="K28" i="52"/>
  <c r="AH28" i="52"/>
  <c r="V28" i="52"/>
  <c r="J28" i="52"/>
  <c r="AG28" i="52"/>
  <c r="U28" i="52"/>
  <c r="I28" i="52"/>
  <c r="AE28" i="52"/>
  <c r="AF28" i="52"/>
  <c r="T28" i="52"/>
  <c r="H28" i="52"/>
  <c r="AJ31" i="52"/>
  <c r="AJ37" i="52" s="1"/>
  <c r="X31" i="52"/>
  <c r="X37" i="52" s="1"/>
  <c r="L31" i="52"/>
  <c r="L37" i="52" s="1"/>
  <c r="AI31" i="52"/>
  <c r="AI37" i="52" s="1"/>
  <c r="W31" i="52"/>
  <c r="W37" i="52" s="1"/>
  <c r="K31" i="52"/>
  <c r="K37" i="52" s="1"/>
  <c r="AH31" i="52"/>
  <c r="AH37" i="52" s="1"/>
  <c r="V31" i="52"/>
  <c r="V37" i="52" s="1"/>
  <c r="J31" i="52"/>
  <c r="J37" i="52" s="1"/>
  <c r="AG31" i="52"/>
  <c r="AG37" i="52" s="1"/>
  <c r="U31" i="52"/>
  <c r="U37" i="52" s="1"/>
  <c r="I31" i="52"/>
  <c r="I37" i="52" s="1"/>
  <c r="AF31" i="52"/>
  <c r="AF37" i="52" s="1"/>
  <c r="T31" i="52"/>
  <c r="T37" i="52" s="1"/>
  <c r="H31" i="52"/>
  <c r="H37" i="52" s="1"/>
  <c r="AE31" i="52"/>
  <c r="AE37" i="52" s="1"/>
  <c r="S31" i="52"/>
  <c r="S37" i="52" s="1"/>
  <c r="G31" i="52"/>
  <c r="G37" i="52" s="1"/>
  <c r="AD31" i="52"/>
  <c r="AD37" i="52" s="1"/>
  <c r="R31" i="52"/>
  <c r="R37" i="52" s="1"/>
  <c r="AC31" i="52"/>
  <c r="AC37" i="52" s="1"/>
  <c r="Q31" i="52"/>
  <c r="Q37" i="52" s="1"/>
  <c r="AB31" i="52"/>
  <c r="AB37" i="52" s="1"/>
  <c r="P31" i="52"/>
  <c r="P37" i="52" s="1"/>
  <c r="M31" i="52"/>
  <c r="M37" i="52" s="1"/>
  <c r="AA31" i="52"/>
  <c r="AA37" i="52" s="1"/>
  <c r="O31" i="52"/>
  <c r="O37" i="52" s="1"/>
  <c r="Z31" i="52"/>
  <c r="Z37" i="52" s="1"/>
  <c r="N31" i="52"/>
  <c r="N37" i="52" s="1"/>
  <c r="Y31" i="52"/>
  <c r="Y37" i="52" s="1"/>
  <c r="K338" i="42"/>
  <c r="K471" i="42"/>
  <c r="AE9" i="54"/>
  <c r="AG9" i="54"/>
  <c r="AF9" i="54"/>
  <c r="AA9" i="54"/>
  <c r="Z9" i="54"/>
  <c r="AI9" i="54"/>
  <c r="O20" i="45"/>
  <c r="AC9" i="54"/>
  <c r="E60" i="52"/>
  <c r="F435" i="102"/>
  <c r="E55" i="52"/>
  <c r="E47" i="52"/>
  <c r="E70" i="52"/>
  <c r="E37" i="52"/>
  <c r="E19" i="52"/>
  <c r="E29" i="52"/>
  <c r="E137" i="52"/>
  <c r="E170" i="52"/>
  <c r="E161" i="52"/>
  <c r="E145" i="52"/>
  <c r="E130" i="52"/>
  <c r="E120" i="52"/>
  <c r="E114" i="52"/>
  <c r="E107" i="52"/>
  <c r="E95" i="52"/>
  <c r="P23" i="1"/>
  <c r="AC26" i="45"/>
  <c r="AC24" i="45"/>
  <c r="AC23" i="45"/>
  <c r="AC22" i="45"/>
  <c r="AC21" i="45"/>
  <c r="AC17" i="45"/>
  <c r="AC19" i="45"/>
  <c r="AC18" i="45"/>
  <c r="AC16" i="45"/>
  <c r="F309" i="102" l="1"/>
  <c r="F279" i="102"/>
  <c r="O16" i="45"/>
  <c r="P16" i="45" s="1"/>
  <c r="G29" i="52"/>
  <c r="Q95" i="52"/>
  <c r="N95" i="52"/>
  <c r="P95" i="52"/>
  <c r="Y95" i="52"/>
  <c r="AJ95" i="52"/>
  <c r="X95" i="52"/>
  <c r="L95" i="52"/>
  <c r="O95" i="52"/>
  <c r="AC95" i="52"/>
  <c r="Z95" i="52"/>
  <c r="J95" i="52"/>
  <c r="AG95" i="52"/>
  <c r="U95" i="52"/>
  <c r="I95" i="52"/>
  <c r="AA95" i="52"/>
  <c r="M95" i="52"/>
  <c r="K95" i="52"/>
  <c r="AF95" i="52"/>
  <c r="T95" i="52"/>
  <c r="H95" i="52"/>
  <c r="AB95" i="52"/>
  <c r="W95" i="52"/>
  <c r="AH95" i="52"/>
  <c r="AE95" i="52"/>
  <c r="S95" i="52"/>
  <c r="AI95" i="52"/>
  <c r="V95" i="52"/>
  <c r="G95" i="52"/>
  <c r="AD95" i="52"/>
  <c r="R95" i="52"/>
  <c r="AG29" i="52"/>
  <c r="T29" i="52"/>
  <c r="AE29" i="52"/>
  <c r="AD29" i="52"/>
  <c r="AC29" i="52"/>
  <c r="Q29" i="52"/>
  <c r="AB29" i="52"/>
  <c r="P29" i="52"/>
  <c r="AA29" i="52"/>
  <c r="O29" i="52"/>
  <c r="Z29" i="52"/>
  <c r="N29" i="52"/>
  <c r="U29" i="52"/>
  <c r="S29" i="52"/>
  <c r="R29" i="52"/>
  <c r="M29" i="52"/>
  <c r="AJ29" i="52"/>
  <c r="L29" i="52"/>
  <c r="H29" i="52"/>
  <c r="Y29" i="52"/>
  <c r="I29" i="52"/>
  <c r="AF29" i="52"/>
  <c r="X29" i="52"/>
  <c r="AI29" i="52"/>
  <c r="W29" i="52"/>
  <c r="K29" i="52"/>
  <c r="AH29" i="52"/>
  <c r="V29" i="52"/>
  <c r="J29" i="52"/>
  <c r="F512" i="102"/>
  <c r="F508" i="102"/>
  <c r="O17" i="45"/>
  <c r="F27" i="52"/>
  <c r="O26" i="45"/>
  <c r="O23" i="45"/>
  <c r="O18" i="45"/>
  <c r="F34" i="20"/>
  <c r="F281" i="102" s="1"/>
  <c r="F342" i="102"/>
  <c r="O22" i="45"/>
  <c r="O21" i="45"/>
  <c r="O24" i="45"/>
  <c r="O19" i="45"/>
  <c r="F307" i="102"/>
  <c r="E56" i="52"/>
  <c r="U197" i="47"/>
  <c r="V195" i="47" s="1"/>
  <c r="E146" i="52"/>
  <c r="Z268" i="42"/>
  <c r="F504" i="102" l="1"/>
  <c r="F503" i="102"/>
  <c r="F35" i="20"/>
  <c r="F295" i="102" s="1"/>
  <c r="F436" i="102"/>
  <c r="V196" i="47"/>
  <c r="Z176" i="42"/>
  <c r="Z177" i="42"/>
  <c r="Z178" i="42"/>
  <c r="Y178" i="42" s="1"/>
  <c r="Z179" i="42"/>
  <c r="Z180" i="42"/>
  <c r="Z181" i="42"/>
  <c r="Z175" i="42"/>
  <c r="Z182" i="42"/>
  <c r="Z183" i="42"/>
  <c r="Z184" i="42"/>
  <c r="F33" i="20" l="1"/>
  <c r="F317" i="102" s="1"/>
  <c r="O25" i="42"/>
  <c r="N25" i="42"/>
  <c r="F99" i="102" l="1" a="1"/>
  <c r="F99" i="102" s="1"/>
  <c r="C102" i="42"/>
  <c r="C101" i="42"/>
  <c r="C100" i="42"/>
  <c r="C171" i="42"/>
  <c r="C170" i="42"/>
  <c r="C169" i="42"/>
  <c r="C168" i="42"/>
  <c r="C167" i="42"/>
  <c r="C166" i="42"/>
  <c r="C165" i="42"/>
  <c r="I185" i="42"/>
  <c r="C59" i="42"/>
  <c r="C58" i="42"/>
  <c r="C57" i="42"/>
  <c r="C56" i="42"/>
  <c r="C55" i="42"/>
  <c r="C54" i="42"/>
  <c r="I176" i="42"/>
  <c r="I175" i="42"/>
  <c r="N97" i="42" l="1"/>
  <c r="N96" i="42"/>
  <c r="N95" i="42"/>
  <c r="N94" i="42"/>
  <c r="N93" i="42"/>
  <c r="N92" i="42"/>
  <c r="N91" i="42"/>
  <c r="N90" i="42"/>
  <c r="N89" i="42"/>
  <c r="N88" i="42"/>
  <c r="N87" i="42"/>
  <c r="N86" i="42"/>
  <c r="N85" i="42"/>
  <c r="N84" i="42"/>
  <c r="N83" i="42"/>
  <c r="N82" i="42"/>
  <c r="N81" i="42"/>
  <c r="N80" i="42"/>
  <c r="N79" i="42"/>
  <c r="N78" i="42"/>
  <c r="N77" i="42"/>
  <c r="N76" i="42"/>
  <c r="N75" i="42"/>
  <c r="N74" i="42"/>
  <c r="N73" i="42"/>
  <c r="N72" i="42"/>
  <c r="N71" i="42"/>
  <c r="N70" i="42"/>
  <c r="N69" i="42"/>
  <c r="N68" i="42"/>
  <c r="N67" i="42"/>
  <c r="N66" i="42"/>
  <c r="N65" i="42"/>
  <c r="N64"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5" i="42" a="1"/>
  <c r="L65" i="42" s="1"/>
  <c r="L67" i="42"/>
  <c r="L66" i="42"/>
  <c r="L64" i="42"/>
  <c r="H38" i="42" l="1"/>
  <c r="G38" i="42"/>
  <c r="F38" i="42"/>
  <c r="E38" i="42" l="1"/>
  <c r="D38" i="42"/>
  <c r="F109" i="102" s="1" a="1"/>
  <c r="F109" i="102" s="1"/>
  <c r="C179" i="42" l="1"/>
  <c r="C178" i="42"/>
  <c r="K162" i="42" l="1"/>
  <c r="K161" i="42"/>
  <c r="K160" i="42"/>
  <c r="K152" i="42"/>
  <c r="K151" i="42"/>
  <c r="K150" i="42"/>
  <c r="K149" i="42"/>
  <c r="W141" i="42" s="1"/>
  <c r="K145" i="42"/>
  <c r="K144" i="42"/>
  <c r="K143" i="42"/>
  <c r="K142" i="42"/>
  <c r="K141" i="42"/>
  <c r="K140" i="42"/>
  <c r="K139" i="42"/>
  <c r="K138" i="42"/>
  <c r="W139" i="42" l="1"/>
  <c r="W140" i="42"/>
  <c r="W137" i="42"/>
  <c r="W138" i="42"/>
  <c r="W135" i="42"/>
  <c r="W136" i="42"/>
  <c r="W133" i="42"/>
  <c r="W134" i="42"/>
  <c r="AG30" i="42"/>
  <c r="AF30" i="42"/>
  <c r="AE30" i="42"/>
  <c r="AD30" i="42"/>
  <c r="AC30" i="42"/>
  <c r="E162" i="42" l="1"/>
  <c r="E161" i="42"/>
  <c r="E158" i="42"/>
  <c r="E157" i="42"/>
  <c r="E154" i="42"/>
  <c r="E150" i="42"/>
  <c r="E149" i="42"/>
  <c r="D155" i="42" l="1"/>
  <c r="E155" i="42"/>
  <c r="D152" i="42"/>
  <c r="E152" i="42"/>
  <c r="D159" i="42"/>
  <c r="E159" i="42"/>
  <c r="D160" i="42"/>
  <c r="E160" i="42"/>
  <c r="D151" i="42"/>
  <c r="E151" i="42"/>
  <c r="D156" i="42"/>
  <c r="E156" i="42"/>
  <c r="D149" i="42"/>
  <c r="D157" i="42"/>
  <c r="D150" i="42"/>
  <c r="D158" i="42"/>
  <c r="D153" i="42"/>
  <c r="D161" i="42"/>
  <c r="D154" i="42"/>
  <c r="D162" i="42"/>
  <c r="F162" i="42"/>
  <c r="F161" i="42"/>
  <c r="F160" i="42"/>
  <c r="J162" i="42"/>
  <c r="J161" i="42"/>
  <c r="J160" i="42"/>
  <c r="I162" i="42"/>
  <c r="I161" i="42"/>
  <c r="I160" i="42"/>
  <c r="AD31" i="42" l="1"/>
  <c r="E136" i="42" l="1"/>
  <c r="AL198" i="42" l="1"/>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197" i="42"/>
  <c r="J95" i="42" l="1"/>
  <c r="K31" i="42" l="1"/>
  <c r="J31" i="42"/>
  <c r="I31" i="42"/>
  <c r="H31" i="42"/>
  <c r="G31" i="42"/>
  <c r="J148" i="42"/>
  <c r="J147" i="42"/>
  <c r="J146" i="42"/>
  <c r="J145" i="42"/>
  <c r="J144" i="42"/>
  <c r="J143" i="42"/>
  <c r="J142" i="42"/>
  <c r="J141" i="42"/>
  <c r="J140" i="42"/>
  <c r="J139" i="42"/>
  <c r="J138" i="42"/>
  <c r="J134" i="42"/>
  <c r="J133" i="42"/>
  <c r="I134" i="42"/>
  <c r="I133" i="42"/>
  <c r="I148" i="42"/>
  <c r="I147" i="42"/>
  <c r="I146" i="42"/>
  <c r="I145" i="42"/>
  <c r="I144" i="42"/>
  <c r="I143" i="42"/>
  <c r="I142" i="42"/>
  <c r="I141" i="42"/>
  <c r="I140" i="42"/>
  <c r="I139" i="42"/>
  <c r="I138" i="42"/>
  <c r="F145" i="42"/>
  <c r="F144" i="42"/>
  <c r="F143" i="42"/>
  <c r="F142" i="42"/>
  <c r="F141" i="42"/>
  <c r="F140" i="42"/>
  <c r="F139" i="42"/>
  <c r="F138" i="42"/>
  <c r="F152" i="42"/>
  <c r="F151" i="42"/>
  <c r="F150" i="42"/>
  <c r="F149" i="42"/>
  <c r="R141" i="42" l="1"/>
  <c r="V141" i="42"/>
  <c r="U141" i="42"/>
  <c r="AA30" i="42"/>
  <c r="AA31" i="42" s="1"/>
  <c r="R140" i="42" l="1"/>
  <c r="V139" i="42"/>
  <c r="V140" i="42"/>
  <c r="U139" i="42"/>
  <c r="U140" i="42"/>
  <c r="R138" i="42"/>
  <c r="R139" i="42"/>
  <c r="U137" i="42"/>
  <c r="U138" i="42"/>
  <c r="V137" i="42"/>
  <c r="V138" i="42"/>
  <c r="R136" i="42"/>
  <c r="R137" i="42"/>
  <c r="R134" i="42"/>
  <c r="R135" i="42"/>
  <c r="R133" i="42"/>
  <c r="U135" i="42"/>
  <c r="U136" i="42"/>
  <c r="V135" i="42"/>
  <c r="V136" i="42"/>
  <c r="V133" i="42"/>
  <c r="V134" i="42"/>
  <c r="U134" i="42"/>
  <c r="U133" i="42"/>
  <c r="C3" i="42"/>
  <c r="R240" i="42" l="1"/>
  <c r="R210" i="42"/>
  <c r="R201" i="42"/>
  <c r="R203" i="42"/>
  <c r="R220" i="42"/>
  <c r="R236" i="42"/>
  <c r="R199" i="42"/>
  <c r="R213" i="42"/>
  <c r="R229" i="42"/>
  <c r="R245" i="42"/>
  <c r="R232" i="42"/>
  <c r="R204" i="42"/>
  <c r="R198" i="42"/>
  <c r="R206" i="42"/>
  <c r="R222" i="42"/>
  <c r="R246" i="42"/>
  <c r="F273" i="42"/>
  <c r="R207" i="42"/>
  <c r="R227" i="42"/>
  <c r="R239" i="42"/>
  <c r="R200" i="42"/>
  <c r="F267" i="42" s="1"/>
  <c r="R212" i="42"/>
  <c r="R216" i="42"/>
  <c r="R228" i="42"/>
  <c r="R244" i="42"/>
  <c r="R211" i="42"/>
  <c r="R219" i="42"/>
  <c r="R235" i="42"/>
  <c r="R208" i="42"/>
  <c r="R205" i="42"/>
  <c r="R209" i="42"/>
  <c r="R217" i="42"/>
  <c r="R221" i="42"/>
  <c r="R233" i="42"/>
  <c r="R237" i="42"/>
  <c r="R241" i="42"/>
  <c r="R215" i="42"/>
  <c r="R223" i="42"/>
  <c r="R231" i="42"/>
  <c r="R243" i="42"/>
  <c r="R202" i="42"/>
  <c r="R214" i="42"/>
  <c r="R218" i="42"/>
  <c r="R226" i="42"/>
  <c r="R230" i="42"/>
  <c r="R234" i="42"/>
  <c r="R238" i="42"/>
  <c r="R242" i="42"/>
  <c r="F266" i="42" l="1"/>
  <c r="F265" i="42"/>
  <c r="F264" i="42"/>
  <c r="D148" i="42"/>
  <c r="D147" i="42"/>
  <c r="D146" i="42"/>
  <c r="E124" i="42" l="1"/>
  <c r="E137" i="42" l="1"/>
  <c r="E135" i="42"/>
  <c r="Z39" i="42"/>
  <c r="D137" i="42" l="1"/>
  <c r="D135" i="42"/>
  <c r="D136" i="42"/>
  <c r="E133" i="42"/>
  <c r="AG31" i="42"/>
  <c r="AF31" i="42"/>
  <c r="AE31" i="42"/>
  <c r="AC31" i="42"/>
  <c r="AB30" i="42"/>
  <c r="AB31" i="42" s="1"/>
  <c r="Z32" i="42" l="1" a="1"/>
  <c r="Z32" i="42" s="1"/>
  <c r="Z30" i="42" a="1"/>
  <c r="Z30" i="42" s="1"/>
  <c r="Z33" i="42" a="1"/>
  <c r="Z33" i="42" s="1"/>
  <c r="Z31" i="42" l="1" a="1"/>
  <c r="Z31" i="42" s="1"/>
  <c r="E82" i="49" l="1"/>
  <c r="F82" i="49" s="1"/>
  <c r="G82" i="49" s="1"/>
  <c r="H82" i="49" s="1"/>
  <c r="I82" i="49" s="1"/>
  <c r="J82" i="49" s="1"/>
  <c r="K82" i="49" s="1"/>
  <c r="L82" i="49" s="1"/>
  <c r="M82" i="49" s="1"/>
  <c r="N82" i="49" s="1"/>
  <c r="O82" i="49" s="1"/>
  <c r="P82" i="49" s="1"/>
  <c r="Q82" i="49" s="1"/>
  <c r="R82" i="49" s="1"/>
  <c r="S82" i="49" s="1"/>
  <c r="T82" i="49" s="1"/>
  <c r="U82" i="49" s="1"/>
  <c r="V82" i="49" s="1"/>
  <c r="W82" i="49" s="1"/>
  <c r="X82" i="49" s="1"/>
  <c r="Y82" i="49" s="1"/>
  <c r="Z82" i="49" s="1"/>
  <c r="AA82" i="49" s="1"/>
  <c r="AB82" i="49" s="1"/>
  <c r="AC82" i="49" s="1"/>
  <c r="AD82" i="49" s="1"/>
  <c r="AE82" i="49" s="1"/>
  <c r="AF82" i="49" s="1"/>
  <c r="AG82" i="49" s="1"/>
  <c r="AH82" i="49" s="1"/>
  <c r="AI82" i="49" s="1"/>
  <c r="AJ82" i="49" s="1"/>
  <c r="AK82" i="49" s="1"/>
  <c r="AL82" i="49" s="1"/>
  <c r="F128" i="45" l="1"/>
  <c r="E143" i="42" l="1"/>
  <c r="D144" i="42" l="1"/>
  <c r="E144" i="42"/>
  <c r="D143" i="42"/>
  <c r="Z20" i="42"/>
  <c r="I98" i="45"/>
  <c r="I97" i="45"/>
  <c r="I96" i="45"/>
  <c r="T18" i="45"/>
  <c r="U18" i="45" s="1"/>
  <c r="T19" i="45"/>
  <c r="U19" i="45" s="1"/>
  <c r="T20" i="45"/>
  <c r="U20" i="45" s="1"/>
  <c r="T21" i="45"/>
  <c r="U21" i="45" s="1"/>
  <c r="T22" i="45"/>
  <c r="U22" i="45" s="1"/>
  <c r="T23" i="45"/>
  <c r="U23" i="45" s="1"/>
  <c r="T24" i="45"/>
  <c r="U24" i="45" s="1"/>
  <c r="T25" i="45"/>
  <c r="U25" i="45" s="1"/>
  <c r="T26" i="45"/>
  <c r="U26" i="45" s="1"/>
  <c r="T27" i="45"/>
  <c r="U27" i="45" s="1"/>
  <c r="T28" i="45"/>
  <c r="U28" i="45" s="1"/>
  <c r="T29" i="45"/>
  <c r="U29" i="45" s="1"/>
  <c r="T30" i="45"/>
  <c r="U30" i="45" s="1"/>
  <c r="T31" i="45"/>
  <c r="U31" i="45" s="1"/>
  <c r="T32" i="45"/>
  <c r="U32" i="45" s="1"/>
  <c r="T33" i="45"/>
  <c r="U33" i="45" s="1"/>
  <c r="T34" i="45"/>
  <c r="U34" i="45" s="1"/>
  <c r="T35" i="45"/>
  <c r="U35" i="45" s="1"/>
  <c r="T36" i="45"/>
  <c r="U36" i="45" s="1"/>
  <c r="T37" i="45"/>
  <c r="U37" i="45" s="1"/>
  <c r="T38" i="45"/>
  <c r="U38" i="45" s="1"/>
  <c r="T39" i="45"/>
  <c r="U39" i="45" s="1"/>
  <c r="T40" i="45"/>
  <c r="U40" i="45" s="1"/>
  <c r="T41" i="45"/>
  <c r="U41" i="45" s="1"/>
  <c r="T42" i="45"/>
  <c r="U42" i="45" s="1"/>
  <c r="T43" i="45"/>
  <c r="U43" i="45" s="1"/>
  <c r="T44" i="45"/>
  <c r="U44" i="45" s="1"/>
  <c r="T45" i="45"/>
  <c r="U45" i="45" s="1"/>
  <c r="T46" i="45"/>
  <c r="U46" i="45" s="1"/>
  <c r="T47" i="45"/>
  <c r="U47" i="45" s="1"/>
  <c r="T48" i="45"/>
  <c r="U48" i="45" s="1"/>
  <c r="T49" i="45"/>
  <c r="U49" i="45" s="1"/>
  <c r="T50" i="45"/>
  <c r="U50" i="45" s="1"/>
  <c r="T51" i="45"/>
  <c r="U51" i="45" s="1"/>
  <c r="T52" i="45"/>
  <c r="U52" i="45" s="1"/>
  <c r="T53" i="45"/>
  <c r="U53" i="45" s="1"/>
  <c r="T54" i="45"/>
  <c r="U54" i="45" s="1"/>
  <c r="T55" i="45"/>
  <c r="U55" i="45" s="1"/>
  <c r="T56" i="45"/>
  <c r="U56" i="45" s="1"/>
  <c r="T57" i="45"/>
  <c r="U57" i="45" s="1"/>
  <c r="T58" i="45"/>
  <c r="U58" i="45" s="1"/>
  <c r="T59" i="45"/>
  <c r="U59" i="45" s="1"/>
  <c r="T60" i="45"/>
  <c r="U60" i="45" s="1"/>
  <c r="T61" i="45"/>
  <c r="U61" i="45" s="1"/>
  <c r="T62" i="45"/>
  <c r="U62" i="45" s="1"/>
  <c r="T63" i="45"/>
  <c r="U63" i="45" s="1"/>
  <c r="T64" i="45"/>
  <c r="U64" i="45" s="1"/>
  <c r="T65" i="45"/>
  <c r="U65" i="45" s="1"/>
  <c r="T17" i="45"/>
  <c r="U17" i="45" s="1"/>
  <c r="T16" i="45"/>
  <c r="U16" i="45" s="1"/>
  <c r="U66" i="45" l="1"/>
  <c r="AL247" i="42" l="1"/>
  <c r="AL248" i="42"/>
  <c r="AL249" i="42"/>
  <c r="AB259" i="42" l="1" a="1"/>
  <c r="AB259" i="42" s="1"/>
  <c r="AB258" i="42" a="1"/>
  <c r="AB258" i="42" s="1"/>
  <c r="AB257" i="42" a="1"/>
  <c r="AB257" i="42" s="1"/>
  <c r="C574" i="42" l="1"/>
  <c r="C573" i="42"/>
  <c r="C572" i="42"/>
  <c r="C571" i="42"/>
  <c r="C570" i="42"/>
  <c r="C569" i="42"/>
  <c r="C568" i="42"/>
  <c r="C567" i="42"/>
  <c r="C564" i="42"/>
  <c r="C563" i="42"/>
  <c r="C562" i="42"/>
  <c r="C561" i="42"/>
  <c r="C560" i="42"/>
  <c r="C559" i="42"/>
  <c r="C558" i="42"/>
  <c r="C557" i="42"/>
  <c r="C556" i="42"/>
  <c r="C555" i="42"/>
  <c r="C554" i="42"/>
  <c r="C551" i="42"/>
  <c r="C550" i="42"/>
  <c r="C549" i="42"/>
  <c r="C548" i="42"/>
  <c r="C547" i="42"/>
  <c r="C546" i="42"/>
  <c r="C543" i="42"/>
  <c r="C542" i="42"/>
  <c r="C541" i="42"/>
  <c r="C540" i="42"/>
  <c r="C539" i="42"/>
  <c r="C538" i="42"/>
  <c r="C537" i="42"/>
  <c r="C536" i="42"/>
  <c r="C535" i="42"/>
  <c r="C534" i="42"/>
  <c r="C533" i="42"/>
  <c r="C532" i="42"/>
  <c r="C531" i="42"/>
  <c r="C530" i="42"/>
  <c r="C526" i="42"/>
  <c r="C525" i="42"/>
  <c r="C524" i="42"/>
  <c r="D543" i="42" l="1"/>
  <c r="D535" i="42"/>
  <c r="D526" i="42"/>
  <c r="L164" i="47"/>
  <c r="K164" i="47"/>
  <c r="L148" i="47"/>
  <c r="K148" i="47"/>
  <c r="L140" i="47"/>
  <c r="K140" i="47"/>
  <c r="L133" i="47"/>
  <c r="K133" i="47"/>
  <c r="L123" i="47"/>
  <c r="K123" i="47"/>
  <c r="L117" i="47"/>
  <c r="L110" i="47"/>
  <c r="K110" i="47"/>
  <c r="L97" i="47"/>
  <c r="L85" i="47"/>
  <c r="L75" i="47"/>
  <c r="K75" i="47"/>
  <c r="L72" i="47"/>
  <c r="K72" i="47"/>
  <c r="L62" i="47"/>
  <c r="L57" i="47"/>
  <c r="L49" i="47"/>
  <c r="L39" i="47"/>
  <c r="F345" i="42" s="1"/>
  <c r="E345" i="42"/>
  <c r="Q223" i="47"/>
  <c r="P222" i="47"/>
  <c r="R222" i="47" s="1"/>
  <c r="P223" i="47"/>
  <c r="L149" i="47" l="1"/>
  <c r="K58" i="47"/>
  <c r="L58" i="47"/>
  <c r="K98" i="47"/>
  <c r="R223" i="47"/>
  <c r="R224" i="47" s="1"/>
  <c r="L98" i="47"/>
  <c r="I165" i="47" l="1"/>
  <c r="I173" i="47" s="1"/>
  <c r="F173" i="47" s="1"/>
  <c r="P32" i="103" s="1"/>
  <c r="K165" i="47"/>
  <c r="L165" i="47"/>
  <c r="L173" i="47" s="1"/>
  <c r="I175" i="47" s="1"/>
  <c r="S223" i="47"/>
  <c r="S222" i="47"/>
  <c r="P36" i="103" l="1"/>
  <c r="P34" i="103"/>
  <c r="P33" i="103"/>
  <c r="K173" i="47"/>
  <c r="M173" i="47"/>
  <c r="F227" i="102"/>
  <c r="H32" i="103"/>
  <c r="H38" i="103" s="1"/>
  <c r="H40" i="103" s="1"/>
  <c r="F175" i="47"/>
  <c r="F210" i="47" s="1"/>
  <c r="I198" i="47"/>
  <c r="F506" i="42" s="1"/>
  <c r="I197" i="47"/>
  <c r="F505" i="42" s="1"/>
  <c r="I196" i="47"/>
  <c r="F504" i="42" s="1"/>
  <c r="I203" i="47"/>
  <c r="E511" i="42" s="1"/>
  <c r="I199" i="47"/>
  <c r="F507" i="42" s="1"/>
  <c r="I205" i="47"/>
  <c r="I207" i="47"/>
  <c r="I181" i="47"/>
  <c r="S224" i="47"/>
  <c r="Z6" i="42"/>
  <c r="Z263" i="42"/>
  <c r="AD176" i="42"/>
  <c r="AD177" i="42"/>
  <c r="AD178" i="42"/>
  <c r="AD179" i="42"/>
  <c r="AD180" i="42"/>
  <c r="AD175" i="42"/>
  <c r="AB176" i="42"/>
  <c r="AB177" i="42"/>
  <c r="AB178" i="42"/>
  <c r="AB179" i="42"/>
  <c r="AB180" i="42"/>
  <c r="AB181" i="42"/>
  <c r="AB182" i="42"/>
  <c r="AB183" i="42"/>
  <c r="AB184" i="42"/>
  <c r="AB185" i="42"/>
  <c r="AB186" i="42"/>
  <c r="AB187" i="42"/>
  <c r="AB188" i="42"/>
  <c r="AB175" i="42"/>
  <c r="Z185" i="42"/>
  <c r="Z186" i="42"/>
  <c r="Z187" i="42"/>
  <c r="Z188" i="42"/>
  <c r="F78" i="46" l="1"/>
  <c r="H15" i="103"/>
  <c r="P15" i="103"/>
  <c r="G175" i="47"/>
  <c r="G181" i="47" s="1"/>
  <c r="F226" i="102"/>
  <c r="F203" i="47"/>
  <c r="F207" i="47"/>
  <c r="F208" i="47"/>
  <c r="F204" i="47"/>
  <c r="F214" i="47"/>
  <c r="F199" i="47"/>
  <c r="E507" i="42" s="1"/>
  <c r="F235" i="102"/>
  <c r="P35" i="103"/>
  <c r="F233" i="102" s="1"/>
  <c r="F231" i="102"/>
  <c r="F229" i="102"/>
  <c r="F201" i="47"/>
  <c r="F181" i="47"/>
  <c r="F211" i="47"/>
  <c r="F212" i="47" s="1"/>
  <c r="F202" i="47"/>
  <c r="F200" i="47"/>
  <c r="F195" i="47"/>
  <c r="F205" i="47"/>
  <c r="F197" i="47"/>
  <c r="E505" i="42" s="1"/>
  <c r="F196" i="47"/>
  <c r="E504" i="42" s="1"/>
  <c r="F206" i="47"/>
  <c r="F198" i="47"/>
  <c r="E506" i="42" s="1"/>
  <c r="I200" i="47"/>
  <c r="C624" i="42"/>
  <c r="C621" i="42"/>
  <c r="C619" i="42"/>
  <c r="C616" i="42"/>
  <c r="C615" i="42"/>
  <c r="C614" i="42"/>
  <c r="C613" i="42"/>
  <c r="C612" i="42"/>
  <c r="G78" i="46" l="1"/>
  <c r="S29" i="46"/>
  <c r="S30" i="46" s="1"/>
  <c r="C627" i="42"/>
  <c r="F197" i="102"/>
  <c r="H20" i="103"/>
  <c r="F198" i="102"/>
  <c r="P17" i="103"/>
  <c r="P19" i="103"/>
  <c r="F206" i="102" s="1"/>
  <c r="P16" i="103"/>
  <c r="H21" i="103" l="1"/>
  <c r="F209" i="102" s="1"/>
  <c r="F207" i="102"/>
  <c r="H22" i="103"/>
  <c r="F211" i="102" s="1"/>
  <c r="P20" i="103"/>
  <c r="P21" i="103" s="1"/>
  <c r="F200" i="102"/>
  <c r="Z247" i="42"/>
  <c r="AB247" i="42" s="1"/>
  <c r="AD247" i="42"/>
  <c r="AF247" i="42"/>
  <c r="AH247" i="42"/>
  <c r="Z248" i="42"/>
  <c r="AB248" i="42" s="1"/>
  <c r="AD248" i="42"/>
  <c r="AF248" i="42"/>
  <c r="AH248" i="42"/>
  <c r="Z249" i="42"/>
  <c r="AB249" i="42" s="1"/>
  <c r="AD249" i="42"/>
  <c r="AF249" i="42"/>
  <c r="AH249" i="42"/>
  <c r="Z250" i="42"/>
  <c r="AB250" i="42" s="1"/>
  <c r="AD250" i="42"/>
  <c r="AF250" i="42"/>
  <c r="AH250" i="42"/>
  <c r="Z251" i="42"/>
  <c r="AB251" i="42" s="1"/>
  <c r="AD251" i="42"/>
  <c r="AF251" i="42"/>
  <c r="AH251" i="42"/>
  <c r="Z252" i="42"/>
  <c r="AB252" i="42" s="1"/>
  <c r="AD252" i="42"/>
  <c r="AF252" i="42"/>
  <c r="AH252" i="42"/>
  <c r="Z253" i="42"/>
  <c r="AB253" i="42" s="1"/>
  <c r="AD253" i="42"/>
  <c r="AF253" i="42"/>
  <c r="AH253" i="42"/>
  <c r="Z254" i="42"/>
  <c r="AB254" i="42" s="1"/>
  <c r="AD254" i="42"/>
  <c r="AF254" i="42"/>
  <c r="AH254" i="42"/>
  <c r="Z255" i="42"/>
  <c r="AB255" i="42" s="1"/>
  <c r="AD255" i="42"/>
  <c r="AF255" i="42"/>
  <c r="AH255" i="42"/>
  <c r="Z256" i="42"/>
  <c r="AB256" i="42" s="1"/>
  <c r="AD256" i="42"/>
  <c r="AF256" i="42"/>
  <c r="AH256" i="42"/>
  <c r="Z257" i="42"/>
  <c r="AD257" i="42"/>
  <c r="AF257" i="42"/>
  <c r="AH257" i="42"/>
  <c r="Z258" i="42"/>
  <c r="AD258" i="42"/>
  <c r="AF258" i="42"/>
  <c r="AH258" i="42"/>
  <c r="Z259" i="42"/>
  <c r="AD259" i="42"/>
  <c r="AF259" i="42"/>
  <c r="AH259" i="42"/>
  <c r="AH198" i="42"/>
  <c r="AH199" i="42"/>
  <c r="AH200" i="42"/>
  <c r="AH201" i="42"/>
  <c r="AH202" i="42"/>
  <c r="AH203" i="42"/>
  <c r="AH204" i="42"/>
  <c r="AH205" i="42"/>
  <c r="AH206" i="42"/>
  <c r="AH207" i="42"/>
  <c r="AH208" i="42"/>
  <c r="AH209" i="42"/>
  <c r="AH210" i="42"/>
  <c r="AH211" i="42"/>
  <c r="AH212" i="42"/>
  <c r="AH213" i="42"/>
  <c r="AH214" i="42"/>
  <c r="AH215" i="42"/>
  <c r="AH216" i="42"/>
  <c r="AH217" i="42"/>
  <c r="AH218" i="42"/>
  <c r="AH219" i="42"/>
  <c r="AH220" i="42"/>
  <c r="AH221" i="42"/>
  <c r="AH222" i="42"/>
  <c r="AH223" i="42"/>
  <c r="AH224" i="42"/>
  <c r="AH225" i="42"/>
  <c r="AH226" i="42"/>
  <c r="AH227" i="42"/>
  <c r="AH228" i="42"/>
  <c r="AH229" i="42"/>
  <c r="AH230" i="42"/>
  <c r="AH231" i="42"/>
  <c r="AH232" i="42"/>
  <c r="AH233" i="42"/>
  <c r="AH234" i="42"/>
  <c r="AH235" i="42"/>
  <c r="AH236" i="42"/>
  <c r="AH237" i="42"/>
  <c r="AH238" i="42"/>
  <c r="AH239" i="42"/>
  <c r="AH240" i="42"/>
  <c r="AH241" i="42"/>
  <c r="AH242" i="42"/>
  <c r="AH243" i="42"/>
  <c r="AH244" i="42"/>
  <c r="AH245" i="42"/>
  <c r="AH246" i="42"/>
  <c r="AH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197"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197" i="42"/>
  <c r="Z266" i="42" l="1"/>
  <c r="H23" i="103"/>
  <c r="F210" i="102"/>
  <c r="P22" i="103"/>
  <c r="F212" i="102" s="1"/>
  <c r="F208" i="102"/>
  <c r="Z264" i="42"/>
  <c r="Z262" i="42"/>
  <c r="Z261" i="42"/>
  <c r="Z267" i="42" s="1"/>
  <c r="Z199" i="42"/>
  <c r="AB199" i="42" s="1"/>
  <c r="Z200" i="42"/>
  <c r="AB200" i="42" s="1"/>
  <c r="Z201" i="42"/>
  <c r="AB201" i="42" s="1"/>
  <c r="Z202" i="42"/>
  <c r="AB202" i="42" s="1"/>
  <c r="Z203" i="42"/>
  <c r="AB203" i="42" s="1"/>
  <c r="Z204" i="42"/>
  <c r="AB204" i="42" s="1"/>
  <c r="Z205" i="42"/>
  <c r="AB205" i="42" s="1"/>
  <c r="Z206" i="42"/>
  <c r="AB206" i="42" s="1"/>
  <c r="Z207" i="42"/>
  <c r="AB207" i="42" s="1"/>
  <c r="Z208" i="42"/>
  <c r="AB208" i="42" s="1"/>
  <c r="Z209" i="42"/>
  <c r="AB209" i="42" s="1"/>
  <c r="Z210" i="42"/>
  <c r="AB210" i="42" s="1"/>
  <c r="Z211" i="42"/>
  <c r="AB211" i="42" s="1"/>
  <c r="Z212" i="42"/>
  <c r="AB212" i="42" s="1"/>
  <c r="Z213" i="42"/>
  <c r="AB213" i="42" s="1"/>
  <c r="Z214" i="42"/>
  <c r="AB214" i="42" s="1"/>
  <c r="Z215" i="42"/>
  <c r="AB215" i="42" s="1"/>
  <c r="Z216" i="42"/>
  <c r="AB216" i="42" s="1"/>
  <c r="Z217" i="42"/>
  <c r="AB217" i="42" s="1"/>
  <c r="Z218" i="42"/>
  <c r="AB218" i="42" s="1"/>
  <c r="Z219" i="42"/>
  <c r="AB219" i="42" s="1"/>
  <c r="Z220" i="42"/>
  <c r="AB220" i="42" s="1"/>
  <c r="Z221" i="42"/>
  <c r="AB221" i="42" s="1"/>
  <c r="Z222" i="42"/>
  <c r="AB222" i="42" s="1"/>
  <c r="Z223" i="42"/>
  <c r="AB223" i="42" s="1"/>
  <c r="Z224" i="42"/>
  <c r="AB224" i="42" s="1"/>
  <c r="Z225" i="42"/>
  <c r="AB225" i="42" s="1"/>
  <c r="Z226" i="42"/>
  <c r="AB226" i="42" s="1"/>
  <c r="Z227" i="42"/>
  <c r="AB227" i="42" s="1"/>
  <c r="Z228" i="42"/>
  <c r="AB228" i="42" s="1"/>
  <c r="Z229" i="42"/>
  <c r="AB229" i="42" s="1"/>
  <c r="Z230" i="42"/>
  <c r="AB230" i="42" s="1"/>
  <c r="Z231" i="42"/>
  <c r="AB231" i="42" s="1"/>
  <c r="Z232" i="42"/>
  <c r="AB232" i="42" s="1"/>
  <c r="Z233" i="42"/>
  <c r="AB233" i="42" s="1"/>
  <c r="Z234" i="42"/>
  <c r="AB234" i="42" s="1"/>
  <c r="Z235" i="42"/>
  <c r="AB235" i="42" s="1"/>
  <c r="Z236" i="42"/>
  <c r="AB236" i="42" s="1"/>
  <c r="Z237" i="42"/>
  <c r="AB237" i="42" s="1"/>
  <c r="Z238" i="42"/>
  <c r="AB238" i="42" s="1"/>
  <c r="Z239" i="42"/>
  <c r="AB239" i="42" s="1"/>
  <c r="Z240" i="42"/>
  <c r="AB240" i="42" s="1"/>
  <c r="Z241" i="42"/>
  <c r="AB241" i="42" s="1"/>
  <c r="Z242" i="42"/>
  <c r="AB242" i="42" s="1"/>
  <c r="Z243" i="42"/>
  <c r="AB243" i="42" s="1"/>
  <c r="Z244" i="42"/>
  <c r="AB244" i="42" s="1"/>
  <c r="Z245" i="42"/>
  <c r="AB245" i="42" s="1"/>
  <c r="Z246" i="42"/>
  <c r="AB246" i="42" s="1"/>
  <c r="Z198" i="42"/>
  <c r="AB198" i="42" s="1"/>
  <c r="Z197" i="42"/>
  <c r="AB197" i="42" s="1"/>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F213" i="102" l="1"/>
  <c r="H25" i="103"/>
  <c r="H28" i="103" s="1"/>
  <c r="P23" i="103"/>
  <c r="F214" i="102" s="1"/>
  <c r="C277" i="42"/>
  <c r="C275" i="42"/>
  <c r="C271" i="42"/>
  <c r="F217" i="102" l="1"/>
  <c r="F267" i="102"/>
  <c r="J97" i="42"/>
  <c r="J96"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C97" i="42"/>
  <c r="H97" i="42" s="1"/>
  <c r="C96" i="42"/>
  <c r="H96" i="42" s="1"/>
  <c r="C95" i="42"/>
  <c r="H95" i="42" s="1"/>
  <c r="C94" i="42"/>
  <c r="H94" i="42" s="1"/>
  <c r="C93" i="42"/>
  <c r="H93" i="42" s="1"/>
  <c r="C92" i="42"/>
  <c r="H92" i="42" s="1"/>
  <c r="C91" i="42"/>
  <c r="H91" i="42" s="1"/>
  <c r="C90" i="42"/>
  <c r="H90" i="42" s="1"/>
  <c r="C89" i="42"/>
  <c r="H89" i="42" s="1"/>
  <c r="C88" i="42"/>
  <c r="H88" i="42" s="1"/>
  <c r="C87" i="42"/>
  <c r="H87" i="42" s="1"/>
  <c r="C86" i="42"/>
  <c r="H86" i="42" s="1"/>
  <c r="C85" i="42"/>
  <c r="H85" i="42" s="1"/>
  <c r="C84" i="42"/>
  <c r="H84" i="42" s="1"/>
  <c r="C83" i="42"/>
  <c r="H83" i="42" s="1"/>
  <c r="C82" i="42"/>
  <c r="H82" i="42" s="1"/>
  <c r="C81" i="42"/>
  <c r="H81" i="42" s="1"/>
  <c r="C80" i="42"/>
  <c r="H80" i="42" s="1"/>
  <c r="C79" i="42"/>
  <c r="H79" i="42" s="1"/>
  <c r="C78" i="42"/>
  <c r="H78" i="42" s="1"/>
  <c r="C77" i="42"/>
  <c r="H77" i="42" s="1"/>
  <c r="C76" i="42"/>
  <c r="H76" i="42" s="1"/>
  <c r="C75" i="42"/>
  <c r="H75" i="42" s="1"/>
  <c r="C74" i="42"/>
  <c r="H74" i="42" s="1"/>
  <c r="C73" i="42"/>
  <c r="H73" i="42" s="1"/>
  <c r="C72" i="42"/>
  <c r="H72" i="42" s="1"/>
  <c r="C71" i="42"/>
  <c r="H71" i="42" s="1"/>
  <c r="C70" i="42"/>
  <c r="H70" i="42" s="1"/>
  <c r="C69" i="42"/>
  <c r="H69" i="42" s="1"/>
  <c r="C68" i="42"/>
  <c r="H68" i="42" s="1"/>
  <c r="C67" i="42"/>
  <c r="H67" i="42" s="1"/>
  <c r="C66" i="42"/>
  <c r="H66" i="42" s="1"/>
  <c r="C65" i="42"/>
  <c r="H65" i="42" s="1"/>
  <c r="C64" i="42"/>
  <c r="F223" i="102" l="1"/>
  <c r="H64" i="42"/>
  <c r="C98" i="42" a="1"/>
  <c r="C98" i="42" s="1"/>
  <c r="T187" i="47"/>
  <c r="U179" i="47"/>
  <c r="M176" i="47"/>
  <c r="L176" i="47"/>
  <c r="F93" i="108"/>
  <c r="F164" i="47"/>
  <c r="F148" i="47"/>
  <c r="F140" i="47"/>
  <c r="F133" i="47"/>
  <c r="F95" i="108" s="1"/>
  <c r="F123" i="47"/>
  <c r="C429" i="42" s="1"/>
  <c r="F117" i="47"/>
  <c r="F110" i="47"/>
  <c r="F97" i="47"/>
  <c r="F75" i="47"/>
  <c r="C109" i="52" l="1" a="1"/>
  <c r="C109" i="52" s="1"/>
  <c r="S168" i="47"/>
  <c r="K479" i="42"/>
  <c r="K346" i="42"/>
  <c r="K353" i="42"/>
  <c r="K486" i="42"/>
  <c r="K347" i="42"/>
  <c r="K480" i="42"/>
  <c r="C345" i="42"/>
  <c r="K487" i="42"/>
  <c r="K354" i="42"/>
  <c r="K472" i="42"/>
  <c r="K339" i="42"/>
  <c r="K459" i="42"/>
  <c r="K326" i="42"/>
  <c r="K340" i="42"/>
  <c r="K473" i="42"/>
  <c r="K328" i="42"/>
  <c r="K461" i="42"/>
  <c r="K468" i="42"/>
  <c r="K335" i="42"/>
  <c r="K337" i="42"/>
  <c r="K470" i="42"/>
  <c r="T189" i="47"/>
  <c r="U187" i="47" s="1"/>
  <c r="F149" i="47"/>
  <c r="F94" i="108" s="1"/>
  <c r="F96" i="108" l="1"/>
  <c r="U188" i="47"/>
  <c r="C189" i="52" l="1"/>
  <c r="F226" i="52"/>
  <c r="F225" i="52"/>
  <c r="F224" i="52"/>
  <c r="F223" i="52"/>
  <c r="F221" i="52"/>
  <c r="F217" i="52"/>
  <c r="F216" i="52"/>
  <c r="F215" i="52"/>
  <c r="F214" i="52"/>
  <c r="F213" i="52"/>
  <c r="F212" i="52"/>
  <c r="F211" i="52"/>
  <c r="F209" i="52"/>
  <c r="F208" i="52"/>
  <c r="F207" i="52"/>
  <c r="F206" i="52"/>
  <c r="F205" i="52"/>
  <c r="F204" i="52"/>
  <c r="F203" i="52"/>
  <c r="F202" i="52"/>
  <c r="F201" i="52"/>
  <c r="AJ186" i="52"/>
  <c r="AJ228" i="52" s="1"/>
  <c r="AI186" i="52"/>
  <c r="AI228" i="52" s="1"/>
  <c r="AH186" i="52"/>
  <c r="AH228" i="52" s="1"/>
  <c r="AG186" i="52"/>
  <c r="AG228" i="52" s="1"/>
  <c r="AF186" i="52"/>
  <c r="AF228" i="52" s="1"/>
  <c r="AE186" i="52"/>
  <c r="AE228" i="52" s="1"/>
  <c r="AD186" i="52"/>
  <c r="AD228" i="52" s="1"/>
  <c r="AC186" i="52"/>
  <c r="AC228" i="52" s="1"/>
  <c r="AB186" i="52"/>
  <c r="AB228" i="52" s="1"/>
  <c r="AA186" i="52"/>
  <c r="AA228" i="52" s="1"/>
  <c r="Z186" i="52"/>
  <c r="Z228" i="52" s="1"/>
  <c r="Y186" i="52"/>
  <c r="Y228" i="52" s="1"/>
  <c r="X186" i="52"/>
  <c r="X228" i="52" s="1"/>
  <c r="W186" i="52"/>
  <c r="W228" i="52" s="1"/>
  <c r="V186" i="52"/>
  <c r="V228" i="52" s="1"/>
  <c r="U186" i="52"/>
  <c r="U228" i="52" s="1"/>
  <c r="T186" i="52"/>
  <c r="T228" i="52" s="1"/>
  <c r="S186" i="52"/>
  <c r="S228" i="52" s="1"/>
  <c r="R186" i="52"/>
  <c r="R228" i="52" s="1"/>
  <c r="Q186" i="52"/>
  <c r="Q228" i="52" s="1"/>
  <c r="P186" i="52"/>
  <c r="P228" i="52" s="1"/>
  <c r="O186" i="52"/>
  <c r="O228" i="52" s="1"/>
  <c r="N186" i="52"/>
  <c r="N228" i="52" s="1"/>
  <c r="M186" i="52"/>
  <c r="M228" i="52" s="1"/>
  <c r="K186" i="52"/>
  <c r="K228" i="52" s="1"/>
  <c r="J186" i="52"/>
  <c r="J228" i="52" s="1"/>
  <c r="I186" i="52"/>
  <c r="I228" i="52" s="1"/>
  <c r="H186" i="52"/>
  <c r="H228" i="52" s="1"/>
  <c r="E186" i="52"/>
  <c r="C192" i="52"/>
  <c r="C191" i="52"/>
  <c r="C190" i="52"/>
  <c r="C188" i="52"/>
  <c r="AJ177" i="52"/>
  <c r="AJ198" i="52" s="1"/>
  <c r="AJ219" i="52" s="1"/>
  <c r="AI177" i="52"/>
  <c r="AI198" i="52" s="1"/>
  <c r="AI219" i="52" s="1"/>
  <c r="AH177" i="52"/>
  <c r="AH198" i="52" s="1"/>
  <c r="AH219" i="52" s="1"/>
  <c r="AG177" i="52"/>
  <c r="AG198" i="52" s="1"/>
  <c r="AG219" i="52" s="1"/>
  <c r="AF177" i="52"/>
  <c r="AF198" i="52" s="1"/>
  <c r="AF219" i="52" s="1"/>
  <c r="AE177" i="52"/>
  <c r="AE198" i="52" s="1"/>
  <c r="AE219" i="52" s="1"/>
  <c r="AD177" i="52"/>
  <c r="AD198" i="52" s="1"/>
  <c r="AD219" i="52" s="1"/>
  <c r="AC177" i="52"/>
  <c r="AC198" i="52" s="1"/>
  <c r="AC219" i="52" s="1"/>
  <c r="AC229" i="52" s="1"/>
  <c r="AB177" i="52"/>
  <c r="AB198" i="52" s="1"/>
  <c r="AB219" i="52" s="1"/>
  <c r="AA177" i="52"/>
  <c r="AA198" i="52" s="1"/>
  <c r="AA219" i="52" s="1"/>
  <c r="Z177" i="52"/>
  <c r="Z198" i="52" s="1"/>
  <c r="Z219" i="52" s="1"/>
  <c r="Y177" i="52"/>
  <c r="Y198" i="52" s="1"/>
  <c r="Y219" i="52" s="1"/>
  <c r="X177" i="52"/>
  <c r="X198" i="52" s="1"/>
  <c r="X219" i="52" s="1"/>
  <c r="W177" i="52"/>
  <c r="W198" i="52" s="1"/>
  <c r="W219" i="52" s="1"/>
  <c r="V177" i="52"/>
  <c r="V198" i="52" s="1"/>
  <c r="V219" i="52" s="1"/>
  <c r="U177" i="52"/>
  <c r="U198" i="52" s="1"/>
  <c r="U219" i="52" s="1"/>
  <c r="T177" i="52"/>
  <c r="T198" i="52" s="1"/>
  <c r="T219" i="52" s="1"/>
  <c r="S177" i="52"/>
  <c r="S198" i="52" s="1"/>
  <c r="S219" i="52" s="1"/>
  <c r="R177" i="52"/>
  <c r="R198" i="52" s="1"/>
  <c r="R219" i="52" s="1"/>
  <c r="Q177" i="52"/>
  <c r="Q198" i="52" s="1"/>
  <c r="Q219" i="52" s="1"/>
  <c r="P177" i="52"/>
  <c r="P198" i="52" s="1"/>
  <c r="P219" i="52" s="1"/>
  <c r="O177" i="52"/>
  <c r="O198" i="52" s="1"/>
  <c r="O219" i="52" s="1"/>
  <c r="N177" i="52"/>
  <c r="N198" i="52" s="1"/>
  <c r="N219" i="52" s="1"/>
  <c r="M177" i="52"/>
  <c r="M198" i="52" s="1"/>
  <c r="M219" i="52" s="1"/>
  <c r="L177" i="52"/>
  <c r="L198" i="52" s="1"/>
  <c r="L219" i="52" s="1"/>
  <c r="K177" i="52"/>
  <c r="K198" i="52" s="1"/>
  <c r="K219" i="52" s="1"/>
  <c r="J177" i="52"/>
  <c r="J198" i="52" s="1"/>
  <c r="J219" i="52" s="1"/>
  <c r="I177" i="52"/>
  <c r="I198" i="52" s="1"/>
  <c r="I219" i="52" s="1"/>
  <c r="H177" i="52"/>
  <c r="H198" i="52" s="1"/>
  <c r="H219" i="52" s="1"/>
  <c r="G177" i="52"/>
  <c r="AJ170" i="52"/>
  <c r="AI170" i="52"/>
  <c r="AH170" i="52"/>
  <c r="AG170" i="52"/>
  <c r="AF170" i="52"/>
  <c r="AE170" i="52"/>
  <c r="AD170" i="52"/>
  <c r="AC170" i="52"/>
  <c r="AB170" i="52"/>
  <c r="AA170" i="52"/>
  <c r="Z170" i="52"/>
  <c r="Y170" i="52"/>
  <c r="X170" i="52"/>
  <c r="W170" i="52"/>
  <c r="V170" i="52"/>
  <c r="U170" i="52"/>
  <c r="T170" i="52"/>
  <c r="S170" i="52"/>
  <c r="R170" i="52"/>
  <c r="Q170" i="52"/>
  <c r="P170" i="52"/>
  <c r="O170" i="52"/>
  <c r="N170" i="52"/>
  <c r="M170" i="52"/>
  <c r="L170" i="52"/>
  <c r="K170" i="52"/>
  <c r="J170" i="52"/>
  <c r="I170" i="52"/>
  <c r="H170" i="52"/>
  <c r="G170" i="52"/>
  <c r="F169" i="52"/>
  <c r="F168" i="52"/>
  <c r="F167" i="52"/>
  <c r="F166" i="52"/>
  <c r="F165" i="52"/>
  <c r="F164" i="52"/>
  <c r="AJ161" i="52"/>
  <c r="AI161" i="52"/>
  <c r="AH161" i="52"/>
  <c r="AG161" i="52"/>
  <c r="AF161" i="52"/>
  <c r="AE161" i="52"/>
  <c r="AD161" i="52"/>
  <c r="AC161" i="52"/>
  <c r="AB161" i="52"/>
  <c r="AA161" i="52"/>
  <c r="Z161" i="52"/>
  <c r="Y161" i="52"/>
  <c r="X161" i="52"/>
  <c r="W161" i="52"/>
  <c r="V161" i="52"/>
  <c r="U161" i="52"/>
  <c r="T161" i="52"/>
  <c r="S161" i="52"/>
  <c r="R161" i="52"/>
  <c r="Q161" i="52"/>
  <c r="P161" i="52"/>
  <c r="O161" i="52"/>
  <c r="N161" i="52"/>
  <c r="M161" i="52"/>
  <c r="L161" i="52"/>
  <c r="K161" i="52"/>
  <c r="J161" i="52"/>
  <c r="I161" i="52"/>
  <c r="H161" i="52"/>
  <c r="G161" i="52"/>
  <c r="F160" i="52"/>
  <c r="F159" i="52"/>
  <c r="F158" i="52"/>
  <c r="F157" i="52"/>
  <c r="F156" i="52"/>
  <c r="F155" i="52"/>
  <c r="F154" i="52"/>
  <c r="F153" i="52"/>
  <c r="F152" i="52"/>
  <c r="F151" i="52"/>
  <c r="F150" i="52"/>
  <c r="F149" i="52"/>
  <c r="F148" i="52"/>
  <c r="AJ145" i="52"/>
  <c r="AI145" i="52"/>
  <c r="AH145" i="52"/>
  <c r="AG145" i="52"/>
  <c r="AF145" i="52"/>
  <c r="AE145" i="52"/>
  <c r="AD145" i="52"/>
  <c r="AC145" i="52"/>
  <c r="AB145" i="52"/>
  <c r="AA145" i="52"/>
  <c r="Z145" i="52"/>
  <c r="Y145" i="52"/>
  <c r="X145" i="52"/>
  <c r="W145" i="52"/>
  <c r="V145" i="52"/>
  <c r="U145" i="52"/>
  <c r="T145" i="52"/>
  <c r="S145" i="52"/>
  <c r="R145" i="52"/>
  <c r="Q145" i="52"/>
  <c r="P145" i="52"/>
  <c r="O145" i="52"/>
  <c r="N145" i="52"/>
  <c r="M145" i="52"/>
  <c r="L145" i="52"/>
  <c r="K145" i="52"/>
  <c r="J145" i="52"/>
  <c r="I145" i="52"/>
  <c r="H145" i="52"/>
  <c r="G145" i="52"/>
  <c r="F144" i="52"/>
  <c r="F143" i="52"/>
  <c r="F142" i="52"/>
  <c r="F141" i="52"/>
  <c r="F140" i="52"/>
  <c r="F139" i="52"/>
  <c r="AJ137" i="52"/>
  <c r="AI137" i="52"/>
  <c r="AH137" i="52"/>
  <c r="AG137" i="52"/>
  <c r="AF137" i="52"/>
  <c r="AE137" i="52"/>
  <c r="AD137" i="52"/>
  <c r="AC137" i="52"/>
  <c r="AB137" i="52"/>
  <c r="AA137" i="52"/>
  <c r="AA146" i="52" s="1"/>
  <c r="Z137" i="52"/>
  <c r="Y137" i="52"/>
  <c r="X137" i="52"/>
  <c r="W137" i="52"/>
  <c r="V137" i="52"/>
  <c r="U137" i="52"/>
  <c r="T137" i="52"/>
  <c r="S137" i="52"/>
  <c r="R137" i="52"/>
  <c r="Q137" i="52"/>
  <c r="Q146" i="52" s="1"/>
  <c r="P137" i="52"/>
  <c r="O137" i="52"/>
  <c r="N137" i="52"/>
  <c r="M137" i="52"/>
  <c r="L137" i="52"/>
  <c r="K137" i="52"/>
  <c r="J137" i="52"/>
  <c r="I137" i="52"/>
  <c r="I146" i="52" s="1"/>
  <c r="H137" i="52"/>
  <c r="G137" i="52"/>
  <c r="F136" i="52"/>
  <c r="F135" i="52"/>
  <c r="F134" i="52"/>
  <c r="F133" i="52"/>
  <c r="AJ130" i="52"/>
  <c r="AI130" i="52"/>
  <c r="AH130" i="52"/>
  <c r="AG130" i="52"/>
  <c r="AF130" i="52"/>
  <c r="AE130" i="52"/>
  <c r="AD130" i="52"/>
  <c r="AC130" i="52"/>
  <c r="AB130" i="52"/>
  <c r="AA130" i="52"/>
  <c r="Z130" i="52"/>
  <c r="Y130" i="52"/>
  <c r="X130" i="52"/>
  <c r="W130" i="52"/>
  <c r="V130" i="52"/>
  <c r="U130" i="52"/>
  <c r="T130" i="52"/>
  <c r="S130" i="52"/>
  <c r="R130" i="52"/>
  <c r="Q130" i="52"/>
  <c r="P130" i="52"/>
  <c r="O130" i="52"/>
  <c r="N130" i="52"/>
  <c r="M130" i="52"/>
  <c r="L130" i="52"/>
  <c r="K130" i="52"/>
  <c r="J130" i="52"/>
  <c r="I130" i="52"/>
  <c r="H130" i="52"/>
  <c r="G130" i="52"/>
  <c r="F129" i="52"/>
  <c r="F128" i="52"/>
  <c r="F127" i="52"/>
  <c r="F126" i="52"/>
  <c r="F125" i="52"/>
  <c r="F124" i="52"/>
  <c r="F123" i="52"/>
  <c r="F122"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19" i="52"/>
  <c r="F118" i="52"/>
  <c r="F117" i="52"/>
  <c r="F116"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3" i="52"/>
  <c r="F112" i="52"/>
  <c r="F111" i="52"/>
  <c r="F110" i="52"/>
  <c r="F109"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6" i="52"/>
  <c r="F105" i="52"/>
  <c r="F104" i="52"/>
  <c r="F103" i="52"/>
  <c r="F102" i="52"/>
  <c r="F101" i="52"/>
  <c r="F100" i="52"/>
  <c r="F99" i="52"/>
  <c r="F98" i="52"/>
  <c r="F94" i="52"/>
  <c r="F93" i="52"/>
  <c r="F92" i="52"/>
  <c r="F91" i="52"/>
  <c r="F90" i="52"/>
  <c r="F89" i="52"/>
  <c r="F88" i="52"/>
  <c r="F87" i="52"/>
  <c r="F86" i="52"/>
  <c r="F85" i="52"/>
  <c r="F82" i="52"/>
  <c r="F81" i="52"/>
  <c r="F80" i="52"/>
  <c r="F79" i="52"/>
  <c r="F77" i="52"/>
  <c r="F76" i="52"/>
  <c r="F75"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2" i="52"/>
  <c r="F73" i="52" s="1"/>
  <c r="AJ70" i="52"/>
  <c r="AI70" i="52"/>
  <c r="AH70" i="52"/>
  <c r="AG70" i="52"/>
  <c r="AF70" i="52"/>
  <c r="AE70" i="52"/>
  <c r="AD70" i="52"/>
  <c r="AC70" i="52"/>
  <c r="AB70" i="52"/>
  <c r="AA70" i="52"/>
  <c r="Z70" i="52"/>
  <c r="Y70" i="52"/>
  <c r="X70" i="52"/>
  <c r="W70" i="52"/>
  <c r="V70" i="52"/>
  <c r="U70" i="52"/>
  <c r="T70" i="52"/>
  <c r="S70" i="52"/>
  <c r="R70" i="52"/>
  <c r="Q70" i="52"/>
  <c r="P70" i="52"/>
  <c r="O70" i="52"/>
  <c r="N70" i="52"/>
  <c r="M70" i="52"/>
  <c r="L70" i="52"/>
  <c r="K70" i="52"/>
  <c r="J70" i="52"/>
  <c r="I70" i="52"/>
  <c r="H70" i="52"/>
  <c r="G70" i="52"/>
  <c r="F69" i="52"/>
  <c r="F68" i="52"/>
  <c r="F67" i="52"/>
  <c r="F66" i="52"/>
  <c r="F65" i="52"/>
  <c r="F64" i="52"/>
  <c r="F63" i="52"/>
  <c r="AJ60" i="52"/>
  <c r="AI60" i="52"/>
  <c r="AH60" i="52"/>
  <c r="AG60" i="52"/>
  <c r="AF60" i="52"/>
  <c r="AE60" i="52"/>
  <c r="AD60" i="52"/>
  <c r="AC60" i="52"/>
  <c r="AB60" i="52"/>
  <c r="AA60" i="52"/>
  <c r="Z60" i="52"/>
  <c r="Y60" i="52"/>
  <c r="X60" i="52"/>
  <c r="W59" i="52"/>
  <c r="W60" i="52" s="1"/>
  <c r="V59" i="52"/>
  <c r="T59" i="52"/>
  <c r="S59" i="52"/>
  <c r="R59" i="52"/>
  <c r="P59" i="52"/>
  <c r="O59" i="52"/>
  <c r="N59" i="52"/>
  <c r="L59" i="52"/>
  <c r="K59" i="52"/>
  <c r="J59" i="52"/>
  <c r="H59" i="52"/>
  <c r="G59" i="52"/>
  <c r="U59" i="52"/>
  <c r="V58" i="52"/>
  <c r="T58" i="52"/>
  <c r="R58" i="52"/>
  <c r="P58" i="52"/>
  <c r="N58" i="52"/>
  <c r="L58" i="52"/>
  <c r="J58" i="52"/>
  <c r="H58" i="52"/>
  <c r="U58" i="52"/>
  <c r="W54" i="52"/>
  <c r="S54" i="52"/>
  <c r="O54" i="52"/>
  <c r="K54" i="52"/>
  <c r="G54" i="52"/>
  <c r="V54" i="52"/>
  <c r="F53" i="52"/>
  <c r="S52" i="52"/>
  <c r="O52" i="52"/>
  <c r="K52" i="52"/>
  <c r="G52" i="52"/>
  <c r="V52" i="52"/>
  <c r="V51" i="52"/>
  <c r="T51" i="52"/>
  <c r="R51" i="52"/>
  <c r="P51" i="52"/>
  <c r="N51" i="52"/>
  <c r="L51" i="52"/>
  <c r="J51" i="52"/>
  <c r="H51" i="52"/>
  <c r="U51" i="52"/>
  <c r="T50" i="52"/>
  <c r="S49" i="52"/>
  <c r="O49" i="52"/>
  <c r="K49" i="52"/>
  <c r="G49" i="52"/>
  <c r="V49" i="52"/>
  <c r="F45" i="52"/>
  <c r="F44" i="52"/>
  <c r="F43" i="52"/>
  <c r="F42" i="52"/>
  <c r="F41" i="52"/>
  <c r="F40" i="52"/>
  <c r="F39" i="52"/>
  <c r="F36" i="52"/>
  <c r="F35" i="52"/>
  <c r="F34" i="52"/>
  <c r="F33" i="52"/>
  <c r="F32" i="52"/>
  <c r="F31" i="52"/>
  <c r="F28" i="52"/>
  <c r="F26" i="52"/>
  <c r="F18" i="52"/>
  <c r="F17" i="52"/>
  <c r="F16" i="52"/>
  <c r="F15" i="52"/>
  <c r="AJ13" i="52"/>
  <c r="AJ245" i="52" s="1"/>
  <c r="AI13" i="52"/>
  <c r="AI245" i="52" s="1"/>
  <c r="AH13" i="52"/>
  <c r="AH245" i="52" s="1"/>
  <c r="AG13" i="52"/>
  <c r="AG245" i="52" s="1"/>
  <c r="AF13" i="52"/>
  <c r="AF245" i="52" s="1"/>
  <c r="AE13" i="52"/>
  <c r="AE245" i="52" s="1"/>
  <c r="AD13" i="52"/>
  <c r="AD245" i="52" s="1"/>
  <c r="AC13" i="52"/>
  <c r="AC245" i="52" s="1"/>
  <c r="AB13" i="52"/>
  <c r="AB245" i="52" s="1"/>
  <c r="AA13" i="52"/>
  <c r="AA245" i="52" s="1"/>
  <c r="Z13" i="52"/>
  <c r="Z245" i="52" s="1"/>
  <c r="Y13" i="52"/>
  <c r="Y245" i="52" s="1"/>
  <c r="X13" i="52"/>
  <c r="X245" i="52" s="1"/>
  <c r="W13" i="52"/>
  <c r="W245" i="52" s="1"/>
  <c r="V13" i="52"/>
  <c r="V245" i="52" s="1"/>
  <c r="U13" i="52"/>
  <c r="U245" i="52" s="1"/>
  <c r="T13" i="52"/>
  <c r="T245" i="52" s="1"/>
  <c r="S13" i="52"/>
  <c r="S245" i="52" s="1"/>
  <c r="R13" i="52"/>
  <c r="R245" i="52" s="1"/>
  <c r="Q13" i="52"/>
  <c r="Q245" i="52" s="1"/>
  <c r="P13" i="52"/>
  <c r="P245" i="52" s="1"/>
  <c r="O13" i="52"/>
  <c r="O245" i="52" s="1"/>
  <c r="N13" i="52"/>
  <c r="N245" i="52" s="1"/>
  <c r="M13" i="52"/>
  <c r="M245" i="52" s="1"/>
  <c r="L13" i="52"/>
  <c r="L245" i="52" s="1"/>
  <c r="K13" i="52"/>
  <c r="K245" i="52" s="1"/>
  <c r="J13" i="52"/>
  <c r="J245" i="52" s="1"/>
  <c r="I13" i="52"/>
  <c r="I245" i="52" s="1"/>
  <c r="H13" i="52"/>
  <c r="H245" i="52" s="1"/>
  <c r="G13" i="52"/>
  <c r="G245" i="52" s="1"/>
  <c r="G12" i="52"/>
  <c r="H12" i="52" s="1"/>
  <c r="I12" i="52" s="1"/>
  <c r="J12" i="52" s="1"/>
  <c r="K12" i="52" s="1"/>
  <c r="L12" i="52" s="1"/>
  <c r="M12" i="52" s="1"/>
  <c r="N12" i="52" s="1"/>
  <c r="O12" i="52" s="1"/>
  <c r="P12" i="52" s="1"/>
  <c r="Q12" i="52" s="1"/>
  <c r="R12" i="52" s="1"/>
  <c r="S12" i="52" s="1"/>
  <c r="T12" i="52" s="1"/>
  <c r="U12" i="52" s="1"/>
  <c r="V12" i="52" s="1"/>
  <c r="W12" i="52" s="1"/>
  <c r="X12" i="52" s="1"/>
  <c r="Y12" i="52" s="1"/>
  <c r="Z12" i="52" s="1"/>
  <c r="AA12" i="52" s="1"/>
  <c r="AB12" i="52" s="1"/>
  <c r="AC12" i="52" s="1"/>
  <c r="AD12" i="52" s="1"/>
  <c r="AE12" i="52" s="1"/>
  <c r="AF12" i="52" s="1"/>
  <c r="AG12" i="52" s="1"/>
  <c r="AH12" i="52" s="1"/>
  <c r="AI12" i="52" s="1"/>
  <c r="AJ12" i="52" s="1"/>
  <c r="F66" i="49"/>
  <c r="G66" i="49" s="1"/>
  <c r="H66" i="49" s="1"/>
  <c r="I66" i="49" s="1"/>
  <c r="J66" i="49" s="1"/>
  <c r="K66" i="49" s="1"/>
  <c r="L66" i="49" s="1"/>
  <c r="M66" i="49" s="1"/>
  <c r="N66" i="49" s="1"/>
  <c r="O66" i="49" s="1"/>
  <c r="P66" i="49" s="1"/>
  <c r="Q66" i="49" s="1"/>
  <c r="R66" i="49" s="1"/>
  <c r="S66" i="49" s="1"/>
  <c r="T66" i="49" s="1"/>
  <c r="U66" i="49" s="1"/>
  <c r="V66" i="49" s="1"/>
  <c r="W66" i="49" s="1"/>
  <c r="X66" i="49" s="1"/>
  <c r="Y66" i="49" s="1"/>
  <c r="Z66" i="49" s="1"/>
  <c r="AA66" i="49" s="1"/>
  <c r="AB66" i="49" s="1"/>
  <c r="AC66" i="49" s="1"/>
  <c r="AD66" i="49" s="1"/>
  <c r="AE66" i="49" s="1"/>
  <c r="AF66" i="49" s="1"/>
  <c r="AG66" i="49" s="1"/>
  <c r="AH66" i="49" s="1"/>
  <c r="AI66" i="49" s="1"/>
  <c r="AJ66" i="49" s="1"/>
  <c r="AK66" i="49" s="1"/>
  <c r="AL66" i="49" s="1"/>
  <c r="D21" i="49"/>
  <c r="D20" i="49"/>
  <c r="E65" i="49" s="1"/>
  <c r="F65" i="49" s="1"/>
  <c r="G65" i="49" s="1"/>
  <c r="H65" i="49" s="1"/>
  <c r="I65" i="49" s="1"/>
  <c r="J65" i="49" s="1"/>
  <c r="K65" i="49" s="1"/>
  <c r="L65" i="49" s="1"/>
  <c r="M65" i="49" s="1"/>
  <c r="N65" i="49" s="1"/>
  <c r="O65" i="49" s="1"/>
  <c r="P65" i="49" s="1"/>
  <c r="Q65" i="49" s="1"/>
  <c r="R65" i="49" s="1"/>
  <c r="S65" i="49" s="1"/>
  <c r="T65" i="49" s="1"/>
  <c r="U65" i="49" s="1"/>
  <c r="V65" i="49" s="1"/>
  <c r="W65" i="49" s="1"/>
  <c r="X65" i="49" s="1"/>
  <c r="Y65" i="49" s="1"/>
  <c r="Z65" i="49" s="1"/>
  <c r="AA65" i="49" s="1"/>
  <c r="AB65" i="49" s="1"/>
  <c r="AC65" i="49" s="1"/>
  <c r="AD65" i="49" s="1"/>
  <c r="AE65" i="49" s="1"/>
  <c r="AF65" i="49" s="1"/>
  <c r="AG65" i="49" s="1"/>
  <c r="AH65" i="49" s="1"/>
  <c r="AI65" i="49" s="1"/>
  <c r="AJ65" i="49" s="1"/>
  <c r="AK65" i="49" s="1"/>
  <c r="AL65" i="49" s="1"/>
  <c r="I13" i="49"/>
  <c r="D85" i="48"/>
  <c r="G82" i="108" s="1"/>
  <c r="F59" i="48"/>
  <c r="D59" i="48" s="1"/>
  <c r="F49" i="48"/>
  <c r="D49" i="48" s="1"/>
  <c r="G80" i="108" s="1"/>
  <c r="D36" i="48"/>
  <c r="G79" i="108" s="1"/>
  <c r="D28" i="48"/>
  <c r="D12" i="48"/>
  <c r="G76" i="108" s="1"/>
  <c r="P20" i="46"/>
  <c r="P19" i="46"/>
  <c r="P18" i="46"/>
  <c r="P16" i="46"/>
  <c r="P15" i="46"/>
  <c r="P14" i="46"/>
  <c r="P13" i="46"/>
  <c r="P12" i="46"/>
  <c r="P11" i="46"/>
  <c r="D80" i="49" l="1"/>
  <c r="E80" i="49" s="1"/>
  <c r="F80" i="49" s="1"/>
  <c r="G80" i="49" s="1"/>
  <c r="H80" i="49" s="1"/>
  <c r="I80" i="49" s="1"/>
  <c r="J80" i="49" s="1"/>
  <c r="K80" i="49" s="1"/>
  <c r="L80" i="49" s="1"/>
  <c r="M80" i="49" s="1"/>
  <c r="N80" i="49" s="1"/>
  <c r="O80" i="49" s="1"/>
  <c r="P80" i="49" s="1"/>
  <c r="Q80" i="49" s="1"/>
  <c r="R80" i="49" s="1"/>
  <c r="S80" i="49" s="1"/>
  <c r="T80" i="49" s="1"/>
  <c r="U80" i="49" s="1"/>
  <c r="V80" i="49" s="1"/>
  <c r="W80" i="49" s="1"/>
  <c r="X80" i="49" s="1"/>
  <c r="Y80" i="49" s="1"/>
  <c r="Z80" i="49" s="1"/>
  <c r="AA80" i="49" s="1"/>
  <c r="AB80" i="49" s="1"/>
  <c r="AC80" i="49" s="1"/>
  <c r="AD80" i="49" s="1"/>
  <c r="AE80" i="49" s="1"/>
  <c r="AF80" i="49" s="1"/>
  <c r="AG80" i="49" s="1"/>
  <c r="AH80" i="49" s="1"/>
  <c r="AI80" i="49" s="1"/>
  <c r="AJ80" i="49" s="1"/>
  <c r="AK80" i="49" s="1"/>
  <c r="AL80" i="49" s="1"/>
  <c r="D81" i="49"/>
  <c r="E81" i="49" s="1"/>
  <c r="F81" i="49" s="1"/>
  <c r="G81" i="49" s="1"/>
  <c r="H81" i="49" s="1"/>
  <c r="I81" i="49" s="1"/>
  <c r="J81" i="49" s="1"/>
  <c r="K81" i="49" s="1"/>
  <c r="L81" i="49" s="1"/>
  <c r="M81" i="49" s="1"/>
  <c r="N81" i="49" s="1"/>
  <c r="O81" i="49" s="1"/>
  <c r="P81" i="49" s="1"/>
  <c r="Q81" i="49" s="1"/>
  <c r="R81" i="49" s="1"/>
  <c r="S81" i="49" s="1"/>
  <c r="T81" i="49" s="1"/>
  <c r="U81" i="49" s="1"/>
  <c r="V81" i="49" s="1"/>
  <c r="W81" i="49" s="1"/>
  <c r="X81" i="49" s="1"/>
  <c r="Y81" i="49" s="1"/>
  <c r="Z81" i="49" s="1"/>
  <c r="AA81" i="49" s="1"/>
  <c r="AB81" i="49" s="1"/>
  <c r="AC81" i="49" s="1"/>
  <c r="AD81" i="49" s="1"/>
  <c r="AE81" i="49" s="1"/>
  <c r="AF81" i="49" s="1"/>
  <c r="AG81" i="49" s="1"/>
  <c r="AH81" i="49" s="1"/>
  <c r="AI81" i="49" s="1"/>
  <c r="AJ81" i="49" s="1"/>
  <c r="AK81" i="49" s="1"/>
  <c r="AL81" i="49" s="1"/>
  <c r="D76" i="49"/>
  <c r="E76" i="49" s="1"/>
  <c r="F76" i="49" s="1"/>
  <c r="G76" i="49" s="1"/>
  <c r="H76" i="49" s="1"/>
  <c r="I76" i="49" s="1"/>
  <c r="J76" i="49" s="1"/>
  <c r="K76" i="49" s="1"/>
  <c r="L76" i="49" s="1"/>
  <c r="M76" i="49" s="1"/>
  <c r="N76" i="49" s="1"/>
  <c r="O76" i="49" s="1"/>
  <c r="P76" i="49" s="1"/>
  <c r="Q76" i="49" s="1"/>
  <c r="R76" i="49" s="1"/>
  <c r="S76" i="49" s="1"/>
  <c r="T76" i="49" s="1"/>
  <c r="U76" i="49" s="1"/>
  <c r="V76" i="49" s="1"/>
  <c r="W76" i="49" s="1"/>
  <c r="X76" i="49" s="1"/>
  <c r="Y76" i="49" s="1"/>
  <c r="Z76" i="49" s="1"/>
  <c r="AA76" i="49" s="1"/>
  <c r="AB76" i="49" s="1"/>
  <c r="AC76" i="49" s="1"/>
  <c r="AD76" i="49" s="1"/>
  <c r="AE76" i="49" s="1"/>
  <c r="AF76" i="49" s="1"/>
  <c r="AG76" i="49" s="1"/>
  <c r="AH76" i="49" s="1"/>
  <c r="AI76" i="49" s="1"/>
  <c r="AJ76" i="49" s="1"/>
  <c r="AK76" i="49" s="1"/>
  <c r="AL76" i="49" s="1"/>
  <c r="G198" i="52"/>
  <c r="G219" i="52" s="1"/>
  <c r="E167" i="49"/>
  <c r="F88" i="48"/>
  <c r="L25" i="46"/>
  <c r="H146" i="52"/>
  <c r="M146" i="52"/>
  <c r="O146" i="52"/>
  <c r="P146" i="52"/>
  <c r="W146" i="52"/>
  <c r="G528" i="42"/>
  <c r="V146" i="52"/>
  <c r="J146" i="52"/>
  <c r="R146" i="52"/>
  <c r="Z146" i="52"/>
  <c r="AH146" i="52"/>
  <c r="G524" i="42"/>
  <c r="D74" i="49"/>
  <c r="E74" i="49" s="1"/>
  <c r="F74" i="49" s="1"/>
  <c r="G74" i="49" s="1"/>
  <c r="H74" i="49" s="1"/>
  <c r="I74" i="49" s="1"/>
  <c r="J74" i="49" s="1"/>
  <c r="K74" i="49" s="1"/>
  <c r="L74" i="49" s="1"/>
  <c r="M74" i="49" s="1"/>
  <c r="N74" i="49" s="1"/>
  <c r="O74" i="49" s="1"/>
  <c r="P74" i="49" s="1"/>
  <c r="Q74" i="49" s="1"/>
  <c r="R74" i="49" s="1"/>
  <c r="S74" i="49" s="1"/>
  <c r="T74" i="49" s="1"/>
  <c r="U74" i="49" s="1"/>
  <c r="V74" i="49" s="1"/>
  <c r="W74" i="49" s="1"/>
  <c r="X74" i="49" s="1"/>
  <c r="Y74" i="49" s="1"/>
  <c r="Z74" i="49" s="1"/>
  <c r="AA74" i="49" s="1"/>
  <c r="G525" i="42"/>
  <c r="E75" i="49"/>
  <c r="F75" i="49" s="1"/>
  <c r="G75" i="49" s="1"/>
  <c r="H75" i="49" s="1"/>
  <c r="I75" i="49" s="1"/>
  <c r="J75" i="49" s="1"/>
  <c r="K75" i="49" s="1"/>
  <c r="L75" i="49" s="1"/>
  <c r="M75" i="49" s="1"/>
  <c r="N75" i="49" s="1"/>
  <c r="O75" i="49" s="1"/>
  <c r="P75" i="49" s="1"/>
  <c r="Q75" i="49" s="1"/>
  <c r="R75" i="49" s="1"/>
  <c r="S75" i="49" s="1"/>
  <c r="T75" i="49" s="1"/>
  <c r="U75" i="49" s="1"/>
  <c r="V75" i="49" s="1"/>
  <c r="W75" i="49" s="1"/>
  <c r="X75" i="49" s="1"/>
  <c r="Y75" i="49" s="1"/>
  <c r="Z75" i="49" s="1"/>
  <c r="G526" i="42"/>
  <c r="D77" i="49"/>
  <c r="E77" i="49" s="1"/>
  <c r="F77" i="49" s="1"/>
  <c r="G77" i="49" s="1"/>
  <c r="H77" i="49" s="1"/>
  <c r="I77" i="49" s="1"/>
  <c r="J77" i="49" s="1"/>
  <c r="K77" i="49" s="1"/>
  <c r="L77" i="49" s="1"/>
  <c r="M77" i="49" s="1"/>
  <c r="N77" i="49" s="1"/>
  <c r="O77" i="49" s="1"/>
  <c r="P77" i="49" s="1"/>
  <c r="Q77" i="49" s="1"/>
  <c r="R77" i="49" s="1"/>
  <c r="S77" i="49" s="1"/>
  <c r="T77" i="49" s="1"/>
  <c r="U77" i="49" s="1"/>
  <c r="V77" i="49" s="1"/>
  <c r="W77" i="49" s="1"/>
  <c r="X77" i="49" s="1"/>
  <c r="Y77" i="49" s="1"/>
  <c r="Z77" i="49" s="1"/>
  <c r="AA77" i="49" s="1"/>
  <c r="AB77" i="49" s="1"/>
  <c r="AC77" i="49" s="1"/>
  <c r="AD77" i="49" s="1"/>
  <c r="AE77" i="49" s="1"/>
  <c r="AF77" i="49" s="1"/>
  <c r="AG77" i="49" s="1"/>
  <c r="AH77" i="49" s="1"/>
  <c r="AI77" i="49" s="1"/>
  <c r="AJ77" i="49" s="1"/>
  <c r="AK77" i="49" s="1"/>
  <c r="AL77" i="49" s="1"/>
  <c r="G527" i="42"/>
  <c r="D78" i="49"/>
  <c r="E78" i="49" s="1"/>
  <c r="F78" i="49" s="1"/>
  <c r="G78" i="49" s="1"/>
  <c r="H78" i="49" s="1"/>
  <c r="I78" i="49" s="1"/>
  <c r="J78" i="49" s="1"/>
  <c r="K78" i="49" s="1"/>
  <c r="L78" i="49" s="1"/>
  <c r="M78" i="49" s="1"/>
  <c r="N78" i="49" s="1"/>
  <c r="O78" i="49" s="1"/>
  <c r="P78" i="49" s="1"/>
  <c r="Q78" i="49" s="1"/>
  <c r="R78" i="49" s="1"/>
  <c r="S78" i="49" s="1"/>
  <c r="T78" i="49" s="1"/>
  <c r="U78" i="49" s="1"/>
  <c r="V78" i="49" s="1"/>
  <c r="W78" i="49" s="1"/>
  <c r="X78" i="49" s="1"/>
  <c r="Y78" i="49" s="1"/>
  <c r="Z78" i="49" s="1"/>
  <c r="AA78" i="49" s="1"/>
  <c r="AB78" i="49" s="1"/>
  <c r="AC78" i="49" s="1"/>
  <c r="AD78" i="49" s="1"/>
  <c r="AE78" i="49" s="1"/>
  <c r="AF78" i="49" s="1"/>
  <c r="AG78" i="49" s="1"/>
  <c r="AH78" i="49" s="1"/>
  <c r="AI78" i="49" s="1"/>
  <c r="AJ78" i="49" s="1"/>
  <c r="AK78" i="49" s="1"/>
  <c r="AL78" i="49" s="1"/>
  <c r="AD56" i="52"/>
  <c r="G146" i="52"/>
  <c r="N60" i="52"/>
  <c r="U60" i="52"/>
  <c r="P60" i="52"/>
  <c r="F37" i="52"/>
  <c r="O229" i="52"/>
  <c r="F120" i="52"/>
  <c r="F137" i="52"/>
  <c r="AE56" i="52"/>
  <c r="J60" i="52"/>
  <c r="R60" i="52"/>
  <c r="AF56" i="52"/>
  <c r="H60" i="52"/>
  <c r="AG146" i="52"/>
  <c r="F19" i="52"/>
  <c r="AG56" i="52"/>
  <c r="T60" i="52"/>
  <c r="F47" i="52"/>
  <c r="Z56" i="52"/>
  <c r="AH56" i="52"/>
  <c r="AE146" i="52"/>
  <c r="K146" i="52"/>
  <c r="S146" i="52"/>
  <c r="X229" i="52"/>
  <c r="AA56" i="52"/>
  <c r="AI56" i="52"/>
  <c r="L60" i="52"/>
  <c r="F114" i="52"/>
  <c r="L146" i="52"/>
  <c r="AB56" i="52"/>
  <c r="F107" i="52"/>
  <c r="AJ56" i="52"/>
  <c r="AC56" i="52"/>
  <c r="N146" i="52"/>
  <c r="AD146" i="52"/>
  <c r="G529" i="42"/>
  <c r="C602" i="42"/>
  <c r="D602" i="42" s="1"/>
  <c r="Q11" i="46"/>
  <c r="AG229" i="52"/>
  <c r="I50" i="52"/>
  <c r="U50" i="52"/>
  <c r="H49" i="52"/>
  <c r="L49" i="52"/>
  <c r="P49" i="52"/>
  <c r="T49" i="52"/>
  <c r="J50" i="52"/>
  <c r="N50" i="52"/>
  <c r="R50" i="52"/>
  <c r="V50" i="52"/>
  <c r="G51" i="52"/>
  <c r="K51" i="52"/>
  <c r="O51" i="52"/>
  <c r="S51" i="52"/>
  <c r="W51" i="52"/>
  <c r="H52" i="52"/>
  <c r="L52" i="52"/>
  <c r="P52" i="52"/>
  <c r="T52" i="52"/>
  <c r="H54" i="52"/>
  <c r="L54" i="52"/>
  <c r="P54" i="52"/>
  <c r="T54" i="52"/>
  <c r="X54" i="52"/>
  <c r="G58" i="52"/>
  <c r="K58" i="52"/>
  <c r="K60" i="52" s="1"/>
  <c r="O58" i="52"/>
  <c r="O60" i="52" s="1"/>
  <c r="S58" i="52"/>
  <c r="S60" i="52" s="1"/>
  <c r="I59" i="52"/>
  <c r="M59" i="52"/>
  <c r="Q59" i="52"/>
  <c r="Q229" i="52"/>
  <c r="I49" i="52"/>
  <c r="M49" i="52"/>
  <c r="Q49" i="52"/>
  <c r="U49" i="52"/>
  <c r="G50" i="52"/>
  <c r="K50" i="52"/>
  <c r="K55" i="52" s="1"/>
  <c r="O50" i="52"/>
  <c r="S50" i="52"/>
  <c r="W50" i="52"/>
  <c r="I52" i="52"/>
  <c r="M52" i="52"/>
  <c r="Q52" i="52"/>
  <c r="U52" i="52"/>
  <c r="I54" i="52"/>
  <c r="M54" i="52"/>
  <c r="Q54" i="52"/>
  <c r="U54" i="52"/>
  <c r="Y54" i="52"/>
  <c r="V60" i="52"/>
  <c r="F95" i="52"/>
  <c r="I229" i="52"/>
  <c r="M229" i="52"/>
  <c r="U229" i="52"/>
  <c r="Y229" i="52"/>
  <c r="K229" i="52"/>
  <c r="AA229" i="52"/>
  <c r="M50" i="52"/>
  <c r="Q50" i="52"/>
  <c r="J49" i="52"/>
  <c r="N49" i="52"/>
  <c r="R49" i="52"/>
  <c r="H50" i="52"/>
  <c r="L50" i="52"/>
  <c r="P50" i="52"/>
  <c r="I51" i="52"/>
  <c r="M51" i="52"/>
  <c r="Q51" i="52"/>
  <c r="J52" i="52"/>
  <c r="N52" i="52"/>
  <c r="R52" i="52"/>
  <c r="J54" i="52"/>
  <c r="N54" i="52"/>
  <c r="R54" i="52"/>
  <c r="I58" i="52"/>
  <c r="M58" i="52"/>
  <c r="Q58" i="52"/>
  <c r="F70" i="52"/>
  <c r="G96" i="52"/>
  <c r="F130" i="52"/>
  <c r="F145" i="52"/>
  <c r="U146" i="52"/>
  <c r="Y146" i="52"/>
  <c r="AC146" i="52"/>
  <c r="J229" i="52"/>
  <c r="N229" i="52"/>
  <c r="R229" i="52"/>
  <c r="Z229" i="52"/>
  <c r="AD229" i="52"/>
  <c r="AH229" i="52"/>
  <c r="AE229" i="52"/>
  <c r="F200" i="52"/>
  <c r="S229" i="52"/>
  <c r="AI146" i="52"/>
  <c r="F170" i="52"/>
  <c r="AI229" i="52"/>
  <c r="L229" i="52"/>
  <c r="G229" i="52"/>
  <c r="T146" i="52"/>
  <c r="X146" i="52"/>
  <c r="AB146" i="52"/>
  <c r="AF146" i="52"/>
  <c r="AJ146" i="52"/>
  <c r="F161" i="52"/>
  <c r="H229" i="52"/>
  <c r="P229" i="52"/>
  <c r="T229" i="52"/>
  <c r="AB229" i="52"/>
  <c r="AF229" i="52"/>
  <c r="AJ229" i="52"/>
  <c r="W229" i="52"/>
  <c r="G186" i="52"/>
  <c r="G228" i="52" s="1"/>
  <c r="G231" i="52" s="1"/>
  <c r="H231" i="52" s="1"/>
  <c r="I231" i="52" s="1"/>
  <c r="J231" i="52" s="1"/>
  <c r="K231" i="52" s="1"/>
  <c r="L186" i="52"/>
  <c r="L228" i="52" s="1"/>
  <c r="V229" i="52"/>
  <c r="D88" i="48"/>
  <c r="G84" i="108" s="1"/>
  <c r="F129" i="45"/>
  <c r="K113" i="45"/>
  <c r="J113" i="45"/>
  <c r="K112" i="45"/>
  <c r="J112" i="45"/>
  <c r="K111" i="45"/>
  <c r="J111" i="45"/>
  <c r="K110" i="45"/>
  <c r="J110" i="45"/>
  <c r="K109" i="45"/>
  <c r="J109" i="45"/>
  <c r="K108" i="45"/>
  <c r="J108" i="45"/>
  <c r="K107" i="45"/>
  <c r="J107" i="45"/>
  <c r="K106" i="45"/>
  <c r="J106" i="45"/>
  <c r="K105" i="45"/>
  <c r="J105" i="45"/>
  <c r="K104" i="45"/>
  <c r="J104" i="45"/>
  <c r="P98" i="45"/>
  <c r="O98" i="45"/>
  <c r="M98" i="45"/>
  <c r="P97" i="45"/>
  <c r="O97" i="45"/>
  <c r="M97" i="45"/>
  <c r="P96" i="45"/>
  <c r="O96" i="45"/>
  <c r="M96" i="45"/>
  <c r="BE65" i="45"/>
  <c r="AY65" i="45"/>
  <c r="AZ65" i="45" s="1"/>
  <c r="BA65" i="45" s="1"/>
  <c r="AV65" i="45"/>
  <c r="AW65" i="45" s="1"/>
  <c r="AS65" i="45"/>
  <c r="AE65" i="45"/>
  <c r="AD65" i="45"/>
  <c r="BB65" i="45" s="1"/>
  <c r="S65" i="45"/>
  <c r="P65" i="45"/>
  <c r="L65" i="45"/>
  <c r="BE64" i="45"/>
  <c r="AY64" i="45"/>
  <c r="AZ64" i="45" s="1"/>
  <c r="BA64" i="45" s="1"/>
  <c r="AV64" i="45"/>
  <c r="AW64" i="45" s="1"/>
  <c r="AS64" i="45"/>
  <c r="AE64" i="45"/>
  <c r="AD64" i="45"/>
  <c r="BB64" i="45" s="1"/>
  <c r="S64" i="45"/>
  <c r="P64" i="45"/>
  <c r="L64" i="45"/>
  <c r="BE63" i="45"/>
  <c r="AY63" i="45"/>
  <c r="AZ63" i="45" s="1"/>
  <c r="BA63" i="45" s="1"/>
  <c r="AV63" i="45"/>
  <c r="AW63" i="45" s="1"/>
  <c r="AS63" i="45"/>
  <c r="AE63" i="45"/>
  <c r="AD63" i="45"/>
  <c r="BB63" i="45" s="1"/>
  <c r="S63" i="45"/>
  <c r="P63" i="45"/>
  <c r="L63" i="45"/>
  <c r="BE62" i="45"/>
  <c r="AY62" i="45"/>
  <c r="AZ62" i="45" s="1"/>
  <c r="BA62" i="45" s="1"/>
  <c r="AV62" i="45"/>
  <c r="AW62" i="45" s="1"/>
  <c r="AS62" i="45"/>
  <c r="AE62" i="45"/>
  <c r="AD62" i="45"/>
  <c r="BB62" i="45" s="1"/>
  <c r="S62" i="45"/>
  <c r="P62" i="45"/>
  <c r="L62" i="45"/>
  <c r="BE61" i="45"/>
  <c r="AY61" i="45"/>
  <c r="AZ61" i="45" s="1"/>
  <c r="BA61" i="45" s="1"/>
  <c r="AV61" i="45"/>
  <c r="AW61" i="45" s="1"/>
  <c r="AS61" i="45"/>
  <c r="AE61" i="45"/>
  <c r="AD61" i="45"/>
  <c r="BB61" i="45" s="1"/>
  <c r="S61" i="45"/>
  <c r="P61" i="45"/>
  <c r="L61" i="45"/>
  <c r="BE60" i="45"/>
  <c r="AY60" i="45"/>
  <c r="AZ60" i="45" s="1"/>
  <c r="BA60" i="45" s="1"/>
  <c r="AV60" i="45"/>
  <c r="AW60" i="45" s="1"/>
  <c r="AS60" i="45"/>
  <c r="AE60" i="45"/>
  <c r="AD60" i="45"/>
  <c r="BB60" i="45" s="1"/>
  <c r="S60" i="45"/>
  <c r="P60" i="45"/>
  <c r="L60" i="45"/>
  <c r="BE59" i="45"/>
  <c r="AY59" i="45"/>
  <c r="AZ59" i="45" s="1"/>
  <c r="BA59" i="45" s="1"/>
  <c r="AV59" i="45"/>
  <c r="AW59" i="45" s="1"/>
  <c r="AS59" i="45"/>
  <c r="AE59" i="45"/>
  <c r="AD59" i="45"/>
  <c r="BB59" i="45" s="1"/>
  <c r="S59" i="45"/>
  <c r="P59" i="45"/>
  <c r="L59" i="45"/>
  <c r="BE58" i="45"/>
  <c r="AY58" i="45"/>
  <c r="AZ58" i="45" s="1"/>
  <c r="BA58" i="45" s="1"/>
  <c r="AV58" i="45"/>
  <c r="AW58" i="45" s="1"/>
  <c r="AS58" i="45"/>
  <c r="AE58" i="45"/>
  <c r="AD58" i="45"/>
  <c r="BB58" i="45" s="1"/>
  <c r="S58" i="45"/>
  <c r="P58" i="45"/>
  <c r="L58" i="45"/>
  <c r="BE57" i="45"/>
  <c r="AY57" i="45"/>
  <c r="AZ57" i="45" s="1"/>
  <c r="BA57" i="45" s="1"/>
  <c r="AV57" i="45"/>
  <c r="AW57" i="45" s="1"/>
  <c r="AS57" i="45"/>
  <c r="AE57" i="45"/>
  <c r="AD57" i="45"/>
  <c r="BB57" i="45" s="1"/>
  <c r="S57" i="45"/>
  <c r="P57" i="45"/>
  <c r="L57" i="45"/>
  <c r="BE56" i="45"/>
  <c r="AY56" i="45"/>
  <c r="AZ56" i="45" s="1"/>
  <c r="BA56" i="45" s="1"/>
  <c r="AV56" i="45"/>
  <c r="AW56" i="45" s="1"/>
  <c r="AS56" i="45"/>
  <c r="AE56" i="45"/>
  <c r="AD56" i="45"/>
  <c r="BB56" i="45" s="1"/>
  <c r="S56" i="45"/>
  <c r="P56" i="45"/>
  <c r="L56" i="45"/>
  <c r="BE55" i="45"/>
  <c r="AY55" i="45"/>
  <c r="AZ55" i="45" s="1"/>
  <c r="BA55" i="45" s="1"/>
  <c r="AV55" i="45"/>
  <c r="AW55" i="45" s="1"/>
  <c r="AS55" i="45"/>
  <c r="AE55" i="45"/>
  <c r="AD55" i="45"/>
  <c r="BB55" i="45" s="1"/>
  <c r="S55" i="45"/>
  <c r="P55" i="45"/>
  <c r="L55" i="45"/>
  <c r="BE54" i="45"/>
  <c r="AY54" i="45"/>
  <c r="AZ54" i="45" s="1"/>
  <c r="BA54" i="45" s="1"/>
  <c r="AV54" i="45"/>
  <c r="AW54" i="45" s="1"/>
  <c r="AS54" i="45"/>
  <c r="AE54" i="45"/>
  <c r="AD54" i="45"/>
  <c r="BB54" i="45" s="1"/>
  <c r="S54" i="45"/>
  <c r="P54" i="45"/>
  <c r="L54" i="45"/>
  <c r="BE53" i="45"/>
  <c r="AY53" i="45"/>
  <c r="AZ53" i="45" s="1"/>
  <c r="BA53" i="45" s="1"/>
  <c r="AV53" i="45"/>
  <c r="AW53" i="45" s="1"/>
  <c r="AS53" i="45"/>
  <c r="AE53" i="45"/>
  <c r="AD53" i="45"/>
  <c r="BB53" i="45" s="1"/>
  <c r="S53" i="45"/>
  <c r="P53" i="45"/>
  <c r="L53" i="45"/>
  <c r="BE52" i="45"/>
  <c r="AY52" i="45"/>
  <c r="AZ52" i="45" s="1"/>
  <c r="BA52" i="45" s="1"/>
  <c r="AV52" i="45"/>
  <c r="AW52" i="45" s="1"/>
  <c r="AS52" i="45"/>
  <c r="BF52" i="45" s="1"/>
  <c r="BG52" i="45" s="1"/>
  <c r="AE52" i="45"/>
  <c r="AD52" i="45"/>
  <c r="BB52" i="45" s="1"/>
  <c r="S52" i="45"/>
  <c r="P52" i="45"/>
  <c r="L52" i="45"/>
  <c r="BE51" i="45"/>
  <c r="AY51" i="45"/>
  <c r="AZ51" i="45" s="1"/>
  <c r="BA51" i="45" s="1"/>
  <c r="AV51" i="45"/>
  <c r="AW51" i="45" s="1"/>
  <c r="AS51" i="45"/>
  <c r="AE51" i="45"/>
  <c r="AD51" i="45"/>
  <c r="BB51" i="45" s="1"/>
  <c r="S51" i="45"/>
  <c r="P51" i="45"/>
  <c r="L51" i="45"/>
  <c r="BE50" i="45"/>
  <c r="AY50" i="45"/>
  <c r="AZ50" i="45" s="1"/>
  <c r="BA50" i="45" s="1"/>
  <c r="AV50" i="45"/>
  <c r="AW50" i="45" s="1"/>
  <c r="AS50" i="45"/>
  <c r="AE50" i="45"/>
  <c r="AD50" i="45"/>
  <c r="BB50" i="45" s="1"/>
  <c r="S50" i="45"/>
  <c r="P50" i="45"/>
  <c r="L50" i="45"/>
  <c r="BE49" i="45"/>
  <c r="AY49" i="45"/>
  <c r="AZ49" i="45" s="1"/>
  <c r="BA49" i="45" s="1"/>
  <c r="AV49" i="45"/>
  <c r="AW49" i="45" s="1"/>
  <c r="AS49" i="45"/>
  <c r="AE49" i="45"/>
  <c r="AD49" i="45"/>
  <c r="BB49" i="45" s="1"/>
  <c r="S49" i="45"/>
  <c r="P49" i="45"/>
  <c r="L49" i="45"/>
  <c r="BE48" i="45"/>
  <c r="AY48" i="45"/>
  <c r="AZ48" i="45" s="1"/>
  <c r="BA48" i="45" s="1"/>
  <c r="AV48" i="45"/>
  <c r="AW48" i="45" s="1"/>
  <c r="AS48" i="45"/>
  <c r="AE48" i="45"/>
  <c r="AD48" i="45"/>
  <c r="BB48" i="45" s="1"/>
  <c r="S48" i="45"/>
  <c r="P48" i="45"/>
  <c r="L48" i="45"/>
  <c r="BE47" i="45"/>
  <c r="AY47" i="45"/>
  <c r="AZ47" i="45" s="1"/>
  <c r="BA47" i="45" s="1"/>
  <c r="AV47" i="45"/>
  <c r="AW47" i="45" s="1"/>
  <c r="AS47" i="45"/>
  <c r="AE47" i="45"/>
  <c r="AD47" i="45"/>
  <c r="BB47" i="45" s="1"/>
  <c r="S47" i="45"/>
  <c r="P47" i="45"/>
  <c r="L47" i="45"/>
  <c r="BE46" i="45"/>
  <c r="AY46" i="45"/>
  <c r="AZ46" i="45" s="1"/>
  <c r="BA46" i="45" s="1"/>
  <c r="AV46" i="45"/>
  <c r="AW46" i="45" s="1"/>
  <c r="AS46" i="45"/>
  <c r="AE46" i="45"/>
  <c r="AD46" i="45"/>
  <c r="BB46" i="45" s="1"/>
  <c r="S46" i="45"/>
  <c r="P46" i="45"/>
  <c r="L46" i="45"/>
  <c r="BE45" i="45"/>
  <c r="AY45" i="45"/>
  <c r="AZ45" i="45" s="1"/>
  <c r="BA45" i="45" s="1"/>
  <c r="AV45" i="45"/>
  <c r="AW45" i="45" s="1"/>
  <c r="AS45" i="45"/>
  <c r="AE45" i="45"/>
  <c r="AD45" i="45"/>
  <c r="BB45" i="45" s="1"/>
  <c r="S45" i="45"/>
  <c r="P45" i="45"/>
  <c r="L45" i="45"/>
  <c r="BE44" i="45"/>
  <c r="AY44" i="45"/>
  <c r="AZ44" i="45" s="1"/>
  <c r="BA44" i="45" s="1"/>
  <c r="AV44" i="45"/>
  <c r="AW44" i="45" s="1"/>
  <c r="AS44" i="45"/>
  <c r="AE44" i="45"/>
  <c r="AD44" i="45"/>
  <c r="BB44" i="45" s="1"/>
  <c r="S44" i="45"/>
  <c r="P44" i="45"/>
  <c r="L44" i="45"/>
  <c r="BE43" i="45"/>
  <c r="AY43" i="45"/>
  <c r="AZ43" i="45" s="1"/>
  <c r="BA43" i="45" s="1"/>
  <c r="AV43" i="45"/>
  <c r="AW43" i="45" s="1"/>
  <c r="AS43" i="45"/>
  <c r="AE43" i="45"/>
  <c r="AD43" i="45"/>
  <c r="BB43" i="45" s="1"/>
  <c r="S43" i="45"/>
  <c r="P43" i="45"/>
  <c r="L43" i="45"/>
  <c r="BE42" i="45"/>
  <c r="AY42" i="45"/>
  <c r="AZ42" i="45" s="1"/>
  <c r="BA42" i="45" s="1"/>
  <c r="AV42" i="45"/>
  <c r="AW42" i="45" s="1"/>
  <c r="AS42" i="45"/>
  <c r="AE42" i="45"/>
  <c r="AD42" i="45"/>
  <c r="BB42" i="45" s="1"/>
  <c r="S42" i="45"/>
  <c r="P42" i="45"/>
  <c r="L42" i="45"/>
  <c r="BE41" i="45"/>
  <c r="AY41" i="45"/>
  <c r="AZ41" i="45" s="1"/>
  <c r="BA41" i="45" s="1"/>
  <c r="AV41" i="45"/>
  <c r="AW41" i="45" s="1"/>
  <c r="AS41" i="45"/>
  <c r="AE41" i="45"/>
  <c r="AD41" i="45"/>
  <c r="BB41" i="45" s="1"/>
  <c r="S41" i="45"/>
  <c r="P41" i="45"/>
  <c r="L41" i="45"/>
  <c r="BE40" i="45"/>
  <c r="AY40" i="45"/>
  <c r="AZ40" i="45" s="1"/>
  <c r="BA40" i="45" s="1"/>
  <c r="AV40" i="45"/>
  <c r="AW40" i="45" s="1"/>
  <c r="AS40" i="45"/>
  <c r="AE40" i="45"/>
  <c r="AD40" i="45"/>
  <c r="BB40" i="45" s="1"/>
  <c r="S40" i="45"/>
  <c r="P40" i="45"/>
  <c r="L40" i="45"/>
  <c r="BE39" i="45"/>
  <c r="AY39" i="45"/>
  <c r="AZ39" i="45" s="1"/>
  <c r="BA39" i="45" s="1"/>
  <c r="AV39" i="45"/>
  <c r="AW39" i="45" s="1"/>
  <c r="AS39" i="45"/>
  <c r="AE39" i="45"/>
  <c r="AD39" i="45"/>
  <c r="BB39" i="45" s="1"/>
  <c r="S39" i="45"/>
  <c r="P39" i="45"/>
  <c r="L39" i="45"/>
  <c r="BE38" i="45"/>
  <c r="AY38" i="45"/>
  <c r="AZ38" i="45" s="1"/>
  <c r="BA38" i="45" s="1"/>
  <c r="AV38" i="45"/>
  <c r="AW38" i="45" s="1"/>
  <c r="AS38" i="45"/>
  <c r="AE38" i="45"/>
  <c r="AD38" i="45"/>
  <c r="BB38" i="45" s="1"/>
  <c r="S38" i="45"/>
  <c r="P38" i="45"/>
  <c r="L38" i="45"/>
  <c r="BE37" i="45"/>
  <c r="AY37" i="45"/>
  <c r="AZ37" i="45" s="1"/>
  <c r="BA37" i="45" s="1"/>
  <c r="AV37" i="45"/>
  <c r="AW37" i="45" s="1"/>
  <c r="AS37" i="45"/>
  <c r="AE37" i="45"/>
  <c r="AD37" i="45"/>
  <c r="BB37" i="45" s="1"/>
  <c r="S37" i="45"/>
  <c r="P37" i="45"/>
  <c r="L37" i="45"/>
  <c r="BE36" i="45"/>
  <c r="AY36" i="45"/>
  <c r="AZ36" i="45" s="1"/>
  <c r="BA36" i="45" s="1"/>
  <c r="AV36" i="45"/>
  <c r="AW36" i="45" s="1"/>
  <c r="AS36" i="45"/>
  <c r="AE36" i="45"/>
  <c r="AD36" i="45"/>
  <c r="BB36" i="45" s="1"/>
  <c r="S36" i="45"/>
  <c r="P36" i="45"/>
  <c r="L36" i="45"/>
  <c r="BE35" i="45"/>
  <c r="AY35" i="45"/>
  <c r="AZ35" i="45" s="1"/>
  <c r="BA35" i="45" s="1"/>
  <c r="AV35" i="45"/>
  <c r="AW35" i="45" s="1"/>
  <c r="AS35" i="45"/>
  <c r="AE35" i="45"/>
  <c r="AD35" i="45"/>
  <c r="BB35" i="45" s="1"/>
  <c r="S35" i="45"/>
  <c r="P35" i="45"/>
  <c r="L35" i="45"/>
  <c r="BE34" i="45"/>
  <c r="AY34" i="45"/>
  <c r="AZ34" i="45" s="1"/>
  <c r="BA34" i="45" s="1"/>
  <c r="AV34" i="45"/>
  <c r="AW34" i="45" s="1"/>
  <c r="AS34" i="45"/>
  <c r="AE34" i="45"/>
  <c r="AD34" i="45"/>
  <c r="BB34" i="45" s="1"/>
  <c r="S34" i="45"/>
  <c r="P34" i="45"/>
  <c r="L34" i="45"/>
  <c r="BE33" i="45"/>
  <c r="AY33" i="45"/>
  <c r="AZ33" i="45" s="1"/>
  <c r="BA33" i="45" s="1"/>
  <c r="AV33" i="45"/>
  <c r="AW33" i="45" s="1"/>
  <c r="AS33" i="45"/>
  <c r="AE33" i="45"/>
  <c r="AD33" i="45"/>
  <c r="BB33" i="45" s="1"/>
  <c r="S33" i="45"/>
  <c r="P33" i="45"/>
  <c r="L33" i="45"/>
  <c r="BE32" i="45"/>
  <c r="AY32" i="45"/>
  <c r="AZ32" i="45" s="1"/>
  <c r="BA32" i="45" s="1"/>
  <c r="AV32" i="45"/>
  <c r="AW32" i="45" s="1"/>
  <c r="AS32" i="45"/>
  <c r="AE32" i="45"/>
  <c r="AD32" i="45"/>
  <c r="BB32" i="45" s="1"/>
  <c r="S32" i="45"/>
  <c r="P32" i="45"/>
  <c r="L32" i="45"/>
  <c r="BE31" i="45"/>
  <c r="AY31" i="45"/>
  <c r="AZ31" i="45" s="1"/>
  <c r="BA31" i="45" s="1"/>
  <c r="AV31" i="45"/>
  <c r="AW31" i="45" s="1"/>
  <c r="AS31" i="45"/>
  <c r="AE31" i="45"/>
  <c r="AD31" i="45"/>
  <c r="BB31" i="45" s="1"/>
  <c r="S31" i="45"/>
  <c r="P31" i="45"/>
  <c r="L31" i="45"/>
  <c r="BE30" i="45"/>
  <c r="AY30" i="45"/>
  <c r="AZ30" i="45" s="1"/>
  <c r="BA30" i="45" s="1"/>
  <c r="AV30" i="45"/>
  <c r="AW30" i="45" s="1"/>
  <c r="AS30" i="45"/>
  <c r="AE30" i="45"/>
  <c r="AD30" i="45"/>
  <c r="BB30" i="45" s="1"/>
  <c r="S30" i="45"/>
  <c r="P30" i="45"/>
  <c r="L30" i="45"/>
  <c r="BE29" i="45"/>
  <c r="AY29" i="45"/>
  <c r="AZ29" i="45" s="1"/>
  <c r="BA29" i="45" s="1"/>
  <c r="AV29" i="45"/>
  <c r="AW29" i="45" s="1"/>
  <c r="AS29" i="45"/>
  <c r="AE29" i="45"/>
  <c r="AD29" i="45"/>
  <c r="BB29" i="45" s="1"/>
  <c r="P29" i="45"/>
  <c r="L29" i="45"/>
  <c r="BE28" i="45"/>
  <c r="AY28" i="45"/>
  <c r="AZ28" i="45" s="1"/>
  <c r="BA28" i="45" s="1"/>
  <c r="AV28" i="45"/>
  <c r="AW28" i="45" s="1"/>
  <c r="AS28" i="45"/>
  <c r="AE28" i="45"/>
  <c r="AD28" i="45"/>
  <c r="P28" i="45"/>
  <c r="L28" i="45"/>
  <c r="BE27" i="45"/>
  <c r="AY27" i="45"/>
  <c r="AZ27" i="45" s="1"/>
  <c r="BA27" i="45" s="1"/>
  <c r="AV27" i="45"/>
  <c r="AW27" i="45" s="1"/>
  <c r="AS27" i="45"/>
  <c r="AE27" i="45"/>
  <c r="AD27" i="45"/>
  <c r="P27" i="45"/>
  <c r="L27" i="45"/>
  <c r="BE26" i="45"/>
  <c r="AY26" i="45"/>
  <c r="AZ26" i="45" s="1"/>
  <c r="BA26" i="45" s="1"/>
  <c r="AV26" i="45"/>
  <c r="AW26" i="45" s="1"/>
  <c r="AS26" i="45"/>
  <c r="AE26" i="45"/>
  <c r="AD26" i="45"/>
  <c r="BB26" i="45" s="1"/>
  <c r="S26" i="45"/>
  <c r="P26" i="45"/>
  <c r="L26" i="45"/>
  <c r="BE25" i="45"/>
  <c r="AY25" i="45"/>
  <c r="AZ25" i="45" s="1"/>
  <c r="BA25" i="45" s="1"/>
  <c r="AV25" i="45"/>
  <c r="AW25" i="45" s="1"/>
  <c r="AS25" i="45"/>
  <c r="AE25" i="45"/>
  <c r="AD25" i="45"/>
  <c r="BB25" i="45" s="1"/>
  <c r="S25" i="45"/>
  <c r="P25" i="45"/>
  <c r="L25" i="45"/>
  <c r="BE24" i="45"/>
  <c r="AY24" i="45"/>
  <c r="AZ24" i="45" s="1"/>
  <c r="BA24" i="45" s="1"/>
  <c r="AV24" i="45"/>
  <c r="AW24" i="45" s="1"/>
  <c r="AS24" i="45"/>
  <c r="AE24" i="45"/>
  <c r="AD24" i="45"/>
  <c r="S24" i="45"/>
  <c r="L24" i="45"/>
  <c r="BE23" i="45"/>
  <c r="AY23" i="45"/>
  <c r="AZ23" i="45" s="1"/>
  <c r="BA23" i="45" s="1"/>
  <c r="AV23" i="45"/>
  <c r="AW23" i="45" s="1"/>
  <c r="AS23" i="45"/>
  <c r="AE23" i="45"/>
  <c r="AD23" i="45"/>
  <c r="S23" i="45"/>
  <c r="P23" i="45"/>
  <c r="L23" i="45"/>
  <c r="BE22" i="45"/>
  <c r="AY22" i="45"/>
  <c r="AZ22" i="45" s="1"/>
  <c r="BA22" i="45" s="1"/>
  <c r="AV22" i="45"/>
  <c r="AW22" i="45" s="1"/>
  <c r="AS22" i="45"/>
  <c r="AE22" i="45"/>
  <c r="AD22" i="45"/>
  <c r="S22" i="45"/>
  <c r="L22" i="45"/>
  <c r="BE21" i="45"/>
  <c r="AY21" i="45"/>
  <c r="AZ21" i="45" s="1"/>
  <c r="BA21" i="45" s="1"/>
  <c r="AV21" i="45"/>
  <c r="AW21" i="45" s="1"/>
  <c r="AS21" i="45"/>
  <c r="AE21" i="45"/>
  <c r="AD21" i="45"/>
  <c r="S21" i="45"/>
  <c r="P21" i="45"/>
  <c r="L21" i="45"/>
  <c r="BE20" i="45"/>
  <c r="AY20" i="45"/>
  <c r="AZ20" i="45" s="1"/>
  <c r="BA20" i="45" s="1"/>
  <c r="AV20" i="45"/>
  <c r="AW20" i="45" s="1"/>
  <c r="AS20" i="45"/>
  <c r="AE20" i="45"/>
  <c r="AD20" i="45"/>
  <c r="S20" i="45"/>
  <c r="P20" i="45"/>
  <c r="L20" i="45"/>
  <c r="BE19" i="45"/>
  <c r="AY19" i="45"/>
  <c r="AZ19" i="45" s="1"/>
  <c r="BA19" i="45" s="1"/>
  <c r="AV19" i="45"/>
  <c r="AW19" i="45" s="1"/>
  <c r="AS19" i="45"/>
  <c r="AE19" i="45"/>
  <c r="AD19" i="45"/>
  <c r="S19" i="45"/>
  <c r="L19" i="45"/>
  <c r="BE18" i="45"/>
  <c r="AY18" i="45"/>
  <c r="AZ18" i="45" s="1"/>
  <c r="BA18" i="45" s="1"/>
  <c r="AV18" i="45"/>
  <c r="AW18" i="45" s="1"/>
  <c r="AS18" i="45"/>
  <c r="AE18" i="45"/>
  <c r="AD18" i="45"/>
  <c r="BB18" i="45" s="1"/>
  <c r="S18" i="45"/>
  <c r="L18" i="45"/>
  <c r="BE17" i="45"/>
  <c r="AY17" i="45"/>
  <c r="AZ17" i="45" s="1"/>
  <c r="BA17" i="45" s="1"/>
  <c r="AV17" i="45"/>
  <c r="AW17" i="45" s="1"/>
  <c r="AS17" i="45"/>
  <c r="AE17" i="45"/>
  <c r="AD17" i="45"/>
  <c r="S17" i="45"/>
  <c r="L17" i="45"/>
  <c r="BE16" i="45"/>
  <c r="AY16" i="45"/>
  <c r="AZ16" i="45" s="1"/>
  <c r="BA16" i="45" s="1"/>
  <c r="AV16" i="45"/>
  <c r="AW16" i="45" s="1"/>
  <c r="AS16" i="45"/>
  <c r="BF16" i="45" s="1"/>
  <c r="AL16" i="45"/>
  <c r="AD16" i="45"/>
  <c r="BB16" i="45" s="1"/>
  <c r="S16" i="45"/>
  <c r="AM15" i="45"/>
  <c r="AN15" i="45" s="1"/>
  <c r="AO15" i="45" s="1"/>
  <c r="AP15" i="45" s="1"/>
  <c r="AQ15" i="45" s="1"/>
  <c r="AR15" i="45" s="1"/>
  <c r="AF15" i="45"/>
  <c r="BB17" i="45" l="1"/>
  <c r="BB23" i="45"/>
  <c r="N197" i="42"/>
  <c r="BB28" i="45"/>
  <c r="BB21" i="45"/>
  <c r="BB20" i="45"/>
  <c r="BB27" i="45"/>
  <c r="BB19" i="45"/>
  <c r="BB24" i="45"/>
  <c r="BB22" i="45"/>
  <c r="F49" i="52"/>
  <c r="O55" i="52"/>
  <c r="N198" i="42"/>
  <c r="AD198" i="42" s="1"/>
  <c r="AB74" i="49"/>
  <c r="Z83" i="49"/>
  <c r="AA75" i="49"/>
  <c r="AB75" i="49" s="1"/>
  <c r="AC75" i="49" s="1"/>
  <c r="AD75" i="49" s="1"/>
  <c r="AE75" i="49" s="1"/>
  <c r="AF75" i="49" s="1"/>
  <c r="AG75" i="49" s="1"/>
  <c r="AH75" i="49" s="1"/>
  <c r="AI75" i="49" s="1"/>
  <c r="AJ75" i="49" s="1"/>
  <c r="AK75" i="49" s="1"/>
  <c r="AL75" i="49" s="1"/>
  <c r="G55" i="52"/>
  <c r="W55" i="52"/>
  <c r="W56" i="52" s="1"/>
  <c r="S55" i="52"/>
  <c r="R55" i="52"/>
  <c r="R56" i="52" s="1"/>
  <c r="N55" i="52"/>
  <c r="N56" i="52" s="1"/>
  <c r="J55" i="52"/>
  <c r="J56" i="52" s="1"/>
  <c r="Y55" i="52"/>
  <c r="Y56" i="52" s="1"/>
  <c r="U55" i="52"/>
  <c r="U56" i="52" s="1"/>
  <c r="Q55" i="52"/>
  <c r="M55" i="52"/>
  <c r="I55" i="52"/>
  <c r="X55" i="52"/>
  <c r="X56" i="52" s="1"/>
  <c r="V55" i="52"/>
  <c r="V56" i="52" s="1"/>
  <c r="T55" i="52"/>
  <c r="T56" i="52" s="1"/>
  <c r="P55" i="52"/>
  <c r="P56" i="52" s="1"/>
  <c r="L55" i="52"/>
  <c r="L56" i="52" s="1"/>
  <c r="H55" i="52"/>
  <c r="H56" i="52" s="1"/>
  <c r="P22" i="45"/>
  <c r="P24" i="45"/>
  <c r="F167" i="49"/>
  <c r="E189" i="52"/>
  <c r="E190" i="52"/>
  <c r="E191" i="52"/>
  <c r="E192" i="52"/>
  <c r="L231" i="52"/>
  <c r="M231" i="52" s="1"/>
  <c r="N231" i="52" s="1"/>
  <c r="O231" i="52" s="1"/>
  <c r="P231" i="52" s="1"/>
  <c r="Q231" i="52" s="1"/>
  <c r="R231" i="52" s="1"/>
  <c r="S231" i="52" s="1"/>
  <c r="T231" i="52" s="1"/>
  <c r="U231" i="52" s="1"/>
  <c r="V231" i="52" s="1"/>
  <c r="W231" i="52" s="1"/>
  <c r="X231" i="52" s="1"/>
  <c r="Y231" i="52" s="1"/>
  <c r="Z231" i="52" s="1"/>
  <c r="AA231" i="52" s="1"/>
  <c r="AB231" i="52" s="1"/>
  <c r="AC231" i="52" s="1"/>
  <c r="AD231" i="52" s="1"/>
  <c r="AE231" i="52" s="1"/>
  <c r="AF231" i="52" s="1"/>
  <c r="AG231" i="52" s="1"/>
  <c r="AH231" i="52" s="1"/>
  <c r="AI231" i="52" s="1"/>
  <c r="AJ231" i="52" s="1"/>
  <c r="AL28" i="45"/>
  <c r="AL34" i="45"/>
  <c r="AL40" i="45"/>
  <c r="AL46" i="45"/>
  <c r="AL52" i="45"/>
  <c r="AL58" i="45"/>
  <c r="AL64" i="45"/>
  <c r="AL22" i="45"/>
  <c r="AL33" i="45"/>
  <c r="AL39" i="45"/>
  <c r="AL45" i="45"/>
  <c r="AL51" i="45"/>
  <c r="AL57" i="45"/>
  <c r="AL63" i="45"/>
  <c r="AL21" i="45"/>
  <c r="AL27" i="45"/>
  <c r="AL32" i="45"/>
  <c r="AL38" i="45"/>
  <c r="AL44" i="45"/>
  <c r="AL50" i="45"/>
  <c r="AL56" i="45"/>
  <c r="AL62" i="45"/>
  <c r="AL20" i="45"/>
  <c r="AL26" i="45"/>
  <c r="AL31" i="45"/>
  <c r="AL37" i="45"/>
  <c r="AL43" i="45"/>
  <c r="AL49" i="45"/>
  <c r="AL55" i="45"/>
  <c r="AL61" i="45"/>
  <c r="AL19" i="45"/>
  <c r="AL25" i="45"/>
  <c r="AL30" i="45"/>
  <c r="AL36" i="45"/>
  <c r="AL42" i="45"/>
  <c r="AL48" i="45"/>
  <c r="AL54" i="45"/>
  <c r="AL60" i="45"/>
  <c r="AL24" i="45"/>
  <c r="AL18" i="45"/>
  <c r="AL29" i="45"/>
  <c r="AL35" i="45"/>
  <c r="AL41" i="45"/>
  <c r="AL47" i="45"/>
  <c r="AL53" i="45"/>
  <c r="AL59" i="45"/>
  <c r="AL65" i="45"/>
  <c r="AL23" i="45"/>
  <c r="AL17" i="45"/>
  <c r="P19" i="45"/>
  <c r="P17" i="45"/>
  <c r="P18" i="45"/>
  <c r="AT22" i="45"/>
  <c r="AU22" i="45" s="1"/>
  <c r="BF22" i="45"/>
  <c r="BG22" i="45" s="1"/>
  <c r="AT37" i="45"/>
  <c r="AU37" i="45" s="1"/>
  <c r="BF37" i="45"/>
  <c r="BG37" i="45" s="1"/>
  <c r="AT45" i="45"/>
  <c r="AU45" i="45" s="1"/>
  <c r="BF45" i="45"/>
  <c r="BG45" i="45" s="1"/>
  <c r="AT49" i="45"/>
  <c r="AU49" i="45" s="1"/>
  <c r="BF49" i="45"/>
  <c r="BG49" i="45" s="1"/>
  <c r="AT57" i="45"/>
  <c r="AU57" i="45" s="1"/>
  <c r="BF57" i="45"/>
  <c r="BG57" i="45" s="1"/>
  <c r="AT61" i="45"/>
  <c r="AU61" i="45" s="1"/>
  <c r="BF61" i="45"/>
  <c r="BG61" i="45" s="1"/>
  <c r="AT18" i="45"/>
  <c r="AU18" i="45" s="1"/>
  <c r="BF18" i="45"/>
  <c r="BG18" i="45" s="1"/>
  <c r="AT21" i="45"/>
  <c r="AU21" i="45" s="1"/>
  <c r="BF21" i="45"/>
  <c r="BG21" i="45" s="1"/>
  <c r="AT25" i="45"/>
  <c r="AU25" i="45" s="1"/>
  <c r="BF25" i="45"/>
  <c r="BG25" i="45" s="1"/>
  <c r="AT28" i="45"/>
  <c r="AU28" i="45" s="1"/>
  <c r="BF28" i="45"/>
  <c r="BG28" i="45" s="1"/>
  <c r="AT32" i="45"/>
  <c r="AU32" i="45" s="1"/>
  <c r="BF32" i="45"/>
  <c r="BG32" i="45" s="1"/>
  <c r="AT36" i="45"/>
  <c r="AU36" i="45" s="1"/>
  <c r="BF36" i="45"/>
  <c r="BG36" i="45" s="1"/>
  <c r="AT40" i="45"/>
  <c r="AU40" i="45" s="1"/>
  <c r="BF40" i="45"/>
  <c r="BG40" i="45" s="1"/>
  <c r="AT44" i="45"/>
  <c r="AU44" i="45" s="1"/>
  <c r="BF44" i="45"/>
  <c r="BG44" i="45" s="1"/>
  <c r="AT48" i="45"/>
  <c r="AU48" i="45" s="1"/>
  <c r="BF48" i="45"/>
  <c r="BG48" i="45" s="1"/>
  <c r="AT56" i="45"/>
  <c r="AU56" i="45" s="1"/>
  <c r="BF56" i="45"/>
  <c r="BG56" i="45" s="1"/>
  <c r="AT60" i="45"/>
  <c r="AU60" i="45" s="1"/>
  <c r="BF60" i="45"/>
  <c r="BG60" i="45" s="1"/>
  <c r="AT64" i="45"/>
  <c r="AU64" i="45" s="1"/>
  <c r="BF64" i="45"/>
  <c r="BG64" i="45" s="1"/>
  <c r="AT41" i="45"/>
  <c r="AU41" i="45" s="1"/>
  <c r="BF41" i="45"/>
  <c r="BG41" i="45" s="1"/>
  <c r="AT53" i="45"/>
  <c r="AU53" i="45" s="1"/>
  <c r="BF53" i="45"/>
  <c r="BG53" i="45" s="1"/>
  <c r="AT20" i="45"/>
  <c r="AU20" i="45" s="1"/>
  <c r="BF20" i="45"/>
  <c r="BG20" i="45" s="1"/>
  <c r="AT24" i="45"/>
  <c r="AU24" i="45" s="1"/>
  <c r="BF24" i="45"/>
  <c r="BG24" i="45" s="1"/>
  <c r="AT31" i="45"/>
  <c r="AU31" i="45" s="1"/>
  <c r="BF31" i="45"/>
  <c r="BG31" i="45" s="1"/>
  <c r="AT35" i="45"/>
  <c r="AU35" i="45" s="1"/>
  <c r="BF35" i="45"/>
  <c r="BG35" i="45" s="1"/>
  <c r="AT39" i="45"/>
  <c r="AU39" i="45" s="1"/>
  <c r="BF39" i="45"/>
  <c r="BG39" i="45" s="1"/>
  <c r="AT43" i="45"/>
  <c r="AU43" i="45" s="1"/>
  <c r="BF43" i="45"/>
  <c r="BG43" i="45" s="1"/>
  <c r="AT47" i="45"/>
  <c r="AU47" i="45" s="1"/>
  <c r="BF47" i="45"/>
  <c r="BG47" i="45" s="1"/>
  <c r="AT51" i="45"/>
  <c r="AU51" i="45" s="1"/>
  <c r="BF51" i="45"/>
  <c r="BG51" i="45" s="1"/>
  <c r="AT55" i="45"/>
  <c r="AU55" i="45" s="1"/>
  <c r="BF55" i="45"/>
  <c r="BG55" i="45" s="1"/>
  <c r="AT59" i="45"/>
  <c r="AU59" i="45" s="1"/>
  <c r="BF59" i="45"/>
  <c r="BG59" i="45" s="1"/>
  <c r="AT63" i="45"/>
  <c r="AU63" i="45" s="1"/>
  <c r="BF63" i="45"/>
  <c r="BG63" i="45" s="1"/>
  <c r="AT26" i="45"/>
  <c r="AU26" i="45" s="1"/>
  <c r="BF26" i="45"/>
  <c r="BG26" i="45" s="1"/>
  <c r="AT29" i="45"/>
  <c r="AU29" i="45" s="1"/>
  <c r="BF29" i="45"/>
  <c r="BG29" i="45" s="1"/>
  <c r="AT33" i="45"/>
  <c r="AU33" i="45" s="1"/>
  <c r="BF33" i="45"/>
  <c r="BG33" i="45" s="1"/>
  <c r="AT65" i="45"/>
  <c r="AU65" i="45" s="1"/>
  <c r="BF65" i="45"/>
  <c r="BG65" i="45" s="1"/>
  <c r="AT17" i="45"/>
  <c r="AU17" i="45" s="1"/>
  <c r="BF17" i="45"/>
  <c r="BG17" i="45" s="1"/>
  <c r="AT19" i="45"/>
  <c r="AU19" i="45" s="1"/>
  <c r="BF19" i="45"/>
  <c r="BG19" i="45" s="1"/>
  <c r="AT23" i="45"/>
  <c r="AU23" i="45" s="1"/>
  <c r="BF23" i="45"/>
  <c r="BG23" i="45" s="1"/>
  <c r="AT27" i="45"/>
  <c r="AU27" i="45" s="1"/>
  <c r="BF27" i="45"/>
  <c r="BG27" i="45" s="1"/>
  <c r="AT30" i="45"/>
  <c r="AU30" i="45" s="1"/>
  <c r="BF30" i="45"/>
  <c r="BG30" i="45" s="1"/>
  <c r="AT34" i="45"/>
  <c r="AU34" i="45" s="1"/>
  <c r="BF34" i="45"/>
  <c r="BG34" i="45" s="1"/>
  <c r="AT38" i="45"/>
  <c r="AU38" i="45" s="1"/>
  <c r="BF38" i="45"/>
  <c r="BG38" i="45" s="1"/>
  <c r="AT42" i="45"/>
  <c r="AU42" i="45" s="1"/>
  <c r="BF42" i="45"/>
  <c r="BG42" i="45" s="1"/>
  <c r="AT46" i="45"/>
  <c r="AU46" i="45" s="1"/>
  <c r="BF46" i="45"/>
  <c r="BG46" i="45" s="1"/>
  <c r="AT50" i="45"/>
  <c r="AU50" i="45" s="1"/>
  <c r="BF50" i="45"/>
  <c r="BG50" i="45" s="1"/>
  <c r="AT54" i="45"/>
  <c r="AU54" i="45" s="1"/>
  <c r="BF54" i="45"/>
  <c r="BG54" i="45" s="1"/>
  <c r="AT58" i="45"/>
  <c r="AU58" i="45" s="1"/>
  <c r="BF58" i="45"/>
  <c r="BG58" i="45" s="1"/>
  <c r="AT62" i="45"/>
  <c r="AU62" i="45" s="1"/>
  <c r="BF62" i="45"/>
  <c r="BG62" i="45" s="1"/>
  <c r="AT16" i="45"/>
  <c r="AU16" i="45" s="1"/>
  <c r="BG16" i="45"/>
  <c r="E83" i="49"/>
  <c r="AX25" i="45"/>
  <c r="F146" i="52"/>
  <c r="D83" i="49"/>
  <c r="G530" i="42"/>
  <c r="I23" i="49"/>
  <c r="D23" i="49" s="1"/>
  <c r="F54" i="52"/>
  <c r="F50" i="52"/>
  <c r="F52" i="52"/>
  <c r="F59" i="52"/>
  <c r="F186" i="52"/>
  <c r="AF23" i="45"/>
  <c r="AM23" i="45" s="1"/>
  <c r="AG15" i="45"/>
  <c r="AG48" i="45" s="1"/>
  <c r="AN48" i="45" s="1"/>
  <c r="AX44" i="45"/>
  <c r="AX51" i="45"/>
  <c r="AX57" i="45"/>
  <c r="AX58" i="45"/>
  <c r="AX61" i="45"/>
  <c r="AX62" i="45"/>
  <c r="AX37" i="45"/>
  <c r="AX17" i="45"/>
  <c r="AX20" i="45"/>
  <c r="AX35" i="45"/>
  <c r="AX45" i="45"/>
  <c r="AX21" i="45"/>
  <c r="AX24" i="45"/>
  <c r="AX48" i="45"/>
  <c r="AX49" i="45"/>
  <c r="AX54" i="45"/>
  <c r="AX29" i="45"/>
  <c r="AX33" i="45"/>
  <c r="AX36" i="45"/>
  <c r="AX40" i="45"/>
  <c r="AX52" i="45"/>
  <c r="AX59" i="45"/>
  <c r="AX32" i="45"/>
  <c r="AX43" i="45"/>
  <c r="AF19" i="45"/>
  <c r="AM19" i="45" s="1"/>
  <c r="AX19" i="45"/>
  <c r="AF22" i="45"/>
  <c r="AM22" i="45" s="1"/>
  <c r="AF34" i="45"/>
  <c r="AM34" i="45" s="1"/>
  <c r="AF38" i="45"/>
  <c r="AM38" i="45" s="1"/>
  <c r="AF39" i="45"/>
  <c r="AM39" i="45" s="1"/>
  <c r="AX39" i="45"/>
  <c r="AF42" i="45"/>
  <c r="AM42" i="45" s="1"/>
  <c r="AX42" i="45"/>
  <c r="AF18" i="45"/>
  <c r="AM18" i="45" s="1"/>
  <c r="AF26" i="45"/>
  <c r="AM26" i="45" s="1"/>
  <c r="AF27" i="45"/>
  <c r="AM27" i="45" s="1"/>
  <c r="AF30" i="45"/>
  <c r="AM30" i="45" s="1"/>
  <c r="AF31" i="45"/>
  <c r="AM31" i="45" s="1"/>
  <c r="AX63" i="45"/>
  <c r="AX65" i="45"/>
  <c r="AX28" i="45"/>
  <c r="AX30" i="45"/>
  <c r="AX23" i="45"/>
  <c r="AX41" i="45"/>
  <c r="AX53" i="45"/>
  <c r="AX55" i="45"/>
  <c r="I60" i="52"/>
  <c r="F58" i="52"/>
  <c r="G60" i="52"/>
  <c r="M60" i="52"/>
  <c r="F22" i="52"/>
  <c r="Q60" i="52"/>
  <c r="F51" i="52"/>
  <c r="F83" i="49"/>
  <c r="BE66" i="45"/>
  <c r="S187" i="68" s="1"/>
  <c r="AW66" i="45"/>
  <c r="AT52" i="45"/>
  <c r="AU52" i="45" s="1"/>
  <c r="AX22" i="45"/>
  <c r="AX31" i="45"/>
  <c r="AX18" i="45"/>
  <c r="BA66" i="45"/>
  <c r="H128" i="45" s="1"/>
  <c r="AX26" i="45"/>
  <c r="AX27" i="45"/>
  <c r="AX34" i="45"/>
  <c r="AF65" i="45"/>
  <c r="AM65" i="45" s="1"/>
  <c r="AF61" i="45"/>
  <c r="AM61" i="45" s="1"/>
  <c r="AF57" i="45"/>
  <c r="AM57" i="45" s="1"/>
  <c r="AF62" i="45"/>
  <c r="AM62" i="45" s="1"/>
  <c r="AF58" i="45"/>
  <c r="AM58" i="45" s="1"/>
  <c r="AF54" i="45"/>
  <c r="AM54" i="45" s="1"/>
  <c r="AF63" i="45"/>
  <c r="AM63" i="45" s="1"/>
  <c r="AF59" i="45"/>
  <c r="AM59" i="45" s="1"/>
  <c r="AF55" i="45"/>
  <c r="AM55" i="45" s="1"/>
  <c r="AF64" i="45"/>
  <c r="AM64" i="45" s="1"/>
  <c r="AF52" i="45"/>
  <c r="AM52" i="45" s="1"/>
  <c r="AF48" i="45"/>
  <c r="AM48" i="45" s="1"/>
  <c r="AF44" i="45"/>
  <c r="AM44" i="45" s="1"/>
  <c r="AF60" i="45"/>
  <c r="AM60" i="45" s="1"/>
  <c r="AF53" i="45"/>
  <c r="AM53" i="45" s="1"/>
  <c r="AF49" i="45"/>
  <c r="AM49" i="45" s="1"/>
  <c r="AF45" i="45"/>
  <c r="AM45" i="45" s="1"/>
  <c r="AF56" i="45"/>
  <c r="AM56" i="45" s="1"/>
  <c r="AF51" i="45"/>
  <c r="AM51" i="45" s="1"/>
  <c r="AF50" i="45"/>
  <c r="AM50" i="45" s="1"/>
  <c r="AF43" i="45"/>
  <c r="AM43" i="45" s="1"/>
  <c r="AF40" i="45"/>
  <c r="AM40" i="45" s="1"/>
  <c r="AF36" i="45"/>
  <c r="AM36" i="45" s="1"/>
  <c r="AF46" i="45"/>
  <c r="AM46" i="45" s="1"/>
  <c r="AF41" i="45"/>
  <c r="AM41" i="45" s="1"/>
  <c r="AF37" i="45"/>
  <c r="AM37" i="45" s="1"/>
  <c r="AE66" i="45"/>
  <c r="F119" i="45" s="1"/>
  <c r="AF17" i="45"/>
  <c r="AM17" i="45" s="1"/>
  <c r="AF21" i="45"/>
  <c r="AM21" i="45" s="1"/>
  <c r="AF25" i="45"/>
  <c r="AM25" i="45" s="1"/>
  <c r="AF29" i="45"/>
  <c r="AM29" i="45" s="1"/>
  <c r="AF33" i="45"/>
  <c r="AM33" i="45" s="1"/>
  <c r="AX38" i="45"/>
  <c r="AF16" i="45"/>
  <c r="AZ66" i="45"/>
  <c r="AF20" i="45"/>
  <c r="AM20" i="45" s="1"/>
  <c r="AF24" i="45"/>
  <c r="AM24" i="45" s="1"/>
  <c r="AF28" i="45"/>
  <c r="AM28" i="45" s="1"/>
  <c r="AF32" i="45"/>
  <c r="AM32" i="45" s="1"/>
  <c r="AF35" i="45"/>
  <c r="AM35" i="45" s="1"/>
  <c r="AF47" i="45"/>
  <c r="AM47" i="45" s="1"/>
  <c r="AX47" i="45"/>
  <c r="AX50" i="45"/>
  <c r="AX46" i="45"/>
  <c r="AX56" i="45"/>
  <c r="H129" i="45"/>
  <c r="AX60" i="45"/>
  <c r="AX64" i="45"/>
  <c r="E194" i="52" l="1"/>
  <c r="AA83" i="49"/>
  <c r="AB83" i="49"/>
  <c r="AC74" i="49"/>
  <c r="L118" i="108"/>
  <c r="G167" i="49"/>
  <c r="AL66" i="45"/>
  <c r="H119" i="45" s="1"/>
  <c r="F60" i="52"/>
  <c r="BG66" i="45"/>
  <c r="I56" i="52"/>
  <c r="F29" i="52"/>
  <c r="M56" i="52"/>
  <c r="Q56" i="52"/>
  <c r="O56" i="52"/>
  <c r="S56" i="52"/>
  <c r="K56" i="52"/>
  <c r="G56" i="52"/>
  <c r="G162" i="52" s="1"/>
  <c r="G171" i="52" s="1"/>
  <c r="G246" i="52" s="1"/>
  <c r="AG43" i="45"/>
  <c r="AN43" i="45" s="1"/>
  <c r="AG40" i="45"/>
  <c r="AN40" i="45" s="1"/>
  <c r="AG19" i="45"/>
  <c r="AN19" i="45" s="1"/>
  <c r="AG39" i="45"/>
  <c r="AN39" i="45" s="1"/>
  <c r="AG37" i="45"/>
  <c r="AN37" i="45" s="1"/>
  <c r="AG27" i="45"/>
  <c r="AN27" i="45" s="1"/>
  <c r="AG50" i="45"/>
  <c r="AN50" i="45" s="1"/>
  <c r="AG61" i="45"/>
  <c r="AN61" i="45" s="1"/>
  <c r="AG45" i="45"/>
  <c r="AN45" i="45" s="1"/>
  <c r="AG21" i="45"/>
  <c r="AN21" i="45" s="1"/>
  <c r="AG64" i="45"/>
  <c r="AN64" i="45" s="1"/>
  <c r="AG55" i="45"/>
  <c r="AN55" i="45" s="1"/>
  <c r="AG23" i="45"/>
  <c r="AN23" i="45" s="1"/>
  <c r="AG17" i="45"/>
  <c r="AN17" i="45" s="1"/>
  <c r="AG41" i="45"/>
  <c r="AN41" i="45" s="1"/>
  <c r="AG59" i="45"/>
  <c r="AN59" i="45" s="1"/>
  <c r="AG35" i="45"/>
  <c r="AN35" i="45" s="1"/>
  <c r="AG53" i="45"/>
  <c r="AN53" i="45" s="1"/>
  <c r="AG29" i="45"/>
  <c r="AN29" i="45" s="1"/>
  <c r="AG52" i="45"/>
  <c r="AN52" i="45" s="1"/>
  <c r="AG54" i="45"/>
  <c r="AN54" i="45" s="1"/>
  <c r="AG58" i="45"/>
  <c r="AN58" i="45" s="1"/>
  <c r="AG31" i="45"/>
  <c r="AN31" i="45" s="1"/>
  <c r="AG49" i="45"/>
  <c r="AN49" i="45" s="1"/>
  <c r="AG44" i="45"/>
  <c r="AN44" i="45" s="1"/>
  <c r="AG26" i="45"/>
  <c r="AN26" i="45" s="1"/>
  <c r="AG34" i="45"/>
  <c r="AN34" i="45" s="1"/>
  <c r="AG57" i="45"/>
  <c r="AN57" i="45" s="1"/>
  <c r="AG62" i="45"/>
  <c r="AN62" i="45" s="1"/>
  <c r="AG22" i="45"/>
  <c r="AN22" i="45" s="1"/>
  <c r="AG33" i="45"/>
  <c r="AN33" i="45" s="1"/>
  <c r="AG63" i="45"/>
  <c r="AN63" i="45" s="1"/>
  <c r="AG32" i="45"/>
  <c r="AN32" i="45" s="1"/>
  <c r="AG65" i="45"/>
  <c r="AN65" i="45" s="1"/>
  <c r="AG25" i="45"/>
  <c r="AN25" i="45" s="1"/>
  <c r="AG38" i="45"/>
  <c r="AN38" i="45" s="1"/>
  <c r="AG42" i="45"/>
  <c r="AN42" i="45" s="1"/>
  <c r="AG56" i="45"/>
  <c r="AN56" i="45" s="1"/>
  <c r="AG51" i="45"/>
  <c r="AN51" i="45" s="1"/>
  <c r="AG24" i="45"/>
  <c r="AN24" i="45" s="1"/>
  <c r="AG36" i="45"/>
  <c r="AN36" i="45" s="1"/>
  <c r="AG47" i="45"/>
  <c r="AN47" i="45" s="1"/>
  <c r="AG46" i="45"/>
  <c r="AN46" i="45" s="1"/>
  <c r="AG60" i="45"/>
  <c r="AN60" i="45" s="1"/>
  <c r="AG18" i="45"/>
  <c r="AN18" i="45" s="1"/>
  <c r="AG28" i="45"/>
  <c r="AN28" i="45" s="1"/>
  <c r="AG20" i="45"/>
  <c r="AN20" i="45" s="1"/>
  <c r="AG30" i="45"/>
  <c r="AN30" i="45" s="1"/>
  <c r="AG16" i="45"/>
  <c r="AN16" i="45" s="1"/>
  <c r="AH15" i="45"/>
  <c r="F55" i="52"/>
  <c r="G83" i="49"/>
  <c r="AF66" i="45"/>
  <c r="F120" i="45" s="1"/>
  <c r="AM16" i="45"/>
  <c r="AU66" i="45"/>
  <c r="AT66" i="45"/>
  <c r="AC83" i="49" l="1"/>
  <c r="AD74" i="49"/>
  <c r="H167" i="49"/>
  <c r="G230" i="52"/>
  <c r="R224" i="42"/>
  <c r="AM66" i="45"/>
  <c r="H120" i="45" s="1"/>
  <c r="AN66" i="45"/>
  <c r="H121" i="45" s="1"/>
  <c r="F56" i="52"/>
  <c r="E56" i="59"/>
  <c r="F391" i="102" s="1"/>
  <c r="E83" i="52"/>
  <c r="E96" i="52" s="1"/>
  <c r="E162" i="52" s="1"/>
  <c r="E171" i="52" s="1"/>
  <c r="AG66" i="45"/>
  <c r="F121" i="45" s="1"/>
  <c r="AH41" i="45"/>
  <c r="AO41" i="45" s="1"/>
  <c r="AH33" i="45"/>
  <c r="AO33" i="45" s="1"/>
  <c r="AH24" i="45"/>
  <c r="AO24" i="45" s="1"/>
  <c r="AH29" i="45"/>
  <c r="AO29" i="45" s="1"/>
  <c r="AH25" i="45"/>
  <c r="AH36" i="45"/>
  <c r="AO36" i="45" s="1"/>
  <c r="AH63" i="45"/>
  <c r="AO63" i="45" s="1"/>
  <c r="AH59" i="45"/>
  <c r="AO59" i="45" s="1"/>
  <c r="AH55" i="45"/>
  <c r="AH64" i="45"/>
  <c r="AH60" i="45"/>
  <c r="AO60" i="45" s="1"/>
  <c r="AH56" i="45"/>
  <c r="AO56" i="45" s="1"/>
  <c r="AH65" i="45"/>
  <c r="AO65" i="45" s="1"/>
  <c r="AH61" i="45"/>
  <c r="AO61" i="45" s="1"/>
  <c r="AH57" i="45"/>
  <c r="AO57" i="45" s="1"/>
  <c r="AH50" i="45"/>
  <c r="AO50" i="45" s="1"/>
  <c r="AH46" i="45"/>
  <c r="AO46" i="45" s="1"/>
  <c r="AH51" i="45"/>
  <c r="AO51" i="45" s="1"/>
  <c r="AH47" i="45"/>
  <c r="AO47" i="45" s="1"/>
  <c r="AH43" i="45"/>
  <c r="AO43" i="45" s="1"/>
  <c r="AH53" i="45"/>
  <c r="AO53" i="45" s="1"/>
  <c r="AH45" i="45"/>
  <c r="AO45" i="45" s="1"/>
  <c r="AH38" i="45"/>
  <c r="AO38" i="45" s="1"/>
  <c r="AH62" i="45"/>
  <c r="AO62" i="45" s="1"/>
  <c r="AH58" i="45"/>
  <c r="AO58" i="45" s="1"/>
  <c r="AH49" i="45"/>
  <c r="AH48" i="45"/>
  <c r="AH42" i="45"/>
  <c r="AO42" i="45" s="1"/>
  <c r="AH39" i="45"/>
  <c r="AO39" i="45" s="1"/>
  <c r="AH35" i="45"/>
  <c r="AO35" i="45" s="1"/>
  <c r="AH37" i="45"/>
  <c r="AO37" i="45" s="1"/>
  <c r="AH30" i="45"/>
  <c r="AO30" i="45" s="1"/>
  <c r="AH26" i="45"/>
  <c r="AO26" i="45" s="1"/>
  <c r="AH22" i="45"/>
  <c r="AO22" i="45" s="1"/>
  <c r="AH18" i="45"/>
  <c r="AH54" i="45"/>
  <c r="AH34" i="45"/>
  <c r="AO34" i="45" s="1"/>
  <c r="AH31" i="45"/>
  <c r="AH27" i="45"/>
  <c r="AO27" i="45" s="1"/>
  <c r="AH23" i="45"/>
  <c r="AO23" i="45" s="1"/>
  <c r="AH19" i="45"/>
  <c r="AO19" i="45" s="1"/>
  <c r="AH44" i="45"/>
  <c r="AO44" i="45" s="1"/>
  <c r="AH40" i="45"/>
  <c r="AO40" i="45" s="1"/>
  <c r="AH28" i="45"/>
  <c r="AO28" i="45" s="1"/>
  <c r="AH32" i="45"/>
  <c r="AO32" i="45" s="1"/>
  <c r="AH16" i="45"/>
  <c r="AI15" i="45"/>
  <c r="AI16" i="45" s="1"/>
  <c r="AH17" i="45"/>
  <c r="AO17" i="45" s="1"/>
  <c r="AH21" i="45"/>
  <c r="AH20" i="45"/>
  <c r="AO20" i="45" s="1"/>
  <c r="AH52" i="45"/>
  <c r="AO52" i="45" s="1"/>
  <c r="G173" i="52"/>
  <c r="H83" i="49"/>
  <c r="AE74" i="49" l="1"/>
  <c r="AD83" i="49"/>
  <c r="I167" i="49"/>
  <c r="H78" i="52"/>
  <c r="BC16" i="45"/>
  <c r="AO49" i="45"/>
  <c r="AO18" i="45"/>
  <c r="AO64" i="45"/>
  <c r="AO54" i="45"/>
  <c r="AO55" i="45"/>
  <c r="AO48" i="45"/>
  <c r="AO25" i="45"/>
  <c r="AO31" i="45"/>
  <c r="AO21" i="45"/>
  <c r="E55" i="59"/>
  <c r="F388" i="102" s="1"/>
  <c r="AI64" i="45"/>
  <c r="AP64" i="45" s="1"/>
  <c r="AI60" i="45"/>
  <c r="AP60" i="45" s="1"/>
  <c r="AI56" i="45"/>
  <c r="AP56" i="45" s="1"/>
  <c r="AI65" i="45"/>
  <c r="AP65" i="45" s="1"/>
  <c r="AI61" i="45"/>
  <c r="AP61" i="45" s="1"/>
  <c r="AI57" i="45"/>
  <c r="AP57" i="45" s="1"/>
  <c r="AI62" i="45"/>
  <c r="AP62" i="45" s="1"/>
  <c r="AI58" i="45"/>
  <c r="AP58" i="45" s="1"/>
  <c r="AI54" i="45"/>
  <c r="AI55" i="45"/>
  <c r="AP55" i="45" s="1"/>
  <c r="AI51" i="45"/>
  <c r="AI47" i="45"/>
  <c r="AP47" i="45" s="1"/>
  <c r="AI43" i="45"/>
  <c r="AP43" i="45" s="1"/>
  <c r="AI52" i="45"/>
  <c r="AP52" i="45" s="1"/>
  <c r="AI48" i="45"/>
  <c r="AP48" i="45" s="1"/>
  <c r="AI44" i="45"/>
  <c r="AP44" i="45" s="1"/>
  <c r="AI49" i="45"/>
  <c r="AP49" i="45" s="1"/>
  <c r="AI46" i="45"/>
  <c r="AP46" i="45" s="1"/>
  <c r="AI42" i="45"/>
  <c r="AI39" i="45"/>
  <c r="AP39" i="45" s="1"/>
  <c r="AI35" i="45"/>
  <c r="AI40" i="45"/>
  <c r="AP40" i="45" s="1"/>
  <c r="AI36" i="45"/>
  <c r="AP36" i="45" s="1"/>
  <c r="AI59" i="45"/>
  <c r="AP59" i="45" s="1"/>
  <c r="AI34" i="45"/>
  <c r="AP34" i="45" s="1"/>
  <c r="AI31" i="45"/>
  <c r="AP31" i="45" s="1"/>
  <c r="AI27" i="45"/>
  <c r="AP27" i="45" s="1"/>
  <c r="AI23" i="45"/>
  <c r="AP23" i="45" s="1"/>
  <c r="AI19" i="45"/>
  <c r="AI32" i="45"/>
  <c r="AP32" i="45" s="1"/>
  <c r="AI28" i="45"/>
  <c r="AP28" i="45" s="1"/>
  <c r="AI24" i="45"/>
  <c r="AP24" i="45" s="1"/>
  <c r="AI20" i="45"/>
  <c r="AP20" i="45" s="1"/>
  <c r="AJ15" i="45"/>
  <c r="AI41" i="45"/>
  <c r="AP41" i="45" s="1"/>
  <c r="AI38" i="45"/>
  <c r="AP38" i="45" s="1"/>
  <c r="AI29" i="45"/>
  <c r="AI45" i="45"/>
  <c r="AP45" i="45" s="1"/>
  <c r="AI33" i="45"/>
  <c r="AP33" i="45" s="1"/>
  <c r="AI50" i="45"/>
  <c r="AI25" i="45"/>
  <c r="AP25" i="45" s="1"/>
  <c r="AI21" i="45"/>
  <c r="AP21" i="45" s="1"/>
  <c r="AI18" i="45"/>
  <c r="AP18" i="45" s="1"/>
  <c r="AI17" i="45"/>
  <c r="AP17" i="45" s="1"/>
  <c r="AI63" i="45"/>
  <c r="AP63" i="45" s="1"/>
  <c r="AI37" i="45"/>
  <c r="AI53" i="45"/>
  <c r="AP53" i="45" s="1"/>
  <c r="AI26" i="45"/>
  <c r="AI30" i="45"/>
  <c r="AI22" i="45"/>
  <c r="AP22" i="45" s="1"/>
  <c r="AH66" i="45"/>
  <c r="F122" i="45" s="1"/>
  <c r="AO16" i="45"/>
  <c r="I83" i="49"/>
  <c r="AP54" i="45" l="1"/>
  <c r="BC54" i="45"/>
  <c r="AE83" i="49"/>
  <c r="AF74" i="49"/>
  <c r="H83" i="52"/>
  <c r="H96" i="52" s="1"/>
  <c r="H162" i="52" s="1"/>
  <c r="H171" i="52" s="1"/>
  <c r="BC55" i="45"/>
  <c r="J167" i="49"/>
  <c r="BC25" i="45"/>
  <c r="BC48" i="45"/>
  <c r="BC18" i="45"/>
  <c r="BC60" i="45"/>
  <c r="BC58" i="45"/>
  <c r="BC62" i="45"/>
  <c r="BC63" i="45"/>
  <c r="BC34" i="45"/>
  <c r="BC39" i="45"/>
  <c r="BC45" i="45"/>
  <c r="BC40" i="45"/>
  <c r="BC33" i="45"/>
  <c r="BC44" i="45"/>
  <c r="BC52" i="45"/>
  <c r="BC59" i="45"/>
  <c r="AP19" i="45"/>
  <c r="BC19" i="45"/>
  <c r="BC32" i="45"/>
  <c r="AP50" i="45"/>
  <c r="BC50" i="45"/>
  <c r="BC21" i="45"/>
  <c r="AP30" i="45"/>
  <c r="BC30" i="45"/>
  <c r="BC43" i="45"/>
  <c r="BC31" i="45"/>
  <c r="BC36" i="45"/>
  <c r="BC41" i="45"/>
  <c r="BC53" i="45"/>
  <c r="BC28" i="45"/>
  <c r="BC46" i="45"/>
  <c r="AP29" i="45"/>
  <c r="BC29" i="45"/>
  <c r="AP51" i="45"/>
  <c r="BC51" i="45"/>
  <c r="BC23" i="45"/>
  <c r="BC65" i="45"/>
  <c r="BC27" i="45"/>
  <c r="BC38" i="45"/>
  <c r="BC61" i="45"/>
  <c r="BC24" i="45"/>
  <c r="BC64" i="45"/>
  <c r="BC49" i="45"/>
  <c r="AP26" i="45"/>
  <c r="BC26" i="45"/>
  <c r="BC47" i="45"/>
  <c r="AP37" i="45"/>
  <c r="BC37" i="45"/>
  <c r="BC57" i="45"/>
  <c r="BC22" i="45"/>
  <c r="AP35" i="45"/>
  <c r="BC35" i="45"/>
  <c r="AP42" i="45"/>
  <c r="BC42" i="45"/>
  <c r="BC20" i="45"/>
  <c r="BC56" i="45"/>
  <c r="BC17" i="45"/>
  <c r="AO66" i="45"/>
  <c r="H122" i="45" s="1"/>
  <c r="AJ65" i="45"/>
  <c r="AQ65" i="45" s="1"/>
  <c r="AJ61" i="45"/>
  <c r="AQ61" i="45" s="1"/>
  <c r="AJ57" i="45"/>
  <c r="AQ57" i="45" s="1"/>
  <c r="AJ62" i="45"/>
  <c r="AQ62" i="45" s="1"/>
  <c r="AJ58" i="45"/>
  <c r="AQ58" i="45" s="1"/>
  <c r="AJ54" i="45"/>
  <c r="AQ54" i="45" s="1"/>
  <c r="AJ63" i="45"/>
  <c r="AQ63" i="45" s="1"/>
  <c r="AJ59" i="45"/>
  <c r="AQ59" i="45" s="1"/>
  <c r="AJ55" i="45"/>
  <c r="AQ55" i="45" s="1"/>
  <c r="AJ64" i="45"/>
  <c r="AQ64" i="45" s="1"/>
  <c r="AJ60" i="45"/>
  <c r="AQ60" i="45" s="1"/>
  <c r="AJ52" i="45"/>
  <c r="AQ52" i="45" s="1"/>
  <c r="AJ48" i="45"/>
  <c r="AQ48" i="45" s="1"/>
  <c r="AJ44" i="45"/>
  <c r="AQ44" i="45" s="1"/>
  <c r="AJ56" i="45"/>
  <c r="AQ56" i="45" s="1"/>
  <c r="AJ53" i="45"/>
  <c r="AQ53" i="45" s="1"/>
  <c r="AJ49" i="45"/>
  <c r="AQ49" i="45" s="1"/>
  <c r="AJ45" i="45"/>
  <c r="AQ45" i="45" s="1"/>
  <c r="AJ47" i="45"/>
  <c r="AQ47" i="45" s="1"/>
  <c r="AJ40" i="45"/>
  <c r="AQ40" i="45" s="1"/>
  <c r="AJ36" i="45"/>
  <c r="AQ36" i="45" s="1"/>
  <c r="AJ41" i="45"/>
  <c r="AQ41" i="45" s="1"/>
  <c r="AJ37" i="45"/>
  <c r="AQ37" i="45" s="1"/>
  <c r="AJ46" i="45"/>
  <c r="AQ46" i="45" s="1"/>
  <c r="AJ32" i="45"/>
  <c r="AQ32" i="45" s="1"/>
  <c r="AJ28" i="45"/>
  <c r="AQ28" i="45" s="1"/>
  <c r="AJ24" i="45"/>
  <c r="AQ24" i="45" s="1"/>
  <c r="AJ20" i="45"/>
  <c r="AQ20" i="45" s="1"/>
  <c r="AJ16" i="45"/>
  <c r="AK15" i="45"/>
  <c r="AJ43" i="45"/>
  <c r="AQ43" i="45" s="1"/>
  <c r="AJ39" i="45"/>
  <c r="AQ39" i="45" s="1"/>
  <c r="AJ38" i="45"/>
  <c r="AQ38" i="45" s="1"/>
  <c r="AJ33" i="45"/>
  <c r="AQ33" i="45" s="1"/>
  <c r="AJ29" i="45"/>
  <c r="AQ29" i="45" s="1"/>
  <c r="AJ25" i="45"/>
  <c r="AQ25" i="45" s="1"/>
  <c r="AJ21" i="45"/>
  <c r="AQ21" i="45" s="1"/>
  <c r="AJ17" i="45"/>
  <c r="AQ17" i="45" s="1"/>
  <c r="AJ51" i="45"/>
  <c r="AQ51" i="45" s="1"/>
  <c r="AJ50" i="45"/>
  <c r="AQ50" i="45" s="1"/>
  <c r="AJ42" i="45"/>
  <c r="AQ42" i="45" s="1"/>
  <c r="AJ30" i="45"/>
  <c r="AQ30" i="45" s="1"/>
  <c r="AJ35" i="45"/>
  <c r="AQ35" i="45" s="1"/>
  <c r="AJ27" i="45"/>
  <c r="AQ27" i="45" s="1"/>
  <c r="AJ22" i="45"/>
  <c r="AQ22" i="45" s="1"/>
  <c r="AJ19" i="45"/>
  <c r="AQ19" i="45" s="1"/>
  <c r="AJ31" i="45"/>
  <c r="AQ31" i="45" s="1"/>
  <c r="AJ23" i="45"/>
  <c r="AQ23" i="45" s="1"/>
  <c r="AJ34" i="45"/>
  <c r="AQ34" i="45" s="1"/>
  <c r="AJ26" i="45"/>
  <c r="AQ26" i="45" s="1"/>
  <c r="AJ18" i="45"/>
  <c r="AQ18" i="45" s="1"/>
  <c r="AI66" i="45"/>
  <c r="AP16" i="45"/>
  <c r="J83" i="49"/>
  <c r="E54" i="59" l="1"/>
  <c r="F385" i="102" s="1"/>
  <c r="AF83" i="49"/>
  <c r="AG74" i="49"/>
  <c r="H246" i="52"/>
  <c r="H173" i="52"/>
  <c r="H230" i="52"/>
  <c r="K167" i="49"/>
  <c r="I78" i="52"/>
  <c r="BC66" i="45"/>
  <c r="Q18" i="59" s="1"/>
  <c r="C19" i="59" s="1"/>
  <c r="F369" i="102" s="1"/>
  <c r="AP66" i="45"/>
  <c r="H123" i="45" s="1"/>
  <c r="F123" i="45"/>
  <c r="AK62" i="45"/>
  <c r="AR62" i="45" s="1"/>
  <c r="AK58" i="45"/>
  <c r="AR58" i="45" s="1"/>
  <c r="AK63" i="45"/>
  <c r="AR63" i="45" s="1"/>
  <c r="AK59" i="45"/>
  <c r="AR59" i="45" s="1"/>
  <c r="AK55" i="45"/>
  <c r="AR55" i="45" s="1"/>
  <c r="AK64" i="45"/>
  <c r="AR64" i="45" s="1"/>
  <c r="AK60" i="45"/>
  <c r="AR60" i="45" s="1"/>
  <c r="AK56" i="45"/>
  <c r="AR56" i="45" s="1"/>
  <c r="AK53" i="45"/>
  <c r="AR53" i="45" s="1"/>
  <c r="AK49" i="45"/>
  <c r="AR49" i="45" s="1"/>
  <c r="AK45" i="45"/>
  <c r="AR45" i="45" s="1"/>
  <c r="AK65" i="45"/>
  <c r="AR65" i="45" s="1"/>
  <c r="AK50" i="45"/>
  <c r="AR50" i="45" s="1"/>
  <c r="AK46" i="45"/>
  <c r="AR46" i="45" s="1"/>
  <c r="AK42" i="45"/>
  <c r="AR42" i="45" s="1"/>
  <c r="AK61" i="45"/>
  <c r="AR61" i="45" s="1"/>
  <c r="AK57" i="45"/>
  <c r="AR57" i="45" s="1"/>
  <c r="AK48" i="45"/>
  <c r="AR48" i="45" s="1"/>
  <c r="AK41" i="45"/>
  <c r="AR41" i="45" s="1"/>
  <c r="AK37" i="45"/>
  <c r="AR37" i="45" s="1"/>
  <c r="AK54" i="45"/>
  <c r="AR54" i="45" s="1"/>
  <c r="AK51" i="45"/>
  <c r="AR51" i="45" s="1"/>
  <c r="AK43" i="45"/>
  <c r="AR43" i="45" s="1"/>
  <c r="AK38" i="45"/>
  <c r="AR38" i="45" s="1"/>
  <c r="AK34" i="45"/>
  <c r="AR34" i="45" s="1"/>
  <c r="AK39" i="45"/>
  <c r="AR39" i="45" s="1"/>
  <c r="AK33" i="45"/>
  <c r="AR33" i="45" s="1"/>
  <c r="AK29" i="45"/>
  <c r="AR29" i="45" s="1"/>
  <c r="AK25" i="45"/>
  <c r="AR25" i="45" s="1"/>
  <c r="AK21" i="45"/>
  <c r="AR21" i="45" s="1"/>
  <c r="AK17" i="45"/>
  <c r="AR17" i="45" s="1"/>
  <c r="AK44" i="45"/>
  <c r="AR44" i="45" s="1"/>
  <c r="AK40" i="45"/>
  <c r="AR40" i="45" s="1"/>
  <c r="AK35" i="45"/>
  <c r="AR35" i="45" s="1"/>
  <c r="AK30" i="45"/>
  <c r="AR30" i="45" s="1"/>
  <c r="AK26" i="45"/>
  <c r="AR26" i="45" s="1"/>
  <c r="AK22" i="45"/>
  <c r="AR22" i="45" s="1"/>
  <c r="AK18" i="45"/>
  <c r="AR18" i="45" s="1"/>
  <c r="AK52" i="45"/>
  <c r="AR52" i="45" s="1"/>
  <c r="AK36" i="45"/>
  <c r="AR36" i="45" s="1"/>
  <c r="AK27" i="45"/>
  <c r="AR27" i="45" s="1"/>
  <c r="AK31" i="45"/>
  <c r="AR31" i="45" s="1"/>
  <c r="AK23" i="45"/>
  <c r="AR23" i="45" s="1"/>
  <c r="AK16" i="45"/>
  <c r="AK19" i="45"/>
  <c r="AR19" i="45" s="1"/>
  <c r="AK47" i="45"/>
  <c r="AR47" i="45" s="1"/>
  <c r="AK32" i="45"/>
  <c r="AR32" i="45" s="1"/>
  <c r="AK24" i="45"/>
  <c r="AR24" i="45" s="1"/>
  <c r="AK28" i="45"/>
  <c r="AR28" i="45" s="1"/>
  <c r="AK20" i="45"/>
  <c r="AR20" i="45" s="1"/>
  <c r="AJ66" i="45"/>
  <c r="AQ16" i="45"/>
  <c r="K83" i="49"/>
  <c r="C111" i="42"/>
  <c r="C110" i="42"/>
  <c r="AG83" i="49" l="1"/>
  <c r="AH74" i="49"/>
  <c r="I83" i="52"/>
  <c r="I96" i="52" s="1"/>
  <c r="I162" i="52" s="1"/>
  <c r="I171" i="52" s="1"/>
  <c r="L167" i="49"/>
  <c r="AQ66" i="45"/>
  <c r="H124" i="45" s="1"/>
  <c r="F124" i="45"/>
  <c r="E134" i="42"/>
  <c r="AK66" i="45"/>
  <c r="F125" i="45" s="1"/>
  <c r="AR16" i="45"/>
  <c r="L83" i="49"/>
  <c r="D128" i="42"/>
  <c r="E141" i="42"/>
  <c r="D125" i="42"/>
  <c r="E139" i="42"/>
  <c r="AI74" i="49" l="1"/>
  <c r="AH83" i="49"/>
  <c r="I246" i="52"/>
  <c r="I230" i="52"/>
  <c r="I173" i="52"/>
  <c r="M167" i="49"/>
  <c r="J78" i="52"/>
  <c r="F126" i="45"/>
  <c r="AR66" i="45"/>
  <c r="H125" i="45" s="1"/>
  <c r="H126" i="45" s="1"/>
  <c r="H130" i="45" s="1"/>
  <c r="D139" i="42"/>
  <c r="D134" i="42"/>
  <c r="M141" i="42" s="1"/>
  <c r="E140" i="42"/>
  <c r="D124" i="42"/>
  <c r="E31" i="42"/>
  <c r="E138" i="42"/>
  <c r="D138" i="42"/>
  <c r="D141" i="42"/>
  <c r="D142" i="42"/>
  <c r="E142" i="42"/>
  <c r="E145" i="42"/>
  <c r="D145" i="42"/>
  <c r="F31" i="42"/>
  <c r="M83" i="49"/>
  <c r="N140" i="42" l="1"/>
  <c r="N141" i="42"/>
  <c r="M139" i="42"/>
  <c r="M140" i="42"/>
  <c r="N139" i="42"/>
  <c r="N133" i="42"/>
  <c r="N134" i="42"/>
  <c r="N137" i="42"/>
  <c r="N138" i="42"/>
  <c r="N135" i="42"/>
  <c r="N136" i="42"/>
  <c r="M137" i="42"/>
  <c r="M138" i="42"/>
  <c r="M135" i="42"/>
  <c r="M136" i="42"/>
  <c r="M133" i="42"/>
  <c r="M134" i="42"/>
  <c r="G17" i="65"/>
  <c r="F583" i="102" s="1"/>
  <c r="Q19" i="59"/>
  <c r="E19" i="59" s="1"/>
  <c r="F370" i="102" s="1"/>
  <c r="AJ74" i="49"/>
  <c r="AI83" i="49"/>
  <c r="J83" i="52"/>
  <c r="J96" i="52" s="1"/>
  <c r="J162" i="52" s="1"/>
  <c r="J171" i="52" s="1"/>
  <c r="N167" i="49"/>
  <c r="F130" i="45"/>
  <c r="D140" i="42"/>
  <c r="AK149" i="42"/>
  <c r="AK159" i="42"/>
  <c r="AK153" i="42"/>
  <c r="AK162" i="42"/>
  <c r="AK152" i="42"/>
  <c r="AK139" i="42"/>
  <c r="AK154" i="42"/>
  <c r="AK141" i="42"/>
  <c r="AK146" i="42"/>
  <c r="AK156" i="42"/>
  <c r="AK134" i="42"/>
  <c r="AK147" i="42"/>
  <c r="AK144" i="42"/>
  <c r="AK158" i="42"/>
  <c r="AK151" i="42"/>
  <c r="AK150" i="42"/>
  <c r="AK135" i="42"/>
  <c r="AK155" i="42"/>
  <c r="AK160" i="42"/>
  <c r="AK137" i="42"/>
  <c r="AK136" i="42"/>
  <c r="AK157" i="42"/>
  <c r="AK138" i="42"/>
  <c r="AK143" i="42"/>
  <c r="AK140" i="42"/>
  <c r="AK145" i="42"/>
  <c r="AK161" i="42"/>
  <c r="AK148" i="42"/>
  <c r="AK142" i="42"/>
  <c r="N83" i="49"/>
  <c r="K319" i="42"/>
  <c r="K318" i="42"/>
  <c r="K317" i="42"/>
  <c r="K316" i="42"/>
  <c r="K315" i="42"/>
  <c r="K314" i="42"/>
  <c r="K313" i="42"/>
  <c r="K312" i="42"/>
  <c r="K311" i="42"/>
  <c r="K310" i="42"/>
  <c r="K309" i="42"/>
  <c r="K308" i="42"/>
  <c r="I315" i="42"/>
  <c r="I319" i="42"/>
  <c r="I318" i="42"/>
  <c r="I317" i="42"/>
  <c r="I316" i="42"/>
  <c r="I314" i="42"/>
  <c r="I313" i="42"/>
  <c r="I312" i="42"/>
  <c r="I311" i="42"/>
  <c r="I310" i="42"/>
  <c r="I309" i="42"/>
  <c r="I308" i="42"/>
  <c r="G319" i="42"/>
  <c r="G318" i="42"/>
  <c r="G317" i="42"/>
  <c r="G316" i="42"/>
  <c r="G315" i="42"/>
  <c r="G314" i="42"/>
  <c r="G313" i="42"/>
  <c r="G312" i="42"/>
  <c r="G311" i="42"/>
  <c r="G310" i="42"/>
  <c r="G309" i="42"/>
  <c r="G308" i="42"/>
  <c r="M50" i="109" l="1"/>
  <c r="E24" i="59"/>
  <c r="G56" i="59"/>
  <c r="E93" i="59"/>
  <c r="F123" i="59"/>
  <c r="S186" i="68"/>
  <c r="S188" i="68" s="1"/>
  <c r="S190" i="68"/>
  <c r="S191" i="68" s="1"/>
  <c r="S163" i="68"/>
  <c r="S164" i="68" s="1"/>
  <c r="S170" i="68"/>
  <c r="S172" i="68" s="1"/>
  <c r="S173" i="68" s="1"/>
  <c r="G55" i="59"/>
  <c r="G54" i="59"/>
  <c r="AK74" i="49"/>
  <c r="AJ83" i="49"/>
  <c r="AK133" i="42"/>
  <c r="L123" i="108"/>
  <c r="D113" i="47"/>
  <c r="C110" i="52" s="1" a="1"/>
  <c r="C110" i="52" s="1"/>
  <c r="J230" i="52"/>
  <c r="J246" i="52"/>
  <c r="J173" i="52"/>
  <c r="I82" i="108"/>
  <c r="I77" i="108"/>
  <c r="I78" i="108"/>
  <c r="I80" i="108"/>
  <c r="I76" i="108"/>
  <c r="I79" i="108"/>
  <c r="I83" i="108"/>
  <c r="I81" i="108"/>
  <c r="B8" i="88"/>
  <c r="M63" i="109"/>
  <c r="N26" i="47"/>
  <c r="N38" i="47"/>
  <c r="N52" i="47"/>
  <c r="N65" i="47"/>
  <c r="N79" i="47"/>
  <c r="N92" i="47"/>
  <c r="N106" i="47"/>
  <c r="N119" i="47"/>
  <c r="N132" i="47"/>
  <c r="N146" i="47"/>
  <c r="N159" i="47"/>
  <c r="F181" i="102" s="1"/>
  <c r="N19" i="47"/>
  <c r="N12" i="47"/>
  <c r="J39" i="105"/>
  <c r="J66" i="105"/>
  <c r="J80" i="105"/>
  <c r="J93" i="105"/>
  <c r="J106" i="105"/>
  <c r="J119" i="105"/>
  <c r="J145" i="105"/>
  <c r="J159" i="105"/>
  <c r="J186" i="105"/>
  <c r="J213" i="105"/>
  <c r="J19" i="105"/>
  <c r="N43" i="47"/>
  <c r="N110" i="47"/>
  <c r="N138" i="47"/>
  <c r="N163" i="47"/>
  <c r="J71" i="105"/>
  <c r="J110" i="105"/>
  <c r="J136" i="105"/>
  <c r="J177" i="105"/>
  <c r="J232" i="105"/>
  <c r="N84" i="47"/>
  <c r="J58" i="105"/>
  <c r="J125" i="105"/>
  <c r="J178" i="105"/>
  <c r="N27" i="47"/>
  <c r="N39" i="47"/>
  <c r="N53" i="47"/>
  <c r="N66" i="47"/>
  <c r="N80" i="47"/>
  <c r="N93" i="47"/>
  <c r="N107" i="47"/>
  <c r="N120" i="47"/>
  <c r="N133" i="47"/>
  <c r="N147" i="47"/>
  <c r="N160" i="47"/>
  <c r="J41" i="105"/>
  <c r="J54" i="105"/>
  <c r="J67" i="105"/>
  <c r="J81" i="105"/>
  <c r="J94" i="105"/>
  <c r="J107" i="105"/>
  <c r="J120" i="105"/>
  <c r="J133" i="105"/>
  <c r="J146" i="105"/>
  <c r="J160" i="105"/>
  <c r="J174" i="105"/>
  <c r="J187" i="105"/>
  <c r="J201" i="105"/>
  <c r="J215" i="105"/>
  <c r="J228" i="105"/>
  <c r="J243" i="105"/>
  <c r="J29" i="105"/>
  <c r="N30" i="47"/>
  <c r="N83" i="47"/>
  <c r="N123" i="47"/>
  <c r="N151" i="47"/>
  <c r="J44" i="105"/>
  <c r="J97" i="105"/>
  <c r="J124" i="105"/>
  <c r="J150" i="105"/>
  <c r="J204" i="105"/>
  <c r="J246" i="105"/>
  <c r="J10" i="105"/>
  <c r="N31" i="47"/>
  <c r="J111" i="105"/>
  <c r="J205" i="105"/>
  <c r="N28" i="47"/>
  <c r="N41" i="47"/>
  <c r="N54" i="47"/>
  <c r="N67" i="47"/>
  <c r="N81" i="47"/>
  <c r="N94" i="47"/>
  <c r="N108" i="47"/>
  <c r="N121" i="47"/>
  <c r="N136" i="47"/>
  <c r="N148" i="47"/>
  <c r="N161" i="47"/>
  <c r="J42" i="105"/>
  <c r="J55" i="105"/>
  <c r="J69" i="105"/>
  <c r="J82" i="105"/>
  <c r="J95" i="105"/>
  <c r="J108" i="105"/>
  <c r="J121" i="105"/>
  <c r="J134" i="105"/>
  <c r="J148" i="105"/>
  <c r="J161" i="105"/>
  <c r="J175" i="105"/>
  <c r="J188" i="105"/>
  <c r="J202" i="105"/>
  <c r="J216" i="105"/>
  <c r="J229" i="105"/>
  <c r="J244" i="105"/>
  <c r="N56" i="47"/>
  <c r="J57" i="105"/>
  <c r="J190" i="105"/>
  <c r="N44" i="47"/>
  <c r="J98" i="105"/>
  <c r="J192" i="105"/>
  <c r="N29" i="47"/>
  <c r="N42" i="47"/>
  <c r="N55" i="47"/>
  <c r="N68" i="47"/>
  <c r="N82" i="47"/>
  <c r="N95" i="47"/>
  <c r="N109" i="47"/>
  <c r="N122" i="47"/>
  <c r="N137" i="47"/>
  <c r="N149" i="47"/>
  <c r="N162" i="47"/>
  <c r="J43" i="105"/>
  <c r="J56" i="105"/>
  <c r="J70" i="105"/>
  <c r="J83" i="105"/>
  <c r="J96" i="105"/>
  <c r="J109" i="105"/>
  <c r="J122" i="105"/>
  <c r="J135" i="105"/>
  <c r="J149" i="105"/>
  <c r="J162" i="105"/>
  <c r="J176" i="105"/>
  <c r="J189" i="105"/>
  <c r="J203" i="105"/>
  <c r="J217" i="105"/>
  <c r="J230" i="105"/>
  <c r="J245" i="105"/>
  <c r="J9" i="105"/>
  <c r="N69" i="47"/>
  <c r="J84" i="105"/>
  <c r="J218" i="105"/>
  <c r="N70" i="47"/>
  <c r="J45" i="105"/>
  <c r="J138" i="105"/>
  <c r="J233" i="105"/>
  <c r="J72" i="105"/>
  <c r="N171" i="47"/>
  <c r="N97" i="47"/>
  <c r="N112" i="47"/>
  <c r="N125" i="47"/>
  <c r="N139" i="47"/>
  <c r="N152" i="47"/>
  <c r="N164" i="47"/>
  <c r="J240" i="105"/>
  <c r="J85" i="105"/>
  <c r="J164" i="105"/>
  <c r="J247" i="105"/>
  <c r="N20" i="47"/>
  <c r="N32" i="47"/>
  <c r="N45" i="47"/>
  <c r="N58" i="47"/>
  <c r="N71" i="47"/>
  <c r="N85" i="47"/>
  <c r="N113" i="47"/>
  <c r="N126" i="47"/>
  <c r="N140" i="47"/>
  <c r="N153" i="47"/>
  <c r="J33" i="105"/>
  <c r="J46" i="105"/>
  <c r="J60" i="105"/>
  <c r="J73" i="105"/>
  <c r="J86" i="105"/>
  <c r="J99" i="105"/>
  <c r="J112" i="105"/>
  <c r="J126" i="105"/>
  <c r="J139" i="105"/>
  <c r="J152" i="105"/>
  <c r="J166" i="105"/>
  <c r="J179" i="105"/>
  <c r="J193" i="105"/>
  <c r="N21" i="47"/>
  <c r="N33" i="47"/>
  <c r="N46" i="47"/>
  <c r="N59" i="47"/>
  <c r="N72" i="47"/>
  <c r="N87" i="47"/>
  <c r="N101" i="47"/>
  <c r="N114" i="47"/>
  <c r="N127" i="47"/>
  <c r="N141" i="47"/>
  <c r="N154" i="47"/>
  <c r="N167" i="47"/>
  <c r="J34" i="105"/>
  <c r="J47" i="105"/>
  <c r="J61" i="105"/>
  <c r="J74" i="105"/>
  <c r="J87" i="105"/>
  <c r="J100" i="105"/>
  <c r="J114" i="105"/>
  <c r="J127" i="105"/>
  <c r="J140" i="105"/>
  <c r="J153" i="105"/>
  <c r="J167" i="105"/>
  <c r="J181" i="105"/>
  <c r="J194" i="105"/>
  <c r="J208" i="105"/>
  <c r="J222" i="105"/>
  <c r="J235" i="105"/>
  <c r="N22" i="47"/>
  <c r="N34" i="47"/>
  <c r="N47" i="47"/>
  <c r="N60" i="47"/>
  <c r="N74" i="47"/>
  <c r="N88" i="47"/>
  <c r="N102" i="47"/>
  <c r="N115" i="47"/>
  <c r="N128" i="47"/>
  <c r="N142" i="47"/>
  <c r="N155" i="47"/>
  <c r="N168" i="47"/>
  <c r="J35" i="105"/>
  <c r="J48" i="105"/>
  <c r="J62" i="105"/>
  <c r="J75" i="105"/>
  <c r="J88" i="105"/>
  <c r="J101" i="105"/>
  <c r="J115" i="105"/>
  <c r="J128" i="105"/>
  <c r="J141" i="105"/>
  <c r="J154" i="105"/>
  <c r="J168" i="105"/>
  <c r="J182" i="105"/>
  <c r="J195" i="105"/>
  <c r="N23" i="47"/>
  <c r="N35" i="47"/>
  <c r="N48" i="47"/>
  <c r="N61" i="47"/>
  <c r="N75" i="47"/>
  <c r="N89" i="47"/>
  <c r="N103" i="47"/>
  <c r="N116" i="47"/>
  <c r="N129" i="47"/>
  <c r="N143" i="47"/>
  <c r="N156" i="47"/>
  <c r="N169" i="47"/>
  <c r="N16" i="47"/>
  <c r="J36" i="105"/>
  <c r="J49" i="105"/>
  <c r="J63" i="105"/>
  <c r="J76" i="105"/>
  <c r="J89" i="105"/>
  <c r="J103" i="105"/>
  <c r="J116" i="105"/>
  <c r="J129" i="105"/>
  <c r="J142" i="105"/>
  <c r="J156" i="105"/>
  <c r="J169" i="105"/>
  <c r="J183" i="105"/>
  <c r="J196" i="105"/>
  <c r="J210" i="105"/>
  <c r="J224" i="105"/>
  <c r="J237" i="105"/>
  <c r="N24" i="47"/>
  <c r="N36" i="47"/>
  <c r="N49" i="47"/>
  <c r="N62" i="47"/>
  <c r="N77" i="47"/>
  <c r="N90" i="47"/>
  <c r="N104" i="47"/>
  <c r="N117" i="47"/>
  <c r="N130" i="47"/>
  <c r="N144" i="47"/>
  <c r="N157" i="47"/>
  <c r="N170" i="47"/>
  <c r="N13" i="47"/>
  <c r="J37" i="105"/>
  <c r="J50" i="105"/>
  <c r="J64" i="105"/>
  <c r="J77" i="105"/>
  <c r="J90" i="105"/>
  <c r="J104" i="105"/>
  <c r="J117" i="105"/>
  <c r="J130" i="105"/>
  <c r="J143" i="105"/>
  <c r="J157" i="105"/>
  <c r="J170" i="105"/>
  <c r="J184" i="105"/>
  <c r="J197" i="105"/>
  <c r="J211" i="105"/>
  <c r="J225" i="105"/>
  <c r="J238" i="105"/>
  <c r="J31" i="105"/>
  <c r="J26" i="105"/>
  <c r="J16" i="105"/>
  <c r="N25" i="47"/>
  <c r="N37" i="47"/>
  <c r="N51" i="47"/>
  <c r="N63" i="47"/>
  <c r="N78" i="47"/>
  <c r="N91" i="47"/>
  <c r="N105" i="47"/>
  <c r="N118" i="47"/>
  <c r="N131" i="47"/>
  <c r="N145" i="47"/>
  <c r="N158" i="47"/>
  <c r="N172" i="47"/>
  <c r="N14" i="47"/>
  <c r="J38" i="105"/>
  <c r="J52" i="105"/>
  <c r="J65" i="105"/>
  <c r="J79" i="105"/>
  <c r="J92" i="105"/>
  <c r="J105" i="105"/>
  <c r="J118" i="105"/>
  <c r="J131" i="105"/>
  <c r="J144" i="105"/>
  <c r="J158" i="105"/>
  <c r="J171" i="105"/>
  <c r="J185" i="105"/>
  <c r="J199" i="105"/>
  <c r="J212" i="105"/>
  <c r="J226" i="105"/>
  <c r="J241" i="105"/>
  <c r="J27" i="105"/>
  <c r="J20" i="105"/>
  <c r="J8" i="105"/>
  <c r="J7" i="105"/>
  <c r="J53" i="105"/>
  <c r="J132" i="105"/>
  <c r="J173" i="105"/>
  <c r="J200" i="105"/>
  <c r="J227" i="105"/>
  <c r="J242" i="105"/>
  <c r="J28" i="105"/>
  <c r="J17" i="105"/>
  <c r="N96" i="47"/>
  <c r="J163" i="105"/>
  <c r="N57" i="47"/>
  <c r="J151" i="105"/>
  <c r="J249" i="105"/>
  <c r="J24" i="105"/>
  <c r="J250" i="105"/>
  <c r="J25" i="105"/>
  <c r="J11" i="105"/>
  <c r="J32" i="105"/>
  <c r="J12" i="105"/>
  <c r="J13" i="105"/>
  <c r="J207" i="105"/>
  <c r="J14" i="105"/>
  <c r="J209" i="105"/>
  <c r="J15" i="105"/>
  <c r="J219" i="105"/>
  <c r="J234" i="105"/>
  <c r="J236" i="105"/>
  <c r="J22" i="105"/>
  <c r="J248" i="105"/>
  <c r="J23" i="105"/>
  <c r="J220" i="105"/>
  <c r="J223" i="105"/>
  <c r="J21" i="105"/>
  <c r="O167" i="49"/>
  <c r="N15" i="47"/>
  <c r="G128" i="45"/>
  <c r="G129" i="45"/>
  <c r="G119" i="45"/>
  <c r="G120" i="45"/>
  <c r="G121" i="45"/>
  <c r="G122" i="45"/>
  <c r="G123" i="45"/>
  <c r="G125" i="45"/>
  <c r="G124" i="45"/>
  <c r="G126" i="45"/>
  <c r="AR321" i="105"/>
  <c r="AR360" i="105"/>
  <c r="AR368" i="105"/>
  <c r="AR340" i="105"/>
  <c r="AR295" i="105"/>
  <c r="AR359" i="105"/>
  <c r="AR272" i="105"/>
  <c r="AR351" i="105"/>
  <c r="AR286" i="105"/>
  <c r="AR344" i="105"/>
  <c r="AR259" i="105"/>
  <c r="AR355" i="105"/>
  <c r="AR353" i="105"/>
  <c r="AR382" i="105"/>
  <c r="AR298" i="105"/>
  <c r="AR258" i="105"/>
  <c r="AR348" i="105"/>
  <c r="AR310" i="105"/>
  <c r="AR314" i="105"/>
  <c r="AR335" i="105"/>
  <c r="AR384" i="105"/>
  <c r="AR287" i="105"/>
  <c r="AR345" i="105"/>
  <c r="AR280" i="105"/>
  <c r="AR388" i="105"/>
  <c r="AR270" i="105"/>
  <c r="AR349" i="105"/>
  <c r="AR341" i="105"/>
  <c r="AR275" i="105"/>
  <c r="AR284" i="105"/>
  <c r="AR337" i="105"/>
  <c r="AR347" i="105"/>
  <c r="AR281" i="105"/>
  <c r="AR389" i="105"/>
  <c r="AR379" i="105"/>
  <c r="AR372" i="105"/>
  <c r="AR279" i="105"/>
  <c r="AR296" i="105"/>
  <c r="AR401" i="105"/>
  <c r="AR342" i="105"/>
  <c r="AR393" i="105"/>
  <c r="AR300" i="105"/>
  <c r="AR299" i="105"/>
  <c r="AR377" i="105"/>
  <c r="AR292" i="105"/>
  <c r="AR370" i="105"/>
  <c r="AR303" i="105"/>
  <c r="AR381" i="105"/>
  <c r="AR400" i="105"/>
  <c r="AR311" i="105"/>
  <c r="AR357" i="105"/>
  <c r="AR304" i="105"/>
  <c r="AR386" i="105"/>
  <c r="AR395" i="105"/>
  <c r="AR399" i="105"/>
  <c r="AR405" i="105"/>
  <c r="AR307" i="105"/>
  <c r="AR293" i="105"/>
  <c r="AR371" i="105"/>
  <c r="AR312" i="105"/>
  <c r="AR409" i="105"/>
  <c r="AR297" i="105"/>
  <c r="AR375" i="105"/>
  <c r="AR326" i="105"/>
  <c r="AR319" i="105"/>
  <c r="AR408" i="105"/>
  <c r="AR261" i="105"/>
  <c r="AR383" i="105"/>
  <c r="AR367" i="105"/>
  <c r="AR374" i="105"/>
  <c r="AR306" i="105"/>
  <c r="AR273" i="105"/>
  <c r="AR336" i="105"/>
  <c r="AR313" i="105"/>
  <c r="AR410" i="105"/>
  <c r="AR325" i="105"/>
  <c r="AR403" i="105"/>
  <c r="AR291" i="105"/>
  <c r="AR369" i="105"/>
  <c r="AR263" i="105"/>
  <c r="AR404" i="105"/>
  <c r="AR397" i="105"/>
  <c r="AR262" i="105"/>
  <c r="AR361" i="105"/>
  <c r="AR343" i="105"/>
  <c r="AR387" i="105"/>
  <c r="AR406" i="105"/>
  <c r="AR264" i="105"/>
  <c r="AR331" i="105"/>
  <c r="AR267" i="105"/>
  <c r="AR346" i="105"/>
  <c r="AR394" i="105"/>
  <c r="AR269" i="105"/>
  <c r="AR378" i="105"/>
  <c r="AR385" i="105"/>
  <c r="AR315" i="105"/>
  <c r="AR320" i="105"/>
  <c r="AR398" i="105"/>
  <c r="AR333" i="105"/>
  <c r="AR322" i="105"/>
  <c r="AR324" i="105"/>
  <c r="AR402" i="105"/>
  <c r="AR330" i="105"/>
  <c r="AR282" i="105"/>
  <c r="AR278" i="105"/>
  <c r="AR376" i="105"/>
  <c r="AR329" i="105"/>
  <c r="AR302" i="105"/>
  <c r="AR366" i="105"/>
  <c r="AR373" i="105"/>
  <c r="AR358" i="105"/>
  <c r="AR334" i="105"/>
  <c r="AR392" i="105"/>
  <c r="AR362" i="105"/>
  <c r="AR283" i="105"/>
  <c r="AR318" i="105"/>
  <c r="AR396" i="105"/>
  <c r="AR332" i="105"/>
  <c r="AR380" i="105"/>
  <c r="AR271" i="105"/>
  <c r="AR309" i="105"/>
  <c r="AR285" i="105"/>
  <c r="AR354" i="105"/>
  <c r="AR305" i="105"/>
  <c r="AR407" i="105"/>
  <c r="AR290" i="105"/>
  <c r="AR323" i="105"/>
  <c r="AR268" i="105"/>
  <c r="AR363" i="105"/>
  <c r="AR260" i="105"/>
  <c r="AR356" i="105"/>
  <c r="AR274" i="105"/>
  <c r="AR352" i="105"/>
  <c r="AR301" i="105"/>
  <c r="AR294" i="105"/>
  <c r="AR350" i="105"/>
  <c r="AR308" i="105"/>
  <c r="K78" i="52"/>
  <c r="K187" i="47"/>
  <c r="K185" i="47" s="1"/>
  <c r="F186" i="47" s="1"/>
  <c r="F187" i="47" s="1"/>
  <c r="F190" i="47" s="1"/>
  <c r="F192" i="47" s="1"/>
  <c r="AJ157" i="42"/>
  <c r="AH157" i="42"/>
  <c r="AF157" i="42"/>
  <c r="O157" i="42"/>
  <c r="AI157" i="42"/>
  <c r="AG157" i="42"/>
  <c r="AC157" i="42"/>
  <c r="AI139" i="42"/>
  <c r="AG139" i="42"/>
  <c r="O139" i="42"/>
  <c r="AJ139" i="42"/>
  <c r="AF139" i="42"/>
  <c r="AC139" i="42"/>
  <c r="AH139" i="42"/>
  <c r="AI133" i="42"/>
  <c r="AG133" i="42"/>
  <c r="AH133" i="42"/>
  <c r="AC133" i="42"/>
  <c r="AJ133" i="42"/>
  <c r="AF133" i="42"/>
  <c r="AJ156" i="42"/>
  <c r="AH156" i="42"/>
  <c r="AF156" i="42"/>
  <c r="O156" i="42"/>
  <c r="AI156" i="42"/>
  <c r="AC156" i="42"/>
  <c r="AG156" i="42"/>
  <c r="AJ142" i="42"/>
  <c r="AI142" i="42"/>
  <c r="AG142" i="42"/>
  <c r="AC142" i="42"/>
  <c r="AH142" i="42"/>
  <c r="AF142" i="42"/>
  <c r="O142" i="42"/>
  <c r="AJ140" i="42"/>
  <c r="AH140" i="42"/>
  <c r="AF140" i="42"/>
  <c r="O140" i="42"/>
  <c r="AI140" i="42"/>
  <c r="AC140" i="42"/>
  <c r="AG140" i="42"/>
  <c r="AJ136" i="42"/>
  <c r="AH136" i="42"/>
  <c r="AF136" i="42"/>
  <c r="O136" i="42"/>
  <c r="AG136" i="42"/>
  <c r="AI136" i="42"/>
  <c r="AC136" i="42"/>
  <c r="AI135" i="42"/>
  <c r="AG135" i="42"/>
  <c r="AJ135" i="42"/>
  <c r="O135" i="42"/>
  <c r="AF135" i="42"/>
  <c r="AH135" i="42"/>
  <c r="AC135" i="42"/>
  <c r="AJ144" i="42"/>
  <c r="AH144" i="42"/>
  <c r="AF144" i="42"/>
  <c r="O144" i="42"/>
  <c r="AG144" i="42"/>
  <c r="AI144" i="42"/>
  <c r="AC144" i="42"/>
  <c r="AJ146" i="42"/>
  <c r="AI146" i="42"/>
  <c r="AG146" i="42"/>
  <c r="AC146" i="42"/>
  <c r="AF146" i="42"/>
  <c r="O146" i="42"/>
  <c r="AH146" i="42"/>
  <c r="AJ152" i="42"/>
  <c r="AH152" i="42"/>
  <c r="AF152" i="42"/>
  <c r="O152" i="42"/>
  <c r="AG152" i="42"/>
  <c r="AC152" i="42"/>
  <c r="AI152" i="42"/>
  <c r="AI159" i="42"/>
  <c r="AG159" i="42"/>
  <c r="AC159" i="42"/>
  <c r="AF159" i="42"/>
  <c r="O159" i="42"/>
  <c r="AH159" i="42"/>
  <c r="AJ159" i="42"/>
  <c r="AI155" i="42"/>
  <c r="AG155" i="42"/>
  <c r="O155" i="42"/>
  <c r="AJ155" i="42"/>
  <c r="AC155" i="42"/>
  <c r="AH155" i="42"/>
  <c r="AF155" i="42"/>
  <c r="AJ148" i="42"/>
  <c r="AH148" i="42"/>
  <c r="AF148" i="42"/>
  <c r="O148" i="42"/>
  <c r="AI148" i="42"/>
  <c r="AC148" i="42"/>
  <c r="AG148" i="42"/>
  <c r="AI143" i="42"/>
  <c r="AG143" i="42"/>
  <c r="AC143" i="42"/>
  <c r="AJ143" i="42"/>
  <c r="AH143" i="42"/>
  <c r="AF143" i="42"/>
  <c r="O143" i="42"/>
  <c r="AJ137" i="42"/>
  <c r="AH137" i="42"/>
  <c r="AF137" i="42"/>
  <c r="AC137" i="42"/>
  <c r="O137" i="42"/>
  <c r="AI137" i="42"/>
  <c r="AG137" i="42"/>
  <c r="AJ150" i="42"/>
  <c r="AI150" i="42"/>
  <c r="AG150" i="42"/>
  <c r="AC150" i="42"/>
  <c r="AH150" i="42"/>
  <c r="O150" i="42"/>
  <c r="AF150" i="42"/>
  <c r="AI147" i="42"/>
  <c r="AG147" i="42"/>
  <c r="O147" i="42"/>
  <c r="AJ147" i="42"/>
  <c r="AH147" i="42"/>
  <c r="AF147" i="42"/>
  <c r="AC147" i="42"/>
  <c r="AJ141" i="42"/>
  <c r="AH141" i="42"/>
  <c r="AF141" i="42"/>
  <c r="AC141" i="42"/>
  <c r="AI141" i="42"/>
  <c r="O141" i="42"/>
  <c r="AG141" i="42"/>
  <c r="AI162" i="42"/>
  <c r="AG162" i="42"/>
  <c r="AC162" i="42"/>
  <c r="AJ162" i="42"/>
  <c r="AF162" i="42"/>
  <c r="AH162" i="42"/>
  <c r="O162" i="42"/>
  <c r="AJ149" i="42"/>
  <c r="AH149" i="42"/>
  <c r="AF149" i="42"/>
  <c r="AG149" i="42"/>
  <c r="O149" i="42"/>
  <c r="AI149" i="42"/>
  <c r="AC149" i="42"/>
  <c r="AJ145" i="42"/>
  <c r="AH145" i="42"/>
  <c r="AF145" i="42"/>
  <c r="O145" i="42"/>
  <c r="AG145" i="42"/>
  <c r="AC145" i="42"/>
  <c r="AI145" i="42"/>
  <c r="AI158" i="42"/>
  <c r="AG158" i="42"/>
  <c r="AC158" i="42"/>
  <c r="AH158" i="42"/>
  <c r="O158" i="42"/>
  <c r="AF158" i="42"/>
  <c r="AJ158" i="42"/>
  <c r="AJ161" i="42"/>
  <c r="AH161" i="42"/>
  <c r="O161" i="42"/>
  <c r="AI161" i="42"/>
  <c r="AF161" i="42"/>
  <c r="AG161" i="42"/>
  <c r="AC161" i="42"/>
  <c r="AJ138" i="42"/>
  <c r="AI138" i="42"/>
  <c r="AG138" i="42"/>
  <c r="AC138" i="42"/>
  <c r="AF138" i="42"/>
  <c r="O138" i="42"/>
  <c r="AH138" i="42"/>
  <c r="AJ160" i="42"/>
  <c r="AH160" i="42"/>
  <c r="AF160" i="42"/>
  <c r="O160" i="42"/>
  <c r="AG160" i="42"/>
  <c r="AI160" i="42"/>
  <c r="AC160" i="42"/>
  <c r="AI151" i="42"/>
  <c r="AG151" i="42"/>
  <c r="AJ151" i="42"/>
  <c r="AF151" i="42"/>
  <c r="AC151" i="42"/>
  <c r="AH151" i="42"/>
  <c r="O151" i="42"/>
  <c r="AJ134" i="42"/>
  <c r="AI134" i="42"/>
  <c r="AG134" i="42"/>
  <c r="AC134" i="42"/>
  <c r="AH134" i="42"/>
  <c r="O134" i="42"/>
  <c r="AF134" i="42"/>
  <c r="AJ154" i="42"/>
  <c r="AI154" i="42"/>
  <c r="AG154" i="42"/>
  <c r="AC154" i="42"/>
  <c r="AH154" i="42"/>
  <c r="AF154" i="42"/>
  <c r="O154" i="42"/>
  <c r="AJ153" i="42"/>
  <c r="AH153" i="42"/>
  <c r="AC153" i="42"/>
  <c r="AI153" i="42"/>
  <c r="AG153" i="42"/>
  <c r="AF153" i="42"/>
  <c r="O153" i="42"/>
  <c r="O83" i="49"/>
  <c r="K54" i="59" l="1"/>
  <c r="F386" i="102"/>
  <c r="K55" i="59"/>
  <c r="F390" i="102" s="1"/>
  <c r="F389" i="102"/>
  <c r="I123" i="59"/>
  <c r="F418" i="102" s="1" a="1"/>
  <c r="F418" i="102" s="1"/>
  <c r="F417" i="102"/>
  <c r="F93" i="59"/>
  <c r="F405" i="102" s="1"/>
  <c r="F404" i="102"/>
  <c r="C24" i="59"/>
  <c r="F375" i="102"/>
  <c r="K56" i="59"/>
  <c r="F393" i="102" s="1"/>
  <c r="F392" i="102"/>
  <c r="P133" i="42"/>
  <c r="O133" i="42"/>
  <c r="S201" i="68"/>
  <c r="D200" i="68" s="1"/>
  <c r="AL74" i="49"/>
  <c r="AL83" i="49" s="1"/>
  <c r="AK83" i="49"/>
  <c r="K83" i="52"/>
  <c r="K96" i="52" s="1"/>
  <c r="K162" i="52" s="1"/>
  <c r="K171" i="52" s="1"/>
  <c r="P167" i="49"/>
  <c r="I186" i="47"/>
  <c r="I187" i="47" s="1"/>
  <c r="I190" i="47" s="1"/>
  <c r="I192" i="47" s="1"/>
  <c r="G186" i="47"/>
  <c r="AB148" i="42"/>
  <c r="Q148" i="42"/>
  <c r="AB150" i="42"/>
  <c r="Q150" i="42"/>
  <c r="AB137" i="42"/>
  <c r="Q137" i="42"/>
  <c r="AB136" i="42"/>
  <c r="Q136" i="42"/>
  <c r="AB151" i="42"/>
  <c r="Q151" i="42"/>
  <c r="AB146" i="42"/>
  <c r="Q146" i="42"/>
  <c r="AE146" i="42" s="1"/>
  <c r="AB135" i="42"/>
  <c r="Q135" i="42"/>
  <c r="AB158" i="42"/>
  <c r="Q158" i="42"/>
  <c r="AB140" i="42"/>
  <c r="Q140" i="42"/>
  <c r="AB138" i="42"/>
  <c r="Q138" i="42"/>
  <c r="AB161" i="42"/>
  <c r="Q161" i="42"/>
  <c r="AE161" i="42" s="1"/>
  <c r="AB162" i="42"/>
  <c r="Q162" i="42"/>
  <c r="AE162" i="42" s="1"/>
  <c r="AB141" i="42"/>
  <c r="Q141" i="42"/>
  <c r="AB144" i="42"/>
  <c r="Q144" i="42"/>
  <c r="AB157" i="42"/>
  <c r="Q157" i="42"/>
  <c r="AB145" i="42"/>
  <c r="Q145" i="42"/>
  <c r="AB154" i="42"/>
  <c r="Q154" i="42"/>
  <c r="AB134" i="42"/>
  <c r="Q134" i="42"/>
  <c r="AE134" i="42" s="1"/>
  <c r="AB160" i="42"/>
  <c r="Q160" i="42"/>
  <c r="AB142" i="42"/>
  <c r="Q142" i="42"/>
  <c r="AB153" i="42"/>
  <c r="Q153" i="42"/>
  <c r="AB147" i="42"/>
  <c r="Q147" i="42"/>
  <c r="AE147" i="42" s="1"/>
  <c r="AB159" i="42"/>
  <c r="Q159" i="42"/>
  <c r="AB152" i="42"/>
  <c r="Q152" i="42"/>
  <c r="AE152" i="42" s="1"/>
  <c r="AB139" i="42"/>
  <c r="Q139" i="42"/>
  <c r="AB155" i="42"/>
  <c r="Q155" i="42"/>
  <c r="AB149" i="42"/>
  <c r="Q149" i="42"/>
  <c r="AB143" i="42"/>
  <c r="Q143" i="42"/>
  <c r="AB156" i="42"/>
  <c r="Q156" i="42"/>
  <c r="AB133" i="42"/>
  <c r="Q133" i="42"/>
  <c r="AE133" i="42" s="1"/>
  <c r="P161" i="42"/>
  <c r="AD161" i="42" s="1"/>
  <c r="AA161" i="42"/>
  <c r="P162" i="42"/>
  <c r="AD162" i="42" s="1"/>
  <c r="AA162" i="42"/>
  <c r="AA160" i="42"/>
  <c r="P160" i="42"/>
  <c r="AD160" i="42" s="1"/>
  <c r="AE160" i="42"/>
  <c r="AA145" i="42"/>
  <c r="AE145" i="42"/>
  <c r="P145" i="42"/>
  <c r="AD145" i="42" s="1"/>
  <c r="AA139" i="42"/>
  <c r="AE139" i="42"/>
  <c r="P139" i="42"/>
  <c r="AD139" i="42" s="1"/>
  <c r="AA147" i="42"/>
  <c r="P147" i="42"/>
  <c r="AD147" i="42" s="1"/>
  <c r="P141" i="42"/>
  <c r="AD141" i="42" s="1"/>
  <c r="AE141" i="42"/>
  <c r="AA141" i="42"/>
  <c r="AA144" i="42"/>
  <c r="AE144" i="42"/>
  <c r="P144" i="42"/>
  <c r="AD144" i="42" s="1"/>
  <c r="AA153" i="42"/>
  <c r="AE153" i="42"/>
  <c r="P153" i="42"/>
  <c r="AD153" i="42" s="1"/>
  <c r="P148" i="42"/>
  <c r="AD148" i="42" s="1"/>
  <c r="AA148" i="42"/>
  <c r="AE148" i="42"/>
  <c r="P152" i="42"/>
  <c r="AD152" i="42" s="1"/>
  <c r="AA152" i="42"/>
  <c r="AE149" i="42"/>
  <c r="P149" i="42"/>
  <c r="AD149" i="42" s="1"/>
  <c r="AA149" i="42"/>
  <c r="AA150" i="42"/>
  <c r="AE150" i="42"/>
  <c r="P150" i="42"/>
  <c r="AD150" i="42" s="1"/>
  <c r="AE159" i="42"/>
  <c r="AA159" i="42"/>
  <c r="P159" i="42"/>
  <c r="AD159" i="42" s="1"/>
  <c r="AE137" i="42"/>
  <c r="P137" i="42"/>
  <c r="AD137" i="42" s="1"/>
  <c r="AA137" i="42"/>
  <c r="AE157" i="42"/>
  <c r="AA157" i="42"/>
  <c r="P157" i="42"/>
  <c r="AD157" i="42" s="1"/>
  <c r="AA151" i="42"/>
  <c r="P151" i="42"/>
  <c r="AD151" i="42" s="1"/>
  <c r="AE151" i="42"/>
  <c r="AE158" i="42"/>
  <c r="P158" i="42"/>
  <c r="AD158" i="42" s="1"/>
  <c r="AA158" i="42"/>
  <c r="P138" i="42"/>
  <c r="AD138" i="42" s="1"/>
  <c r="AA138" i="42"/>
  <c r="AE138" i="42"/>
  <c r="AA142" i="42"/>
  <c r="AE142" i="42"/>
  <c r="P142" i="42"/>
  <c r="AD142" i="42" s="1"/>
  <c r="AE155" i="42"/>
  <c r="P155" i="42"/>
  <c r="AD155" i="42" s="1"/>
  <c r="AA155" i="42"/>
  <c r="AA135" i="42"/>
  <c r="P135" i="42"/>
  <c r="AD135" i="42" s="1"/>
  <c r="AE135" i="42"/>
  <c r="AE143" i="42"/>
  <c r="AA143" i="42"/>
  <c r="P143" i="42"/>
  <c r="AD143" i="42" s="1"/>
  <c r="P136" i="42"/>
  <c r="AD136" i="42" s="1"/>
  <c r="AA136" i="42"/>
  <c r="AE136" i="42"/>
  <c r="P154" i="42"/>
  <c r="AD154" i="42" s="1"/>
  <c r="AE154" i="42"/>
  <c r="AA154" i="42"/>
  <c r="P156" i="42"/>
  <c r="AD156" i="42" s="1"/>
  <c r="AA156" i="42"/>
  <c r="AE156" i="42"/>
  <c r="P134" i="42"/>
  <c r="AD134" i="42" s="1"/>
  <c r="AA134" i="42"/>
  <c r="P146" i="42"/>
  <c r="AD146" i="42" s="1"/>
  <c r="AA146" i="42"/>
  <c r="P140" i="42"/>
  <c r="AD140" i="42" s="1"/>
  <c r="AA140" i="42"/>
  <c r="AE140" i="42"/>
  <c r="AA133" i="42"/>
  <c r="AD133" i="42"/>
  <c r="P83" i="49"/>
  <c r="G300" i="42"/>
  <c r="G299" i="42"/>
  <c r="G298" i="42"/>
  <c r="G297" i="42"/>
  <c r="G296" i="42"/>
  <c r="G295" i="42"/>
  <c r="AR289" i="42"/>
  <c r="M288" i="42"/>
  <c r="AR288" i="42" s="1"/>
  <c r="M287" i="42"/>
  <c r="AR287" i="42" s="1"/>
  <c r="M286" i="42"/>
  <c r="AR286" i="42" s="1"/>
  <c r="M285" i="42"/>
  <c r="AR285" i="42" s="1"/>
  <c r="M284" i="42"/>
  <c r="M283" i="42"/>
  <c r="M282" i="42"/>
  <c r="M281" i="42"/>
  <c r="M280" i="42"/>
  <c r="AL289" i="42"/>
  <c r="K288" i="42"/>
  <c r="AL288" i="42" s="1"/>
  <c r="K287" i="42"/>
  <c r="AL287" i="42" s="1"/>
  <c r="K286" i="42"/>
  <c r="AL286" i="42" s="1"/>
  <c r="K285" i="42"/>
  <c r="AL285" i="42" s="1"/>
  <c r="K284" i="42"/>
  <c r="K283" i="42"/>
  <c r="K282" i="42"/>
  <c r="K281" i="42"/>
  <c r="K280" i="42"/>
  <c r="I289" i="42"/>
  <c r="AP289" i="42" s="1"/>
  <c r="I288" i="42"/>
  <c r="AP288" i="42" s="1"/>
  <c r="I287" i="42"/>
  <c r="AP287" i="42" s="1"/>
  <c r="I286" i="42"/>
  <c r="AP286" i="42" s="1"/>
  <c r="I285" i="42"/>
  <c r="AP285" i="42" s="1"/>
  <c r="I284" i="42"/>
  <c r="I283" i="42"/>
  <c r="I282" i="42"/>
  <c r="I281" i="42"/>
  <c r="I280" i="42"/>
  <c r="AN289" i="42"/>
  <c r="G288" i="42"/>
  <c r="AN288" i="42" s="1"/>
  <c r="G287" i="42"/>
  <c r="AN287" i="42" s="1"/>
  <c r="G286" i="42"/>
  <c r="AN286" i="42" s="1"/>
  <c r="G285" i="42"/>
  <c r="AN285" i="42" s="1"/>
  <c r="G284" i="42"/>
  <c r="G283" i="42"/>
  <c r="G282" i="42"/>
  <c r="G281" i="42"/>
  <c r="G280" i="42"/>
  <c r="C51" i="42"/>
  <c r="Q114" i="59" l="1"/>
  <c r="H93" i="59"/>
  <c r="D96" i="59" s="1"/>
  <c r="F402" i="102" s="1"/>
  <c r="Q127" i="59"/>
  <c r="Q128" i="59"/>
  <c r="Q129" i="59"/>
  <c r="C50" i="68"/>
  <c r="F530" i="102" s="1"/>
  <c r="F373" i="102"/>
  <c r="G24" i="59"/>
  <c r="F376" i="102" s="1"/>
  <c r="C51" i="68"/>
  <c r="F531" i="102" s="1"/>
  <c r="F387" i="102"/>
  <c r="D59" i="59"/>
  <c r="F427" i="102"/>
  <c r="K173" i="52"/>
  <c r="K246" i="52"/>
  <c r="K230" i="52"/>
  <c r="G46" i="101"/>
  <c r="I210" i="47"/>
  <c r="Q167" i="49"/>
  <c r="G187" i="47"/>
  <c r="G190" i="47" s="1"/>
  <c r="G192" i="47" s="1"/>
  <c r="M78" i="52"/>
  <c r="M83" i="52" s="1"/>
  <c r="Q83" i="49"/>
  <c r="F406" i="102" l="1"/>
  <c r="Q130" i="59"/>
  <c r="D63" i="68"/>
  <c r="D9" i="68" s="1"/>
  <c r="F384" i="102"/>
  <c r="F394" i="102"/>
  <c r="Q132" i="59"/>
  <c r="L78" i="52"/>
  <c r="F193" i="47"/>
  <c r="G210" i="47"/>
  <c r="C46" i="101"/>
  <c r="R167" i="49"/>
  <c r="M96" i="52"/>
  <c r="M162" i="52" s="1"/>
  <c r="M171" i="52" s="1"/>
  <c r="R83" i="49"/>
  <c r="F524" i="102" l="1"/>
  <c r="F24" i="20"/>
  <c r="F303" i="102" s="1"/>
  <c r="D132" i="59"/>
  <c r="F415" i="102" s="1"/>
  <c r="L83" i="52"/>
  <c r="L96" i="52" s="1"/>
  <c r="L162" i="52" s="1"/>
  <c r="L171" i="52" s="1"/>
  <c r="G196" i="47"/>
  <c r="D504" i="42" s="1"/>
  <c r="G205" i="47"/>
  <c r="G201" i="47"/>
  <c r="G199" i="47"/>
  <c r="D507" i="42" s="1"/>
  <c r="AF171" i="47"/>
  <c r="G195" i="47"/>
  <c r="G200" i="47"/>
  <c r="G207" i="47"/>
  <c r="G197" i="47"/>
  <c r="D505" i="42" s="1"/>
  <c r="G206" i="47"/>
  <c r="G202" i="47"/>
  <c r="G208" i="47"/>
  <c r="G203" i="47"/>
  <c r="G212" i="47"/>
  <c r="G214" i="47" s="1"/>
  <c r="G198" i="47"/>
  <c r="D506" i="42" s="1"/>
  <c r="M246" i="52"/>
  <c r="M230" i="52"/>
  <c r="S83" i="49"/>
  <c r="L176" i="42"/>
  <c r="E188" i="42"/>
  <c r="E185" i="42"/>
  <c r="E180" i="42"/>
  <c r="E177" i="42"/>
  <c r="C187" i="42"/>
  <c r="C177" i="42"/>
  <c r="C181" i="42"/>
  <c r="C180" i="42"/>
  <c r="L179" i="42"/>
  <c r="C176" i="42"/>
  <c r="C175" i="42"/>
  <c r="G204" i="47" l="1"/>
  <c r="L230" i="52"/>
  <c r="L246" i="52"/>
  <c r="L173" i="52"/>
  <c r="M173" i="52" s="1"/>
  <c r="X198" i="47"/>
  <c r="AF169" i="47"/>
  <c r="AE172" i="47" s="1"/>
  <c r="AF168" i="47"/>
  <c r="T29" i="46"/>
  <c r="R29" i="46"/>
  <c r="C47" i="101"/>
  <c r="C48" i="101" s="1"/>
  <c r="G211" i="47"/>
  <c r="B509" i="42" s="1"/>
  <c r="S167" i="49"/>
  <c r="N78" i="52"/>
  <c r="N83" i="52" s="1"/>
  <c r="Z265" i="42"/>
  <c r="T83" i="49"/>
  <c r="Q30" i="46" l="1"/>
  <c r="T30" i="46"/>
  <c r="R30" i="46"/>
  <c r="X202" i="47"/>
  <c r="AA182" i="47"/>
  <c r="AA186" i="47" s="1"/>
  <c r="AA187" i="47" s="1"/>
  <c r="I208" i="47"/>
  <c r="T167" i="49"/>
  <c r="N96" i="52"/>
  <c r="N162" i="52" s="1"/>
  <c r="N171" i="52" s="1"/>
  <c r="U83" i="49"/>
  <c r="I211" i="47" l="1"/>
  <c r="I212" i="47" s="1"/>
  <c r="I214" i="47" s="1"/>
  <c r="G47" i="101"/>
  <c r="G48" i="101" s="1"/>
  <c r="U167" i="49"/>
  <c r="N246" i="52"/>
  <c r="N230" i="52"/>
  <c r="N173" i="52"/>
  <c r="V83" i="49"/>
  <c r="Q45" i="46" l="1"/>
  <c r="C516" i="42"/>
  <c r="V167" i="49"/>
  <c r="O78" i="52"/>
  <c r="W83" i="49"/>
  <c r="O83" i="52" l="1"/>
  <c r="O96" i="52" s="1"/>
  <c r="O162" i="52" s="1"/>
  <c r="O171" i="52" s="1"/>
  <c r="W167" i="49"/>
  <c r="X83" i="49"/>
  <c r="Y83" i="49"/>
  <c r="O173" i="52" l="1"/>
  <c r="O246" i="52"/>
  <c r="O230" i="52"/>
  <c r="Y167" i="49"/>
  <c r="X167" i="49"/>
  <c r="P78" i="52"/>
  <c r="P83" i="52" l="1"/>
  <c r="P96" i="52" s="1"/>
  <c r="P162" i="52" s="1"/>
  <c r="P171" i="52" s="1"/>
  <c r="P230" i="52" l="1"/>
  <c r="P173" i="52"/>
  <c r="P246" i="52"/>
  <c r="Q78" i="52"/>
  <c r="Q83" i="52" l="1"/>
  <c r="Q96" i="52" s="1"/>
  <c r="Q162" i="52" s="1"/>
  <c r="Q171" i="52" s="1"/>
  <c r="Q230" i="52" l="1"/>
  <c r="Q173" i="52"/>
  <c r="Q246" i="52"/>
  <c r="R78" i="52"/>
  <c r="R83" i="52" l="1"/>
  <c r="R96" i="52" s="1"/>
  <c r="R162" i="52" s="1"/>
  <c r="R171" i="52" s="1"/>
  <c r="R246" i="52" l="1"/>
  <c r="R173" i="52"/>
  <c r="R230" i="52"/>
  <c r="S78" i="52"/>
  <c r="S83" i="52" l="1"/>
  <c r="S96" i="52" s="1"/>
  <c r="S162" i="52" s="1"/>
  <c r="S171" i="52" s="1"/>
  <c r="S230" i="52" l="1"/>
  <c r="S246" i="52"/>
  <c r="S173" i="52"/>
  <c r="T78" i="52"/>
  <c r="AH97" i="49" l="1"/>
  <c r="T83" i="52"/>
  <c r="T96" i="52" s="1"/>
  <c r="T162" i="52" s="1"/>
  <c r="T171" i="52" s="1"/>
  <c r="AI97" i="49" l="1"/>
  <c r="T230" i="52"/>
  <c r="T173" i="52"/>
  <c r="T246" i="52"/>
  <c r="U78" i="52"/>
  <c r="E22" i="1"/>
  <c r="G25" i="6"/>
  <c r="G39" i="6" s="1"/>
  <c r="G53" i="6" s="1"/>
  <c r="AJ97" i="49" l="1"/>
  <c r="U83" i="52"/>
  <c r="U96" i="52" s="1"/>
  <c r="U162" i="52" s="1"/>
  <c r="U171" i="52" s="1"/>
  <c r="P26" i="1"/>
  <c r="AL97" i="49" l="1"/>
  <c r="AK97" i="49"/>
  <c r="U246" i="52"/>
  <c r="U230" i="52"/>
  <c r="U173" i="52"/>
  <c r="V78" i="52"/>
  <c r="P35" i="1"/>
  <c r="P34" i="1"/>
  <c r="P33" i="1"/>
  <c r="P32" i="1"/>
  <c r="P31" i="1"/>
  <c r="P30" i="1"/>
  <c r="P29" i="1"/>
  <c r="P28" i="1"/>
  <c r="P25" i="1"/>
  <c r="P21" i="1"/>
  <c r="P20" i="1"/>
  <c r="P19" i="1"/>
  <c r="P18" i="1"/>
  <c r="V83" i="52" l="1"/>
  <c r="V96" i="52" s="1"/>
  <c r="V162" i="52" s="1"/>
  <c r="V171" i="52" s="1"/>
  <c r="P36" i="1"/>
  <c r="Q20" i="59"/>
  <c r="G19" i="59" s="1"/>
  <c r="F371" i="102" s="1"/>
  <c r="V246" i="52" l="1"/>
  <c r="V230" i="52"/>
  <c r="V173" i="52"/>
  <c r="F283" i="102"/>
  <c r="W78" i="52"/>
  <c r="F89" i="48"/>
  <c r="F90" i="48" s="1"/>
  <c r="L186" i="47"/>
  <c r="J186" i="47" s="1"/>
  <c r="I19" i="59" l="1"/>
  <c r="W83" i="52"/>
  <c r="W96" i="52" s="1"/>
  <c r="W162" i="52" s="1"/>
  <c r="W171" i="52" s="1"/>
  <c r="D89" i="48"/>
  <c r="D90" i="48"/>
  <c r="L105" i="108" s="1"/>
  <c r="Q26" i="59" l="1"/>
  <c r="D28" i="59" s="1"/>
  <c r="F368" i="102" s="1"/>
  <c r="F372" i="102"/>
  <c r="I84" i="108"/>
  <c r="W230" i="52"/>
  <c r="W173" i="52"/>
  <c r="W246" i="52"/>
  <c r="X78" i="52"/>
  <c r="G531" i="42"/>
  <c r="D9" i="59" l="1"/>
  <c r="X83" i="52"/>
  <c r="X96" i="52" s="1"/>
  <c r="X162" i="52" s="1"/>
  <c r="X171" i="52" s="1"/>
  <c r="F32" i="20"/>
  <c r="F291" i="102" s="1"/>
  <c r="F419" i="102"/>
  <c r="F407" i="102"/>
  <c r="F31" i="20"/>
  <c r="F289" i="102" s="1"/>
  <c r="I10" i="49"/>
  <c r="D10" i="49" s="1"/>
  <c r="D45" i="49" l="1"/>
  <c r="D18" i="49"/>
  <c r="F29" i="20"/>
  <c r="F377" i="102"/>
  <c r="X246" i="52"/>
  <c r="X230" i="52"/>
  <c r="X173" i="52"/>
  <c r="Y78" i="52"/>
  <c r="L268" i="42"/>
  <c r="C276" i="42"/>
  <c r="C273" i="42"/>
  <c r="C274" i="42"/>
  <c r="R225" i="42"/>
  <c r="F263" i="42" s="1"/>
  <c r="F274" i="42"/>
  <c r="F271" i="42"/>
  <c r="D64" i="49" l="1"/>
  <c r="I19" i="49"/>
  <c r="D19" i="49" s="1"/>
  <c r="G71" i="108"/>
  <c r="I71" i="108" s="1"/>
  <c r="F285" i="102"/>
  <c r="D62" i="49"/>
  <c r="E62" i="49" s="1"/>
  <c r="I18" i="49"/>
  <c r="I72" i="108"/>
  <c r="Y83" i="52"/>
  <c r="Y96" i="52" s="1"/>
  <c r="Y162" i="52" s="1"/>
  <c r="Y171" i="52" s="1"/>
  <c r="L266" i="42"/>
  <c r="L267" i="42"/>
  <c r="L264" i="42"/>
  <c r="L265" i="42"/>
  <c r="L263" i="42"/>
  <c r="F27" i="20"/>
  <c r="F23" i="20" s="1"/>
  <c r="F313" i="102" s="1"/>
  <c r="D70" i="49"/>
  <c r="G73" i="108" s="1"/>
  <c r="E64" i="49"/>
  <c r="F293" i="102" l="1"/>
  <c r="I22" i="49"/>
  <c r="D22" i="49" s="1"/>
  <c r="G74" i="108"/>
  <c r="I74" i="108" s="1"/>
  <c r="I73" i="108"/>
  <c r="Y173" i="52"/>
  <c r="Y230" i="52"/>
  <c r="Y246" i="52"/>
  <c r="D71" i="49"/>
  <c r="D86" i="49" s="1"/>
  <c r="Z78" i="52"/>
  <c r="E70" i="49"/>
  <c r="E71" i="49" s="1"/>
  <c r="E86" i="49" s="1"/>
  <c r="F64" i="49"/>
  <c r="F62" i="49"/>
  <c r="I24" i="49" l="1"/>
  <c r="D24" i="49" s="1"/>
  <c r="C604" i="42"/>
  <c r="I27" i="49"/>
  <c r="D27" i="49" s="1"/>
  <c r="L112" i="108" s="1"/>
  <c r="F275" i="102"/>
  <c r="Z83" i="52"/>
  <c r="Z96" i="52" s="1"/>
  <c r="Z162" i="52" s="1"/>
  <c r="Z171" i="52" s="1"/>
  <c r="F30" i="20"/>
  <c r="G64" i="49"/>
  <c r="F70" i="49"/>
  <c r="F71" i="49" s="1"/>
  <c r="G62" i="49"/>
  <c r="I26" i="49" l="1"/>
  <c r="D26" i="49" s="1"/>
  <c r="G85" i="108" s="1"/>
  <c r="I85" i="108" s="1"/>
  <c r="D91" i="49"/>
  <c r="D97" i="49" s="1"/>
  <c r="D101" i="49" s="1"/>
  <c r="D105" i="49" s="1"/>
  <c r="D109" i="49" s="1"/>
  <c r="F287" i="102"/>
  <c r="F28" i="20"/>
  <c r="F315" i="102" s="1"/>
  <c r="Z230" i="52"/>
  <c r="Z173" i="52"/>
  <c r="Z246" i="52"/>
  <c r="AA78" i="52"/>
  <c r="G70" i="49"/>
  <c r="G71" i="49" s="1"/>
  <c r="H64" i="49"/>
  <c r="H62" i="49"/>
  <c r="D113" i="49" l="1"/>
  <c r="D117" i="49" s="1"/>
  <c r="AA83" i="52"/>
  <c r="AA96" i="52" s="1"/>
  <c r="AA162" i="52" s="1"/>
  <c r="AA171" i="52" s="1"/>
  <c r="I64" i="49"/>
  <c r="H70" i="49"/>
  <c r="H71" i="49" s="1"/>
  <c r="I62" i="49"/>
  <c r="AA246" i="52" l="1"/>
  <c r="AA230" i="52"/>
  <c r="AA173" i="52"/>
  <c r="AB78" i="52"/>
  <c r="J64" i="49"/>
  <c r="I70" i="49"/>
  <c r="I71" i="49" s="1"/>
  <c r="J62" i="49"/>
  <c r="AB83" i="52" l="1"/>
  <c r="AB96" i="52" s="1"/>
  <c r="AB162" i="52" s="1"/>
  <c r="AB171" i="52" s="1"/>
  <c r="J70" i="49"/>
  <c r="J71" i="49" s="1"/>
  <c r="K64" i="49"/>
  <c r="K62" i="49"/>
  <c r="AB230" i="52" l="1"/>
  <c r="AB173" i="52"/>
  <c r="AB246" i="52"/>
  <c r="AC78" i="52"/>
  <c r="K70" i="49"/>
  <c r="K71" i="49" s="1"/>
  <c r="L64" i="49"/>
  <c r="L62" i="49"/>
  <c r="AC83" i="52" l="1"/>
  <c r="AC96" i="52" s="1"/>
  <c r="AC162" i="52" s="1"/>
  <c r="AC171" i="52" s="1"/>
  <c r="L70" i="49"/>
  <c r="L71" i="49" s="1"/>
  <c r="M64" i="49"/>
  <c r="M62" i="49"/>
  <c r="AC246" i="52" l="1"/>
  <c r="E246" i="52" s="1"/>
  <c r="E248" i="52" s="1"/>
  <c r="AC173" i="52"/>
  <c r="AC230" i="52"/>
  <c r="AD78" i="52"/>
  <c r="M70" i="49"/>
  <c r="M71" i="49" s="1"/>
  <c r="N64" i="49"/>
  <c r="N62" i="49"/>
  <c r="AD83" i="52" l="1"/>
  <c r="AD96" i="52" s="1"/>
  <c r="AD162" i="52" s="1"/>
  <c r="AD171" i="52" s="1"/>
  <c r="O64" i="49"/>
  <c r="N70" i="49"/>
  <c r="N71" i="49" s="1"/>
  <c r="O62" i="49"/>
  <c r="AD246" i="52" l="1"/>
  <c r="AD230" i="52"/>
  <c r="AD173" i="52"/>
  <c r="AE78" i="52"/>
  <c r="O70" i="49"/>
  <c r="O71" i="49" s="1"/>
  <c r="P64" i="49"/>
  <c r="P62" i="49"/>
  <c r="AE83" i="52" l="1"/>
  <c r="AE96" i="52" s="1"/>
  <c r="AE162" i="52" s="1"/>
  <c r="AE171" i="52" s="1"/>
  <c r="P70" i="49"/>
  <c r="P71" i="49" s="1"/>
  <c r="Q64" i="49"/>
  <c r="Q62" i="49"/>
  <c r="AE230" i="52" l="1"/>
  <c r="AE246" i="52"/>
  <c r="AE173" i="52"/>
  <c r="AF78" i="52"/>
  <c r="Q70" i="49"/>
  <c r="Q71" i="49" s="1"/>
  <c r="R64" i="49"/>
  <c r="R62" i="49"/>
  <c r="AF83" i="52" l="1"/>
  <c r="AF96" i="52" s="1"/>
  <c r="AF162" i="52" s="1"/>
  <c r="AF171" i="52" s="1"/>
  <c r="S64" i="49"/>
  <c r="R70" i="49"/>
  <c r="R71" i="49" s="1"/>
  <c r="S62" i="49"/>
  <c r="AF246" i="52" l="1"/>
  <c r="AF230" i="52"/>
  <c r="AF173" i="52"/>
  <c r="AG78" i="52"/>
  <c r="T64" i="49"/>
  <c r="S70" i="49"/>
  <c r="S71" i="49" s="1"/>
  <c r="T62" i="49"/>
  <c r="AG83" i="52" l="1"/>
  <c r="AG96" i="52" s="1"/>
  <c r="AG162" i="52" s="1"/>
  <c r="AG171" i="52" s="1"/>
  <c r="U64" i="49"/>
  <c r="T70" i="49"/>
  <c r="T71" i="49" s="1"/>
  <c r="U62" i="49"/>
  <c r="AG246" i="52" l="1"/>
  <c r="AG230" i="52"/>
  <c r="AG173" i="52"/>
  <c r="AH78" i="52"/>
  <c r="U70" i="49"/>
  <c r="U71" i="49" s="1"/>
  <c r="V64" i="49"/>
  <c r="V62" i="49"/>
  <c r="AH83" i="52" l="1"/>
  <c r="AH96" i="52" s="1"/>
  <c r="AH162" i="52" s="1"/>
  <c r="AH171" i="52" s="1"/>
  <c r="V70" i="49"/>
  <c r="V71" i="49" s="1"/>
  <c r="W64" i="49"/>
  <c r="W62" i="49"/>
  <c r="AH246" i="52" l="1"/>
  <c r="AH230" i="52"/>
  <c r="AH173" i="52"/>
  <c r="AI78" i="52"/>
  <c r="X64" i="49"/>
  <c r="W70" i="49"/>
  <c r="W71" i="49" s="1"/>
  <c r="X62" i="49"/>
  <c r="AI83" i="52" l="1"/>
  <c r="AI96" i="52" s="1"/>
  <c r="AI162" i="52" s="1"/>
  <c r="AI171" i="52" s="1"/>
  <c r="X70" i="49"/>
  <c r="X71" i="49" s="1"/>
  <c r="Y64" i="49"/>
  <c r="Y62" i="49"/>
  <c r="Z62" i="49" s="1"/>
  <c r="AA62" i="49" s="1"/>
  <c r="AB62" i="49" s="1"/>
  <c r="AC62" i="49" s="1"/>
  <c r="AD62" i="49" s="1"/>
  <c r="AE62" i="49" s="1"/>
  <c r="AF62" i="49" s="1"/>
  <c r="AG62" i="49" s="1"/>
  <c r="AH62" i="49" s="1"/>
  <c r="AI62" i="49" s="1"/>
  <c r="AJ62" i="49" s="1"/>
  <c r="AK62" i="49" s="1"/>
  <c r="AL62" i="49" s="1"/>
  <c r="Y70" i="49" l="1"/>
  <c r="Y71" i="49" s="1"/>
  <c r="Z64" i="49"/>
  <c r="AI246" i="52"/>
  <c r="AI230" i="52"/>
  <c r="AI173" i="52"/>
  <c r="E80" i="47"/>
  <c r="AJ78" i="52"/>
  <c r="AJ83" i="52" s="1"/>
  <c r="AA64" i="49" l="1"/>
  <c r="Z70" i="49"/>
  <c r="Z71" i="49" s="1"/>
  <c r="Z86" i="49" s="1"/>
  <c r="AJ96" i="52"/>
  <c r="AJ162" i="52" s="1"/>
  <c r="AJ171" i="52" s="1"/>
  <c r="F78" i="52"/>
  <c r="F83" i="52" s="1"/>
  <c r="F96" i="52" s="1"/>
  <c r="F162" i="52" s="1"/>
  <c r="F171" i="52" s="1"/>
  <c r="Z101" i="49" l="1"/>
  <c r="Z105" i="49"/>
  <c r="Z91" i="49"/>
  <c r="Z97" i="49"/>
  <c r="Z92" i="49"/>
  <c r="Z94" i="49" s="1"/>
  <c r="Z98" i="49" s="1"/>
  <c r="Z102" i="49" s="1"/>
  <c r="Z106" i="49" s="1"/>
  <c r="Z110" i="49" s="1"/>
  <c r="Z114" i="49" s="1"/>
  <c r="Z118" i="49" s="1"/>
  <c r="AA70" i="49"/>
  <c r="AA71" i="49" s="1"/>
  <c r="AA86" i="49" s="1"/>
  <c r="AB64" i="49"/>
  <c r="AJ246" i="52"/>
  <c r="AJ230" i="52"/>
  <c r="AJ173" i="52"/>
  <c r="AA101" i="49" l="1"/>
  <c r="AA105" i="49"/>
  <c r="AA91" i="49"/>
  <c r="AA97" i="49"/>
  <c r="AA92" i="49"/>
  <c r="AA94" i="49" s="1"/>
  <c r="AA98" i="49" s="1"/>
  <c r="AA102" i="49" s="1"/>
  <c r="AA106" i="49" s="1"/>
  <c r="AA110" i="49" s="1"/>
  <c r="AA114" i="49" s="1"/>
  <c r="AA118" i="49" s="1"/>
  <c r="AB70" i="49"/>
  <c r="AB71" i="49" s="1"/>
  <c r="AB86" i="49" s="1"/>
  <c r="AC64" i="49"/>
  <c r="AB101" i="49" l="1"/>
  <c r="AB105" i="49"/>
  <c r="AB91" i="49"/>
  <c r="AB97" i="49"/>
  <c r="AB92" i="49"/>
  <c r="AB94" i="49" s="1"/>
  <c r="AB98" i="49" s="1"/>
  <c r="AB102" i="49" s="1"/>
  <c r="AB106" i="49" s="1"/>
  <c r="AB110" i="49" s="1"/>
  <c r="AB114" i="49" s="1"/>
  <c r="AB118" i="49" s="1"/>
  <c r="AC70" i="49"/>
  <c r="AC71" i="49" s="1"/>
  <c r="AC86" i="49" s="1"/>
  <c r="AD64" i="49"/>
  <c r="F98" i="47"/>
  <c r="N98" i="47" s="1"/>
  <c r="K469" i="42"/>
  <c r="K336" i="42"/>
  <c r="K325" i="42"/>
  <c r="O167" i="47"/>
  <c r="K458" i="42"/>
  <c r="AC91" i="49" l="1"/>
  <c r="AC101" i="49"/>
  <c r="AC105" i="49"/>
  <c r="AC97" i="49"/>
  <c r="AC92" i="49"/>
  <c r="AC94" i="49" s="1"/>
  <c r="AC98" i="49" s="1"/>
  <c r="AC102" i="49" s="1"/>
  <c r="AC106" i="49" s="1"/>
  <c r="AC110" i="49" s="1"/>
  <c r="AC114" i="49" s="1"/>
  <c r="AC118" i="49" s="1"/>
  <c r="AD70" i="49"/>
  <c r="AD71" i="49" s="1"/>
  <c r="AD86" i="49" s="1"/>
  <c r="AE64" i="49"/>
  <c r="F165" i="47"/>
  <c r="M165" i="47" s="1"/>
  <c r="AD91" i="49" l="1"/>
  <c r="AD101" i="49"/>
  <c r="AD105" i="49"/>
  <c r="AD97" i="49"/>
  <c r="AD92" i="49"/>
  <c r="AD94" i="49" s="1"/>
  <c r="AD98" i="49" s="1"/>
  <c r="AD102" i="49" s="1"/>
  <c r="AD106" i="49" s="1"/>
  <c r="AD110" i="49" s="1"/>
  <c r="AD114" i="49" s="1"/>
  <c r="AD118" i="49" s="1"/>
  <c r="AE70" i="49"/>
  <c r="AE71" i="49" s="1"/>
  <c r="AE86" i="49" s="1"/>
  <c r="AF64" i="49"/>
  <c r="N165" i="47"/>
  <c r="AA188" i="47"/>
  <c r="AA189" i="47" s="1"/>
  <c r="AA191" i="47" s="1"/>
  <c r="AA193" i="47" s="1"/>
  <c r="AA195" i="47" s="1"/>
  <c r="X200" i="47" s="1"/>
  <c r="S165" i="47"/>
  <c r="AE91" i="49" l="1"/>
  <c r="AE101" i="49"/>
  <c r="AE105" i="49"/>
  <c r="AE97" i="49"/>
  <c r="AE92" i="49"/>
  <c r="AE94" i="49" s="1"/>
  <c r="AE98" i="49" s="1"/>
  <c r="AE102" i="49" s="1"/>
  <c r="AE106" i="49" s="1"/>
  <c r="AE110" i="49" s="1"/>
  <c r="AE114" i="49" s="1"/>
  <c r="AE118" i="49" s="1"/>
  <c r="AF70" i="49"/>
  <c r="AF71" i="49" s="1"/>
  <c r="AF86" i="49" s="1"/>
  <c r="AG64" i="49"/>
  <c r="F238" i="102"/>
  <c r="O170" i="47"/>
  <c r="C2" i="101"/>
  <c r="C33" i="101" s="1"/>
  <c r="G37" i="101" s="1"/>
  <c r="G39" i="101" s="1"/>
  <c r="G41" i="101" s="1"/>
  <c r="G43" i="101" s="1"/>
  <c r="G51" i="101" s="1"/>
  <c r="I195" i="47"/>
  <c r="I201" i="47" s="1"/>
  <c r="N173" i="47"/>
  <c r="AF91" i="49" l="1"/>
  <c r="AF101" i="49"/>
  <c r="AF105" i="49"/>
  <c r="AF97" i="49"/>
  <c r="AF92" i="49"/>
  <c r="AF94" i="49" s="1"/>
  <c r="AF98" i="49" s="1"/>
  <c r="AF102" i="49" s="1"/>
  <c r="AF106" i="49" s="1"/>
  <c r="AF110" i="49" s="1"/>
  <c r="AF114" i="49" s="1"/>
  <c r="AF118" i="49" s="1"/>
  <c r="AH64" i="49"/>
  <c r="AG70" i="49"/>
  <c r="AG71" i="49" s="1"/>
  <c r="AG86" i="49" s="1"/>
  <c r="C37" i="101"/>
  <c r="C39" i="101" s="1"/>
  <c r="C41" i="101" s="1"/>
  <c r="C43" i="101" s="1"/>
  <c r="C51" i="101" s="1"/>
  <c r="C53" i="101" s="1"/>
  <c r="H43" i="101"/>
  <c r="I43" i="101" s="1"/>
  <c r="H42" i="103"/>
  <c r="F242" i="102"/>
  <c r="P25" i="103"/>
  <c r="P28" i="103" s="1"/>
  <c r="F269" i="102"/>
  <c r="I202" i="47"/>
  <c r="E509" i="42"/>
  <c r="H44" i="103" l="1"/>
  <c r="H50" i="103" s="1"/>
  <c r="AG91" i="49"/>
  <c r="AG101" i="49"/>
  <c r="AG105" i="49"/>
  <c r="AG97" i="49"/>
  <c r="AG92" i="49"/>
  <c r="AG94" i="49" s="1"/>
  <c r="AG98" i="49" s="1"/>
  <c r="AG102" i="49" s="1"/>
  <c r="AG106" i="49" s="1"/>
  <c r="AG110" i="49" s="1"/>
  <c r="AG114" i="49" s="1"/>
  <c r="AG118" i="49" s="1"/>
  <c r="AI64" i="49"/>
  <c r="AH70" i="49"/>
  <c r="AH71" i="49" s="1"/>
  <c r="AH86" i="49" s="1"/>
  <c r="F224" i="102"/>
  <c r="F218" i="102"/>
  <c r="F246" i="102"/>
  <c r="I204" i="47"/>
  <c r="E510" i="42"/>
  <c r="AH91" i="49" l="1"/>
  <c r="AH101" i="49"/>
  <c r="AH105" i="49"/>
  <c r="AH92" i="49"/>
  <c r="AH94" i="49" s="1"/>
  <c r="AH98" i="49" s="1"/>
  <c r="AH102" i="49" s="1"/>
  <c r="AH106" i="49" s="1"/>
  <c r="AH110" i="49" s="1"/>
  <c r="AH114" i="49" s="1"/>
  <c r="AH118" i="49" s="1"/>
  <c r="AJ64" i="49"/>
  <c r="AI70" i="49"/>
  <c r="AI71" i="49" s="1"/>
  <c r="AI86" i="49" s="1"/>
  <c r="AI91" i="49" s="1"/>
  <c r="F250" i="102"/>
  <c r="I206" i="47"/>
  <c r="E512" i="42"/>
  <c r="AI92" i="49" l="1"/>
  <c r="AI94" i="49" s="1"/>
  <c r="AI98" i="49" s="1"/>
  <c r="AI102" i="49" s="1"/>
  <c r="AI106" i="49" s="1"/>
  <c r="AI110" i="49" s="1"/>
  <c r="AI114" i="49" s="1"/>
  <c r="AI118" i="49" s="1"/>
  <c r="AJ70" i="49"/>
  <c r="AJ71" i="49" s="1"/>
  <c r="AJ86" i="49" s="1"/>
  <c r="AJ91" i="49" s="1"/>
  <c r="AK64" i="49"/>
  <c r="AJ92" i="49" l="1"/>
  <c r="AJ94" i="49" s="1"/>
  <c r="AJ98" i="49" s="1"/>
  <c r="AJ102" i="49" s="1"/>
  <c r="AJ106" i="49" s="1"/>
  <c r="AJ110" i="49" s="1"/>
  <c r="AJ114" i="49" s="1"/>
  <c r="AJ118" i="49" s="1"/>
  <c r="AL64" i="49"/>
  <c r="AL70" i="49" s="1"/>
  <c r="AL71" i="49" s="1"/>
  <c r="AL86" i="49" s="1"/>
  <c r="AL91" i="49" s="1"/>
  <c r="AK70" i="49"/>
  <c r="AK71" i="49" s="1"/>
  <c r="AK86" i="49" s="1"/>
  <c r="AK91" i="49" s="1"/>
  <c r="AK92" i="49" l="1"/>
  <c r="AK94" i="49" s="1"/>
  <c r="AK98" i="49" s="1"/>
  <c r="AK102" i="49" s="1"/>
  <c r="AK106" i="49" s="1"/>
  <c r="AK110" i="49" s="1"/>
  <c r="AK114" i="49" s="1"/>
  <c r="AK118" i="49" s="1"/>
  <c r="AL92" i="49"/>
  <c r="AL94" i="49" s="1"/>
  <c r="AL98" i="49" s="1"/>
  <c r="AL102" i="49" s="1"/>
  <c r="AL106" i="49" s="1"/>
  <c r="AL110" i="49" s="1"/>
  <c r="AL114" i="49" s="1"/>
  <c r="AL118" i="49" s="1"/>
  <c r="D92" i="49" l="1"/>
  <c r="D94" i="49" s="1"/>
  <c r="D98" i="49" s="1"/>
  <c r="D102" i="49" s="1"/>
  <c r="G86" i="108"/>
  <c r="D106" i="49" l="1"/>
  <c r="D110" i="49" s="1"/>
  <c r="D114" i="49" s="1"/>
  <c r="H86" i="49"/>
  <c r="K86" i="49"/>
  <c r="N86" i="49"/>
  <c r="Q86" i="49"/>
  <c r="U86" i="49"/>
  <c r="X86" i="49"/>
  <c r="F86" i="49"/>
  <c r="G86" i="49"/>
  <c r="I86" i="49"/>
  <c r="L86" i="49"/>
  <c r="O86" i="49"/>
  <c r="R86" i="49"/>
  <c r="S86" i="49"/>
  <c r="V86" i="49"/>
  <c r="Y86" i="49"/>
  <c r="J86" i="49"/>
  <c r="M86" i="49"/>
  <c r="P86" i="49"/>
  <c r="T86" i="49"/>
  <c r="W86" i="49"/>
  <c r="X101" i="49" l="1"/>
  <c r="X105" i="49"/>
  <c r="L109" i="49"/>
  <c r="L113" i="49"/>
  <c r="L105" i="49"/>
  <c r="L117" i="49"/>
  <c r="L101" i="49"/>
  <c r="G97" i="49"/>
  <c r="G109" i="49"/>
  <c r="G117" i="49"/>
  <c r="G101" i="49"/>
  <c r="G113" i="49"/>
  <c r="G105" i="49"/>
  <c r="T109" i="49"/>
  <c r="T105" i="49"/>
  <c r="T117" i="49"/>
  <c r="T113" i="49"/>
  <c r="T101" i="49"/>
  <c r="P109" i="49"/>
  <c r="P113" i="49"/>
  <c r="P117" i="49"/>
  <c r="P105" i="49"/>
  <c r="P101" i="49"/>
  <c r="Q109" i="49"/>
  <c r="Q113" i="49"/>
  <c r="Q105" i="49"/>
  <c r="Q117" i="49"/>
  <c r="Q101" i="49"/>
  <c r="S109" i="49"/>
  <c r="S117" i="49"/>
  <c r="S105" i="49"/>
  <c r="S113" i="49"/>
  <c r="S101" i="49"/>
  <c r="I97" i="49"/>
  <c r="I109" i="49"/>
  <c r="I101" i="49"/>
  <c r="I113" i="49"/>
  <c r="I105" i="49"/>
  <c r="I117" i="49"/>
  <c r="W109" i="49"/>
  <c r="W113" i="49"/>
  <c r="W117" i="49"/>
  <c r="W105" i="49"/>
  <c r="W101" i="49"/>
  <c r="U109" i="49"/>
  <c r="U105" i="49"/>
  <c r="U117" i="49"/>
  <c r="U113" i="49"/>
  <c r="U101" i="49"/>
  <c r="Y105" i="49"/>
  <c r="Y101" i="49"/>
  <c r="K97" i="49"/>
  <c r="K109" i="49"/>
  <c r="K101" i="49"/>
  <c r="K117" i="49"/>
  <c r="K113" i="49"/>
  <c r="K105" i="49"/>
  <c r="R109" i="49"/>
  <c r="R105" i="49"/>
  <c r="R117" i="49"/>
  <c r="R113" i="49"/>
  <c r="R101" i="49"/>
  <c r="E109" i="49"/>
  <c r="E113" i="49"/>
  <c r="E117" i="49"/>
  <c r="E105" i="49"/>
  <c r="E101" i="49"/>
  <c r="F105" i="49"/>
  <c r="F101" i="49"/>
  <c r="F109" i="49"/>
  <c r="F117" i="49"/>
  <c r="F113" i="49"/>
  <c r="M97" i="49"/>
  <c r="M109" i="49"/>
  <c r="M101" i="49"/>
  <c r="M105" i="49"/>
  <c r="M113" i="49"/>
  <c r="M117" i="49"/>
  <c r="J97" i="49"/>
  <c r="J109" i="49"/>
  <c r="J117" i="49"/>
  <c r="J105" i="49"/>
  <c r="J101" i="49"/>
  <c r="J113" i="49"/>
  <c r="N109" i="49"/>
  <c r="N113" i="49"/>
  <c r="N117" i="49"/>
  <c r="N101" i="49"/>
  <c r="N105" i="49"/>
  <c r="V109" i="49"/>
  <c r="V113" i="49"/>
  <c r="V105" i="49"/>
  <c r="V117" i="49"/>
  <c r="V101" i="49"/>
  <c r="H97" i="49"/>
  <c r="H109" i="49"/>
  <c r="H101" i="49"/>
  <c r="H113" i="49"/>
  <c r="H117" i="49"/>
  <c r="H105" i="49"/>
  <c r="O109" i="49"/>
  <c r="O117" i="49"/>
  <c r="O105" i="49"/>
  <c r="O101" i="49"/>
  <c r="O113" i="49"/>
  <c r="F91" i="49"/>
  <c r="F97" i="49"/>
  <c r="D118" i="49"/>
  <c r="E97" i="49"/>
  <c r="W97" i="49"/>
  <c r="T97" i="49"/>
  <c r="P97" i="49"/>
  <c r="X97" i="49"/>
  <c r="U97" i="49"/>
  <c r="Q97" i="49"/>
  <c r="Y97" i="49"/>
  <c r="N97" i="49"/>
  <c r="V97" i="49"/>
  <c r="S97" i="49"/>
  <c r="R97" i="49"/>
  <c r="O97" i="49"/>
  <c r="L97" i="49"/>
  <c r="R92" i="49"/>
  <c r="R94" i="49" s="1"/>
  <c r="R98" i="49" s="1"/>
  <c r="R102" i="49" s="1"/>
  <c r="R91" i="49"/>
  <c r="G87" i="108" s="1"/>
  <c r="X92" i="49"/>
  <c r="X94" i="49" s="1"/>
  <c r="X98" i="49" s="1"/>
  <c r="X102" i="49" s="1"/>
  <c r="X91" i="49"/>
  <c r="G92" i="49"/>
  <c r="G94" i="49" s="1"/>
  <c r="G98" i="49" s="1"/>
  <c r="G102" i="49" s="1"/>
  <c r="G91" i="49"/>
  <c r="P92" i="49"/>
  <c r="P94" i="49" s="1"/>
  <c r="P98" i="49" s="1"/>
  <c r="P102" i="49" s="1"/>
  <c r="P91" i="49"/>
  <c r="N92" i="49"/>
  <c r="N94" i="49" s="1"/>
  <c r="N98" i="49" s="1"/>
  <c r="N102" i="49" s="1"/>
  <c r="N91" i="49"/>
  <c r="L92" i="49"/>
  <c r="L94" i="49" s="1"/>
  <c r="L98" i="49" s="1"/>
  <c r="L102" i="49" s="1"/>
  <c r="L91" i="49"/>
  <c r="I92" i="49"/>
  <c r="I94" i="49" s="1"/>
  <c r="I98" i="49" s="1"/>
  <c r="I102" i="49" s="1"/>
  <c r="I91" i="49"/>
  <c r="F92" i="49"/>
  <c r="F94" i="49" s="1"/>
  <c r="F98" i="49" s="1"/>
  <c r="F102" i="49" s="1"/>
  <c r="U92" i="49"/>
  <c r="U94" i="49" s="1"/>
  <c r="U98" i="49" s="1"/>
  <c r="U102" i="49" s="1"/>
  <c r="U91" i="49"/>
  <c r="Y92" i="49"/>
  <c r="Y94" i="49" s="1"/>
  <c r="Y98" i="49" s="1"/>
  <c r="Y102" i="49" s="1"/>
  <c r="Y91" i="49"/>
  <c r="V92" i="49"/>
  <c r="V94" i="49" s="1"/>
  <c r="V98" i="49" s="1"/>
  <c r="V102" i="49" s="1"/>
  <c r="V91" i="49"/>
  <c r="K92" i="49"/>
  <c r="K94" i="49" s="1"/>
  <c r="K98" i="49" s="1"/>
  <c r="K102" i="49" s="1"/>
  <c r="K91" i="49"/>
  <c r="O92" i="49"/>
  <c r="O94" i="49" s="1"/>
  <c r="O98" i="49" s="1"/>
  <c r="O102" i="49" s="1"/>
  <c r="O91" i="49"/>
  <c r="E92" i="49"/>
  <c r="E94" i="49" s="1"/>
  <c r="E98" i="49" s="1"/>
  <c r="E102" i="49" s="1"/>
  <c r="E91" i="49"/>
  <c r="W92" i="49"/>
  <c r="W94" i="49" s="1"/>
  <c r="W98" i="49" s="1"/>
  <c r="W102" i="49" s="1"/>
  <c r="W91" i="49"/>
  <c r="T92" i="49"/>
  <c r="T94" i="49" s="1"/>
  <c r="T98" i="49" s="1"/>
  <c r="T102" i="49" s="1"/>
  <c r="T91" i="49"/>
  <c r="M92" i="49"/>
  <c r="M94" i="49" s="1"/>
  <c r="M98" i="49" s="1"/>
  <c r="M102" i="49" s="1"/>
  <c r="M91" i="49"/>
  <c r="J92" i="49"/>
  <c r="J94" i="49" s="1"/>
  <c r="J98" i="49" s="1"/>
  <c r="J102" i="49" s="1"/>
  <c r="J91" i="49"/>
  <c r="Q92" i="49"/>
  <c r="Q94" i="49" s="1"/>
  <c r="Q98" i="49" s="1"/>
  <c r="Q102" i="49" s="1"/>
  <c r="Q91" i="49"/>
  <c r="S92" i="49"/>
  <c r="S94" i="49" s="1"/>
  <c r="S98" i="49" s="1"/>
  <c r="S102" i="49" s="1"/>
  <c r="S91" i="49"/>
  <c r="H92" i="49"/>
  <c r="H94" i="49" s="1"/>
  <c r="H98" i="49" s="1"/>
  <c r="H102" i="49" s="1"/>
  <c r="H91" i="49"/>
  <c r="D149" i="49" l="1"/>
  <c r="D153" i="49" s="1"/>
  <c r="AR122" i="49"/>
  <c r="L106" i="49"/>
  <c r="L110" i="49" s="1"/>
  <c r="L114" i="49" s="1"/>
  <c r="L118" i="49" s="1"/>
  <c r="L149" i="49" s="1"/>
  <c r="L153" i="49" s="1"/>
  <c r="V106" i="49"/>
  <c r="V110" i="49" s="1"/>
  <c r="V114" i="49" s="1"/>
  <c r="V118" i="49" s="1"/>
  <c r="V149" i="49" s="1"/>
  <c r="V153" i="49" s="1"/>
  <c r="K106" i="49"/>
  <c r="K110" i="49" s="1"/>
  <c r="K114" i="49" s="1"/>
  <c r="K118" i="49" s="1"/>
  <c r="K149" i="49" s="1"/>
  <c r="K153" i="49" s="1"/>
  <c r="P106" i="49"/>
  <c r="P110" i="49" s="1"/>
  <c r="P114" i="49" s="1"/>
  <c r="P118" i="49" s="1"/>
  <c r="P149" i="49" s="1"/>
  <c r="P153" i="49" s="1"/>
  <c r="M106" i="49"/>
  <c r="M110" i="49" s="1"/>
  <c r="M114" i="49" s="1"/>
  <c r="M118" i="49" s="1"/>
  <c r="M149" i="49" s="1"/>
  <c r="M153" i="49" s="1"/>
  <c r="W106" i="49"/>
  <c r="W110" i="49" s="1"/>
  <c r="W114" i="49" s="1"/>
  <c r="W118" i="49" s="1"/>
  <c r="W149" i="49" s="1"/>
  <c r="W153" i="49" s="1"/>
  <c r="G106" i="49"/>
  <c r="G110" i="49" s="1"/>
  <c r="G114" i="49" s="1"/>
  <c r="G118" i="49" s="1"/>
  <c r="G149" i="49" s="1"/>
  <c r="G153" i="49" s="1"/>
  <c r="U106" i="49"/>
  <c r="U110" i="49" s="1"/>
  <c r="U114" i="49" s="1"/>
  <c r="U118" i="49" s="1"/>
  <c r="U149" i="49" s="1"/>
  <c r="U153" i="49" s="1"/>
  <c r="N106" i="49"/>
  <c r="N110" i="49" s="1"/>
  <c r="N114" i="49" s="1"/>
  <c r="N118" i="49" s="1"/>
  <c r="N149" i="49" s="1"/>
  <c r="N153" i="49" s="1"/>
  <c r="E106" i="49"/>
  <c r="E110" i="49" s="1"/>
  <c r="E114" i="49" s="1"/>
  <c r="E118" i="49" s="1"/>
  <c r="F106" i="49"/>
  <c r="F110" i="49" s="1"/>
  <c r="F114" i="49" s="1"/>
  <c r="F118" i="49" s="1"/>
  <c r="F149" i="49" s="1"/>
  <c r="F153" i="49" s="1"/>
  <c r="X106" i="49"/>
  <c r="X110" i="49" s="1"/>
  <c r="X114" i="49" s="1"/>
  <c r="X118" i="49" s="1"/>
  <c r="X149" i="49" s="1"/>
  <c r="X153" i="49" s="1"/>
  <c r="Y106" i="49"/>
  <c r="Y110" i="49" s="1"/>
  <c r="Y114" i="49" s="1"/>
  <c r="Y118" i="49" s="1"/>
  <c r="Y149" i="49" s="1"/>
  <c r="Y153" i="49" s="1"/>
  <c r="S106" i="49"/>
  <c r="S110" i="49" s="1"/>
  <c r="S114" i="49" s="1"/>
  <c r="S118" i="49" s="1"/>
  <c r="S149" i="49" s="1"/>
  <c r="S153" i="49" s="1"/>
  <c r="J106" i="49"/>
  <c r="J110" i="49" s="1"/>
  <c r="J114" i="49" s="1"/>
  <c r="J118" i="49" s="1"/>
  <c r="J149" i="49" s="1"/>
  <c r="J153" i="49" s="1"/>
  <c r="T106" i="49"/>
  <c r="T110" i="49" s="1"/>
  <c r="T114" i="49" s="1"/>
  <c r="T118" i="49" s="1"/>
  <c r="T149" i="49" s="1"/>
  <c r="T153" i="49" s="1"/>
  <c r="H106" i="49"/>
  <c r="H110" i="49" s="1"/>
  <c r="H114" i="49" s="1"/>
  <c r="H118" i="49" s="1"/>
  <c r="H149" i="49" s="1"/>
  <c r="H153" i="49" s="1"/>
  <c r="Q106" i="49"/>
  <c r="Q110" i="49" s="1"/>
  <c r="Q114" i="49" s="1"/>
  <c r="Q118" i="49" s="1"/>
  <c r="Q149" i="49" s="1"/>
  <c r="Q153" i="49" s="1"/>
  <c r="O106" i="49"/>
  <c r="O110" i="49" s="1"/>
  <c r="O114" i="49" s="1"/>
  <c r="O118" i="49" s="1"/>
  <c r="O149" i="49" s="1"/>
  <c r="O153" i="49" s="1"/>
  <c r="I106" i="49"/>
  <c r="I110" i="49" s="1"/>
  <c r="I114" i="49" s="1"/>
  <c r="I118" i="49" s="1"/>
  <c r="I149" i="49" s="1"/>
  <c r="I153" i="49" s="1"/>
  <c r="R106" i="49"/>
  <c r="R110" i="49" s="1"/>
  <c r="R114" i="49" s="1"/>
  <c r="R118" i="49" s="1"/>
  <c r="R149" i="49" s="1"/>
  <c r="R153" i="49" s="1"/>
  <c r="E149" i="49" l="1"/>
  <c r="E153" i="49" s="1"/>
  <c r="D122" i="49"/>
  <c r="D123" i="49" l="1"/>
  <c r="D128" i="49" s="1"/>
  <c r="D133" i="49" s="1"/>
  <c r="D124" i="49"/>
  <c r="D129" i="49" s="1"/>
  <c r="D134" i="49" s="1"/>
  <c r="D159" i="49" s="1"/>
  <c r="BI121" i="49"/>
  <c r="BL121" i="49" s="1"/>
  <c r="BM122" i="49" s="1"/>
  <c r="AR127" i="49" l="1"/>
  <c r="E122" i="49"/>
  <c r="E123" i="49" l="1"/>
  <c r="E128" i="49" s="1"/>
  <c r="E133" i="49" s="1"/>
  <c r="E124" i="49"/>
  <c r="E129" i="49" s="1"/>
  <c r="E134" i="49" s="1"/>
  <c r="E159" i="49" s="1"/>
  <c r="D127" i="49"/>
  <c r="BO118" i="49"/>
  <c r="BO121" i="49"/>
  <c r="BI122" i="49"/>
  <c r="AR132" i="49" l="1"/>
  <c r="D132" i="49" s="1"/>
  <c r="E127" i="49"/>
  <c r="BU121" i="49"/>
  <c r="BX121" i="49" s="1"/>
  <c r="BY122" i="49" s="1"/>
  <c r="AR137" i="49"/>
  <c r="D138" i="49"/>
  <c r="D143" i="49" s="1"/>
  <c r="BR121" i="49"/>
  <c r="BS122" i="49" s="1"/>
  <c r="BL122" i="49"/>
  <c r="D139" i="49" l="1"/>
  <c r="AR142" i="49" s="1"/>
  <c r="BM123" i="49"/>
  <c r="D144" i="49" l="1"/>
  <c r="F122" i="49"/>
  <c r="H53" i="108"/>
  <c r="I53" i="108"/>
  <c r="G53" i="108"/>
  <c r="G57" i="108" s="1"/>
  <c r="E53" i="108"/>
  <c r="E57" i="108" s="1"/>
  <c r="F53" i="108"/>
  <c r="F58" i="108" s="1"/>
  <c r="F124" i="49" l="1"/>
  <c r="F129" i="49" s="1"/>
  <c r="F134" i="49" s="1"/>
  <c r="F123" i="49"/>
  <c r="F128" i="49" s="1"/>
  <c r="F133" i="49" s="1"/>
  <c r="E58" i="108"/>
  <c r="F57" i="108"/>
  <c r="J53" i="108"/>
  <c r="E64" i="108"/>
  <c r="E59" i="108"/>
  <c r="E63" i="108"/>
  <c r="E60" i="108"/>
  <c r="E61" i="108"/>
  <c r="E62" i="108"/>
  <c r="G61" i="108"/>
  <c r="G58" i="108"/>
  <c r="G59" i="108"/>
  <c r="G64" i="108"/>
  <c r="G62" i="108"/>
  <c r="G63" i="108"/>
  <c r="G60" i="108"/>
  <c r="F59" i="108"/>
  <c r="F61" i="108"/>
  <c r="F60" i="108"/>
  <c r="F63" i="108"/>
  <c r="F62" i="108"/>
  <c r="F64" i="108"/>
  <c r="I60" i="108"/>
  <c r="I58" i="108"/>
  <c r="I63" i="108"/>
  <c r="I61" i="108"/>
  <c r="I64" i="108"/>
  <c r="I62" i="108"/>
  <c r="I59" i="108"/>
  <c r="I57" i="108"/>
  <c r="H64" i="108"/>
  <c r="H63" i="108"/>
  <c r="H61" i="108"/>
  <c r="H62" i="108"/>
  <c r="H59" i="108"/>
  <c r="H60" i="108"/>
  <c r="H57" i="108"/>
  <c r="H58" i="108"/>
  <c r="J60" i="108" l="1"/>
  <c r="J62" i="108"/>
  <c r="J59" i="108"/>
  <c r="J58" i="108"/>
  <c r="J61" i="108"/>
  <c r="J64" i="108"/>
  <c r="J57" i="108"/>
  <c r="J63" i="108"/>
  <c r="I65" i="108"/>
  <c r="F65" i="108"/>
  <c r="G65" i="108"/>
  <c r="E65" i="108"/>
  <c r="H65" i="108"/>
  <c r="AX16" i="45" l="1"/>
  <c r="AX66" i="45" s="1"/>
  <c r="E132" i="49" l="1"/>
  <c r="BI123" i="49"/>
  <c r="BO122" i="49" l="1"/>
  <c r="BL123" i="49"/>
  <c r="BU122" i="49" l="1"/>
  <c r="BR122" i="49"/>
  <c r="BM124" i="49"/>
  <c r="BX122" i="49" l="1"/>
  <c r="BY123" i="49" s="1"/>
  <c r="BS123" i="49"/>
  <c r="G122" i="49"/>
  <c r="G124" i="49" s="1"/>
  <c r="G129" i="49" s="1"/>
  <c r="G134" i="49" s="1"/>
  <c r="F127" i="49" l="1"/>
  <c r="BI124" i="49"/>
  <c r="BL124" i="49" s="1"/>
  <c r="G123" i="49"/>
  <c r="G128" i="49" s="1"/>
  <c r="G133" i="49" s="1"/>
  <c r="F159" i="49" l="1"/>
  <c r="BM125" i="49"/>
  <c r="H122" i="49" s="1"/>
  <c r="H124" i="49" s="1"/>
  <c r="H129" i="49" s="1"/>
  <c r="H134" i="49" s="1"/>
  <c r="BI125" i="49" l="1"/>
  <c r="H123" i="49"/>
  <c r="H128" i="49" s="1"/>
  <c r="H133" i="49" s="1"/>
  <c r="BL125" i="49" l="1"/>
  <c r="BM126" i="49" l="1"/>
  <c r="I122" i="49" l="1"/>
  <c r="I124" i="49" s="1"/>
  <c r="I129" i="49" s="1"/>
  <c r="I134" i="49" s="1"/>
  <c r="BI126" i="49" l="1"/>
  <c r="BL126" i="49" s="1"/>
  <c r="BM127" i="49" s="1"/>
  <c r="I123" i="49"/>
  <c r="I128" i="49" s="1"/>
  <c r="I133" i="49" s="1"/>
  <c r="J122" i="49" l="1"/>
  <c r="J124" i="49" s="1"/>
  <c r="J129" i="49" s="1"/>
  <c r="J134" i="49" s="1"/>
  <c r="J123" i="49" l="1"/>
  <c r="J128" i="49" s="1"/>
  <c r="J133" i="49" s="1"/>
  <c r="BI127" i="49"/>
  <c r="BL127" i="49" s="1"/>
  <c r="BM128" i="49" s="1"/>
  <c r="K122" i="49" l="1"/>
  <c r="K124" i="49" s="1"/>
  <c r="K129" i="49" s="1"/>
  <c r="K134" i="49" s="1"/>
  <c r="K123" i="49" l="1"/>
  <c r="K128" i="49" s="1"/>
  <c r="K133" i="49" s="1"/>
  <c r="BI128" i="49"/>
  <c r="BL128" i="49" s="1"/>
  <c r="BM129" i="49" s="1"/>
  <c r="L122" i="49" l="1"/>
  <c r="L124" i="49" s="1"/>
  <c r="L129" i="49" s="1"/>
  <c r="L134" i="49" s="1"/>
  <c r="BI129" i="49" l="1"/>
  <c r="BL129" i="49" s="1"/>
  <c r="BM130" i="49" s="1"/>
  <c r="L123" i="49"/>
  <c r="L128" i="49" s="1"/>
  <c r="L133" i="49" s="1"/>
  <c r="BI130" i="49" l="1"/>
  <c r="BL130" i="49" s="1"/>
  <c r="BM131" i="49" s="1"/>
  <c r="N122" i="49" l="1"/>
  <c r="N124" i="49" s="1"/>
  <c r="N129" i="49" s="1"/>
  <c r="N134" i="49" s="1"/>
  <c r="BI131" i="49" l="1"/>
  <c r="BL131" i="49" s="1"/>
  <c r="N123" i="49"/>
  <c r="N128" i="49" s="1"/>
  <c r="N133" i="49" s="1"/>
  <c r="BM132" i="49" l="1"/>
  <c r="O122" i="49"/>
  <c r="O124" i="49" s="1"/>
  <c r="O129" i="49" s="1"/>
  <c r="O134" i="49" s="1"/>
  <c r="BI132" i="49" l="1"/>
  <c r="BL132" i="49" s="1"/>
  <c r="O123" i="49"/>
  <c r="O128" i="49" s="1"/>
  <c r="O133" i="49" s="1"/>
  <c r="BM133" i="49" l="1"/>
  <c r="P122" i="49" s="1"/>
  <c r="P124" i="49" s="1"/>
  <c r="P129" i="49" s="1"/>
  <c r="P134" i="49" s="1"/>
  <c r="BI133" i="49" l="1"/>
  <c r="BL133" i="49" s="1"/>
  <c r="P123" i="49"/>
  <c r="P128" i="49" s="1"/>
  <c r="P133" i="49" s="1"/>
  <c r="BM134" i="49" l="1"/>
  <c r="Q122" i="49" l="1"/>
  <c r="Q124" i="49" s="1"/>
  <c r="Q129" i="49" s="1"/>
  <c r="Q134" i="49" s="1"/>
  <c r="BI134" i="49" l="1"/>
  <c r="BL134" i="49" s="1"/>
  <c r="Q123" i="49"/>
  <c r="Q128" i="49" s="1"/>
  <c r="Q133" i="49" s="1"/>
  <c r="BM135" i="49" l="1"/>
  <c r="R122" i="49" l="1"/>
  <c r="R124" i="49" s="1"/>
  <c r="R129" i="49" s="1"/>
  <c r="R134" i="49" s="1"/>
  <c r="BI135" i="49" l="1"/>
  <c r="BL135" i="49" s="1"/>
  <c r="R123" i="49"/>
  <c r="R128" i="49" s="1"/>
  <c r="R133" i="49" s="1"/>
  <c r="BM136" i="49" l="1"/>
  <c r="S122" i="49" l="1"/>
  <c r="S124" i="49" s="1"/>
  <c r="S129" i="49" s="1"/>
  <c r="S134" i="49" s="1"/>
  <c r="BI136" i="49" l="1"/>
  <c r="BL136" i="49" s="1"/>
  <c r="BM137" i="49" s="1"/>
  <c r="S123" i="49"/>
  <c r="S128" i="49" s="1"/>
  <c r="S133" i="49" s="1"/>
  <c r="T122" i="49" l="1"/>
  <c r="T124" i="49" s="1"/>
  <c r="T129" i="49" s="1"/>
  <c r="T134" i="49" s="1"/>
  <c r="BI137" i="49" l="1"/>
  <c r="BL137" i="49" s="1"/>
  <c r="BM138" i="49" s="1"/>
  <c r="T123" i="49"/>
  <c r="T128" i="49" s="1"/>
  <c r="T133" i="49" s="1"/>
  <c r="U122" i="49" l="1"/>
  <c r="U124" i="49" s="1"/>
  <c r="U129" i="49" s="1"/>
  <c r="U134" i="49" s="1"/>
  <c r="BI138" i="49" l="1"/>
  <c r="BL138" i="49" s="1"/>
  <c r="BM139" i="49" s="1"/>
  <c r="U123" i="49"/>
  <c r="U128" i="49" s="1"/>
  <c r="U133" i="49" s="1"/>
  <c r="V122" i="49" l="1"/>
  <c r="V124" i="49" s="1"/>
  <c r="V129" i="49" s="1"/>
  <c r="V134" i="49" s="1"/>
  <c r="BI139" i="49" l="1"/>
  <c r="BL139" i="49" s="1"/>
  <c r="BM140" i="49" s="1"/>
  <c r="V123" i="49"/>
  <c r="V128" i="49" s="1"/>
  <c r="V133" i="49" s="1"/>
  <c r="W122" i="49" l="1"/>
  <c r="W124" i="49" s="1"/>
  <c r="W129" i="49" s="1"/>
  <c r="W134" i="49" s="1"/>
  <c r="BI140" i="49" l="1"/>
  <c r="BL140" i="49" s="1"/>
  <c r="BM141" i="49" s="1"/>
  <c r="W123" i="49"/>
  <c r="W128" i="49" s="1"/>
  <c r="W133" i="49" s="1"/>
  <c r="X122" i="49" l="1"/>
  <c r="X124" i="49" s="1"/>
  <c r="X129" i="49" s="1"/>
  <c r="X134" i="49" s="1"/>
  <c r="BI141" i="49" l="1"/>
  <c r="BL141" i="49" s="1"/>
  <c r="BM142" i="49" s="1"/>
  <c r="X123" i="49"/>
  <c r="X128" i="49" s="1"/>
  <c r="X133" i="49" s="1"/>
  <c r="Y122" i="49" l="1"/>
  <c r="Y124" i="49" s="1"/>
  <c r="Y129" i="49" s="1"/>
  <c r="Y134" i="49" s="1"/>
  <c r="BI142" i="49" l="1"/>
  <c r="Y123" i="49"/>
  <c r="Y128" i="49" s="1"/>
  <c r="Y133" i="49" s="1"/>
  <c r="BL142" i="49" l="1"/>
  <c r="BM143" i="49" s="1"/>
  <c r="Z122" i="49" l="1"/>
  <c r="Z124" i="49" s="1"/>
  <c r="Z129" i="49" s="1"/>
  <c r="Z134" i="49" s="1"/>
  <c r="Z123" i="49" l="1"/>
  <c r="Z128" i="49" s="1"/>
  <c r="Z133" i="49" s="1"/>
  <c r="BI143" i="49"/>
  <c r="BL143" i="49" s="1"/>
  <c r="BM144" i="49" s="1"/>
  <c r="AA122" i="49" l="1"/>
  <c r="AA124" i="49" s="1"/>
  <c r="AA129" i="49" s="1"/>
  <c r="AA134" i="49" s="1"/>
  <c r="AA123" i="49" l="1"/>
  <c r="AA128" i="49" s="1"/>
  <c r="AA133" i="49" s="1"/>
  <c r="BI144" i="49"/>
  <c r="BL144" i="49" s="1"/>
  <c r="BM145" i="49" s="1"/>
  <c r="AB122" i="49" l="1"/>
  <c r="AB124" i="49" s="1"/>
  <c r="AB129" i="49" s="1"/>
  <c r="AB134" i="49" s="1"/>
  <c r="BI145" i="49" l="1"/>
  <c r="AB123" i="49"/>
  <c r="AB128" i="49" s="1"/>
  <c r="AB133" i="49" s="1"/>
  <c r="BL145" i="49" l="1"/>
  <c r="BM146" i="49" s="1"/>
  <c r="AC122" i="49" l="1"/>
  <c r="AC124" i="49" s="1"/>
  <c r="AC129" i="49" s="1"/>
  <c r="AC134" i="49" s="1"/>
  <c r="AC123" i="49" l="1"/>
  <c r="AC128" i="49" s="1"/>
  <c r="AC133" i="49" s="1"/>
  <c r="BI146" i="49"/>
  <c r="BL146" i="49" s="1"/>
  <c r="BM147" i="49" s="1"/>
  <c r="AD122" i="49" l="1"/>
  <c r="AD124" i="49" s="1"/>
  <c r="AD129" i="49" s="1"/>
  <c r="AD134" i="49" s="1"/>
  <c r="AD123" i="49" l="1"/>
  <c r="AD128" i="49" s="1"/>
  <c r="AD133" i="49" s="1"/>
  <c r="BI147" i="49"/>
  <c r="BL147" i="49" s="1"/>
  <c r="BM148" i="49" s="1"/>
  <c r="AE122" i="49" l="1"/>
  <c r="AE124" i="49" s="1"/>
  <c r="AE129" i="49" s="1"/>
  <c r="AE134" i="49" s="1"/>
  <c r="AE123" i="49" l="1"/>
  <c r="AE128" i="49" s="1"/>
  <c r="AE133" i="49" s="1"/>
  <c r="BI148" i="49"/>
  <c r="BL148" i="49" l="1"/>
  <c r="BM149" i="49" s="1"/>
  <c r="AF122" i="49" s="1"/>
  <c r="AF124" i="49" s="1"/>
  <c r="AF129" i="49" s="1"/>
  <c r="AF134" i="49" s="1"/>
  <c r="AF123" i="49" l="1"/>
  <c r="AF128" i="49" s="1"/>
  <c r="AF133" i="49" s="1"/>
  <c r="BI149" i="49"/>
  <c r="BL149" i="49" s="1"/>
  <c r="BM150" i="49" l="1"/>
  <c r="E139" i="49" l="1"/>
  <c r="E137" i="49" a="1"/>
  <c r="E137" i="49" s="1"/>
  <c r="E144" i="49" l="1"/>
  <c r="E142" i="49" a="1"/>
  <c r="E142" i="49" s="1"/>
  <c r="BO123" i="49" l="1"/>
  <c r="F132" i="49"/>
  <c r="BU123" i="49" l="1"/>
  <c r="BR123" i="49"/>
  <c r="BX123" i="49" l="1"/>
  <c r="BY124" i="49" s="1"/>
  <c r="BS124" i="49"/>
  <c r="G127" i="49" s="1"/>
  <c r="F139" i="49"/>
  <c r="F137" i="49" a="1"/>
  <c r="F137" i="49" s="1"/>
  <c r="G159" i="49" l="1"/>
  <c r="F144" i="49"/>
  <c r="F142" i="49" a="1"/>
  <c r="F142" i="49" s="1"/>
  <c r="BO124" i="49" l="1"/>
  <c r="G132" i="49"/>
  <c r="BU124" i="49" l="1"/>
  <c r="BR124" i="49"/>
  <c r="BX124" i="49" l="1"/>
  <c r="BS125" i="49"/>
  <c r="H127" i="49" s="1"/>
  <c r="G137" i="49" a="1"/>
  <c r="G137" i="49" s="1"/>
  <c r="G139" i="49"/>
  <c r="G144" i="49" s="1"/>
  <c r="H159" i="49" l="1"/>
  <c r="BO125" i="49"/>
  <c r="BR125" i="49" s="1"/>
  <c r="BY125" i="49"/>
  <c r="H132" i="49" s="1"/>
  <c r="G142" i="49" a="1"/>
  <c r="G142" i="49" s="1"/>
  <c r="H139" i="49" l="1"/>
  <c r="BU125" i="49"/>
  <c r="BS126" i="49"/>
  <c r="I127" i="49" s="1"/>
  <c r="I159" i="49" l="1"/>
  <c r="H137" i="49" a="1"/>
  <c r="H137" i="49" s="1"/>
  <c r="BX125" i="49"/>
  <c r="BO126" i="49"/>
  <c r="H144" i="49"/>
  <c r="H142" i="49" a="1"/>
  <c r="H142" i="49" s="1"/>
  <c r="BY126" i="49" l="1"/>
  <c r="I132" i="49" s="1"/>
  <c r="BR126" i="49"/>
  <c r="I139" i="49" l="1"/>
  <c r="BU126" i="49"/>
  <c r="BS127" i="49"/>
  <c r="J127" i="49" s="1"/>
  <c r="J159" i="49" l="1"/>
  <c r="BO127" i="49"/>
  <c r="BR127" i="49" s="1"/>
  <c r="I137" i="49" a="1"/>
  <c r="I137" i="49" s="1"/>
  <c r="BX126" i="49"/>
  <c r="I144" i="49"/>
  <c r="I142" i="49" a="1"/>
  <c r="I142" i="49" s="1"/>
  <c r="BY127" i="49" l="1"/>
  <c r="J132" i="49" s="1"/>
  <c r="BU127" i="49" s="1"/>
  <c r="BS128" i="49"/>
  <c r="K127" i="49" s="1"/>
  <c r="K159" i="49" l="1"/>
  <c r="BO128" i="49"/>
  <c r="J139" i="49" l="1"/>
  <c r="J137" i="49" a="1"/>
  <c r="J137" i="49" s="1"/>
  <c r="BX127" i="49"/>
  <c r="BY128" i="49" s="1"/>
  <c r="K132" i="49" s="1"/>
  <c r="BR128" i="49"/>
  <c r="BU128" i="49" l="1"/>
  <c r="BX128" i="49" s="1"/>
  <c r="K139" i="49"/>
  <c r="K144" i="49" s="1"/>
  <c r="J144" i="49"/>
  <c r="J142" i="49" a="1"/>
  <c r="J142" i="49" s="1"/>
  <c r="BS129" i="49"/>
  <c r="K142" i="49" l="1" a="1"/>
  <c r="K142" i="49" s="1"/>
  <c r="K137" i="49" a="1"/>
  <c r="K137" i="49" s="1"/>
  <c r="L127" i="49"/>
  <c r="BY129" i="49"/>
  <c r="L159" i="49" l="1"/>
  <c r="BO129" i="49"/>
  <c r="BR129" i="49" s="1"/>
  <c r="BS130" i="49" s="1"/>
  <c r="L132" i="49"/>
  <c r="L139" i="49" l="1"/>
  <c r="BU129" i="49"/>
  <c r="BX129" i="49" s="1"/>
  <c r="BO130" i="49"/>
  <c r="BR130" i="49" s="1"/>
  <c r="BS131" i="49" s="1"/>
  <c r="N127" i="49" s="1"/>
  <c r="N159" i="49" l="1"/>
  <c r="L142" i="49" a="1"/>
  <c r="L142" i="49" s="1"/>
  <c r="L144" i="49"/>
  <c r="L137" i="49" a="1"/>
  <c r="L137" i="49" s="1"/>
  <c r="BY130" i="49"/>
  <c r="BO131" i="49"/>
  <c r="BU130" i="49" l="1"/>
  <c r="BR131" i="49"/>
  <c r="BX130" i="49" l="1"/>
  <c r="BY131" i="49" s="1"/>
  <c r="N132" i="49" s="1"/>
  <c r="BS132" i="49"/>
  <c r="BU131" i="49" l="1"/>
  <c r="BX131" i="49" s="1"/>
  <c r="O127" i="49"/>
  <c r="N139" i="49"/>
  <c r="N144" i="49" s="1"/>
  <c r="O159" i="49" l="1"/>
  <c r="BO132" i="49"/>
  <c r="BY132" i="49"/>
  <c r="O132" i="49" l="1"/>
  <c r="BR132" i="49"/>
  <c r="BS133" i="49" s="1"/>
  <c r="P127" i="49" s="1"/>
  <c r="P159" i="49" l="1"/>
  <c r="BU132" i="49"/>
  <c r="BX132" i="49" s="1"/>
  <c r="BY133" i="49" s="1"/>
  <c r="O139" i="49"/>
  <c r="BO133" i="49"/>
  <c r="BR133" i="49" s="1"/>
  <c r="BS134" i="49" s="1"/>
  <c r="Q127" i="49" s="1"/>
  <c r="Q159" i="49" l="1"/>
  <c r="O144" i="49"/>
  <c r="P132" i="49"/>
  <c r="BO134" i="49"/>
  <c r="BR134" i="49" s="1"/>
  <c r="BS135" i="49" s="1"/>
  <c r="R127" i="49" s="1"/>
  <c r="R159" i="49" l="1"/>
  <c r="BU133" i="49"/>
  <c r="BX133" i="49" s="1"/>
  <c r="BO135" i="49"/>
  <c r="BR135" i="49" s="1"/>
  <c r="BS136" i="49" s="1"/>
  <c r="S127" i="49" s="1"/>
  <c r="P139" i="49"/>
  <c r="P144" i="49" s="1"/>
  <c r="S159" i="49" l="1"/>
  <c r="BY134" i="49"/>
  <c r="Q132" i="49" s="1"/>
  <c r="BU134" i="49"/>
  <c r="BO136" i="49"/>
  <c r="Q139" i="49" l="1"/>
  <c r="BX134" i="49"/>
  <c r="BY135" i="49" s="1"/>
  <c r="R132" i="49" s="1"/>
  <c r="BR136" i="49"/>
  <c r="BS137" i="49" s="1"/>
  <c r="T127" i="49" s="1"/>
  <c r="T159" i="49" l="1"/>
  <c r="BU135" i="49"/>
  <c r="BX135" i="49" s="1"/>
  <c r="R139" i="49"/>
  <c r="R144" i="49" s="1"/>
  <c r="Q144" i="49"/>
  <c r="BO137" i="49"/>
  <c r="BY136" i="49" l="1"/>
  <c r="S132" i="49" s="1"/>
  <c r="BR137" i="49"/>
  <c r="BS138" i="49" s="1"/>
  <c r="U127" i="49" s="1"/>
  <c r="U159" i="49" l="1"/>
  <c r="BU136" i="49"/>
  <c r="BO138" i="49"/>
  <c r="BX136" i="49" l="1"/>
  <c r="S139" i="49"/>
  <c r="BR138" i="49"/>
  <c r="BS139" i="49" s="1"/>
  <c r="V127" i="49" s="1"/>
  <c r="V159" i="49" l="1"/>
  <c r="S144" i="49"/>
  <c r="BY137" i="49"/>
  <c r="T132" i="49" s="1"/>
  <c r="BO139" i="49"/>
  <c r="BU137" i="49" l="1"/>
  <c r="BR139" i="49"/>
  <c r="BS140" i="49" s="1"/>
  <c r="W127" i="49" s="1"/>
  <c r="W159" i="49" l="1"/>
  <c r="T139" i="49"/>
  <c r="BX137" i="49"/>
  <c r="BY138" i="49" s="1"/>
  <c r="U132" i="49" s="1"/>
  <c r="BO140" i="49"/>
  <c r="BU138" i="49" l="1"/>
  <c r="BX138" i="49" s="1"/>
  <c r="T144" i="49"/>
  <c r="BR140" i="49"/>
  <c r="BS141" i="49" s="1"/>
  <c r="X127" i="49" s="1"/>
  <c r="X159" i="49" l="1"/>
  <c r="U139" i="49"/>
  <c r="U144" i="49" s="1"/>
  <c r="BY139" i="49"/>
  <c r="V132" i="49" s="1"/>
  <c r="BO141" i="49"/>
  <c r="BU139" i="49" l="1"/>
  <c r="V139" i="49"/>
  <c r="V144" i="49" s="1"/>
  <c r="BR141" i="49"/>
  <c r="BS142" i="49" s="1"/>
  <c r="Y127" i="49" s="1"/>
  <c r="Y159" i="49" l="1"/>
  <c r="BX139" i="49"/>
  <c r="BO142" i="49"/>
  <c r="BY140" i="49" l="1"/>
  <c r="W132" i="49" s="1"/>
  <c r="BR142" i="49"/>
  <c r="BS143" i="49" s="1"/>
  <c r="Z127" i="49" s="1"/>
  <c r="Z159" i="49" l="1"/>
  <c r="BU140" i="49"/>
  <c r="BO143" i="49"/>
  <c r="W139" i="49" l="1"/>
  <c r="BX140" i="49"/>
  <c r="BR143" i="49"/>
  <c r="BS144" i="49" s="1"/>
  <c r="AA127" i="49" s="1"/>
  <c r="AA159" i="49" l="1"/>
  <c r="BY141" i="49"/>
  <c r="X132" i="49" s="1"/>
  <c r="W144" i="49"/>
  <c r="BO144" i="49"/>
  <c r="BU141" i="49" l="1"/>
  <c r="BR144" i="49"/>
  <c r="BS145" i="49" s="1"/>
  <c r="AB127" i="49" s="1"/>
  <c r="AB159" i="49" l="1"/>
  <c r="BX141" i="49"/>
  <c r="X139" i="49"/>
  <c r="BO145" i="49"/>
  <c r="X144" i="49" l="1"/>
  <c r="BY142" i="49"/>
  <c r="Y132" i="49" s="1"/>
  <c r="BR145" i="49"/>
  <c r="BS146" i="49" s="1"/>
  <c r="AC127" i="49" s="1"/>
  <c r="AC159" i="49" l="1"/>
  <c r="BU142" i="49"/>
  <c r="BO146" i="49"/>
  <c r="Y139" i="49" l="1"/>
  <c r="BX142" i="49"/>
  <c r="BR146" i="49"/>
  <c r="BS147" i="49" s="1"/>
  <c r="AD127" i="49" s="1"/>
  <c r="AD159" i="49" l="1"/>
  <c r="BO147" i="49"/>
  <c r="BY143" i="49"/>
  <c r="Z132" i="49" s="1"/>
  <c r="Y144" i="49"/>
  <c r="BU143" i="49" l="1"/>
  <c r="BR147" i="49"/>
  <c r="BS148" i="49" s="1"/>
  <c r="AE127" i="49" s="1"/>
  <c r="AE159" i="49" l="1"/>
  <c r="Z139" i="49"/>
  <c r="BX143" i="49"/>
  <c r="BY144" i="49" s="1"/>
  <c r="AA132" i="49" s="1"/>
  <c r="BO148" i="49"/>
  <c r="BU144" i="49" l="1"/>
  <c r="BX144" i="49" s="1"/>
  <c r="Z144" i="49"/>
  <c r="BR148" i="49"/>
  <c r="BS149" i="49" s="1"/>
  <c r="AA139" i="49" l="1"/>
  <c r="AA144" i="49" s="1"/>
  <c r="BY145" i="49"/>
  <c r="AF127" i="49"/>
  <c r="AF159" i="49" l="1"/>
  <c r="AB132" i="49"/>
  <c r="BO149" i="49"/>
  <c r="BR149" i="49" s="1"/>
  <c r="BS150" i="49" s="1"/>
  <c r="BU145" i="49" l="1"/>
  <c r="BX145" i="49" s="1"/>
  <c r="BY146" i="49" l="1"/>
  <c r="AC132" i="49" s="1"/>
  <c r="AB139" i="49"/>
  <c r="BU146" i="49" l="1"/>
  <c r="AC139" i="49"/>
  <c r="AC144" i="49" s="1"/>
  <c r="AB144" i="49"/>
  <c r="AG122" i="49" l="1"/>
  <c r="AG124" i="49" s="1"/>
  <c r="AG129" i="49" s="1"/>
  <c r="AG134" i="49" s="1"/>
  <c r="BI150" i="49" l="1"/>
  <c r="AG123" i="49"/>
  <c r="AG128" i="49" s="1"/>
  <c r="AG133" i="49" s="1"/>
  <c r="BL150" i="49" l="1"/>
  <c r="BM151" i="49" s="1"/>
  <c r="AG127" i="49"/>
  <c r="AG159" i="49" l="1"/>
  <c r="BI151" i="49"/>
  <c r="BL151" i="49" s="1"/>
  <c r="BM152" i="49" s="1"/>
  <c r="AI122" i="49" s="1"/>
  <c r="AI124" i="49" s="1"/>
  <c r="AI129" i="49" s="1"/>
  <c r="AI134" i="49" s="1"/>
  <c r="BO150" i="49"/>
  <c r="BI152" i="49" l="1"/>
  <c r="AI123" i="49"/>
  <c r="AI128" i="49" s="1"/>
  <c r="AI133" i="49" s="1"/>
  <c r="BR150" i="49"/>
  <c r="BL152" i="49" l="1"/>
  <c r="BM153" i="49" s="1"/>
  <c r="AJ122" i="49" s="1"/>
  <c r="AJ124" i="49" s="1"/>
  <c r="AJ129" i="49" s="1"/>
  <c r="AJ134" i="49" s="1"/>
  <c r="BS151" i="49"/>
  <c r="BI153" i="49" l="1"/>
  <c r="AJ123" i="49"/>
  <c r="AJ128" i="49" s="1"/>
  <c r="AJ133" i="49" s="1"/>
  <c r="BL153" i="49" l="1"/>
  <c r="BM155" i="49" s="1"/>
  <c r="AK122" i="49" s="1"/>
  <c r="AK124" i="49" s="1"/>
  <c r="AK129" i="49" s="1"/>
  <c r="AK134" i="49" s="1"/>
  <c r="BI155" i="49" l="1"/>
  <c r="BL155" i="49" s="1"/>
  <c r="AK123" i="49"/>
  <c r="AK128" i="49" s="1"/>
  <c r="AK133" i="49" s="1"/>
  <c r="AL124" i="49" l="1"/>
  <c r="AL129" i="49" s="1"/>
  <c r="AL134" i="49" s="1"/>
  <c r="AL123" i="49"/>
  <c r="AL128" i="49" s="1"/>
  <c r="AL133" i="49" s="1"/>
  <c r="AO123" i="49" l="1"/>
  <c r="AO122" i="49"/>
  <c r="AP119" i="49" l="1"/>
  <c r="AL122" i="49"/>
  <c r="AH122" i="49"/>
  <c r="AH124" i="49" s="1"/>
  <c r="AH129" i="49" s="1"/>
  <c r="AH134" i="49" s="1"/>
  <c r="M122" i="49"/>
  <c r="BO153" i="49"/>
  <c r="AH123" i="49" l="1"/>
  <c r="AH128" i="49" s="1"/>
  <c r="AH133" i="49" s="1"/>
  <c r="M124" i="49"/>
  <c r="M123" i="49"/>
  <c r="M128" i="49" s="1"/>
  <c r="M133" i="49" s="1"/>
  <c r="BO155" i="49"/>
  <c r="M129" i="49" l="1"/>
  <c r="M127" i="49"/>
  <c r="BX146" i="49"/>
  <c r="M134" i="49" l="1"/>
  <c r="M132" i="49"/>
  <c r="BY147" i="49"/>
  <c r="M137" i="49" l="1" a="1"/>
  <c r="M137" i="49" s="1"/>
  <c r="M139" i="49"/>
  <c r="AD132" i="49"/>
  <c r="M144" i="49" l="1"/>
  <c r="M142" i="49" a="1"/>
  <c r="M142" i="49" s="1"/>
  <c r="N137" i="49" a="1"/>
  <c r="N137" i="49" s="1"/>
  <c r="M159" i="49"/>
  <c r="BU147" i="49"/>
  <c r="BX147" i="49" s="1"/>
  <c r="BY148" i="49" s="1"/>
  <c r="AE132" i="49" s="1"/>
  <c r="O137" i="49" l="1" a="1"/>
  <c r="O137" i="49" s="1"/>
  <c r="N142" i="49" a="1"/>
  <c r="N142" i="49" s="1"/>
  <c r="BU148" i="49"/>
  <c r="BX148" i="49" s="1"/>
  <c r="AD139" i="49"/>
  <c r="AE139" i="49"/>
  <c r="AE144" i="49" s="1"/>
  <c r="P137" i="49" l="1" a="1"/>
  <c r="P137" i="49" s="1"/>
  <c r="O142" i="49" a="1"/>
  <c r="O142" i="49" s="1"/>
  <c r="BY149" i="49"/>
  <c r="AD144" i="49"/>
  <c r="Q137" i="49" l="1" a="1"/>
  <c r="Q137" i="49" s="1"/>
  <c r="P142" i="49" a="1"/>
  <c r="P142" i="49" s="1"/>
  <c r="AF132" i="49"/>
  <c r="Q142" i="49" l="1" a="1"/>
  <c r="Q142" i="49" s="1"/>
  <c r="R137" i="49" a="1"/>
  <c r="R137" i="49" s="1"/>
  <c r="S137" i="49" s="1" a="1"/>
  <c r="S137" i="49" s="1"/>
  <c r="T137" i="49" s="1" a="1"/>
  <c r="T137" i="49" s="1"/>
  <c r="U137" i="49" s="1" a="1"/>
  <c r="U137" i="49" s="1"/>
  <c r="V137" i="49" s="1" a="1"/>
  <c r="V137" i="49" s="1"/>
  <c r="W137" i="49" s="1" a="1"/>
  <c r="W137" i="49" s="1"/>
  <c r="X137" i="49" s="1" a="1"/>
  <c r="X137" i="49" s="1"/>
  <c r="Y137" i="49" s="1" a="1"/>
  <c r="Y137" i="49" s="1"/>
  <c r="Z137" i="49" s="1" a="1"/>
  <c r="Z137" i="49" s="1"/>
  <c r="AA137" i="49" s="1" a="1"/>
  <c r="AA137" i="49" s="1"/>
  <c r="AB137" i="49" s="1" a="1"/>
  <c r="AB137" i="49" s="1"/>
  <c r="AC137" i="49" s="1" a="1"/>
  <c r="AC137" i="49" s="1"/>
  <c r="BU149" i="49"/>
  <c r="BX149" i="49" s="1"/>
  <c r="BY150" i="49" s="1"/>
  <c r="AG132" i="49" s="1"/>
  <c r="R142" i="49" l="1" a="1"/>
  <c r="R142" i="49" s="1"/>
  <c r="S142" i="49" s="1" a="1"/>
  <c r="S142" i="49" s="1"/>
  <c r="T142" i="49" s="1" a="1"/>
  <c r="T142" i="49" s="1"/>
  <c r="U142" i="49" s="1" a="1"/>
  <c r="U142" i="49" s="1"/>
  <c r="V142" i="49" s="1" a="1"/>
  <c r="V142" i="49" s="1"/>
  <c r="W142" i="49" s="1" a="1"/>
  <c r="W142" i="49" s="1"/>
  <c r="X142" i="49" s="1" a="1"/>
  <c r="X142" i="49" s="1"/>
  <c r="Y142" i="49" s="1" a="1"/>
  <c r="Y142" i="49" s="1"/>
  <c r="Z142" i="49" s="1" a="1"/>
  <c r="Z142" i="49" s="1"/>
  <c r="AA142" i="49" s="1" a="1"/>
  <c r="AA142" i="49" s="1"/>
  <c r="AB142" i="49" s="1" a="1"/>
  <c r="AB142" i="49" s="1"/>
  <c r="AC142" i="49" s="1" a="1"/>
  <c r="AC142" i="49" s="1"/>
  <c r="AD137" i="49" a="1"/>
  <c r="AD137" i="49" s="1"/>
  <c r="AE137" i="49" s="1" a="1"/>
  <c r="AE137" i="49" s="1"/>
  <c r="BU150" i="49"/>
  <c r="BX150" i="49" s="1"/>
  <c r="AG139" i="49"/>
  <c r="AG144" i="49" s="1"/>
  <c r="AF139" i="49"/>
  <c r="AD142" i="49" l="1" a="1"/>
  <c r="AD142" i="49" s="1"/>
  <c r="AE142" i="49" s="1" a="1"/>
  <c r="AE142" i="49" s="1"/>
  <c r="AF137" i="49" a="1"/>
  <c r="AF137" i="49" s="1"/>
  <c r="AG137" i="49" s="1" a="1"/>
  <c r="AG137" i="49" s="1"/>
  <c r="BY151" i="49"/>
  <c r="AF144" i="49"/>
  <c r="AF142" i="49" l="1" a="1"/>
  <c r="AF142" i="49" s="1"/>
  <c r="AG142" i="49" s="1" a="1"/>
  <c r="AG142" i="49" s="1"/>
  <c r="BO151" i="49" l="1"/>
  <c r="BR151" i="49" s="1"/>
  <c r="BO152" i="49"/>
  <c r="BS152" i="49" l="1"/>
  <c r="AI127" i="49" s="1"/>
  <c r="BU151" i="49"/>
  <c r="BX151" i="49" s="1"/>
  <c r="BR152" i="49"/>
  <c r="BR153" i="49" s="1"/>
  <c r="BR155" i="49" s="1"/>
  <c r="AO127" i="49" s="1"/>
  <c r="AH127" i="49" s="1"/>
  <c r="AH159" i="49" l="1"/>
  <c r="AI159" i="49"/>
  <c r="BY152" i="49"/>
  <c r="BS153" i="49"/>
  <c r="AO128" i="49"/>
  <c r="BU152" i="49"/>
  <c r="AI139" i="49"/>
  <c r="AI144" i="49" s="1"/>
  <c r="AH132" i="49" l="1"/>
  <c r="AI132" i="49"/>
  <c r="AJ127" i="49"/>
  <c r="BS155" i="49"/>
  <c r="BX152" i="49"/>
  <c r="AJ159" i="49" l="1"/>
  <c r="AH137" i="49" a="1"/>
  <c r="AH137" i="49" s="1"/>
  <c r="AI137" i="49" s="1" a="1"/>
  <c r="AI137" i="49" s="1"/>
  <c r="AH139" i="49"/>
  <c r="AK127" i="49"/>
  <c r="BY153" i="49"/>
  <c r="AJ132" i="49" s="1"/>
  <c r="AK159" i="49" l="1"/>
  <c r="AH142" i="49" a="1"/>
  <c r="AH142" i="49" s="1"/>
  <c r="AI142" i="49" s="1" a="1"/>
  <c r="AI142" i="49" s="1"/>
  <c r="AH144" i="49"/>
  <c r="BU153" i="49"/>
  <c r="AJ139" i="49" l="1"/>
  <c r="AJ137" i="49" a="1"/>
  <c r="AJ137" i="49" s="1"/>
  <c r="BX153" i="49"/>
  <c r="BY155" i="49" s="1"/>
  <c r="AK132" i="49" l="1"/>
  <c r="BU155" i="49" s="1"/>
  <c r="BX155" i="49" s="1"/>
  <c r="AJ144" i="49"/>
  <c r="AJ142" i="49" a="1"/>
  <c r="AJ142" i="49" s="1"/>
  <c r="AK139" i="49" l="1"/>
  <c r="AK137" i="49" a="1"/>
  <c r="AK137" i="49" s="1"/>
  <c r="AK144" i="49" l="1"/>
  <c r="AK142" i="49" a="1"/>
  <c r="AK142" i="49" s="1"/>
  <c r="AO133" i="49" l="1"/>
  <c r="AL127" i="49" s="1"/>
  <c r="AO132" i="49"/>
  <c r="AL159" i="49" l="1"/>
  <c r="AL132" i="49"/>
  <c r="AL137" i="49" a="1"/>
  <c r="AL137" i="49" s="1"/>
  <c r="AL139" i="49"/>
  <c r="AL142" i="49" l="1" a="1"/>
  <c r="AL142" i="49" s="1"/>
  <c r="AL144" i="49"/>
  <c r="G10" i="111" l="1"/>
  <c r="O9" i="111" s="1"/>
  <c r="T35" i="108"/>
  <c r="T37" i="108" s="1"/>
  <c r="J44" i="46"/>
  <c r="E44" i="46" s="1"/>
  <c r="P37" i="103" s="1"/>
  <c r="F263" i="102"/>
  <c r="F270" i="102"/>
  <c r="P38" i="103" l="1"/>
  <c r="F237" i="102"/>
  <c r="Q90" i="108"/>
  <c r="E220" i="52"/>
  <c r="P40" i="103" l="1"/>
  <c r="P42" i="103" s="1"/>
  <c r="F239" i="102"/>
  <c r="F220" i="52"/>
  <c r="P44" i="103" l="1"/>
  <c r="P50" i="103" s="1"/>
  <c r="F247" i="102"/>
  <c r="F251" i="102" l="1"/>
  <c r="J46" i="46" l="1"/>
  <c r="T36" i="108"/>
  <c r="T38" i="108" s="1"/>
  <c r="F271" i="102"/>
  <c r="F264" i="102"/>
  <c r="E46" i="46" l="1"/>
  <c r="G16" i="65"/>
  <c r="G21" i="65" l="1"/>
  <c r="F582" i="102"/>
  <c r="E222" i="52"/>
  <c r="Q91" i="108"/>
  <c r="Q96" i="108" s="1"/>
  <c r="E54" i="46"/>
  <c r="P50" i="46" s="1"/>
  <c r="E56" i="46"/>
  <c r="E50" i="65" l="1"/>
  <c r="F585" i="102"/>
  <c r="F44" i="46"/>
  <c r="F48" i="46"/>
  <c r="F31" i="46"/>
  <c r="F49" i="46"/>
  <c r="F53" i="46"/>
  <c r="F13" i="46"/>
  <c r="F54" i="46"/>
  <c r="F39" i="46"/>
  <c r="F16" i="46"/>
  <c r="F32" i="46"/>
  <c r="F216" i="47"/>
  <c r="G216" i="47" s="1"/>
  <c r="F33" i="46"/>
  <c r="F18" i="46"/>
  <c r="F21" i="46"/>
  <c r="F47" i="46"/>
  <c r="F30" i="46"/>
  <c r="F46" i="46"/>
  <c r="F15" i="46"/>
  <c r="F14" i="46"/>
  <c r="F19" i="46"/>
  <c r="F51" i="46"/>
  <c r="F35" i="46"/>
  <c r="F37" i="46"/>
  <c r="F45" i="46"/>
  <c r="F50" i="46"/>
  <c r="F34" i="46"/>
  <c r="F12" i="46"/>
  <c r="F38" i="46"/>
  <c r="F29" i="46"/>
  <c r="F11" i="46"/>
  <c r="F17" i="46"/>
  <c r="F22" i="46"/>
  <c r="F36" i="46"/>
  <c r="F52" i="46"/>
  <c r="F23" i="46"/>
  <c r="F20" i="46"/>
  <c r="F222" i="52"/>
  <c r="E229" i="52"/>
  <c r="E228" i="52"/>
  <c r="F228" i="52" s="1"/>
  <c r="F615" i="102" l="1"/>
  <c r="E9" i="65"/>
  <c r="F490" i="102" a="1"/>
  <c r="F490" i="102" s="1"/>
  <c r="F40" i="20"/>
  <c r="F39" i="20" s="1"/>
  <c r="F229" i="52"/>
  <c r="E230" i="52"/>
  <c r="F24" i="46"/>
  <c r="F40" i="46"/>
  <c r="F323" i="102" l="1"/>
  <c r="F297" i="102"/>
  <c r="F43" i="20" l="1"/>
  <c r="F311" i="102" s="1"/>
  <c r="F319" i="102"/>
  <c r="F156" i="49" l="1"/>
  <c r="G156" i="49" l="1"/>
  <c r="H156" i="49" l="1"/>
  <c r="I156" i="49" l="1"/>
  <c r="J156" i="49" l="1"/>
  <c r="K156" i="49" l="1"/>
  <c r="L156" i="49" l="1"/>
  <c r="M156" i="49" l="1"/>
  <c r="N156" i="49" l="1"/>
  <c r="O156" i="49" l="1"/>
  <c r="P156" i="49" l="1"/>
  <c r="Q156" i="49" l="1"/>
  <c r="R156" i="49" l="1"/>
  <c r="S156" i="49" l="1"/>
  <c r="T156" i="49" l="1"/>
  <c r="U156" i="49" l="1"/>
  <c r="V156" i="49" l="1"/>
  <c r="W156" i="49" l="1"/>
  <c r="X156" i="49" l="1"/>
  <c r="Y156" i="49" l="1"/>
  <c r="Z156" i="49" l="1"/>
  <c r="AA156" i="49" l="1"/>
  <c r="AB156" i="49" l="1"/>
  <c r="AC156" i="49" l="1"/>
  <c r="AD156" i="49" l="1"/>
  <c r="AE156" i="49" l="1"/>
  <c r="AF156" i="49" l="1"/>
  <c r="AG156" i="49" l="1"/>
  <c r="AH156" i="49" l="1"/>
  <c r="AI156" i="49" l="1"/>
  <c r="AJ156" i="49" l="1"/>
  <c r="AK156" i="49" l="1"/>
  <c r="AL156"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 D. Murn</author>
    <author>Leslie DiMichele</author>
  </authors>
  <commentList>
    <comment ref="F4" authorId="0" shapeId="0" xr:uid="{43331708-44D6-46B8-8DD0-8651C524D308}">
      <text>
        <r>
          <rPr>
            <b/>
            <sz val="9"/>
            <color indexed="81"/>
            <rFont val="Tahoma"/>
            <family val="2"/>
          </rPr>
          <t xml:space="preserve"> &lt;[[TCDeals] Deal Number - Get]&gt;</t>
        </r>
      </text>
    </comment>
    <comment ref="F5" authorId="0" shapeId="0" xr:uid="{5C99CA12-6F58-4BC2-ADFE-7382C5E251E0}">
      <text>
        <r>
          <rPr>
            <b/>
            <sz val="9"/>
            <color indexed="81"/>
            <rFont val="Tahoma"/>
            <family val="2"/>
          </rPr>
          <t xml:space="preserve"> &lt;[[TCDeals] TC Property Stage Name - Get]&gt;</t>
        </r>
      </text>
    </comment>
    <comment ref="F6" authorId="0" shapeId="0" xr:uid="{129207CC-F8DD-460D-94F7-AADF18B79E07}">
      <text>
        <r>
          <rPr>
            <b/>
            <sz val="9"/>
            <color indexed="81"/>
            <rFont val="Tahoma"/>
            <family val="2"/>
          </rPr>
          <t xml:space="preserve"> &lt;[[TCDeals] TC Deal Status Name - Get]&gt;</t>
        </r>
      </text>
    </comment>
    <comment ref="F7" authorId="0" shapeId="0" xr:uid="{FAE738DA-EA08-40F3-A31D-E9D178F9F879}">
      <text>
        <r>
          <rPr>
            <b/>
            <sz val="9"/>
            <color indexed="81"/>
            <rFont val="Tahoma"/>
            <family val="2"/>
          </rPr>
          <t xml:space="preserve"> &lt;[[TCDeals] - [Associated DEV Deal (Seq: 1)] DEV Deal Id - Get]&gt;</t>
        </r>
      </text>
    </comment>
    <comment ref="F8" authorId="0" shapeId="0" xr:uid="{5C57C2A9-2F6E-406B-9CE9-329C9C49FD37}">
      <text>
        <r>
          <rPr>
            <b/>
            <sz val="9"/>
            <color indexed="81"/>
            <rFont val="Tahoma"/>
            <family val="2"/>
          </rPr>
          <t xml:space="preserve"> &lt;[[TCDeals] - [Associated DEV Deal (Seq: 1)] DEV Deal Stage - Status - Get]&gt;</t>
        </r>
      </text>
    </comment>
    <comment ref="F12" authorId="0" shapeId="0" xr:uid="{3807C5CF-4F6D-428D-863A-0035B51EC729}">
      <text>
        <r>
          <rPr>
            <b/>
            <sz val="9"/>
            <color indexed="81"/>
            <rFont val="Tahoma"/>
            <family val="2"/>
          </rPr>
          <t xml:space="preserve"> &lt;[[TCDeals] - [TCDeals - User Defined Field Values (Seq: 1)] Multi Family Application - Is project a Scattered Site? - Send]&gt;</t>
        </r>
      </text>
    </comment>
    <comment ref="F14" authorId="0" shapeId="0" xr:uid="{DAB812F6-539E-4EBC-B2D1-81F9D7949E3D}">
      <text>
        <r>
          <rPr>
            <b/>
            <sz val="9"/>
            <color indexed="81"/>
            <rFont val="Tahoma"/>
            <family val="2"/>
          </rPr>
          <t xml:space="preserve"> &lt;[[TCDeals] - [TC Property Current Stage (Seq: 1)] Address 1 - Send]&gt;</t>
        </r>
      </text>
    </comment>
    <comment ref="F15" authorId="0" shapeId="0" xr:uid="{32054BEC-54A1-4E26-B241-C96D17DCFB88}">
      <text>
        <r>
          <rPr>
            <b/>
            <sz val="9"/>
            <color indexed="81"/>
            <rFont val="Tahoma"/>
            <family val="2"/>
          </rPr>
          <t xml:space="preserve"> &lt;[[TCDeals] - [TC Property Current Stage (Seq: 1)] City - Send]&gt;</t>
        </r>
      </text>
    </comment>
    <comment ref="F16" authorId="0" shapeId="0" xr:uid="{DBC909AD-8235-4355-8148-DB2879893524}">
      <text>
        <r>
          <rPr>
            <b/>
            <sz val="9"/>
            <color indexed="81"/>
            <rFont val="Tahoma"/>
            <family val="2"/>
          </rPr>
          <t xml:space="preserve"> &lt;[[TCDeals] - [TC Property Current Stage (Seq: 1)] State - Send]&gt;</t>
        </r>
      </text>
    </comment>
    <comment ref="F17" authorId="0" shapeId="0" xr:uid="{9AF3A1C4-1129-481F-AF2D-5C23C1BC2EBC}">
      <text>
        <r>
          <rPr>
            <b/>
            <sz val="9"/>
            <color indexed="81"/>
            <rFont val="Tahoma"/>
            <family val="2"/>
          </rPr>
          <t xml:space="preserve"> &lt;[[TCDeals] - [TC Property Current Stage (Seq: 1)] Jurisdiction - Send]&gt;</t>
        </r>
      </text>
    </comment>
    <comment ref="F18" authorId="0" shapeId="0" xr:uid="{A8DFB0EE-3D92-4A7B-B5C5-65923E93BAB7}">
      <text>
        <r>
          <rPr>
            <b/>
            <sz val="9"/>
            <color indexed="81"/>
            <rFont val="Tahoma"/>
            <family val="2"/>
          </rPr>
          <t xml:space="preserve"> &lt;[[TCDeals] - [TC Property Current Stage (Seq: 1)] Zip Code - Send]&gt;</t>
        </r>
      </text>
    </comment>
    <comment ref="F19" authorId="0" shapeId="0" xr:uid="{059B586E-25B8-44AD-9714-172F9FCBB23F}">
      <text>
        <r>
          <rPr>
            <b/>
            <sz val="9"/>
            <color indexed="81"/>
            <rFont val="Tahoma"/>
            <family val="2"/>
          </rPr>
          <t xml:space="preserve"> &lt;[[TCDeals] - [TC Property Current Stage (Seq: 1)] Is QCT - Send]&gt;</t>
        </r>
      </text>
    </comment>
    <comment ref="F20" authorId="0" shapeId="0" xr:uid="{D1AAB8EB-C019-4E9B-BB78-2F27D10E7F48}">
      <text>
        <r>
          <rPr>
            <b/>
            <sz val="9"/>
            <color indexed="81"/>
            <rFont val="Tahoma"/>
            <family val="2"/>
          </rPr>
          <t xml:space="preserve"> &lt;[[TCDeals] - [TC Property Current Stage (Seq: 1)] Census Tract - Send]&gt;</t>
        </r>
      </text>
    </comment>
    <comment ref="F21" authorId="0" shapeId="0" xr:uid="{D724D76F-57A0-42A7-A8DC-402665824E87}">
      <text>
        <r>
          <rPr>
            <b/>
            <sz val="9"/>
            <color indexed="81"/>
            <rFont val="Tahoma"/>
            <family val="2"/>
          </rPr>
          <t xml:space="preserve"> &lt;[[TCDeals] - [TC Property Current Stage (Seq: 1)] Is DDA - Send]&gt;</t>
        </r>
      </text>
    </comment>
    <comment ref="F23" authorId="0" shapeId="0" xr:uid="{C810278E-E36E-401D-984E-8DB21CBC2383}">
      <text>
        <r>
          <rPr>
            <b/>
            <sz val="9"/>
            <color indexed="81"/>
            <rFont val="Tahoma"/>
            <family val="2"/>
          </rPr>
          <t xml:space="preserve"> &lt;[[TCDeals] - [TC Property Current Stage (Seq: 1)] Is in Revitalization Area - Send]&gt;</t>
        </r>
      </text>
    </comment>
    <comment ref="F25" authorId="0" shapeId="0" xr:uid="{C3C9553B-0080-4BAB-AFB2-D4A6F72F0D34}">
      <text>
        <r>
          <rPr>
            <b/>
            <sz val="9"/>
            <color indexed="81"/>
            <rFont val="Tahoma"/>
            <family val="2"/>
          </rPr>
          <t xml:space="preserve"> &lt;[[TCDeals] - [TCDeals - User Defined Field Values (Seq: 1)] Multi Family Application - Political Jurisdiction - Send]&gt;</t>
        </r>
      </text>
    </comment>
    <comment ref="F26" authorId="0" shapeId="0" xr:uid="{2A29ED8D-07BD-4C0D-9085-8B477ACDB351}">
      <text>
        <r>
          <rPr>
            <b/>
            <sz val="9"/>
            <color indexed="81"/>
            <rFont val="Tahoma"/>
            <family val="2"/>
          </rPr>
          <t xml:space="preserve"> &lt;[[TCDeals] - [TCDeals - User Defined Field Values (Seq: 1)] Multi Family Application - Jurisdiction CEO First Name - Send]&gt;</t>
        </r>
      </text>
    </comment>
    <comment ref="F27" authorId="0" shapeId="0" xr:uid="{3FBF3EC3-40FA-4B5E-9ADB-37B1A12D0053}">
      <text>
        <r>
          <rPr>
            <b/>
            <sz val="9"/>
            <color indexed="81"/>
            <rFont val="Tahoma"/>
            <family val="2"/>
          </rPr>
          <t xml:space="preserve"> &lt;[[TCDeals] - [TCDeals - User Defined Field Values (Seq: 1)] Multi Family Application - Jurisdiction CEO Last Name - Send]&gt;</t>
        </r>
      </text>
    </comment>
    <comment ref="F28" authorId="0" shapeId="0" xr:uid="{3D03BCDD-EF7F-4BBF-9FAC-14CCB433DD6D}">
      <text>
        <r>
          <rPr>
            <b/>
            <sz val="9"/>
            <color indexed="81"/>
            <rFont val="Tahoma"/>
            <family val="2"/>
          </rPr>
          <t xml:space="preserve"> &lt;[[TCDeals] - [TCDeals - User Defined Field Values (Seq: 1)] Multi Family Application - Jurisdiction Title - Send]&gt;</t>
        </r>
      </text>
    </comment>
    <comment ref="F29" authorId="0" shapeId="0" xr:uid="{C759A12F-753E-412A-B94C-77DBF2C8C266}">
      <text>
        <r>
          <rPr>
            <b/>
            <sz val="9"/>
            <color indexed="81"/>
            <rFont val="Tahoma"/>
            <family val="2"/>
          </rPr>
          <t xml:space="preserve"> &lt;[[TCDeals] - [TCDeals - User Defined Field Values (Seq: 1)] Multi Family Application - Jurisdiction Street Address - Send]&gt;</t>
        </r>
      </text>
    </comment>
    <comment ref="F30" authorId="0" shapeId="0" xr:uid="{F1C0A659-A17B-4C1B-82B9-015F657305C3}">
      <text>
        <r>
          <rPr>
            <b/>
            <sz val="9"/>
            <color indexed="81"/>
            <rFont val="Tahoma"/>
            <family val="2"/>
          </rPr>
          <t xml:space="preserve"> &lt;[[TCDeals] - [TCDeals - User Defined Field Values (Seq: 1)] Multi Family Application - Jurisdiction City - Send]&gt;</t>
        </r>
      </text>
    </comment>
    <comment ref="F31" authorId="0" shapeId="0" xr:uid="{1C0DD3D6-FDE4-40EA-B725-E01FB4C44D30}">
      <text>
        <r>
          <rPr>
            <b/>
            <sz val="9"/>
            <color indexed="81"/>
            <rFont val="Tahoma"/>
            <family val="2"/>
          </rPr>
          <t xml:space="preserve"> &lt;[[TCDeals] - [TCDeals - User Defined Field Values (Seq: 1)] Multi Family Application - Jurisdiction Zip Code - Send]&gt;</t>
        </r>
      </text>
    </comment>
    <comment ref="F32" authorId="0" shapeId="0" xr:uid="{3A65BC1E-87D1-4B95-916D-F992518BF79F}">
      <text>
        <r>
          <rPr>
            <b/>
            <sz val="9"/>
            <color indexed="81"/>
            <rFont val="Tahoma"/>
            <family val="2"/>
          </rPr>
          <t xml:space="preserve"> &lt;[[TCDeals] - [TCDeals - User Defined Field Values (Seq: 1)] Multi Family Application - Jurisdiction Phone - Send]&gt;</t>
        </r>
      </text>
    </comment>
    <comment ref="F33" authorId="0" shapeId="0" xr:uid="{C7B3B7F5-29F2-47A2-8CA7-E707D4A08F37}">
      <text>
        <r>
          <rPr>
            <b/>
            <sz val="9"/>
            <color indexed="81"/>
            <rFont val="Tahoma"/>
            <family val="2"/>
          </rPr>
          <t xml:space="preserve"> &lt;[[TCDeals] - [TCDeals - User Defined Field Values (Seq: 1)] Multi Family Application - Jurisdiction Email Address - Send]&gt;</t>
        </r>
      </text>
    </comment>
    <comment ref="F35" authorId="0" shapeId="0" xr:uid="{13A91009-9C54-4FB4-8978-B9C37C9741A7}">
      <text>
        <r>
          <rPr>
            <b/>
            <sz val="9"/>
            <color indexed="81"/>
            <rFont val="Tahoma"/>
            <family val="2"/>
          </rPr>
          <t xml:space="preserve"> &lt;[[TCDeals] - [TC Property Current Stage (Seq: 1)] State House District - Send]&gt;</t>
        </r>
      </text>
    </comment>
    <comment ref="F36" authorId="0" shapeId="0" xr:uid="{40C8F5A5-EABA-4280-9060-E841490455EE}">
      <text>
        <r>
          <rPr>
            <b/>
            <sz val="9"/>
            <color indexed="81"/>
            <rFont val="Tahoma"/>
            <family val="2"/>
          </rPr>
          <t xml:space="preserve"> &lt;[[TCDeals] - [TC Property Current Stage (Seq: 1)] State Senate District - Send]&gt;</t>
        </r>
      </text>
    </comment>
    <comment ref="F37" authorId="0" shapeId="0" xr:uid="{AF8A7088-E41F-4217-9FD3-008748C3D21C}">
      <text>
        <r>
          <rPr>
            <b/>
            <sz val="9"/>
            <color indexed="81"/>
            <rFont val="Tahoma"/>
            <family val="2"/>
          </rPr>
          <t xml:space="preserve"> &lt;[[TCDeals] - [TC Property Current Stage (Seq: 1)] Congressional District - Send]&gt;</t>
        </r>
      </text>
    </comment>
    <comment ref="F40" authorId="0" shapeId="0" xr:uid="{E7749A33-0143-476F-A0FF-4B803873C14F}">
      <text>
        <r>
          <rPr>
            <b/>
            <sz val="9"/>
            <color indexed="81"/>
            <rFont val="Tahoma"/>
            <family val="2"/>
          </rPr>
          <t xml:space="preserve"> &lt;[[TCDeals] - [TC Property Current Stage (Seq: 1)] Bldg Alloc Type - Send]&gt;</t>
        </r>
      </text>
    </comment>
    <comment ref="F41" authorId="0" shapeId="0" xr:uid="{D8A30846-7037-4A5C-9050-F5AACFBF23F0}">
      <text>
        <r>
          <rPr>
            <b/>
            <sz val="9"/>
            <color indexed="81"/>
            <rFont val="Tahoma"/>
            <family val="2"/>
          </rPr>
          <t xml:space="preserve"> &lt;[[TCDeals] - [TC Property Current Stage (Seq: 1)] Form 8610A - Allocation Is - Both]&gt;</t>
        </r>
      </text>
    </comment>
    <comment ref="F42" authorId="0" shapeId="0" xr:uid="{03F51285-703A-40E1-846B-6571C6B2475E}">
      <text>
        <r>
          <rPr>
            <b/>
            <sz val="9"/>
            <color indexed="81"/>
            <rFont val="Tahoma"/>
            <family val="2"/>
          </rPr>
          <t xml:space="preserve"> &lt;[[TCDeals] - [TC Property Current Stage (Seq: 1)] Total New Units - Send]&gt;</t>
        </r>
      </text>
    </comment>
    <comment ref="F43" authorId="0" shapeId="0" xr:uid="{53933AD6-7BC6-4BC5-8B49-7E7FE61335B6}">
      <text>
        <r>
          <rPr>
            <b/>
            <sz val="9"/>
            <color indexed="81"/>
            <rFont val="Tahoma"/>
            <family val="2"/>
          </rPr>
          <t xml:space="preserve"> &lt;[[TCDeals] - [TC Property Current Stage (Seq: 1)] Total Rehab Units - Send]&gt;</t>
        </r>
      </text>
    </comment>
    <comment ref="F44" authorId="0" shapeId="0" xr:uid="{0D712E00-036E-406B-9E67-C3A49A216CFC}">
      <text>
        <r>
          <rPr>
            <b/>
            <sz val="9"/>
            <color indexed="81"/>
            <rFont val="Tahoma"/>
            <family val="2"/>
          </rPr>
          <t xml:space="preserve"> &lt;[[TCDeals] - [TC Property Current Stage (Seq: 1)] Total Reuse Units - Send]&gt;</t>
        </r>
      </text>
    </comment>
    <comment ref="F47" authorId="0" shapeId="0" xr:uid="{BB7F8895-4C95-4D0B-8463-5AD2CF8EF2C0}">
      <text>
        <r>
          <rPr>
            <b/>
            <sz val="9"/>
            <color indexed="81"/>
            <rFont val="Tahoma"/>
            <family val="2"/>
          </rPr>
          <t xml:space="preserve"> &lt;[[TCDeals] - [TC Property Current Stage (Seq: 1)] Has Rental Assistance - Send]&gt;</t>
        </r>
      </text>
    </comment>
    <comment ref="F48" authorId="0" shapeId="0" xr:uid="{4C7DE114-C718-4F26-9B3F-4DCBAFD4B358}">
      <text>
        <r>
          <rPr>
            <b/>
            <sz val="9"/>
            <color indexed="81"/>
            <rFont val="Tahoma"/>
            <family val="2"/>
          </rPr>
          <t xml:space="preserve"> &lt;[[TCDeals] - [TC Property Current Stage (Seq: 1)] - [TC Property Current Stage - User Defined Field Values (Seq: 1)] Multi Family Application - Name of Subsidy Source if receiving project based federal assistance - Send]&gt;</t>
        </r>
      </text>
    </comment>
    <comment ref="F49" authorId="0" shapeId="0" xr:uid="{C198D3E2-2FFF-4088-8AD0-09955AE3ED60}">
      <text>
        <r>
          <rPr>
            <b/>
            <sz val="9"/>
            <color indexed="81"/>
            <rFont val="Tahoma"/>
            <family val="2"/>
          </rPr>
          <t xml:space="preserve"> &lt;[[TCDeals] - [TC Property Current Stage (Seq: 1)] Num Units With Assistance - Send]&gt;</t>
        </r>
      </text>
    </comment>
    <comment ref="F51" authorId="0" shapeId="0" xr:uid="{299E8057-87DA-432C-A2ED-BD653BA9FC6A}">
      <text>
        <r>
          <rPr>
            <b/>
            <sz val="9"/>
            <color indexed="81"/>
            <rFont val="Tahoma"/>
            <family val="2"/>
          </rPr>
          <t xml:space="preserve"> &lt;[[TCDeals] - [TC Property Current Stage (Seq: 1)] - [TC Property Current Stage - User Defined Field Values (Seq: 1)] Multi Family Application - HUD RAD - Send]&gt;</t>
        </r>
      </text>
    </comment>
    <comment ref="F52" authorId="1" shapeId="0" xr:uid="{1463DF72-BD94-4F91-803E-E41B324EBF49}">
      <text>
        <r>
          <rPr>
            <b/>
            <sz val="9"/>
            <color indexed="81"/>
            <rFont val="Tahoma"/>
            <family val="2"/>
          </rPr>
          <t>&lt;[[TCDeals] - [TC Property Current Stage (Seq: 1)] - [Property Points (Seq: 1)] Multi Family Application - HUD RAD - Number of Units - Send]&gt;</t>
        </r>
      </text>
    </comment>
    <comment ref="F53" authorId="0" shapeId="0" xr:uid="{CBEB4479-A097-4215-AF8B-575E4DD969FA}">
      <text>
        <r>
          <rPr>
            <b/>
            <sz val="9"/>
            <color indexed="81"/>
            <rFont val="Tahoma"/>
            <family val="2"/>
          </rPr>
          <t xml:space="preserve"> &lt;[[TCDeals] - [TC Property Current Stage (Seq: 1)] Has RD 515 Assistance - Send]&gt;</t>
        </r>
      </text>
    </comment>
    <comment ref="F54" authorId="1" shapeId="0" xr:uid="{71037507-8764-49B7-B84B-4B3E799AD348}">
      <text>
        <r>
          <rPr>
            <b/>
            <sz val="9"/>
            <color indexed="81"/>
            <rFont val="Tahoma"/>
            <family val="2"/>
          </rPr>
          <t>&lt;[[TCDeals] - [TC Property Current Stage (Seq: 1)] - [Property Points (Seq: 1)] Multi Family Application - RD/Rental Assistance - Number of Units - Send]&gt;</t>
        </r>
      </text>
    </comment>
    <comment ref="F55" authorId="0" shapeId="0" xr:uid="{0F05FDC0-68A6-49EE-AA30-70B56D6F4543}">
      <text>
        <r>
          <rPr>
            <b/>
            <sz val="9"/>
            <color indexed="81"/>
            <rFont val="Tahoma"/>
            <family val="2"/>
          </rPr>
          <t xml:space="preserve"> &lt;[[TCDeals] - [TC Property Current Stage (Seq: 1)] Is Mkt Section 221d3 - Send]&gt;</t>
        </r>
      </text>
    </comment>
    <comment ref="F56" authorId="1" shapeId="0" xr:uid="{D790A02B-BED0-4E92-8225-B6490F037690}">
      <text>
        <r>
          <rPr>
            <b/>
            <sz val="9"/>
            <color indexed="81"/>
            <rFont val="Tahoma"/>
            <family val="2"/>
          </rPr>
          <t>&lt;[[TCDeals] - [TC Property Current Stage (Seq: 1)] - [Property Points (Seq: 1)] Multi Family Application - Section 221(d)(3) BMR - Number of Units - Send]&gt;</t>
        </r>
      </text>
    </comment>
    <comment ref="F57" authorId="0" shapeId="0" xr:uid="{2F48A271-B771-4E5D-BA84-1D99190ECC39}">
      <text>
        <r>
          <rPr>
            <b/>
            <sz val="9"/>
            <color indexed="81"/>
            <rFont val="Tahoma"/>
            <family val="2"/>
          </rPr>
          <t xml:space="preserve"> &lt;[[TCDeals] - [TC Property Current Stage (Seq: 1)] Is Mkt Section 236 - Send]&gt;</t>
        </r>
      </text>
    </comment>
    <comment ref="F58" authorId="1" shapeId="0" xr:uid="{D850F666-2307-4555-BCB5-949D2514D480}">
      <text>
        <r>
          <rPr>
            <b/>
            <sz val="9"/>
            <color indexed="81"/>
            <rFont val="Tahoma"/>
            <family val="2"/>
          </rPr>
          <t>&lt;[[TCDeals] - [TC Property Current Stage (Seq: 1)] - [Property Points (Seq: 1)] Multi Family Application - Section 236 - Number of Units - Send]&gt;</t>
        </r>
      </text>
    </comment>
    <comment ref="F59" authorId="0" shapeId="0" xr:uid="{A04D0995-9C94-4423-9A50-7AE6F0B0678B}">
      <text>
        <r>
          <rPr>
            <b/>
            <sz val="9"/>
            <color indexed="81"/>
            <rFont val="Tahoma"/>
            <family val="2"/>
          </rPr>
          <t xml:space="preserve"> &lt;[[TCDeals] - [TC Property Current Stage (Seq: 1)] Is Section 8 RAP - Send]&gt;</t>
        </r>
      </text>
    </comment>
    <comment ref="F60" authorId="0" shapeId="0" xr:uid="{146EBB59-46EB-4044-ADD0-F9C94C02D78F}">
      <text>
        <r>
          <rPr>
            <b/>
            <sz val="9"/>
            <color indexed="81"/>
            <rFont val="Tahoma"/>
            <family val="2"/>
          </rPr>
          <t xml:space="preserve"> &lt;[[TCDeals] - [TC Property Current Stage (Seq: 1)] - [TC Property Current Stage - User Defined Field Values (Seq: 1)] Multi Family Application - Section 8  or Rental Assistance - Number of Units - Send]&gt;</t>
        </r>
      </text>
    </comment>
    <comment ref="F61" authorId="0" shapeId="0" xr:uid="{C7EB785F-7C0F-400E-AFB3-A2841FB77CCC}">
      <text>
        <r>
          <rPr>
            <b/>
            <sz val="9"/>
            <color indexed="81"/>
            <rFont val="Tahoma"/>
            <family val="2"/>
          </rPr>
          <t xml:space="preserve"> &lt;[[TCDeals] - [TC Property Current Stage (Seq: 1)] - [TC Property Current Stage - User Defined Field Values (Seq: 1)] Multi Family Application - Section 8 Contract - Send]&gt;</t>
        </r>
      </text>
    </comment>
    <comment ref="F62" authorId="0" shapeId="0" xr:uid="{C2BC715D-8B9D-4F53-9D55-86FDD6B043EA}">
      <text>
        <r>
          <rPr>
            <b/>
            <sz val="9"/>
            <color indexed="81"/>
            <rFont val="Tahoma"/>
            <family val="2"/>
          </rPr>
          <t xml:space="preserve"> &lt;[[TCDeals] - [TC Property Current Stage (Seq: 1)] - [TC Property Current Stage - User Defined Field Values (Seq: 1)] Multi Family Application - Section 8 Contract - Number of Units - Send]&gt;</t>
        </r>
      </text>
    </comment>
    <comment ref="F63" authorId="0" shapeId="0" xr:uid="{6F110E67-6B0E-4178-96E0-38FEE026BF90}">
      <text>
        <r>
          <rPr>
            <b/>
            <sz val="9"/>
            <color indexed="81"/>
            <rFont val="Tahoma"/>
            <family val="2"/>
          </rPr>
          <t xml:space="preserve"> &lt;[[TCDeals] - [TC Property Current Stage (Seq: 1)] - [TC Property Current Stage - User Defined Field Values (Seq: 1)] Multi Family Application - Other - Send]&gt;</t>
        </r>
      </text>
    </comment>
    <comment ref="F64" authorId="0" shapeId="0" xr:uid="{7394ABEE-7282-4375-B3C2-CB333C14D83A}">
      <text>
        <r>
          <rPr>
            <b/>
            <sz val="9"/>
            <color indexed="81"/>
            <rFont val="Tahoma"/>
            <family val="2"/>
          </rPr>
          <t xml:space="preserve"> &lt;[[TCDeals] - [TC Property Current Stage (Seq: 1)] - [TC Property Current Stage - User Defined Field Values (Seq: 1)] Multi Family Application - Other - Number of Units - Send]&gt;</t>
        </r>
      </text>
    </comment>
    <comment ref="F66" authorId="0" shapeId="0" xr:uid="{57B74CE2-A5DD-4F54-8EC7-9021B5EDA47C}">
      <text>
        <r>
          <rPr>
            <b/>
            <sz val="9"/>
            <color indexed="81"/>
            <rFont val="Tahoma"/>
            <family val="2"/>
          </rPr>
          <t xml:space="preserve"> &lt;[[TCDeals] - [TC Property Current Stage (Seq: 1)] Is HUD Approval Required - Send]&gt;</t>
        </r>
      </text>
    </comment>
    <comment ref="F67" authorId="0" shapeId="0" xr:uid="{E0C7C6B1-5B3F-4963-ADBE-70F14AB33B44}">
      <text>
        <r>
          <rPr>
            <b/>
            <sz val="9"/>
            <color indexed="81"/>
            <rFont val="Tahoma"/>
            <family val="2"/>
          </rPr>
          <t xml:space="preserve"> &lt;[[TCDeals] - [TC Property Current Stage (Seq: 1)] - [TC Property Current Stage - User Defined Field Values (Seq: 1)] Multi Family Application - Is RD Approval required? - Send]&gt;</t>
        </r>
      </text>
    </comment>
    <comment ref="F68" authorId="0" shapeId="0" xr:uid="{8752E2B1-C805-4400-9EC0-CF57DDCC9F2B}">
      <text>
        <r>
          <rPr>
            <b/>
            <sz val="9"/>
            <color indexed="81"/>
            <rFont val="Tahoma"/>
            <family val="2"/>
          </rPr>
          <t xml:space="preserve"> &lt;[[TCDeals] - [TC Property Current Stage (Seq: 1)] - [TC Property Current Stage - User Defined Field Values (Seq: 1)] Multi Family Application - Is WHEDA Approval required? - Send]&gt;</t>
        </r>
      </text>
    </comment>
    <comment ref="F69" authorId="0" shapeId="0" xr:uid="{622A6516-3091-41E6-BD2F-D03056BFA33A}">
      <text>
        <r>
          <rPr>
            <b/>
            <sz val="9"/>
            <color indexed="81"/>
            <rFont val="Tahoma"/>
            <family val="2"/>
          </rPr>
          <t xml:space="preserve"> &lt;[[TCDeals] - [TC Property Current Stage (Seq: 1)] - [TC Property Current Stage - User Defined Field Values (Seq: 1)] Multi Family Application - Are existing LURA? - Send]&gt;</t>
        </r>
      </text>
    </comment>
    <comment ref="F70" authorId="0" shapeId="0" xr:uid="{CA44352B-3952-4711-B6D6-DFA39201D810}">
      <text>
        <r>
          <rPr>
            <b/>
            <sz val="9"/>
            <color indexed="81"/>
            <rFont val="Tahoma"/>
            <family val="2"/>
          </rPr>
          <t xml:space="preserve"> &lt;[[TCDeals] - [TC Property Current Stage (Seq: 1)] - [TC Property Current Stage - User Defined Field Values (Seq: 1)] Multi Family Application - Existing LURA - Project Number - Send]&gt;</t>
        </r>
      </text>
    </comment>
    <comment ref="F73" authorId="0" shapeId="0" xr:uid="{87BD46EF-3762-4BEF-8BB5-F86799228C55}">
      <text>
        <r>
          <rPr>
            <b/>
            <sz val="9"/>
            <color indexed="81"/>
            <rFont val="Tahoma"/>
            <family val="2"/>
          </rPr>
          <t xml:space="preserve"> &lt;[[TCDeals] - [TC Property Current Stage (Seq: 1)] - [TC Property Current Stage - User Defined Field Values (Seq: 1)] Multi Family Application - Family - Number of Units - Send]&gt;</t>
        </r>
      </text>
    </comment>
    <comment ref="F75" authorId="0" shapeId="0" xr:uid="{0DFAFEAC-F0E8-4395-A082-53782C81095F}">
      <text>
        <r>
          <rPr>
            <b/>
            <sz val="9"/>
            <color indexed="81"/>
            <rFont val="Tahoma"/>
            <family val="2"/>
          </rPr>
          <t xml:space="preserve"> &lt;[[TCDeals] - [TC Property Current Stage (Seq: 1)] - [TC Property Current Stage - User Defined Field Values (Seq: 1)] Multi Family Application - Elderly - Number of Units - Send]&gt;</t>
        </r>
      </text>
    </comment>
    <comment ref="F77" authorId="0" shapeId="0" xr:uid="{B6793C34-8161-4CFF-AC56-3A9E0A3D3CB9}">
      <text>
        <r>
          <rPr>
            <b/>
            <sz val="9"/>
            <color indexed="81"/>
            <rFont val="Tahoma"/>
            <family val="2"/>
          </rPr>
          <t xml:space="preserve"> &lt;[[TCDeals] - [TC Property Current Stage (Seq: 1)] - [TC Property Current Stage - User Defined Field Values (Seq: 1)] Multi Family Application - Homeless - Number of Units - Send]&gt;</t>
        </r>
      </text>
    </comment>
    <comment ref="F79" authorId="0" shapeId="0" xr:uid="{C72DADF2-CD7D-4CE8-A12E-31C885C94CF7}">
      <text>
        <r>
          <rPr>
            <b/>
            <sz val="9"/>
            <color indexed="81"/>
            <rFont val="Tahoma"/>
            <family val="2"/>
          </rPr>
          <t xml:space="preserve"> &lt;[[TCDeals] - [TC Property Current Stage (Seq: 1)] - [TC Property Current Stage - User Defined Field Values (Seq: 1)] Multi Family Application - Supportive Housing - Number of Units - Send]&gt;</t>
        </r>
      </text>
    </comment>
    <comment ref="F81" authorId="1" shapeId="0" xr:uid="{84E67B6C-B72E-4DD4-89B8-0F857540D67B}">
      <text>
        <r>
          <rPr>
            <b/>
            <sz val="9"/>
            <color indexed="81"/>
            <rFont val="Tahoma"/>
            <family val="2"/>
          </rPr>
          <t>&lt;[[TCDeals] - [TC Property Current Stage (Seq: 1)] - [Property Points (Seq: 1)] Multi Family Application - Single Room Occupancy - Number of Units - Send]&gt;</t>
        </r>
      </text>
    </comment>
    <comment ref="F83" authorId="1" shapeId="0" xr:uid="{562DD3EF-AA49-41C3-A009-5E38F8E4DA37}">
      <text>
        <r>
          <rPr>
            <b/>
            <sz val="9"/>
            <color indexed="81"/>
            <rFont val="Tahoma"/>
            <family val="2"/>
          </rPr>
          <t>&lt;[[TCDeals] - [TC Property Current Stage (Seq: 1)] - [Property Points (Seq: 1)] Multi Family Application - CBRF - Number of Units - Send]&gt;</t>
        </r>
      </text>
    </comment>
    <comment ref="F85" authorId="1" shapeId="0" xr:uid="{764820AE-14FB-4AEA-AC87-23C70FFD096F}">
      <text>
        <r>
          <rPr>
            <b/>
            <sz val="9"/>
            <color indexed="81"/>
            <rFont val="Tahoma"/>
            <family val="2"/>
          </rPr>
          <t>&lt;[[TCDeals] - [TC Property Current Stage (Seq: 1)] - [Property Points (Seq: 1)] Multi Family Application - RCAC - Number of Units - Send]&gt;</t>
        </r>
      </text>
    </comment>
    <comment ref="F86" authorId="0" shapeId="0" xr:uid="{D48EE15A-D3CD-4F67-824C-30EF622D97C6}">
      <text>
        <r>
          <rPr>
            <b/>
            <sz val="9"/>
            <color indexed="81"/>
            <rFont val="Tahoma"/>
            <family val="2"/>
          </rPr>
          <t xml:space="preserve"> &lt;[[TCDeals] - [TC Property Current Stage (Seq: 1)] Target Type - Send]&gt;</t>
        </r>
      </text>
    </comment>
    <comment ref="F88" authorId="0" shapeId="0" xr:uid="{F9EE533A-E7FE-4D64-B5B8-87C3E1668240}">
      <text>
        <r>
          <rPr>
            <b/>
            <sz val="9"/>
            <color indexed="81"/>
            <rFont val="Tahoma"/>
            <family val="2"/>
          </rPr>
          <t xml:space="preserve"> &lt;[[TCDeals] - [TCDeals - User Defined Field Values (Seq: 1)] Multi Family Application - Application for additional credit? - Send]&gt;</t>
        </r>
      </text>
    </comment>
    <comment ref="F89" authorId="0" shapeId="0" xr:uid="{E2A49522-1773-474C-B9BB-B8BCB23DC241}">
      <text>
        <r>
          <rPr>
            <b/>
            <sz val="9"/>
            <color indexed="81"/>
            <rFont val="Tahoma"/>
            <family val="2"/>
          </rPr>
          <t xml:space="preserve"> &lt;[[TCDeals] - [TCDeals - User Defined Field Values (Seq: 1)] Multi Family Application - Additional Credit - If yes, Project Name and Application Number - Send]&gt;</t>
        </r>
      </text>
    </comment>
    <comment ref="F90" authorId="0" shapeId="0" xr:uid="{4979DA9F-873D-494E-9E6F-42A98AB2D1DD}">
      <text>
        <r>
          <rPr>
            <b/>
            <sz val="9"/>
            <color indexed="81"/>
            <rFont val="Tahoma"/>
            <family val="2"/>
          </rPr>
          <t xml:space="preserve"> &lt;[[TCDeals] - [TCDeals - User Defined Field Values (Seq: 1)] Multi Family Application - Is this a credit application for a property that has completed its HTC compliance period? - Send]&gt;</t>
        </r>
      </text>
    </comment>
    <comment ref="F91" authorId="0" shapeId="0" xr:uid="{0B8DE70E-3AC5-4E5E-9688-D9CBF1E1E976}">
      <text>
        <r>
          <rPr>
            <b/>
            <sz val="9"/>
            <color indexed="81"/>
            <rFont val="Tahoma"/>
            <family val="2"/>
          </rPr>
          <t xml:space="preserve"> &lt;[[TCDeals] - [TCDeals - User Defined Field Values (Seq: 1)] Multi Family Application - HTC Compliance - If yes, Project Name and Application Number - Send]&gt;</t>
        </r>
      </text>
    </comment>
    <comment ref="F94" authorId="0" shapeId="0" xr:uid="{535845CE-7DA7-4F23-B055-33FCC34FF016}">
      <text>
        <r>
          <rPr>
            <b/>
            <sz val="9"/>
            <color indexed="81"/>
            <rFont val="Tahoma"/>
            <family val="2"/>
          </rPr>
          <t xml:space="preserve"> &lt;[[TCDeals] - [TCDeals - User Defined Field Values (Seq: 1)] Multi Family Application - Set-Aside - Send]&gt;</t>
        </r>
      </text>
    </comment>
    <comment ref="F95" authorId="0" shapeId="0" xr:uid="{1F5A5201-A0EB-4DC5-9968-FC954282A4DE}">
      <text>
        <r>
          <rPr>
            <b/>
            <sz val="9"/>
            <color indexed="81"/>
            <rFont val="Tahoma"/>
            <family val="2"/>
          </rPr>
          <t xml:space="preserve"> &lt;[[TCDeals] - [TCDeals - User Defined Field Values (Seq: 1)] Multi Family Application - Credit Percentage applied for? - Send]&gt;</t>
        </r>
      </text>
    </comment>
    <comment ref="F99" authorId="0" shapeId="0" xr:uid="{A805B6DC-09C9-4CB2-BF48-6C223E0BD5F9}">
      <text>
        <r>
          <rPr>
            <b/>
            <sz val="9"/>
            <color indexed="81"/>
            <rFont val="Tahoma"/>
            <family val="2"/>
          </rPr>
          <t xml:space="preserve"> &lt;[[TCDeals] - [TCDeals - User Defined Field Values (Seq: 1)] Multi Family Application - Minimum Set-Aside Requirement - Send]&gt;</t>
        </r>
      </text>
    </comment>
    <comment ref="F101" authorId="0" shapeId="0" xr:uid="{72A78ED1-65DF-49C7-83EF-1F251A33FE35}">
      <text>
        <r>
          <rPr>
            <b/>
            <sz val="9"/>
            <color indexed="81"/>
            <rFont val="Tahoma"/>
            <family val="2"/>
          </rPr>
          <t xml:space="preserve"> &lt;[[TCDeals] - [TC Property Current Stage (Seq: 1)] Has Other Amenity3 - Send]&gt;</t>
        </r>
      </text>
    </comment>
    <comment ref="G101" authorId="0" shapeId="0" xr:uid="{1532695D-D2E2-4FC4-9D34-2BE85EF63DF9}">
      <text>
        <r>
          <rPr>
            <b/>
            <sz val="9"/>
            <color indexed="81"/>
            <rFont val="Tahoma"/>
            <family val="2"/>
          </rPr>
          <t xml:space="preserve"> &lt;[[TCDeals] - [TC Property Current Stage (Seq: 1)] Other Amenity3 Desc - Send]&gt;</t>
        </r>
      </text>
    </comment>
    <comment ref="F102" authorId="0" shapeId="0" xr:uid="{DB98D304-3055-40A0-B3A8-7844B06C2EB0}">
      <text>
        <r>
          <rPr>
            <b/>
            <sz val="9"/>
            <color indexed="81"/>
            <rFont val="Tahoma"/>
            <family val="2"/>
          </rPr>
          <t xml:space="preserve"> &lt;[[TCDeals] - [TC Property Current Stage (Seq: 1)] Num Stories - Send]&gt;</t>
        </r>
      </text>
    </comment>
    <comment ref="F109" authorId="0" shapeId="0" xr:uid="{58EFD816-5021-45ED-BF52-43287F31D8BE}">
      <text>
        <r>
          <rPr>
            <b/>
            <sz val="9"/>
            <color indexed="81"/>
            <rFont val="Tahoma"/>
            <family val="2"/>
          </rPr>
          <t xml:space="preserve"> &lt;[[TCDeals] - [TC Property Current Stage (Seq: 1)] Building Type - Send]&gt;</t>
        </r>
      </text>
    </comment>
    <comment ref="F116" authorId="0" shapeId="0" xr:uid="{7E95C698-240D-45A3-A803-8BF599917C3B}">
      <text>
        <r>
          <rPr>
            <b/>
            <sz val="9"/>
            <color indexed="81"/>
            <rFont val="Tahoma"/>
            <family val="2"/>
          </rPr>
          <t xml:space="preserve"> &lt;[[TCDeals] - [TC Property Current Stage (Seq: 1)] - [TC Property Current Stage - User Defined Field Values (Seq: 1)] Multi Family Application - Rental - Send]&gt;</t>
        </r>
      </text>
    </comment>
    <comment ref="F117" authorId="0" shapeId="0" xr:uid="{41C72578-987F-49CF-8D3C-7636C4B6281E}">
      <text>
        <r>
          <rPr>
            <b/>
            <sz val="9"/>
            <color indexed="81"/>
            <rFont val="Tahoma"/>
            <family val="2"/>
          </rPr>
          <t xml:space="preserve"> &lt;[[TCDeals] - [TC Property Current Stage (Seq: 1)] - [TC Property Current Stage - User Defined Field Values (Seq: 1)] Multi Family Application - Rental Targeted For Eventual Resident Ownership - Send]&gt;</t>
        </r>
      </text>
    </comment>
    <comment ref="F120" authorId="0" shapeId="0" xr:uid="{C275C2DA-CA87-4E23-ADDB-06D17C88A33D}">
      <text>
        <r>
          <rPr>
            <b/>
            <sz val="9"/>
            <color indexed="81"/>
            <rFont val="Tahoma"/>
            <family val="2"/>
          </rPr>
          <t xml:space="preserve"> &lt;[[TCDeals] - [TC Construction Control (Seq: 1)] Construction Begin Date - Send]&gt;</t>
        </r>
      </text>
    </comment>
    <comment ref="F121" authorId="0" shapeId="0" xr:uid="{EB988CE7-4847-46A5-8480-E2472747C05F}">
      <text>
        <r>
          <rPr>
            <b/>
            <sz val="9"/>
            <color indexed="81"/>
            <rFont val="Tahoma"/>
            <family val="2"/>
          </rPr>
          <t xml:space="preserve"> &lt;[[TCDeals] - [TC Construction Control (Seq: 1)] Anticipated Completion Date - Send]&gt;</t>
        </r>
      </text>
    </comment>
    <comment ref="F122" authorId="0" shapeId="0" xr:uid="{8341AB0C-A66E-4429-80C8-A9FB1D5E6958}">
      <text>
        <r>
          <rPr>
            <b/>
            <sz val="9"/>
            <color indexed="81"/>
            <rFont val="Tahoma"/>
            <family val="2"/>
          </rPr>
          <t>&lt;[[TCDeals] - [TCDeals - User Defined Field Values (Seq: 1)] Multi Family Application - Anticipated Placed In Service Date - Send]&gt;</t>
        </r>
      </text>
    </comment>
    <comment ref="F133" authorId="0" shapeId="0" xr:uid="{54F391C8-2447-4309-8DF8-0DA14318FC2B}">
      <text>
        <r>
          <rPr>
            <b/>
            <sz val="9"/>
            <color indexed="81"/>
            <rFont val="Tahoma"/>
            <family val="2"/>
          </rPr>
          <t xml:space="preserve"> &lt;[[TCDeals] - [TC Construction Control (Seq: 1)] Developer - Send]&gt;</t>
        </r>
      </text>
    </comment>
    <comment ref="F134" authorId="0" shapeId="0" xr:uid="{0D89925B-CF2A-49C6-A339-CA5EDBDD23C3}">
      <text>
        <r>
          <rPr>
            <b/>
            <sz val="9"/>
            <color indexed="81"/>
            <rFont val="Tahoma"/>
            <family val="2"/>
          </rPr>
          <t xml:space="preserve"> &lt;[[TCDeals] - [TC Construction Control (Seq: 1)] Developer Primary Contact - Send]&gt;</t>
        </r>
      </text>
    </comment>
    <comment ref="F135" authorId="0" shapeId="0" xr:uid="{AEFE27E5-7731-48AC-9D04-E5DE4A808BA7}">
      <text>
        <r>
          <rPr>
            <b/>
            <sz val="9"/>
            <color indexed="81"/>
            <rFont val="Tahoma"/>
            <family val="2"/>
          </rPr>
          <t xml:space="preserve"> &lt;[[TCDeals] - [TC Construction Control (Seq: 1)] Developer Phone - Send]&gt;</t>
        </r>
      </text>
    </comment>
    <comment ref="F136" authorId="0" shapeId="0" xr:uid="{F00373D6-0020-4085-B9C7-5B4B0CD0CAF3}">
      <text>
        <r>
          <rPr>
            <b/>
            <sz val="9"/>
            <color indexed="81"/>
            <rFont val="Tahoma"/>
            <family val="2"/>
          </rPr>
          <t xml:space="preserve"> &lt;[[TCDeals] - [TCDeals - User Defined Field Values (Seq: 1)] Multi Family Application - Unsatisfied judgements against applicant? - Send]&gt;</t>
        </r>
      </text>
    </comment>
    <comment ref="F137" authorId="0" shapeId="0" xr:uid="{8017857A-2C43-4B25-9BD8-A2328D6FEDEA}">
      <text>
        <r>
          <rPr>
            <b/>
            <sz val="9"/>
            <color indexed="81"/>
            <rFont val="Tahoma"/>
            <family val="2"/>
          </rPr>
          <t xml:space="preserve"> &lt;[[TCDeals] - [TCDeals - User Defined Field Values (Seq: 1)] Multi Family Application - Has any party related to this application been party to any litigation, - Send]&gt;</t>
        </r>
      </text>
    </comment>
    <comment ref="F138" authorId="0" shapeId="0" xr:uid="{56B9A424-177A-4FE6-A400-C10BAC5CF2A6}">
      <text>
        <r>
          <rPr>
            <b/>
            <sz val="9"/>
            <color indexed="81"/>
            <rFont val="Tahoma"/>
            <family val="2"/>
          </rPr>
          <t xml:space="preserve"> &lt;[[TCDeals] - [TCDeals - User Defined Field Values (Seq: 1)] Multi Family Application - Environmental Issues or administrative proceedings? - Send]&gt;</t>
        </r>
      </text>
    </comment>
    <comment ref="F139" authorId="0" shapeId="0" xr:uid="{6970A490-D82F-44E8-813A-DFAD7744AC06}">
      <text>
        <r>
          <rPr>
            <b/>
            <sz val="9"/>
            <color indexed="81"/>
            <rFont val="Tahoma"/>
            <family val="2"/>
          </rPr>
          <t xml:space="preserve"> &lt;[[TCDeals] - [TCDeals - User Defined Field Values (Seq: 1)] Multi Family Application - Explanations - Send]&gt;</t>
        </r>
      </text>
    </comment>
    <comment ref="F144" authorId="1" shapeId="0" xr:uid="{FA694B93-6D99-4937-9DBE-397634A46F67}">
      <text>
        <r>
          <rPr>
            <b/>
            <sz val="9"/>
            <color indexed="81"/>
            <rFont val="Tahoma"/>
            <family val="2"/>
          </rPr>
          <t>&lt;[[TCDeals] - [TC Property Current Stage (Seq: 1)] - [Property Points (Seq: 1)] Multi Family Application - Total Buildable Acreage - Send]&gt;</t>
        </r>
      </text>
    </comment>
    <comment ref="F145" authorId="1" shapeId="0" xr:uid="{E96E03AC-5A78-4E1F-B063-34AC48328380}">
      <text>
        <r>
          <rPr>
            <b/>
            <sz val="9"/>
            <color indexed="81"/>
            <rFont val="Tahoma"/>
            <family val="2"/>
          </rPr>
          <t>&lt;[[TCDeals] - [TC Property Current Stage (Seq: 1)] - [Property Points (Seq: 1)] Multi Family Application - Demolition Required? - Send]&gt;</t>
        </r>
      </text>
    </comment>
    <comment ref="F146" authorId="1" shapeId="0" xr:uid="{2FEA7F63-A2B6-4CEC-A56B-D8CA987773DB}">
      <text>
        <r>
          <rPr>
            <b/>
            <sz val="9"/>
            <color indexed="81"/>
            <rFont val="Tahoma"/>
            <family val="2"/>
          </rPr>
          <t>&lt;[[TCDeals] - [TC Property Current Stage (Seq: 1)] - [Property Points (Seq: 1)] Multi Family Application - Existing buildings currently occupied? - Send]&gt;</t>
        </r>
      </text>
    </comment>
    <comment ref="F147" authorId="1" shapeId="0" xr:uid="{9981AD6B-F7C1-43E5-9D68-4BB2BA51CDF2}">
      <text>
        <r>
          <rPr>
            <b/>
            <sz val="9"/>
            <color indexed="81"/>
            <rFont val="Tahoma"/>
            <family val="2"/>
          </rPr>
          <t>&lt;[[TCDeals] - [TC Property Current Stage (Seq: 1)] - [Property Points (Seq: 1)] Multi Family Application - Will tenant be temporarily displaced? - Send]&gt;</t>
        </r>
      </text>
    </comment>
    <comment ref="F148" authorId="1" shapeId="0" xr:uid="{9B8A2A83-CAA9-4577-9D81-A5E08F89E44D}">
      <text>
        <r>
          <rPr>
            <b/>
            <sz val="9"/>
            <color indexed="81"/>
            <rFont val="Tahoma"/>
            <family val="2"/>
          </rPr>
          <t>&lt;[[TCDeals] - [TC Property Current Stage (Seq: 1)] - [Property Points (Seq: 1)] Multi Family Application - Will tenant be permanently displaced? - Send]&gt;</t>
        </r>
      </text>
    </comment>
    <comment ref="F149" authorId="1" shapeId="0" xr:uid="{7BF807A7-51D4-48C2-85C6-66499BB3B965}">
      <text>
        <r>
          <rPr>
            <b/>
            <sz val="9"/>
            <color indexed="81"/>
            <rFont val="Tahoma"/>
            <family val="2"/>
          </rPr>
          <t>&lt;[[TCDeals] - [TC Property Current Stage (Seq: 1)] - [Property Points (Seq: 1)] Multi Family Application - Any part of site located in flood zone? - Send]&gt;</t>
        </r>
      </text>
    </comment>
    <comment ref="F160" authorId="1" shapeId="0" xr:uid="{EEB34C9E-1C35-47F3-9C4E-3B15F29E42F9}">
      <text>
        <r>
          <rPr>
            <b/>
            <sz val="9"/>
            <color indexed="81"/>
            <rFont val="Tahoma"/>
            <family val="2"/>
          </rPr>
          <t>&lt;[[TCDeals] - [TC Property Current Stage (Seq: 1)] Owner Name - Send]&gt;</t>
        </r>
      </text>
    </comment>
    <comment ref="F161" authorId="1" shapeId="0" xr:uid="{5B0E5EEB-59BB-445E-AD44-292650BD4653}">
      <text>
        <r>
          <rPr>
            <b/>
            <sz val="9"/>
            <color indexed="81"/>
            <rFont val="Tahoma"/>
            <family val="2"/>
          </rPr>
          <t>&lt;[[TCDeals] - [TC Property Current Stage (Seq: 1)] Owner Contact First Name - Send]&gt;</t>
        </r>
      </text>
    </comment>
    <comment ref="F162" authorId="1" shapeId="0" xr:uid="{961DE26C-FCF2-415B-8EE1-F03322B1929F}">
      <text>
        <r>
          <rPr>
            <b/>
            <sz val="9"/>
            <color indexed="81"/>
            <rFont val="Tahoma"/>
            <family val="2"/>
          </rPr>
          <t>&lt;[[TCDeals] - [TC Property Current Stage (Seq: 1)] Owner Contact Last Name - Send]&gt;</t>
        </r>
      </text>
    </comment>
    <comment ref="F163" authorId="1" shapeId="0" xr:uid="{EE344E63-6625-4CCE-AD3F-1E72E6E481BB}">
      <text>
        <r>
          <rPr>
            <b/>
            <sz val="9"/>
            <color indexed="81"/>
            <rFont val="Tahoma"/>
            <family val="2"/>
          </rPr>
          <t>&lt;[[TCDeals] - [TC Property Current Stage (Seq: 1)] Owner City - Send]&gt;</t>
        </r>
      </text>
    </comment>
    <comment ref="F164" authorId="1" shapeId="0" xr:uid="{C817F099-7D66-4C7D-A8C3-205911D77D4F}">
      <text>
        <r>
          <rPr>
            <b/>
            <sz val="9"/>
            <color indexed="81"/>
            <rFont val="Tahoma"/>
            <family val="2"/>
          </rPr>
          <t>&lt;[[TCDeals] - [TC Property Current Stage (Seq: 1)] Owner State - Send]&gt;</t>
        </r>
      </text>
    </comment>
    <comment ref="F165" authorId="1" shapeId="0" xr:uid="{4A8E40F5-48CC-4CBA-85DB-26B74BFD68E8}">
      <text>
        <r>
          <rPr>
            <b/>
            <sz val="9"/>
            <color indexed="81"/>
            <rFont val="Tahoma"/>
            <family val="2"/>
          </rPr>
          <t>&lt;[[TCDeals] - [TC Property Current Stage (Seq: 1)] Owner Zip - Send]&gt;</t>
        </r>
      </text>
    </comment>
    <comment ref="F169" authorId="0" shapeId="0" xr:uid="{25CA2DCB-D8A2-40DD-853F-4AA2F4420396}">
      <text>
        <r>
          <rPr>
            <b/>
            <sz val="9"/>
            <color indexed="81"/>
            <rFont val="Tahoma"/>
            <family val="2"/>
          </rPr>
          <t xml:space="preserve"> &lt;[[TCDeals] - [TCDeals - User Defined Field Values (Seq: 1)] Multi Family Application - Is Community Service Facility - Send]&gt;</t>
        </r>
      </text>
    </comment>
    <comment ref="F170" authorId="0" shapeId="0" xr:uid="{660A1511-86CC-4F2A-886B-A1B37A1A175A}">
      <text>
        <r>
          <rPr>
            <b/>
            <sz val="9"/>
            <color indexed="81"/>
            <rFont val="Tahoma"/>
            <family val="2"/>
          </rPr>
          <t xml:space="preserve"> &lt;[[TCDeals] - [TCDeals - User Defined Field Values (Seq: 1)] Multi Family Application - Laundry Cost Per Unit - Send]&gt;</t>
        </r>
      </text>
    </comment>
    <comment ref="F173" authorId="0" shapeId="0" xr:uid="{90446CED-9659-4A1E-9540-D8E47BCD5EA1}">
      <text>
        <r>
          <rPr>
            <b/>
            <sz val="9"/>
            <color indexed="81"/>
            <rFont val="Tahoma"/>
            <family val="2"/>
          </rPr>
          <t xml:space="preserve"> &lt;[[TCDeals] - [TCDeals - User Defined Field Values (Seq: 1)] Multi Family Application - Federal Price per Credit - Send]&gt;</t>
        </r>
      </text>
    </comment>
    <comment ref="F174" authorId="0" shapeId="0" xr:uid="{ADC57822-DF3F-4AC8-A3EA-29FBC7C0532F}">
      <text>
        <r>
          <rPr>
            <b/>
            <sz val="9"/>
            <color indexed="81"/>
            <rFont val="Tahoma"/>
            <family val="2"/>
          </rPr>
          <t xml:space="preserve"> &lt;[[TCDeals] - [TCDeals - User Defined Field Values (Seq: 1)] Multi Family Application - State Price per Credit - Send]&gt;</t>
        </r>
      </text>
    </comment>
    <comment ref="F175" authorId="0" shapeId="0" xr:uid="{7F7F7402-A4B7-4BDC-A775-DFFF85EB2576}">
      <text>
        <r>
          <rPr>
            <b/>
            <sz val="9"/>
            <color indexed="81"/>
            <rFont val="Tahoma"/>
            <family val="2"/>
          </rPr>
          <t xml:space="preserve"> &lt;[[TCDeals] - [TCDeals - User Defined Field Values (Seq: 1)] Multi Family Application - Tax Exempt Bond Amount - Send]&gt;</t>
        </r>
      </text>
    </comment>
    <comment ref="F176" authorId="0" shapeId="0" xr:uid="{FFAABBB0-E7F2-4EAE-8C81-B6C8DBF76AEA}">
      <text>
        <r>
          <rPr>
            <b/>
            <sz val="9"/>
            <color indexed="81"/>
            <rFont val="Tahoma"/>
            <family val="2"/>
          </rPr>
          <t xml:space="preserve"> &lt;[[TCDeals] - [TCDeals - User Defined Field Values (Seq: 1)] Multi Family Application - Percent of Eligible Basis - Send]&gt;</t>
        </r>
      </text>
    </comment>
    <comment ref="F179" authorId="0" shapeId="0" xr:uid="{7B15B7CF-93F3-46C9-9D91-8881B496CE01}">
      <text>
        <r>
          <rPr>
            <b/>
            <sz val="9"/>
            <color indexed="81"/>
            <rFont val="Tahoma"/>
            <family val="2"/>
          </rPr>
          <t xml:space="preserve"> &lt;[[TCDeals] - [TCDeals - User Defined Field Values (Seq: 1)] Multi Family Application - Cost Certification / Accounting Fees Commercial Building Costs - Send]&gt;</t>
        </r>
      </text>
    </comment>
    <comment ref="F180" authorId="0" shapeId="0" xr:uid="{C473F6E6-1F1F-48DE-AA25-65DCC2D50457}">
      <text>
        <r>
          <rPr>
            <b/>
            <sz val="9"/>
            <color indexed="81"/>
            <rFont val="Tahoma"/>
            <family val="2"/>
          </rPr>
          <t xml:space="preserve"> &lt;[[TCDeals] - [TCDeals - User Defined Field Values (Seq: 1)] Multi Family Application - Cost Certification / Accounting Fees Cost / Sqft - Send]&gt;</t>
        </r>
      </text>
    </comment>
    <comment ref="F181" authorId="0" shapeId="0" xr:uid="{2844346E-F6B0-4CF9-93D6-FC5BAB9CD9CA}">
      <text>
        <r>
          <rPr>
            <b/>
            <sz val="9"/>
            <color indexed="81"/>
            <rFont val="Tahoma"/>
            <family val="2"/>
          </rPr>
          <t xml:space="preserve"> &lt;[[TCDeals] - [TCDeals - User Defined Field Values (Seq: 1)] Multi Family Application - Cost Certification / Accounting Fees Cost / Unit - Send]&gt;</t>
        </r>
      </text>
    </comment>
    <comment ref="F182" authorId="0" shapeId="0" xr:uid="{4BCAD592-4AAC-4A14-96EE-86872C9F25CF}">
      <text>
        <r>
          <rPr>
            <b/>
            <sz val="9"/>
            <color indexed="81"/>
            <rFont val="Tahoma"/>
            <family val="2"/>
          </rPr>
          <t xml:space="preserve"> &lt;[[TCDeals] - [TCDeals - User Defined Field Values (Seq: 1)] Multi Family Application - Cost Certification / Accounting Fees Eligible Basis Costs - Send]&gt;</t>
        </r>
      </text>
    </comment>
    <comment ref="F183" authorId="0" shapeId="0" xr:uid="{8BEC4FDD-E9A5-4350-B7D7-C6D07DAF753B}">
      <text>
        <r>
          <rPr>
            <b/>
            <sz val="9"/>
            <color indexed="81"/>
            <rFont val="Tahoma"/>
            <family val="2"/>
          </rPr>
          <t xml:space="preserve"> &lt;[[TCDeals] - [TCDeals - User Defined Field Values (Seq: 1)] Multi Family Application - Cost Certification / Accounting Fees New Construction &amp; Adaptive Rehab - Send]&gt;</t>
        </r>
      </text>
    </comment>
    <comment ref="F184" authorId="0" shapeId="0" xr:uid="{F43C34FB-AF3D-4F79-871C-9794896F5B7C}">
      <text>
        <r>
          <rPr>
            <b/>
            <sz val="9"/>
            <color indexed="81"/>
            <rFont val="Tahoma"/>
            <family val="2"/>
          </rPr>
          <t xml:space="preserve"> &lt;[[TCDeals] - [TCDeals - User Defined Field Values (Seq: 1)] Multi Family Application - Cost Certification / Accounting Fees Total Costs - Send]&gt;</t>
        </r>
      </text>
    </comment>
    <comment ref="F188" authorId="0" shapeId="0" xr:uid="{E42F9F44-F019-4ED4-9752-311756B0D582}">
      <text>
        <r>
          <rPr>
            <b/>
            <sz val="9"/>
            <color indexed="81"/>
            <rFont val="Tahoma"/>
            <family val="2"/>
          </rPr>
          <t xml:space="preserve"> &lt;[[TCDeals] - [TCDeals - User Defined Field Values (Seq: 1)] Credit - Acquisition Price - Federal - Send]&gt;</t>
        </r>
      </text>
    </comment>
    <comment ref="F189" authorId="0" shapeId="0" xr:uid="{D3581D50-0DE3-4F8B-AC8D-94337705D5A2}">
      <text>
        <r>
          <rPr>
            <b/>
            <sz val="9"/>
            <color indexed="81"/>
            <rFont val="Tahoma"/>
            <family val="2"/>
          </rPr>
          <t xml:space="preserve"> &lt;[[TCDeals] - [TCDeals - User Defined Field Values (Seq: 1)] Credit - Acquisition Price - State - Send]&gt;</t>
        </r>
      </text>
    </comment>
    <comment ref="F190" authorId="0" shapeId="0" xr:uid="{A76336C4-78C1-4B5E-A651-1BC2CE12794F}">
      <text>
        <r>
          <rPr>
            <b/>
            <sz val="9"/>
            <color indexed="81"/>
            <rFont val="Tahoma"/>
            <family val="2"/>
          </rPr>
          <t xml:space="preserve"> &lt;[[TCDeals] - [TCDeals - User Defined Field Values (Seq: 1)] Credit - Applicable Fraction - Federal - Send]&gt;</t>
        </r>
      </text>
    </comment>
    <comment ref="F191" authorId="0" shapeId="0" xr:uid="{9B126874-2D6E-428D-8217-C5DCA9153A41}">
      <text>
        <r>
          <rPr>
            <b/>
            <sz val="9"/>
            <color indexed="81"/>
            <rFont val="Tahoma"/>
            <family val="2"/>
          </rPr>
          <t xml:space="preserve"> &lt;[[TCDeals] - [TCDeals - User Defined Field Values (Seq: 1)] Credit - Applicable Fraction - State - Send]&gt;</t>
        </r>
      </text>
    </comment>
    <comment ref="F192" authorId="0" shapeId="0" xr:uid="{1BB09861-3D1A-44CD-A3CE-DB9834FAF519}">
      <text>
        <r>
          <rPr>
            <b/>
            <sz val="9"/>
            <color indexed="81"/>
            <rFont val="Tahoma"/>
            <family val="2"/>
          </rPr>
          <t xml:space="preserve"> &lt;[[TCDeals] - [TCDeals - User Defined Field Values (Seq: 1)] Credit - Qualified Basis - Federal - Send]&gt;</t>
        </r>
      </text>
    </comment>
    <comment ref="F193" authorId="0" shapeId="0" xr:uid="{CF6F56C2-CCEA-401A-AB15-97403921F34D}">
      <text>
        <r>
          <rPr>
            <b/>
            <sz val="9"/>
            <color indexed="81"/>
            <rFont val="Tahoma"/>
            <family val="2"/>
          </rPr>
          <t xml:space="preserve"> &lt;[[TCDeals] - [TCDeals - User Defined Field Values (Seq: 1)] Credit - Qualified Basis - State - Send]&gt;</t>
        </r>
      </text>
    </comment>
    <comment ref="F194" authorId="0" shapeId="0" xr:uid="{9E75B81A-5A8B-45B8-902C-4D8C6F212C13}">
      <text>
        <r>
          <rPr>
            <b/>
            <sz val="9"/>
            <color indexed="81"/>
            <rFont val="Tahoma"/>
            <family val="2"/>
          </rPr>
          <t xml:space="preserve"> &lt;[[TCDeals] - [TCDeals - User Defined Field Values (Seq: 1)] Credit - Potential Acquisition Credit - Federal - Send]&gt;</t>
        </r>
      </text>
    </comment>
    <comment ref="F195" authorId="0" shapeId="0" xr:uid="{C44A5AC9-4E93-45F9-87E1-ECDF72A1DB6D}">
      <text>
        <r>
          <rPr>
            <b/>
            <sz val="9"/>
            <color indexed="81"/>
            <rFont val="Tahoma"/>
            <family val="2"/>
          </rPr>
          <t xml:space="preserve"> &lt;[[TCDeals] - [TCDeals - User Defined Field Values (Seq: 1)] Credit - Potential Acquisition Credit - State - Send]&gt;</t>
        </r>
      </text>
    </comment>
    <comment ref="F197" authorId="0" shapeId="0" xr:uid="{D3CE721C-F14B-4AB2-8689-C0A96AE9D29E}">
      <text>
        <r>
          <rPr>
            <b/>
            <sz val="9"/>
            <color indexed="81"/>
            <rFont val="Tahoma"/>
            <family val="2"/>
          </rPr>
          <t xml:space="preserve"> &lt;[[TCDeals] - [TCDeals - User Defined Field Values (Seq: 1)] Credit - Initial Eligible Basis - Federal - Send]&gt;</t>
        </r>
      </text>
    </comment>
    <comment ref="F198" authorId="0" shapeId="0" xr:uid="{553444AD-5444-4BD5-B015-D7F2C00FD423}">
      <text>
        <r>
          <rPr>
            <b/>
            <sz val="9"/>
            <color indexed="81"/>
            <rFont val="Tahoma"/>
            <family val="2"/>
          </rPr>
          <t xml:space="preserve"> &lt;[[TCDeals] - [TCDeals - User Defined Field Values (Seq: 1)] Credit - Initial Eligible Basis - State - Send]&gt;</t>
        </r>
      </text>
    </comment>
    <comment ref="F199" authorId="0" shapeId="0" xr:uid="{C8586581-2BD1-44D5-B724-F2214454AEA1}">
      <text>
        <r>
          <rPr>
            <b/>
            <sz val="9"/>
            <color indexed="81"/>
            <rFont val="Tahoma"/>
            <family val="2"/>
          </rPr>
          <t xml:space="preserve"> &lt;[[TCDeals] - [TCDeals - User Defined Field Values (Seq: 1)] Credit - Less Building Acquisition - Federal - Send]&gt;</t>
        </r>
      </text>
    </comment>
    <comment ref="F200" authorId="0" shapeId="0" xr:uid="{86CEF191-3931-4912-B5F3-4E0E786DCADE}">
      <text>
        <r>
          <rPr>
            <b/>
            <sz val="9"/>
            <color indexed="81"/>
            <rFont val="Tahoma"/>
            <family val="2"/>
          </rPr>
          <t xml:space="preserve"> &lt;[[TCDeals] - [TCDeals - User Defined Field Values (Seq: 1)] Credit - Less Building Acquisition - State - Send]&gt;</t>
        </r>
      </text>
    </comment>
    <comment ref="F201" authorId="0" shapeId="0" xr:uid="{DF1AA995-0211-44DB-AA0A-6ABB39B40EEA}">
      <text>
        <r>
          <rPr>
            <b/>
            <sz val="9"/>
            <color indexed="81"/>
            <rFont val="Tahoma"/>
            <family val="2"/>
          </rPr>
          <t xml:space="preserve"> &lt;[[TCDeals] - [TCDeals - User Defined Field Values (Seq: 1)] Credit - Less Other Credits - Federal - Send]&gt;</t>
        </r>
      </text>
    </comment>
    <comment ref="F202" authorId="0" shapeId="0" xr:uid="{7132B24B-4963-4737-A774-CC1E1454D994}">
      <text>
        <r>
          <rPr>
            <b/>
            <sz val="9"/>
            <color indexed="81"/>
            <rFont val="Tahoma"/>
            <family val="2"/>
          </rPr>
          <t xml:space="preserve"> &lt;[[TCDeals] - [TCDeals - User Defined Field Values (Seq: 1)] Credit - Less Other Credits - State - Send]&gt;</t>
        </r>
      </text>
    </comment>
    <comment ref="F203" authorId="0" shapeId="0" xr:uid="{466A21EA-4B3A-4314-94A2-C18DBC2046BC}">
      <text>
        <r>
          <rPr>
            <b/>
            <sz val="9"/>
            <color indexed="81"/>
            <rFont val="Tahoma"/>
            <family val="2"/>
          </rPr>
          <t xml:space="preserve"> &lt;[[TCDeals] - [TCDeals - User Defined Field Values (Seq: 1)] Credit - Less Historic Tax Basis - Federal - Send]&gt;</t>
        </r>
      </text>
    </comment>
    <comment ref="F204" authorId="0" shapeId="0" xr:uid="{A2564628-6179-49A7-8953-B85CB914DDA9}">
      <text>
        <r>
          <rPr>
            <b/>
            <sz val="9"/>
            <color indexed="81"/>
            <rFont val="Tahoma"/>
            <family val="2"/>
          </rPr>
          <t xml:space="preserve"> &lt;[[TCDeals] - [TCDeals - User Defined Field Values (Seq: 1)] Credit - Less Historic Tax Basis - State - Send]&gt;</t>
        </r>
      </text>
    </comment>
    <comment ref="F205" authorId="0" shapeId="0" xr:uid="{0AD25390-4106-4E16-B3DF-A9574FD0470B}">
      <text>
        <r>
          <rPr>
            <b/>
            <sz val="9"/>
            <color indexed="81"/>
            <rFont val="Tahoma"/>
            <family val="2"/>
          </rPr>
          <t xml:space="preserve"> &lt;[[TCDeals] - [TCDeals - User Defined Field Values (Seq: 1)] Credit - Less Grants - Federal - Send]&gt;</t>
        </r>
      </text>
    </comment>
    <comment ref="F206" authorId="0" shapeId="0" xr:uid="{BA60EBF3-210F-4B98-BE5F-D28DAD05C5F5}">
      <text>
        <r>
          <rPr>
            <b/>
            <sz val="9"/>
            <color indexed="81"/>
            <rFont val="Tahoma"/>
            <family val="2"/>
          </rPr>
          <t xml:space="preserve"> &lt;[[TCDeals] - [TCDeals - User Defined Field Values (Seq: 1)] Credit - Less Grants - State - Send]&gt;</t>
        </r>
      </text>
    </comment>
    <comment ref="F207" authorId="0" shapeId="0" xr:uid="{B40C7226-14A5-4AFD-884B-FA84EDFB297C}">
      <text>
        <r>
          <rPr>
            <b/>
            <sz val="9"/>
            <color indexed="81"/>
            <rFont val="Tahoma"/>
            <family val="2"/>
          </rPr>
          <t xml:space="preserve"> &lt;[[TCDeals] - [TCDeals - User Defined Field Values (Seq: 1)] Credit - Adjusted Eligible Building Basis - Federal - Send]&gt;</t>
        </r>
      </text>
    </comment>
    <comment ref="F208" authorId="0" shapeId="0" xr:uid="{E77CFCFC-55F2-4E5D-BCD7-82913E6820A0}">
      <text>
        <r>
          <rPr>
            <b/>
            <sz val="9"/>
            <color indexed="81"/>
            <rFont val="Tahoma"/>
            <family val="2"/>
          </rPr>
          <t xml:space="preserve"> &lt;[[TCDeals] - [TCDeals - User Defined Field Values (Seq: 1)] Credit - Adjusted Eligible Building Basis - State - Send]&gt;</t>
        </r>
      </text>
    </comment>
    <comment ref="F209" authorId="0" shapeId="0" xr:uid="{85D0D8E2-18F6-4413-910C-53127C04D8E4}">
      <text>
        <r>
          <rPr>
            <b/>
            <sz val="9"/>
            <color indexed="81"/>
            <rFont val="Tahoma"/>
            <family val="2"/>
          </rPr>
          <t xml:space="preserve"> &lt;[[TCDeals] - [TCDeals - User Defined Field Values (Seq: 1)] Credit - QCT/DDA Boost - Federal - Send]&gt;</t>
        </r>
      </text>
    </comment>
    <comment ref="F210" authorId="0" shapeId="0" xr:uid="{809D5ADF-ADC8-4CB1-9F77-2CF254387921}">
      <text>
        <r>
          <rPr>
            <b/>
            <sz val="9"/>
            <color indexed="81"/>
            <rFont val="Tahoma"/>
            <family val="2"/>
          </rPr>
          <t xml:space="preserve"> &lt;[[TCDeals] - [TCDeals - User Defined Field Values (Seq: 1)] Credit - QCT/DDA Boost - State - Send]&gt;</t>
        </r>
      </text>
    </comment>
    <comment ref="F211" authorId="0" shapeId="0" xr:uid="{A3D1B36A-E39C-4468-B84D-89CAE1A4045E}">
      <text>
        <r>
          <rPr>
            <b/>
            <sz val="9"/>
            <color indexed="81"/>
            <rFont val="Tahoma"/>
            <family val="2"/>
          </rPr>
          <t xml:space="preserve"> &lt;[[TCDeals] - [TCDeals - User Defined Field Values (Seq: 1)] Credit - HFA Boost - Federal - Send]&gt;</t>
        </r>
      </text>
    </comment>
    <comment ref="F212" authorId="0" shapeId="0" xr:uid="{8F294B9D-262A-4253-A41E-F45DBEC7EC81}">
      <text>
        <r>
          <rPr>
            <b/>
            <sz val="9"/>
            <color indexed="81"/>
            <rFont val="Tahoma"/>
            <family val="2"/>
          </rPr>
          <t xml:space="preserve"> &lt;[[TCDeals] - [TCDeals - User Defined Field Values (Seq: 1)] Credit - HFA Boost - State - Send]&gt;</t>
        </r>
      </text>
    </comment>
    <comment ref="F213" authorId="0" shapeId="0" xr:uid="{3D1451CA-FE70-43A8-AD0E-7BC3B83D5EB4}">
      <text>
        <r>
          <rPr>
            <b/>
            <sz val="9"/>
            <color indexed="81"/>
            <rFont val="Tahoma"/>
            <family val="2"/>
          </rPr>
          <t xml:space="preserve"> &lt;[[TCDeals] - [TCDeals - User Defined Field Values (Seq: 1)] Credit - Eligible Basis - Federal - Send]&gt;</t>
        </r>
      </text>
    </comment>
    <comment ref="F214" authorId="0" shapeId="0" xr:uid="{48409149-C742-4E21-AC41-683F00AC160D}">
      <text>
        <r>
          <rPr>
            <b/>
            <sz val="9"/>
            <color indexed="81"/>
            <rFont val="Tahoma"/>
            <family val="2"/>
          </rPr>
          <t xml:space="preserve"> &lt;[[TCDeals] - [TCDeals - User Defined Field Values (Seq: 1)] Credit - Eligible Basis - State - Send]&gt;</t>
        </r>
      </text>
    </comment>
    <comment ref="F215" authorId="0" shapeId="0" xr:uid="{B7663A82-DE13-494F-83C6-78701C7CAC26}">
      <text>
        <r>
          <rPr>
            <b/>
            <sz val="9"/>
            <color indexed="81"/>
            <rFont val="Tahoma"/>
            <family val="2"/>
          </rPr>
          <t xml:space="preserve"> &lt;[[TCDeals] - [TCDeals - User Defined Field Values (Seq: 1)] Credit - Applicable Fraction - Federal Eligible Basis - Send]&gt;</t>
        </r>
      </text>
    </comment>
    <comment ref="F216" authorId="0" shapeId="0" xr:uid="{7E72DE9E-1889-4461-9D34-89BCC084424F}">
      <text>
        <r>
          <rPr>
            <b/>
            <sz val="9"/>
            <color indexed="81"/>
            <rFont val="Tahoma"/>
            <family val="2"/>
          </rPr>
          <t xml:space="preserve"> &lt;[[TCDeals] - [TCDeals - User Defined Field Values (Seq: 1)] Credit - Applicable Fraction - State Eligible Basis - Send]&gt;</t>
        </r>
      </text>
    </comment>
    <comment ref="F217" authorId="0" shapeId="0" xr:uid="{DFEB4489-6E61-4CC2-94BD-71F6525536E8}">
      <text>
        <r>
          <rPr>
            <b/>
            <sz val="9"/>
            <color indexed="81"/>
            <rFont val="Tahoma"/>
            <family val="2"/>
          </rPr>
          <t xml:space="preserve"> &lt;[[TCDeals] - [TCDeals - User Defined Field Values (Seq: 1)] Credit - Qualified Basis - Federal Eligible Basis - Send]&gt;</t>
        </r>
      </text>
    </comment>
    <comment ref="F218" authorId="0" shapeId="0" xr:uid="{C4B0F9D7-CAA4-4E9C-9353-9EB4B9735127}">
      <text>
        <r>
          <rPr>
            <b/>
            <sz val="9"/>
            <color indexed="81"/>
            <rFont val="Tahoma"/>
            <family val="2"/>
          </rPr>
          <t xml:space="preserve"> &lt;[[TCDeals] - [TCDeals - User Defined Field Values (Seq: 1)] Credit - Qualified Basis - State Eligible Basis - Send]&gt;</t>
        </r>
      </text>
    </comment>
    <comment ref="F219" authorId="0" shapeId="0" xr:uid="{E7AADFC3-3519-4382-91A8-CBD6EB841CFE}">
      <text>
        <r>
          <rPr>
            <b/>
            <sz val="9"/>
            <color indexed="81"/>
            <rFont val="Tahoma"/>
            <family val="2"/>
          </rPr>
          <t xml:space="preserve"> &lt;[[TCDeals] - [TCDeals - User Defined Field Values (Seq: 1)] Credit - Credit Percentage - Federal Eligible Basis - Send]&gt;</t>
        </r>
      </text>
    </comment>
    <comment ref="F220" authorId="0" shapeId="0" xr:uid="{2A2AAFE1-48F2-4C3B-8754-6DD0FFE65B6B}">
      <text>
        <r>
          <rPr>
            <b/>
            <sz val="9"/>
            <color indexed="81"/>
            <rFont val="Tahoma"/>
            <family val="2"/>
          </rPr>
          <t xml:space="preserve"> &lt;[[TCDeals] - [TCDeals - User Defined Field Values (Seq: 1)] Credit - Credit Percentage - State Eligible Basis - Send]&gt;</t>
        </r>
      </text>
    </comment>
    <comment ref="F221" authorId="0" shapeId="0" xr:uid="{7FC87C16-55DB-4FAD-ABF2-A5220CC6A8C3}">
      <text>
        <r>
          <rPr>
            <b/>
            <sz val="9"/>
            <color indexed="81"/>
            <rFont val="Tahoma"/>
            <family val="2"/>
          </rPr>
          <t xml:space="preserve"> &lt;[[TCDeals] - [TCDeals - User Defined Field Values (Seq: 1)] Credit - Previous Year's Allocation - Federal - Send]&gt;</t>
        </r>
      </text>
    </comment>
    <comment ref="F222" authorId="0" shapeId="0" xr:uid="{72E34244-2F5A-4D5C-9E6B-7E164FDCE11D}">
      <text>
        <r>
          <rPr>
            <b/>
            <sz val="9"/>
            <color indexed="81"/>
            <rFont val="Tahoma"/>
            <family val="2"/>
          </rPr>
          <t xml:space="preserve"> &lt;[[TCDeals] - [TCDeals - User Defined Field Values (Seq: 1)] Credit - Previous Year's Allocation - State - Send]&gt;</t>
        </r>
      </text>
    </comment>
    <comment ref="F223" authorId="0" shapeId="0" xr:uid="{48C076AE-EFC5-4334-BA3A-60FBDBA078DF}">
      <text>
        <r>
          <rPr>
            <b/>
            <sz val="9"/>
            <color indexed="81"/>
            <rFont val="Tahoma"/>
            <family val="2"/>
          </rPr>
          <t xml:space="preserve"> &lt;[[TCDeals] - [TCDeals - User Defined Field Values (Seq: 1)] Credit - Potential Eligible Basis Credit - Federal - Send]&gt;</t>
        </r>
      </text>
    </comment>
    <comment ref="F224" authorId="0" shapeId="0" xr:uid="{D8907EB9-BDE0-4EB6-A6BD-BD9BD8CF5EC9}">
      <text>
        <r>
          <rPr>
            <b/>
            <sz val="9"/>
            <color indexed="81"/>
            <rFont val="Tahoma"/>
            <family val="2"/>
          </rPr>
          <t xml:space="preserve"> &lt;[[TCDeals] - [TCDeals - User Defined Field Values (Seq: 1)] Credit - Potential Eligible Basis Credit - State - Send]&gt;</t>
        </r>
      </text>
    </comment>
    <comment ref="F226" authorId="0" shapeId="0" xr:uid="{872CB2EA-1C3F-4B51-8A90-20BB49CBEB64}">
      <text>
        <r>
          <rPr>
            <b/>
            <sz val="9"/>
            <color indexed="81"/>
            <rFont val="Tahoma"/>
            <family val="2"/>
          </rPr>
          <t xml:space="preserve"> &lt;[[TCDeals] - [TCDeals - User Defined Field Values (Seq: 1)] Credit - Total Residential Project Costs - Federal - Send]&gt;</t>
        </r>
      </text>
    </comment>
    <comment ref="F227" authorId="0" shapeId="0" xr:uid="{E84A8B5F-251A-46D0-BCE6-4C60270BAD77}">
      <text>
        <r>
          <rPr>
            <b/>
            <sz val="9"/>
            <color indexed="81"/>
            <rFont val="Tahoma"/>
            <family val="2"/>
          </rPr>
          <t xml:space="preserve"> &lt;[[TCDeals] - [TCDeals - User Defined Field Values (Seq: 1)] Credit - Total Residential Project Costs - State - Send]&gt;</t>
        </r>
      </text>
    </comment>
    <comment ref="F228" authorId="0" shapeId="0" xr:uid="{6D6D8F96-F38E-44EC-A57E-06805DE512D6}">
      <text>
        <r>
          <rPr>
            <b/>
            <sz val="9"/>
            <color indexed="81"/>
            <rFont val="Tahoma"/>
            <family val="2"/>
          </rPr>
          <t xml:space="preserve"> &lt;[[TCDeals] - [TCDeals - User Defined Field Values (Seq: 1)] Credit - Less Loans - Federal - Send]&gt;</t>
        </r>
      </text>
    </comment>
    <comment ref="F229" authorId="0" shapeId="0" xr:uid="{D59A2737-F84F-430C-870A-2F451DFAC31D}">
      <text>
        <r>
          <rPr>
            <b/>
            <sz val="9"/>
            <color indexed="81"/>
            <rFont val="Tahoma"/>
            <family val="2"/>
          </rPr>
          <t xml:space="preserve"> &lt;[[TCDeals] - [TCDeals - User Defined Field Values (Seq: 1)] Credit - Less Loans - State - Send]&gt;</t>
        </r>
      </text>
    </comment>
    <comment ref="F230" authorId="0" shapeId="0" xr:uid="{EC16388F-0312-45ED-97BD-BAA394D60B2B}">
      <text>
        <r>
          <rPr>
            <b/>
            <sz val="9"/>
            <color indexed="81"/>
            <rFont val="Tahoma"/>
            <family val="2"/>
          </rPr>
          <t xml:space="preserve"> &lt;[[TCDeals] - [TCDeals - User Defined Field Values (Seq: 1)] Credit - Less Grants - Federal Equity Gap - Send]&gt;</t>
        </r>
      </text>
    </comment>
    <comment ref="F231" authorId="0" shapeId="0" xr:uid="{79307871-322E-4C67-800B-10E0EE08E8D2}">
      <text>
        <r>
          <rPr>
            <b/>
            <sz val="9"/>
            <color indexed="81"/>
            <rFont val="Tahoma"/>
            <family val="2"/>
          </rPr>
          <t xml:space="preserve"> &lt;[[TCDeals] - [TCDeals - User Defined Field Values (Seq: 1)] Credit - Less Grants - State Equity Gap - Send]&gt;</t>
        </r>
      </text>
    </comment>
    <comment ref="F232" authorId="0" shapeId="0" xr:uid="{DE345667-D2F4-40DA-82C9-E3FC90789A0B}">
      <text>
        <r>
          <rPr>
            <b/>
            <sz val="9"/>
            <color indexed="81"/>
            <rFont val="Tahoma"/>
            <family val="2"/>
          </rPr>
          <t xml:space="preserve"> &lt;[[TCDeals] - [TCDeals - User Defined Field Values (Seq: 1)] Credit - Less Historic Rehab Credits Equity - Federal - Send]&gt;</t>
        </r>
      </text>
    </comment>
    <comment ref="F233" authorId="0" shapeId="0" xr:uid="{9421B086-45C6-4539-B4A4-76B40E1F0589}">
      <text>
        <r>
          <rPr>
            <b/>
            <sz val="9"/>
            <color indexed="81"/>
            <rFont val="Tahoma"/>
            <family val="2"/>
          </rPr>
          <t xml:space="preserve"> &lt;[[TCDeals] - [TCDeals - User Defined Field Values (Seq: 1)] Credit - Less Historic Rehab Credits Equity - State - Send]&gt;</t>
        </r>
      </text>
    </comment>
    <comment ref="F234" authorId="0" shapeId="0" xr:uid="{FDD7622F-2B2D-449A-BF73-C52F57522056}">
      <text>
        <r>
          <rPr>
            <b/>
            <sz val="9"/>
            <color indexed="81"/>
            <rFont val="Tahoma"/>
            <family val="2"/>
          </rPr>
          <t xml:space="preserve"> &lt;[[TCDeals] - [TCDeals - User Defined Field Values (Seq: 1)] Credit - Less Other - Federal - Send]&gt;</t>
        </r>
      </text>
    </comment>
    <comment ref="F235" authorId="0" shapeId="0" xr:uid="{E463394A-8AF5-40A7-9285-8BB70262FE6D}">
      <text>
        <r>
          <rPr>
            <b/>
            <sz val="9"/>
            <color indexed="81"/>
            <rFont val="Tahoma"/>
            <family val="2"/>
          </rPr>
          <t xml:space="preserve"> &lt;[[TCDeals] - [TCDeals - User Defined Field Values (Seq: 1)] Credit - Less Other - State - Send]&gt;</t>
        </r>
      </text>
    </comment>
    <comment ref="F236" authorId="0" shapeId="0" xr:uid="{F82D9FF9-AC1D-4B4C-B01E-FCEE4D58E871}">
      <text>
        <r>
          <rPr>
            <b/>
            <sz val="9"/>
            <color indexed="81"/>
            <rFont val="Tahoma"/>
            <family val="2"/>
          </rPr>
          <t xml:space="preserve"> &lt;[[TCDeals] - [TCDeals - User Defined Field Values (Seq: 1)] Credit - Less Acq Credits Equity - Federal - Both]&gt;</t>
        </r>
      </text>
    </comment>
    <comment ref="F237" authorId="0" shapeId="0" xr:uid="{695B5008-DCC5-4FB4-958B-14E727773960}">
      <text>
        <r>
          <rPr>
            <b/>
            <sz val="9"/>
            <color indexed="81"/>
            <rFont val="Tahoma"/>
            <family val="2"/>
          </rPr>
          <t xml:space="preserve"> &lt;[[TCDeals] - [TCDeals - User Defined Field Values (Seq: 1)] Credit - Less Acq Credits Equity - State - Send]&gt;</t>
        </r>
      </text>
    </comment>
    <comment ref="F238" authorId="0" shapeId="0" xr:uid="{6836ED5F-5D92-44BB-9223-E9D63683A36F}">
      <text>
        <r>
          <rPr>
            <b/>
            <sz val="9"/>
            <color indexed="81"/>
            <rFont val="Tahoma"/>
            <family val="2"/>
          </rPr>
          <t xml:space="preserve"> &lt;[[TCDeals] - [TCDeals - User Defined Field Values (Seq: 1)] Credit - Total Equity Gap - Federal - Send]&gt;</t>
        </r>
      </text>
    </comment>
    <comment ref="F239" authorId="0" shapeId="0" xr:uid="{E3A287EA-47DF-40B6-A67A-F8692CF44816}">
      <text>
        <r>
          <rPr>
            <b/>
            <sz val="9"/>
            <color indexed="81"/>
            <rFont val="Tahoma"/>
            <family val="2"/>
          </rPr>
          <t xml:space="preserve"> &lt;[[TCDeals] - [TCDeals - User Defined Field Values (Seq: 1)] Credit - Total Equity Gap - State - Send]&gt;</t>
        </r>
      </text>
    </comment>
    <comment ref="F240" authorId="0" shapeId="0" xr:uid="{2E7EFEC6-72FB-408C-A25C-E4587DA3749C}">
      <text>
        <r>
          <rPr>
            <b/>
            <sz val="9"/>
            <color indexed="81"/>
            <rFont val="Tahoma"/>
            <family val="2"/>
          </rPr>
          <t xml:space="preserve"> &lt;[[TCDeals] - [TCDeals - User Defined Field Values (Seq: 1)] Credit - Years Credits are Claimed - Federal - Send]&gt;</t>
        </r>
      </text>
    </comment>
    <comment ref="F241" authorId="0" shapeId="0" xr:uid="{32F6F9CB-A138-4EA5-9F69-18207AF56689}">
      <text>
        <r>
          <rPr>
            <b/>
            <sz val="9"/>
            <color indexed="81"/>
            <rFont val="Tahoma"/>
            <family val="2"/>
          </rPr>
          <t xml:space="preserve"> &lt;[[TCDeals] - [TCDeals - User Defined Field Values (Seq: 1)] Credit - Years Credits are Claimed - State - Send]&gt;</t>
        </r>
      </text>
    </comment>
    <comment ref="F242" authorId="0" shapeId="0" xr:uid="{EB88B661-FDAF-4E4B-9183-35F64AC0C600}">
      <text>
        <r>
          <rPr>
            <b/>
            <sz val="9"/>
            <color indexed="81"/>
            <rFont val="Tahoma"/>
            <family val="2"/>
          </rPr>
          <t xml:space="preserve"> &lt;[[TCDeals] - [TCDeals - User Defined Field Values (Seq: 1)] Credit - Gap Divided by Years - Federal - Send]&gt;</t>
        </r>
      </text>
    </comment>
    <comment ref="F243" authorId="0" shapeId="0" xr:uid="{B09A2E15-6B3C-46DC-9DE1-0A9F45A064F8}">
      <text>
        <r>
          <rPr>
            <b/>
            <sz val="9"/>
            <color indexed="81"/>
            <rFont val="Tahoma"/>
            <family val="2"/>
          </rPr>
          <t xml:space="preserve"> &lt;[[TCDeals] - [TCDeals - User Defined Field Values (Seq: 1)] Credit - Gap Divided by Years - State - Send]&gt;</t>
        </r>
      </text>
    </comment>
    <comment ref="F244" authorId="0" shapeId="0" xr:uid="{DEA86BE4-EC26-423F-8305-D49A7346A8AE}">
      <text>
        <r>
          <rPr>
            <b/>
            <sz val="9"/>
            <color indexed="81"/>
            <rFont val="Tahoma"/>
            <family val="2"/>
          </rPr>
          <t xml:space="preserve"> &lt;[[TCDeals] - [TCDeals - User Defined Field Values (Seq: 1)] Credit - Pricing per Credit - Federal - Send]&gt;</t>
        </r>
      </text>
    </comment>
    <comment ref="F245" authorId="0" shapeId="0" xr:uid="{01E1468F-697C-46B9-BCE3-A7E4CE0F6273}">
      <text>
        <r>
          <rPr>
            <b/>
            <sz val="9"/>
            <color indexed="81"/>
            <rFont val="Tahoma"/>
            <family val="2"/>
          </rPr>
          <t xml:space="preserve"> &lt;[[TCDeals] - [TCDeals - User Defined Field Values (Seq: 1)] Credit - Pricing per Credit - State - Send]&gt;</t>
        </r>
      </text>
    </comment>
    <comment ref="F246" authorId="0" shapeId="0" xr:uid="{E8A25F6D-3E6E-400F-BA97-445B45A3423B}">
      <text>
        <r>
          <rPr>
            <b/>
            <sz val="9"/>
            <color indexed="81"/>
            <rFont val="Tahoma"/>
            <family val="2"/>
          </rPr>
          <t xml:space="preserve"> &lt;[[TCDeals] - [TCDeals - User Defined Field Values (Seq: 1)] Credit - Gap Divided by Equity Pricing - Federal - Send]&gt;</t>
        </r>
      </text>
    </comment>
    <comment ref="F247" authorId="0" shapeId="0" xr:uid="{B21507F1-8040-444B-9987-2D77DEECB309}">
      <text>
        <r>
          <rPr>
            <b/>
            <sz val="9"/>
            <color indexed="81"/>
            <rFont val="Tahoma"/>
            <family val="2"/>
          </rPr>
          <t xml:space="preserve"> &lt;[[TCDeals] - [TCDeals - User Defined Field Values (Seq: 1)] Credit - Gap Divided by Equity Pricing - State - Send]&gt;</t>
        </r>
      </text>
    </comment>
    <comment ref="F248" authorId="0" shapeId="0" xr:uid="{5CB0834A-4475-4191-A460-4D19001C7EDA}">
      <text>
        <r>
          <rPr>
            <b/>
            <sz val="9"/>
            <color indexed="81"/>
            <rFont val="Tahoma"/>
            <family val="2"/>
          </rPr>
          <t xml:space="preserve"> &lt;[[TCDeals] - [TCDeals - User Defined Field Values (Seq: 1)] Credit - Investor Ownership Interest - Federal - Send]&gt;</t>
        </r>
      </text>
    </comment>
    <comment ref="F249" authorId="0" shapeId="0" xr:uid="{B97F5DC8-6EB1-4ED3-959C-7B554143CE83}">
      <text>
        <r>
          <rPr>
            <b/>
            <sz val="9"/>
            <color indexed="81"/>
            <rFont val="Tahoma"/>
            <family val="2"/>
          </rPr>
          <t xml:space="preserve"> &lt;[[TCDeals] - [TCDeals - User Defined Field Values (Seq: 1)] Credit - Investor Ownership Interest - State - Send]&gt;</t>
        </r>
      </text>
    </comment>
    <comment ref="F250" authorId="0" shapeId="0" xr:uid="{FAB5AFCA-3090-4BEE-8C51-1ABB5257880D}">
      <text>
        <r>
          <rPr>
            <b/>
            <sz val="9"/>
            <color indexed="81"/>
            <rFont val="Tahoma"/>
            <family val="2"/>
          </rPr>
          <t xml:space="preserve"> &lt;[[TCDeals] - [TCDeals - User Defined Field Values (Seq: 1)] Credit - Equity Gap Calculation - Federal - Send]&gt;</t>
        </r>
      </text>
    </comment>
    <comment ref="F251" authorId="0" shapeId="0" xr:uid="{9A03FEE0-6E76-4DA1-A4DC-D1160E85ABBA}">
      <text>
        <r>
          <rPr>
            <b/>
            <sz val="9"/>
            <color indexed="81"/>
            <rFont val="Tahoma"/>
            <family val="2"/>
          </rPr>
          <t xml:space="preserve"> &lt;[[TCDeals] - [TCDeals - User Defined Field Values (Seq: 1)] Credit - Equity Gap Calculation - State - Send]&gt;</t>
        </r>
      </text>
    </comment>
    <comment ref="F253" authorId="0" shapeId="0" xr:uid="{DB04ACBE-E001-429E-8CD1-542080BE0068}">
      <text>
        <r>
          <rPr>
            <b/>
            <sz val="9"/>
            <color indexed="81"/>
            <rFont val="Tahoma"/>
            <family val="2"/>
          </rPr>
          <t xml:space="preserve"> &lt;[[TCDeals] - [TCDeals - User Defined Field Values (Seq: 1)] Credit - Other Adjustments - Federal - Send]&gt;</t>
        </r>
      </text>
    </comment>
    <comment ref="F254" authorId="0" shapeId="0" xr:uid="{F4307356-4303-42DB-A022-FAC3EC2709E3}">
      <text>
        <r>
          <rPr>
            <b/>
            <sz val="9"/>
            <color indexed="81"/>
            <rFont val="Tahoma"/>
            <family val="2"/>
          </rPr>
          <t xml:space="preserve"> &lt;[[TCDeals] - [TCDeals - User Defined Field Values (Seq: 1)] Credit - Other Adjustments - State - Send]&gt;</t>
        </r>
      </text>
    </comment>
    <comment ref="F255" authorId="0" shapeId="0" xr:uid="{C9D74670-0371-42EE-BFEA-630B5D3A51AA}">
      <text>
        <r>
          <rPr>
            <b/>
            <sz val="9"/>
            <color indexed="81"/>
            <rFont val="Tahoma"/>
            <family val="2"/>
          </rPr>
          <t xml:space="preserve"> &lt;[[TCDeals] - [TCDeals - User Defined Field Values (Seq: 1)] Credit - Maximum Annual Credits (9% only) - Federal - Send]&gt;</t>
        </r>
      </text>
    </comment>
    <comment ref="F256" authorId="0" shapeId="0" xr:uid="{3CEDA702-EDDC-4E4C-8859-65B430FFCE92}">
      <text>
        <r>
          <rPr>
            <b/>
            <sz val="9"/>
            <color indexed="81"/>
            <rFont val="Tahoma"/>
            <family val="2"/>
          </rPr>
          <t xml:space="preserve"> &lt;[[TCDeals] - [TCDeals - User Defined Field Values (Seq: 1)] Credit - Maximum Annual Credits (9% only) - State - Send]&gt;</t>
        </r>
      </text>
    </comment>
    <comment ref="F259" authorId="0" shapeId="0" xr:uid="{9EE25290-5EFA-4BA9-A514-DFB54D77A2E9}">
      <text>
        <r>
          <rPr>
            <b/>
            <sz val="9"/>
            <color indexed="81"/>
            <rFont val="Tahoma"/>
            <family val="2"/>
          </rPr>
          <t xml:space="preserve"> &lt;[[TCDeals] - [TCDeals - User Defined Field Values (Seq: 1)] Credit - Bonus Credits for Energy Efficiency - Federal - Send]&gt;</t>
        </r>
      </text>
    </comment>
    <comment ref="F260" authorId="0" shapeId="0" xr:uid="{E9E94BF7-3898-41DB-B556-042CA9A4096A}">
      <text>
        <r>
          <rPr>
            <b/>
            <sz val="9"/>
            <color indexed="81"/>
            <rFont val="Tahoma"/>
            <family val="2"/>
          </rPr>
          <t xml:space="preserve"> &lt;[[TCDeals] - [TCDeals - User Defined Field Values (Seq: 1)] Credit - Bonus Credits for Energy Efficiency - State - Send]&gt;</t>
        </r>
      </text>
    </comment>
    <comment ref="F263" authorId="0" shapeId="0" xr:uid="{17A4C884-DCFC-42D5-943B-4826775F1D0B}">
      <text>
        <r>
          <rPr>
            <b/>
            <sz val="9"/>
            <color indexed="81"/>
            <rFont val="Tahoma"/>
            <family val="2"/>
          </rPr>
          <t xml:space="preserve"> &lt;[[TCDeals] - [TCDeals - User Defined Field Values (Seq: 1)] Credit - Annual Credit Award - Federal - Send]&gt;</t>
        </r>
      </text>
    </comment>
    <comment ref="F264" authorId="0" shapeId="0" xr:uid="{882653EA-7B98-4862-AAAD-5CEBE86566DF}">
      <text>
        <r>
          <rPr>
            <b/>
            <sz val="9"/>
            <color indexed="81"/>
            <rFont val="Tahoma"/>
            <family val="2"/>
          </rPr>
          <t xml:space="preserve"> &lt;[[TCDeals] - [TCDeals - User Defined Field Values (Seq: 1)] Credit - Annual Credit Award - State - Send]&gt;</t>
        </r>
      </text>
    </comment>
    <comment ref="F266" authorId="0" shapeId="0" xr:uid="{C31A303C-1C18-4594-BF81-17A7097CF405}">
      <text>
        <r>
          <rPr>
            <b/>
            <sz val="9"/>
            <color indexed="81"/>
            <rFont val="Tahoma"/>
            <family val="2"/>
          </rPr>
          <t xml:space="preserve"> &lt;[[TCDeals] - [TCDeals - User Defined Field Values (Seq: 1)] Multi Family Application - Federal Acquisition Credit Qualified Basis - Send]&gt;</t>
        </r>
      </text>
    </comment>
    <comment ref="F267" authorId="0" shapeId="0" xr:uid="{9223ABBA-D508-4B3E-83BB-90E9B713CA6B}">
      <text>
        <r>
          <rPr>
            <b/>
            <sz val="9"/>
            <color indexed="81"/>
            <rFont val="Tahoma"/>
            <family val="2"/>
          </rPr>
          <t xml:space="preserve"> &lt;[[TCDeals] - [TCDeals - User Defined Field Values (Seq: 1)] Multi Family Application - Federal Construction/Rehab Credit Qualified Basis - Send]&gt;</t>
        </r>
      </text>
    </comment>
    <comment ref="F268" authorId="0" shapeId="0" xr:uid="{C20552D3-8A1B-4ADF-A2BE-7BDCCADCFE2C}">
      <text>
        <r>
          <rPr>
            <b/>
            <sz val="9"/>
            <color indexed="81"/>
            <rFont val="Tahoma"/>
            <family val="2"/>
          </rPr>
          <t xml:space="preserve"> &lt;[[TCDeals] - [TCDeals - User Defined Field Values (Seq: 1)] Multi Family Application - State Acquisition Credit Qualified Basis - Send]&gt;</t>
        </r>
      </text>
    </comment>
    <comment ref="F269" authorId="0" shapeId="0" xr:uid="{CF49CFAB-96F1-426E-81A2-06B45190E98C}">
      <text>
        <r>
          <rPr>
            <b/>
            <sz val="9"/>
            <color indexed="81"/>
            <rFont val="Tahoma"/>
            <family val="2"/>
          </rPr>
          <t xml:space="preserve"> &lt;[[TCDeals] - [TCDeals - User Defined Field Values (Seq: 1)] Multi Family Application - State Construction/Rehab Credit Qualified Basis - Send]&gt;</t>
        </r>
      </text>
    </comment>
    <comment ref="F270" authorId="0" shapeId="0" xr:uid="{9EA309D3-156B-4625-9E3D-88A7C795A8FC}">
      <text>
        <r>
          <rPr>
            <b/>
            <sz val="9"/>
            <color indexed="81"/>
            <rFont val="Tahoma"/>
            <family val="2"/>
          </rPr>
          <t xml:space="preserve"> &lt;[[TCDeals] - [TCDeals - User Defined Field Values (Seq: 1)] Multi Family Application - Annual Credit Award Federal - Send]&gt;</t>
        </r>
      </text>
    </comment>
    <comment ref="F271" authorId="0" shapeId="0" xr:uid="{19F295EF-B3DA-4C08-A046-E83CA8DADAF1}">
      <text>
        <r>
          <rPr>
            <b/>
            <sz val="9"/>
            <color indexed="81"/>
            <rFont val="Tahoma"/>
            <family val="2"/>
          </rPr>
          <t xml:space="preserve"> &lt;[[TCDeals] - [TCDeals - User Defined Field Values (Seq: 1)] Multi Family Application - Annual Credit Award State - Send]&gt;</t>
        </r>
      </text>
    </comment>
    <comment ref="F275" authorId="0" shapeId="0" xr:uid="{77F90235-8C34-4174-9719-48C56E83496E}">
      <text>
        <r>
          <rPr>
            <b/>
            <sz val="9"/>
            <color indexed="81"/>
            <rFont val="Tahoma"/>
            <family val="2"/>
          </rPr>
          <t xml:space="preserve"> &lt;[[TCDeals] - [TC Property Current Stage (Seq: 1)] Effective Gross Income - Get]&gt;</t>
        </r>
      </text>
    </comment>
    <comment ref="F279" authorId="0" shapeId="0" xr:uid="{122E6C13-2976-4B09-B366-B339E5DAC46B}">
      <text>
        <r>
          <rPr>
            <b/>
            <sz val="9"/>
            <color indexed="81"/>
            <rFont val="Tahoma"/>
            <family val="2"/>
          </rPr>
          <t xml:space="preserve"> &lt;[[TCDeals] - [TCDeals - User Defined Field Values (Seq: 1)] Scoring - A2 Lower Income Areas - Applicant - Send]&gt;</t>
        </r>
      </text>
    </comment>
    <comment ref="F280" authorId="0" shapeId="0" xr:uid="{FEE5193F-9749-4799-97B9-C7121A082C52}">
      <text>
        <r>
          <rPr>
            <b/>
            <sz val="9"/>
            <color indexed="81"/>
            <rFont val="Tahoma"/>
            <family val="2"/>
          </rPr>
          <t xml:space="preserve"> &lt;[[TCDeals] - [TCDeals - User Defined Field Values (Seq: 1)] Scoring - Lower Income Areas - WHEDA - Send]&gt;</t>
        </r>
      </text>
    </comment>
    <comment ref="F281" authorId="0" shapeId="0" xr:uid="{BA128046-31C0-4F82-9FB1-668431ADB5C6}">
      <text>
        <r>
          <rPr>
            <b/>
            <sz val="9"/>
            <color indexed="81"/>
            <rFont val="Tahoma"/>
            <family val="2"/>
          </rPr>
          <t xml:space="preserve"> &lt;[[TCDeals] - [TCDeals - User Defined Field Values (Seq: 1)] Scoring - C1 Energy Efficiency and Sustainabiliity - Applicant - Send]&gt;</t>
        </r>
      </text>
    </comment>
    <comment ref="F282" authorId="0" shapeId="0" xr:uid="{79316769-E420-4B35-AA05-EA148EAE2302}">
      <text>
        <r>
          <rPr>
            <b/>
            <sz val="9"/>
            <color indexed="81"/>
            <rFont val="Tahoma"/>
            <family val="2"/>
          </rPr>
          <t xml:space="preserve"> &lt;[[TCDeals] - [TCDeals - User Defined Field Values (Seq: 1)] Scoring - Energy Efficiency and Sustainabiliity - WHEDA - Send]&gt;</t>
        </r>
      </text>
    </comment>
    <comment ref="F285" authorId="0" shapeId="0" xr:uid="{7733D76A-2A72-4609-8896-455C9FD49C23}">
      <text>
        <r>
          <rPr>
            <b/>
            <sz val="9"/>
            <color indexed="81"/>
            <rFont val="Tahoma"/>
            <family val="2"/>
          </rPr>
          <t xml:space="preserve"> &lt;[[TCDeals] - [TCDeals - User Defined Field Values (Seq: 1)] Scoring - B1 Serves Large Families or Seniors - Applicant - Send]&gt;</t>
        </r>
      </text>
    </comment>
    <comment ref="F286" authorId="0" shapeId="0" xr:uid="{62E773F1-81A6-4FFA-BB80-596C447110B9}">
      <text>
        <r>
          <rPr>
            <b/>
            <sz val="9"/>
            <color indexed="81"/>
            <rFont val="Tahoma"/>
            <family val="2"/>
          </rPr>
          <t xml:space="preserve"> &lt;[[TCDeals] - [TCDeals - User Defined Field Values (Seq: 1)] Scoring - Serves Large Families or Seniors - WHEDA - Send]&gt;</t>
        </r>
      </text>
    </comment>
    <comment ref="F287" authorId="0" shapeId="0" xr:uid="{4DD32A5C-9806-4BC9-AAC3-3CF30A84A34F}">
      <text>
        <r>
          <rPr>
            <b/>
            <sz val="9"/>
            <color indexed="81"/>
            <rFont val="Tahoma"/>
            <family val="2"/>
          </rPr>
          <t xml:space="preserve"> &lt;[[TCDeals] - [TCDeals - User Defined Field Values (Seq: 1)] Scoring - B2 Serves Lowest Income Residents - Applicant - Send]&gt;</t>
        </r>
      </text>
    </comment>
    <comment ref="F288" authorId="0" shapeId="0" xr:uid="{E31F068C-FB4E-42E8-A2EF-6EDE800EFCC8}">
      <text>
        <r>
          <rPr>
            <b/>
            <sz val="9"/>
            <color indexed="81"/>
            <rFont val="Tahoma"/>
            <family val="2"/>
          </rPr>
          <t xml:space="preserve"> &lt;[[TCDeals] - [TCDeals - User Defined Field Values (Seq: 1)] Scoring - Serves Lowest Income Residents - WHEDA - Send]&gt;</t>
        </r>
      </text>
    </comment>
    <comment ref="F289" authorId="0" shapeId="0" xr:uid="{BE607B85-4CDA-4F04-88B3-7D5FB12B839C}">
      <text>
        <r>
          <rPr>
            <b/>
            <sz val="9"/>
            <color indexed="81"/>
            <rFont val="Tahoma"/>
            <family val="2"/>
          </rPr>
          <t xml:space="preserve"> &lt;[[TCDeals] - [TCDeals - User Defined Field Values (Seq: 1)] Scoring - B3 Supportive Housing - Applicant - Send]&gt;</t>
        </r>
      </text>
    </comment>
    <comment ref="F290" authorId="0" shapeId="0" xr:uid="{C05878E7-AEE8-48FC-BC2A-949D60C48103}">
      <text>
        <r>
          <rPr>
            <b/>
            <sz val="9"/>
            <color indexed="81"/>
            <rFont val="Tahoma"/>
            <family val="2"/>
          </rPr>
          <t xml:space="preserve"> &lt;[[TCDeals] - [TCDeals - User Defined Field Values (Seq: 1)] Scoring - Supportive Housing - WHEDA - Send]&gt;</t>
        </r>
      </text>
    </comment>
    <comment ref="F291" authorId="0" shapeId="0" xr:uid="{D684F42E-1451-4F34-8EC6-5DA33729F719}">
      <text>
        <r>
          <rPr>
            <b/>
            <sz val="9"/>
            <color indexed="81"/>
            <rFont val="Tahoma"/>
            <family val="2"/>
          </rPr>
          <t xml:space="preserve"> &lt;[[TCDeals] - [TCDeals - User Defined Field Values (Seq: 1)] Scoring - B.4. Veterans Housing - Applicant - Send]&gt;</t>
        </r>
      </text>
    </comment>
    <comment ref="F292" authorId="0" shapeId="0" xr:uid="{519E1795-D2D2-4710-8E87-BA2209683E28}">
      <text>
        <r>
          <rPr>
            <b/>
            <sz val="9"/>
            <color indexed="81"/>
            <rFont val="Tahoma"/>
            <family val="2"/>
          </rPr>
          <t xml:space="preserve"> &lt;[[TCDeals] - [TCDeals - User Defined Field Values (Seq: 1)] Scoring - Veterans Housing - WHEDA - Send]&gt;</t>
        </r>
      </text>
    </comment>
    <comment ref="F293" authorId="0" shapeId="0" xr:uid="{D19690AF-64C2-4F27-B57A-D91156B85F77}">
      <text>
        <r>
          <rPr>
            <b/>
            <sz val="9"/>
            <color indexed="81"/>
            <rFont val="Tahoma"/>
            <family val="2"/>
          </rPr>
          <t xml:space="preserve"> &lt;[[TCDeals] - [TCDeals - User Defined Field Values (Seq: 1)] Scoring - A.4. Rehab/Neighborhood Stabilization - Applicant - Send]&gt;</t>
        </r>
      </text>
    </comment>
    <comment ref="F294" authorId="0" shapeId="0" xr:uid="{14931C61-530D-4C14-A342-0A3014259C47}">
      <text>
        <r>
          <rPr>
            <b/>
            <sz val="9"/>
            <color indexed="81"/>
            <rFont val="Tahoma"/>
            <family val="2"/>
          </rPr>
          <t xml:space="preserve"> &lt;[[TCDeals] - [TCDeals - User Defined Field Values (Seq: 1)] Scoring - Rehab/Neighborhood Stabilization - WHEDA - Send]&gt;</t>
        </r>
      </text>
    </comment>
    <comment ref="F295" authorId="0" shapeId="0" xr:uid="{7EC4DE24-8C9A-411F-8E0A-B6C31DC89CD1}">
      <text>
        <r>
          <rPr>
            <b/>
            <sz val="9"/>
            <color indexed="81"/>
            <rFont val="Tahoma"/>
            <family val="2"/>
          </rPr>
          <t xml:space="preserve"> &lt;[[TCDeals] - [TCDeals - User Defined Field Values (Seq: 1)] Scoring - C.2. Universal Design - Applicant - Send]&gt;</t>
        </r>
      </text>
    </comment>
    <comment ref="F296" authorId="0" shapeId="0" xr:uid="{93299CF5-1D54-46B8-8B0E-2EBE3FE22059}">
      <text>
        <r>
          <rPr>
            <b/>
            <sz val="9"/>
            <color indexed="81"/>
            <rFont val="Tahoma"/>
            <family val="2"/>
          </rPr>
          <t xml:space="preserve"> &lt;[[TCDeals] - [TCDeals - User Defined Field Values (Seq: 1)] Scoring - Universal Design - WHEDA - Send]&gt;</t>
        </r>
      </text>
    </comment>
    <comment ref="F299" authorId="0" shapeId="0" xr:uid="{240B8B1A-E51D-492F-A789-4C887455186B}">
      <text>
        <r>
          <rPr>
            <b/>
            <sz val="9"/>
            <color indexed="81"/>
            <rFont val="Tahoma"/>
            <family val="2"/>
          </rPr>
          <t xml:space="preserve"> &lt;[[TCDeals] - [TCDeals - User Defined Field Values (Seq: 1)] Scoring - C.3. Eventual Tenant Ownership - Applicant - Send]&gt;</t>
        </r>
      </text>
    </comment>
    <comment ref="F300" authorId="0" shapeId="0" xr:uid="{CFC01F80-01A4-4E8E-9B74-4B2C9C44780F}">
      <text>
        <r>
          <rPr>
            <b/>
            <sz val="9"/>
            <color indexed="81"/>
            <rFont val="Tahoma"/>
            <family val="2"/>
          </rPr>
          <t xml:space="preserve"> &lt;[[TCDeals] - [TCDeals - User Defined Field Values (Seq: 1)] Scoring - Eventual Tenant Ownership - WHEDA - Send]&gt;</t>
        </r>
      </text>
    </comment>
    <comment ref="F301" authorId="0" shapeId="0" xr:uid="{998AC10F-94B0-48E8-9782-B091DE64D8AD}">
      <text>
        <r>
          <rPr>
            <b/>
            <sz val="9"/>
            <color indexed="81"/>
            <rFont val="Tahoma"/>
            <family val="2"/>
          </rPr>
          <t xml:space="preserve"> &lt;[[TCDeals] - [TCDeals - User Defined Field Values (Seq: 1)] Scoring - D.2. Development Team - Applicant - Send]&gt;</t>
        </r>
      </text>
    </comment>
    <comment ref="F302" authorId="0" shapeId="0" xr:uid="{82104C76-F020-4AF1-9AA9-40678FC113AA}">
      <text>
        <r>
          <rPr>
            <b/>
            <sz val="9"/>
            <color indexed="81"/>
            <rFont val="Tahoma"/>
            <family val="2"/>
          </rPr>
          <t xml:space="preserve"> &lt;[[TCDeals] - [TCDeals - User Defined Field Values (Seq: 1)] Scoring - Development Team - WHEDA - Send]&gt;</t>
        </r>
      </text>
    </comment>
    <comment ref="F303" authorId="0" shapeId="0" xr:uid="{3407912A-5F8D-48BC-A854-F268BCC45BB8}">
      <text>
        <r>
          <rPr>
            <b/>
            <sz val="9"/>
            <color indexed="81"/>
            <rFont val="Tahoma"/>
            <family val="2"/>
          </rPr>
          <t xml:space="preserve"> &lt;[[TCDeals] - [TCDeals - User Defined Field Values (Seq: 1)] Scoring - A.1. Areas of Economic Opportunity - Applicant - Send]&gt;</t>
        </r>
      </text>
    </comment>
    <comment ref="F304" authorId="0" shapeId="0" xr:uid="{BD9A81CC-FAD2-4A99-8558-9CDB09DC9912}">
      <text>
        <r>
          <rPr>
            <b/>
            <sz val="9"/>
            <color indexed="81"/>
            <rFont val="Tahoma"/>
            <family val="2"/>
          </rPr>
          <t xml:space="preserve"> &lt;[[TCDeals] - [TCDeals - User Defined Field Values (Seq: 1)] Scoring - Areas of Economic Opportunity - WHEDA - Send]&gt;</t>
        </r>
      </text>
    </comment>
    <comment ref="F307" authorId="0" shapeId="0" xr:uid="{F2535262-69A4-42A3-84A7-DEA79653DD93}">
      <text>
        <r>
          <rPr>
            <b/>
            <sz val="9"/>
            <color indexed="81"/>
            <rFont val="Tahoma"/>
            <family val="2"/>
          </rPr>
          <t xml:space="preserve"> &lt;[[TCDeals] - [TCDeals - User Defined Field Values (Seq: 1)] Scoring - A.3. Workforce Housing Communities - Applicant - Send]&gt;</t>
        </r>
      </text>
    </comment>
    <comment ref="F308" authorId="0" shapeId="0" xr:uid="{ED4475D8-670C-40E3-A999-B69CE583CAAE}">
      <text>
        <r>
          <rPr>
            <b/>
            <sz val="9"/>
            <color indexed="81"/>
            <rFont val="Tahoma"/>
            <family val="2"/>
          </rPr>
          <t xml:space="preserve"> &lt;[[TCDeals] - [TCDeals - User Defined Field Values (Seq: 1)] Scoring - Workforce Housing Communities - WHEDA - Send]&gt;</t>
        </r>
      </text>
    </comment>
    <comment ref="F309" authorId="0" shapeId="0" xr:uid="{2D96170B-79A7-4C92-B4E3-919B339C9441}">
      <text>
        <r>
          <rPr>
            <b/>
            <sz val="9"/>
            <color indexed="81"/>
            <rFont val="Tahoma"/>
            <family val="2"/>
          </rPr>
          <t xml:space="preserve"> &lt;[[TCDeals] - [TCDeals - User Defined Field Values (Seq: 1)] Scoring - C.4. Community Service Facilities - Applicant - Send]&gt;</t>
        </r>
      </text>
    </comment>
    <comment ref="F310" authorId="0" shapeId="0" xr:uid="{BCAAA5B7-561E-4C29-8487-B49A24A8E6D8}">
      <text>
        <r>
          <rPr>
            <b/>
            <sz val="9"/>
            <color indexed="81"/>
            <rFont val="Tahoma"/>
            <family val="2"/>
          </rPr>
          <t xml:space="preserve"> &lt;[[TCDeals] - [TCDeals - User Defined Field Values (Seq: 1)] Scoring - Community Service Facilities - WHEDA - Send]&gt;</t>
        </r>
      </text>
    </comment>
    <comment ref="F311" authorId="0" shapeId="0" xr:uid="{997D5A9E-141D-4F63-A671-40BC63E73617}">
      <text>
        <r>
          <rPr>
            <b/>
            <sz val="9"/>
            <color indexed="81"/>
            <rFont val="Tahoma"/>
            <family val="2"/>
          </rPr>
          <t xml:space="preserve"> &lt;[[TCDeals] - [TCDeals - User Defined Field Values (Seq: 1)] Scoring - Scoring Total - Applicant - Send]&gt;</t>
        </r>
      </text>
    </comment>
    <comment ref="F312" authorId="0" shapeId="0" xr:uid="{9D78D3EF-9C30-4FBB-B7BA-BF64FCE3594A}">
      <text>
        <r>
          <rPr>
            <b/>
            <sz val="9"/>
            <color indexed="81"/>
            <rFont val="Tahoma"/>
            <family val="2"/>
          </rPr>
          <t xml:space="preserve"> &lt;[[TCDeals] - [TCDeals - User Defined Field Values (Seq: 1)] Scoring - Scoring Total - WHEDA - Send]&gt;</t>
        </r>
      </text>
    </comment>
    <comment ref="F313" authorId="0" shapeId="0" xr:uid="{4FD12776-A7FB-42D4-BF0D-21B63400401C}">
      <text>
        <r>
          <rPr>
            <b/>
            <sz val="9"/>
            <color indexed="81"/>
            <rFont val="Tahoma"/>
            <family val="2"/>
          </rPr>
          <t xml:space="preserve"> &lt;[[TCDeals] - [TCDeals - User Defined Field Values (Seq: 1)] Scoring - A. Location Score - Applicant - Send]&gt;</t>
        </r>
      </text>
    </comment>
    <comment ref="F314" authorId="0" shapeId="0" xr:uid="{EC24E15F-FCA3-4647-BE07-DF623F13F319}">
      <text>
        <r>
          <rPr>
            <b/>
            <sz val="9"/>
            <color indexed="81"/>
            <rFont val="Tahoma"/>
            <family val="2"/>
          </rPr>
          <t xml:space="preserve"> &lt;[[TCDeals] - [TCDeals - User Defined Field Values (Seq: 1)] Scoring - A. Location Score - WHEDA - Send]&gt;</t>
        </r>
      </text>
    </comment>
    <comment ref="F315" authorId="0" shapeId="0" xr:uid="{43C933AE-430A-41F6-BAFC-CFBE309F0A85}">
      <text>
        <r>
          <rPr>
            <b/>
            <sz val="9"/>
            <color indexed="81"/>
            <rFont val="Tahoma"/>
            <family val="2"/>
          </rPr>
          <t xml:space="preserve"> &lt;[[TCDeals] - [TCDeals - User Defined Field Values (Seq: 1)] Scoring - B. Tenants Served Score - Applicant - Send]&gt;</t>
        </r>
      </text>
    </comment>
    <comment ref="F316" authorId="0" shapeId="0" xr:uid="{B7691505-7538-446A-806A-30AF9662F881}">
      <text>
        <r>
          <rPr>
            <b/>
            <sz val="9"/>
            <color indexed="81"/>
            <rFont val="Tahoma"/>
            <family val="2"/>
          </rPr>
          <t xml:space="preserve"> &lt;[[TCDeals] - [TCDeals - User Defined Field Values (Seq: 1)] Scoring - B. Tenants Served Score - WHEDA - Send]&gt;</t>
        </r>
      </text>
    </comment>
    <comment ref="F317" authorId="0" shapeId="0" xr:uid="{A42DB73E-9542-401D-819A-FDF58D835F62}">
      <text>
        <r>
          <rPr>
            <b/>
            <sz val="9"/>
            <color indexed="81"/>
            <rFont val="Tahoma"/>
            <family val="2"/>
          </rPr>
          <t xml:space="preserve"> &lt;[[TCDeals] - [TCDeals - User Defined Field Values (Seq: 1)] Scoring - C. Building Design Score - Applicant - Send]&gt;</t>
        </r>
      </text>
    </comment>
    <comment ref="F318" authorId="0" shapeId="0" xr:uid="{4CC9FF5A-7039-4181-A23E-ED9A67CEDA7E}">
      <text>
        <r>
          <rPr>
            <b/>
            <sz val="9"/>
            <color indexed="81"/>
            <rFont val="Tahoma"/>
            <family val="2"/>
          </rPr>
          <t xml:space="preserve"> &lt;[[TCDeals] - [TCDeals - User Defined Field Values (Seq: 1)] Scoring - C. Building Design Score - WHEDA - Send]&gt;</t>
        </r>
      </text>
    </comment>
    <comment ref="F319" authorId="0" shapeId="0" xr:uid="{50042A37-7782-4DE5-B3B6-CA952DAC901B}">
      <text>
        <r>
          <rPr>
            <b/>
            <sz val="9"/>
            <color indexed="81"/>
            <rFont val="Tahoma"/>
            <family val="2"/>
          </rPr>
          <t xml:space="preserve"> &lt;[[TCDeals] - [TCDeals - User Defined Field Values (Seq: 1)] Scoring - D. Development Process Score - Applicant - Send]&gt;</t>
        </r>
      </text>
    </comment>
    <comment ref="F320" authorId="0" shapeId="0" xr:uid="{FE09A734-3345-426D-BDA2-2CEC2883CB18}">
      <text>
        <r>
          <rPr>
            <b/>
            <sz val="9"/>
            <color indexed="81"/>
            <rFont val="Tahoma"/>
            <family val="2"/>
          </rPr>
          <t xml:space="preserve"> &lt;[[TCDeals] - [TCDeals - User Defined Field Values (Seq: 1)] Scoring - D. Development Process Score - WHEDA - Send]&gt;</t>
        </r>
      </text>
    </comment>
    <comment ref="F321" authorId="0" shapeId="0" xr:uid="{B1BC9EB0-2AD3-4849-B59B-28BC9CC4944C}">
      <text>
        <r>
          <rPr>
            <b/>
            <sz val="9"/>
            <color indexed="81"/>
            <rFont val="Tahoma"/>
            <family val="2"/>
          </rPr>
          <t xml:space="preserve"> &lt;[[TCDeals] - [TCDeals - User Defined Field Values (Seq: 1)] Scoring - C.5. Additional Amenities Score - Applicant - Send]&gt;</t>
        </r>
      </text>
    </comment>
    <comment ref="F322" authorId="0" shapeId="0" xr:uid="{0806A80C-08AC-4C82-9A18-70B5FE66C0E8}">
      <text>
        <r>
          <rPr>
            <b/>
            <sz val="9"/>
            <color indexed="81"/>
            <rFont val="Tahoma"/>
            <family val="2"/>
          </rPr>
          <t xml:space="preserve"> &lt;[[TCDeals] - [TCDeals - User Defined Field Values (Seq: 1)] Scoring - Additional Amenities Score - WHEDA - Send]&gt;</t>
        </r>
      </text>
    </comment>
    <comment ref="F323" authorId="0" shapeId="0" xr:uid="{86A40153-52A2-45B4-939C-631B632878DE}">
      <text>
        <r>
          <rPr>
            <b/>
            <sz val="9"/>
            <color indexed="81"/>
            <rFont val="Tahoma"/>
            <family val="2"/>
          </rPr>
          <t xml:space="preserve"> &lt;[[TCDeals] - [TCDeals - User Defined Field Values (Seq: 1)] Scoring - D.1. Credit Efficiency - Applicant - Send]&gt;</t>
        </r>
      </text>
    </comment>
    <comment ref="F324" authorId="0" shapeId="0" xr:uid="{9C30D2F3-85C3-432A-A7AE-D290D40E5408}">
      <text>
        <r>
          <rPr>
            <b/>
            <sz val="9"/>
            <color indexed="81"/>
            <rFont val="Tahoma"/>
            <family val="2"/>
          </rPr>
          <t xml:space="preserve"> &lt;[[TCDeals] - [TCDeals - User Defined Field Values (Seq: 1)] Scoring - Credit Efficiency - WHEDA - Send]&gt;</t>
        </r>
      </text>
    </comment>
    <comment ref="F325" authorId="0" shapeId="0" xr:uid="{8ECA4EC4-EF9F-4685-9257-68F7DA9E3D21}">
      <text>
        <r>
          <rPr>
            <b/>
            <sz val="9"/>
            <color indexed="81"/>
            <rFont val="Tahoma"/>
            <family val="2"/>
          </rPr>
          <t xml:space="preserve"> &lt;[[TCDeals] - [TCDeals - User Defined Field Values (Seq: 1)] Scoring - D.3. Site Characteristics - Applicant - Send]&gt;</t>
        </r>
      </text>
    </comment>
    <comment ref="F326" authorId="0" shapeId="0" xr:uid="{2653209C-7689-4A59-A91E-7F35DA04795A}">
      <text>
        <r>
          <rPr>
            <b/>
            <sz val="9"/>
            <color indexed="81"/>
            <rFont val="Tahoma"/>
            <family val="2"/>
          </rPr>
          <t xml:space="preserve"> &lt;[[TCDeals] - [TCDeals - User Defined Field Values (Seq: 1)] Scoring - Site Characteristics - WHEDA - Send]&gt;</t>
        </r>
      </text>
    </comment>
    <comment ref="F329" authorId="0" shapeId="0" xr:uid="{E354C0DC-E23C-4BF2-8512-F4E38170A1E3}">
      <text>
        <r>
          <rPr>
            <b/>
            <sz val="9"/>
            <color indexed="81"/>
            <rFont val="Tahoma"/>
            <family val="2"/>
          </rPr>
          <t xml:space="preserve"> &lt;[[TCDeals] - [TCDeals - User Defined Field Values (Seq: 1)] Scoring - Is Claim Points Y/N - Lower Income Areas - Send]&gt;</t>
        </r>
      </text>
    </comment>
    <comment ref="F330" authorId="0" shapeId="0" xr:uid="{3427D6D1-E1BB-40CD-9E33-65BD4B424163}">
      <text>
        <r>
          <rPr>
            <b/>
            <sz val="9"/>
            <color indexed="81"/>
            <rFont val="Tahoma"/>
            <family val="2"/>
          </rPr>
          <t xml:space="preserve"> &lt;[[TCDeals] - [TCDeals - User Defined Field Values (Seq: 1)] Scoring - Total Applicant Score - Lower Income Areas - Send]&gt;</t>
        </r>
      </text>
    </comment>
    <comment ref="F331" authorId="0" shapeId="0" xr:uid="{E378F617-1ADA-4D3F-BB25-5C356C42A589}">
      <text>
        <r>
          <rPr>
            <b/>
            <sz val="9"/>
            <color indexed="81"/>
            <rFont val="Tahoma"/>
            <family val="2"/>
          </rPr>
          <t xml:space="preserve"> &lt;[[TCDeals] - [TCDeals - User Defined Field Values (Seq: 1)] Scoring - Is QCT with CCRP on Tribal Land - Y/N - Send]&gt;</t>
        </r>
      </text>
    </comment>
    <comment ref="F332" authorId="0" shapeId="0" xr:uid="{3377EAED-9B76-4235-88A4-52B05371F979}">
      <text>
        <r>
          <rPr>
            <b/>
            <sz val="9"/>
            <color indexed="81"/>
            <rFont val="Tahoma"/>
            <family val="2"/>
          </rPr>
          <t xml:space="preserve"> &lt;[[TCDeals] - [TCDeals - User Defined Field Values (Seq: 1)] Scoring - QCT with CCRP on Tribal Land - Points - Send]&gt;</t>
        </r>
      </text>
    </comment>
    <comment ref="F333" authorId="0" shapeId="0" xr:uid="{35950D67-C7A9-43BD-811E-FCE056619EA0}">
      <text>
        <r>
          <rPr>
            <b/>
            <sz val="9"/>
            <color indexed="81"/>
            <rFont val="Tahoma"/>
            <family val="2"/>
          </rPr>
          <t xml:space="preserve"> &lt;[[TCDeals] - [TCDeals - User Defined Field Values (Seq: 1)] Scoring - Is QCT with CCRP - Y/N - Send]&gt;</t>
        </r>
      </text>
    </comment>
    <comment ref="F334" authorId="0" shapeId="0" xr:uid="{33672A7D-57AD-4FBA-BBB7-BC6D57E0DA97}">
      <text>
        <r>
          <rPr>
            <b/>
            <sz val="9"/>
            <color indexed="81"/>
            <rFont val="Tahoma"/>
            <family val="2"/>
          </rPr>
          <t xml:space="preserve"> &lt;[[TCDeals] - [TCDeals - User Defined Field Values (Seq: 1)] Scoring - QCT with CCRP - Points - Send]&gt;</t>
        </r>
      </text>
    </comment>
    <comment ref="F335" authorId="0" shapeId="0" xr:uid="{9B300C56-19FC-4E22-A6BC-2EB3B87E60BB}">
      <text>
        <r>
          <rPr>
            <b/>
            <sz val="9"/>
            <color indexed="81"/>
            <rFont val="Tahoma"/>
            <family val="2"/>
          </rPr>
          <t xml:space="preserve"> &lt;[[TCDeals] - [TCDeals - User Defined Field Values (Seq: 1)] Scoring - WHEDA Score - Lower Income Areas - Send]&gt;</t>
        </r>
      </text>
    </comment>
    <comment ref="F336" authorId="0" shapeId="0" xr:uid="{9172367C-76CB-4077-A61F-D9CF27E37629}">
      <text>
        <r>
          <rPr>
            <b/>
            <sz val="9"/>
            <color indexed="81"/>
            <rFont val="Tahoma"/>
            <family val="2"/>
          </rPr>
          <t xml:space="preserve"> &lt;[[TCDeals] - [TCDeals - User Defined Field Values (Seq: 1)] Scoring - Underwriter Notes - Lower Incomer Areas - Send]&gt;</t>
        </r>
      </text>
    </comment>
    <comment ref="F337" authorId="0" shapeId="0" xr:uid="{E6A0FD50-9FF9-4EAE-8EF8-90AC2780CAB7}">
      <text>
        <r>
          <rPr>
            <b/>
            <sz val="9"/>
            <color indexed="81"/>
            <rFont val="Tahoma"/>
            <family val="2"/>
          </rPr>
          <t xml:space="preserve"> &lt;[[TCDeals] - [TCDeals - User Defined Field Values (Seq: 1)] Scoring - Applicant Notes - Lower Income Areas - Send]&gt;</t>
        </r>
      </text>
    </comment>
    <comment ref="F338" authorId="0" shapeId="0" xr:uid="{77E35AE6-2149-4340-BE1B-735F005456B6}">
      <text>
        <r>
          <rPr>
            <b/>
            <sz val="9"/>
            <color indexed="81"/>
            <rFont val="Tahoma"/>
            <family val="2"/>
          </rPr>
          <t xml:space="preserve"> &lt;[[TCDeals] - [TCDeals - User Defined Field Values (Seq: 1)] Scoring - Peer Review Comments - Lower Income Areas - Send]&gt;</t>
        </r>
      </text>
    </comment>
    <comment ref="F341" authorId="0" shapeId="0" xr:uid="{2A13807E-1D97-455F-8BB5-439FDCBC7512}">
      <text>
        <r>
          <rPr>
            <b/>
            <sz val="9"/>
            <color indexed="81"/>
            <rFont val="Tahoma"/>
            <family val="2"/>
          </rPr>
          <t xml:space="preserve"> &lt;[[TCDeals] - [TCDeals - User Defined Field Values (Seq: 1)] Scoring - Is Claim Points Y/N - Energy Efficiency - Send]&gt;</t>
        </r>
      </text>
    </comment>
    <comment ref="F342" authorId="0" shapeId="0" xr:uid="{E53AE22D-A27C-4090-AE3E-1AFEF3592735}">
      <text>
        <r>
          <rPr>
            <b/>
            <sz val="9"/>
            <color indexed="81"/>
            <rFont val="Tahoma"/>
            <family val="2"/>
          </rPr>
          <t xml:space="preserve"> &lt;[[TCDeals] - [TCDeals - User Defined Field Values (Seq: 1)] Scoring - Total Applicant Score - Energy Efficiency - Send]&gt;</t>
        </r>
      </text>
    </comment>
    <comment ref="F344" authorId="0" shapeId="0" xr:uid="{F3B957A7-75DB-44F1-9D84-CEFA10D2637F}">
      <text>
        <r>
          <rPr>
            <b/>
            <sz val="9"/>
            <color indexed="81"/>
            <rFont val="Tahoma"/>
            <family val="2"/>
          </rPr>
          <t xml:space="preserve"> &lt;[[TCDeals] - [TCDeals - User Defined Field Values (Seq: 1)] Scoring - New Construction Projects - Select Green Building Certification - Points - Send]&gt;</t>
        </r>
      </text>
    </comment>
    <comment ref="F345" authorId="0" shapeId="0" xr:uid="{B648306F-87D1-4768-8230-61EDB1037FF5}">
      <text>
        <r>
          <rPr>
            <b/>
            <sz val="9"/>
            <color indexed="81"/>
            <rFont val="Tahoma"/>
            <family val="2"/>
          </rPr>
          <t xml:space="preserve"> &lt;[[TCDeals] - [TCDeals - User Defined Field Values (Seq: 1)] Scoring - Is Geothermal HVAC - Y/N - Send]&gt;</t>
        </r>
      </text>
    </comment>
    <comment ref="F346" authorId="0" shapeId="0" xr:uid="{49DA3C28-615F-430A-851B-AC60D83232A6}">
      <text>
        <r>
          <rPr>
            <b/>
            <sz val="9"/>
            <color indexed="81"/>
            <rFont val="Tahoma"/>
            <family val="2"/>
          </rPr>
          <t xml:space="preserve"> &lt;[[TCDeals] - [TCDeals - User Defined Field Values (Seq: 1)] Scoring - Geothermal HVAC - Points - Send]&gt;</t>
        </r>
      </text>
    </comment>
    <comment ref="F347" authorId="0" shapeId="0" xr:uid="{79AC6F77-0867-45E7-800B-7CD7E414F042}">
      <text>
        <r>
          <rPr>
            <b/>
            <sz val="9"/>
            <color indexed="81"/>
            <rFont val="Tahoma"/>
            <family val="2"/>
          </rPr>
          <t xml:space="preserve"> &lt;[[TCDeals] - [TCDeals - User Defined Field Values (Seq: 1)] Scoring - Is Solar Offset - Y/N - Send]&gt;</t>
        </r>
      </text>
    </comment>
    <comment ref="F348" authorId="0" shapeId="0" xr:uid="{3ED44654-64B5-443A-ABFB-D330E3C62BCE}">
      <text>
        <r>
          <rPr>
            <b/>
            <sz val="9"/>
            <color indexed="81"/>
            <rFont val="Tahoma"/>
            <family val="2"/>
          </rPr>
          <t xml:space="preserve"> &lt;[[TCDeals] - [TCDeals - User Defined Field Values (Seq: 1)] Scoring - Solar Offset - Points - Send]&gt;</t>
        </r>
      </text>
    </comment>
    <comment ref="F349" authorId="0" shapeId="0" xr:uid="{0935E5C5-4F59-47BA-8FDE-4606B994FBFB}">
      <text>
        <r>
          <rPr>
            <b/>
            <sz val="9"/>
            <color indexed="81"/>
            <rFont val="Tahoma"/>
            <family val="2"/>
          </rPr>
          <t xml:space="preserve"> &lt;[[TCDeals] - [TCDeals - User Defined Field Values (Seq: 1)] Scoring - Is Centralized Geothermal HVAC w/ Solar Offset - Y/N - Send]&gt;</t>
        </r>
      </text>
    </comment>
    <comment ref="F350" authorId="0" shapeId="0" xr:uid="{F6E17676-8C2A-45E3-9946-8987593C7885}">
      <text>
        <r>
          <rPr>
            <b/>
            <sz val="9"/>
            <color indexed="81"/>
            <rFont val="Tahoma"/>
            <family val="2"/>
          </rPr>
          <t xml:space="preserve"> &lt;[[TCDeals] - [TCDeals - User Defined Field Values (Seq: 1)] Scoring - Centralized Geothermal HVAC w/ Solar Offset - Points - Send]&gt;</t>
        </r>
      </text>
    </comment>
    <comment ref="F351" authorId="0" shapeId="0" xr:uid="{CD5C90EF-82E9-4582-B8A9-828379F634C1}">
      <text>
        <r>
          <rPr>
            <b/>
            <sz val="9"/>
            <color indexed="81"/>
            <rFont val="Tahoma"/>
            <family val="2"/>
          </rPr>
          <t xml:space="preserve"> &lt;[[TCDeals] - [TCDeals - User Defined Field Values (Seq: 1)] Scoring - Rehab Projects - Select Energy Efficiency Program - Send]&gt;</t>
        </r>
      </text>
    </comment>
    <comment ref="F353" authorId="0" shapeId="0" xr:uid="{253B1531-66E5-4C54-BDE3-B7BB25DF2223}">
      <text>
        <r>
          <rPr>
            <b/>
            <sz val="9"/>
            <color indexed="81"/>
            <rFont val="Tahoma"/>
            <family val="2"/>
          </rPr>
          <t xml:space="preserve"> &lt;[[TCDeals] - [TCDeals - User Defined Field Values (Seq: 1)] Scoring - Public Transportation - Points - Get]&gt;</t>
        </r>
      </text>
    </comment>
    <comment ref="F356" authorId="0" shapeId="0" xr:uid="{1FC85D10-4DA3-4AEA-94EE-E05F79C718FE}">
      <text>
        <r>
          <rPr>
            <b/>
            <sz val="9"/>
            <color indexed="81"/>
            <rFont val="Tahoma"/>
            <family val="2"/>
          </rPr>
          <t xml:space="preserve"> &lt;[[TCDeals] - [TCDeals - User Defined Field Values (Seq: 1)] Scoring - WHEDA Score - Energy Efficiency - Send]&gt;</t>
        </r>
      </text>
    </comment>
    <comment ref="F357" authorId="0" shapeId="0" xr:uid="{C55A28F1-C025-45ED-A549-DC1413192AB9}">
      <text>
        <r>
          <rPr>
            <b/>
            <sz val="9"/>
            <color indexed="81"/>
            <rFont val="Tahoma"/>
            <family val="2"/>
          </rPr>
          <t xml:space="preserve"> &lt;[[TCDeals] - [TCDeals - User Defined Field Values (Seq: 1)] Scoring - Underwriter Notes - Energy Efficiency - Send]&gt;</t>
        </r>
      </text>
    </comment>
    <comment ref="F358" authorId="0" shapeId="0" xr:uid="{4701C49D-4F84-4447-B092-1FA6A868D244}">
      <text>
        <r>
          <rPr>
            <b/>
            <sz val="9"/>
            <color indexed="81"/>
            <rFont val="Tahoma"/>
            <family val="2"/>
          </rPr>
          <t xml:space="preserve"> &lt;[[TCDeals] - [TCDeals - User Defined Field Values (Seq: 1)] Scoring - Applicant Notes - Energy Efficiency and Sustainability - Send]&gt;</t>
        </r>
      </text>
    </comment>
    <comment ref="F359" authorId="0" shapeId="0" xr:uid="{7A7686AE-6E60-4FCA-902B-2787C3AF592E}">
      <text>
        <r>
          <rPr>
            <b/>
            <sz val="9"/>
            <color indexed="81"/>
            <rFont val="Tahoma"/>
            <family val="2"/>
          </rPr>
          <t xml:space="preserve"> &lt;[[TCDeals] - [TCDeals - User Defined Field Values (Seq: 1)] Scoring - Peer Review Comments - Energy Efficiency and Sustainability - Send]&gt;</t>
        </r>
      </text>
    </comment>
    <comment ref="F362" authorId="0" shapeId="0" xr:uid="{0C63FE01-B736-4CAB-82ED-1E8A282F72DD}">
      <text>
        <r>
          <rPr>
            <b/>
            <sz val="9"/>
            <color indexed="81"/>
            <rFont val="Tahoma"/>
            <family val="2"/>
          </rPr>
          <t xml:space="preserve"> &lt;[[TCDeals] - [TCDeals - User Defined Field Values (Seq: 1)] Scoring - Is Claim Points Y/N - Mixed Income Incentive - Send]&gt;</t>
        </r>
      </text>
    </comment>
    <comment ref="F363" authorId="0" shapeId="0" xr:uid="{A0A1D8E5-69EE-455A-B6DF-27868DD877FC}">
      <text>
        <r>
          <rPr>
            <b/>
            <sz val="9"/>
            <color indexed="81"/>
            <rFont val="Tahoma"/>
            <family val="2"/>
          </rPr>
          <t xml:space="preserve"> &lt;[[TCDeals] - [TCDeals - User Defined Field Values (Seq: 1)] Scoring - Total Applicant Score - Mixed Income Incentive (Max 12) - Send]&gt;</t>
        </r>
      </text>
    </comment>
    <comment ref="F364" authorId="0" shapeId="0" xr:uid="{0E3D1314-5DD6-4F16-B625-DE0BB7763C34}">
      <text>
        <r>
          <rPr>
            <b/>
            <sz val="9"/>
            <color indexed="81"/>
            <rFont val="Tahoma"/>
            <family val="2"/>
          </rPr>
          <t xml:space="preserve"> &lt;[[TCDeals] - [TCDeals - User Defined Field Values (Seq: 1)] Scoring - WHEDA Score - Mixed Income Incentive - Send]&gt;</t>
        </r>
      </text>
    </comment>
    <comment ref="F365" authorId="0" shapeId="0" xr:uid="{0D493669-9B29-4010-AB47-0B11C9AF8136}">
      <text>
        <r>
          <rPr>
            <b/>
            <sz val="9"/>
            <color indexed="81"/>
            <rFont val="Tahoma"/>
            <family val="2"/>
          </rPr>
          <t xml:space="preserve"> &lt;[[TCDeals] - [TCDeals - User Defined Field Values (Seq: 1)] Scoring - Underwriter Notes - Mixed Income Incentive - Send]&gt;</t>
        </r>
      </text>
    </comment>
    <comment ref="F368" authorId="0" shapeId="0" xr:uid="{F4B50377-80F8-450F-90C8-1633BEEA08AA}">
      <text>
        <r>
          <rPr>
            <b/>
            <sz val="9"/>
            <color indexed="81"/>
            <rFont val="Tahoma"/>
            <family val="2"/>
          </rPr>
          <t xml:space="preserve"> &lt;[[TCDeals] - [TCDeals - User Defined Field Values (Seq: 1)] Scoring - Is Claim Points Y/N - Serves Large Families - Send]&gt;</t>
        </r>
      </text>
    </comment>
    <comment ref="F369" authorId="0" shapeId="0" xr:uid="{E56950FF-8790-492D-BDE2-40515FC15125}">
      <text>
        <r>
          <rPr>
            <b/>
            <sz val="9"/>
            <color indexed="81"/>
            <rFont val="Tahoma"/>
            <family val="2"/>
          </rPr>
          <t xml:space="preserve"> &lt;[[TCDeals] - [TCDeals - User Defined Field Values (Seq: 1)] Scoring - 3BR + LI Units - Send]&gt;</t>
        </r>
      </text>
    </comment>
    <comment ref="F370" authorId="0" shapeId="0" xr:uid="{FDC18ED1-0A39-40CD-B075-48451A8F7775}">
      <text>
        <r>
          <rPr>
            <b/>
            <sz val="9"/>
            <color indexed="81"/>
            <rFont val="Tahoma"/>
            <family val="2"/>
          </rPr>
          <t xml:space="preserve"> &lt;[[TCDeals] - [TCDeals - User Defined Field Values (Seq: 1)] Scoring - Total LI Units - Send]&gt;</t>
        </r>
      </text>
    </comment>
    <comment ref="F371" authorId="0" shapeId="0" xr:uid="{FB44A88B-7E35-40D7-8838-F927E8CA2309}">
      <text>
        <r>
          <rPr>
            <b/>
            <sz val="9"/>
            <color indexed="81"/>
            <rFont val="Tahoma"/>
            <family val="2"/>
          </rPr>
          <t xml:space="preserve"> &lt;[[TCDeals] - [TCDeals - User Defined Field Values (Seq: 1)] Scoring - Percentage Serves Large Families - Send]&gt;</t>
        </r>
      </text>
    </comment>
    <comment ref="F372" authorId="0" shapeId="0" xr:uid="{2E1FBB89-2DC2-45E5-A23A-7C60C6D1AD71}">
      <text>
        <r>
          <rPr>
            <b/>
            <sz val="9"/>
            <color indexed="81"/>
            <rFont val="Tahoma"/>
            <family val="2"/>
          </rPr>
          <t xml:space="preserve"> &lt;[[TCDeals] - [TCDeals - User Defined Field Values (Seq: 1)] Scoring - Serves Large Families Points - Send]&gt;</t>
        </r>
      </text>
    </comment>
    <comment ref="F373" authorId="0" shapeId="0" xr:uid="{FD5BF53F-C3DE-421D-931F-98A4B51DB702}">
      <text>
        <r>
          <rPr>
            <b/>
            <sz val="9"/>
            <color indexed="81"/>
            <rFont val="Tahoma"/>
            <family val="2"/>
          </rPr>
          <t xml:space="preserve"> &lt;[[TCDeals] - [TCDeals - User Defined Field Values (Seq: 1)] Scoring - Is Serves Seniors? - Send]&gt;</t>
        </r>
      </text>
    </comment>
    <comment ref="F374" authorId="0" shapeId="0" xr:uid="{03DB3D33-8812-4772-9388-B8B362255487}">
      <text>
        <r>
          <rPr>
            <b/>
            <sz val="9"/>
            <color indexed="81"/>
            <rFont val="Tahoma"/>
            <family val="2"/>
          </rPr>
          <t xml:space="preserve"> &lt;[[TCDeals] - [TCDeals - User Defined Field Values (Seq: 1)] Scoring - Age-Restricted Units - Send]&gt;</t>
        </r>
      </text>
    </comment>
    <comment ref="F375" authorId="0" shapeId="0" xr:uid="{A6586017-DC90-4B06-9086-F6F066184C67}">
      <text>
        <r>
          <rPr>
            <b/>
            <sz val="9"/>
            <color indexed="81"/>
            <rFont val="Tahoma"/>
            <family val="2"/>
          </rPr>
          <t xml:space="preserve"> &lt;[[TCDeals] - [TCDeals - User Defined Field Values (Seq: 1)] Scoring - Percent Serves Seniors - Send]&gt;</t>
        </r>
      </text>
    </comment>
    <comment ref="F376" authorId="0" shapeId="0" xr:uid="{97AF22D2-0B06-4DA3-A6AD-866073853D80}">
      <text>
        <r>
          <rPr>
            <b/>
            <sz val="9"/>
            <color indexed="81"/>
            <rFont val="Tahoma"/>
            <family val="2"/>
          </rPr>
          <t xml:space="preserve"> &lt;[[TCDeals] - [TCDeals - User Defined Field Values (Seq: 1)] Scoring - Serves Seniors Points - Send]&gt;</t>
        </r>
      </text>
    </comment>
    <comment ref="F377" authorId="0" shapeId="0" xr:uid="{B4195DE5-3A87-4505-B4DE-D8D6251470B6}">
      <text>
        <r>
          <rPr>
            <b/>
            <sz val="9"/>
            <color indexed="81"/>
            <rFont val="Tahoma"/>
            <family val="2"/>
          </rPr>
          <t xml:space="preserve"> &lt;[[TCDeals] - [TCDeals - User Defined Field Values (Seq: 1)] Scoring - Total Applicant Score - Serves Large Families or Seniors - Send]&gt;</t>
        </r>
      </text>
    </comment>
    <comment ref="F378" authorId="0" shapeId="0" xr:uid="{4534EE77-C768-469D-A850-FAFCE57F5D12}">
      <text>
        <r>
          <rPr>
            <b/>
            <sz val="9"/>
            <color indexed="81"/>
            <rFont val="Tahoma"/>
            <family val="2"/>
          </rPr>
          <t xml:space="preserve"> &lt;[[TCDeals] - [TCDeals - User Defined Field Values (Seq: 1)] Scoring - WHEDA Score - Serves Large Families or Seniors - Send]&gt;</t>
        </r>
      </text>
    </comment>
    <comment ref="F379" authorId="0" shapeId="0" xr:uid="{6C619299-A36C-4B55-A46B-5ACB7A126563}">
      <text>
        <r>
          <rPr>
            <b/>
            <sz val="9"/>
            <color indexed="81"/>
            <rFont val="Tahoma"/>
            <family val="2"/>
          </rPr>
          <t xml:space="preserve"> &lt;[[TCDeals] - [TCDeals - User Defined Field Values (Seq: 1)] Scoring - Underwriter Notes - Serves Large Families or Seniors - Send]&gt;</t>
        </r>
      </text>
    </comment>
    <comment ref="F380" authorId="0" shapeId="0" xr:uid="{26EA8D8F-B2F1-4841-AC4C-CA1D28B712CD}">
      <text>
        <r>
          <rPr>
            <b/>
            <sz val="9"/>
            <color indexed="81"/>
            <rFont val="Tahoma"/>
            <family val="2"/>
          </rPr>
          <t xml:space="preserve"> &lt;[[TCDeals] - [TCDeals - User Defined Field Values (Seq: 1)] Scoring - Applicant Notes - Large Families or Seniors - Send]&gt;</t>
        </r>
      </text>
    </comment>
    <comment ref="F381" authorId="0" shapeId="0" xr:uid="{6329CE70-7BDC-4F44-A765-E635217CC305}">
      <text>
        <r>
          <rPr>
            <b/>
            <sz val="9"/>
            <color indexed="81"/>
            <rFont val="Tahoma"/>
            <family val="2"/>
          </rPr>
          <t xml:space="preserve"> &lt;[[TCDeals] - [TCDeals - User Defined Field Values (Seq: 1)] Scoring - Peer Review Comments - Large Families or Seniors - Send]&gt;</t>
        </r>
      </text>
    </comment>
    <comment ref="F384" authorId="0" shapeId="0" xr:uid="{8AB69498-D87A-41E8-AB9C-3CAFEFEEEEE1}">
      <text>
        <r>
          <rPr>
            <b/>
            <sz val="9"/>
            <color indexed="81"/>
            <rFont val="Tahoma"/>
            <family val="2"/>
          </rPr>
          <t xml:space="preserve"> &lt;[[TCDeals] - [TCDeals - User Defined Field Values (Seq: 1)] Scoring - Is Claim Points Y/N - Serves Lowest Income - Send]&gt;</t>
        </r>
      </text>
    </comment>
    <comment ref="F385" authorId="0" shapeId="0" xr:uid="{EF5B7305-380A-408E-A96C-47B0B1EA79A6}">
      <text>
        <r>
          <rPr>
            <b/>
            <sz val="9"/>
            <color indexed="81"/>
            <rFont val="Tahoma"/>
            <family val="2"/>
          </rPr>
          <t xml:space="preserve"> &lt;[[TCDeals] - [TCDeals - User Defined Field Values (Seq: 1)] Scoring - Number of Units 50% CMI - Send]&gt;</t>
        </r>
      </text>
    </comment>
    <comment ref="F386" authorId="0" shapeId="0" xr:uid="{FCB84204-071F-4EC8-BDD0-AA22749E08CC}">
      <text>
        <r>
          <rPr>
            <b/>
            <sz val="9"/>
            <color indexed="81"/>
            <rFont val="Tahoma"/>
            <family val="2"/>
          </rPr>
          <t xml:space="preserve"> &lt;[[TCDeals] - [TCDeals - User Defined Field Values (Seq: 1)] Scoring - Percentage of Total Units 50% CMI - Send]&gt;</t>
        </r>
      </text>
    </comment>
    <comment ref="F387" authorId="0" shapeId="0" xr:uid="{E14D0DA3-D4C0-4FB8-A772-1C805F196B1F}">
      <text>
        <r>
          <rPr>
            <b/>
            <sz val="9"/>
            <color indexed="81"/>
            <rFont val="Tahoma"/>
            <family val="2"/>
          </rPr>
          <t xml:space="preserve"> &lt;[[TCDeals] - [TCDeals - User Defined Field Values (Seq: 1)] Scoring - Total Points 50% CMI - Send]&gt;</t>
        </r>
      </text>
    </comment>
    <comment ref="F388" authorId="0" shapeId="0" xr:uid="{D4B88ABD-B3E7-4A43-A379-2A8E5AE66B6F}">
      <text>
        <r>
          <rPr>
            <b/>
            <sz val="9"/>
            <color indexed="81"/>
            <rFont val="Tahoma"/>
            <family val="2"/>
          </rPr>
          <t xml:space="preserve"> &lt;[[TCDeals] - [TCDeals - User Defined Field Values (Seq: 1)] Scoring - Number of Units 40% CMI - Send]&gt;</t>
        </r>
      </text>
    </comment>
    <comment ref="F389" authorId="0" shapeId="0" xr:uid="{CC44B277-DEA5-4B36-8D37-71EBDEC1A093}">
      <text>
        <r>
          <rPr>
            <b/>
            <sz val="9"/>
            <color indexed="81"/>
            <rFont val="Tahoma"/>
            <family val="2"/>
          </rPr>
          <t xml:space="preserve"> &lt;[[TCDeals] - [TCDeals - User Defined Field Values (Seq: 1)] Scoring - Percentage of Total Units 40% CMI - Send]&gt;</t>
        </r>
      </text>
    </comment>
    <comment ref="F390" authorId="0" shapeId="0" xr:uid="{55F4728A-4515-4F1E-8C45-2C01A0BB821F}">
      <text>
        <r>
          <rPr>
            <b/>
            <sz val="9"/>
            <color indexed="81"/>
            <rFont val="Tahoma"/>
            <family val="2"/>
          </rPr>
          <t xml:space="preserve"> &lt;[[TCDeals] - [TCDeals - User Defined Field Values (Seq: 1)] Scoring - Total Points 40% CMI - Send]&gt;</t>
        </r>
      </text>
    </comment>
    <comment ref="F391" authorId="0" shapeId="0" xr:uid="{10799D25-480F-4DA1-9FB4-88F0F06A76FF}">
      <text>
        <r>
          <rPr>
            <b/>
            <sz val="9"/>
            <color indexed="81"/>
            <rFont val="Tahoma"/>
            <family val="2"/>
          </rPr>
          <t xml:space="preserve"> &lt;[[TCDeals] - [TCDeals - User Defined Field Values (Seq: 1)] Scoring - Number of Units 30% CMI or Lower - Send]&gt;</t>
        </r>
      </text>
    </comment>
    <comment ref="F392" authorId="0" shapeId="0" xr:uid="{43B6F2FD-A0C3-4245-A9D1-D826D067575E}">
      <text>
        <r>
          <rPr>
            <b/>
            <sz val="9"/>
            <color indexed="81"/>
            <rFont val="Tahoma"/>
            <family val="2"/>
          </rPr>
          <t xml:space="preserve"> &lt;[[TCDeals] - [TCDeals - User Defined Field Values (Seq: 1)] Scoring - Percentage of Total Units 30% CMI or Lower - Send]&gt;</t>
        </r>
      </text>
    </comment>
    <comment ref="F393" authorId="0" shapeId="0" xr:uid="{2A4801BC-BAD2-44A7-99F5-0E2E4E382BAD}">
      <text>
        <r>
          <rPr>
            <b/>
            <sz val="9"/>
            <color indexed="81"/>
            <rFont val="Tahoma"/>
            <family val="2"/>
          </rPr>
          <t xml:space="preserve"> &lt;[[TCDeals] - [TCDeals - User Defined Field Values (Seq: 1)] Scoring - Total Points 30% CMI or Lower - Send]&gt;</t>
        </r>
      </text>
    </comment>
    <comment ref="F394" authorId="0" shapeId="0" xr:uid="{CE6FF239-F4C7-46C8-9E1A-666A690750A6}">
      <text>
        <r>
          <rPr>
            <b/>
            <sz val="9"/>
            <color indexed="81"/>
            <rFont val="Tahoma"/>
            <family val="2"/>
          </rPr>
          <t xml:space="preserve"> &lt;[[TCDeals] - [TCDeals - User Defined Field Values (Seq: 1)] Scoring - Total Applicant Score - Serves Lowest Income - Send]&gt;</t>
        </r>
      </text>
    </comment>
    <comment ref="F395" authorId="0" shapeId="0" xr:uid="{800EA16D-6390-47E0-8E41-3E80A50E727E}">
      <text>
        <r>
          <rPr>
            <b/>
            <sz val="9"/>
            <color indexed="81"/>
            <rFont val="Tahoma"/>
            <family val="2"/>
          </rPr>
          <t xml:space="preserve"> &lt;[[TCDeals] - [TCDeals - User Defined Field Values (Seq: 1)] Scoring - WHEDA Score - Serves Lowest Income - Send]&gt;</t>
        </r>
      </text>
    </comment>
    <comment ref="F396" authorId="0" shapeId="0" xr:uid="{87334F70-D5D4-4F08-8135-62F181529765}">
      <text>
        <r>
          <rPr>
            <b/>
            <sz val="9"/>
            <color indexed="81"/>
            <rFont val="Tahoma"/>
            <family val="2"/>
          </rPr>
          <t xml:space="preserve"> &lt;[[TCDeals] - [TCDeals - User Defined Field Values (Seq: 1)] Scoring - Underwriter Notes - Serves Lowest Income - Send]&gt;</t>
        </r>
      </text>
    </comment>
    <comment ref="F397" authorId="0" shapeId="0" xr:uid="{2A9CC942-7600-4CAC-B0B0-84FB92F35194}">
      <text>
        <r>
          <rPr>
            <b/>
            <sz val="9"/>
            <color indexed="81"/>
            <rFont val="Tahoma"/>
            <family val="2"/>
          </rPr>
          <t xml:space="preserve"> &lt;[[TCDeals] - [TCDeals - User Defined Field Values (Seq: 1)] Scoring - Applicant Notes - Lowest Income Residents - Send]&gt;</t>
        </r>
      </text>
    </comment>
    <comment ref="F398" authorId="0" shapeId="0" xr:uid="{E8AD4CDD-1494-4EF2-BE73-07652C983382}">
      <text>
        <r>
          <rPr>
            <b/>
            <sz val="9"/>
            <color indexed="81"/>
            <rFont val="Tahoma"/>
            <family val="2"/>
          </rPr>
          <t xml:space="preserve"> &lt;[[TCDeals] - [TCDeals - User Defined Field Values (Seq: 1)] Scoring - Peer Review Comments - Lowest Income Residents - Send]&gt;</t>
        </r>
      </text>
    </comment>
    <comment ref="F401" authorId="0" shapeId="0" xr:uid="{1238DF26-9F5F-4D7D-B8E8-F185C73667D9}">
      <text>
        <r>
          <rPr>
            <b/>
            <sz val="9"/>
            <color indexed="81"/>
            <rFont val="Tahoma"/>
            <family val="2"/>
          </rPr>
          <t xml:space="preserve"> &lt;[[TCDeals] - [TCDeals - User Defined Field Values (Seq: 1)] Multi Family Application - Supportive Housing Set Aside Units - Send]&gt;</t>
        </r>
      </text>
    </comment>
    <comment ref="F402" authorId="0" shapeId="0" xr:uid="{0F9ADFBE-82A9-45EA-894F-E7E9B8AE5D32}">
      <text>
        <r>
          <rPr>
            <b/>
            <sz val="9"/>
            <color indexed="81"/>
            <rFont val="Tahoma"/>
            <family val="2"/>
          </rPr>
          <t xml:space="preserve"> &lt;[[TCDeals] - [TCDeals - User Defined Field Values (Seq: 1)] Scoring - Is Claim Points Y/N - Supportive Housing - Send]&gt;</t>
        </r>
      </text>
    </comment>
    <comment ref="F403" authorId="0" shapeId="0" xr:uid="{895FF59A-6CEC-4073-BEC6-A390FBA026A4}">
      <text>
        <r>
          <rPr>
            <b/>
            <sz val="9"/>
            <color indexed="81"/>
            <rFont val="Tahoma"/>
            <family val="2"/>
          </rPr>
          <t xml:space="preserve"> &lt;[[TCDeals] - [TCDeals - User Defined Field Values (Seq: 1)] Scoring - Number of Supportive Units - Send]&gt;</t>
        </r>
      </text>
    </comment>
    <comment ref="F404" authorId="0" shapeId="0" xr:uid="{191653C9-C54B-42DC-97FB-0043CA8B5747}">
      <text>
        <r>
          <rPr>
            <b/>
            <sz val="9"/>
            <color indexed="81"/>
            <rFont val="Tahoma"/>
            <family val="2"/>
          </rPr>
          <t xml:space="preserve"> &lt;[[TCDeals] - [TCDeals - User Defined Field Values (Seq: 1)] Scoring - Total Supportive Units - Send]&gt;</t>
        </r>
      </text>
    </comment>
    <comment ref="F405" authorId="0" shapeId="0" xr:uid="{DFB12012-27F1-41D7-855E-D0E0618089CD}">
      <text>
        <r>
          <rPr>
            <b/>
            <sz val="9"/>
            <color indexed="81"/>
            <rFont val="Tahoma"/>
            <family val="2"/>
          </rPr>
          <t xml:space="preserve"> &lt;[[TCDeals] - [TCDeals - User Defined Field Values (Seq: 1)] Scoring - Percentage of Supportive Housing - Send]&gt;</t>
        </r>
      </text>
    </comment>
    <comment ref="F406" authorId="0" shapeId="0" xr:uid="{62060D20-4EAA-4984-8280-10C9FCF505C0}">
      <text>
        <r>
          <rPr>
            <b/>
            <sz val="9"/>
            <color indexed="81"/>
            <rFont val="Tahoma"/>
            <family val="2"/>
          </rPr>
          <t xml:space="preserve"> &lt;[[TCDeals] - [TCDeals - User Defined Field Values (Seq: 1)] Scoring - Supportive Housing Points - Send]&gt;</t>
        </r>
      </text>
    </comment>
    <comment ref="F407" authorId="0" shapeId="0" xr:uid="{F341D072-A6D3-4C6E-BAF2-FF36D1ACC3DF}">
      <text>
        <r>
          <rPr>
            <b/>
            <sz val="9"/>
            <color indexed="81"/>
            <rFont val="Tahoma"/>
            <family val="2"/>
          </rPr>
          <t xml:space="preserve"> &lt;[[TCDeals] - [TCDeals - User Defined Field Values (Seq: 1)] Scoring - Total Applicant Score - Supportive Housing - Send]&gt;</t>
        </r>
      </text>
    </comment>
    <comment ref="F408" authorId="0" shapeId="0" xr:uid="{C0232A43-43F2-4EFD-896B-B4112B4FF10D}">
      <text>
        <r>
          <rPr>
            <b/>
            <sz val="9"/>
            <color indexed="81"/>
            <rFont val="Tahoma"/>
            <family val="2"/>
          </rPr>
          <t xml:space="preserve"> &lt;[[TCDeals] - [TCDeals - User Defined Field Values (Seq: 1)] Scoring - WHEDA Score - Supportive Housing - Send]&gt;</t>
        </r>
      </text>
    </comment>
    <comment ref="F409" authorId="0" shapeId="0" xr:uid="{44BA091E-665C-4E54-A998-626E9EFB29E4}">
      <text>
        <r>
          <rPr>
            <b/>
            <sz val="9"/>
            <color indexed="81"/>
            <rFont val="Tahoma"/>
            <family val="2"/>
          </rPr>
          <t xml:space="preserve"> &lt;[[TCDeals] - [TCDeals - User Defined Field Values (Seq: 1)] Scoring - Underwriter Notes - Supportive Housing - Send]&gt;</t>
        </r>
      </text>
    </comment>
    <comment ref="F410" authorId="0" shapeId="0" xr:uid="{BCA15FD0-69CA-47C1-85F8-0BC288FAC0C1}">
      <text>
        <r>
          <rPr>
            <b/>
            <sz val="9"/>
            <color indexed="81"/>
            <rFont val="Tahoma"/>
            <family val="2"/>
          </rPr>
          <t xml:space="preserve"> &lt;[[TCDeals] - [TCDeals - User Defined Field Values (Seq: 1)] Scoring - Applicant Notes - Supportive Housing - Send]&gt;</t>
        </r>
      </text>
    </comment>
    <comment ref="F411" authorId="0" shapeId="0" xr:uid="{15CE6AF4-1C3E-431A-A6A9-05F127B079DE}">
      <text>
        <r>
          <rPr>
            <b/>
            <sz val="9"/>
            <color indexed="81"/>
            <rFont val="Tahoma"/>
            <family val="2"/>
          </rPr>
          <t xml:space="preserve"> &lt;[[TCDeals] - [TCDeals - User Defined Field Values (Seq: 1)] Scoring - Peer Review Comments - Supportive Housing - Send]&gt;</t>
        </r>
      </text>
    </comment>
    <comment ref="F414" authorId="0" shapeId="0" xr:uid="{631BB696-3928-4099-8B8B-8524AD6DD7EF}">
      <text>
        <r>
          <rPr>
            <b/>
            <sz val="9"/>
            <color indexed="81"/>
            <rFont val="Tahoma"/>
            <family val="2"/>
          </rPr>
          <t xml:space="preserve"> &lt;[[TCDeals] - [TCDeals - User Defined Field Values (Seq: 1)] Multi Family Application - Veterans Set Aside Units - Send]&gt;</t>
        </r>
      </text>
    </comment>
    <comment ref="F415" authorId="0" shapeId="0" xr:uid="{01838579-C08C-4A4C-8957-E4EF4B32FC2F}">
      <text>
        <r>
          <rPr>
            <b/>
            <sz val="9"/>
            <color indexed="81"/>
            <rFont val="Tahoma"/>
            <family val="2"/>
          </rPr>
          <t xml:space="preserve"> &lt;[[TCDeals] - [TCDeals - User Defined Field Values (Seq: 1)] Scoring - Is Claim Points Y/N - Veterans Housing - Send]&gt;</t>
        </r>
      </text>
    </comment>
    <comment ref="F416" authorId="0" shapeId="0" xr:uid="{345941AE-E423-44DB-9912-EA90EEA017E0}">
      <text>
        <r>
          <rPr>
            <b/>
            <sz val="9"/>
            <color indexed="81"/>
            <rFont val="Tahoma"/>
            <family val="2"/>
          </rPr>
          <t xml:space="preserve"> &lt;[[TCDeals] - [TCDeals - User Defined Field Values (Seq: 1)] Scoring - Veteran's Units - Send]&gt;</t>
        </r>
      </text>
    </comment>
    <comment ref="F417" authorId="0" shapeId="0" xr:uid="{585F9931-7AF6-4486-8E7F-186B5B35A62C}">
      <text>
        <r>
          <rPr>
            <b/>
            <sz val="9"/>
            <color indexed="81"/>
            <rFont val="Tahoma"/>
            <family val="2"/>
          </rPr>
          <t xml:space="preserve"> &lt;[[TCDeals] - [TCDeals - User Defined Field Values (Seq: 1)] Scoring - Total Units - Send]&gt;</t>
        </r>
      </text>
    </comment>
    <comment ref="F418" authorId="0" shapeId="0" xr:uid="{BE3836CF-38E3-4B5B-85DC-6F1872591462}">
      <text>
        <r>
          <rPr>
            <b/>
            <sz val="9"/>
            <color indexed="81"/>
            <rFont val="Tahoma"/>
            <family val="2"/>
          </rPr>
          <t xml:space="preserve"> &lt;[[TCDeals] - [TCDeals - User Defined Field Values (Seq: 1)] Scoring - Percentage of Units - Send]&gt;</t>
        </r>
      </text>
    </comment>
    <comment ref="F419" authorId="0" shapeId="0" xr:uid="{D5DFFC3F-6EE0-4557-878B-350DE0E9829D}">
      <text>
        <r>
          <rPr>
            <b/>
            <sz val="9"/>
            <color indexed="81"/>
            <rFont val="Tahoma"/>
            <family val="2"/>
          </rPr>
          <t xml:space="preserve"> &lt;[[TCDeals] - [TCDeals - User Defined Field Values (Seq: 1)] Scoring - Total Applicant Score - Veterans Housing - Send]&gt;</t>
        </r>
      </text>
    </comment>
    <comment ref="F420" authorId="0" shapeId="0" xr:uid="{D87BDF98-53E5-4E24-94D3-5FFB831013F5}">
      <text>
        <r>
          <rPr>
            <b/>
            <sz val="9"/>
            <color indexed="81"/>
            <rFont val="Tahoma"/>
            <family val="2"/>
          </rPr>
          <t xml:space="preserve"> &lt;[[TCDeals] - [TCDeals - User Defined Field Values (Seq: 1)] Scoring - WHEDA Score - Veterans Housing - Send]&gt;</t>
        </r>
      </text>
    </comment>
    <comment ref="F421" authorId="0" shapeId="0" xr:uid="{FFBC8D81-2498-41E7-BD97-8EB8B408CA9C}">
      <text>
        <r>
          <rPr>
            <b/>
            <sz val="9"/>
            <color indexed="81"/>
            <rFont val="Tahoma"/>
            <family val="2"/>
          </rPr>
          <t xml:space="preserve"> &lt;[[TCDeals] - [TCDeals - User Defined Field Values (Seq: 1)] Scoring - Underwriter Notes - Veterans Housing - Send]&gt;</t>
        </r>
      </text>
    </comment>
    <comment ref="F422" authorId="0" shapeId="0" xr:uid="{D12B8E70-40A8-4042-A45E-D667B50A8ED9}">
      <text>
        <r>
          <rPr>
            <b/>
            <sz val="9"/>
            <color indexed="81"/>
            <rFont val="Tahoma"/>
            <family val="2"/>
          </rPr>
          <t xml:space="preserve"> &lt;[[TCDeals] - [TCDeals - User Defined Field Values (Seq: 1)] Scoring - Applicant Notes - Veteran's Housing - Send]&gt;</t>
        </r>
      </text>
    </comment>
    <comment ref="F423" authorId="0" shapeId="0" xr:uid="{DC346684-29EB-4CBC-9574-D25C0F100DCC}">
      <text>
        <r>
          <rPr>
            <b/>
            <sz val="9"/>
            <color indexed="81"/>
            <rFont val="Tahoma"/>
            <family val="2"/>
          </rPr>
          <t xml:space="preserve"> &lt;[[TCDeals] - [TCDeals - User Defined Field Values (Seq: 1)] Scoring - Peer Review Comments - Veteran's Housing - Send]&gt;</t>
        </r>
      </text>
    </comment>
    <comment ref="F426" authorId="0" shapeId="0" xr:uid="{AA660315-850E-4A86-9D54-6BE28587DA21}">
      <text>
        <r>
          <rPr>
            <b/>
            <sz val="9"/>
            <color indexed="81"/>
            <rFont val="Tahoma"/>
            <family val="2"/>
          </rPr>
          <t xml:space="preserve"> &lt;[[TCDeals] - [TCDeals - User Defined Field Values (Seq: 1)] Scoring - Is Claim Points Y/N - Rehab Neighborhood Stabilization - Send]&gt;</t>
        </r>
      </text>
    </comment>
    <comment ref="F427" authorId="0" shapeId="0" xr:uid="{F29958DB-18D8-433D-95A7-A9DE24F3BC73}">
      <text>
        <r>
          <rPr>
            <b/>
            <sz val="9"/>
            <color indexed="81"/>
            <rFont val="Tahoma"/>
            <family val="2"/>
          </rPr>
          <t xml:space="preserve"> &lt;[[TCDeals] - [TCDeals - User Defined Field Values (Seq: 1)] Scoring - Total Applicant Score - Rehab Neighborhood Stabilization - Send]&gt;</t>
        </r>
      </text>
    </comment>
    <comment ref="F428" authorId="0" shapeId="0" xr:uid="{D6CA97D2-4F7A-4284-8612-2E85DDF1B019}">
      <text>
        <r>
          <rPr>
            <b/>
            <sz val="9"/>
            <color indexed="81"/>
            <rFont val="Tahoma"/>
            <family val="2"/>
          </rPr>
          <t xml:space="preserve"> &lt;[[TCDeals] - [TCDeals - User Defined Field Values (Seq: 1)] Scoring - WHEDA Score - Rehab Neighborhood Stabilization - Send]&gt;</t>
        </r>
      </text>
    </comment>
    <comment ref="F429" authorId="0" shapeId="0" xr:uid="{E2FD0033-EBAD-4E67-B853-D5158A113F59}">
      <text>
        <r>
          <rPr>
            <b/>
            <sz val="9"/>
            <color indexed="81"/>
            <rFont val="Tahoma"/>
            <family val="2"/>
          </rPr>
          <t xml:space="preserve"> &lt;[[TCDeals] - [TCDeals - User Defined Field Values (Seq: 1)] Scoring - Underwriter Notes - Rehab Neighborhood Stabilization - Send]&gt;</t>
        </r>
      </text>
    </comment>
    <comment ref="F430" authorId="0" shapeId="0" xr:uid="{691E0174-E110-4767-8195-72614BEB8FF9}">
      <text>
        <r>
          <rPr>
            <b/>
            <sz val="9"/>
            <color indexed="81"/>
            <rFont val="Tahoma"/>
            <family val="2"/>
          </rPr>
          <t xml:space="preserve"> &lt;[[TCDeals] - [TCDeals - User Defined Field Values (Seq: 1)] Scoring - Applicant Notes - Rehabilitation and Neighborhood Stablization - Send]&gt;</t>
        </r>
      </text>
    </comment>
    <comment ref="F431" authorId="0" shapeId="0" xr:uid="{6F91D765-A3F9-476E-ABFC-FB4FFF25F713}">
      <text>
        <r>
          <rPr>
            <b/>
            <sz val="9"/>
            <color indexed="81"/>
            <rFont val="Tahoma"/>
            <family val="2"/>
          </rPr>
          <t xml:space="preserve"> &lt;[[TCDeals] - [TCDeals - User Defined Field Values (Seq: 1)] Scoring - Peer Review Comments - Rehabilitation and Neighborhood Stabilization - Send]&gt;</t>
        </r>
      </text>
    </comment>
    <comment ref="F434" authorId="0" shapeId="0" xr:uid="{A17F990D-AF26-49F0-9557-D74CFB3484AD}">
      <text>
        <r>
          <rPr>
            <b/>
            <sz val="9"/>
            <color indexed="81"/>
            <rFont val="Tahoma"/>
            <family val="2"/>
          </rPr>
          <t xml:space="preserve"> &lt;[[TCDeals] - [TCDeals - User Defined Field Values (Seq: 1)] Scoring - Is Claim Points Y/N - Universal Design - Send]&gt;</t>
        </r>
      </text>
    </comment>
    <comment ref="F435" authorId="0" shapeId="0" xr:uid="{5BDE792E-836E-4B6D-B2D9-9B1FD88233BB}">
      <text>
        <r>
          <rPr>
            <b/>
            <sz val="9"/>
            <color indexed="81"/>
            <rFont val="Tahoma"/>
            <family val="2"/>
          </rPr>
          <t xml:space="preserve"> &lt;[[TCDeals] - [TCDeals - User Defined Field Values (Seq: 1)] Scoring - Sum of Items Checked - Universal Design - Send]&gt;</t>
        </r>
      </text>
    </comment>
    <comment ref="F436" authorId="0" shapeId="0" xr:uid="{116B5102-3E89-41B1-84F9-C8C85DF08C4C}">
      <text>
        <r>
          <rPr>
            <b/>
            <sz val="9"/>
            <color indexed="81"/>
            <rFont val="Tahoma"/>
            <family val="2"/>
          </rPr>
          <t xml:space="preserve"> &lt;[[TCDeals] - [TCDeals - User Defined Field Values (Seq: 1)] Scoring - Total Applicant Score - Universal Design - Send]&gt;</t>
        </r>
      </text>
    </comment>
    <comment ref="F437" authorId="0" shapeId="0" xr:uid="{B89CB3F8-45FD-4E8E-AE6D-C65108C82F56}">
      <text>
        <r>
          <rPr>
            <b/>
            <sz val="9"/>
            <color indexed="81"/>
            <rFont val="Tahoma"/>
            <family val="2"/>
          </rPr>
          <t xml:space="preserve"> &lt;[[TCDeals] - [TCDeals - User Defined Field Values (Seq: 1)] Scoring - WHEDA Score - Universal Design - Send]&gt;</t>
        </r>
      </text>
    </comment>
    <comment ref="F438" authorId="0" shapeId="0" xr:uid="{799944D4-2730-4FA7-8C0A-9E420747B9B6}">
      <text>
        <r>
          <rPr>
            <b/>
            <sz val="9"/>
            <color indexed="81"/>
            <rFont val="Tahoma"/>
            <family val="2"/>
          </rPr>
          <t xml:space="preserve"> &lt;[[TCDeals] - [TCDeals - User Defined Field Values (Seq: 1)] Scoring - Applicant Notes - Universal Design - Send]&gt;</t>
        </r>
      </text>
    </comment>
    <comment ref="F439" authorId="0" shapeId="0" xr:uid="{9B9AB205-65F6-4C43-B8B8-DE7C1F517953}">
      <text>
        <r>
          <rPr>
            <b/>
            <sz val="9"/>
            <color indexed="81"/>
            <rFont val="Tahoma"/>
            <family val="2"/>
          </rPr>
          <t xml:space="preserve"> &lt;[[TCDeals] - [TCDeals - User Defined Field Values (Seq: 1)] Scoring - Peer Review Comments - Universal Design - Send]&gt;</t>
        </r>
      </text>
    </comment>
    <comment ref="F440" authorId="0" shapeId="0" xr:uid="{D6399812-D143-4D21-B815-6EE4BC8C1781}">
      <text>
        <r>
          <rPr>
            <b/>
            <sz val="9"/>
            <color indexed="81"/>
            <rFont val="Tahoma"/>
            <family val="2"/>
          </rPr>
          <t xml:space="preserve"> &lt;[[TCDeals] - [TCDeals - User Defined Field Values (Seq: 1)] Scoring - Underwriter Notes - Universal Design - Send]&gt;</t>
        </r>
      </text>
    </comment>
    <comment ref="F441" authorId="0" shapeId="0" xr:uid="{68AA878A-9ABB-4372-94C8-65E0099AC39B}">
      <text>
        <r>
          <rPr>
            <b/>
            <sz val="9"/>
            <color indexed="81"/>
            <rFont val="Tahoma"/>
            <family val="2"/>
          </rPr>
          <t xml:space="preserve"> &lt;[[TCDeals] - [TCDeals - User Defined Field Values (Seq: 1)] Scoring - Is Handrails in Hallways (Sections 505.4 through 505.9) - Y/N - Send]&gt;</t>
        </r>
      </text>
    </comment>
    <comment ref="F442" authorId="0" shapeId="0" xr:uid="{2BBEE4FA-4A62-4F59-BE27-B2D1297149AF}">
      <text>
        <r>
          <rPr>
            <b/>
            <sz val="9"/>
            <color indexed="81"/>
            <rFont val="Tahoma"/>
            <family val="2"/>
          </rPr>
          <t xml:space="preserve"> &lt;[[TCDeals] - [TCDeals - User Defined Field Values (Seq: 1)] Scoring - Handrails - Points - Send]&gt;</t>
        </r>
      </text>
    </comment>
    <comment ref="F443" authorId="0" shapeId="0" xr:uid="{59D9FB92-E1EC-439F-BC9F-4A807C5F1D67}">
      <text>
        <r>
          <rPr>
            <b/>
            <sz val="9"/>
            <color indexed="81"/>
            <rFont val="Tahoma"/>
            <family val="2"/>
          </rPr>
          <t xml:space="preserve"> &lt;[[TCDeals] - [TCDeals - User Defined Field Values (Seq: 1)] Scoring - Is Automatic Door Openers at Main Entrances (Section 404.3) - Y/N - Send]&gt;</t>
        </r>
      </text>
    </comment>
    <comment ref="F444" authorId="0" shapeId="0" xr:uid="{FAA19302-2DCD-4022-8E53-5BEB08FB84FC}">
      <text>
        <r>
          <rPr>
            <b/>
            <sz val="9"/>
            <color indexed="81"/>
            <rFont val="Tahoma"/>
            <family val="2"/>
          </rPr>
          <t xml:space="preserve"> &lt;[[TCDeals] - [TCDeals - User Defined Field Values (Seq: 1)] Scoring - Automatic Door Openers - Points - Send]&gt;</t>
        </r>
      </text>
    </comment>
    <comment ref="F445" authorId="0" shapeId="0" xr:uid="{B92DCC8D-34A4-40A7-B9CE-230281C75576}">
      <text>
        <r>
          <rPr>
            <b/>
            <sz val="9"/>
            <color indexed="81"/>
            <rFont val="Tahoma"/>
            <family val="2"/>
          </rPr>
          <t xml:space="preserve"> &lt;[[TCDeals] - [TCDeals - User Defined Field Values (Seq: 1)] Scoring - Is Accessible Signage - Y/N - Send]&gt;</t>
        </r>
      </text>
    </comment>
    <comment ref="F446" authorId="0" shapeId="0" xr:uid="{E339E38A-9543-49CB-B127-3BBA80516C54}">
      <text>
        <r>
          <rPr>
            <b/>
            <sz val="9"/>
            <color indexed="81"/>
            <rFont val="Tahoma"/>
            <family val="2"/>
          </rPr>
          <t xml:space="preserve"> &lt;[[TCDeals] - [TCDeals - User Defined Field Values (Seq: 1)] Scoring - Accessible Signage - Points - Send]&gt;</t>
        </r>
      </text>
    </comment>
    <comment ref="F447" authorId="0" shapeId="0" xr:uid="{1CA2F986-0652-4282-8975-404681A912FC}">
      <text>
        <r>
          <rPr>
            <b/>
            <sz val="9"/>
            <color indexed="81"/>
            <rFont val="Tahoma"/>
            <family val="2"/>
          </rPr>
          <t xml:space="preserve"> &lt;[[TCDeals] - [TCDeals - User Defined Field Values (Seq: 1)] Scoring - Is Accessible Public Bathroom Adjacent (Section 603) - Y/N - Send]&gt;</t>
        </r>
      </text>
    </comment>
    <comment ref="F448" authorId="0" shapeId="0" xr:uid="{E6870F68-CFFA-4810-87F1-E28830E64A95}">
      <text>
        <r>
          <rPr>
            <b/>
            <sz val="9"/>
            <color indexed="81"/>
            <rFont val="Tahoma"/>
            <family val="2"/>
          </rPr>
          <t xml:space="preserve"> &lt;[[TCDeals] - [TCDeals - User Defined Field Values (Seq: 1)] Scoring - Accessible Public Bathroom - Points - Send]&gt;</t>
        </r>
      </text>
    </comment>
    <comment ref="F449" authorId="0" shapeId="0" xr:uid="{82BEFF45-C13E-444F-B16E-F164332F3D66}">
      <text>
        <r>
          <rPr>
            <b/>
            <sz val="9"/>
            <color indexed="81"/>
            <rFont val="Tahoma"/>
            <family val="2"/>
          </rPr>
          <t xml:space="preserve"> &lt;[[TCDeals] - [TCDeals - User Defined Field Values (Seq: 1)] Scoring - Is Accessible Kitchen and Bathroom (Sections 304, 603.2.3, 1103.12.4) - Y/N - Send]&gt;</t>
        </r>
      </text>
    </comment>
    <comment ref="F450" authorId="0" shapeId="0" xr:uid="{B54C0668-C3A1-4E91-868E-8BBA64706111}">
      <text>
        <r>
          <rPr>
            <b/>
            <sz val="9"/>
            <color indexed="81"/>
            <rFont val="Tahoma"/>
            <family val="2"/>
          </rPr>
          <t xml:space="preserve"> &lt;[[TCDeals] - [TCDeals - User Defined Field Values (Seq: 1)] Scoring - Accessible Kitchen and Bathroom - Points - Send]&gt;</t>
        </r>
      </text>
    </comment>
    <comment ref="F451" authorId="0" shapeId="0" xr:uid="{571214A4-7748-4DBD-B22A-BB70C118AAB0}">
      <text>
        <r>
          <rPr>
            <b/>
            <sz val="9"/>
            <color indexed="81"/>
            <rFont val="Tahoma"/>
            <family val="2"/>
          </rPr>
          <t xml:space="preserve"> &lt;[[TCDeals] - [TCDeals - User Defined Field Values (Seq: 1)] Scoring - Is Roll-In Shower (Section 608.2.2) - Y/N - Send]&gt;</t>
        </r>
      </text>
    </comment>
    <comment ref="F452" authorId="0" shapeId="0" xr:uid="{F5A00C15-10A7-47D6-9C79-3DB2DC8A0C0D}">
      <text>
        <r>
          <rPr>
            <b/>
            <sz val="9"/>
            <color indexed="81"/>
            <rFont val="Tahoma"/>
            <family val="2"/>
          </rPr>
          <t xml:space="preserve"> &lt;[[TCDeals] - [TCDeals - User Defined Field Values (Seq: 1)] Scoring - Roll-In Shower - Points - Send]&gt;</t>
        </r>
      </text>
    </comment>
    <comment ref="F453" authorId="0" shapeId="0" xr:uid="{E9FFE298-A670-4AF3-A6D5-ADC9F0B01550}">
      <text>
        <r>
          <rPr>
            <b/>
            <sz val="9"/>
            <color indexed="81"/>
            <rFont val="Tahoma"/>
            <family val="2"/>
          </rPr>
          <t xml:space="preserve"> &lt;[[TCDeals] - [TCDeals - User Defined Field Values (Seq: 1)] Scoring - Is Closet Door Clearance - Y/N - Send]&gt;</t>
        </r>
      </text>
    </comment>
    <comment ref="F454" authorId="0" shapeId="0" xr:uid="{91B85336-BB1B-4826-909F-A2AC56C61C28}">
      <text>
        <r>
          <rPr>
            <b/>
            <sz val="9"/>
            <color indexed="81"/>
            <rFont val="Tahoma"/>
            <family val="2"/>
          </rPr>
          <t xml:space="preserve"> &lt;[[TCDeals] - [TCDeals - User Defined Field Values (Seq: 1)] Scoring - Closet Door Clearance - Points - Send]&gt;</t>
        </r>
      </text>
    </comment>
    <comment ref="F455" authorId="0" shapeId="0" xr:uid="{FF521966-E741-48B9-96BB-49F478C2DE07}">
      <text>
        <r>
          <rPr>
            <b/>
            <sz val="9"/>
            <color indexed="81"/>
            <rFont val="Tahoma"/>
            <family val="2"/>
          </rPr>
          <t xml:space="preserve"> &lt;[[TCDeals] - [TCDeals - User Defined Field Values (Seq: 1)] Scoring - Is Mirror Height - Y/N - Send]&gt;</t>
        </r>
      </text>
    </comment>
    <comment ref="F456" authorId="0" shapeId="0" xr:uid="{E79C78BD-AE1E-4D9B-95B4-CB12304383C9}">
      <text>
        <r>
          <rPr>
            <b/>
            <sz val="9"/>
            <color indexed="81"/>
            <rFont val="Tahoma"/>
            <family val="2"/>
          </rPr>
          <t xml:space="preserve"> &lt;[[TCDeals] - [TCDeals - User Defined Field Values (Seq: 1)] Scoring - Mirror Height - Points - Send]&gt;</t>
        </r>
      </text>
    </comment>
    <comment ref="F457" authorId="0" shapeId="0" xr:uid="{D0C9EB7C-3AA3-4D6C-95B8-DA989439B32C}">
      <text>
        <r>
          <rPr>
            <b/>
            <sz val="9"/>
            <color indexed="81"/>
            <rFont val="Tahoma"/>
            <family val="2"/>
          </rPr>
          <t xml:space="preserve"> &lt;[[TCDeals] - [TCDeals - User Defined Field Values (Seq: 1)] Scoring - Is Interior Door Passage (Section 1103.5 and 404) - Y/N - Send]&gt;</t>
        </r>
      </text>
    </comment>
    <comment ref="F458" authorId="0" shapeId="0" xr:uid="{8A06DE90-E0C1-435F-B775-49B16246AE95}">
      <text>
        <r>
          <rPr>
            <b/>
            <sz val="9"/>
            <color indexed="81"/>
            <rFont val="Tahoma"/>
            <family val="2"/>
          </rPr>
          <t xml:space="preserve"> &lt;[[TCDeals] - [TCDeals - User Defined Field Values (Seq: 1)] Scoring - Interior Door Passage - Points - Send]&gt;</t>
        </r>
      </text>
    </comment>
    <comment ref="F459" authorId="0" shapeId="0" xr:uid="{020E89EA-558C-4C0B-8890-63F3935550DD}">
      <text>
        <r>
          <rPr>
            <b/>
            <sz val="9"/>
            <color indexed="81"/>
            <rFont val="Tahoma"/>
            <family val="2"/>
          </rPr>
          <t xml:space="preserve"> &lt;[[TCDeals] - [TCDeals - User Defined Field Values (Seq: 1)] Scoring - Is Kitchen Counter Electrical Appliances (Sections 308 and 309) - Y/N - Send]&gt;</t>
        </r>
      </text>
    </comment>
    <comment ref="F460" authorId="0" shapeId="0" xr:uid="{74FFFE59-2EA4-4FC7-86AE-169901A97CA5}">
      <text>
        <r>
          <rPr>
            <b/>
            <sz val="9"/>
            <color indexed="81"/>
            <rFont val="Tahoma"/>
            <family val="2"/>
          </rPr>
          <t xml:space="preserve"> &lt;[[TCDeals] - [TCDeals - User Defined Field Values (Seq: 1)] Scoring - Kitchen Counter Electrical Appliances - Points - Send]&gt;</t>
        </r>
      </text>
    </comment>
    <comment ref="F461" authorId="0" shapeId="0" xr:uid="{92DD2E89-3EC4-46C7-BC2D-9509C1F53CC2}">
      <text>
        <r>
          <rPr>
            <b/>
            <sz val="9"/>
            <color indexed="81"/>
            <rFont val="Tahoma"/>
            <family val="2"/>
          </rPr>
          <t xml:space="preserve"> &lt;[[TCDeals] - [TCDeals - User Defined Field Values (Seq: 1)] Scoring - Is Accessible Kitchen Work Surface (Sections 308 and 309) - Y/N - Send]&gt;</t>
        </r>
      </text>
    </comment>
    <comment ref="F462" authorId="0" shapeId="0" xr:uid="{785B6D7C-F7F1-4423-A990-C5544F8BBD6A}">
      <text>
        <r>
          <rPr>
            <b/>
            <sz val="9"/>
            <color indexed="81"/>
            <rFont val="Tahoma"/>
            <family val="2"/>
          </rPr>
          <t xml:space="preserve"> &lt;[[TCDeals] - [TCDeals - User Defined Field Values (Seq: 1)] Scoring - Accessible Kitchen Work Surface - Points - Send]&gt;</t>
        </r>
      </text>
    </comment>
    <comment ref="F463" authorId="0" shapeId="0" xr:uid="{A58D3AAD-BD68-4D47-A184-88DDA5F89331}">
      <text>
        <r>
          <rPr>
            <b/>
            <sz val="9"/>
            <color indexed="81"/>
            <rFont val="Tahoma"/>
            <family val="2"/>
          </rPr>
          <t xml:space="preserve"> &lt;[[TCDeals] - [TCDeals - User Defined Field Values (Seq: 1)] Scoring - Is Entrance doors (Section 404) - Y/N - Send]&gt;</t>
        </r>
      </text>
    </comment>
    <comment ref="F464" authorId="0" shapeId="0" xr:uid="{816821C7-B798-4127-8488-DD9EDE5D27E6}">
      <text>
        <r>
          <rPr>
            <b/>
            <sz val="9"/>
            <color indexed="81"/>
            <rFont val="Tahoma"/>
            <family val="2"/>
          </rPr>
          <t xml:space="preserve"> &lt;[[TCDeals] - [TCDeals - User Defined Field Values (Seq: 1)] Scoring - Entrance doors - Points - Send]&gt;</t>
        </r>
      </text>
    </comment>
    <comment ref="F465" authorId="0" shapeId="0" xr:uid="{575873DA-1F87-48A7-9434-4715FF52DA75}">
      <text>
        <r>
          <rPr>
            <b/>
            <sz val="9"/>
            <color indexed="81"/>
            <rFont val="Tahoma"/>
            <family val="2"/>
          </rPr>
          <t xml:space="preserve"> &lt;[[TCDeals] - [TCDeals - User Defined Field Values (Seq: 1)] Scoring - Is Windows (Section 309) - Y/N - Send]&gt;</t>
        </r>
      </text>
    </comment>
    <comment ref="F466" authorId="0" shapeId="0" xr:uid="{E480DDDB-3765-485D-9CC2-0E2C5449F974}">
      <text>
        <r>
          <rPr>
            <b/>
            <sz val="9"/>
            <color indexed="81"/>
            <rFont val="Tahoma"/>
            <family val="2"/>
          </rPr>
          <t xml:space="preserve"> &lt;[[TCDeals] - [TCDeals - User Defined Field Values (Seq: 1)] Scoring - Windows - Points - Send]&gt;</t>
        </r>
      </text>
    </comment>
    <comment ref="F467" authorId="0" shapeId="0" xr:uid="{CAE5E4E9-BEFB-4B41-ABFA-1AE3F2829BE2}">
      <text>
        <r>
          <rPr>
            <b/>
            <sz val="9"/>
            <color indexed="81"/>
            <rFont val="Tahoma"/>
            <family val="2"/>
          </rPr>
          <t xml:space="preserve"> &lt;[[TCDeals] - [TCDeals - User Defined Field Values (Seq: 1)] Scoring - Is Carpeting (Section 302.2) - Y/N - Send]&gt;</t>
        </r>
      </text>
    </comment>
    <comment ref="F468" authorId="0" shapeId="0" xr:uid="{63FB7C1B-0E20-45D2-BD34-0EBDC2CB9AC4}">
      <text>
        <r>
          <rPr>
            <b/>
            <sz val="9"/>
            <color indexed="81"/>
            <rFont val="Tahoma"/>
            <family val="2"/>
          </rPr>
          <t xml:space="preserve"> &lt;[[TCDeals] - [TCDeals - User Defined Field Values (Seq: 1)] Scoring - Carpet - Points - Send]&gt;</t>
        </r>
      </text>
    </comment>
    <comment ref="F469" authorId="0" shapeId="0" xr:uid="{1FFCE4EC-D9F8-4B87-B81B-D0F27B0E1026}">
      <text>
        <r>
          <rPr>
            <b/>
            <sz val="9"/>
            <color indexed="81"/>
            <rFont val="Tahoma"/>
            <family val="2"/>
          </rPr>
          <t xml:space="preserve"> &lt;[[TCDeals] - [TCDeals - User Defined Field Values (Seq: 1)] Scoring - Is Rocker Light Switches - Y/N - Send]&gt;</t>
        </r>
      </text>
    </comment>
    <comment ref="F470" authorId="0" shapeId="0" xr:uid="{702999D8-777E-412A-B781-72301D9B0FC0}">
      <text>
        <r>
          <rPr>
            <b/>
            <sz val="9"/>
            <color indexed="81"/>
            <rFont val="Tahoma"/>
            <family val="2"/>
          </rPr>
          <t xml:space="preserve"> &lt;[[TCDeals] - [TCDeals - User Defined Field Values (Seq: 1)] Scoring - Rocker Light Switches - Points - Send]&gt;</t>
        </r>
      </text>
    </comment>
    <comment ref="F471" authorId="0" shapeId="0" xr:uid="{966D907E-017E-446A-A35E-2ECC1803EA03}">
      <text>
        <r>
          <rPr>
            <b/>
            <sz val="9"/>
            <color indexed="81"/>
            <rFont val="Tahoma"/>
            <family val="2"/>
          </rPr>
          <t xml:space="preserve"> &lt;[[TCDeals] - [TCDeals - User Defined Field Values (Seq: 1)] Scoring - Is Bath and Shower Controls - Y/N - Send]&gt;</t>
        </r>
      </text>
    </comment>
    <comment ref="F472" authorId="0" shapeId="0" xr:uid="{C11B1517-0F16-46EF-ADB1-DCD931F0DAC9}">
      <text>
        <r>
          <rPr>
            <b/>
            <sz val="9"/>
            <color indexed="81"/>
            <rFont val="Tahoma"/>
            <family val="2"/>
          </rPr>
          <t xml:space="preserve"> &lt;[[TCDeals] - [TCDeals - User Defined Field Values (Seq: 1)] Scoring - Bath and Shower Controls - Points - Send]&gt;</t>
        </r>
      </text>
    </comment>
    <comment ref="F473" authorId="0" shapeId="0" xr:uid="{31A5D166-C85F-4299-83AD-35BF68BFA674}">
      <text>
        <r>
          <rPr>
            <b/>
            <sz val="9"/>
            <color indexed="81"/>
            <rFont val="Tahoma"/>
            <family val="2"/>
          </rPr>
          <t xml:space="preserve"> &lt;[[TCDeals] - [TCDeals - User Defined Field Values (Seq: 1)] Scoring - Is Electrical Outlets - Y/N - Send]&gt;</t>
        </r>
      </text>
    </comment>
    <comment ref="F474" authorId="0" shapeId="0" xr:uid="{CF1A57F7-393A-4E90-BC0F-897826E71052}">
      <text>
        <r>
          <rPr>
            <b/>
            <sz val="9"/>
            <color indexed="81"/>
            <rFont val="Tahoma"/>
            <family val="2"/>
          </rPr>
          <t xml:space="preserve"> &lt;[[TCDeals] - [TCDeals - User Defined Field Values (Seq: 1)] Scoring - Electrical Outlets - Points - Send]&gt;</t>
        </r>
      </text>
    </comment>
    <comment ref="F475" authorId="0" shapeId="0" xr:uid="{50CEA4B7-8581-4D67-8F6D-A14B61E3EBC4}">
      <text>
        <r>
          <rPr>
            <b/>
            <sz val="9"/>
            <color indexed="81"/>
            <rFont val="Tahoma"/>
            <family val="2"/>
          </rPr>
          <t xml:space="preserve"> &lt;[[TCDeals] - [TCDeals - User Defined Field Values (Seq: 1)] Scoring - Is Thermostats - Y/N - Send]&gt;</t>
        </r>
      </text>
    </comment>
    <comment ref="F476" authorId="0" shapeId="0" xr:uid="{5A1400DB-CD1E-4856-965C-846C05A80F43}">
      <text>
        <r>
          <rPr>
            <b/>
            <sz val="9"/>
            <color indexed="81"/>
            <rFont val="Tahoma"/>
            <family val="2"/>
          </rPr>
          <t xml:space="preserve"> &lt;[[TCDeals] - [TCDeals - User Defined Field Values (Seq: 1)] Scoring - Thermostats - Points - Send]&gt;</t>
        </r>
      </text>
    </comment>
    <comment ref="F477" authorId="0" shapeId="0" xr:uid="{AC55F0B0-C207-4625-B9F2-686561B4200E}">
      <text>
        <r>
          <rPr>
            <b/>
            <sz val="9"/>
            <color indexed="81"/>
            <rFont val="Tahoma"/>
            <family val="2"/>
          </rPr>
          <t xml:space="preserve"> &lt;[[TCDeals] - [TCDeals - User Defined Field Values (Seq: 1)] Scoring - Is Parking Accessibility (Sections 402, 404, and 1104.11) - Y/N - Send]&gt;</t>
        </r>
      </text>
    </comment>
    <comment ref="F478" authorId="0" shapeId="0" xr:uid="{AA8DA59B-7706-4CAB-AC3D-B8C0DD16E49F}">
      <text>
        <r>
          <rPr>
            <b/>
            <sz val="9"/>
            <color indexed="81"/>
            <rFont val="Tahoma"/>
            <family val="2"/>
          </rPr>
          <t xml:space="preserve"> &lt;[[TCDeals] - [TCDeals - User Defined Field Values (Seq: 1)] Scoring - Parking Accessibility - Points - Send]&gt;</t>
        </r>
      </text>
    </comment>
    <comment ref="F479" authorId="0" shapeId="0" xr:uid="{ADB370FC-831F-4F23-AFF4-DA1DBA0795C6}">
      <text>
        <r>
          <rPr>
            <b/>
            <sz val="9"/>
            <color indexed="81"/>
            <rFont val="Tahoma"/>
            <family val="2"/>
          </rPr>
          <t xml:space="preserve"> &lt;[[TCDeals] - [TCDeals - User Defined Field Values (Seq: 1)] Scoring - Is Toilet Clearance (Section 1104.11.3.1.2) - Y/N - Send]&gt;</t>
        </r>
      </text>
    </comment>
    <comment ref="F480" authorId="0" shapeId="0" xr:uid="{20656E97-9D24-40A4-BFC6-F453415EDFE7}">
      <text>
        <r>
          <rPr>
            <b/>
            <sz val="9"/>
            <color indexed="81"/>
            <rFont val="Tahoma"/>
            <family val="2"/>
          </rPr>
          <t xml:space="preserve"> &lt;[[TCDeals] - [TCDeals - User Defined Field Values (Seq: 1)] Scoring - Toilet Clearance - Points - Send]&gt;</t>
        </r>
      </text>
    </comment>
    <comment ref="F481" authorId="0" shapeId="0" xr:uid="{113958B1-85C9-489E-B060-DC624BD18762}">
      <text>
        <r>
          <rPr>
            <b/>
            <sz val="9"/>
            <color indexed="81"/>
            <rFont val="Tahoma"/>
            <family val="2"/>
          </rPr>
          <t xml:space="preserve"> &lt;[[TCDeals] - [TCDeals - User Defined Field Values (Seq: 1)] Scoring - Is Low-Profile Thresholds (Sections 303.2 and 303.3) - Y/N - Send]&gt;</t>
        </r>
      </text>
    </comment>
    <comment ref="F482" authorId="0" shapeId="0" xr:uid="{6BE534F1-1FF9-42C1-B5CA-CDB160B007B0}">
      <text>
        <r>
          <rPr>
            <b/>
            <sz val="9"/>
            <color indexed="81"/>
            <rFont val="Tahoma"/>
            <family val="2"/>
          </rPr>
          <t xml:space="preserve"> &lt;[[TCDeals] - [TCDeals - User Defined Field Values (Seq: 1)] Scoring - Low-Profile Thresholds - Points - Send]&gt;</t>
        </r>
      </text>
    </comment>
    <comment ref="F483" authorId="0" shapeId="0" xr:uid="{FF05CE5E-43CE-4F4A-875F-ABB4681AD079}">
      <text>
        <r>
          <rPr>
            <b/>
            <sz val="9"/>
            <color indexed="81"/>
            <rFont val="Tahoma"/>
            <family val="2"/>
          </rPr>
          <t xml:space="preserve"> &lt;[[TCDeals] - [TCDeals - User Defined Field Values (Seq: 1)] Scoring - Is Reinforcement for Grab Bars (Section 103.11.1) - Y/N - Send]&gt;</t>
        </r>
      </text>
    </comment>
    <comment ref="F484" authorId="0" shapeId="0" xr:uid="{85FE90D8-F19E-4AA2-989B-EB40371DFA57}">
      <text>
        <r>
          <rPr>
            <b/>
            <sz val="9"/>
            <color indexed="81"/>
            <rFont val="Tahoma"/>
            <family val="2"/>
          </rPr>
          <t xml:space="preserve"> &lt;[[TCDeals] - [TCDeals - User Defined Field Values (Seq: 1)] Scoring - Reinforcement for Grab Bars - Points - Send]&gt;</t>
        </r>
      </text>
    </comment>
    <comment ref="F485" authorId="0" shapeId="0" xr:uid="{FA4F07F1-D0B7-4238-9B5C-AF55FE175C26}">
      <text>
        <r>
          <rPr>
            <b/>
            <sz val="9"/>
            <color indexed="81"/>
            <rFont val="Tahoma"/>
            <family val="2"/>
          </rPr>
          <t xml:space="preserve"> &lt;[[TCDeals] - [TCDeals - User Defined Field Values (Seq: 1)] Scoring - Is Permanently Non-Skid Bathroom Shower - Y/N - Send]&gt;</t>
        </r>
      </text>
    </comment>
    <comment ref="F486" authorId="0" shapeId="0" xr:uid="{DD32D833-A1A9-4C2C-9C61-A88E6EA14573}">
      <text>
        <r>
          <rPr>
            <b/>
            <sz val="9"/>
            <color indexed="81"/>
            <rFont val="Tahoma"/>
            <family val="2"/>
          </rPr>
          <t xml:space="preserve"> &lt;[[TCDeals] - [TCDeals - User Defined Field Values (Seq: 1)] Scoring - Permanently Non-Skid Bathroom Shower - Points - Send]&gt;</t>
        </r>
      </text>
    </comment>
    <comment ref="F489" authorId="0" shapeId="0" xr:uid="{B6459ED0-DC7A-4B2A-83E2-4440A4D80C46}">
      <text>
        <r>
          <rPr>
            <b/>
            <sz val="9"/>
            <color indexed="81"/>
            <rFont val="Tahoma"/>
            <family val="2"/>
          </rPr>
          <t xml:space="preserve"> &lt;[[TCDeals] - [TCDeals - User Defined Field Values (Seq: 1)] Scoring - Is Claim Points Y/N - Financial Leverage - Send]&gt;</t>
        </r>
      </text>
    </comment>
    <comment ref="F490" authorId="0" shapeId="0" xr:uid="{F3324497-777C-4859-8046-0FAF8D2A61CD}">
      <text>
        <r>
          <rPr>
            <b/>
            <sz val="9"/>
            <color indexed="81"/>
            <rFont val="Tahoma"/>
            <family val="2"/>
          </rPr>
          <t xml:space="preserve"> &lt;[[TCDeals] - [TCDeals - User Defined Field Values (Seq: 1)] Scoring - Total Applicant Score - Financial Leverage (Max 36) - Send]&gt;</t>
        </r>
      </text>
    </comment>
    <comment ref="F491" authorId="0" shapeId="0" xr:uid="{C3F6931D-4EF0-430F-A2CF-5FF0376B0273}">
      <text>
        <r>
          <rPr>
            <b/>
            <sz val="9"/>
            <color indexed="81"/>
            <rFont val="Tahoma"/>
            <family val="2"/>
          </rPr>
          <t xml:space="preserve"> &lt;[[TCDeals] - [TCDeals - User Defined Field Values (Seq: 1)] Scoring - WHEDA Score - Financial Leverage - Send]&gt;</t>
        </r>
      </text>
    </comment>
    <comment ref="F492" authorId="0" shapeId="0" xr:uid="{76A3E10C-5B45-4623-8B15-C9B765D2ADB3}">
      <text>
        <r>
          <rPr>
            <b/>
            <sz val="9"/>
            <color indexed="81"/>
            <rFont val="Tahoma"/>
            <family val="2"/>
          </rPr>
          <t xml:space="preserve"> &lt;[[TCDeals] - [TCDeals - User Defined Field Values (Seq: 1)] Scoring - Underwriter Notes - Financial Leverage - Send]&gt;</t>
        </r>
      </text>
    </comment>
    <comment ref="F495" authorId="0" shapeId="0" xr:uid="{2717403A-F366-4A19-B0B1-2FDFCB355156}">
      <text>
        <r>
          <rPr>
            <b/>
            <sz val="9"/>
            <color indexed="81"/>
            <rFont val="Tahoma"/>
            <family val="2"/>
          </rPr>
          <t xml:space="preserve"> &lt;[[TCDeals] - [TCDeals - User Defined Field Values (Seq: 1)] Scoring - Is Claim Points Y/N - Eventual Tenant Ownership - Send]&gt;</t>
        </r>
      </text>
    </comment>
    <comment ref="F496" authorId="0" shapeId="0" xr:uid="{9DCD9657-F209-45BF-AE46-782A8DA31708}">
      <text>
        <r>
          <rPr>
            <b/>
            <sz val="9"/>
            <color indexed="81"/>
            <rFont val="Tahoma"/>
            <family val="2"/>
          </rPr>
          <t xml:space="preserve"> &lt;[[TCDeals] - [TCDeals - User Defined Field Values (Seq: 1)] Scoring - Total Applicant Score - Eventual Tenant Ownership - Send]&gt;</t>
        </r>
      </text>
    </comment>
    <comment ref="F497" authorId="0" shapeId="0" xr:uid="{4E9E23D6-E5C2-4AEC-806A-E628A4157B8E}">
      <text>
        <r>
          <rPr>
            <b/>
            <sz val="9"/>
            <color indexed="81"/>
            <rFont val="Tahoma"/>
            <family val="2"/>
          </rPr>
          <t xml:space="preserve"> &lt;[[TCDeals] - [TCDeals - User Defined Field Values (Seq: 1)] Scoring - WHEDA Score - Eventual Tenant Ownership - Send]&gt;</t>
        </r>
      </text>
    </comment>
    <comment ref="F498" authorId="0" shapeId="0" xr:uid="{462FF552-8EDB-4F4F-8652-4296752FBAAD}">
      <text>
        <r>
          <rPr>
            <b/>
            <sz val="9"/>
            <color indexed="81"/>
            <rFont val="Tahoma"/>
            <family val="2"/>
          </rPr>
          <t xml:space="preserve"> &lt;[[TCDeals] - [TCDeals - User Defined Field Values (Seq: 1)] Scoring - Underwriter Notes - Eventual Tenant Ownership - Send]&gt;</t>
        </r>
      </text>
    </comment>
    <comment ref="F499" authorId="0" shapeId="0" xr:uid="{6BE5987A-5075-4654-8A25-D546F5C4BF40}">
      <text>
        <r>
          <rPr>
            <b/>
            <sz val="9"/>
            <color indexed="81"/>
            <rFont val="Tahoma"/>
            <family val="2"/>
          </rPr>
          <t xml:space="preserve"> &lt;[[TCDeals] - [TCDeals - User Defined Field Values (Seq: 1)] Scoring - Applicant Notes - Eventual Tenant Ownership - Send]&gt;</t>
        </r>
      </text>
    </comment>
    <comment ref="F500" authorId="0" shapeId="0" xr:uid="{F3FC6D3E-C8A3-426F-8B97-A642189FE146}">
      <text>
        <r>
          <rPr>
            <b/>
            <sz val="9"/>
            <color indexed="81"/>
            <rFont val="Tahoma"/>
            <family val="2"/>
          </rPr>
          <t xml:space="preserve"> &lt;[[TCDeals] - [TCDeals - User Defined Field Values (Seq: 1)] Scoring - Peer Review Comments - Eventual Tenant Ownership - Send]&gt;</t>
        </r>
      </text>
    </comment>
    <comment ref="F503" authorId="0" shapeId="0" xr:uid="{D4BCA092-4D66-4DFB-8E49-8BEC548BEEFC}">
      <text>
        <r>
          <rPr>
            <b/>
            <sz val="9"/>
            <color indexed="81"/>
            <rFont val="Tahoma"/>
            <family val="2"/>
          </rPr>
          <t xml:space="preserve"> &lt;[[TCDeals] - [TCDeals - User Defined Field Values (Seq: 1)] Scoring - Is Claim Points Y/N - Development Team - Send]&gt;</t>
        </r>
      </text>
    </comment>
    <comment ref="F504" authorId="0" shapeId="0" xr:uid="{F6399C30-7467-49A4-8F40-3CF5AF85D8EC}">
      <text>
        <r>
          <rPr>
            <b/>
            <sz val="9"/>
            <color indexed="81"/>
            <rFont val="Tahoma"/>
            <family val="2"/>
          </rPr>
          <t xml:space="preserve"> &lt;[[TCDeals] - [TCDeals - User Defined Field Values (Seq: 1)] Scoring - Total Applicant Score - Development Team - Send]&gt;</t>
        </r>
      </text>
    </comment>
    <comment ref="F505" authorId="0" shapeId="0" xr:uid="{A030576B-04C3-4AB5-985E-E804A95F38C6}">
      <text>
        <r>
          <rPr>
            <b/>
            <sz val="9"/>
            <color indexed="81"/>
            <rFont val="Tahoma"/>
            <family val="2"/>
          </rPr>
          <t xml:space="preserve"> &lt;[[TCDeals] - [TCDeals - User Defined Field Values (Seq: 1)] Scoring - Primary - Emerging Developers Points - Send]&gt;</t>
        </r>
      </text>
    </comment>
    <comment ref="F506" authorId="0" shapeId="0" xr:uid="{58BBBF4B-4D0B-464A-8542-1F0994C32E95}">
      <text>
        <r>
          <rPr>
            <b/>
            <sz val="9"/>
            <color indexed="81"/>
            <rFont val="Tahoma"/>
            <family val="2"/>
          </rPr>
          <t xml:space="preserve"> &lt;[[TCDeals] - [TCDeals - User Defined Field Values (Seq: 1)] Scoring - Primary - WHEDA Capacity Points - Send]&gt;</t>
        </r>
      </text>
    </comment>
    <comment ref="F507" authorId="0" shapeId="0" xr:uid="{F6E7B979-F4A8-4C7B-BAF7-E438802F71B1}">
      <text>
        <r>
          <rPr>
            <b/>
            <sz val="9"/>
            <color indexed="81"/>
            <rFont val="Tahoma"/>
            <family val="2"/>
          </rPr>
          <t xml:space="preserve"> &lt;[[TCDeals] - [TCDeals - User Defined Field Values (Seq: 1)] Scoring - Primary - Nonprofit Developers Points - Send]&gt;</t>
        </r>
      </text>
    </comment>
    <comment ref="F508" authorId="0" shapeId="0" xr:uid="{75060005-8954-47BA-9D68-3A3065F48F90}">
      <text>
        <r>
          <rPr>
            <b/>
            <sz val="9"/>
            <color indexed="81"/>
            <rFont val="Tahoma"/>
            <family val="2"/>
          </rPr>
          <t xml:space="preserve"> &lt;[[TCDeals] - [TCDeals - User Defined Field Values (Seq: 1)] Scoring - Primary - Subtotal Points - Send]&gt;</t>
        </r>
      </text>
    </comment>
    <comment ref="F509" authorId="0" shapeId="0" xr:uid="{934E6946-0582-400C-86F2-0BD154D8DDC2}">
      <text>
        <r>
          <rPr>
            <b/>
            <sz val="9"/>
            <color indexed="81"/>
            <rFont val="Tahoma"/>
            <family val="2"/>
          </rPr>
          <t xml:space="preserve"> &lt;[[TCDeals] - [TCDeals - User Defined Field Values (Seq: 1)] Scoring - Co-Developer - Emerging Developers Points - Send]&gt;</t>
        </r>
      </text>
    </comment>
    <comment ref="F510" authorId="0" shapeId="0" xr:uid="{C57DE2BA-994A-4208-A16D-B60A7EA5895E}">
      <text>
        <r>
          <rPr>
            <b/>
            <sz val="9"/>
            <color indexed="81"/>
            <rFont val="Tahoma"/>
            <family val="2"/>
          </rPr>
          <t xml:space="preserve"> &lt;[[TCDeals] - [TCDeals - User Defined Field Values (Seq: 1)] Scoring - Co-Developer - WHEDA Capacity Points - Send]&gt;</t>
        </r>
      </text>
    </comment>
    <comment ref="F511" authorId="0" shapeId="0" xr:uid="{712A96FF-7903-4FA2-87A7-CCA91DBA4603}">
      <text>
        <r>
          <rPr>
            <b/>
            <sz val="9"/>
            <color indexed="81"/>
            <rFont val="Tahoma"/>
            <family val="2"/>
          </rPr>
          <t xml:space="preserve"> &lt;[[TCDeals] - [TCDeals - User Defined Field Values (Seq: 1)] Scoring - Co-Developer - Nonprofit Developers Points - Send]&gt;</t>
        </r>
      </text>
    </comment>
    <comment ref="F512" authorId="0" shapeId="0" xr:uid="{8B90B0A7-D9E3-4860-A045-BB052D3AEB89}">
      <text>
        <r>
          <rPr>
            <b/>
            <sz val="9"/>
            <color indexed="81"/>
            <rFont val="Tahoma"/>
            <family val="2"/>
          </rPr>
          <t xml:space="preserve"> &lt;[[TCDeals] - [TCDeals - User Defined Field Values (Seq: 1)] Scoring - Co-Developer - Subtotal Points - Send]&gt;</t>
        </r>
      </text>
    </comment>
    <comment ref="F513" authorId="0" shapeId="0" xr:uid="{9156027D-0ED7-418F-9A9A-0EE47C9238FA}">
      <text>
        <r>
          <rPr>
            <b/>
            <sz val="9"/>
            <color indexed="81"/>
            <rFont val="Tahoma"/>
            <family val="2"/>
          </rPr>
          <t xml:space="preserve"> &lt;[[TCDeals] - [TCDeals - User Defined Field Values (Seq: 1)] Scoring - 2nd Co-Developer - Emerging Developers Points - Send]&gt;</t>
        </r>
      </text>
    </comment>
    <comment ref="F514" authorId="0" shapeId="0" xr:uid="{C573A74B-FD7B-4E11-9E6C-8B3CA96CBEA0}">
      <text>
        <r>
          <rPr>
            <b/>
            <sz val="9"/>
            <color indexed="81"/>
            <rFont val="Tahoma"/>
            <family val="2"/>
          </rPr>
          <t xml:space="preserve"> &lt;[[TCDeals] - [TCDeals - User Defined Field Values (Seq: 1)] Scoring - 2nd Co-Developer - WHEDA Capacity Points - Send]&gt;</t>
        </r>
      </text>
    </comment>
    <comment ref="F515" authorId="0" shapeId="0" xr:uid="{DA5BBC61-99C7-42DF-9688-EC7C57F2360A}">
      <text>
        <r>
          <rPr>
            <b/>
            <sz val="9"/>
            <color indexed="81"/>
            <rFont val="Tahoma"/>
            <family val="2"/>
          </rPr>
          <t xml:space="preserve"> &lt;[[TCDeals] - [TCDeals - User Defined Field Values (Seq: 1)] Scoring - 2nd Co-Developer - Nonprofit Developers Points - Send]&gt;</t>
        </r>
      </text>
    </comment>
    <comment ref="F516" authorId="0" shapeId="0" xr:uid="{F6776CBF-4B5A-4CBF-998C-B649BCF18012}">
      <text>
        <r>
          <rPr>
            <b/>
            <sz val="9"/>
            <color indexed="81"/>
            <rFont val="Tahoma"/>
            <family val="2"/>
          </rPr>
          <t xml:space="preserve"> &lt;[[TCDeals] - [TCDeals - User Defined Field Values (Seq: 1)] Scoring - 2nd Co-Developer - Subtotal Points - Send]&gt;</t>
        </r>
      </text>
    </comment>
    <comment ref="F517" authorId="0" shapeId="0" xr:uid="{3DC49EA5-EA24-4EAD-8EB8-6442E6015BF5}">
      <text>
        <r>
          <rPr>
            <b/>
            <sz val="9"/>
            <color indexed="81"/>
            <rFont val="Tahoma"/>
            <family val="2"/>
          </rPr>
          <t xml:space="preserve"> &lt;[[TCDeals] - [TCDeals - User Defined Field Values (Seq: 1)] Scoring - WHEDA Score - Development Team - Send]&gt;</t>
        </r>
      </text>
    </comment>
    <comment ref="F518" authorId="0" shapeId="0" xr:uid="{FB7F2D41-3CEB-4D53-9ECC-41828321C770}">
      <text>
        <r>
          <rPr>
            <b/>
            <sz val="9"/>
            <color indexed="81"/>
            <rFont val="Tahoma"/>
            <family val="2"/>
          </rPr>
          <t xml:space="preserve"> &lt;[[TCDeals] - [TCDeals - User Defined Field Values (Seq: 1)] Scoring - Underwriter Notes - Development Team - Send]&gt;</t>
        </r>
      </text>
    </comment>
    <comment ref="F519" authorId="0" shapeId="0" xr:uid="{32E509E9-EFD1-4874-8A00-31B9C1B5B710}">
      <text>
        <r>
          <rPr>
            <b/>
            <sz val="9"/>
            <color indexed="81"/>
            <rFont val="Tahoma"/>
            <family val="2"/>
          </rPr>
          <t>&lt;[[TCDeals] - [TCDeals - User Defined Field Values (Seq: 1)] Scoring - Applicant Notes - Development Team - Send]&gt;</t>
        </r>
      </text>
    </comment>
    <comment ref="F520" authorId="0" shapeId="0" xr:uid="{1008FC7B-871F-41F9-BB49-F08BA4B60FAB}">
      <text>
        <r>
          <rPr>
            <b/>
            <sz val="9"/>
            <color indexed="81"/>
            <rFont val="Tahoma"/>
            <family val="2"/>
          </rPr>
          <t>&lt;[[TCDeals] - [TCDeals - User Defined Field Values (Seq: 1)] Scoring - Peer Review Comments - Development Team - Send]&gt;</t>
        </r>
      </text>
    </comment>
    <comment ref="F523" authorId="0" shapeId="0" xr:uid="{AAD08F22-EEB3-4473-9869-7A68FAFEEC65}">
      <text>
        <r>
          <rPr>
            <b/>
            <sz val="9"/>
            <color indexed="81"/>
            <rFont val="Tahoma"/>
            <family val="2"/>
          </rPr>
          <t xml:space="preserve"> &lt;[[TCDeals] - [TCDeals - User Defined Field Values (Seq: 1)] Scoring - Is Claim Points Y/N - Areas of Economic Opportunity - Send]&gt;</t>
        </r>
      </text>
    </comment>
    <comment ref="F524" authorId="0" shapeId="0" xr:uid="{05F6E097-6F94-4186-8184-E481B9B89EB7}">
      <text>
        <r>
          <rPr>
            <b/>
            <sz val="9"/>
            <color indexed="81"/>
            <rFont val="Tahoma"/>
            <family val="2"/>
          </rPr>
          <t xml:space="preserve"> &lt;[[TCDeals] - [TCDeals - User Defined Field Values (Seq: 1)] Scoring - Total Applicant Score - Areas of Economic Opportunity - Send]&gt;</t>
        </r>
      </text>
    </comment>
    <comment ref="F525" authorId="0" shapeId="0" xr:uid="{1736A9A1-36BB-4E63-B8D0-F4CBFFD8F9E6}">
      <text>
        <r>
          <rPr>
            <b/>
            <sz val="9"/>
            <color indexed="81"/>
            <rFont val="Tahoma"/>
            <family val="2"/>
          </rPr>
          <t xml:space="preserve"> &lt;[[TCDeals] - [TCDeals - User Defined Field Values (Seq: 1)] Scoring - Median Income Points - Send]&gt;</t>
        </r>
      </text>
    </comment>
    <comment ref="F526" authorId="0" shapeId="0" xr:uid="{8D2DC8E0-E472-46AA-9C2A-84FBAB486C03}">
      <text>
        <r>
          <rPr>
            <b/>
            <sz val="9"/>
            <color indexed="81"/>
            <rFont val="Tahoma"/>
            <family val="2"/>
          </rPr>
          <t xml:space="preserve"> &lt;[[TCDeals] - [TCDeals - User Defined Field Values (Seq: 1)] Scoring - School District Points - Send]&gt;</t>
        </r>
      </text>
    </comment>
    <comment ref="F527" authorId="0" shapeId="0" xr:uid="{35E8D5FC-35C9-4DB7-860B-32D4097705C1}">
      <text>
        <r>
          <rPr>
            <b/>
            <sz val="9"/>
            <color indexed="81"/>
            <rFont val="Tahoma"/>
            <family val="2"/>
          </rPr>
          <t xml:space="preserve"> &lt;[[TCDeals] - [TCDeals - User Defined Field Values (Seq: 1)] Scoring - Rent Burden Points - Send]&gt;</t>
        </r>
      </text>
    </comment>
    <comment ref="F528" authorId="0" shapeId="0" xr:uid="{E22693E0-BAB0-4129-B218-74FCBD5D5249}">
      <text>
        <r>
          <rPr>
            <b/>
            <sz val="9"/>
            <color indexed="81"/>
            <rFont val="Tahoma"/>
            <family val="2"/>
          </rPr>
          <t xml:space="preserve"> &lt;[[TCDeals] - [TCDeals - User Defined Field Values (Seq: 1)] Scoring - Federally Designated Tribal Lands Points - Send]&gt;</t>
        </r>
      </text>
    </comment>
    <comment ref="F529" authorId="0" shapeId="0" xr:uid="{E606295E-CDBC-42FD-8584-3C7BC69D7375}">
      <text>
        <r>
          <rPr>
            <b/>
            <sz val="9"/>
            <color indexed="81"/>
            <rFont val="Tahoma"/>
            <family val="2"/>
          </rPr>
          <t xml:space="preserve"> &lt;[[TCDeals] - [TCDeals - User Defined Field Values (Seq: 1)] Scoring - Full Service Grocery Points - Send]&gt;</t>
        </r>
      </text>
    </comment>
    <comment ref="F530" authorId="0" shapeId="0" xr:uid="{07E2B376-AC2C-4749-9CC5-74A024BCB138}">
      <text>
        <r>
          <rPr>
            <b/>
            <sz val="9"/>
            <color indexed="81"/>
            <rFont val="Tahoma"/>
            <family val="2"/>
          </rPr>
          <t xml:space="preserve"> &lt;[[TCDeals] - [TCDeals - User Defined Field Values (Seq: 1)] Scoring - Public School Points - Send]&gt;</t>
        </r>
      </text>
    </comment>
    <comment ref="F531" authorId="0" shapeId="0" xr:uid="{A2C8A6FF-8181-459C-87A8-A81C20E7A258}">
      <text>
        <r>
          <rPr>
            <b/>
            <sz val="9"/>
            <color indexed="81"/>
            <rFont val="Tahoma"/>
            <family val="2"/>
          </rPr>
          <t xml:space="preserve"> &lt;[[TCDeals] - [TCDeals - User Defined Field Values (Seq: 1)] Scoring - Senior Center Points - Send]&gt;</t>
        </r>
      </text>
    </comment>
    <comment ref="F532" authorId="0" shapeId="0" xr:uid="{7780B6EA-1DBA-4EF3-8498-237F5F903F0A}">
      <text>
        <r>
          <rPr>
            <b/>
            <sz val="9"/>
            <color indexed="81"/>
            <rFont val="Tahoma"/>
            <family val="2"/>
          </rPr>
          <t xml:space="preserve"> &lt;[[TCDeals] - [TCDeals - User Defined Field Values (Seq: 1)] Scoring - Full Service Medical Clinic or Hospital Points - Send]&gt;</t>
        </r>
      </text>
    </comment>
    <comment ref="F533" authorId="0" shapeId="0" xr:uid="{3C7DB6D1-E4AA-493F-8F56-EEDD5BE081B2}">
      <text>
        <r>
          <rPr>
            <b/>
            <sz val="9"/>
            <color indexed="81"/>
            <rFont val="Tahoma"/>
            <family val="2"/>
          </rPr>
          <t>Mat D. Murn:
 &lt;[[TCDeals] - [TCDeals - User Defined Field Values (Seq: 1)] Scoring - Library Points - Send]&gt;</t>
        </r>
      </text>
    </comment>
    <comment ref="F534" authorId="0" shapeId="0" xr:uid="{01F820F5-0815-4661-8153-E89072ADE278}">
      <text>
        <r>
          <rPr>
            <b/>
            <sz val="9"/>
            <color indexed="81"/>
            <rFont val="Tahoma"/>
            <family val="2"/>
          </rPr>
          <t>Mat D. Murn:
 &lt;[[TCDeals] - [TCDeals - User Defined Field Values (Seq: 1)] Scoring - Public Park Points - Send]&gt;</t>
        </r>
      </text>
    </comment>
    <comment ref="F535" authorId="0" shapeId="0" xr:uid="{5118BAE5-095B-48DE-A57F-DD4B8C5C7B17}">
      <text>
        <r>
          <rPr>
            <b/>
            <sz val="9"/>
            <color indexed="81"/>
            <rFont val="Tahoma"/>
            <family val="2"/>
          </rPr>
          <t>Mat D. Murn:
 &lt;[[TCDeals] - [TCDeals - User Defined Field Values (Seq: 1)] Scoring - Job Training or Education Points - Send]&gt;</t>
        </r>
      </text>
    </comment>
    <comment ref="F536" authorId="0" shapeId="0" xr:uid="{FFB7D71E-9ACE-490D-9593-52F549CE45E1}">
      <text>
        <r>
          <rPr>
            <b/>
            <sz val="9"/>
            <color indexed="81"/>
            <rFont val="Tahoma"/>
            <family val="2"/>
          </rPr>
          <t>Mat D. Murn:
 &lt;[[TCDeals] - [TCDeals - User Defined Field Values (Seq: 1)] Scoring - In Unit Internet No Cost Points - Send]&gt;</t>
        </r>
      </text>
    </comment>
    <comment ref="F537" authorId="0" shapeId="0" xr:uid="{819F20E5-7A1F-42CF-9F93-371663557FCB}">
      <text>
        <r>
          <rPr>
            <b/>
            <sz val="9"/>
            <color indexed="81"/>
            <rFont val="Tahoma"/>
            <family val="2"/>
          </rPr>
          <t>Mat D. Murn:
 &lt;[[TCDeals] - [TCDeals - User Defined Field Values (Seq: 1)] Scoring - On Site Community Room Points - Send]&gt;</t>
        </r>
      </text>
    </comment>
    <comment ref="F538" authorId="0" shapeId="0" xr:uid="{622F3DBA-7E29-4F92-92F8-8442CF36B90C}">
      <text>
        <r>
          <rPr>
            <b/>
            <sz val="9"/>
            <color indexed="81"/>
            <rFont val="Tahoma"/>
            <family val="2"/>
          </rPr>
          <t>Mat D. Murn:
 &lt;[[TCDeals] - [TCDeals - User Defined Field Values (Seq: 1)] Scoring - WHEDA Score - Areas of Economic Opportunity - Send]&gt;</t>
        </r>
      </text>
    </comment>
    <comment ref="F539" authorId="0" shapeId="0" xr:uid="{BE38F0D3-E273-4518-91AC-BBD988B4CE47}">
      <text>
        <r>
          <rPr>
            <b/>
            <sz val="9"/>
            <color indexed="81"/>
            <rFont val="Tahoma"/>
            <family val="2"/>
          </rPr>
          <t>Mat D. Murn:
 &lt;[[TCDeals] - [TCDeals - User Defined Field Values (Seq: 1)] Scoring - Underwriter Notes - Areas of Economic Opportunity - Send]&gt;</t>
        </r>
      </text>
    </comment>
    <comment ref="F540" authorId="0" shapeId="0" xr:uid="{2C6767D1-B910-46A1-98BB-7AF47F53C083}">
      <text>
        <r>
          <rPr>
            <b/>
            <sz val="9"/>
            <color indexed="81"/>
            <rFont val="Tahoma"/>
            <family val="2"/>
          </rPr>
          <t>Mat D. Murn:
 &lt;[[TCDeals] - [TCDeals - User Defined Field Values (Seq: 1)] Scoring - Applicant Notes - Area of Economic Opportunity - Send]&gt;</t>
        </r>
      </text>
    </comment>
    <comment ref="F541" authorId="0" shapeId="0" xr:uid="{5F0C63AB-1D8C-4B0E-BF22-558815C80891}">
      <text>
        <r>
          <rPr>
            <b/>
            <sz val="9"/>
            <color indexed="81"/>
            <rFont val="Tahoma"/>
            <family val="2"/>
          </rPr>
          <t>Mat D. Murn:
 &lt;[[TCDeals] - [TCDeals - User Defined Field Values (Seq: 1)] Scoring - Peer Review Comments - Area of Economic Opportunity - Send]&gt;</t>
        </r>
      </text>
    </comment>
    <comment ref="F544" authorId="0" shapeId="0" xr:uid="{6BA1151E-5DBA-4DC5-A664-69FA5CD47398}">
      <text>
        <r>
          <rPr>
            <b/>
            <sz val="9"/>
            <color indexed="81"/>
            <rFont val="Tahoma"/>
            <family val="2"/>
          </rPr>
          <t>Mat D. Murn:
 &lt;[[TCDeals] - [TCDeals - User Defined Field Values (Seq: 1)] Scoring - Is Claim Points Y/N - Rural Areas without Recent Tax Credit Awards - Send]&gt;</t>
        </r>
      </text>
    </comment>
    <comment ref="F545" authorId="0" shapeId="0" xr:uid="{3E40B232-76FB-4C1B-9C50-924956BF7394}">
      <text>
        <r>
          <rPr>
            <b/>
            <sz val="9"/>
            <color indexed="81"/>
            <rFont val="Tahoma"/>
            <family val="2"/>
          </rPr>
          <t>Mat D. Murn:
 &lt;[[TCDeals] - [TCDeals - User Defined Field Values (Seq: 1)] Scoring - Total Applicant Score - Rural Areas without Recent Tax Credit Awards (Max 8) - Send]&gt;</t>
        </r>
      </text>
    </comment>
    <comment ref="F546" authorId="0" shapeId="0" xr:uid="{BD2B98AC-A760-43BC-8E0A-4E690D28B33C}">
      <text>
        <r>
          <rPr>
            <b/>
            <sz val="9"/>
            <color indexed="81"/>
            <rFont val="Tahoma"/>
            <family val="2"/>
          </rPr>
          <t>Mat D. Murn:
 &lt;[[TCDeals] - [TCDeals - User Defined Field Values (Seq: 1)] Scoring - WHEDA Score - Rural Areas without Recent Tax Credit Awards - Send]&gt;</t>
        </r>
      </text>
    </comment>
    <comment ref="F547" authorId="0" shapeId="0" xr:uid="{B2539C11-625D-44F1-A47E-7BCE77AB8A2C}">
      <text>
        <r>
          <rPr>
            <b/>
            <sz val="9"/>
            <color indexed="81"/>
            <rFont val="Tahoma"/>
            <family val="2"/>
          </rPr>
          <t>Mat D. Murn:
 &lt;[[TCDeals] - [TCDeals - User Defined Field Values (Seq: 1)] Scoring - Underwriter Notes - Rural Areas without Recent Tax Credit Awards - Send]&gt;</t>
        </r>
      </text>
    </comment>
    <comment ref="F550" authorId="0" shapeId="0" xr:uid="{289CB98C-DC8F-4E60-BC61-6DF1288F9398}">
      <text>
        <r>
          <rPr>
            <b/>
            <sz val="9"/>
            <color indexed="81"/>
            <rFont val="Tahoma"/>
            <family val="2"/>
          </rPr>
          <t>Mat D. Murn:
 &lt;[[TCDeals] - [TCDeals - User Defined Field Values (Seq: 1)] Scoring - Is Claim Points Y/N - Workforce Housing - Send]&gt;</t>
        </r>
      </text>
    </comment>
    <comment ref="F551" authorId="0" shapeId="0" xr:uid="{01BCD68A-2013-4523-BF27-FA65E627EC16}">
      <text>
        <r>
          <rPr>
            <b/>
            <sz val="9"/>
            <color indexed="81"/>
            <rFont val="Tahoma"/>
            <family val="2"/>
          </rPr>
          <t>Mat D. Murn:
 &lt;[[TCDeals] - [TCDeals - User Defined Field Values (Seq: 1)] Scoring - Total Applicant Score - Workforce Housing - Send]&gt;</t>
        </r>
      </text>
    </comment>
    <comment ref="F552" authorId="0" shapeId="0" xr:uid="{9111D67C-368B-4275-A8ED-ADA09FC530BA}">
      <text>
        <r>
          <rPr>
            <b/>
            <sz val="9"/>
            <color indexed="81"/>
            <rFont val="Tahoma"/>
            <family val="2"/>
          </rPr>
          <t>Mat D. Murn:
 &lt;[[TCDeals] - [TCDeals - User Defined Field Values (Seq: 1)] Scoring - Job Center Points - Send]&gt;</t>
        </r>
      </text>
    </comment>
    <comment ref="F553" authorId="0" shapeId="0" xr:uid="{B2757B85-1654-4042-87CF-43DA0CA22233}">
      <text>
        <r>
          <rPr>
            <b/>
            <sz val="9"/>
            <color indexed="81"/>
            <rFont val="Tahoma"/>
            <family val="2"/>
          </rPr>
          <t>Mat D. Murn:
 &lt;[[TCDeals] - [TCDeals - User Defined Field Values (Seq: 1)] Scoring - Net Job Growth Points - Send]&gt;</t>
        </r>
      </text>
    </comment>
    <comment ref="F554" authorId="0" shapeId="0" xr:uid="{2C5E54A1-FC68-4A02-9777-F6152B775069}">
      <text>
        <r>
          <rPr>
            <b/>
            <sz val="9"/>
            <color indexed="81"/>
            <rFont val="Tahoma"/>
            <family val="2"/>
          </rPr>
          <t>Mat D. Murn:
 &lt;[[TCDeals] - [TCDeals - User Defined Field Values (Seq: 1)] Scoring - Individual Employer Growth Points - Send]&gt;</t>
        </r>
      </text>
    </comment>
    <comment ref="F555" authorId="0" shapeId="0" xr:uid="{B34E72BF-D74E-4F21-BF12-9566919B9D05}">
      <text>
        <r>
          <rPr>
            <b/>
            <sz val="9"/>
            <color indexed="81"/>
            <rFont val="Tahoma"/>
            <family val="2"/>
          </rPr>
          <t>Mat D. Murn:
 &lt;[[TCDeals] - [TCDeals - User Defined Field Values (Seq: 1)] Scoring - WHEDA Score - Workforce Housing - Send]&gt;</t>
        </r>
      </text>
    </comment>
    <comment ref="F556" authorId="0" shapeId="0" xr:uid="{CA4C50F0-F2DA-4412-80D3-4D0734C1A8C2}">
      <text>
        <r>
          <rPr>
            <b/>
            <sz val="9"/>
            <color indexed="81"/>
            <rFont val="Tahoma"/>
            <family val="2"/>
          </rPr>
          <t>Mat D. Murn:
 &lt;[[TCDeals] - [TCDeals - User Defined Field Values (Seq: 1)] Scoring - Underwriter Notes - Workforce Housing - Send]&gt;</t>
        </r>
      </text>
    </comment>
    <comment ref="F557" authorId="0" shapeId="0" xr:uid="{E1A042CE-A4C0-4D96-A781-7E5F5A718590}">
      <text>
        <r>
          <rPr>
            <b/>
            <sz val="9"/>
            <color indexed="81"/>
            <rFont val="Tahoma"/>
            <family val="2"/>
          </rPr>
          <t>Mat D. Murn:
 &lt;[[TCDeals] - [TCDeals - User Defined Field Values (Seq: 1)] Scoring - Applicant Notes - Workforce Housing Communities - Send]&gt;</t>
        </r>
      </text>
    </comment>
    <comment ref="F558" authorId="0" shapeId="0" xr:uid="{42AE4FA0-B3BB-4F14-9DAC-49BBA54C1F83}">
      <text>
        <r>
          <rPr>
            <b/>
            <sz val="9"/>
            <color indexed="81"/>
            <rFont val="Tahoma"/>
            <family val="2"/>
          </rPr>
          <t>Mat D. Murn:
 &lt;[[TCDeals] - [TCDeals - User Defined Field Values (Seq: 1)] Scoring - Peer Review Comments - Workforce Housing Communities - Send]&gt;</t>
        </r>
      </text>
    </comment>
    <comment ref="F561" authorId="0" shapeId="0" xr:uid="{565A6B24-276C-4A2A-ABD2-7299765EB511}">
      <text>
        <r>
          <rPr>
            <b/>
            <sz val="9"/>
            <color indexed="81"/>
            <rFont val="Tahoma"/>
            <family val="2"/>
          </rPr>
          <t>Mat D. Murn:
 &lt;[[TCDeals] - [TCDeals - User Defined Field Values (Seq: 1)] Scoring - Is Claim Points Y/N - Community Service Facilities - Send]&gt;</t>
        </r>
      </text>
    </comment>
    <comment ref="F562" authorId="0" shapeId="0" xr:uid="{9BC86EAE-B7A7-4759-A4ED-404146F8971B}">
      <text>
        <r>
          <rPr>
            <b/>
            <sz val="9"/>
            <color indexed="81"/>
            <rFont val="Tahoma"/>
            <family val="2"/>
          </rPr>
          <t>Mat D. Murn:
 &lt;[[TCDeals] - [TCDeals - User Defined Field Values (Seq: 1)] Scoring - Total Applicant Score - Community Service Facilities (Max 5) - Send]&gt;</t>
        </r>
      </text>
    </comment>
    <comment ref="F563" authorId="0" shapeId="0" xr:uid="{E8D7CE7E-86B5-425B-BD5B-B2344649FC93}">
      <text>
        <r>
          <rPr>
            <b/>
            <sz val="9"/>
            <color indexed="81"/>
            <rFont val="Tahoma"/>
            <family val="2"/>
          </rPr>
          <t>Mat D. Murn:
 &lt;[[TCDeals] - [TCDeals - User Defined Field Values (Seq: 1)] Scoring - WHEDA Score - Community Service Facilities - Send]&gt;</t>
        </r>
      </text>
    </comment>
    <comment ref="F564" authorId="0" shapeId="0" xr:uid="{37BA27BC-0AB0-4D21-9241-3F6C3BFC7347}">
      <text>
        <r>
          <rPr>
            <b/>
            <sz val="9"/>
            <color indexed="81"/>
            <rFont val="Tahoma"/>
            <family val="2"/>
          </rPr>
          <t>Mat D. Murn:
 &lt;[[TCDeals] - [TCDeals - User Defined Field Values (Seq: 1)] Scoring - Underwriter Notes - Community Service Facilities - Send]&gt;</t>
        </r>
      </text>
    </comment>
    <comment ref="F565" authorId="0" shapeId="0" xr:uid="{60EF49FB-1600-497B-A423-3E808311C04D}">
      <text>
        <r>
          <rPr>
            <b/>
            <sz val="9"/>
            <color indexed="81"/>
            <rFont val="Tahoma"/>
            <family val="2"/>
          </rPr>
          <t>Mat D. Murn:
 &lt;[[TCDeals] - [TCDeals - User Defined Field Values (Seq: 1)] Scoring - Applicant Notes - Community Service Facilities - Send]&gt;</t>
        </r>
      </text>
    </comment>
    <comment ref="F566" authorId="0" shapeId="0" xr:uid="{3D54633C-896C-443B-87CE-BE6A34F9D16D}">
      <text>
        <r>
          <rPr>
            <b/>
            <sz val="9"/>
            <color indexed="81"/>
            <rFont val="Tahoma"/>
            <family val="2"/>
          </rPr>
          <t>Mat D. Murn:
 &lt;[[TCDeals] - [TCDeals - User Defined Field Values (Seq: 1)] Scoring - Peer Review Comments - Community Service Facilities - Send]&gt;</t>
        </r>
      </text>
    </comment>
    <comment ref="F569" authorId="0" shapeId="0" xr:uid="{D65D1AA7-EC77-47DF-8428-DA4D889A4393}">
      <text>
        <r>
          <rPr>
            <b/>
            <sz val="9"/>
            <color indexed="81"/>
            <rFont val="Tahoma"/>
            <family val="2"/>
          </rPr>
          <t>Mat D. Murn:
 &lt;[[TCDeals] - [TCDeals - User Defined Field Values (Seq: 1)] Scoring - Is In-unit Internet - Send]&gt;</t>
        </r>
      </text>
    </comment>
    <comment ref="F570" authorId="0" shapeId="0" xr:uid="{429DFE4D-4977-4322-B058-A134ABE92532}">
      <text>
        <r>
          <rPr>
            <b/>
            <sz val="9"/>
            <color indexed="81"/>
            <rFont val="Tahoma"/>
            <family val="2"/>
          </rPr>
          <t xml:space="preserve"> &lt;[[TCDeals] - [TCDeals - User Defined Field Values (Seq: 1)] Scoring - In-unit Internet - Points - Send]&gt;</t>
        </r>
      </text>
    </comment>
    <comment ref="F571" authorId="0" shapeId="0" xr:uid="{7C2C69D9-B945-4213-AC8D-B4DC8CD8F265}">
      <text>
        <r>
          <rPr>
            <b/>
            <sz val="9"/>
            <color indexed="81"/>
            <rFont val="Tahoma"/>
            <family val="2"/>
          </rPr>
          <t>Mat D. Murn:
 &lt;[[TCDeals] - [TCDeals - User Defined Field Values (Seq: 1)] Scoring - Is On-site Community Room - Send]&gt;</t>
        </r>
      </text>
    </comment>
    <comment ref="F572" authorId="0" shapeId="0" xr:uid="{B1AA556E-3E88-4F72-ADEA-8FA6304DD61E}">
      <text>
        <r>
          <rPr>
            <b/>
            <sz val="9"/>
            <color indexed="81"/>
            <rFont val="Tahoma"/>
            <family val="2"/>
          </rPr>
          <t xml:space="preserve"> &lt;[[TCDeals] - [TCDeals - User Defined Field Values (Seq: 1)] Scoring - On-site Community Room - Points - Send]&gt;</t>
        </r>
      </text>
    </comment>
    <comment ref="F573" authorId="0" shapeId="0" xr:uid="{7298445D-9AB8-4AC6-8F8E-1243C0BBBB16}">
      <text>
        <r>
          <rPr>
            <b/>
            <sz val="9"/>
            <color indexed="81"/>
            <rFont val="Tahoma"/>
            <family val="2"/>
          </rPr>
          <t xml:space="preserve"> &lt;[[TCDeals] - [TCDeals - User Defined Field Values (Seq: 1)] Scoring - Applicant Score - Additional Amentities - Send]&gt;</t>
        </r>
      </text>
    </comment>
    <comment ref="F574" authorId="0" shapeId="0" xr:uid="{441E7A1D-FEC7-48D9-997F-B4875400EFDA}">
      <text>
        <r>
          <rPr>
            <b/>
            <sz val="9"/>
            <color indexed="81"/>
            <rFont val="Tahoma"/>
            <family val="2"/>
          </rPr>
          <t xml:space="preserve"> &lt;[[TCDeals] - [TCDeals - User Defined Field Values (Seq: 1)] Scoring - WHEDA Score - Additional Amenities - Send]&gt;</t>
        </r>
      </text>
    </comment>
    <comment ref="F575" authorId="0" shapeId="0" xr:uid="{9D708CE1-79AC-4E5F-9BE3-49538F719B6E}">
      <text>
        <r>
          <rPr>
            <b/>
            <sz val="9"/>
            <color indexed="81"/>
            <rFont val="Tahoma"/>
            <family val="2"/>
          </rPr>
          <t xml:space="preserve"> &lt;[[TCDeals] - [TCDeals - User Defined Field Values (Seq: 1)] Scoring - Applicant Notes - Additional Amenities - Send]&gt;</t>
        </r>
      </text>
    </comment>
    <comment ref="F576" authorId="0" shapeId="0" xr:uid="{5C40A2A1-DE66-43A8-B326-CBDD56D99703}">
      <text>
        <r>
          <rPr>
            <b/>
            <sz val="9"/>
            <color indexed="81"/>
            <rFont val="Tahoma"/>
            <family val="2"/>
          </rPr>
          <t xml:space="preserve"> &lt;[[TCDeals] - [TCDeals - User Defined Field Values (Seq: 1)] Scoring - Underwriter Notes - Additional Amentities - Send]&gt;</t>
        </r>
      </text>
    </comment>
    <comment ref="F577" authorId="0" shapeId="0" xr:uid="{D37DD676-C633-4FAA-A715-FDD1A1796EF9}">
      <text>
        <r>
          <rPr>
            <b/>
            <sz val="9"/>
            <color indexed="81"/>
            <rFont val="Tahoma"/>
            <family val="2"/>
          </rPr>
          <t xml:space="preserve"> &lt;[[TCDeals] - [TCDeals - User Defined Field Values (Seq: 1)] Scoring - Peer Review Comments - Additional Amenities - Send]&gt;</t>
        </r>
      </text>
    </comment>
    <comment ref="F580" authorId="0" shapeId="0" xr:uid="{ACEC42D4-385B-4AC9-9437-645F12B72F67}">
      <text>
        <r>
          <rPr>
            <b/>
            <sz val="9"/>
            <color indexed="81"/>
            <rFont val="Tahoma"/>
            <family val="2"/>
          </rPr>
          <t xml:space="preserve"> &lt;[[TCDeals] - [TCDeals - User Defined Field Values (Seq: 1)] Scoring - Credit Type - Send]&gt;</t>
        </r>
      </text>
    </comment>
    <comment ref="F581" authorId="0" shapeId="0" xr:uid="{5001C245-C1FE-4A51-89F3-E22A6196341A}">
      <text>
        <r>
          <rPr>
            <b/>
            <sz val="9"/>
            <color indexed="81"/>
            <rFont val="Tahoma"/>
            <family val="2"/>
          </rPr>
          <t xml:space="preserve"> &lt;[[TCDeals] - [TCDeals - User Defined Field Values (Seq: 1)] Scoring - Construction Type Ranges Used - Send]&gt;</t>
        </r>
      </text>
    </comment>
    <comment ref="F582" authorId="0" shapeId="0" xr:uid="{83081D4F-D2AC-4B91-BB6F-0F07DD1809D9}">
      <text>
        <r>
          <rPr>
            <b/>
            <sz val="9"/>
            <color indexed="81"/>
            <rFont val="Tahoma"/>
            <family val="2"/>
          </rPr>
          <t xml:space="preserve"> &lt;[[TCDeals] - [TCDeals - User Defined Field Values (Seq: 1)] Scoring - Annual Federal Request - Send]&gt;</t>
        </r>
      </text>
    </comment>
    <comment ref="F583" authorId="0" shapeId="0" xr:uid="{B6B0E28E-9403-4F26-A1A9-46A96C3B3E1A}">
      <text>
        <r>
          <rPr>
            <b/>
            <sz val="9"/>
            <color indexed="81"/>
            <rFont val="Tahoma"/>
            <family val="2"/>
          </rPr>
          <t xml:space="preserve"> &lt;[[TCDeals] - [TCDeals - User Defined Field Values (Seq: 1)] Scoring - Total Low Income Units - Send]&gt;</t>
        </r>
      </text>
    </comment>
    <comment ref="F584" authorId="0" shapeId="0" xr:uid="{A91E282B-8830-4194-AB29-416448301691}">
      <text>
        <r>
          <rPr>
            <b/>
            <sz val="9"/>
            <color indexed="81"/>
            <rFont val="Tahoma"/>
            <family val="2"/>
          </rPr>
          <t xml:space="preserve"> &lt;[[TCDeals] - [TCDeals - User Defined Field Values (Seq: 1)] Scoring - Total Weighted Units - Send]&gt;</t>
        </r>
      </text>
    </comment>
    <comment ref="F585" authorId="0" shapeId="0" xr:uid="{53C9F8CE-BC06-4C1A-A0F0-848C44D93762}">
      <text>
        <r>
          <rPr>
            <b/>
            <sz val="9"/>
            <color indexed="81"/>
            <rFont val="Tahoma"/>
            <family val="2"/>
          </rPr>
          <t xml:space="preserve"> &lt;[[TCDeals] - [TCDeals - User Defined Field Values (Seq: 1)] Scoring - Credit Leverage - Send]&gt;</t>
        </r>
      </text>
    </comment>
    <comment ref="F586" authorId="0" shapeId="0" xr:uid="{EF2574F9-5611-45F9-BBE1-D88F5C8EFA9E}">
      <text>
        <r>
          <rPr>
            <b/>
            <sz val="9"/>
            <color indexed="81"/>
            <rFont val="Tahoma"/>
            <family val="2"/>
          </rPr>
          <t xml:space="preserve"> &lt;[[TCDeals] - [TCDeals - User Defined Field Values (Seq: 1)] Scoring - Is Rural Set-Aside - Send]&gt;</t>
        </r>
      </text>
    </comment>
    <comment ref="F587" authorId="0" shapeId="0" xr:uid="{337CFFBE-287C-4B93-89F8-F2EA8501A1B1}">
      <text>
        <r>
          <rPr>
            <b/>
            <sz val="9"/>
            <color indexed="81"/>
            <rFont val="Tahoma"/>
            <family val="2"/>
          </rPr>
          <t xml:space="preserve"> &lt;[[TCDeals] - [TCDeals - User Defined Field Values (Seq: 1)] Scoring - Voucher Unit Count - Send]&gt;</t>
        </r>
      </text>
    </comment>
    <comment ref="F588" authorId="0" shapeId="0" xr:uid="{2C0771E8-6CBC-45D1-B7A9-C65FCED11E43}">
      <text>
        <r>
          <rPr>
            <b/>
            <sz val="9"/>
            <color indexed="81"/>
            <rFont val="Tahoma"/>
            <family val="2"/>
          </rPr>
          <t xml:space="preserve"> &lt;[[TCDeals] - [TCDeals - User Defined Field Values (Seq: 1)] Scoring - Voucher Weighted Units - Send]&gt;</t>
        </r>
      </text>
    </comment>
    <comment ref="F589" authorId="0" shapeId="0" xr:uid="{1D9A9E9A-48B8-47FD-A334-64DDA0FA1CC3}">
      <text>
        <r>
          <rPr>
            <b/>
            <sz val="9"/>
            <color indexed="81"/>
            <rFont val="Tahoma"/>
            <family val="2"/>
          </rPr>
          <t xml:space="preserve"> &lt;[[TCDeals] - [TCDeals - User Defined Field Values (Seq: 1)] Scoring - 30% CMI Unit Count - Send]&gt;</t>
        </r>
      </text>
    </comment>
    <comment ref="F590" authorId="0" shapeId="0" xr:uid="{E501484B-809D-40CC-A250-925C08428AAC}">
      <text>
        <r>
          <rPr>
            <b/>
            <sz val="9"/>
            <color indexed="81"/>
            <rFont val="Tahoma"/>
            <family val="2"/>
          </rPr>
          <t xml:space="preserve"> &lt;[[TCDeals] - [TCDeals - User Defined Field Values (Seq: 1)] Scoring - 30% CMI Weighted Units - Send]&gt;</t>
        </r>
      </text>
    </comment>
    <comment ref="F591" authorId="0" shapeId="0" xr:uid="{E3C059C7-5D49-45D8-BE69-E2112FC2012B}">
      <text>
        <r>
          <rPr>
            <b/>
            <sz val="9"/>
            <color indexed="81"/>
            <rFont val="Tahoma"/>
            <family val="2"/>
          </rPr>
          <t xml:space="preserve"> &lt;[[TCDeals] - [TCDeals - User Defined Field Values (Seq: 1)] Scoring - 40% CMI Unit Count - Send]&gt;</t>
        </r>
      </text>
    </comment>
    <comment ref="F592" authorId="0" shapeId="0" xr:uid="{26775ED2-D562-43B4-B66C-4EE9065DBF21}">
      <text>
        <r>
          <rPr>
            <b/>
            <sz val="9"/>
            <color indexed="81"/>
            <rFont val="Tahoma"/>
            <family val="2"/>
          </rPr>
          <t xml:space="preserve"> &lt;[[TCDeals] - [TCDeals - User Defined Field Values (Seq: 1)] Scoring - 40% CMI Weighted Units - Send]&gt;</t>
        </r>
      </text>
    </comment>
    <comment ref="F593" authorId="0" shapeId="0" xr:uid="{3DF55D2C-69FA-4134-822B-E7A43F612BAE}">
      <text>
        <r>
          <rPr>
            <b/>
            <sz val="9"/>
            <color indexed="81"/>
            <rFont val="Tahoma"/>
            <family val="2"/>
          </rPr>
          <t xml:space="preserve"> &lt;[[TCDeals] - [TCDeals - User Defined Field Values (Seq: 1)] Scoring - 50% CMI Unit Count - Send]&gt;</t>
        </r>
      </text>
    </comment>
    <comment ref="F594" authorId="0" shapeId="0" xr:uid="{57530E62-AD67-49E3-AAC9-5EED8077D862}">
      <text>
        <r>
          <rPr>
            <b/>
            <sz val="9"/>
            <color indexed="81"/>
            <rFont val="Tahoma"/>
            <family val="2"/>
          </rPr>
          <t xml:space="preserve"> &lt;[[TCDeals] - [TCDeals - User Defined Field Values (Seq: 1)] Scoring - 50% CMI Weighted Units - Send]&gt;</t>
        </r>
      </text>
    </comment>
    <comment ref="F595" authorId="0" shapeId="0" xr:uid="{1B38B048-74B2-4FC7-9F0E-95828849D5C8}">
      <text>
        <r>
          <rPr>
            <b/>
            <sz val="9"/>
            <color indexed="81"/>
            <rFont val="Tahoma"/>
            <family val="2"/>
          </rPr>
          <t xml:space="preserve"> &lt;[[TCDeals] - [TCDeals - User Defined Field Values (Seq: 1)] Scoring - 60% CMI Unit Count - Send]&gt;</t>
        </r>
      </text>
    </comment>
    <comment ref="F596" authorId="0" shapeId="0" xr:uid="{8BBD6A3A-9652-4129-B2FB-DB3F477D4CDB}">
      <text>
        <r>
          <rPr>
            <b/>
            <sz val="9"/>
            <color indexed="81"/>
            <rFont val="Tahoma"/>
            <family val="2"/>
          </rPr>
          <t xml:space="preserve"> &lt;[[TCDeals] - [TCDeals - User Defined Field Values (Seq: 1)] Scoring - 60% CMI Weighted Units - Send]&gt;</t>
        </r>
      </text>
    </comment>
    <comment ref="F597" authorId="0" shapeId="0" xr:uid="{89444277-0F84-48E6-B1D4-2D1EC506D47E}">
      <text>
        <r>
          <rPr>
            <b/>
            <sz val="9"/>
            <color indexed="81"/>
            <rFont val="Tahoma"/>
            <family val="2"/>
          </rPr>
          <t xml:space="preserve"> &lt;[[TCDeals] - [TCDeals - User Defined Field Values (Seq: 1)] Scoring - 70% CMI Unit Count - Send]&gt;</t>
        </r>
      </text>
    </comment>
    <comment ref="F598" authorId="0" shapeId="0" xr:uid="{64745555-14A9-4D13-BEA3-46E35F905BA3}">
      <text>
        <r>
          <rPr>
            <b/>
            <sz val="9"/>
            <color indexed="81"/>
            <rFont val="Tahoma"/>
            <family val="2"/>
          </rPr>
          <t xml:space="preserve"> &lt;[[TCDeals] - [TCDeals - User Defined Field Values (Seq: 1)] Scoring - 70% CMI Weighted Units - Send]&gt;</t>
        </r>
      </text>
    </comment>
    <comment ref="F599" authorId="0" shapeId="0" xr:uid="{57DDD453-2151-4A75-8717-52E1562EF5F9}">
      <text>
        <r>
          <rPr>
            <b/>
            <sz val="9"/>
            <color indexed="81"/>
            <rFont val="Tahoma"/>
            <family val="2"/>
          </rPr>
          <t xml:space="preserve"> &lt;[[TCDeals] - [TCDeals - User Defined Field Values (Seq: 1)] Scoring - 80% CMI Unit Count - Send]&gt;</t>
        </r>
      </text>
    </comment>
    <comment ref="F600" authorId="0" shapeId="0" xr:uid="{D057A888-3160-488D-B475-28EDCC66A447}">
      <text>
        <r>
          <rPr>
            <b/>
            <sz val="9"/>
            <color indexed="81"/>
            <rFont val="Tahoma"/>
            <family val="2"/>
          </rPr>
          <t xml:space="preserve"> &lt;[[TCDeals] - [TCDeals - User Defined Field Values (Seq: 1)] Scoring - 80% CMI Weighted Units - Send]&gt;</t>
        </r>
      </text>
    </comment>
    <comment ref="F615" authorId="0" shapeId="0" xr:uid="{29BD5839-00E3-4DB0-9AE8-D31749025D00}">
      <text>
        <r>
          <rPr>
            <b/>
            <sz val="9"/>
            <color indexed="81"/>
            <rFont val="Tahoma"/>
            <family val="2"/>
          </rPr>
          <t xml:space="preserve"> &lt;[[TCDeals] - [TCDeals - User Defined Field Values (Seq: 1)] Scoring - Applicant Score - Credit Efficiency - Send]&gt;</t>
        </r>
      </text>
    </comment>
    <comment ref="F616" authorId="0" shapeId="0" xr:uid="{8B348F6F-D7AD-4338-A899-574D91EC0E2D}">
      <text>
        <r>
          <rPr>
            <b/>
            <sz val="9"/>
            <color indexed="81"/>
            <rFont val="Tahoma"/>
            <family val="2"/>
          </rPr>
          <t xml:space="preserve"> &lt;[[TCDeals] - [TCDeals - User Defined Field Values (Seq: 1)] Scoring - WHEDA Score - Credit Efficiency - Send]&gt;</t>
        </r>
      </text>
    </comment>
    <comment ref="F617" authorId="0" shapeId="0" xr:uid="{5A6A4A3F-3E90-473B-994B-D447DDAE8132}">
      <text>
        <r>
          <rPr>
            <b/>
            <sz val="9"/>
            <color indexed="81"/>
            <rFont val="Tahoma"/>
            <family val="2"/>
          </rPr>
          <t xml:space="preserve"> &lt;[[TCDeals] - [TCDeals - User Defined Field Values (Seq: 1)] Scoring - Applicant Notes - Credit Efficiency - Send]&gt;</t>
        </r>
      </text>
    </comment>
    <comment ref="F618" authorId="0" shapeId="0" xr:uid="{11DC9D98-FF0D-404B-8A6B-CEE8F5A7B6DF}">
      <text>
        <r>
          <rPr>
            <b/>
            <sz val="9"/>
            <color indexed="81"/>
            <rFont val="Tahoma"/>
            <family val="2"/>
          </rPr>
          <t xml:space="preserve"> &lt;[[TCDeals] - [TCDeals - User Defined Field Values (Seq: 1)] Scoring - Underwriter Notes - Credit Efficiency - Send]&gt;</t>
        </r>
      </text>
    </comment>
    <comment ref="F619" authorId="0" shapeId="0" xr:uid="{840AA46B-7952-4458-8ABC-BB4A41606D19}">
      <text>
        <r>
          <rPr>
            <b/>
            <sz val="9"/>
            <color indexed="81"/>
            <rFont val="Tahoma"/>
            <family val="2"/>
          </rPr>
          <t xml:space="preserve"> &lt;[[TCDeals] - [TCDeals - User Defined Field Values (Seq: 1)] Scoring - Peer Review Comments - Credit Efficiency - Send]&gt;</t>
        </r>
      </text>
    </comment>
    <comment ref="F622" authorId="0" shapeId="0" xr:uid="{72F5FA50-D115-490B-A1F9-AB1ED67E5B77}">
      <text>
        <r>
          <rPr>
            <b/>
            <sz val="9"/>
            <color indexed="81"/>
            <rFont val="Tahoma"/>
            <family val="2"/>
          </rPr>
          <t xml:space="preserve"> &lt;[[TCDeals] - [TCDeals - User Defined Field Values (Seq: 1)] Scoring - Is Claim Points Y/N - Site Characteristics - Send]&gt;</t>
        </r>
      </text>
    </comment>
    <comment ref="F623" authorId="0" shapeId="0" xr:uid="{EC8DDCA6-9CB4-4339-A634-29E08E7171CE}">
      <text>
        <r>
          <rPr>
            <b/>
            <sz val="9"/>
            <color indexed="81"/>
            <rFont val="Tahoma"/>
            <family val="2"/>
          </rPr>
          <t xml:space="preserve"> &lt;[[TCDeals] - [TCDeals - User Defined Field Values (Seq: 1)] Scoring - Applicant Score - Site Characteristics - Send]&gt;</t>
        </r>
      </text>
    </comment>
    <comment ref="F624" authorId="0" shapeId="0" xr:uid="{B8A13C7A-BC67-4B3B-833A-619CE80A9EB4}">
      <text>
        <r>
          <rPr>
            <b/>
            <sz val="9"/>
            <color indexed="81"/>
            <rFont val="Tahoma"/>
            <family val="2"/>
          </rPr>
          <t xml:space="preserve"> &lt;[[TCDeals] - [TCDeals - User Defined Field Values (Seq: 1)] Scoring - WHEDA Score - Site Characteristics - Send]&gt;</t>
        </r>
      </text>
    </comment>
    <comment ref="F625" authorId="0" shapeId="0" xr:uid="{B489C023-DA74-4C6A-8F75-BB8C97DA39C9}">
      <text>
        <r>
          <rPr>
            <b/>
            <sz val="9"/>
            <color indexed="81"/>
            <rFont val="Tahoma"/>
            <family val="2"/>
          </rPr>
          <t xml:space="preserve"> &lt;[[TCDeals] - [TCDeals - User Defined Field Values (Seq: 1)] Scoring - Applicant Notes - Site Characteristics - Send]&gt;</t>
        </r>
      </text>
    </comment>
    <comment ref="F626" authorId="0" shapeId="0" xr:uid="{F15CC51E-D493-452B-ADE9-FD68C648378A}">
      <text>
        <r>
          <rPr>
            <b/>
            <sz val="9"/>
            <color indexed="81"/>
            <rFont val="Tahoma"/>
            <family val="2"/>
          </rPr>
          <t xml:space="preserve"> &lt;[[TCDeals] - [TCDeals - User Defined Field Values (Seq: 1)] Scoring - Underwriter Notes - Site Characteristics - Send]&gt;</t>
        </r>
      </text>
    </comment>
    <comment ref="F627" authorId="0" shapeId="0" xr:uid="{680054C0-32A3-44F1-89A8-6BF66B0AFCBE}">
      <text>
        <r>
          <rPr>
            <b/>
            <sz val="9"/>
            <color indexed="81"/>
            <rFont val="Tahoma"/>
            <family val="2"/>
          </rPr>
          <t xml:space="preserve"> &lt;[[TCDeals] - [TCDeals - User Defined Field Values (Seq: 1)] Scoring - Peer Review Comments - Site Characteristics - Send]&gt;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 D. Murn</author>
  </authors>
  <commentList>
    <comment ref="Z2" authorId="0" shapeId="0" xr:uid="{9FB7B1DB-F5B0-472F-8655-9B0BFE578ED9}">
      <text>
        <r>
          <rPr>
            <b/>
            <sz val="9"/>
            <color indexed="81"/>
            <rFont val="Tahoma"/>
            <family val="2"/>
          </rPr>
          <t xml:space="preserve"> &lt;[[TCDeals] - [Associated DEV Deal (Seq: 1)] Deal Name - Get]&gt;</t>
        </r>
      </text>
    </comment>
    <comment ref="AB2" authorId="0" shapeId="0" xr:uid="{58BA8410-483D-41EE-B3FE-F511973C697C}">
      <text>
        <r>
          <rPr>
            <b/>
            <sz val="9"/>
            <color indexed="81"/>
            <rFont val="Tahoma"/>
            <family val="2"/>
          </rPr>
          <t xml:space="preserve"> &lt;[[TCDeals] - [Associated DEV Deal (Seq: 1)] Deal Name - Send]&gt;</t>
        </r>
      </text>
    </comment>
    <comment ref="Z3" authorId="0" shapeId="0" xr:uid="{FFECDDAD-0F31-4441-95D6-886755CB29E2}">
      <text>
        <r>
          <rPr>
            <b/>
            <sz val="9"/>
            <color indexed="81"/>
            <rFont val="Tahoma"/>
            <family val="2"/>
          </rPr>
          <t xml:space="preserve"> &lt;[[TCDeals] - [Associated DEV Deal (Seq: 1)] - [Deal Property (Seq: 1)] Address1 - Send]&gt;</t>
        </r>
      </text>
    </comment>
    <comment ref="Z4" authorId="0" shapeId="0" xr:uid="{FF9E525F-50BB-4BBC-9023-C2257A19D36A}">
      <text>
        <r>
          <rPr>
            <b/>
            <sz val="9"/>
            <color indexed="81"/>
            <rFont val="Tahoma"/>
            <family val="2"/>
          </rPr>
          <t xml:space="preserve"> &lt;[[TCDeals] - [Associated DEV Deal (Seq: 1)] - [Deal Property (Seq: 1)] City - Send]&gt;</t>
        </r>
      </text>
    </comment>
    <comment ref="Z5" authorId="0" shapeId="0" xr:uid="{0A5E9247-697E-4EA5-A3FA-6124988B371D}">
      <text>
        <r>
          <rPr>
            <b/>
            <sz val="9"/>
            <color indexed="81"/>
            <rFont val="Tahoma"/>
            <family val="2"/>
          </rPr>
          <t xml:space="preserve"> &lt;[[TCDeals] - [Associated DEV Deal (Seq: 1)] - [Deal Property (Seq: 1)] Jurisdiction - Send]&gt;</t>
        </r>
      </text>
    </comment>
    <comment ref="Z6" authorId="0" shapeId="0" xr:uid="{79407C50-2895-419D-B7C2-32832277440D}">
      <text>
        <r>
          <rPr>
            <b/>
            <sz val="9"/>
            <color indexed="81"/>
            <rFont val="Tahoma"/>
            <family val="2"/>
          </rPr>
          <t xml:space="preserve"> &lt;[[TCDeals] - [Associated DEV Deal (Seq: 1)] - [Deal Property (Seq: 1)] State - Send]&gt;</t>
        </r>
      </text>
    </comment>
    <comment ref="Z11" authorId="0" shapeId="0" xr:uid="{4804630B-FD7F-4A7C-AE59-E070A9648570}">
      <text>
        <r>
          <rPr>
            <b/>
            <sz val="9"/>
            <color indexed="81"/>
            <rFont val="Tahoma"/>
            <family val="2"/>
          </rPr>
          <t xml:space="preserve"> &lt;[[TCDeals] - [Associated DEV Deal (Seq: 1)] - [Deal Property (Seq: 1)] Zip Code - Send]&gt;</t>
        </r>
      </text>
    </comment>
    <comment ref="Z20" authorId="0" shapeId="0" xr:uid="{B6B76C1B-0767-4A05-AF7F-D6454BF64F22}">
      <text>
        <r>
          <rPr>
            <b/>
            <sz val="9"/>
            <color indexed="81"/>
            <rFont val="Tahoma"/>
            <family val="2"/>
          </rPr>
          <t xml:space="preserve"> &lt;[[TCDeals] - [Associated DEV Deal (Seq: 1)] - [Deal Property (Seq: 1)] Is Adaptive Reuse - Send]&gt;</t>
        </r>
      </text>
    </comment>
    <comment ref="C35" authorId="0" shapeId="0" xr:uid="{E63781A8-75F9-4F93-841A-02537DABDC60}">
      <text>
        <r>
          <rPr>
            <b/>
            <sz val="9"/>
            <color indexed="81"/>
            <rFont val="Tahoma"/>
            <family val="2"/>
          </rPr>
          <t xml:space="preserve"> &lt;[[TCDeals] - [TC Property Current Stage (Seq: 1)] Has Federal Subsidies - Send]&gt;</t>
        </r>
      </text>
    </comment>
    <comment ref="Z39" authorId="0" shapeId="0" xr:uid="{C2D12410-199A-4017-87F9-8C216136FA0B}">
      <text>
        <r>
          <rPr>
            <b/>
            <sz val="9"/>
            <color indexed="81"/>
            <rFont val="Tahoma"/>
            <family val="2"/>
          </rPr>
          <t xml:space="preserve"> &lt;[[TCDeals] - [Associated DEV Deal (Seq: 1)] Developer Name - Send]&gt;</t>
        </r>
      </text>
    </comment>
    <comment ref="C51" authorId="0" shapeId="0" xr:uid="{06814286-3DE6-4E21-8945-EAD790A08F96}">
      <text>
        <r>
          <rPr>
            <b/>
            <sz val="9"/>
            <color indexed="81"/>
            <rFont val="Tahoma"/>
            <family val="2"/>
          </rPr>
          <t xml:space="preserve"> &lt;[[TCDeals] - [TC Property Current Stage (Seq: 1)] Site Acreage - Send]&gt;</t>
        </r>
      </text>
    </comment>
    <comment ref="Z52" authorId="0" shapeId="0" xr:uid="{AB898156-B90C-420A-BDED-587B83C0FF66}">
      <text>
        <r>
          <rPr>
            <b/>
            <sz val="9"/>
            <color indexed="81"/>
            <rFont val="Tahoma"/>
            <family val="2"/>
          </rPr>
          <t xml:space="preserve"> &lt;[[TCDeals] - [Associated DEV Deal (Seq: 1)] - [Deal Property (Seq: 1)] Year Built - Send]&gt;</t>
        </r>
      </text>
    </comment>
    <comment ref="C53" authorId="0" shapeId="0" xr:uid="{7B580418-3573-431F-838B-CAB20C2F5A56}">
      <text>
        <r>
          <rPr>
            <b/>
            <sz val="9"/>
            <color indexed="81"/>
            <rFont val="Tahoma"/>
            <family val="2"/>
          </rPr>
          <t xml:space="preserve"> &lt;[[TCDeals] - [TC Property Current Stage (Seq: 1)] Description - Send]&gt;</t>
        </r>
      </text>
    </comment>
    <comment ref="Z53" authorId="0" shapeId="0" xr:uid="{ACFD202E-C8FD-4CA6-849F-DDCB2A8E8F2B}">
      <text>
        <r>
          <rPr>
            <b/>
            <sz val="9"/>
            <color indexed="81"/>
            <rFont val="Tahoma"/>
            <family val="2"/>
          </rPr>
          <t xml:space="preserve"> &lt;[[TCDeals] - [Associated DEV Deal (Seq: 1)] - [Deal Property (Seq: 1)] Overall Site Description - Send]&gt;</t>
        </r>
      </text>
    </comment>
    <comment ref="C54" authorId="0" shapeId="0" xr:uid="{9320AD83-CC83-4A0B-86D3-E676B155F3B0}">
      <text>
        <r>
          <rPr>
            <b/>
            <sz val="9"/>
            <color indexed="81"/>
            <rFont val="Tahoma"/>
            <family val="2"/>
          </rPr>
          <t xml:space="preserve"> &lt;[[TCDeals] - [TC Property Current Stage (Seq: 1)] - [TC Property Current Stage - User Defined Field Values (Seq: 1)] Multi Family Application - Total Buildable Acreage - Send]&gt;</t>
        </r>
      </text>
    </comment>
    <comment ref="C55" authorId="0" shapeId="0" xr:uid="{03BC7E81-E7D7-4BEA-B559-51BBE11FD72B}">
      <text>
        <r>
          <rPr>
            <b/>
            <sz val="9"/>
            <color indexed="81"/>
            <rFont val="Tahoma"/>
            <family val="2"/>
          </rPr>
          <t xml:space="preserve"> &lt;[[TCDeals] - [TC Property Current Stage (Seq: 1)] - [TC Property Current Stage - User Defined Field Values (Seq: 1)] Multi Family Application - Demolition Required? - Send]&gt;</t>
        </r>
      </text>
    </comment>
    <comment ref="C56" authorId="0" shapeId="0" xr:uid="{E7426C6F-B81A-4676-AA38-2B05CF9988CF}">
      <text>
        <r>
          <rPr>
            <b/>
            <sz val="9"/>
            <color indexed="81"/>
            <rFont val="Tahoma"/>
            <family val="2"/>
          </rPr>
          <t xml:space="preserve"> &lt;[[TCDeals] - [TC Property Current Stage (Seq: 1)] - [TC Property Current Stage - User Defined Field Values (Seq: 1)] Multi Family Application - Existing buildings currently occupied? - Send]&gt;</t>
        </r>
      </text>
    </comment>
    <comment ref="C57" authorId="0" shapeId="0" xr:uid="{54A69213-662D-47FD-871A-E8C46162987D}">
      <text>
        <r>
          <rPr>
            <b/>
            <sz val="9"/>
            <color indexed="81"/>
            <rFont val="Tahoma"/>
            <family val="2"/>
          </rPr>
          <t xml:space="preserve"> &lt;[[TCDeals] - [TC Property Current Stage (Seq: 1)] - [TC Property Current Stage - User Defined Field Values (Seq: 1)] Multi Family Application - Will tenant be temporarily displaced? - Send]&gt;</t>
        </r>
      </text>
    </comment>
    <comment ref="C58" authorId="0" shapeId="0" xr:uid="{F93A615C-EB15-42F5-82BF-A7F3E8DC191B}">
      <text>
        <r>
          <rPr>
            <b/>
            <sz val="9"/>
            <color indexed="81"/>
            <rFont val="Tahoma"/>
            <family val="2"/>
          </rPr>
          <t xml:space="preserve"> &lt;[[TCDeals] - [TC Property Current Stage (Seq: 1)] - [TC Property Current Stage - User Defined Field Values (Seq: 1)] Multi Family Application - Will tenant be permanently displaced? - Send]&gt;</t>
        </r>
      </text>
    </comment>
    <comment ref="C59" authorId="0" shapeId="0" xr:uid="{66ABF5AC-21B7-4565-990D-C29334042567}">
      <text>
        <r>
          <rPr>
            <b/>
            <sz val="9"/>
            <color indexed="81"/>
            <rFont val="Tahoma"/>
            <family val="2"/>
          </rPr>
          <t xml:space="preserve"> &lt;[[TCDeals] - [TC Property Current Stage (Seq: 1)] - [TC Property Current Stage - User Defined Field Values (Seq: 1)] Multi Family Application - Any part of site located in flood zone? - Send]&gt;</t>
        </r>
      </text>
    </comment>
    <comment ref="C64" authorId="0" shapeId="0" xr:uid="{B93D9251-D6B0-4811-8A8B-999EAA1E893E}">
      <text>
        <r>
          <rPr>
            <b/>
            <sz val="9"/>
            <color indexed="81"/>
            <rFont val="Tahoma"/>
            <family val="2"/>
          </rPr>
          <t xml:space="preserve"> &lt;[[TCDeals] - [TC Property Current Stage (Seq: 1)] - [Buildings (Seq: 1)] Address 1 - Send]&gt;</t>
        </r>
      </text>
    </comment>
    <comment ref="E64" authorId="0" shapeId="0" xr:uid="{B3DF1C9F-E661-4643-B1B3-72065E2DAF1A}">
      <text>
        <r>
          <rPr>
            <b/>
            <sz val="9"/>
            <color indexed="81"/>
            <rFont val="Tahoma"/>
            <family val="2"/>
          </rPr>
          <t xml:space="preserve"> &lt;[[TCDeals] - [TC Property Current Stage (Seq: 1)] - [Buildings (Seq: 1)] City - Send]&gt;</t>
        </r>
      </text>
    </comment>
    <comment ref="H64" authorId="0" shapeId="0" xr:uid="{EAACAB03-60CB-4C1B-BA5A-29F0469BDD3A}">
      <text>
        <r>
          <rPr>
            <b/>
            <sz val="9"/>
            <color indexed="81"/>
            <rFont val="Tahoma"/>
            <family val="2"/>
          </rPr>
          <t xml:space="preserve"> &lt;[[TCDeals] - [TC Property Current Stage (Seq: 1)] - [Buildings (Seq: 1)] State - Send]&gt;</t>
        </r>
      </text>
    </comment>
    <comment ref="J64" authorId="0" shapeId="0" xr:uid="{ACA160AB-41CE-417E-A807-A8AB90499583}">
      <text>
        <r>
          <rPr>
            <b/>
            <sz val="9"/>
            <color indexed="81"/>
            <rFont val="Tahoma"/>
            <family val="2"/>
          </rPr>
          <t xml:space="preserve"> &lt;[[TCDeals] - [TC Property Current Stage (Seq: 1)] - [Buildings (Seq: 1)] Zip Code - Send]&gt;</t>
        </r>
      </text>
    </comment>
    <comment ref="L64" authorId="0" shapeId="0" xr:uid="{F79D7E0D-4847-4F95-BBAC-B962565C8361}">
      <text>
        <r>
          <rPr>
            <b/>
            <sz val="9"/>
            <color indexed="81"/>
            <rFont val="Tahoma"/>
            <family val="2"/>
          </rPr>
          <t xml:space="preserve"> &lt;[[TCDeals] - [TC Property Current Stage (Seq: 1)] - [Buildings (Seq: 1)] Num Mkt Units - Send]&gt;</t>
        </r>
      </text>
    </comment>
    <comment ref="N64" authorId="0" shapeId="0" xr:uid="{85DC9758-8C04-46A4-9E59-D38BBBBD107D}">
      <text>
        <r>
          <rPr>
            <b/>
            <sz val="9"/>
            <color indexed="81"/>
            <rFont val="Tahoma"/>
            <family val="2"/>
          </rPr>
          <t xml:space="preserve"> &lt;[[TCDeals] - [TC Property Current Stage (Seq: 1)] - [Buildings (Seq: 1)] Num TC Units - Send]&gt;</t>
        </r>
      </text>
    </comment>
    <comment ref="C65" authorId="0" shapeId="0" xr:uid="{A77DF015-5767-41A2-9F8D-75328D18F9BC}">
      <text>
        <r>
          <rPr>
            <b/>
            <sz val="9"/>
            <color indexed="81"/>
            <rFont val="Tahoma"/>
            <family val="2"/>
          </rPr>
          <t xml:space="preserve"> &lt;[[TCDeals] - [TC Property Current Stage (Seq: 1)] - [Buildings (Seq: 2)] Address 1 - Send]&gt;</t>
        </r>
      </text>
    </comment>
    <comment ref="E65" authorId="0" shapeId="0" xr:uid="{10E12C99-0F9E-4B7C-B394-77E11F024C27}">
      <text>
        <r>
          <rPr>
            <b/>
            <sz val="9"/>
            <color indexed="81"/>
            <rFont val="Tahoma"/>
            <family val="2"/>
          </rPr>
          <t xml:space="preserve"> &lt;[[TCDeals] - [TC Property Current Stage (Seq: 1)] - [Buildings (Seq: 2)] City - Send]&gt;</t>
        </r>
      </text>
    </comment>
    <comment ref="H65" authorId="0" shapeId="0" xr:uid="{29650B3E-0BA9-459F-84FB-C36C41D59BAC}">
      <text>
        <r>
          <rPr>
            <b/>
            <sz val="9"/>
            <color indexed="81"/>
            <rFont val="Tahoma"/>
            <family val="2"/>
          </rPr>
          <t xml:space="preserve"> &lt;[[TCDeals] - [TC Property Current Stage (Seq: 1)] - [Buildings (Seq: 2)] State - Send]&gt;</t>
        </r>
      </text>
    </comment>
    <comment ref="J65" authorId="0" shapeId="0" xr:uid="{DAE6908E-4CF7-4CDE-B0E7-8B9A514DEA8D}">
      <text>
        <r>
          <rPr>
            <b/>
            <sz val="9"/>
            <color indexed="81"/>
            <rFont val="Tahoma"/>
            <family val="2"/>
          </rPr>
          <t xml:space="preserve"> &lt;[[TCDeals] - [TC Property Current Stage (Seq: 1)] - [Buildings (Seq: 2)] Zip Code - Send]&gt;</t>
        </r>
      </text>
    </comment>
    <comment ref="L65" authorId="0" shapeId="0" xr:uid="{D0D67549-E1F5-4061-A397-84C587F0A49B}">
      <text>
        <r>
          <rPr>
            <b/>
            <sz val="9"/>
            <color indexed="81"/>
            <rFont val="Tahoma"/>
            <family val="2"/>
          </rPr>
          <t xml:space="preserve"> &lt;[[TCDeals] - [TC Property Current Stage (Seq: 1)] - [Buildings (Seq: 2)] Num Mkt Units - Send]&gt;</t>
        </r>
      </text>
    </comment>
    <comment ref="N65" authorId="0" shapeId="0" xr:uid="{8A56F816-C941-4055-95FC-8ACE640C0D9A}">
      <text>
        <r>
          <rPr>
            <b/>
            <sz val="9"/>
            <color indexed="81"/>
            <rFont val="Tahoma"/>
            <family val="2"/>
          </rPr>
          <t xml:space="preserve"> &lt;[[TCDeals] - [TC Property Current Stage (Seq: 1)] - [Buildings (Seq: 2)] Num TC Units - Send]&gt;</t>
        </r>
      </text>
    </comment>
    <comment ref="C66" authorId="0" shapeId="0" xr:uid="{7982BBE1-6334-4506-9106-9E3C05900826}">
      <text>
        <r>
          <rPr>
            <b/>
            <sz val="9"/>
            <color indexed="81"/>
            <rFont val="Tahoma"/>
            <family val="2"/>
          </rPr>
          <t xml:space="preserve"> &lt;[[TCDeals] - [TC Property Current Stage (Seq: 1)] - [Buildings (Seq: 3)] Address 1 - Send]&gt;</t>
        </r>
      </text>
    </comment>
    <comment ref="E66" authorId="0" shapeId="0" xr:uid="{D57168AA-A058-4099-95C2-455B7DBD0CA3}">
      <text>
        <r>
          <rPr>
            <b/>
            <sz val="9"/>
            <color indexed="81"/>
            <rFont val="Tahoma"/>
            <family val="2"/>
          </rPr>
          <t xml:space="preserve"> &lt;[[TCDeals] - [TC Property Current Stage (Seq: 1)] - [Buildings (Seq: 3)] City - Send]&gt;</t>
        </r>
      </text>
    </comment>
    <comment ref="H66" authorId="0" shapeId="0" xr:uid="{FEF3BE9E-5A77-4E7F-8BDA-2A5A9CC398A4}">
      <text>
        <r>
          <rPr>
            <b/>
            <sz val="9"/>
            <color indexed="81"/>
            <rFont val="Tahoma"/>
            <family val="2"/>
          </rPr>
          <t xml:space="preserve"> &lt;[[TCDeals] - [TC Property Current Stage (Seq: 1)] - [Buildings (Seq: 3)] State - Send]&gt;</t>
        </r>
      </text>
    </comment>
    <comment ref="J66" authorId="0" shapeId="0" xr:uid="{B92856AB-F9A6-4D8A-9B8B-27CA06EEAA4C}">
      <text>
        <r>
          <rPr>
            <b/>
            <sz val="9"/>
            <color indexed="81"/>
            <rFont val="Tahoma"/>
            <family val="2"/>
          </rPr>
          <t xml:space="preserve"> &lt;[[TCDeals] - [TC Property Current Stage (Seq: 1)] - [Buildings (Seq: 3)] Zip Code - Send]&gt;</t>
        </r>
      </text>
    </comment>
    <comment ref="L66" authorId="0" shapeId="0" xr:uid="{66DD4D5E-9AB3-4087-9A61-0B609A36F356}">
      <text>
        <r>
          <rPr>
            <b/>
            <sz val="9"/>
            <color indexed="81"/>
            <rFont val="Tahoma"/>
            <family val="2"/>
          </rPr>
          <t xml:space="preserve"> &lt;[[TCDeals] - [TC Property Current Stage (Seq: 1)] - [Buildings (Seq: 3)] Num Mkt Units - Send]&gt;</t>
        </r>
      </text>
    </comment>
    <comment ref="N66" authorId="0" shapeId="0" xr:uid="{F5939721-B584-4CD3-A2E3-EA1DDAF3FA15}">
      <text>
        <r>
          <rPr>
            <b/>
            <sz val="9"/>
            <color indexed="81"/>
            <rFont val="Tahoma"/>
            <family val="2"/>
          </rPr>
          <t xml:space="preserve"> &lt;[[TCDeals] - [TC Property Current Stage (Seq: 1)] - [Buildings (Seq: 3)] Num TC Units - Send]&gt;</t>
        </r>
      </text>
    </comment>
    <comment ref="C67" authorId="0" shapeId="0" xr:uid="{62B4ADE3-1615-4773-91EF-3EE0F598B1E6}">
      <text>
        <r>
          <rPr>
            <b/>
            <sz val="9"/>
            <color indexed="81"/>
            <rFont val="Tahoma"/>
            <family val="2"/>
          </rPr>
          <t xml:space="preserve"> &lt;[[TCDeals] - [TC Property Current Stage (Seq: 1)] - [Buildings (Seq: 4)] Address 1 - Send]&gt;</t>
        </r>
      </text>
    </comment>
    <comment ref="E67" authorId="0" shapeId="0" xr:uid="{94AC797E-9A2A-4650-A6E9-D101D24E0FA2}">
      <text>
        <r>
          <rPr>
            <b/>
            <sz val="9"/>
            <color indexed="81"/>
            <rFont val="Tahoma"/>
            <family val="2"/>
          </rPr>
          <t xml:space="preserve"> &lt;[[TCDeals] - [TC Property Current Stage (Seq: 1)] - [Buildings (Seq: 4)] City - Send]&gt;</t>
        </r>
      </text>
    </comment>
    <comment ref="H67" authorId="0" shapeId="0" xr:uid="{DC5ED224-BDD3-4308-AE6D-40BCD7F97D8F}">
      <text>
        <r>
          <rPr>
            <b/>
            <sz val="9"/>
            <color indexed="81"/>
            <rFont val="Tahoma"/>
            <family val="2"/>
          </rPr>
          <t xml:space="preserve"> &lt;[[TCDeals] - [TC Property Current Stage (Seq: 1)] - [Buildings (Seq: 4)] State - Send]&gt;</t>
        </r>
      </text>
    </comment>
    <comment ref="J67" authorId="0" shapeId="0" xr:uid="{ECE5F9B7-27CC-4D8A-9F0A-A8DCF00A88B7}">
      <text>
        <r>
          <rPr>
            <b/>
            <sz val="9"/>
            <color indexed="81"/>
            <rFont val="Tahoma"/>
            <family val="2"/>
          </rPr>
          <t xml:space="preserve"> &lt;[[TCDeals] - [TC Property Current Stage (Seq: 1)] - [Buildings (Seq: 4)] Zip Code - Send]&gt;</t>
        </r>
      </text>
    </comment>
    <comment ref="L67" authorId="0" shapeId="0" xr:uid="{6FE43C7F-5D85-44E3-A181-25010042D338}">
      <text>
        <r>
          <rPr>
            <b/>
            <sz val="9"/>
            <color indexed="81"/>
            <rFont val="Tahoma"/>
            <family val="2"/>
          </rPr>
          <t xml:space="preserve"> &lt;[[TCDeals] - [TC Property Current Stage (Seq: 1)] - [Buildings (Seq: 4)] Num Mkt Units - Send]&gt;</t>
        </r>
      </text>
    </comment>
    <comment ref="N67" authorId="0" shapeId="0" xr:uid="{375EFB5F-16B8-47ED-AA66-9105FEFD469A}">
      <text>
        <r>
          <rPr>
            <b/>
            <sz val="9"/>
            <color indexed="81"/>
            <rFont val="Tahoma"/>
            <family val="2"/>
          </rPr>
          <t xml:space="preserve"> &lt;[[TCDeals] - [TC Property Current Stage (Seq: 1)] - [Buildings (Seq: 4)] Num TC Units - Send]&gt;</t>
        </r>
      </text>
    </comment>
    <comment ref="C68" authorId="0" shapeId="0" xr:uid="{B3DAD5E7-0744-45C0-A455-B16205F14B48}">
      <text>
        <r>
          <rPr>
            <b/>
            <sz val="9"/>
            <color indexed="81"/>
            <rFont val="Tahoma"/>
            <family val="2"/>
          </rPr>
          <t xml:space="preserve"> &lt;[[TCDeals] - [TC Property Current Stage (Seq: 1)] - [Buildings (Seq: 5)] Address 1 - Send]&gt;</t>
        </r>
      </text>
    </comment>
    <comment ref="E68" authorId="0" shapeId="0" xr:uid="{2999BF4B-DAD5-4AE6-9C7B-6E634C30C552}">
      <text>
        <r>
          <rPr>
            <b/>
            <sz val="9"/>
            <color indexed="81"/>
            <rFont val="Tahoma"/>
            <family val="2"/>
          </rPr>
          <t xml:space="preserve"> &lt;[[TCDeals] - [TC Property Current Stage (Seq: 1)] - [Buildings (Seq: 5)] City - Send]&gt;</t>
        </r>
      </text>
    </comment>
    <comment ref="H68" authorId="0" shapeId="0" xr:uid="{70704225-72BB-45A4-9148-7E797B2E725D}">
      <text>
        <r>
          <rPr>
            <b/>
            <sz val="9"/>
            <color indexed="81"/>
            <rFont val="Tahoma"/>
            <family val="2"/>
          </rPr>
          <t xml:space="preserve"> &lt;[[TCDeals] - [TC Property Current Stage (Seq: 1)] - [Buildings (Seq: 5)] State - Send]&gt;</t>
        </r>
      </text>
    </comment>
    <comment ref="J68" authorId="0" shapeId="0" xr:uid="{CF3999C1-D62A-4E98-ADC8-6E603833C496}">
      <text>
        <r>
          <rPr>
            <b/>
            <sz val="9"/>
            <color indexed="81"/>
            <rFont val="Tahoma"/>
            <family val="2"/>
          </rPr>
          <t xml:space="preserve"> &lt;[[TCDeals] - [TC Property Current Stage (Seq: 1)] - [Buildings (Seq: 5)] Zip Code - Send]&gt;</t>
        </r>
      </text>
    </comment>
    <comment ref="L68" authorId="0" shapeId="0" xr:uid="{48C1485D-2105-4815-AC01-719E7E70BD33}">
      <text>
        <r>
          <rPr>
            <b/>
            <sz val="9"/>
            <color indexed="81"/>
            <rFont val="Tahoma"/>
            <family val="2"/>
          </rPr>
          <t xml:space="preserve"> &lt;[[TCDeals] - [TC Property Current Stage (Seq: 1)] - [Buildings (Seq: 5)] Num Mkt Units - Send]&gt;</t>
        </r>
      </text>
    </comment>
    <comment ref="N68" authorId="0" shapeId="0" xr:uid="{E17E4B97-9A3A-4F84-A21C-45C989F97F1D}">
      <text>
        <r>
          <rPr>
            <b/>
            <sz val="9"/>
            <color indexed="81"/>
            <rFont val="Tahoma"/>
            <family val="2"/>
          </rPr>
          <t xml:space="preserve"> &lt;[[TCDeals] - [TC Property Current Stage (Seq: 1)] - [Buildings (Seq: 5)] Num TC Units - Send]&gt;</t>
        </r>
      </text>
    </comment>
    <comment ref="C69" authorId="0" shapeId="0" xr:uid="{BAA650A2-2AD4-4E48-85AC-607DC728B0DA}">
      <text>
        <r>
          <rPr>
            <b/>
            <sz val="9"/>
            <color indexed="81"/>
            <rFont val="Tahoma"/>
            <family val="2"/>
          </rPr>
          <t xml:space="preserve"> &lt;[[TCDeals] - [TC Property Current Stage (Seq: 1)] - [Buildings (Seq: 6)] Address 1 - Send]&gt;</t>
        </r>
      </text>
    </comment>
    <comment ref="E69" authorId="0" shapeId="0" xr:uid="{769E3FE7-CEEE-4131-B7A6-594F3E0F53CA}">
      <text>
        <r>
          <rPr>
            <b/>
            <sz val="9"/>
            <color indexed="81"/>
            <rFont val="Tahoma"/>
            <family val="2"/>
          </rPr>
          <t xml:space="preserve"> &lt;[[TCDeals] - [TC Property Current Stage (Seq: 1)] - [Buildings (Seq: 6)] City - Send]&gt;</t>
        </r>
      </text>
    </comment>
    <comment ref="H69" authorId="0" shapeId="0" xr:uid="{248E220E-1219-4F4E-BFF7-074A76F81444}">
      <text>
        <r>
          <rPr>
            <b/>
            <sz val="9"/>
            <color indexed="81"/>
            <rFont val="Tahoma"/>
            <family val="2"/>
          </rPr>
          <t xml:space="preserve"> &lt;[[TCDeals] - [TC Property Current Stage (Seq: 1)] - [Buildings (Seq: 6)] State - Send]&gt;</t>
        </r>
      </text>
    </comment>
    <comment ref="J69" authorId="0" shapeId="0" xr:uid="{F6E379FE-3DE3-40AA-8C89-5EC47AC51E0E}">
      <text>
        <r>
          <rPr>
            <b/>
            <sz val="9"/>
            <color indexed="81"/>
            <rFont val="Tahoma"/>
            <family val="2"/>
          </rPr>
          <t xml:space="preserve"> &lt;[[TCDeals] - [TC Property Current Stage (Seq: 1)] - [Buildings (Seq: 6)] Zip Code - Send]&gt;</t>
        </r>
      </text>
    </comment>
    <comment ref="L69" authorId="0" shapeId="0" xr:uid="{9D90319B-E077-4B23-AED7-9CEF45011A26}">
      <text>
        <r>
          <rPr>
            <b/>
            <sz val="9"/>
            <color indexed="81"/>
            <rFont val="Tahoma"/>
            <family val="2"/>
          </rPr>
          <t xml:space="preserve"> &lt;[[TCDeals] - [TC Property Current Stage (Seq: 1)] - [Buildings (Seq: 6)] Num Mkt Units - Send]&gt;</t>
        </r>
      </text>
    </comment>
    <comment ref="N69" authorId="0" shapeId="0" xr:uid="{DF64853A-5F1F-444F-A84B-669D115CFDC0}">
      <text>
        <r>
          <rPr>
            <b/>
            <sz val="9"/>
            <color indexed="81"/>
            <rFont val="Tahoma"/>
            <family val="2"/>
          </rPr>
          <t xml:space="preserve"> &lt;[[TCDeals] - [TC Property Current Stage (Seq: 1)] - [Buildings (Seq: 6)] Num TC Units - Send]&gt;</t>
        </r>
      </text>
    </comment>
    <comment ref="C70" authorId="0" shapeId="0" xr:uid="{B57DA7B8-7E2A-4350-9555-0A790EC68FAC}">
      <text>
        <r>
          <rPr>
            <b/>
            <sz val="9"/>
            <color indexed="81"/>
            <rFont val="Tahoma"/>
            <family val="2"/>
          </rPr>
          <t xml:space="preserve"> &lt;[[TCDeals] - [TC Property Current Stage (Seq: 1)] - [Buildings (Seq: 7)] Address 1 - Send]&gt;</t>
        </r>
      </text>
    </comment>
    <comment ref="E70" authorId="0" shapeId="0" xr:uid="{98963A00-8FAB-43D0-A2CD-2BFDF080D5B1}">
      <text>
        <r>
          <rPr>
            <b/>
            <sz val="9"/>
            <color indexed="81"/>
            <rFont val="Tahoma"/>
            <family val="2"/>
          </rPr>
          <t xml:space="preserve"> &lt;[[TCDeals] - [TC Property Current Stage (Seq: 1)] - [Buildings (Seq: 7)] City - Send]&gt;</t>
        </r>
      </text>
    </comment>
    <comment ref="H70" authorId="0" shapeId="0" xr:uid="{39CFDF41-7EAD-44F2-9706-F3F3416CE254}">
      <text>
        <r>
          <rPr>
            <b/>
            <sz val="9"/>
            <color indexed="81"/>
            <rFont val="Tahoma"/>
            <family val="2"/>
          </rPr>
          <t xml:space="preserve"> &lt;[[TCDeals] - [TC Property Current Stage (Seq: 1)] - [Buildings (Seq: 7)] State - Send]&gt;</t>
        </r>
      </text>
    </comment>
    <comment ref="J70" authorId="0" shapeId="0" xr:uid="{B8302EB6-EE26-4CE0-895D-4E5BC7664E02}">
      <text>
        <r>
          <rPr>
            <b/>
            <sz val="9"/>
            <color indexed="81"/>
            <rFont val="Tahoma"/>
            <family val="2"/>
          </rPr>
          <t xml:space="preserve"> &lt;[[TCDeals] - [TC Property Current Stage (Seq: 1)] - [Buildings (Seq: 7)] Zip Code - Send]&gt;</t>
        </r>
      </text>
    </comment>
    <comment ref="L70" authorId="0" shapeId="0" xr:uid="{42C88C53-1A62-41A7-AD28-16AA5FFB2C50}">
      <text>
        <r>
          <rPr>
            <b/>
            <sz val="9"/>
            <color indexed="81"/>
            <rFont val="Tahoma"/>
            <family val="2"/>
          </rPr>
          <t xml:space="preserve"> &lt;[[TCDeals] - [TC Property Current Stage (Seq: 1)] - [Buildings (Seq: 7)] Num Mkt Units - Send]&gt;</t>
        </r>
      </text>
    </comment>
    <comment ref="N70" authorId="0" shapeId="0" xr:uid="{726E9EB6-FC6C-425A-A1A5-673EC68DD37C}">
      <text>
        <r>
          <rPr>
            <b/>
            <sz val="9"/>
            <color indexed="81"/>
            <rFont val="Tahoma"/>
            <family val="2"/>
          </rPr>
          <t xml:space="preserve"> &lt;[[TCDeals] - [TC Property Current Stage (Seq: 1)] - [Buildings (Seq: 7)] Num TC Units - Send]&gt;</t>
        </r>
      </text>
    </comment>
    <comment ref="C71" authorId="0" shapeId="0" xr:uid="{1BDA36C1-997D-4F51-804C-3066BDFB8339}">
      <text>
        <r>
          <rPr>
            <b/>
            <sz val="9"/>
            <color indexed="81"/>
            <rFont val="Tahoma"/>
            <family val="2"/>
          </rPr>
          <t xml:space="preserve"> &lt;[[TCDeals] - [TC Property Current Stage (Seq: 1)] - [Buildings (Seq: 8)] Address 1 - Send]&gt;</t>
        </r>
      </text>
    </comment>
    <comment ref="E71" authorId="0" shapeId="0" xr:uid="{9DCD28FB-2ED5-49EB-BE22-5F0637772851}">
      <text>
        <r>
          <rPr>
            <b/>
            <sz val="9"/>
            <color indexed="81"/>
            <rFont val="Tahoma"/>
            <family val="2"/>
          </rPr>
          <t xml:space="preserve"> &lt;[[TCDeals] - [TC Property Current Stage (Seq: 1)] - [Buildings (Seq: 8)] City - Send]&gt;</t>
        </r>
      </text>
    </comment>
    <comment ref="H71" authorId="0" shapeId="0" xr:uid="{5A42C72F-5BC2-4265-8B82-0FECAC88E3F4}">
      <text>
        <r>
          <rPr>
            <b/>
            <sz val="9"/>
            <color indexed="81"/>
            <rFont val="Tahoma"/>
            <family val="2"/>
          </rPr>
          <t xml:space="preserve"> &lt;[[TCDeals] - [TC Property Current Stage (Seq: 1)] - [Buildings (Seq: 8)] State - Send]&gt;</t>
        </r>
      </text>
    </comment>
    <comment ref="J71" authorId="0" shapeId="0" xr:uid="{69E535CF-71A9-488B-823B-4CDB115CF732}">
      <text>
        <r>
          <rPr>
            <b/>
            <sz val="9"/>
            <color indexed="81"/>
            <rFont val="Tahoma"/>
            <family val="2"/>
          </rPr>
          <t xml:space="preserve"> &lt;[[TCDeals] - [TC Property Current Stage (Seq: 1)] - [Buildings (Seq: 8)] Zip Code - Send]&gt;</t>
        </r>
      </text>
    </comment>
    <comment ref="L71" authorId="0" shapeId="0" xr:uid="{49561CBE-27CA-4CD8-9AB8-6B16F3C9AEC6}">
      <text>
        <r>
          <rPr>
            <b/>
            <sz val="9"/>
            <color indexed="81"/>
            <rFont val="Tahoma"/>
            <family val="2"/>
          </rPr>
          <t xml:space="preserve"> &lt;[[TCDeals] - [TC Property Current Stage (Seq: 1)] - [Buildings (Seq: 8)] Num Mkt Units - Send]&gt;</t>
        </r>
      </text>
    </comment>
    <comment ref="N71" authorId="0" shapeId="0" xr:uid="{136ABB6F-0DA8-4FAC-B1A4-B866D01FEE8B}">
      <text>
        <r>
          <rPr>
            <b/>
            <sz val="9"/>
            <color indexed="81"/>
            <rFont val="Tahoma"/>
            <family val="2"/>
          </rPr>
          <t xml:space="preserve"> &lt;[[TCDeals] - [TC Property Current Stage (Seq: 1)] - [Buildings (Seq: 8)] Num TC Units - Send]&gt;</t>
        </r>
      </text>
    </comment>
    <comment ref="C72" authorId="0" shapeId="0" xr:uid="{4C3166ED-896B-4D20-A223-79710C1A7568}">
      <text>
        <r>
          <rPr>
            <b/>
            <sz val="9"/>
            <color indexed="81"/>
            <rFont val="Tahoma"/>
            <family val="2"/>
          </rPr>
          <t xml:space="preserve"> &lt;[[TCDeals] - [TC Property Current Stage (Seq: 1)] - [Buildings (Seq: 9)] Address 1 - Send]&gt;</t>
        </r>
      </text>
    </comment>
    <comment ref="E72" authorId="0" shapeId="0" xr:uid="{17D04520-5184-41EA-92E6-0A4C04A9F116}">
      <text>
        <r>
          <rPr>
            <b/>
            <sz val="9"/>
            <color indexed="81"/>
            <rFont val="Tahoma"/>
            <family val="2"/>
          </rPr>
          <t xml:space="preserve"> &lt;[[TCDeals] - [TC Property Current Stage (Seq: 1)] - [Buildings (Seq: 9)] City - Send]&gt;</t>
        </r>
      </text>
    </comment>
    <comment ref="H72" authorId="0" shapeId="0" xr:uid="{371C24FC-963F-4791-B9E2-7E01B14B8889}">
      <text>
        <r>
          <rPr>
            <b/>
            <sz val="9"/>
            <color indexed="81"/>
            <rFont val="Tahoma"/>
            <family val="2"/>
          </rPr>
          <t xml:space="preserve"> &lt;[[TCDeals] - [TC Property Current Stage (Seq: 1)] - [Buildings (Seq: 9)] State - Send]&gt;</t>
        </r>
      </text>
    </comment>
    <comment ref="J72" authorId="0" shapeId="0" xr:uid="{B49ABE15-F0FD-45CA-91AF-F212A706A1B1}">
      <text>
        <r>
          <rPr>
            <b/>
            <sz val="9"/>
            <color indexed="81"/>
            <rFont val="Tahoma"/>
            <family val="2"/>
          </rPr>
          <t xml:space="preserve"> &lt;[[TCDeals] - [TC Property Current Stage (Seq: 1)] - [Buildings (Seq: 9)] Zip Code - Send]&gt;</t>
        </r>
      </text>
    </comment>
    <comment ref="L72" authorId="0" shapeId="0" xr:uid="{22A33831-973E-4E21-8B1A-1E442EE9D5B8}">
      <text>
        <r>
          <rPr>
            <b/>
            <sz val="9"/>
            <color indexed="81"/>
            <rFont val="Tahoma"/>
            <family val="2"/>
          </rPr>
          <t xml:space="preserve"> &lt;[[TCDeals] - [TC Property Current Stage (Seq: 1)] - [Buildings (Seq: 9)] Num Mkt Units - Send]&gt;</t>
        </r>
      </text>
    </comment>
    <comment ref="N72" authorId="0" shapeId="0" xr:uid="{9B9DAE53-3D16-4547-83B2-D89426385A80}">
      <text>
        <r>
          <rPr>
            <b/>
            <sz val="9"/>
            <color indexed="81"/>
            <rFont val="Tahoma"/>
            <family val="2"/>
          </rPr>
          <t xml:space="preserve"> &lt;[[TCDeals] - [TC Property Current Stage (Seq: 1)] - [Buildings (Seq: 9)] Num TC Units - Send]&gt;</t>
        </r>
      </text>
    </comment>
    <comment ref="C73" authorId="0" shapeId="0" xr:uid="{073FD6CD-715D-418D-A3A0-7BBBC98A6AD8}">
      <text>
        <r>
          <rPr>
            <b/>
            <sz val="9"/>
            <color indexed="81"/>
            <rFont val="Tahoma"/>
            <family val="2"/>
          </rPr>
          <t xml:space="preserve"> &lt;[[TCDeals] - [TC Property Current Stage (Seq: 1)] - [Buildings (Seq: 10)] Address 1 - Send]&gt;</t>
        </r>
      </text>
    </comment>
    <comment ref="E73" authorId="0" shapeId="0" xr:uid="{262A131D-5E6E-40B1-B245-90048E3ECDFB}">
      <text>
        <r>
          <rPr>
            <b/>
            <sz val="9"/>
            <color indexed="81"/>
            <rFont val="Tahoma"/>
            <family val="2"/>
          </rPr>
          <t xml:space="preserve"> &lt;[[TCDeals] - [TC Property Current Stage (Seq: 1)] - [Buildings (Seq: 10)] City - Send]&gt;</t>
        </r>
      </text>
    </comment>
    <comment ref="H73" authorId="0" shapeId="0" xr:uid="{7EF73BD2-15CB-40E1-8B6D-1E4F87719C58}">
      <text>
        <r>
          <rPr>
            <b/>
            <sz val="9"/>
            <color indexed="81"/>
            <rFont val="Tahoma"/>
            <family val="2"/>
          </rPr>
          <t xml:space="preserve"> &lt;[[TCDeals] - [TC Property Current Stage (Seq: 1)] - [Buildings (Seq: 10)] State - Send]&gt;</t>
        </r>
      </text>
    </comment>
    <comment ref="J73" authorId="0" shapeId="0" xr:uid="{E08FD376-1840-4D68-97CC-03C2947E6D0B}">
      <text>
        <r>
          <rPr>
            <b/>
            <sz val="9"/>
            <color indexed="81"/>
            <rFont val="Tahoma"/>
            <family val="2"/>
          </rPr>
          <t xml:space="preserve"> &lt;[[TCDeals] - [TC Property Current Stage (Seq: 1)] - [Buildings (Seq: 10)] Zip Code - Send]&gt;</t>
        </r>
      </text>
    </comment>
    <comment ref="L73" authorId="0" shapeId="0" xr:uid="{6E33CB8F-94E4-48CD-9492-A0290849BB7F}">
      <text>
        <r>
          <rPr>
            <b/>
            <sz val="9"/>
            <color indexed="81"/>
            <rFont val="Tahoma"/>
            <family val="2"/>
          </rPr>
          <t xml:space="preserve"> &lt;[[TCDeals] - [TC Property Current Stage (Seq: 1)] - [Buildings (Seq: 10)] Num Mkt Units - Send]&gt;</t>
        </r>
      </text>
    </comment>
    <comment ref="N73" authorId="0" shapeId="0" xr:uid="{E588DE87-FBD5-476E-9764-6B5DBB4A540A}">
      <text>
        <r>
          <rPr>
            <b/>
            <sz val="9"/>
            <color indexed="81"/>
            <rFont val="Tahoma"/>
            <family val="2"/>
          </rPr>
          <t xml:space="preserve"> &lt;[[TCDeals] - [TC Property Current Stage (Seq: 1)] - [Buildings (Seq: 10)] Num TC Units - Send]&gt;</t>
        </r>
      </text>
    </comment>
    <comment ref="C74" authorId="0" shapeId="0" xr:uid="{084604D3-583F-426C-83D7-299FED885FC3}">
      <text>
        <r>
          <rPr>
            <b/>
            <sz val="9"/>
            <color indexed="81"/>
            <rFont val="Tahoma"/>
            <family val="2"/>
          </rPr>
          <t xml:space="preserve"> &lt;[[TCDeals] - [TC Property Current Stage (Seq: 1)] - [Buildings (Seq: 11)] Address 1 - Send]&gt;</t>
        </r>
      </text>
    </comment>
    <comment ref="E74" authorId="0" shapeId="0" xr:uid="{9C29C811-84FE-4769-A1E5-58FCABFC2FD6}">
      <text>
        <r>
          <rPr>
            <b/>
            <sz val="9"/>
            <color indexed="81"/>
            <rFont val="Tahoma"/>
            <family val="2"/>
          </rPr>
          <t xml:space="preserve"> &lt;[[TCDeals] - [TC Property Current Stage (Seq: 1)] - [Buildings (Seq: 11)] City - Send]&gt;</t>
        </r>
      </text>
    </comment>
    <comment ref="H74" authorId="0" shapeId="0" xr:uid="{B6BF2C3F-D160-4FD5-A80F-9170C4FDFE11}">
      <text>
        <r>
          <rPr>
            <b/>
            <sz val="9"/>
            <color indexed="81"/>
            <rFont val="Tahoma"/>
            <family val="2"/>
          </rPr>
          <t xml:space="preserve"> &lt;[[TCDeals] - [TC Property Current Stage (Seq: 1)] - [Buildings (Seq: 11)] State - Send]&gt;</t>
        </r>
      </text>
    </comment>
    <comment ref="J74" authorId="0" shapeId="0" xr:uid="{A1DB925F-5480-484F-8B42-8DDF13BD7BC7}">
      <text>
        <r>
          <rPr>
            <b/>
            <sz val="9"/>
            <color indexed="81"/>
            <rFont val="Tahoma"/>
            <family val="2"/>
          </rPr>
          <t xml:space="preserve"> &lt;[[TCDeals] - [TC Property Current Stage (Seq: 1)] - [Buildings (Seq: 11)] Zip Code - Send]&gt;</t>
        </r>
      </text>
    </comment>
    <comment ref="L74" authorId="0" shapeId="0" xr:uid="{9CF53B31-456D-4130-86BA-F6F5AF6C6C09}">
      <text>
        <r>
          <rPr>
            <b/>
            <sz val="9"/>
            <color indexed="81"/>
            <rFont val="Tahoma"/>
            <family val="2"/>
          </rPr>
          <t xml:space="preserve"> &lt;[[TCDeals] - [TC Property Current Stage (Seq: 1)] - [Buildings (Seq: 11)] Num Mkt Units - Send]&gt;</t>
        </r>
      </text>
    </comment>
    <comment ref="N74" authorId="0" shapeId="0" xr:uid="{40C40B32-87A0-4F41-BDFC-F0DAE8BBF478}">
      <text>
        <r>
          <rPr>
            <b/>
            <sz val="9"/>
            <color indexed="81"/>
            <rFont val="Tahoma"/>
            <family val="2"/>
          </rPr>
          <t xml:space="preserve"> &lt;[[TCDeals] - [TC Property Current Stage (Seq: 1)] - [Buildings (Seq: 11)] Num TC Units - Send]&gt;</t>
        </r>
      </text>
    </comment>
    <comment ref="C75" authorId="0" shapeId="0" xr:uid="{082D1BD7-3E4F-4C4E-A9B7-314D72E96C3A}">
      <text>
        <r>
          <rPr>
            <b/>
            <sz val="9"/>
            <color indexed="81"/>
            <rFont val="Tahoma"/>
            <family val="2"/>
          </rPr>
          <t xml:space="preserve"> &lt;[[TCDeals] - [TC Property Current Stage (Seq: 1)] - [Buildings (Seq: 12)] Address 1 - Send]&gt;</t>
        </r>
      </text>
    </comment>
    <comment ref="E75" authorId="0" shapeId="0" xr:uid="{81E081A7-F736-4031-BDD0-01E19D3FA007}">
      <text>
        <r>
          <rPr>
            <b/>
            <sz val="9"/>
            <color indexed="81"/>
            <rFont val="Tahoma"/>
            <family val="2"/>
          </rPr>
          <t xml:space="preserve"> &lt;[[TCDeals] - [TC Property Current Stage (Seq: 1)] - [Buildings (Seq: 12)] City - Send]&gt;</t>
        </r>
      </text>
    </comment>
    <comment ref="H75" authorId="0" shapeId="0" xr:uid="{952843EB-DBBD-448D-8EB2-5315A31957D2}">
      <text>
        <r>
          <rPr>
            <b/>
            <sz val="9"/>
            <color indexed="81"/>
            <rFont val="Tahoma"/>
            <family val="2"/>
          </rPr>
          <t xml:space="preserve"> &lt;[[TCDeals] - [TC Property Current Stage (Seq: 1)] - [Buildings (Seq: 12)] State - Send]&gt;</t>
        </r>
      </text>
    </comment>
    <comment ref="J75" authorId="0" shapeId="0" xr:uid="{56A53977-47BE-408B-A6B3-8CECD57C0CF5}">
      <text>
        <r>
          <rPr>
            <b/>
            <sz val="9"/>
            <color indexed="81"/>
            <rFont val="Tahoma"/>
            <family val="2"/>
          </rPr>
          <t xml:space="preserve"> &lt;[[TCDeals] - [TC Property Current Stage (Seq: 1)] - [Buildings (Seq: 12)] Zip Code - Send]&gt;</t>
        </r>
      </text>
    </comment>
    <comment ref="L75" authorId="0" shapeId="0" xr:uid="{323A9BF2-C15D-4F9B-856A-324606156083}">
      <text>
        <r>
          <rPr>
            <b/>
            <sz val="9"/>
            <color indexed="81"/>
            <rFont val="Tahoma"/>
            <family val="2"/>
          </rPr>
          <t xml:space="preserve"> &lt;[[TCDeals] - [TC Property Current Stage (Seq: 1)] - [Buildings (Seq: 12)] Num Mkt Units - Send]&gt;</t>
        </r>
      </text>
    </comment>
    <comment ref="N75" authorId="0" shapeId="0" xr:uid="{56017A5C-9C11-416C-977A-35D68E862DB5}">
      <text>
        <r>
          <rPr>
            <b/>
            <sz val="9"/>
            <color indexed="81"/>
            <rFont val="Tahoma"/>
            <family val="2"/>
          </rPr>
          <t xml:space="preserve"> &lt;[[TCDeals] - [TC Property Current Stage (Seq: 1)] - [Buildings (Seq: 12)] Num TC Units - Send]&gt;</t>
        </r>
      </text>
    </comment>
    <comment ref="C76" authorId="0" shapeId="0" xr:uid="{7CFAABE7-41BF-41F0-867B-1D48BDB0BB97}">
      <text>
        <r>
          <rPr>
            <b/>
            <sz val="9"/>
            <color indexed="81"/>
            <rFont val="Tahoma"/>
            <family val="2"/>
          </rPr>
          <t xml:space="preserve"> &lt;[[TCDeals] - [TC Property Current Stage (Seq: 1)] - [Buildings (Seq: 13)] Address 1 - Send]&gt;</t>
        </r>
      </text>
    </comment>
    <comment ref="E76" authorId="0" shapeId="0" xr:uid="{FE664A94-DD00-41B9-93D9-F340D8BE082E}">
      <text>
        <r>
          <rPr>
            <b/>
            <sz val="9"/>
            <color indexed="81"/>
            <rFont val="Tahoma"/>
            <family val="2"/>
          </rPr>
          <t xml:space="preserve"> &lt;[[TCDeals] - [TC Property Current Stage (Seq: 1)] - [Buildings (Seq: 13)] City - Send]&gt;</t>
        </r>
      </text>
    </comment>
    <comment ref="H76" authorId="0" shapeId="0" xr:uid="{FE06E275-96BE-45F7-9D68-891C5D763DE8}">
      <text>
        <r>
          <rPr>
            <b/>
            <sz val="9"/>
            <color indexed="81"/>
            <rFont val="Tahoma"/>
            <family val="2"/>
          </rPr>
          <t xml:space="preserve"> &lt;[[TCDeals] - [TC Property Current Stage (Seq: 1)] - [Buildings (Seq: 13)] State - Send]&gt;</t>
        </r>
      </text>
    </comment>
    <comment ref="J76" authorId="0" shapeId="0" xr:uid="{DFC7658F-9AF1-4454-8782-F87229FD0C73}">
      <text>
        <r>
          <rPr>
            <b/>
            <sz val="9"/>
            <color indexed="81"/>
            <rFont val="Tahoma"/>
            <family val="2"/>
          </rPr>
          <t xml:space="preserve"> &lt;[[TCDeals] - [TC Property Current Stage (Seq: 1)] - [Buildings (Seq: 13)] Zip Code - Send]&gt;</t>
        </r>
      </text>
    </comment>
    <comment ref="L76" authorId="0" shapeId="0" xr:uid="{E15497A1-BA43-41CA-A52E-392130BD699E}">
      <text>
        <r>
          <rPr>
            <b/>
            <sz val="9"/>
            <color indexed="81"/>
            <rFont val="Tahoma"/>
            <family val="2"/>
          </rPr>
          <t xml:space="preserve"> &lt;[[TCDeals] - [TC Property Current Stage (Seq: 1)] - [Buildings (Seq: 13)] Num Mkt Units - Send]&gt;</t>
        </r>
      </text>
    </comment>
    <comment ref="N76" authorId="0" shapeId="0" xr:uid="{68C6F891-F087-4F2B-80B1-E491439F0AAF}">
      <text>
        <r>
          <rPr>
            <b/>
            <sz val="9"/>
            <color indexed="81"/>
            <rFont val="Tahoma"/>
            <family val="2"/>
          </rPr>
          <t xml:space="preserve"> &lt;[[TCDeals] - [TC Property Current Stage (Seq: 1)] - [Buildings (Seq: 13)] Num TC Units - Send]&gt;</t>
        </r>
      </text>
    </comment>
    <comment ref="C77" authorId="0" shapeId="0" xr:uid="{2C0BA728-FCA6-4CF4-8B77-BED0EB3C266A}">
      <text>
        <r>
          <rPr>
            <b/>
            <sz val="9"/>
            <color indexed="81"/>
            <rFont val="Tahoma"/>
            <family val="2"/>
          </rPr>
          <t xml:space="preserve"> &lt;[[TCDeals] - [TC Property Current Stage (Seq: 1)] - [Buildings (Seq: 14)] Address 1 - Send]&gt;</t>
        </r>
      </text>
    </comment>
    <comment ref="E77" authorId="0" shapeId="0" xr:uid="{D6FF3844-3C8B-4E35-BBFF-0F54432DBD8D}">
      <text>
        <r>
          <rPr>
            <b/>
            <sz val="9"/>
            <color indexed="81"/>
            <rFont val="Tahoma"/>
            <family val="2"/>
          </rPr>
          <t xml:space="preserve"> &lt;[[TCDeals] - [TC Property Current Stage (Seq: 1)] - [Buildings (Seq: 14)] City - Send]&gt;</t>
        </r>
      </text>
    </comment>
    <comment ref="H77" authorId="0" shapeId="0" xr:uid="{23160987-ACAD-4E42-9955-35B40816C0E8}">
      <text>
        <r>
          <rPr>
            <b/>
            <sz val="9"/>
            <color indexed="81"/>
            <rFont val="Tahoma"/>
            <family val="2"/>
          </rPr>
          <t xml:space="preserve"> &lt;[[TCDeals] - [TC Property Current Stage (Seq: 1)] - [Buildings (Seq: 14)] State - Send]&gt;</t>
        </r>
      </text>
    </comment>
    <comment ref="J77" authorId="0" shapeId="0" xr:uid="{5EB814C0-45AD-4046-8C5A-B92CBEC52ABB}">
      <text>
        <r>
          <rPr>
            <b/>
            <sz val="9"/>
            <color indexed="81"/>
            <rFont val="Tahoma"/>
            <family val="2"/>
          </rPr>
          <t xml:space="preserve"> &lt;[[TCDeals] - [TC Property Current Stage (Seq: 1)] - [Buildings (Seq: 14)] Zip Code - Send]&gt;</t>
        </r>
      </text>
    </comment>
    <comment ref="L77" authorId="0" shapeId="0" xr:uid="{981C8852-3BD4-470A-A7D6-7EA6A7116445}">
      <text>
        <r>
          <rPr>
            <b/>
            <sz val="9"/>
            <color indexed="81"/>
            <rFont val="Tahoma"/>
            <family val="2"/>
          </rPr>
          <t xml:space="preserve"> &lt;[[TCDeals] - [TC Property Current Stage (Seq: 1)] - [Buildings (Seq: 14)] Num Mkt Units - Send]&gt;</t>
        </r>
      </text>
    </comment>
    <comment ref="N77" authorId="0" shapeId="0" xr:uid="{E6ACFD10-7948-40D8-8D40-56F13AE028F0}">
      <text>
        <r>
          <rPr>
            <b/>
            <sz val="9"/>
            <color indexed="81"/>
            <rFont val="Tahoma"/>
            <family val="2"/>
          </rPr>
          <t xml:space="preserve"> &lt;[[TCDeals] - [TC Property Current Stage (Seq: 1)] - [Buildings (Seq: 14)] Num TC Units - Send]&gt;</t>
        </r>
      </text>
    </comment>
    <comment ref="C78" authorId="0" shapeId="0" xr:uid="{A41F5AB4-04F4-4359-A195-D2B80EB9645F}">
      <text>
        <r>
          <rPr>
            <b/>
            <sz val="9"/>
            <color indexed="81"/>
            <rFont val="Tahoma"/>
            <family val="2"/>
          </rPr>
          <t xml:space="preserve"> &lt;[[TCDeals] - [TC Property Current Stage (Seq: 1)] - [Buildings (Seq: 15)] Address 1 - Send]&gt;</t>
        </r>
      </text>
    </comment>
    <comment ref="E78" authorId="0" shapeId="0" xr:uid="{BBB9F3CD-5321-4FF1-BFB0-A7087D3E6EB2}">
      <text>
        <r>
          <rPr>
            <b/>
            <sz val="9"/>
            <color indexed="81"/>
            <rFont val="Tahoma"/>
            <family val="2"/>
          </rPr>
          <t xml:space="preserve"> &lt;[[TCDeals] - [TC Property Current Stage (Seq: 1)] - [Buildings (Seq: 15)] City - Send]&gt;</t>
        </r>
      </text>
    </comment>
    <comment ref="H78" authorId="0" shapeId="0" xr:uid="{2252A3D9-9C49-4B54-87A7-8D37BE1F2707}">
      <text>
        <r>
          <rPr>
            <b/>
            <sz val="9"/>
            <color indexed="81"/>
            <rFont val="Tahoma"/>
            <family val="2"/>
          </rPr>
          <t xml:space="preserve"> &lt;[[TCDeals] - [TC Property Current Stage (Seq: 1)] - [Buildings (Seq: 15)] State - Send]&gt;</t>
        </r>
      </text>
    </comment>
    <comment ref="J78" authorId="0" shapeId="0" xr:uid="{414863B1-6B89-4539-9FA0-F0EB71D93753}">
      <text>
        <r>
          <rPr>
            <b/>
            <sz val="9"/>
            <color indexed="81"/>
            <rFont val="Tahoma"/>
            <family val="2"/>
          </rPr>
          <t xml:space="preserve"> &lt;[[TCDeals] - [TC Property Current Stage (Seq: 1)] - [Buildings (Seq: 15)] Zip Code - Send]&gt;</t>
        </r>
      </text>
    </comment>
    <comment ref="L78" authorId="0" shapeId="0" xr:uid="{CF7FE266-BB29-4800-9B7A-2BD8A88ED381}">
      <text>
        <r>
          <rPr>
            <b/>
            <sz val="9"/>
            <color indexed="81"/>
            <rFont val="Tahoma"/>
            <family val="2"/>
          </rPr>
          <t xml:space="preserve"> &lt;[[TCDeals] - [TC Property Current Stage (Seq: 1)] - [Buildings (Seq: 15)] Num Mkt Units - Send]&gt;</t>
        </r>
      </text>
    </comment>
    <comment ref="N78" authorId="0" shapeId="0" xr:uid="{CA5F181A-9041-4E24-963F-849DF1103709}">
      <text>
        <r>
          <rPr>
            <b/>
            <sz val="9"/>
            <color indexed="81"/>
            <rFont val="Tahoma"/>
            <family val="2"/>
          </rPr>
          <t xml:space="preserve"> &lt;[[TCDeals] - [TC Property Current Stage (Seq: 1)] - [Buildings (Seq: 15)] Num TC Units - Send]&gt;</t>
        </r>
      </text>
    </comment>
    <comment ref="C79" authorId="0" shapeId="0" xr:uid="{6B085007-FA51-4118-83CD-2ADD68780487}">
      <text>
        <r>
          <rPr>
            <b/>
            <sz val="9"/>
            <color indexed="81"/>
            <rFont val="Tahoma"/>
            <family val="2"/>
          </rPr>
          <t xml:space="preserve"> &lt;[[TCDeals] - [TC Property Current Stage (Seq: 1)] - [Buildings (Seq: 16)] Address 1 - Send]&gt;</t>
        </r>
      </text>
    </comment>
    <comment ref="E79" authorId="0" shapeId="0" xr:uid="{5FC236D2-8BFE-4927-8C68-472F73FAD68B}">
      <text>
        <r>
          <rPr>
            <b/>
            <sz val="9"/>
            <color indexed="81"/>
            <rFont val="Tahoma"/>
            <family val="2"/>
          </rPr>
          <t xml:space="preserve"> &lt;[[TCDeals] - [TC Property Current Stage (Seq: 1)] - [Buildings (Seq: 16)] City - Send]&gt;</t>
        </r>
      </text>
    </comment>
    <comment ref="H79" authorId="0" shapeId="0" xr:uid="{A8C85163-447D-41E7-8AD3-4644AE1E4606}">
      <text>
        <r>
          <rPr>
            <b/>
            <sz val="9"/>
            <color indexed="81"/>
            <rFont val="Tahoma"/>
            <family val="2"/>
          </rPr>
          <t xml:space="preserve"> &lt;[[TCDeals] - [TC Property Current Stage (Seq: 1)] - [Buildings (Seq: 16)] State - Send]&gt;</t>
        </r>
      </text>
    </comment>
    <comment ref="J79" authorId="0" shapeId="0" xr:uid="{97BA7C19-D709-4D49-BA51-AD3A94099383}">
      <text>
        <r>
          <rPr>
            <b/>
            <sz val="9"/>
            <color indexed="81"/>
            <rFont val="Tahoma"/>
            <family val="2"/>
          </rPr>
          <t xml:space="preserve"> &lt;[[TCDeals] - [TC Property Current Stage (Seq: 1)] - [Buildings (Seq: 16)] Zip Code - Send]&gt;</t>
        </r>
      </text>
    </comment>
    <comment ref="L79" authorId="0" shapeId="0" xr:uid="{9A659C2A-EAA1-4A12-9D16-C676DBF28394}">
      <text>
        <r>
          <rPr>
            <b/>
            <sz val="9"/>
            <color indexed="81"/>
            <rFont val="Tahoma"/>
            <family val="2"/>
          </rPr>
          <t xml:space="preserve"> &lt;[[TCDeals] - [TC Property Current Stage (Seq: 1)] - [Buildings (Seq: 16)] Num Mkt Units - Send]&gt;</t>
        </r>
      </text>
    </comment>
    <comment ref="N79" authorId="0" shapeId="0" xr:uid="{01DF7934-FFCA-4972-B3B9-35D681DCADE5}">
      <text>
        <r>
          <rPr>
            <b/>
            <sz val="9"/>
            <color indexed="81"/>
            <rFont val="Tahoma"/>
            <family val="2"/>
          </rPr>
          <t xml:space="preserve"> &lt;[[TCDeals] - [TC Property Current Stage (Seq: 1)] - [Buildings (Seq: 16)] Num TC Units - Send]&gt;</t>
        </r>
      </text>
    </comment>
    <comment ref="C80" authorId="0" shapeId="0" xr:uid="{D70DC905-C737-4045-A162-34DCB80D32CE}">
      <text>
        <r>
          <rPr>
            <b/>
            <sz val="9"/>
            <color indexed="81"/>
            <rFont val="Tahoma"/>
            <family val="2"/>
          </rPr>
          <t xml:space="preserve"> &lt;[[TCDeals] - [TC Property Current Stage (Seq: 1)] - [Buildings (Seq: 17)] Address 1 - Send]&gt;</t>
        </r>
      </text>
    </comment>
    <comment ref="E80" authorId="0" shapeId="0" xr:uid="{A1228F3A-CCFF-467B-8A7C-85EC19568CAF}">
      <text>
        <r>
          <rPr>
            <b/>
            <sz val="9"/>
            <color indexed="81"/>
            <rFont val="Tahoma"/>
            <family val="2"/>
          </rPr>
          <t xml:space="preserve"> &lt;[[TCDeals] - [TC Property Current Stage (Seq: 1)] - [Buildings (Seq: 17)] City - Send]&gt;</t>
        </r>
      </text>
    </comment>
    <comment ref="H80" authorId="0" shapeId="0" xr:uid="{1A1C6093-6E3B-49C0-ADEB-ABC760679364}">
      <text>
        <r>
          <rPr>
            <b/>
            <sz val="9"/>
            <color indexed="81"/>
            <rFont val="Tahoma"/>
            <family val="2"/>
          </rPr>
          <t xml:space="preserve"> &lt;[[TCDeals] - [TC Property Current Stage (Seq: 1)] - [Buildings (Seq: 17)] State - Send]&gt;</t>
        </r>
      </text>
    </comment>
    <comment ref="J80" authorId="0" shapeId="0" xr:uid="{36DABF59-2D82-4E20-8878-D990CE1CA501}">
      <text>
        <r>
          <rPr>
            <b/>
            <sz val="9"/>
            <color indexed="81"/>
            <rFont val="Tahoma"/>
            <family val="2"/>
          </rPr>
          <t xml:space="preserve"> &lt;[[TCDeals] - [TC Property Current Stage (Seq: 1)] - [Buildings (Seq: 17)] Zip Code - Send]&gt;</t>
        </r>
      </text>
    </comment>
    <comment ref="L80" authorId="0" shapeId="0" xr:uid="{575F3F34-F4E3-45A9-8497-03A604D26685}">
      <text>
        <r>
          <rPr>
            <b/>
            <sz val="9"/>
            <color indexed="81"/>
            <rFont val="Tahoma"/>
            <family val="2"/>
          </rPr>
          <t xml:space="preserve"> &lt;[[TCDeals] - [TC Property Current Stage (Seq: 1)] - [Buildings (Seq: 17)] Num Mkt Units - Send]&gt;</t>
        </r>
      </text>
    </comment>
    <comment ref="N80" authorId="0" shapeId="0" xr:uid="{7D021FF6-AC37-4FCA-926A-8375D77A2848}">
      <text>
        <r>
          <rPr>
            <b/>
            <sz val="9"/>
            <color indexed="81"/>
            <rFont val="Tahoma"/>
            <family val="2"/>
          </rPr>
          <t xml:space="preserve"> &lt;[[TCDeals] - [TC Property Current Stage (Seq: 1)] - [Buildings (Seq: 17)] Num TC Units - Send]&gt;</t>
        </r>
      </text>
    </comment>
    <comment ref="C81" authorId="0" shapeId="0" xr:uid="{607878D1-CC43-46FF-A970-BA72376D5FE9}">
      <text>
        <r>
          <rPr>
            <b/>
            <sz val="9"/>
            <color indexed="81"/>
            <rFont val="Tahoma"/>
            <family val="2"/>
          </rPr>
          <t xml:space="preserve"> &lt;[[TCDeals] - [TC Property Current Stage (Seq: 1)] - [Buildings (Seq: 18)] Address 1 - Send]&gt;</t>
        </r>
      </text>
    </comment>
    <comment ref="E81" authorId="0" shapeId="0" xr:uid="{1E5941C2-411C-45D2-87F2-F61FB3D2F39E}">
      <text>
        <r>
          <rPr>
            <b/>
            <sz val="9"/>
            <color indexed="81"/>
            <rFont val="Tahoma"/>
            <family val="2"/>
          </rPr>
          <t xml:space="preserve"> &lt;[[TCDeals] - [TC Property Current Stage (Seq: 1)] - [Buildings (Seq: 18)] City - Send]&gt;</t>
        </r>
      </text>
    </comment>
    <comment ref="H81" authorId="0" shapeId="0" xr:uid="{D308624F-835A-4E4A-91A4-13421C9C82B9}">
      <text>
        <r>
          <rPr>
            <b/>
            <sz val="9"/>
            <color indexed="81"/>
            <rFont val="Tahoma"/>
            <family val="2"/>
          </rPr>
          <t xml:space="preserve"> &lt;[[TCDeals] - [TC Property Current Stage (Seq: 1)] - [Buildings (Seq: 18)] State - Send]&gt;</t>
        </r>
      </text>
    </comment>
    <comment ref="J81" authorId="0" shapeId="0" xr:uid="{B7054C32-4B83-4594-9122-1F0283E6568A}">
      <text>
        <r>
          <rPr>
            <b/>
            <sz val="9"/>
            <color indexed="81"/>
            <rFont val="Tahoma"/>
            <family val="2"/>
          </rPr>
          <t xml:space="preserve"> &lt;[[TCDeals] - [TC Property Current Stage (Seq: 1)] - [Buildings (Seq: 18)] Zip Code - Send]&gt;</t>
        </r>
      </text>
    </comment>
    <comment ref="L81" authorId="0" shapeId="0" xr:uid="{D62A68EF-8189-4D64-AD1A-EF2C089E2DD9}">
      <text>
        <r>
          <rPr>
            <b/>
            <sz val="9"/>
            <color indexed="81"/>
            <rFont val="Tahoma"/>
            <family val="2"/>
          </rPr>
          <t xml:space="preserve"> &lt;[[TCDeals] - [TC Property Current Stage (Seq: 1)] - [Buildings (Seq: 18)] Num Mkt Units - Send]&gt;</t>
        </r>
      </text>
    </comment>
    <comment ref="N81" authorId="0" shapeId="0" xr:uid="{915C48CD-FD93-4FC3-93B1-45C794D68637}">
      <text>
        <r>
          <rPr>
            <b/>
            <sz val="9"/>
            <color indexed="81"/>
            <rFont val="Tahoma"/>
            <family val="2"/>
          </rPr>
          <t xml:space="preserve"> &lt;[[TCDeals] - [TC Property Current Stage (Seq: 1)] - [Buildings (Seq: 18)] Num TC Units - Send]&gt;</t>
        </r>
      </text>
    </comment>
    <comment ref="C82" authorId="0" shapeId="0" xr:uid="{742C011C-A2DF-4AC5-A94E-C1CDD0A3FD25}">
      <text>
        <r>
          <rPr>
            <b/>
            <sz val="9"/>
            <color indexed="81"/>
            <rFont val="Tahoma"/>
            <family val="2"/>
          </rPr>
          <t xml:space="preserve"> &lt;[[TCDeals] - [TC Property Current Stage (Seq: 1)] - [Buildings (Seq: 19)] Address 1 - Send]&gt;</t>
        </r>
      </text>
    </comment>
    <comment ref="E82" authorId="0" shapeId="0" xr:uid="{B3869DB1-A6C1-4133-8799-DD0EB4C07DBA}">
      <text>
        <r>
          <rPr>
            <b/>
            <sz val="9"/>
            <color indexed="81"/>
            <rFont val="Tahoma"/>
            <family val="2"/>
          </rPr>
          <t xml:space="preserve"> &lt;[[TCDeals] - [TC Property Current Stage (Seq: 1)] - [Buildings (Seq: 19)] City - Send]&gt;</t>
        </r>
      </text>
    </comment>
    <comment ref="H82" authorId="0" shapeId="0" xr:uid="{E1F9B7CE-D573-4BA6-8181-E30512081BAA}">
      <text>
        <r>
          <rPr>
            <b/>
            <sz val="9"/>
            <color indexed="81"/>
            <rFont val="Tahoma"/>
            <family val="2"/>
          </rPr>
          <t xml:space="preserve"> &lt;[[TCDeals] - [TC Property Current Stage (Seq: 1)] - [Buildings (Seq: 19)] State - Send]&gt;</t>
        </r>
      </text>
    </comment>
    <comment ref="J82" authorId="0" shapeId="0" xr:uid="{8681A3B2-E0E3-4FC3-A14F-9C796BB16D98}">
      <text>
        <r>
          <rPr>
            <b/>
            <sz val="9"/>
            <color indexed="81"/>
            <rFont val="Tahoma"/>
            <family val="2"/>
          </rPr>
          <t xml:space="preserve"> &lt;[[TCDeals] - [TC Property Current Stage (Seq: 1)] - [Buildings (Seq: 19)] Zip Code - Send]&gt;</t>
        </r>
      </text>
    </comment>
    <comment ref="L82" authorId="0" shapeId="0" xr:uid="{DDD6F332-F42B-44A7-8ABE-33E6B5E4EBEC}">
      <text>
        <r>
          <rPr>
            <b/>
            <sz val="9"/>
            <color indexed="81"/>
            <rFont val="Tahoma"/>
            <family val="2"/>
          </rPr>
          <t xml:space="preserve"> &lt;[[TCDeals] - [TC Property Current Stage (Seq: 1)] - [Buildings (Seq: 19)] Num Mkt Units - Send]&gt;</t>
        </r>
      </text>
    </comment>
    <comment ref="N82" authorId="0" shapeId="0" xr:uid="{4513B0FB-3560-4EE2-B3D6-EFF05F827547}">
      <text>
        <r>
          <rPr>
            <b/>
            <sz val="9"/>
            <color indexed="81"/>
            <rFont val="Tahoma"/>
            <family val="2"/>
          </rPr>
          <t xml:space="preserve"> &lt;[[TCDeals] - [TC Property Current Stage (Seq: 1)] - [Buildings (Seq: 19)] Num TC Units - Send]&gt;</t>
        </r>
      </text>
    </comment>
    <comment ref="C83" authorId="0" shapeId="0" xr:uid="{68AD776C-AF3F-4BDD-A380-F601B21CD9CD}">
      <text>
        <r>
          <rPr>
            <b/>
            <sz val="9"/>
            <color indexed="81"/>
            <rFont val="Tahoma"/>
            <family val="2"/>
          </rPr>
          <t xml:space="preserve"> &lt;[[TCDeals] - [TC Property Current Stage (Seq: 1)] - [Buildings (Seq: 20)] Address 1 - Send]&gt;</t>
        </r>
      </text>
    </comment>
    <comment ref="E83" authorId="0" shapeId="0" xr:uid="{24AD675E-C6F7-4EFF-8CFF-FDD181963AAB}">
      <text>
        <r>
          <rPr>
            <b/>
            <sz val="9"/>
            <color indexed="81"/>
            <rFont val="Tahoma"/>
            <family val="2"/>
          </rPr>
          <t xml:space="preserve"> &lt;[[TCDeals] - [TC Property Current Stage (Seq: 1)] - [Buildings (Seq: 20)] City - Send]&gt;</t>
        </r>
      </text>
    </comment>
    <comment ref="H83" authorId="0" shapeId="0" xr:uid="{364777EB-568C-4A46-97C0-D2DFB879CAFB}">
      <text>
        <r>
          <rPr>
            <b/>
            <sz val="9"/>
            <color indexed="81"/>
            <rFont val="Tahoma"/>
            <family val="2"/>
          </rPr>
          <t xml:space="preserve"> &lt;[[TCDeals] - [TC Property Current Stage (Seq: 1)] - [Buildings (Seq: 20)] State - Send]&gt;</t>
        </r>
      </text>
    </comment>
    <comment ref="J83" authorId="0" shapeId="0" xr:uid="{9B57C3C0-40D0-42C2-93DF-A863F6C08681}">
      <text>
        <r>
          <rPr>
            <b/>
            <sz val="9"/>
            <color indexed="81"/>
            <rFont val="Tahoma"/>
            <family val="2"/>
          </rPr>
          <t xml:space="preserve"> &lt;[[TCDeals] - [TC Property Current Stage (Seq: 1)] - [Buildings (Seq: 20)] Zip Code - Send]&gt;</t>
        </r>
      </text>
    </comment>
    <comment ref="L83" authorId="0" shapeId="0" xr:uid="{091B4128-85E6-4CBA-865A-04EA21655336}">
      <text>
        <r>
          <rPr>
            <b/>
            <sz val="9"/>
            <color indexed="81"/>
            <rFont val="Tahoma"/>
            <family val="2"/>
          </rPr>
          <t xml:space="preserve"> &lt;[[TCDeals] - [TC Property Current Stage (Seq: 1)] - [Buildings (Seq: 20)] Num Mkt Units - Send]&gt;</t>
        </r>
      </text>
    </comment>
    <comment ref="N83" authorId="0" shapeId="0" xr:uid="{B53135A5-3686-497B-A9EE-250C4ADD9AD9}">
      <text>
        <r>
          <rPr>
            <b/>
            <sz val="9"/>
            <color indexed="81"/>
            <rFont val="Tahoma"/>
            <family val="2"/>
          </rPr>
          <t xml:space="preserve"> &lt;[[TCDeals] - [TC Property Current Stage (Seq: 1)] - [Buildings (Seq: 20)] Num TC Units - Send]&gt;</t>
        </r>
      </text>
    </comment>
    <comment ref="C84" authorId="0" shapeId="0" xr:uid="{199C39C5-03E6-4388-9852-688B68E96713}">
      <text>
        <r>
          <rPr>
            <b/>
            <sz val="9"/>
            <color indexed="81"/>
            <rFont val="Tahoma"/>
            <family val="2"/>
          </rPr>
          <t xml:space="preserve"> &lt;[[TCDeals] - [TC Property Current Stage (Seq: 1)] - [Buildings (Seq: 21)] Address 1 - Send]&gt;</t>
        </r>
      </text>
    </comment>
    <comment ref="E84" authorId="0" shapeId="0" xr:uid="{7BD64D1F-14E2-47E2-B891-E92CA0FF6585}">
      <text>
        <r>
          <rPr>
            <b/>
            <sz val="9"/>
            <color indexed="81"/>
            <rFont val="Tahoma"/>
            <family val="2"/>
          </rPr>
          <t xml:space="preserve"> &lt;[[TCDeals] - [TC Property Current Stage (Seq: 1)] - [Buildings (Seq: 21)] City - Send]&gt;</t>
        </r>
      </text>
    </comment>
    <comment ref="H84" authorId="0" shapeId="0" xr:uid="{92426851-5212-4566-84C2-F106FB603A54}">
      <text>
        <r>
          <rPr>
            <b/>
            <sz val="9"/>
            <color indexed="81"/>
            <rFont val="Tahoma"/>
            <family val="2"/>
          </rPr>
          <t xml:space="preserve"> &lt;[[TCDeals] - [TC Property Current Stage (Seq: 1)] - [Buildings (Seq: 21)] State - Send]&gt;</t>
        </r>
      </text>
    </comment>
    <comment ref="J84" authorId="0" shapeId="0" xr:uid="{84BCE987-9AC7-42FB-B43B-10DAFA74B1CC}">
      <text>
        <r>
          <rPr>
            <b/>
            <sz val="9"/>
            <color indexed="81"/>
            <rFont val="Tahoma"/>
            <family val="2"/>
          </rPr>
          <t xml:space="preserve"> &lt;[[TCDeals] - [TC Property Current Stage (Seq: 1)] - [Buildings (Seq: 21)] Zip Code - Send]&gt;</t>
        </r>
      </text>
    </comment>
    <comment ref="L84" authorId="0" shapeId="0" xr:uid="{CD8BB91C-97A7-404A-8F40-58E59EB5DE60}">
      <text>
        <r>
          <rPr>
            <b/>
            <sz val="9"/>
            <color indexed="81"/>
            <rFont val="Tahoma"/>
            <family val="2"/>
          </rPr>
          <t xml:space="preserve"> &lt;[[TCDeals] - [TC Property Current Stage (Seq: 1)] - [Buildings (Seq: 21)] Num Mkt Units - Send]&gt;</t>
        </r>
      </text>
    </comment>
    <comment ref="N84" authorId="0" shapeId="0" xr:uid="{411D046F-5571-43B7-9D8F-C627449D262E}">
      <text>
        <r>
          <rPr>
            <b/>
            <sz val="9"/>
            <color indexed="81"/>
            <rFont val="Tahoma"/>
            <family val="2"/>
          </rPr>
          <t xml:space="preserve"> &lt;[[TCDeals] - [TC Property Current Stage (Seq: 1)] - [Buildings (Seq: 21)] Num TC Units - Send]&gt;</t>
        </r>
      </text>
    </comment>
    <comment ref="C85" authorId="0" shapeId="0" xr:uid="{9F93B3AB-8A72-45D9-B633-271D21997CD5}">
      <text>
        <r>
          <rPr>
            <b/>
            <sz val="9"/>
            <color indexed="81"/>
            <rFont val="Tahoma"/>
            <family val="2"/>
          </rPr>
          <t xml:space="preserve"> &lt;[[TCDeals] - [TC Property Current Stage (Seq: 1)] - [Buildings (Seq: 22)] Address 1 - Send]&gt;</t>
        </r>
      </text>
    </comment>
    <comment ref="E85" authorId="0" shapeId="0" xr:uid="{28A56EF8-C4FE-434E-9DA0-B0265D4AD88F}">
      <text>
        <r>
          <rPr>
            <b/>
            <sz val="9"/>
            <color indexed="81"/>
            <rFont val="Tahoma"/>
            <family val="2"/>
          </rPr>
          <t xml:space="preserve"> &lt;[[TCDeals] - [TC Property Current Stage (Seq: 1)] - [Buildings (Seq: 22)] City - Send]&gt;</t>
        </r>
      </text>
    </comment>
    <comment ref="H85" authorId="0" shapeId="0" xr:uid="{C274755F-780C-4774-A0B7-D7A5A37C507E}">
      <text>
        <r>
          <rPr>
            <b/>
            <sz val="9"/>
            <color indexed="81"/>
            <rFont val="Tahoma"/>
            <family val="2"/>
          </rPr>
          <t xml:space="preserve"> &lt;[[TCDeals] - [TC Property Current Stage (Seq: 1)] - [Buildings (Seq: 22)] State - Send]&gt;</t>
        </r>
      </text>
    </comment>
    <comment ref="J85" authorId="0" shapeId="0" xr:uid="{A38BC3C1-2468-4D60-B66F-D43029B81760}">
      <text>
        <r>
          <rPr>
            <b/>
            <sz val="9"/>
            <color indexed="81"/>
            <rFont val="Tahoma"/>
            <family val="2"/>
          </rPr>
          <t xml:space="preserve"> &lt;[[TCDeals] - [TC Property Current Stage (Seq: 1)] - [Buildings (Seq: 22)] Zip Code - Send]&gt;</t>
        </r>
      </text>
    </comment>
    <comment ref="L85" authorId="0" shapeId="0" xr:uid="{9B94F1CD-085B-4EE1-BC14-13E7990C2730}">
      <text>
        <r>
          <rPr>
            <b/>
            <sz val="9"/>
            <color indexed="81"/>
            <rFont val="Tahoma"/>
            <family val="2"/>
          </rPr>
          <t xml:space="preserve"> &lt;[[TCDeals] - [TC Property Current Stage (Seq: 1)] - [Buildings (Seq: 22)] Num Mkt Units - Send]&gt;</t>
        </r>
      </text>
    </comment>
    <comment ref="N85" authorId="0" shapeId="0" xr:uid="{A485AA16-7C0E-4133-AF5F-DACE4EED2994}">
      <text>
        <r>
          <rPr>
            <b/>
            <sz val="9"/>
            <color indexed="81"/>
            <rFont val="Tahoma"/>
            <family val="2"/>
          </rPr>
          <t xml:space="preserve"> &lt;[[TCDeals] - [TC Property Current Stage (Seq: 1)] - [Buildings (Seq: 22)] Num TC Units - Send]&gt;</t>
        </r>
      </text>
    </comment>
    <comment ref="C86" authorId="0" shapeId="0" xr:uid="{46E9F3BE-7492-425C-86F4-8402D01FA21C}">
      <text>
        <r>
          <rPr>
            <b/>
            <sz val="9"/>
            <color indexed="81"/>
            <rFont val="Tahoma"/>
            <family val="2"/>
          </rPr>
          <t xml:space="preserve"> &lt;[[TCDeals] - [TC Property Current Stage (Seq: 1)] - [Buildings (Seq: 23)] Address 1 - Send]&gt;</t>
        </r>
      </text>
    </comment>
    <comment ref="E86" authorId="0" shapeId="0" xr:uid="{B35CB442-943F-4A99-9E84-2782AE17AD83}">
      <text>
        <r>
          <rPr>
            <b/>
            <sz val="9"/>
            <color indexed="81"/>
            <rFont val="Tahoma"/>
            <family val="2"/>
          </rPr>
          <t xml:space="preserve"> &lt;[[TCDeals] - [TC Property Current Stage (Seq: 1)] - [Buildings (Seq: 23)] City - Send]&gt;</t>
        </r>
      </text>
    </comment>
    <comment ref="H86" authorId="0" shapeId="0" xr:uid="{E8A146B8-BA26-4A0E-8499-C16A22C12439}">
      <text>
        <r>
          <rPr>
            <b/>
            <sz val="9"/>
            <color indexed="81"/>
            <rFont val="Tahoma"/>
            <family val="2"/>
          </rPr>
          <t xml:space="preserve"> &lt;[[TCDeals] - [TC Property Current Stage (Seq: 1)] - [Buildings (Seq: 23)] State - Send]&gt;</t>
        </r>
      </text>
    </comment>
    <comment ref="J86" authorId="0" shapeId="0" xr:uid="{4BEA85D4-9019-41FD-82C4-AD76C398A194}">
      <text>
        <r>
          <rPr>
            <b/>
            <sz val="9"/>
            <color indexed="81"/>
            <rFont val="Tahoma"/>
            <family val="2"/>
          </rPr>
          <t xml:space="preserve"> &lt;[[TCDeals] - [TC Property Current Stage (Seq: 1)] - [Buildings (Seq: 23)] Zip Code - Send]&gt;</t>
        </r>
      </text>
    </comment>
    <comment ref="L86" authorId="0" shapeId="0" xr:uid="{52FA7872-35A1-42F3-8B83-51098B07A460}">
      <text>
        <r>
          <rPr>
            <b/>
            <sz val="9"/>
            <color indexed="81"/>
            <rFont val="Tahoma"/>
            <family val="2"/>
          </rPr>
          <t xml:space="preserve"> &lt;[[TCDeals] - [TC Property Current Stage (Seq: 1)] - [Buildings (Seq: 23)] Num Mkt Units - Send]&gt;</t>
        </r>
      </text>
    </comment>
    <comment ref="N86" authorId="0" shapeId="0" xr:uid="{EC45BD79-528A-4BF1-97A6-E1B6108059B5}">
      <text>
        <r>
          <rPr>
            <b/>
            <sz val="9"/>
            <color indexed="81"/>
            <rFont val="Tahoma"/>
            <family val="2"/>
          </rPr>
          <t xml:space="preserve"> &lt;[[TCDeals] - [TC Property Current Stage (Seq: 1)] - [Buildings (Seq: 23)] Num TC Units - Send]&gt;</t>
        </r>
      </text>
    </comment>
    <comment ref="C87" authorId="0" shapeId="0" xr:uid="{A2C421DF-A1E2-43B7-BA62-BE2C4247AEDB}">
      <text>
        <r>
          <rPr>
            <b/>
            <sz val="9"/>
            <color indexed="81"/>
            <rFont val="Tahoma"/>
            <family val="2"/>
          </rPr>
          <t xml:space="preserve"> &lt;[[TCDeals] - [TC Property Current Stage (Seq: 1)] - [Buildings (Seq: 24)] Address 1 - Send]&gt;</t>
        </r>
      </text>
    </comment>
    <comment ref="E87" authorId="0" shapeId="0" xr:uid="{8FABA258-090C-434E-AB0A-5618D09B8E61}">
      <text>
        <r>
          <rPr>
            <b/>
            <sz val="9"/>
            <color indexed="81"/>
            <rFont val="Tahoma"/>
            <family val="2"/>
          </rPr>
          <t xml:space="preserve"> &lt;[[TCDeals] - [TC Property Current Stage (Seq: 1)] - [Buildings (Seq: 24)] City - Send]&gt;</t>
        </r>
      </text>
    </comment>
    <comment ref="H87" authorId="0" shapeId="0" xr:uid="{E624E0E5-A751-4D70-BC31-9C352AD07E4C}">
      <text>
        <r>
          <rPr>
            <b/>
            <sz val="9"/>
            <color indexed="81"/>
            <rFont val="Tahoma"/>
            <family val="2"/>
          </rPr>
          <t xml:space="preserve"> &lt;[[TCDeals] - [TC Property Current Stage (Seq: 1)] - [Buildings (Seq: 24)] State - Send]&gt;</t>
        </r>
      </text>
    </comment>
    <comment ref="J87" authorId="0" shapeId="0" xr:uid="{263342C6-650D-4F2E-8C7B-836C44904D3B}">
      <text>
        <r>
          <rPr>
            <b/>
            <sz val="9"/>
            <color indexed="81"/>
            <rFont val="Tahoma"/>
            <family val="2"/>
          </rPr>
          <t xml:space="preserve"> &lt;[[TCDeals] - [TC Property Current Stage (Seq: 1)] - [Buildings (Seq: 24)] Zip Code - Send]&gt;</t>
        </r>
      </text>
    </comment>
    <comment ref="L87" authorId="0" shapeId="0" xr:uid="{7D5CBBFC-57C5-447D-9371-D82988DB1776}">
      <text>
        <r>
          <rPr>
            <b/>
            <sz val="9"/>
            <color indexed="81"/>
            <rFont val="Tahoma"/>
            <family val="2"/>
          </rPr>
          <t xml:space="preserve"> &lt;[[TCDeals] - [TC Property Current Stage (Seq: 1)] - [Buildings (Seq: 24)] Num Mkt Units - Send]&gt;</t>
        </r>
      </text>
    </comment>
    <comment ref="N87" authorId="0" shapeId="0" xr:uid="{1652464F-95B2-4064-B039-D8904A918044}">
      <text>
        <r>
          <rPr>
            <b/>
            <sz val="9"/>
            <color indexed="81"/>
            <rFont val="Tahoma"/>
            <family val="2"/>
          </rPr>
          <t xml:space="preserve"> &lt;[[TCDeals] - [TC Property Current Stage (Seq: 1)] - [Buildings (Seq: 24)] Num TC Units - Send]&gt;</t>
        </r>
      </text>
    </comment>
    <comment ref="C88" authorId="0" shapeId="0" xr:uid="{27A0AC30-A846-4DFC-96D4-382C867738CC}">
      <text>
        <r>
          <rPr>
            <b/>
            <sz val="9"/>
            <color indexed="81"/>
            <rFont val="Tahoma"/>
            <family val="2"/>
          </rPr>
          <t xml:space="preserve"> &lt;[[TCDeals] - [TC Property Current Stage (Seq: 1)] - [Buildings (Seq: 25)] Address 1 - Send]&gt;</t>
        </r>
      </text>
    </comment>
    <comment ref="E88" authorId="0" shapeId="0" xr:uid="{CCACC151-A5D1-4AEA-93FD-720CDD1B5D5F}">
      <text>
        <r>
          <rPr>
            <b/>
            <sz val="9"/>
            <color indexed="81"/>
            <rFont val="Tahoma"/>
            <family val="2"/>
          </rPr>
          <t xml:space="preserve"> &lt;[[TCDeals] - [TC Property Current Stage (Seq: 1)] - [Buildings (Seq: 25)] City - Send]&gt;</t>
        </r>
      </text>
    </comment>
    <comment ref="H88" authorId="0" shapeId="0" xr:uid="{8864BF38-B479-4C0A-B775-CCB2765713DB}">
      <text>
        <r>
          <rPr>
            <b/>
            <sz val="9"/>
            <color indexed="81"/>
            <rFont val="Tahoma"/>
            <family val="2"/>
          </rPr>
          <t xml:space="preserve"> &lt;[[TCDeals] - [TC Property Current Stage (Seq: 1)] - [Buildings (Seq: 25)] State - Send]&gt;</t>
        </r>
      </text>
    </comment>
    <comment ref="J88" authorId="0" shapeId="0" xr:uid="{0A49FF76-E0C5-4A92-A12D-0191CCCFF55F}">
      <text>
        <r>
          <rPr>
            <b/>
            <sz val="9"/>
            <color indexed="81"/>
            <rFont val="Tahoma"/>
            <family val="2"/>
          </rPr>
          <t xml:space="preserve"> &lt;[[TCDeals] - [TC Property Current Stage (Seq: 1)] - [Buildings (Seq: 25)] Zip Code - Send]&gt;</t>
        </r>
      </text>
    </comment>
    <comment ref="L88" authorId="0" shapeId="0" xr:uid="{A277D6F3-C797-4465-A80E-98479FE6D140}">
      <text>
        <r>
          <rPr>
            <b/>
            <sz val="9"/>
            <color indexed="81"/>
            <rFont val="Tahoma"/>
            <family val="2"/>
          </rPr>
          <t xml:space="preserve"> &lt;[[TCDeals] - [TC Property Current Stage (Seq: 1)] - [Buildings (Seq: 25)] Num Mkt Units - Send]&gt;</t>
        </r>
      </text>
    </comment>
    <comment ref="N88" authorId="0" shapeId="0" xr:uid="{CE1E4660-D866-477E-B234-BD420F1F89B8}">
      <text>
        <r>
          <rPr>
            <b/>
            <sz val="9"/>
            <color indexed="81"/>
            <rFont val="Tahoma"/>
            <family val="2"/>
          </rPr>
          <t xml:space="preserve"> &lt;[[TCDeals] - [TC Property Current Stage (Seq: 1)] - [Buildings (Seq: 25)] Num TC Units - Send]&gt;</t>
        </r>
      </text>
    </comment>
    <comment ref="C89" authorId="0" shapeId="0" xr:uid="{D7105DC0-25A2-452D-922E-ABAB6402F71D}">
      <text>
        <r>
          <rPr>
            <b/>
            <sz val="9"/>
            <color indexed="81"/>
            <rFont val="Tahoma"/>
            <family val="2"/>
          </rPr>
          <t xml:space="preserve"> &lt;[[TCDeals] - [TC Property Current Stage (Seq: 1)] - [Buildings (Seq: 26)] Address 1 - Send]&gt;</t>
        </r>
      </text>
    </comment>
    <comment ref="E89" authorId="0" shapeId="0" xr:uid="{831D50FE-EBC2-4BFB-96F1-074BD8D0DB58}">
      <text>
        <r>
          <rPr>
            <b/>
            <sz val="9"/>
            <color indexed="81"/>
            <rFont val="Tahoma"/>
            <family val="2"/>
          </rPr>
          <t xml:space="preserve"> &lt;[[TCDeals] - [TC Property Current Stage (Seq: 1)] - [Buildings (Seq: 26)] City - Send]&gt;</t>
        </r>
      </text>
    </comment>
    <comment ref="H89" authorId="0" shapeId="0" xr:uid="{3EE676E0-D00C-46D3-8DCE-9710606DA285}">
      <text>
        <r>
          <rPr>
            <b/>
            <sz val="9"/>
            <color indexed="81"/>
            <rFont val="Tahoma"/>
            <family val="2"/>
          </rPr>
          <t xml:space="preserve"> &lt;[[TCDeals] - [TC Property Current Stage (Seq: 1)] - [Buildings (Seq: 26)] State - Send]&gt;</t>
        </r>
      </text>
    </comment>
    <comment ref="J89" authorId="0" shapeId="0" xr:uid="{6BF529D6-2F5B-4E68-9E00-A7ADCB86D76C}">
      <text>
        <r>
          <rPr>
            <b/>
            <sz val="9"/>
            <color indexed="81"/>
            <rFont val="Tahoma"/>
            <family val="2"/>
          </rPr>
          <t xml:space="preserve"> &lt;[[TCDeals] - [TC Property Current Stage (Seq: 1)] - [Buildings (Seq: 26)] Zip Code - Send]&gt;</t>
        </r>
      </text>
    </comment>
    <comment ref="L89" authorId="0" shapeId="0" xr:uid="{22D053EF-66D3-482C-A02F-A41B2A0BFDCF}">
      <text>
        <r>
          <rPr>
            <b/>
            <sz val="9"/>
            <color indexed="81"/>
            <rFont val="Tahoma"/>
            <family val="2"/>
          </rPr>
          <t xml:space="preserve"> &lt;[[TCDeals] - [TC Property Current Stage (Seq: 1)] - [Buildings (Seq: 26)] Num Mkt Units - Send]&gt;</t>
        </r>
      </text>
    </comment>
    <comment ref="N89" authorId="0" shapeId="0" xr:uid="{6CEBC9B9-88C2-4DAB-82D8-2F5BBF523592}">
      <text>
        <r>
          <rPr>
            <b/>
            <sz val="9"/>
            <color indexed="81"/>
            <rFont val="Tahoma"/>
            <family val="2"/>
          </rPr>
          <t xml:space="preserve"> &lt;[[TCDeals] - [TC Property Current Stage (Seq: 1)] - [Buildings (Seq: 26)] Num TC Units - Send]&gt;</t>
        </r>
      </text>
    </comment>
    <comment ref="C90" authorId="0" shapeId="0" xr:uid="{1E6B9561-2552-4A3B-A382-6357088F1E14}">
      <text>
        <r>
          <rPr>
            <b/>
            <sz val="9"/>
            <color indexed="81"/>
            <rFont val="Tahoma"/>
            <family val="2"/>
          </rPr>
          <t xml:space="preserve"> &lt;[[TCDeals] - [TC Property Current Stage (Seq: 1)] - [Buildings (Seq: 27)] Address 1 - Send]&gt;</t>
        </r>
      </text>
    </comment>
    <comment ref="E90" authorId="0" shapeId="0" xr:uid="{0605773C-9860-47A2-9FF6-0CBC8316FE82}">
      <text>
        <r>
          <rPr>
            <b/>
            <sz val="9"/>
            <color indexed="81"/>
            <rFont val="Tahoma"/>
            <family val="2"/>
          </rPr>
          <t xml:space="preserve"> &lt;[[TCDeals] - [TC Property Current Stage (Seq: 1)] - [Buildings (Seq: 27)] City - Send]&gt;</t>
        </r>
      </text>
    </comment>
    <comment ref="H90" authorId="0" shapeId="0" xr:uid="{DC549986-77A4-491C-9528-850F861716D8}">
      <text>
        <r>
          <rPr>
            <b/>
            <sz val="9"/>
            <color indexed="81"/>
            <rFont val="Tahoma"/>
            <family val="2"/>
          </rPr>
          <t xml:space="preserve"> &lt;[[TCDeals] - [TC Property Current Stage (Seq: 1)] - [Buildings (Seq: 27)] State - Send]&gt;</t>
        </r>
      </text>
    </comment>
    <comment ref="J90" authorId="0" shapeId="0" xr:uid="{D65557D6-BC2A-44F7-8B9C-C6CE74DE5BB7}">
      <text>
        <r>
          <rPr>
            <b/>
            <sz val="9"/>
            <color indexed="81"/>
            <rFont val="Tahoma"/>
            <family val="2"/>
          </rPr>
          <t xml:space="preserve"> &lt;[[TCDeals] - [TC Property Current Stage (Seq: 1)] - [Buildings (Seq: 27)] Zip Code - Send]&gt;</t>
        </r>
      </text>
    </comment>
    <comment ref="L90" authorId="0" shapeId="0" xr:uid="{0D29351D-F7DE-455B-B67E-FECCD9DA256F}">
      <text>
        <r>
          <rPr>
            <b/>
            <sz val="9"/>
            <color indexed="81"/>
            <rFont val="Tahoma"/>
            <family val="2"/>
          </rPr>
          <t xml:space="preserve"> &lt;[[TCDeals] - [TC Property Current Stage (Seq: 1)] - [Buildings (Seq: 27)] Num Mkt Units - Send]&gt;</t>
        </r>
      </text>
    </comment>
    <comment ref="N90" authorId="0" shapeId="0" xr:uid="{487BDA3C-49E3-462F-9750-6E61214542D6}">
      <text>
        <r>
          <rPr>
            <b/>
            <sz val="9"/>
            <color indexed="81"/>
            <rFont val="Tahoma"/>
            <family val="2"/>
          </rPr>
          <t xml:space="preserve"> &lt;[[TCDeals] - [TC Property Current Stage (Seq: 1)] - [Buildings (Seq: 27)] Num TC Units - Send]&gt;</t>
        </r>
      </text>
    </comment>
    <comment ref="C91" authorId="0" shapeId="0" xr:uid="{E3407367-0D0D-4F40-B0DA-7CB1488FF6BB}">
      <text>
        <r>
          <rPr>
            <b/>
            <sz val="9"/>
            <color indexed="81"/>
            <rFont val="Tahoma"/>
            <family val="2"/>
          </rPr>
          <t xml:space="preserve"> &lt;[[TCDeals] - [TC Property Current Stage (Seq: 1)] - [Buildings (Seq: 28)] Address 1 - Send]&gt;</t>
        </r>
      </text>
    </comment>
    <comment ref="E91" authorId="0" shapeId="0" xr:uid="{9300723E-BD90-46A8-A291-71895C48BF00}">
      <text>
        <r>
          <rPr>
            <b/>
            <sz val="9"/>
            <color indexed="81"/>
            <rFont val="Tahoma"/>
            <family val="2"/>
          </rPr>
          <t xml:space="preserve"> &lt;[[TCDeals] - [TC Property Current Stage (Seq: 1)] - [Buildings (Seq: 28)] City - Send]&gt;</t>
        </r>
      </text>
    </comment>
    <comment ref="H91" authorId="0" shapeId="0" xr:uid="{1FF051D7-0B4C-4F20-907F-10685A5A3F3A}">
      <text>
        <r>
          <rPr>
            <b/>
            <sz val="9"/>
            <color indexed="81"/>
            <rFont val="Tahoma"/>
            <family val="2"/>
          </rPr>
          <t xml:space="preserve"> &lt;[[TCDeals] - [TC Property Current Stage (Seq: 1)] - [Buildings (Seq: 28)] State - Send]&gt;</t>
        </r>
      </text>
    </comment>
    <comment ref="J91" authorId="0" shapeId="0" xr:uid="{BE614B7B-C266-464D-B2E2-670B7BCCDC65}">
      <text>
        <r>
          <rPr>
            <b/>
            <sz val="9"/>
            <color indexed="81"/>
            <rFont val="Tahoma"/>
            <family val="2"/>
          </rPr>
          <t xml:space="preserve"> &lt;[[TCDeals] - [TC Property Current Stage (Seq: 1)] - [Buildings (Seq: 28)] Zip Code - Send]&gt;</t>
        </r>
      </text>
    </comment>
    <comment ref="L91" authorId="0" shapeId="0" xr:uid="{4E7995A9-A4FC-49A6-9F25-A2F9C8564A1D}">
      <text>
        <r>
          <rPr>
            <b/>
            <sz val="9"/>
            <color indexed="81"/>
            <rFont val="Tahoma"/>
            <family val="2"/>
          </rPr>
          <t xml:space="preserve"> &lt;[[TCDeals] - [TC Property Current Stage (Seq: 1)] - [Buildings (Seq: 28)] Num Mkt Units - Send]&gt;</t>
        </r>
      </text>
    </comment>
    <comment ref="N91" authorId="0" shapeId="0" xr:uid="{4631CC18-7854-410E-958B-0AD18766BC6D}">
      <text>
        <r>
          <rPr>
            <b/>
            <sz val="9"/>
            <color indexed="81"/>
            <rFont val="Tahoma"/>
            <family val="2"/>
          </rPr>
          <t xml:space="preserve"> &lt;[[TCDeals] - [TC Property Current Stage (Seq: 1)] - [Buildings (Seq: 28)] Num TC Units - Send]&gt;</t>
        </r>
      </text>
    </comment>
    <comment ref="C92" authorId="0" shapeId="0" xr:uid="{FB317EC3-7307-42FD-AD1E-79521DD02399}">
      <text>
        <r>
          <rPr>
            <b/>
            <sz val="9"/>
            <color indexed="81"/>
            <rFont val="Tahoma"/>
            <family val="2"/>
          </rPr>
          <t xml:space="preserve"> &lt;[[TCDeals] - [TC Property Current Stage (Seq: 1)] - [Buildings (Seq: 29)] Address 1 - Send]&gt;</t>
        </r>
      </text>
    </comment>
    <comment ref="E92" authorId="0" shapeId="0" xr:uid="{AC35112F-601D-4F3D-B11F-95D6179E4DCD}">
      <text>
        <r>
          <rPr>
            <b/>
            <sz val="9"/>
            <color indexed="81"/>
            <rFont val="Tahoma"/>
            <family val="2"/>
          </rPr>
          <t xml:space="preserve"> &lt;[[TCDeals] - [TC Property Current Stage (Seq: 1)] - [Buildings (Seq: 29)] City - Send]&gt;</t>
        </r>
      </text>
    </comment>
    <comment ref="H92" authorId="0" shapeId="0" xr:uid="{1F0076D4-07C6-4C43-BDDD-C73E95D564E2}">
      <text>
        <r>
          <rPr>
            <b/>
            <sz val="9"/>
            <color indexed="81"/>
            <rFont val="Tahoma"/>
            <family val="2"/>
          </rPr>
          <t xml:space="preserve"> &lt;[[TCDeals] - [TC Property Current Stage (Seq: 1)] - [Buildings (Seq: 29)] State - Send]&gt;</t>
        </r>
      </text>
    </comment>
    <comment ref="J92" authorId="0" shapeId="0" xr:uid="{D8B87B50-C682-4FDF-8D2D-1E5FA69B237D}">
      <text>
        <r>
          <rPr>
            <b/>
            <sz val="9"/>
            <color indexed="81"/>
            <rFont val="Tahoma"/>
            <family val="2"/>
          </rPr>
          <t xml:space="preserve"> &lt;[[TCDeals] - [TC Property Current Stage (Seq: 1)] - [Buildings (Seq: 29)] Zip Code - Send]&gt;</t>
        </r>
      </text>
    </comment>
    <comment ref="L92" authorId="0" shapeId="0" xr:uid="{EDD6DA05-9AC6-48B9-A9A8-7011BB3FE07A}">
      <text>
        <r>
          <rPr>
            <b/>
            <sz val="9"/>
            <color indexed="81"/>
            <rFont val="Tahoma"/>
            <family val="2"/>
          </rPr>
          <t xml:space="preserve"> &lt;[[TCDeals] - [TC Property Current Stage (Seq: 1)] - [Buildings (Seq: 29)] Num Mkt Units - Send]&gt;</t>
        </r>
      </text>
    </comment>
    <comment ref="N92" authorId="0" shapeId="0" xr:uid="{A3365C0F-5495-43CE-A275-EDAEF9EED54E}">
      <text>
        <r>
          <rPr>
            <b/>
            <sz val="9"/>
            <color indexed="81"/>
            <rFont val="Tahoma"/>
            <family val="2"/>
          </rPr>
          <t xml:space="preserve"> &lt;[[TCDeals] - [TC Property Current Stage (Seq: 1)] - [Buildings (Seq: 29)] Num TC Units - Send]&gt;</t>
        </r>
      </text>
    </comment>
    <comment ref="C93" authorId="0" shapeId="0" xr:uid="{05EB97A1-2871-42FA-947A-784FF8A7CDDF}">
      <text>
        <r>
          <rPr>
            <b/>
            <sz val="9"/>
            <color indexed="81"/>
            <rFont val="Tahoma"/>
            <family val="2"/>
          </rPr>
          <t xml:space="preserve"> &lt;[[TCDeals] - [TC Property Current Stage (Seq: 1)] - [Buildings (Seq: 30)] Address 1 - Send]&gt;</t>
        </r>
      </text>
    </comment>
    <comment ref="E93" authorId="0" shapeId="0" xr:uid="{68C9D765-7B4E-46D8-957B-CD79F4E70739}">
      <text>
        <r>
          <rPr>
            <b/>
            <sz val="9"/>
            <color indexed="81"/>
            <rFont val="Tahoma"/>
            <family val="2"/>
          </rPr>
          <t xml:space="preserve"> &lt;[[TCDeals] - [TC Property Current Stage (Seq: 1)] - [Buildings (Seq: 30)] City - Send]&gt;</t>
        </r>
      </text>
    </comment>
    <comment ref="H93" authorId="0" shapeId="0" xr:uid="{9520C170-E8FD-4316-9003-A15E6FBF2FC6}">
      <text>
        <r>
          <rPr>
            <b/>
            <sz val="9"/>
            <color indexed="81"/>
            <rFont val="Tahoma"/>
            <family val="2"/>
          </rPr>
          <t xml:space="preserve"> &lt;[[TCDeals] - [TC Property Current Stage (Seq: 1)] - [Buildings (Seq: 30)] State - Send]&gt;</t>
        </r>
      </text>
    </comment>
    <comment ref="J93" authorId="0" shapeId="0" xr:uid="{E3832B4D-77B1-4B28-BE57-1EF5EF2D20FB}">
      <text>
        <r>
          <rPr>
            <b/>
            <sz val="9"/>
            <color indexed="81"/>
            <rFont val="Tahoma"/>
            <family val="2"/>
          </rPr>
          <t xml:space="preserve"> &lt;[[TCDeals] - [TC Property Current Stage (Seq: 1)] - [Buildings (Seq: 30)] Zip Code - Send]&gt;</t>
        </r>
      </text>
    </comment>
    <comment ref="L93" authorId="0" shapeId="0" xr:uid="{3FB0EF7B-88A1-4A48-8845-0B202AD6A40C}">
      <text>
        <r>
          <rPr>
            <b/>
            <sz val="9"/>
            <color indexed="81"/>
            <rFont val="Tahoma"/>
            <family val="2"/>
          </rPr>
          <t xml:space="preserve"> &lt;[[TCDeals] - [TC Property Current Stage (Seq: 1)] - [Buildings (Seq: 30)] Num Mkt Units - Send]&gt;</t>
        </r>
      </text>
    </comment>
    <comment ref="N93" authorId="0" shapeId="0" xr:uid="{AB353A99-B7AA-4ED6-B442-231733AE0720}">
      <text>
        <r>
          <rPr>
            <b/>
            <sz val="9"/>
            <color indexed="81"/>
            <rFont val="Tahoma"/>
            <family val="2"/>
          </rPr>
          <t xml:space="preserve"> &lt;[[TCDeals] - [TC Property Current Stage (Seq: 1)] - [Buildings (Seq: 30)] Num TC Units - Send]&gt;</t>
        </r>
      </text>
    </comment>
    <comment ref="C94" authorId="0" shapeId="0" xr:uid="{29B92E27-FF75-41DB-ACAA-E64DEFB91422}">
      <text>
        <r>
          <rPr>
            <b/>
            <sz val="9"/>
            <color indexed="81"/>
            <rFont val="Tahoma"/>
            <family val="2"/>
          </rPr>
          <t xml:space="preserve"> &lt;[[TCDeals] - [TC Property Current Stage (Seq: 1)] - [Buildings (Seq: 31)] Address 1 - Send]&gt;</t>
        </r>
      </text>
    </comment>
    <comment ref="E94" authorId="0" shapeId="0" xr:uid="{0FBDF195-F54E-45A7-A56B-B0268BD910B0}">
      <text>
        <r>
          <rPr>
            <b/>
            <sz val="9"/>
            <color indexed="81"/>
            <rFont val="Tahoma"/>
            <family val="2"/>
          </rPr>
          <t xml:space="preserve"> &lt;[[TCDeals] - [TC Property Current Stage (Seq: 1)] - [Buildings (Seq: 31)] City - Send]&gt;</t>
        </r>
      </text>
    </comment>
    <comment ref="H94" authorId="0" shapeId="0" xr:uid="{34E6F924-8CD5-4A05-B8EB-EBA1E9151F1E}">
      <text>
        <r>
          <rPr>
            <b/>
            <sz val="9"/>
            <color indexed="81"/>
            <rFont val="Tahoma"/>
            <family val="2"/>
          </rPr>
          <t xml:space="preserve"> &lt;[[TCDeals] - [TC Property Current Stage (Seq: 1)] - [Buildings (Seq: 31)] State - Send]&gt;</t>
        </r>
      </text>
    </comment>
    <comment ref="J94" authorId="0" shapeId="0" xr:uid="{A1FBFA26-88DE-45D4-8BAA-9B5C0D895C8E}">
      <text>
        <r>
          <rPr>
            <b/>
            <sz val="9"/>
            <color indexed="81"/>
            <rFont val="Tahoma"/>
            <family val="2"/>
          </rPr>
          <t xml:space="preserve"> &lt;[[TCDeals] - [TC Property Current Stage (Seq: 1)] - [Buildings (Seq: 31)] Zip Code - Send]&gt;</t>
        </r>
      </text>
    </comment>
    <comment ref="L94" authorId="0" shapeId="0" xr:uid="{C5B0751A-EB81-45F8-A20C-CEF7E18988E3}">
      <text>
        <r>
          <rPr>
            <b/>
            <sz val="9"/>
            <color indexed="81"/>
            <rFont val="Tahoma"/>
            <family val="2"/>
          </rPr>
          <t xml:space="preserve"> &lt;[[TCDeals] - [TC Property Current Stage (Seq: 1)] - [Buildings (Seq: 31)] Num Mkt Units - Send]&gt;</t>
        </r>
      </text>
    </comment>
    <comment ref="N94" authorId="0" shapeId="0" xr:uid="{83AFD7C2-0256-4DE8-A8FC-19BAD36EF49A}">
      <text>
        <r>
          <rPr>
            <b/>
            <sz val="9"/>
            <color indexed="81"/>
            <rFont val="Tahoma"/>
            <family val="2"/>
          </rPr>
          <t xml:space="preserve"> &lt;[[TCDeals] - [TC Property Current Stage (Seq: 1)] - [Buildings (Seq: 31)] Num TC Units - Send]&gt;</t>
        </r>
      </text>
    </comment>
    <comment ref="C95" authorId="0" shapeId="0" xr:uid="{B75A8F5D-2242-4352-9C84-2310071D0F95}">
      <text>
        <r>
          <rPr>
            <b/>
            <sz val="9"/>
            <color indexed="81"/>
            <rFont val="Tahoma"/>
            <family val="2"/>
          </rPr>
          <t xml:space="preserve"> &lt;[[TCDeals] - [TC Property Current Stage (Seq: 1)] - [Buildings (Seq: 32)] Address 1 - Send]&gt;</t>
        </r>
      </text>
    </comment>
    <comment ref="E95" authorId="0" shapeId="0" xr:uid="{27F351F9-AFCE-46C7-A21C-46F8D5226844}">
      <text>
        <r>
          <rPr>
            <b/>
            <sz val="9"/>
            <color indexed="81"/>
            <rFont val="Tahoma"/>
            <family val="2"/>
          </rPr>
          <t xml:space="preserve"> &lt;[[TCDeals] - [TC Property Current Stage (Seq: 1)] - [Buildings (Seq: 32)] City - Send]&gt;</t>
        </r>
      </text>
    </comment>
    <comment ref="H95" authorId="0" shapeId="0" xr:uid="{536B2F51-9B63-4443-80B7-3AAA8F624D87}">
      <text>
        <r>
          <rPr>
            <b/>
            <sz val="9"/>
            <color indexed="81"/>
            <rFont val="Tahoma"/>
            <family val="2"/>
          </rPr>
          <t xml:space="preserve"> &lt;[[TCDeals] - [TC Property Current Stage (Seq: 1)] - [Buildings (Seq: 32)] State - Send]&gt;</t>
        </r>
      </text>
    </comment>
    <comment ref="J95" authorId="0" shapeId="0" xr:uid="{77EBFF7D-44AD-4C44-9E47-41C692C8DB7C}">
      <text>
        <r>
          <rPr>
            <b/>
            <sz val="9"/>
            <color indexed="81"/>
            <rFont val="Tahoma"/>
            <family val="2"/>
          </rPr>
          <t xml:space="preserve"> &lt;[[TCDeals] - [TC Property Current Stage (Seq: 1)] - [Buildings (Seq: 32)] Zip Code - Send]&gt;</t>
        </r>
      </text>
    </comment>
    <comment ref="L95" authorId="0" shapeId="0" xr:uid="{AF8C9D17-D707-44C0-9F83-EB4F7BE1F5B7}">
      <text>
        <r>
          <rPr>
            <b/>
            <sz val="9"/>
            <color indexed="81"/>
            <rFont val="Tahoma"/>
            <family val="2"/>
          </rPr>
          <t xml:space="preserve"> &lt;[[TCDeals] - [TC Property Current Stage (Seq: 1)] - [Buildings (Seq: 32)] Num Mkt Units - Send]&gt;</t>
        </r>
      </text>
    </comment>
    <comment ref="N95" authorId="0" shapeId="0" xr:uid="{094819F5-3A1F-4DC9-A917-4A64629C2538}">
      <text>
        <r>
          <rPr>
            <b/>
            <sz val="9"/>
            <color indexed="81"/>
            <rFont val="Tahoma"/>
            <family val="2"/>
          </rPr>
          <t xml:space="preserve"> &lt;[[TCDeals] - [TC Property Current Stage (Seq: 1)] - [Buildings (Seq: 32)] Num TC Units - Send]&gt;</t>
        </r>
      </text>
    </comment>
    <comment ref="C96" authorId="0" shapeId="0" xr:uid="{A5A42222-6D9D-481A-B3E1-BBF0DCCCEE97}">
      <text>
        <r>
          <rPr>
            <b/>
            <sz val="9"/>
            <color indexed="81"/>
            <rFont val="Tahoma"/>
            <family val="2"/>
          </rPr>
          <t xml:space="preserve"> &lt;[[TCDeals] - [TC Property Current Stage (Seq: 1)] - [Buildings (Seq: 33)] Address 1 - Send]&gt;</t>
        </r>
      </text>
    </comment>
    <comment ref="E96" authorId="0" shapeId="0" xr:uid="{DADDCEA7-A052-42BC-92D8-D73D81BBA2A8}">
      <text>
        <r>
          <rPr>
            <b/>
            <sz val="9"/>
            <color indexed="81"/>
            <rFont val="Tahoma"/>
            <family val="2"/>
          </rPr>
          <t xml:space="preserve"> &lt;[[TCDeals] - [TC Property Current Stage (Seq: 1)] - [Buildings (Seq: 33)] City - Send]&gt;</t>
        </r>
      </text>
    </comment>
    <comment ref="H96" authorId="0" shapeId="0" xr:uid="{F2BAF5DA-D3DD-4843-97CB-931913F9AE69}">
      <text>
        <r>
          <rPr>
            <b/>
            <sz val="9"/>
            <color indexed="81"/>
            <rFont val="Tahoma"/>
            <family val="2"/>
          </rPr>
          <t xml:space="preserve"> &lt;[[TCDeals] - [TC Property Current Stage (Seq: 1)] - [Buildings (Seq: 33)] State - Send]&gt;</t>
        </r>
      </text>
    </comment>
    <comment ref="J96" authorId="0" shapeId="0" xr:uid="{331E35E4-340E-4C47-81E7-9438E0BED4C4}">
      <text>
        <r>
          <rPr>
            <b/>
            <sz val="9"/>
            <color indexed="81"/>
            <rFont val="Tahoma"/>
            <family val="2"/>
          </rPr>
          <t xml:space="preserve"> &lt;[[TCDeals] - [TC Property Current Stage (Seq: 1)] - [Buildings (Seq: 33)] Zip Code - Send]&gt;</t>
        </r>
      </text>
    </comment>
    <comment ref="L96" authorId="0" shapeId="0" xr:uid="{0275252A-A41F-462C-8C23-8E5A015D9E66}">
      <text>
        <r>
          <rPr>
            <b/>
            <sz val="9"/>
            <color indexed="81"/>
            <rFont val="Tahoma"/>
            <family val="2"/>
          </rPr>
          <t xml:space="preserve"> &lt;[[TCDeals] - [TC Property Current Stage (Seq: 1)] - [Buildings (Seq: 33)] Num Mkt Units - Send]&gt;</t>
        </r>
      </text>
    </comment>
    <comment ref="N96" authorId="0" shapeId="0" xr:uid="{A21DC6E8-881C-47AE-808C-A8ED48C6D428}">
      <text>
        <r>
          <rPr>
            <b/>
            <sz val="9"/>
            <color indexed="81"/>
            <rFont val="Tahoma"/>
            <family val="2"/>
          </rPr>
          <t xml:space="preserve"> &lt;[[TCDeals] - [TC Property Current Stage (Seq: 1)] - [Buildings (Seq: 33)] Num TC Units - Send]&gt;</t>
        </r>
      </text>
    </comment>
    <comment ref="C97" authorId="0" shapeId="0" xr:uid="{14D6E030-D27D-4DF1-8249-12D937CF4844}">
      <text>
        <r>
          <rPr>
            <b/>
            <sz val="9"/>
            <color indexed="81"/>
            <rFont val="Tahoma"/>
            <family val="2"/>
          </rPr>
          <t xml:space="preserve"> &lt;[[TCDeals] - [TC Property Current Stage (Seq: 1)] - [Buildings (Seq: 34)] Address 1 - Send]&gt;</t>
        </r>
      </text>
    </comment>
    <comment ref="E97" authorId="0" shapeId="0" xr:uid="{69B6DE4D-7C37-481F-8C0B-29E19BC5730E}">
      <text>
        <r>
          <rPr>
            <b/>
            <sz val="9"/>
            <color indexed="81"/>
            <rFont val="Tahoma"/>
            <family val="2"/>
          </rPr>
          <t xml:space="preserve"> &lt;[[TCDeals] - [TC Property Current Stage (Seq: 1)] - [Buildings (Seq: 34)] City - Send]&gt;</t>
        </r>
      </text>
    </comment>
    <comment ref="H97" authorId="0" shapeId="0" xr:uid="{81C9E409-12B4-4E39-8D38-F4681C901BF7}">
      <text>
        <r>
          <rPr>
            <b/>
            <sz val="9"/>
            <color indexed="81"/>
            <rFont val="Tahoma"/>
            <family val="2"/>
          </rPr>
          <t xml:space="preserve"> &lt;[[TCDeals] - [TC Property Current Stage (Seq: 1)] - [Buildings (Seq: 34)] State - Send]&gt;</t>
        </r>
      </text>
    </comment>
    <comment ref="J97" authorId="0" shapeId="0" xr:uid="{0E7505A3-2886-4DBE-9263-49591B80F5D1}">
      <text>
        <r>
          <rPr>
            <b/>
            <sz val="9"/>
            <color indexed="81"/>
            <rFont val="Tahoma"/>
            <family val="2"/>
          </rPr>
          <t xml:space="preserve"> &lt;[[TCDeals] - [TC Property Current Stage (Seq: 1)] - [Buildings (Seq: 34)] Zip Code - Send]&gt;</t>
        </r>
      </text>
    </comment>
    <comment ref="L97" authorId="0" shapeId="0" xr:uid="{1767EFB9-AA58-46C1-9DD8-B21D2AF89CF1}">
      <text>
        <r>
          <rPr>
            <b/>
            <sz val="9"/>
            <color indexed="81"/>
            <rFont val="Tahoma"/>
            <family val="2"/>
          </rPr>
          <t xml:space="preserve"> &lt;[[TCDeals] - [TC Property Current Stage (Seq: 1)] - [Buildings (Seq: 34)] Num Mkt Units - Send]&gt;</t>
        </r>
      </text>
    </comment>
    <comment ref="N97" authorId="0" shapeId="0" xr:uid="{E2A62E34-B39C-4AEC-BDF9-A51FB55DE83B}">
      <text>
        <r>
          <rPr>
            <b/>
            <sz val="9"/>
            <color indexed="81"/>
            <rFont val="Tahoma"/>
            <family val="2"/>
          </rPr>
          <t xml:space="preserve"> &lt;[[TCDeals] - [TC Property Current Stage (Seq: 1)] - [Buildings (Seq: 34)] Num TC Units - Send]&gt;</t>
        </r>
      </text>
    </comment>
    <comment ref="C98" authorId="0" shapeId="0" xr:uid="{418316A7-6EB7-498A-AA83-B33EF6D6294A}">
      <text>
        <r>
          <rPr>
            <b/>
            <sz val="9"/>
            <color indexed="81"/>
            <rFont val="Tahoma"/>
            <family val="2"/>
          </rPr>
          <t xml:space="preserve"> &lt;[[TCDeals] - [TC Property Current Stage (Seq: 1)] Num Buildings - Send]&gt;</t>
        </r>
      </text>
    </comment>
    <comment ref="C100" authorId="0" shapeId="0" xr:uid="{3DE908FC-BC98-4561-A79A-D579864840B9}">
      <text>
        <r>
          <rPr>
            <b/>
            <sz val="9"/>
            <color indexed="81"/>
            <rFont val="Tahoma"/>
            <family val="2"/>
          </rPr>
          <t xml:space="preserve"> &lt;[[TCDeals] - [TCDeals - User Defined Field Values (Seq: 1)] Multi Family Application - Does an Identity of Ownership exist between owner and principal? - Send]&gt;</t>
        </r>
      </text>
    </comment>
    <comment ref="C101" authorId="0" shapeId="0" xr:uid="{AEDAB815-DEEA-4D36-BB97-0CBB4DC5803A}">
      <text>
        <r>
          <rPr>
            <b/>
            <sz val="9"/>
            <color indexed="81"/>
            <rFont val="Tahoma"/>
            <family val="2"/>
          </rPr>
          <t xml:space="preserve"> &lt;[[TCDeals] - [TCDeals - User Defined Field Values (Seq: 1)] Multi Family Application - Rehab expenditures allocable to low-income units - Send]&gt;</t>
        </r>
      </text>
    </comment>
    <comment ref="C102" authorId="0" shapeId="0" xr:uid="{13EEAB5E-0FB9-406B-A229-3BC1D3A1BD7E}">
      <text>
        <r>
          <rPr>
            <b/>
            <sz val="9"/>
            <color indexed="81"/>
            <rFont val="Tahoma"/>
            <family val="2"/>
          </rPr>
          <t xml:space="preserve"> &lt;[[TCDeals] - [TCDeals - User Defined Field Values (Seq: 1)] Multi Family Application - Adjusted building basis - Send]&gt;</t>
        </r>
      </text>
    </comment>
    <comment ref="C106" authorId="0" shapeId="0" xr:uid="{F788399B-5D9D-4040-9B76-14524A3F7228}">
      <text>
        <r>
          <rPr>
            <b/>
            <sz val="9"/>
            <color indexed="81"/>
            <rFont val="Tahoma"/>
            <family val="2"/>
          </rPr>
          <t xml:space="preserve"> &lt;[[TCDeals] - [TC Property Current Stage (Seq: 1)] Owner Name - Send]&gt;</t>
        </r>
      </text>
    </comment>
    <comment ref="C107" authorId="0" shapeId="0" xr:uid="{18EACAAE-86FF-412C-A9D5-48BEAA5DB656}">
      <text>
        <r>
          <rPr>
            <b/>
            <sz val="9"/>
            <color indexed="81"/>
            <rFont val="Tahoma"/>
            <family val="2"/>
          </rPr>
          <t xml:space="preserve"> &lt;[[TCDeals] - [TC Property Current Stage (Seq: 1)] Owner Address - Send]&gt;</t>
        </r>
      </text>
    </comment>
    <comment ref="C108" authorId="0" shapeId="0" xr:uid="{DAB5440C-F533-482B-9935-304AD3F850A4}">
      <text>
        <r>
          <rPr>
            <b/>
            <sz val="9"/>
            <color indexed="81"/>
            <rFont val="Tahoma"/>
            <family val="2"/>
          </rPr>
          <t xml:space="preserve"> &lt;[[TCDeals] - [TC Property Current Stage (Seq: 1)] Owner City - Send]&gt;</t>
        </r>
      </text>
    </comment>
    <comment ref="C109" authorId="0" shapeId="0" xr:uid="{FC6BB03F-1444-4BD2-866B-66C80A389290}">
      <text>
        <r>
          <rPr>
            <b/>
            <sz val="9"/>
            <color indexed="81"/>
            <rFont val="Tahoma"/>
            <family val="2"/>
          </rPr>
          <t xml:space="preserve"> &lt;[[TCDeals] - [TC Property Current Stage (Seq: 1)] Owner State - Send]&gt;</t>
        </r>
      </text>
    </comment>
    <comment ref="C110" authorId="0" shapeId="0" xr:uid="{5B5E41DE-2865-44C4-8925-3C9B2B2BD675}">
      <text>
        <r>
          <rPr>
            <b/>
            <sz val="9"/>
            <color indexed="81"/>
            <rFont val="Tahoma"/>
            <family val="2"/>
          </rPr>
          <t xml:space="preserve"> &lt;[[TCDeals] - [TC Property Current Stage (Seq: 1)] Owner Zip - Send]&gt;</t>
        </r>
      </text>
    </comment>
    <comment ref="C111" authorId="0" shapeId="0" xr:uid="{7DFAA061-DAC7-4420-AD26-557C5D573084}">
      <text>
        <r>
          <rPr>
            <b/>
            <sz val="9"/>
            <color indexed="81"/>
            <rFont val="Tahoma"/>
            <family val="2"/>
          </rPr>
          <t xml:space="preserve"> &lt;[[TCDeals] - [TC Property Current Stage (Seq: 1)] Owner Fed Tax Id Number - Send]&gt;</t>
        </r>
      </text>
    </comment>
    <comment ref="C114" authorId="0" shapeId="0" xr:uid="{DFA3AB2E-29F8-4DB4-A60F-542BDF33B2DE}">
      <text>
        <r>
          <rPr>
            <b/>
            <sz val="9"/>
            <color indexed="81"/>
            <rFont val="Tahoma"/>
            <family val="2"/>
          </rPr>
          <t xml:space="preserve"> &lt;[[TCDeals] - [TC Property Current Stage (Seq: 1)] Owner Contact First Name - Send]&gt;</t>
        </r>
      </text>
    </comment>
    <comment ref="C115" authorId="0" shapeId="0" xr:uid="{D7ED5B89-2F3A-404F-8225-801F4C850CCC}">
      <text>
        <r>
          <rPr>
            <b/>
            <sz val="9"/>
            <color indexed="81"/>
            <rFont val="Tahoma"/>
            <family val="2"/>
          </rPr>
          <t xml:space="preserve"> &lt;[[TCDeals] - [TC Property Current Stage (Seq: 1)] Owner Contact Last Name - Send]&gt;</t>
        </r>
      </text>
    </comment>
    <comment ref="C120" authorId="0" shapeId="0" xr:uid="{71BC642A-A39A-4EE8-8AA9-8A0B7F8B48D8}">
      <text>
        <r>
          <rPr>
            <b/>
            <sz val="9"/>
            <color indexed="81"/>
            <rFont val="Tahoma"/>
            <family val="2"/>
          </rPr>
          <t xml:space="preserve"> &lt;[[TCDeals] - [TC Property Current Stage (Seq: 1)] Mgt Entity Firm Name - Send]&gt;</t>
        </r>
      </text>
    </comment>
    <comment ref="C121" authorId="0" shapeId="0" xr:uid="{0A4D2857-C7C6-499D-904F-88EE9EBEF6D0}">
      <text>
        <r>
          <rPr>
            <b/>
            <sz val="9"/>
            <color indexed="81"/>
            <rFont val="Tahoma"/>
            <family val="2"/>
          </rPr>
          <t xml:space="preserve"> &lt;[[TCDeals] - [TC Property Current Stage (Seq: 1)] Mgt Entity Contact Name - Send]&gt;</t>
        </r>
      </text>
    </comment>
    <comment ref="C122" authorId="0" shapeId="0" xr:uid="{DE72E041-EC4E-4A19-8D88-2585B7913298}">
      <text>
        <r>
          <rPr>
            <b/>
            <sz val="9"/>
            <color indexed="81"/>
            <rFont val="Tahoma"/>
            <family val="2"/>
          </rPr>
          <t xml:space="preserve"> &lt;[[TCDeals] - [TC Property Current Stage (Seq: 1)] Consultant Firm Name - Send]&gt;</t>
        </r>
      </text>
    </comment>
    <comment ref="C123" authorId="0" shapeId="0" xr:uid="{E630565D-12DB-4E79-89A4-9335A627FE94}">
      <text>
        <r>
          <rPr>
            <b/>
            <sz val="9"/>
            <color indexed="81"/>
            <rFont val="Tahoma"/>
            <family val="2"/>
          </rPr>
          <t xml:space="preserve"> &lt;[[TCDeals] - [TC Property Current Stage (Seq: 1)] Consultant Contact Name - Send]&gt;</t>
        </r>
      </text>
    </comment>
    <comment ref="C124" authorId="0" shapeId="0" xr:uid="{97254A70-030F-40F1-B813-A12B0B38BC79}">
      <text>
        <r>
          <rPr>
            <b/>
            <sz val="9"/>
            <color indexed="81"/>
            <rFont val="Tahoma"/>
            <family val="2"/>
          </rPr>
          <t xml:space="preserve"> &lt;[[TCDeals] - [TC Property Current Stage (Seq: 1)] Contractor Firm Name - Send]&gt;</t>
        </r>
      </text>
    </comment>
    <comment ref="D124" authorId="0" shapeId="0" xr:uid="{040F1435-44CF-4AF2-B447-8C621B686E12}">
      <text>
        <r>
          <rPr>
            <b/>
            <sz val="9"/>
            <color indexed="81"/>
            <rFont val="Tahoma"/>
            <family val="2"/>
          </rPr>
          <t xml:space="preserve"> &lt;[[TCDeals] - [TC Construction Control (Seq: 1)] General Contractor - Send]&gt;</t>
        </r>
      </text>
    </comment>
    <comment ref="E124" authorId="0" shapeId="0" xr:uid="{46C0FBD3-6D0C-4117-B7E3-A90B426A2933}">
      <text>
        <r>
          <rPr>
            <b/>
            <sz val="9"/>
            <color indexed="81"/>
            <rFont val="Tahoma"/>
            <family val="2"/>
          </rPr>
          <t xml:space="preserve"> &lt;[[TCDeals] - [TC Construction Control (Seq: 1)] General Contractor Phone - Send]&gt;</t>
        </r>
      </text>
    </comment>
    <comment ref="C125" authorId="0" shapeId="0" xr:uid="{33B4DBE9-4497-4001-AC63-15D2D9653F71}">
      <text>
        <r>
          <rPr>
            <b/>
            <sz val="9"/>
            <color indexed="81"/>
            <rFont val="Tahoma"/>
            <family val="2"/>
          </rPr>
          <t xml:space="preserve"> &lt;[[TCDeals] - [TC Property Current Stage (Seq: 1)] Contractor Contact Name - Send]&gt;</t>
        </r>
      </text>
    </comment>
    <comment ref="D125" authorId="0" shapeId="0" xr:uid="{61AE62C9-6185-442F-B61D-8BB8B21E25D7}">
      <text>
        <r>
          <rPr>
            <b/>
            <sz val="9"/>
            <color indexed="81"/>
            <rFont val="Tahoma"/>
            <family val="2"/>
          </rPr>
          <t xml:space="preserve"> &lt;[[TCDeals] - [TC Construction Control (Seq: 1)] General Contractor Contact - Send]&gt;</t>
        </r>
      </text>
    </comment>
    <comment ref="C126" authorId="0" shapeId="0" xr:uid="{A58F739D-F62A-4B60-BDCA-47AE262FCE80}">
      <text>
        <r>
          <rPr>
            <b/>
            <sz val="9"/>
            <color indexed="81"/>
            <rFont val="Tahoma"/>
            <family val="2"/>
          </rPr>
          <t xml:space="preserve"> &lt;[[TCDeals] - [TC Property Current Stage (Seq: 1)] Syndicator - Send]&gt;</t>
        </r>
      </text>
    </comment>
    <comment ref="C127" authorId="0" shapeId="0" xr:uid="{9E6414D0-69C3-4BA0-B417-9893F8D3AF91}">
      <text>
        <r>
          <rPr>
            <b/>
            <sz val="9"/>
            <color indexed="81"/>
            <rFont val="Tahoma"/>
            <family val="2"/>
          </rPr>
          <t xml:space="preserve"> &lt;[[TCDeals] - [TC Property Current Stage (Seq: 1)] Architect Firm Name - Send]&gt;</t>
        </r>
      </text>
    </comment>
    <comment ref="C128" authorId="0" shapeId="0" xr:uid="{F7019DC8-22F6-4870-9A7F-5F5C4FB62D56}">
      <text>
        <r>
          <rPr>
            <b/>
            <sz val="9"/>
            <color indexed="81"/>
            <rFont val="Tahoma"/>
            <family val="2"/>
          </rPr>
          <t xml:space="preserve"> &lt;[[TCDeals] - [TC Property Current Stage (Seq: 1)] Architect Contact Name - Send]&gt;</t>
        </r>
      </text>
    </comment>
    <comment ref="D128" authorId="0" shapeId="0" xr:uid="{8DDCA461-4BA7-41A8-8E86-C2450914C0CC}">
      <text>
        <r>
          <rPr>
            <b/>
            <sz val="9"/>
            <color indexed="81"/>
            <rFont val="Tahoma"/>
            <family val="2"/>
          </rPr>
          <t xml:space="preserve"> &lt;[[TCDeals] - [TC Construction Control (Seq: 1)] Architect Primary Contact - Send]&gt;</t>
        </r>
      </text>
    </comment>
    <comment ref="C129" authorId="0" shapeId="0" xr:uid="{C63B4F9B-862D-4F37-A440-213650218317}">
      <text>
        <r>
          <rPr>
            <b/>
            <sz val="9"/>
            <color indexed="81"/>
            <rFont val="Tahoma"/>
            <family val="2"/>
          </rPr>
          <t xml:space="preserve"> &lt;[[TCDeals] - [TC Property Current Stage (Seq: 1)] Tax Accountant Firm Name - Send]&gt;</t>
        </r>
      </text>
    </comment>
    <comment ref="C130" authorId="0" shapeId="0" xr:uid="{121BB081-483F-47EC-BC8C-D991DF258E2E}">
      <text>
        <r>
          <rPr>
            <b/>
            <sz val="9"/>
            <color indexed="81"/>
            <rFont val="Tahoma"/>
            <family val="2"/>
          </rPr>
          <t xml:space="preserve"> &lt;[[TCDeals] - [TC Property Current Stage (Seq: 1)] Tax Accountant Contact Name - Send]&gt;</t>
        </r>
      </text>
    </comment>
    <comment ref="M133" authorId="0" shapeId="0" xr:uid="{5DEF8BB6-D933-40E5-A723-E1EB1984B9A7}">
      <text>
        <r>
          <rPr>
            <b/>
            <sz val="9"/>
            <color indexed="81"/>
            <rFont val="Tahoma"/>
            <family val="2"/>
          </rPr>
          <t xml:space="preserve"> &lt;[[TCDeals] - [Proxy Entities (Seq: 1)] Company or Individual? - Send]&gt;</t>
        </r>
      </text>
    </comment>
    <comment ref="N133" authorId="0" shapeId="0" xr:uid="{EEF0CAE6-AD59-481F-A01B-FD28A1988CD3}">
      <text>
        <r>
          <rPr>
            <b/>
            <sz val="9"/>
            <color indexed="81"/>
            <rFont val="Tahoma"/>
            <family val="2"/>
          </rPr>
          <t xml:space="preserve"> &lt;[[TCDeals] - [Proxy Entities (Seq: 1)] Deal Entity Role - Send]&gt;</t>
        </r>
      </text>
    </comment>
    <comment ref="O133" authorId="0" shapeId="0" xr:uid="{42B2EE19-94C9-4F13-BF7C-F78BD4488179}">
      <text>
        <r>
          <rPr>
            <b/>
            <sz val="9"/>
            <color indexed="81"/>
            <rFont val="Tahoma"/>
            <family val="2"/>
          </rPr>
          <t xml:space="preserve"> &lt;[[TCDeals] - [Proxy Entities (Seq: 1)] Name (Doing Business As) - Send]&gt;</t>
        </r>
      </text>
    </comment>
    <comment ref="P133" authorId="0" shapeId="0" xr:uid="{91C9829A-A574-42DF-8850-4C26280F676C}">
      <text>
        <r>
          <rPr>
            <b/>
            <sz val="9"/>
            <color indexed="81"/>
            <rFont val="Tahoma"/>
            <family val="2"/>
          </rPr>
          <t xml:space="preserve"> &lt;[[TCDeals] - [Proxy Entities (Seq: 1)] First Name - Send]&gt;</t>
        </r>
      </text>
    </comment>
    <comment ref="Q133" authorId="0" shapeId="0" xr:uid="{2CC825C3-A912-4D72-AC5F-6A43E385C8AE}">
      <text>
        <r>
          <rPr>
            <b/>
            <sz val="9"/>
            <color indexed="81"/>
            <rFont val="Tahoma"/>
            <family val="2"/>
          </rPr>
          <t xml:space="preserve"> &lt;[[TCDeals] - [Proxy Entities (Seq: 1)] Last Name - Send]&gt;</t>
        </r>
      </text>
    </comment>
    <comment ref="R133" authorId="0" shapeId="0" xr:uid="{D96240DF-BA0C-424F-B185-3DFBF9B3252B}">
      <text>
        <r>
          <rPr>
            <b/>
            <sz val="9"/>
            <color indexed="81"/>
            <rFont val="Tahoma"/>
            <family val="2"/>
          </rPr>
          <t xml:space="preserve"> &lt;[[TCDeals] - [Proxy Entities (Seq: 1)] Email Address 1 - Send]&gt;</t>
        </r>
      </text>
    </comment>
    <comment ref="S133" authorId="0" shapeId="0" xr:uid="{7C3A9B78-2DE9-40D1-9304-A7BE9C5C8A3E}">
      <text>
        <r>
          <rPr>
            <b/>
            <sz val="9"/>
            <color indexed="81"/>
            <rFont val="Tahoma"/>
            <family val="2"/>
          </rPr>
          <t xml:space="preserve"> &lt;[[TCDeals] - [Proxy Entities (Seq: 1)] Address 1 - Send]&gt;</t>
        </r>
      </text>
    </comment>
    <comment ref="T133" authorId="0" shapeId="0" xr:uid="{73B6253E-2A82-402A-8302-B5DD5612FFD9}">
      <text>
        <r>
          <rPr>
            <b/>
            <sz val="9"/>
            <color indexed="81"/>
            <rFont val="Tahoma"/>
            <family val="2"/>
          </rPr>
          <t xml:space="preserve"> &lt;[[TCDeals] - [Proxy Entities (Seq: 1)] City - Send]&gt;</t>
        </r>
      </text>
    </comment>
    <comment ref="U133" authorId="0" shapeId="0" xr:uid="{05116B63-146F-40EF-8DC1-6EF229F2F20F}">
      <text>
        <r>
          <rPr>
            <b/>
            <sz val="9"/>
            <color indexed="81"/>
            <rFont val="Tahoma"/>
            <family val="2"/>
          </rPr>
          <t xml:space="preserve"> &lt;[[TCDeals] - [Proxy Entities (Seq: 1)] State - Send]&gt;</t>
        </r>
      </text>
    </comment>
    <comment ref="V133" authorId="0" shapeId="0" xr:uid="{72D5BAF7-F13A-4A05-B1D7-D219F95D1AC9}">
      <text>
        <r>
          <rPr>
            <b/>
            <sz val="9"/>
            <color indexed="81"/>
            <rFont val="Tahoma"/>
            <family val="2"/>
          </rPr>
          <t xml:space="preserve"> &lt;[[TCDeals] - [Proxy Entities (Seq: 1)] Zip Code - Send]&gt;</t>
        </r>
      </text>
    </comment>
    <comment ref="W133" authorId="0" shapeId="0" xr:uid="{2CD8807C-D358-46CF-B6D0-2C872AE4F893}">
      <text>
        <r>
          <rPr>
            <b/>
            <sz val="9"/>
            <color indexed="81"/>
            <rFont val="Tahoma"/>
            <family val="2"/>
          </rPr>
          <t xml:space="preserve"> &lt;[[TCDeals] - [Proxy Entities (Seq: 1)] Direct Phone - Send]&gt;</t>
        </r>
      </text>
    </comment>
    <comment ref="AA133" authorId="0" shapeId="0" xr:uid="{A81B404C-9551-496A-8E18-9355C25CE57A}">
      <text>
        <r>
          <rPr>
            <b/>
            <sz val="9"/>
            <color indexed="81"/>
            <rFont val="Tahoma"/>
            <family val="2"/>
          </rPr>
          <t xml:space="preserve"> &lt;[[TCDeals] - [Associated DEV Deal (Seq: 1)] - [Proxy Entities (Seq: 1)] Name (Doing Business As) - Send]&gt;</t>
        </r>
      </text>
    </comment>
    <comment ref="AB133" authorId="0" shapeId="0" xr:uid="{871CE26D-2370-4C82-BF3D-56F5B6D03DAF}">
      <text>
        <r>
          <rPr>
            <b/>
            <sz val="9"/>
            <color indexed="81"/>
            <rFont val="Tahoma"/>
            <family val="2"/>
          </rPr>
          <t xml:space="preserve"> &lt;[[TCDeals] - [Associated DEV Deal (Seq: 1)] - [Proxy Entities (Seq: 1)] Company or Individual? - Send]&gt;</t>
        </r>
      </text>
    </comment>
    <comment ref="AC133" authorId="0" shapeId="0" xr:uid="{10822CC6-EEA8-4619-81E8-428436E6FC52}">
      <text>
        <r>
          <rPr>
            <b/>
            <sz val="9"/>
            <color indexed="81"/>
            <rFont val="Tahoma"/>
            <family val="2"/>
          </rPr>
          <t xml:space="preserve"> &lt;[[TCDeals] - [Associated DEV Deal (Seq: 1)] - [Proxy Entities (Seq: 1)] Deal Entity Role - Send]&gt;</t>
        </r>
      </text>
    </comment>
    <comment ref="AD133" authorId="0" shapeId="0" xr:uid="{914D83E5-AA5E-433B-B690-AD14F453B532}">
      <text>
        <r>
          <rPr>
            <b/>
            <sz val="9"/>
            <color indexed="81"/>
            <rFont val="Tahoma"/>
            <family val="2"/>
          </rPr>
          <t xml:space="preserve"> &lt;[[TCDeals] - [Associated DEV Deal (Seq: 1)] - [Proxy Entities (Seq: 1)] First Name - Send]&gt;</t>
        </r>
      </text>
    </comment>
    <comment ref="AE133" authorId="0" shapeId="0" xr:uid="{0062EB2B-E2C6-4A4C-A097-27A2B97F0DFD}">
      <text>
        <r>
          <rPr>
            <b/>
            <sz val="9"/>
            <color indexed="81"/>
            <rFont val="Tahoma"/>
            <family val="2"/>
          </rPr>
          <t xml:space="preserve"> &lt;[[TCDeals] - [Associated DEV Deal (Seq: 1)] - [Proxy Entities (Seq: 1)] Last Name - Send]&gt;</t>
        </r>
      </text>
    </comment>
    <comment ref="AF133" authorId="0" shapeId="0" xr:uid="{33881AB0-A314-4319-9BE4-3F7CB820088F}">
      <text>
        <r>
          <rPr>
            <b/>
            <sz val="9"/>
            <color indexed="81"/>
            <rFont val="Tahoma"/>
            <family val="2"/>
          </rPr>
          <t xml:space="preserve"> &lt;[[TCDeals] - [Associated DEV Deal (Seq: 1)] - [Proxy Entities (Seq: 1)] Email Address 1 - Send]&gt;</t>
        </r>
      </text>
    </comment>
    <comment ref="AG133" authorId="0" shapeId="0" xr:uid="{554C28A8-37AB-4590-AF95-6DE3486B17E1}">
      <text>
        <r>
          <rPr>
            <b/>
            <sz val="9"/>
            <color indexed="81"/>
            <rFont val="Tahoma"/>
            <family val="2"/>
          </rPr>
          <t xml:space="preserve"> &lt;[[TCDeals] - [Associated DEV Deal (Seq: 1)] - [Proxy Entities (Seq: 1)] Address 1 - Send]&gt;</t>
        </r>
      </text>
    </comment>
    <comment ref="AH133" authorId="0" shapeId="0" xr:uid="{D474E7F9-464D-43F5-AE19-1C51576700EB}">
      <text>
        <r>
          <rPr>
            <b/>
            <sz val="9"/>
            <color indexed="81"/>
            <rFont val="Tahoma"/>
            <family val="2"/>
          </rPr>
          <t xml:space="preserve"> &lt;[[TCDeals] - [Associated DEV Deal (Seq: 1)] - [Proxy Entities (Seq: 1)] City - Send]&gt;</t>
        </r>
      </text>
    </comment>
    <comment ref="AI133" authorId="0" shapeId="0" xr:uid="{4528ED8B-8131-496A-ADFE-534910E04A1A}">
      <text>
        <r>
          <rPr>
            <b/>
            <sz val="9"/>
            <color indexed="81"/>
            <rFont val="Tahoma"/>
            <family val="2"/>
          </rPr>
          <t xml:space="preserve"> &lt;[[TCDeals] - [Associated DEV Deal (Seq: 1)] - [Proxy Entities (Seq: 1)] State - Send]&gt;</t>
        </r>
      </text>
    </comment>
    <comment ref="AJ133" authorId="0" shapeId="0" xr:uid="{4FC94194-48A2-4729-995C-06A072A25FDF}">
      <text>
        <r>
          <rPr>
            <b/>
            <sz val="9"/>
            <color indexed="81"/>
            <rFont val="Tahoma"/>
            <family val="2"/>
          </rPr>
          <t xml:space="preserve"> &lt;[[TCDeals] - [Associated DEV Deal (Seq: 1)] - [Proxy Entities (Seq: 1)] Zip Code - Send]&gt;</t>
        </r>
      </text>
    </comment>
    <comment ref="AK133" authorId="0" shapeId="0" xr:uid="{105BFA11-8292-4859-8000-74B5FDFF186B}">
      <text>
        <r>
          <rPr>
            <b/>
            <sz val="9"/>
            <color indexed="81"/>
            <rFont val="Tahoma"/>
            <family val="2"/>
          </rPr>
          <t xml:space="preserve"> &lt;[[TCDeals] - [Associated DEV Deal (Seq: 1)] - [Proxy Entities (Seq: 1)] Direct Phone - Send]&gt;</t>
        </r>
      </text>
    </comment>
    <comment ref="M134" authorId="0" shapeId="0" xr:uid="{C0AAA14E-1772-4275-93DD-D862443D51A9}">
      <text>
        <r>
          <rPr>
            <b/>
            <sz val="9"/>
            <color indexed="81"/>
            <rFont val="Tahoma"/>
            <family val="2"/>
          </rPr>
          <t xml:space="preserve"> &lt;[[TCDeals] - [Proxy Entities (Seq: 1)] Company or Individual? - Send]&gt;</t>
        </r>
      </text>
    </comment>
    <comment ref="N134" authorId="0" shapeId="0" xr:uid="{978EE852-EF2A-49E3-8248-2D8B4F6119D4}">
      <text>
        <r>
          <rPr>
            <b/>
            <sz val="9"/>
            <color indexed="81"/>
            <rFont val="Tahoma"/>
            <family val="2"/>
          </rPr>
          <t xml:space="preserve"> &lt;[[TCDeals] - [Proxy Entities (Seq: 1)] Deal Entity Role - Send]&gt;</t>
        </r>
      </text>
    </comment>
    <comment ref="O134" authorId="0" shapeId="0" xr:uid="{B3E4D6A7-622B-409F-950B-0F5062BBB83D}">
      <text>
        <r>
          <rPr>
            <b/>
            <sz val="9"/>
            <color indexed="81"/>
            <rFont val="Tahoma"/>
            <family val="2"/>
          </rPr>
          <t xml:space="preserve"> &lt;[[TCDeals] - [Proxy Entities (Seq: 2)] Name (Doing Business As) - Send]&gt;</t>
        </r>
      </text>
    </comment>
    <comment ref="P134" authorId="0" shapeId="0" xr:uid="{77FED602-7A56-4B57-B485-E76CEC49B0FB}">
      <text>
        <r>
          <rPr>
            <b/>
            <sz val="9"/>
            <color indexed="81"/>
            <rFont val="Tahoma"/>
            <family val="2"/>
          </rPr>
          <t xml:space="preserve"> &lt;[[TCDeals] - [Proxy Entities (Seq: 2)] First Name - Send]&gt;</t>
        </r>
      </text>
    </comment>
    <comment ref="Q134" authorId="0" shapeId="0" xr:uid="{B3F236FB-AA54-420C-B5F5-D32AEC9CCB47}">
      <text>
        <r>
          <rPr>
            <b/>
            <sz val="9"/>
            <color indexed="81"/>
            <rFont val="Tahoma"/>
            <family val="2"/>
          </rPr>
          <t xml:space="preserve"> &lt;[[TCDeals] - [Proxy Entities (Seq: 2)] Last Name - Send]&gt;</t>
        </r>
      </text>
    </comment>
    <comment ref="R134" authorId="0" shapeId="0" xr:uid="{2598B3F7-E4DA-4A82-9A26-6781E1DD5BF7}">
      <text>
        <r>
          <rPr>
            <b/>
            <sz val="9"/>
            <color indexed="81"/>
            <rFont val="Tahoma"/>
            <family val="2"/>
          </rPr>
          <t xml:space="preserve"> &lt;[[TCDeals] - [Proxy Entities (Seq: 1)] Email Address 1 - Send]&gt;</t>
        </r>
      </text>
    </comment>
    <comment ref="S134" authorId="0" shapeId="0" xr:uid="{18967806-4467-4A94-8CA1-2B36B99BAF69}">
      <text>
        <r>
          <rPr>
            <b/>
            <sz val="9"/>
            <color indexed="81"/>
            <rFont val="Tahoma"/>
            <family val="2"/>
          </rPr>
          <t xml:space="preserve"> &lt;[[TCDeals] - [Proxy Entities (Seq: 1)] Address 1 - Send]&gt;</t>
        </r>
      </text>
    </comment>
    <comment ref="T134" authorId="0" shapeId="0" xr:uid="{C7B5AE0A-C6F3-42D1-A6CB-3FC3AF12280E}">
      <text>
        <r>
          <rPr>
            <b/>
            <sz val="9"/>
            <color indexed="81"/>
            <rFont val="Tahoma"/>
            <family val="2"/>
          </rPr>
          <t xml:space="preserve"> &lt;[[TCDeals] - [Proxy Entities (Seq: 1)] City - Send]&gt;</t>
        </r>
      </text>
    </comment>
    <comment ref="U134" authorId="0" shapeId="0" xr:uid="{DFF84AC9-D943-4C28-9187-DCBA6EFE8260}">
      <text>
        <r>
          <rPr>
            <b/>
            <sz val="9"/>
            <color indexed="81"/>
            <rFont val="Tahoma"/>
            <family val="2"/>
          </rPr>
          <t xml:space="preserve"> &lt;[[TCDeals] - [Proxy Entities (Seq: 1)] State - Send]&gt;</t>
        </r>
      </text>
    </comment>
    <comment ref="V134" authorId="0" shapeId="0" xr:uid="{313731C0-204D-46BC-8251-FE77E05B49FF}">
      <text>
        <r>
          <rPr>
            <b/>
            <sz val="9"/>
            <color indexed="81"/>
            <rFont val="Tahoma"/>
            <family val="2"/>
          </rPr>
          <t xml:space="preserve"> &lt;[[TCDeals] - [Proxy Entities (Seq: 1)] Zip Code - Send]&gt;</t>
        </r>
      </text>
    </comment>
    <comment ref="W134" authorId="0" shapeId="0" xr:uid="{30AAC3E6-572B-4CE5-A23F-34EAFE52E3EE}">
      <text>
        <r>
          <rPr>
            <b/>
            <sz val="9"/>
            <color indexed="81"/>
            <rFont val="Tahoma"/>
            <family val="2"/>
          </rPr>
          <t xml:space="preserve"> &lt;[[TCDeals] - [Proxy Entities (Seq: 1)] Direct Phone - Send]&gt;</t>
        </r>
      </text>
    </comment>
    <comment ref="AA134" authorId="0" shapeId="0" xr:uid="{81A14B76-8CF3-492F-B817-05213517303A}">
      <text>
        <r>
          <rPr>
            <b/>
            <sz val="9"/>
            <color indexed="81"/>
            <rFont val="Tahoma"/>
            <family val="2"/>
          </rPr>
          <t xml:space="preserve"> &lt;[[TCDeals] - [Associated DEV Deal (Seq: 1)] - [Proxy Entities (Seq: 2)] Name (Doing Business As) - Send]&gt;</t>
        </r>
      </text>
    </comment>
    <comment ref="AB134" authorId="0" shapeId="0" xr:uid="{25394385-BFF4-4CBA-91E9-60E1B18A229C}">
      <text>
        <r>
          <rPr>
            <b/>
            <sz val="9"/>
            <color indexed="81"/>
            <rFont val="Tahoma"/>
            <family val="2"/>
          </rPr>
          <t xml:space="preserve"> &lt;[[TCDeals] - [Associated DEV Deal (Seq: 1)] - [Proxy Entities (Seq: 2)] Company or Individual? - Send]&gt;</t>
        </r>
      </text>
    </comment>
    <comment ref="AC134" authorId="0" shapeId="0" xr:uid="{ED562F27-E632-4FD2-9620-4CAF72C8E456}">
      <text>
        <r>
          <rPr>
            <b/>
            <sz val="9"/>
            <color indexed="81"/>
            <rFont val="Tahoma"/>
            <family val="2"/>
          </rPr>
          <t xml:space="preserve"> &lt;[[TCDeals] - [Associated DEV Deal (Seq: 1)] - [Proxy Entities (Seq: 2)] Deal Entity Role - Send]&gt;</t>
        </r>
      </text>
    </comment>
    <comment ref="AD134" authorId="0" shapeId="0" xr:uid="{97CAC79B-FDFE-4059-8938-9324BFDE9BC7}">
      <text>
        <r>
          <rPr>
            <b/>
            <sz val="9"/>
            <color indexed="81"/>
            <rFont val="Tahoma"/>
            <family val="2"/>
          </rPr>
          <t xml:space="preserve"> &lt;[[TCDeals] - [Associated DEV Deal (Seq: 1)] - [Proxy Entities (Seq: 2)] First Name - Send]&gt;</t>
        </r>
      </text>
    </comment>
    <comment ref="AE134" authorId="0" shapeId="0" xr:uid="{C1538403-95E4-4F5A-B106-83AF45CEB194}">
      <text>
        <r>
          <rPr>
            <b/>
            <sz val="9"/>
            <color indexed="81"/>
            <rFont val="Tahoma"/>
            <family val="2"/>
          </rPr>
          <t xml:space="preserve"> &lt;[[TCDeals] - [Associated DEV Deal (Seq: 1)] - [Proxy Entities (Seq: 2)] Last Name - Send]&gt;</t>
        </r>
      </text>
    </comment>
    <comment ref="AF134" authorId="0" shapeId="0" xr:uid="{67632C1B-7651-4F69-BA31-40D9ABC2290A}">
      <text>
        <r>
          <rPr>
            <b/>
            <sz val="9"/>
            <color indexed="81"/>
            <rFont val="Tahoma"/>
            <family val="2"/>
          </rPr>
          <t xml:space="preserve"> &lt;[[TCDeals] - [Associated DEV Deal (Seq: 1)] - [Proxy Entities (Seq: 2)] Email Address 1 - Send]&gt;</t>
        </r>
      </text>
    </comment>
    <comment ref="AG134" authorId="0" shapeId="0" xr:uid="{A3B08099-517C-494C-A06E-C6BE274D73DE}">
      <text>
        <r>
          <rPr>
            <b/>
            <sz val="9"/>
            <color indexed="81"/>
            <rFont val="Tahoma"/>
            <family val="2"/>
          </rPr>
          <t xml:space="preserve"> &lt;[[TCDeals] - [Associated DEV Deal (Seq: 1)] - [Proxy Entities (Seq: 2)] Address 1 - Send]&gt;</t>
        </r>
      </text>
    </comment>
    <comment ref="AH134" authorId="0" shapeId="0" xr:uid="{2DFEDC2A-4D7F-4606-83BE-F628435BF75E}">
      <text>
        <r>
          <rPr>
            <b/>
            <sz val="9"/>
            <color indexed="81"/>
            <rFont val="Tahoma"/>
            <family val="2"/>
          </rPr>
          <t xml:space="preserve"> &lt;[[TCDeals] - [Associated DEV Deal (Seq: 1)] - [Proxy Entities (Seq: 2)] City - Send]&gt;</t>
        </r>
      </text>
    </comment>
    <comment ref="AI134" authorId="0" shapeId="0" xr:uid="{BF1A9F08-E61C-4A01-A06E-D499F871EA67}">
      <text>
        <r>
          <rPr>
            <b/>
            <sz val="9"/>
            <color indexed="81"/>
            <rFont val="Tahoma"/>
            <family val="2"/>
          </rPr>
          <t xml:space="preserve"> &lt;[[TCDeals] - [Associated DEV Deal (Seq: 1)] - [Proxy Entities (Seq: 2)] State - Send]&gt;</t>
        </r>
      </text>
    </comment>
    <comment ref="AJ134" authorId="0" shapeId="0" xr:uid="{FA931DA2-0889-49F6-9173-2D64EA9D81CE}">
      <text>
        <r>
          <rPr>
            <b/>
            <sz val="9"/>
            <color indexed="81"/>
            <rFont val="Tahoma"/>
            <family val="2"/>
          </rPr>
          <t xml:space="preserve"> &lt;[[TCDeals] - [Associated DEV Deal (Seq: 1)] - [Proxy Entities (Seq: 2)] Zip Code - Send]&gt;</t>
        </r>
      </text>
    </comment>
    <comment ref="AK134" authorId="0" shapeId="0" xr:uid="{F7EC2722-E146-4CC7-B4EB-8DAA143E192E}">
      <text>
        <r>
          <rPr>
            <b/>
            <sz val="9"/>
            <color indexed="81"/>
            <rFont val="Tahoma"/>
            <family val="2"/>
          </rPr>
          <t xml:space="preserve"> &lt;[[TCDeals] - [Associated DEV Deal (Seq: 1)] - [Proxy Entities (Seq: 2)] Direct Phone - Send]&gt;</t>
        </r>
      </text>
    </comment>
    <comment ref="M135" authorId="0" shapeId="0" xr:uid="{FB05452B-2A86-4C2B-A7D1-4022B7753B5B}">
      <text>
        <r>
          <rPr>
            <b/>
            <sz val="9"/>
            <color indexed="81"/>
            <rFont val="Tahoma"/>
            <family val="2"/>
          </rPr>
          <t xml:space="preserve"> &lt;[[TCDeals] - [Proxy Entities (Seq: 1)] Company or Individual? - Send]&gt;</t>
        </r>
      </text>
    </comment>
    <comment ref="N135" authorId="0" shapeId="0" xr:uid="{868544BB-2481-462C-8C14-1C0A57B96DFA}">
      <text>
        <r>
          <rPr>
            <b/>
            <sz val="9"/>
            <color indexed="81"/>
            <rFont val="Tahoma"/>
            <family val="2"/>
          </rPr>
          <t xml:space="preserve"> &lt;[[TCDeals] - [Proxy Entities (Seq: 1)] Deal Entity Role - Send]&gt;</t>
        </r>
      </text>
    </comment>
    <comment ref="O135" authorId="0" shapeId="0" xr:uid="{70A628CC-0CB0-44B3-BAA8-6374E46AC016}">
      <text>
        <r>
          <rPr>
            <b/>
            <sz val="9"/>
            <color indexed="81"/>
            <rFont val="Tahoma"/>
            <family val="2"/>
          </rPr>
          <t xml:space="preserve"> &lt;[[TCDeals] - [Proxy Entities (Seq: 3)] Name (Doing Business As) - Send]&gt;</t>
        </r>
      </text>
    </comment>
    <comment ref="P135" authorId="0" shapeId="0" xr:uid="{8EED7EDA-B79C-486F-9F9F-09E0542D860B}">
      <text>
        <r>
          <rPr>
            <b/>
            <sz val="9"/>
            <color indexed="81"/>
            <rFont val="Tahoma"/>
            <family val="2"/>
          </rPr>
          <t xml:space="preserve"> &lt;[[TCDeals] - [Proxy Entities (Seq: 3)] First Name - Send]&gt;</t>
        </r>
      </text>
    </comment>
    <comment ref="Q135" authorId="0" shapeId="0" xr:uid="{0B293DB2-A3E8-4C45-B7C2-E07967821D6D}">
      <text>
        <r>
          <rPr>
            <b/>
            <sz val="9"/>
            <color indexed="81"/>
            <rFont val="Tahoma"/>
            <family val="2"/>
          </rPr>
          <t xml:space="preserve"> &lt;[[TCDeals] - [Proxy Entities (Seq: 3)] Last Name - Send]&gt;</t>
        </r>
      </text>
    </comment>
    <comment ref="R135" authorId="0" shapeId="0" xr:uid="{66F43027-B44C-4523-8535-327F37F24C9B}">
      <text>
        <r>
          <rPr>
            <b/>
            <sz val="9"/>
            <color indexed="81"/>
            <rFont val="Tahoma"/>
            <family val="2"/>
          </rPr>
          <t xml:space="preserve"> &lt;[[TCDeals] - [Proxy Entities (Seq: 1)] Email Address 1 - Send]&gt;</t>
        </r>
      </text>
    </comment>
    <comment ref="S135" authorId="0" shapeId="0" xr:uid="{0B44595B-C55E-426D-8B23-C8E18F93FEC7}">
      <text>
        <r>
          <rPr>
            <b/>
            <sz val="9"/>
            <color indexed="81"/>
            <rFont val="Tahoma"/>
            <family val="2"/>
          </rPr>
          <t xml:space="preserve"> &lt;[[TCDeals] - [Proxy Entities (Seq: 1)] Address 1 - Send]&gt;</t>
        </r>
      </text>
    </comment>
    <comment ref="T135" authorId="0" shapeId="0" xr:uid="{6EA0B8F7-EDE5-4464-A206-4935AFA0732C}">
      <text>
        <r>
          <rPr>
            <b/>
            <sz val="9"/>
            <color indexed="81"/>
            <rFont val="Tahoma"/>
            <family val="2"/>
          </rPr>
          <t xml:space="preserve"> &lt;[[TCDeals] - [Proxy Entities (Seq: 1)] City - Send]&gt;</t>
        </r>
      </text>
    </comment>
    <comment ref="U135" authorId="0" shapeId="0" xr:uid="{0A62F8F6-042E-49E0-A97A-CC78F5DC1B0B}">
      <text>
        <r>
          <rPr>
            <b/>
            <sz val="9"/>
            <color indexed="81"/>
            <rFont val="Tahoma"/>
            <family val="2"/>
          </rPr>
          <t xml:space="preserve"> &lt;[[TCDeals] - [Proxy Entities (Seq: 1)] State - Send]&gt;</t>
        </r>
      </text>
    </comment>
    <comment ref="V135" authorId="0" shapeId="0" xr:uid="{867A9B42-2F30-4D11-8D72-EA3319FDA584}">
      <text>
        <r>
          <rPr>
            <b/>
            <sz val="9"/>
            <color indexed="81"/>
            <rFont val="Tahoma"/>
            <family val="2"/>
          </rPr>
          <t xml:space="preserve"> &lt;[[TCDeals] - [Proxy Entities (Seq: 1)] Zip Code - Send]&gt;</t>
        </r>
      </text>
    </comment>
    <comment ref="W135" authorId="0" shapeId="0" xr:uid="{FE585A6A-860D-4E13-BAB7-506CD65E1F71}">
      <text>
        <r>
          <rPr>
            <b/>
            <sz val="9"/>
            <color indexed="81"/>
            <rFont val="Tahoma"/>
            <family val="2"/>
          </rPr>
          <t xml:space="preserve"> &lt;[[TCDeals] - [Proxy Entities (Seq: 1)] Direct Phone - Send]&gt;</t>
        </r>
      </text>
    </comment>
    <comment ref="AA135" authorId="0" shapeId="0" xr:uid="{24C4D78D-BC38-4DA3-94E5-77949EF192B3}">
      <text>
        <r>
          <rPr>
            <b/>
            <sz val="9"/>
            <color indexed="81"/>
            <rFont val="Tahoma"/>
            <family val="2"/>
          </rPr>
          <t xml:space="preserve"> &lt;[[TCDeals] - [Associated DEV Deal (Seq: 1)] - [Proxy Entities (Seq: 3)] Name (Doing Business As) - Send]&gt;</t>
        </r>
      </text>
    </comment>
    <comment ref="AB135" authorId="0" shapeId="0" xr:uid="{13FE92BF-EA98-41AF-AB74-1D4577CE4AEE}">
      <text>
        <r>
          <rPr>
            <b/>
            <sz val="9"/>
            <color indexed="81"/>
            <rFont val="Tahoma"/>
            <family val="2"/>
          </rPr>
          <t xml:space="preserve"> &lt;[[TCDeals] - [Associated DEV Deal (Seq: 1)] - [Proxy Entities (Seq: 3)] Company or Individual? - Send]&gt;</t>
        </r>
      </text>
    </comment>
    <comment ref="AC135" authorId="0" shapeId="0" xr:uid="{2B38A25E-55C8-49F4-8527-631405A95650}">
      <text>
        <r>
          <rPr>
            <b/>
            <sz val="9"/>
            <color indexed="81"/>
            <rFont val="Tahoma"/>
            <family val="2"/>
          </rPr>
          <t xml:space="preserve"> &lt;[[TCDeals] - [Associated DEV Deal (Seq: 1)] - [Proxy Entities (Seq: 3)] Deal Entity Role - Send]&gt;</t>
        </r>
      </text>
    </comment>
    <comment ref="AD135" authorId="0" shapeId="0" xr:uid="{72449FCC-123B-44DC-9066-EBD2A330D25A}">
      <text>
        <r>
          <rPr>
            <b/>
            <sz val="9"/>
            <color indexed="81"/>
            <rFont val="Tahoma"/>
            <family val="2"/>
          </rPr>
          <t xml:space="preserve"> &lt;[[TCDeals] - [Associated DEV Deal (Seq: 1)] - [Proxy Entities (Seq: 3)] First Name - Send]&gt;</t>
        </r>
      </text>
    </comment>
    <comment ref="AE135" authorId="0" shapeId="0" xr:uid="{3179D76F-B658-4F1A-9040-A1ECEEDE33C6}">
      <text>
        <r>
          <rPr>
            <b/>
            <sz val="9"/>
            <color indexed="81"/>
            <rFont val="Tahoma"/>
            <family val="2"/>
          </rPr>
          <t xml:space="preserve"> &lt;[[TCDeals] - [Associated DEV Deal (Seq: 1)] - [Proxy Entities (Seq: 3)] Last Name - Send]&gt;</t>
        </r>
      </text>
    </comment>
    <comment ref="AF135" authorId="0" shapeId="0" xr:uid="{C7A7857D-7143-438A-9068-BB1B4897160C}">
      <text>
        <r>
          <rPr>
            <b/>
            <sz val="9"/>
            <color indexed="81"/>
            <rFont val="Tahoma"/>
            <family val="2"/>
          </rPr>
          <t xml:space="preserve"> &lt;[[TCDeals] - [Associated DEV Deal (Seq: 1)] - [Proxy Entities (Seq: 3)] Email Address 1 - Send]&gt;</t>
        </r>
      </text>
    </comment>
    <comment ref="AG135" authorId="0" shapeId="0" xr:uid="{DE83465D-F145-4A2B-99BC-FB043742797F}">
      <text>
        <r>
          <rPr>
            <b/>
            <sz val="9"/>
            <color indexed="81"/>
            <rFont val="Tahoma"/>
            <family val="2"/>
          </rPr>
          <t xml:space="preserve"> &lt;[[TCDeals] - [Associated DEV Deal (Seq: 1)] - [Proxy Entities (Seq: 3)] Address 1 - Send]&gt;</t>
        </r>
      </text>
    </comment>
    <comment ref="AH135" authorId="0" shapeId="0" xr:uid="{0A1E336F-AD72-43CC-9827-592795112F4F}">
      <text>
        <r>
          <rPr>
            <b/>
            <sz val="9"/>
            <color indexed="81"/>
            <rFont val="Tahoma"/>
            <family val="2"/>
          </rPr>
          <t xml:space="preserve"> &lt;[[TCDeals] - [Associated DEV Deal (Seq: 1)] - [Proxy Entities (Seq: 3)] City - Send]&gt;</t>
        </r>
      </text>
    </comment>
    <comment ref="AI135" authorId="0" shapeId="0" xr:uid="{191D79F2-B003-4DF5-8826-394693607B4D}">
      <text>
        <r>
          <rPr>
            <b/>
            <sz val="9"/>
            <color indexed="81"/>
            <rFont val="Tahoma"/>
            <family val="2"/>
          </rPr>
          <t xml:space="preserve"> &lt;[[TCDeals] - [Associated DEV Deal (Seq: 1)] - [Proxy Entities (Seq: 3)] State - Send]&gt;</t>
        </r>
      </text>
    </comment>
    <comment ref="AJ135" authorId="0" shapeId="0" xr:uid="{B43CD6C0-FB0D-4208-AC02-D1531BCD5931}">
      <text>
        <r>
          <rPr>
            <b/>
            <sz val="9"/>
            <color indexed="81"/>
            <rFont val="Tahoma"/>
            <family val="2"/>
          </rPr>
          <t xml:space="preserve"> &lt;[[TCDeals] - [Associated DEV Deal (Seq: 1)] - [Proxy Entities (Seq: 3)] Zip Code - Send]&gt;</t>
        </r>
      </text>
    </comment>
    <comment ref="AK135" authorId="0" shapeId="0" xr:uid="{7B46B7E8-4ACB-4FB4-933E-5173B7ABE3CD}">
      <text>
        <r>
          <rPr>
            <b/>
            <sz val="9"/>
            <color indexed="81"/>
            <rFont val="Tahoma"/>
            <family val="2"/>
          </rPr>
          <t xml:space="preserve"> &lt;[[TCDeals] - [Associated DEV Deal (Seq: 1)] - [Proxy Entities (Seq: 3)] Direct Phone - Send]&gt;</t>
        </r>
      </text>
    </comment>
    <comment ref="M136" authorId="0" shapeId="0" xr:uid="{7FF8259F-9D34-48B7-8603-FA4D7CAAE868}">
      <text>
        <r>
          <rPr>
            <b/>
            <sz val="9"/>
            <color indexed="81"/>
            <rFont val="Tahoma"/>
            <family val="2"/>
          </rPr>
          <t xml:space="preserve"> &lt;[[TCDeals] - [Proxy Entities (Seq: 1)] Company or Individual? - Send]&gt;</t>
        </r>
      </text>
    </comment>
    <comment ref="N136" authorId="0" shapeId="0" xr:uid="{665398C5-D051-4453-A625-8658E4FA2A51}">
      <text>
        <r>
          <rPr>
            <b/>
            <sz val="9"/>
            <color indexed="81"/>
            <rFont val="Tahoma"/>
            <family val="2"/>
          </rPr>
          <t xml:space="preserve"> &lt;[[TCDeals] - [Proxy Entities (Seq: 1)] Deal Entity Role - Send]&gt;</t>
        </r>
      </text>
    </comment>
    <comment ref="O136" authorId="0" shapeId="0" xr:uid="{B8D25254-257E-4A97-B2CC-928FCCA4AFD5}">
      <text>
        <r>
          <rPr>
            <b/>
            <sz val="9"/>
            <color indexed="81"/>
            <rFont val="Tahoma"/>
            <family val="2"/>
          </rPr>
          <t xml:space="preserve"> &lt;[[TCDeals] - [Proxy Entities (Seq: 4)] Name (Doing Business As) - Send]&gt;</t>
        </r>
      </text>
    </comment>
    <comment ref="P136" authorId="0" shapeId="0" xr:uid="{0DE65C5F-CC4A-4975-A329-39A6E3E5C5F2}">
      <text>
        <r>
          <rPr>
            <b/>
            <sz val="9"/>
            <color indexed="81"/>
            <rFont val="Tahoma"/>
            <family val="2"/>
          </rPr>
          <t xml:space="preserve"> &lt;[[TCDeals] - [Proxy Entities (Seq: 4)] First Name - Send]&gt;</t>
        </r>
      </text>
    </comment>
    <comment ref="Q136" authorId="0" shapeId="0" xr:uid="{97260BF3-D6FC-4393-9722-E44A4729B310}">
      <text>
        <r>
          <rPr>
            <b/>
            <sz val="9"/>
            <color indexed="81"/>
            <rFont val="Tahoma"/>
            <family val="2"/>
          </rPr>
          <t xml:space="preserve"> &lt;[[TCDeals] - [Proxy Entities (Seq: 4)] Last Name - Send]&gt;</t>
        </r>
      </text>
    </comment>
    <comment ref="R136" authorId="0" shapeId="0" xr:uid="{5B0FBC6E-451B-4739-86D4-3A2D22722AAF}">
      <text>
        <r>
          <rPr>
            <b/>
            <sz val="9"/>
            <color indexed="81"/>
            <rFont val="Tahoma"/>
            <family val="2"/>
          </rPr>
          <t xml:space="preserve"> &lt;[[TCDeals] - [Proxy Entities (Seq: 1)] Email Address 1 - Send]&gt;</t>
        </r>
      </text>
    </comment>
    <comment ref="S136" authorId="0" shapeId="0" xr:uid="{746C3D58-36A5-4E3D-922F-09A43B746FC8}">
      <text>
        <r>
          <rPr>
            <b/>
            <sz val="9"/>
            <color indexed="81"/>
            <rFont val="Tahoma"/>
            <family val="2"/>
          </rPr>
          <t xml:space="preserve"> &lt;[[TCDeals] - [Proxy Entities (Seq: 1)] Address 1 - Send]&gt;</t>
        </r>
      </text>
    </comment>
    <comment ref="T136" authorId="0" shapeId="0" xr:uid="{CAFD19EC-85BD-43C0-A455-025AA016B012}">
      <text>
        <r>
          <rPr>
            <b/>
            <sz val="9"/>
            <color indexed="81"/>
            <rFont val="Tahoma"/>
            <family val="2"/>
          </rPr>
          <t xml:space="preserve"> &lt;[[TCDeals] - [Proxy Entities (Seq: 1)] City - Send]&gt;</t>
        </r>
      </text>
    </comment>
    <comment ref="U136" authorId="0" shapeId="0" xr:uid="{A9B15797-AE91-422C-9908-8C7F0B3826E6}">
      <text>
        <r>
          <rPr>
            <b/>
            <sz val="9"/>
            <color indexed="81"/>
            <rFont val="Tahoma"/>
            <family val="2"/>
          </rPr>
          <t xml:space="preserve"> &lt;[[TCDeals] - [Proxy Entities (Seq: 1)] State - Send]&gt;</t>
        </r>
      </text>
    </comment>
    <comment ref="V136" authorId="0" shapeId="0" xr:uid="{0B569368-8BDE-4E7C-841E-E44EEF3D9F09}">
      <text>
        <r>
          <rPr>
            <b/>
            <sz val="9"/>
            <color indexed="81"/>
            <rFont val="Tahoma"/>
            <family val="2"/>
          </rPr>
          <t xml:space="preserve"> &lt;[[TCDeals] - [Proxy Entities (Seq: 1)] Zip Code - Send]&gt;</t>
        </r>
      </text>
    </comment>
    <comment ref="W136" authorId="0" shapeId="0" xr:uid="{62EC9576-7AE0-4930-A890-8E0895213704}">
      <text>
        <r>
          <rPr>
            <b/>
            <sz val="9"/>
            <color indexed="81"/>
            <rFont val="Tahoma"/>
            <family val="2"/>
          </rPr>
          <t xml:space="preserve"> &lt;[[TCDeals] - [Proxy Entities (Seq: 1)] Direct Phone - Send]&gt;</t>
        </r>
      </text>
    </comment>
    <comment ref="AA136" authorId="0" shapeId="0" xr:uid="{6A03C54D-4FC1-4754-85C5-6D84539F52AB}">
      <text>
        <r>
          <rPr>
            <b/>
            <sz val="9"/>
            <color indexed="81"/>
            <rFont val="Tahoma"/>
            <family val="2"/>
          </rPr>
          <t xml:space="preserve"> &lt;[[TCDeals] - [Associated DEV Deal (Seq: 1)] - [Proxy Entities (Seq: 4)] Name (Doing Business As) - Send]&gt;</t>
        </r>
      </text>
    </comment>
    <comment ref="AB136" authorId="0" shapeId="0" xr:uid="{9C5CC37A-5FF2-4056-8943-647AE1FDA6A8}">
      <text>
        <r>
          <rPr>
            <b/>
            <sz val="9"/>
            <color indexed="81"/>
            <rFont val="Tahoma"/>
            <family val="2"/>
          </rPr>
          <t xml:space="preserve"> &lt;[[TCDeals] - [Associated DEV Deal (Seq: 1)] - [Proxy Entities (Seq: 4)] Company or Individual? - Send]&gt;</t>
        </r>
      </text>
    </comment>
    <comment ref="AC136" authorId="0" shapeId="0" xr:uid="{B1AA2142-1E80-49D4-9440-258E992D0F36}">
      <text>
        <r>
          <rPr>
            <b/>
            <sz val="9"/>
            <color indexed="81"/>
            <rFont val="Tahoma"/>
            <family val="2"/>
          </rPr>
          <t xml:space="preserve"> &lt;[[TCDeals] - [Associated DEV Deal (Seq: 1)] - [Proxy Entities (Seq: 4)] Deal Entity Role - Send]&gt;</t>
        </r>
      </text>
    </comment>
    <comment ref="AD136" authorId="0" shapeId="0" xr:uid="{037392A9-0C1D-4E40-A50E-8177F024D369}">
      <text>
        <r>
          <rPr>
            <b/>
            <sz val="9"/>
            <color indexed="81"/>
            <rFont val="Tahoma"/>
            <family val="2"/>
          </rPr>
          <t xml:space="preserve"> &lt;[[TCDeals] - [Associated DEV Deal (Seq: 1)] - [Proxy Entities (Seq: 4)] First Name - Send]&gt;</t>
        </r>
      </text>
    </comment>
    <comment ref="AE136" authorId="0" shapeId="0" xr:uid="{EF4A9BE4-0A8B-41B8-87FE-D48C4926BB02}">
      <text>
        <r>
          <rPr>
            <b/>
            <sz val="9"/>
            <color indexed="81"/>
            <rFont val="Tahoma"/>
            <family val="2"/>
          </rPr>
          <t xml:space="preserve"> &lt;[[TCDeals] - [Associated DEV Deal (Seq: 1)] - [Proxy Entities (Seq: 4)] Last Name - Send]&gt;</t>
        </r>
      </text>
    </comment>
    <comment ref="AF136" authorId="0" shapeId="0" xr:uid="{CA6D0412-EDBF-4276-88E8-0DC7B4976B6C}">
      <text>
        <r>
          <rPr>
            <b/>
            <sz val="9"/>
            <color indexed="81"/>
            <rFont val="Tahoma"/>
            <family val="2"/>
          </rPr>
          <t xml:space="preserve"> &lt;[[TCDeals] - [Associated DEV Deal (Seq: 1)] - [Proxy Entities (Seq: 4)] Email Address 1 - Send]&gt;</t>
        </r>
      </text>
    </comment>
    <comment ref="AG136" authorId="0" shapeId="0" xr:uid="{E96AB9F2-C2CD-49E2-B01F-DFBF953AF42B}">
      <text>
        <r>
          <rPr>
            <b/>
            <sz val="9"/>
            <color indexed="81"/>
            <rFont val="Tahoma"/>
            <family val="2"/>
          </rPr>
          <t xml:space="preserve"> &lt;[[TCDeals] - [Associated DEV Deal (Seq: 1)] - [Proxy Entities (Seq: 4)] Address 1 - Send]&gt;</t>
        </r>
      </text>
    </comment>
    <comment ref="AH136" authorId="0" shapeId="0" xr:uid="{C98BB949-3955-4CE3-9C6B-9334C83BBE04}">
      <text>
        <r>
          <rPr>
            <b/>
            <sz val="9"/>
            <color indexed="81"/>
            <rFont val="Tahoma"/>
            <family val="2"/>
          </rPr>
          <t xml:space="preserve"> &lt;[[TCDeals] - [Associated DEV Deal (Seq: 1)] - [Proxy Entities (Seq: 4)] City - Send]&gt;</t>
        </r>
      </text>
    </comment>
    <comment ref="AI136" authorId="0" shapeId="0" xr:uid="{8859348C-8134-45C7-A505-2F0A88CA4CE0}">
      <text>
        <r>
          <rPr>
            <b/>
            <sz val="9"/>
            <color indexed="81"/>
            <rFont val="Tahoma"/>
            <family val="2"/>
          </rPr>
          <t xml:space="preserve"> &lt;[[TCDeals] - [Associated DEV Deal (Seq: 1)] - [Proxy Entities (Seq: 4)] State - Send]&gt;</t>
        </r>
      </text>
    </comment>
    <comment ref="AJ136" authorId="0" shapeId="0" xr:uid="{D477E5EB-5F52-4291-B98A-B23D64E4E3F1}">
      <text>
        <r>
          <rPr>
            <b/>
            <sz val="9"/>
            <color indexed="81"/>
            <rFont val="Tahoma"/>
            <family val="2"/>
          </rPr>
          <t xml:space="preserve"> &lt;[[TCDeals] - [Associated DEV Deal (Seq: 1)] - [Proxy Entities (Seq: 4)] Zip Code - Send]&gt;</t>
        </r>
      </text>
    </comment>
    <comment ref="AK136" authorId="0" shapeId="0" xr:uid="{9E305C9D-F6A2-4B8C-B6C9-5FF6DC1CAC04}">
      <text>
        <r>
          <rPr>
            <b/>
            <sz val="9"/>
            <color indexed="81"/>
            <rFont val="Tahoma"/>
            <family val="2"/>
          </rPr>
          <t xml:space="preserve"> &lt;[[TCDeals] - [Associated DEV Deal (Seq: 1)] - [Proxy Entities (Seq: 4)] Direct Phone - Send]&gt;</t>
        </r>
      </text>
    </comment>
    <comment ref="M137" authorId="0" shapeId="0" xr:uid="{D29C133E-50D5-4EDB-A19D-8249B441D997}">
      <text>
        <r>
          <rPr>
            <b/>
            <sz val="9"/>
            <color indexed="81"/>
            <rFont val="Tahoma"/>
            <family val="2"/>
          </rPr>
          <t xml:space="preserve"> &lt;[[TCDeals] - [Proxy Entities (Seq: 1)] Company or Individual? - Send]&gt;</t>
        </r>
      </text>
    </comment>
    <comment ref="N137" authorId="0" shapeId="0" xr:uid="{0940BAAB-221B-45BB-B8C8-D43C51BED743}">
      <text>
        <r>
          <rPr>
            <b/>
            <sz val="9"/>
            <color indexed="81"/>
            <rFont val="Tahoma"/>
            <family val="2"/>
          </rPr>
          <t xml:space="preserve"> &lt;[[TCDeals] - [Proxy Entities (Seq: 1)] Deal Entity Role - Send]&gt;</t>
        </r>
      </text>
    </comment>
    <comment ref="O137" authorId="0" shapeId="0" xr:uid="{5022F673-E7E5-4532-B1CE-2413205D47BF}">
      <text>
        <r>
          <rPr>
            <b/>
            <sz val="9"/>
            <color indexed="81"/>
            <rFont val="Tahoma"/>
            <family val="2"/>
          </rPr>
          <t xml:space="preserve"> &lt;[[TCDeals] - [Proxy Entities (Seq: 5)] Name (Doing Business As) - Send]&gt;</t>
        </r>
      </text>
    </comment>
    <comment ref="P137" authorId="0" shapeId="0" xr:uid="{FD8B3088-2F2F-46D7-BA2D-7716EB6FA792}">
      <text>
        <r>
          <rPr>
            <b/>
            <sz val="9"/>
            <color indexed="81"/>
            <rFont val="Tahoma"/>
            <family val="2"/>
          </rPr>
          <t xml:space="preserve"> &lt;[[TCDeals] - [Proxy Entities (Seq: 5)] First Name - Send]&gt;</t>
        </r>
      </text>
    </comment>
    <comment ref="Q137" authorId="0" shapeId="0" xr:uid="{0C398E21-5192-4EFE-9770-3FA92EA53CE8}">
      <text>
        <r>
          <rPr>
            <b/>
            <sz val="9"/>
            <color indexed="81"/>
            <rFont val="Tahoma"/>
            <family val="2"/>
          </rPr>
          <t xml:space="preserve"> &lt;[[TCDeals] - [Proxy Entities (Seq: 5)] Last Name - Send]&gt;</t>
        </r>
      </text>
    </comment>
    <comment ref="R137" authorId="0" shapeId="0" xr:uid="{AC276B69-965F-4A02-B14E-179C83558316}">
      <text>
        <r>
          <rPr>
            <b/>
            <sz val="9"/>
            <color indexed="81"/>
            <rFont val="Tahoma"/>
            <family val="2"/>
          </rPr>
          <t xml:space="preserve"> &lt;[[TCDeals] - [Proxy Entities (Seq: 1)] Email Address 1 - Send]&gt;</t>
        </r>
      </text>
    </comment>
    <comment ref="S137" authorId="0" shapeId="0" xr:uid="{4F07E7C9-7C91-4330-A009-0829B9F5A811}">
      <text>
        <r>
          <rPr>
            <b/>
            <sz val="9"/>
            <color indexed="81"/>
            <rFont val="Tahoma"/>
            <family val="2"/>
          </rPr>
          <t xml:space="preserve"> &lt;[[TCDeals] - [Proxy Entities (Seq: 1)] Address 1 - Send]&gt;</t>
        </r>
      </text>
    </comment>
    <comment ref="T137" authorId="0" shapeId="0" xr:uid="{A5DE4A51-259F-470E-9F77-232DA18B0148}">
      <text>
        <r>
          <rPr>
            <b/>
            <sz val="9"/>
            <color indexed="81"/>
            <rFont val="Tahoma"/>
            <family val="2"/>
          </rPr>
          <t xml:space="preserve"> &lt;[[TCDeals] - [Proxy Entities (Seq: 1)] City - Send]&gt;</t>
        </r>
      </text>
    </comment>
    <comment ref="U137" authorId="0" shapeId="0" xr:uid="{B958140A-43F8-42C8-B051-24EB8609B6EF}">
      <text>
        <r>
          <rPr>
            <b/>
            <sz val="9"/>
            <color indexed="81"/>
            <rFont val="Tahoma"/>
            <family val="2"/>
          </rPr>
          <t xml:space="preserve"> &lt;[[TCDeals] - [Proxy Entities (Seq: 1)] State - Send]&gt;</t>
        </r>
      </text>
    </comment>
    <comment ref="V137" authorId="0" shapeId="0" xr:uid="{345C9EF8-0906-4BE0-B7B8-61944D4DDA23}">
      <text>
        <r>
          <rPr>
            <b/>
            <sz val="9"/>
            <color indexed="81"/>
            <rFont val="Tahoma"/>
            <family val="2"/>
          </rPr>
          <t xml:space="preserve"> &lt;[[TCDeals] - [Proxy Entities (Seq: 1)] Zip Code - Send]&gt;</t>
        </r>
      </text>
    </comment>
    <comment ref="W137" authorId="0" shapeId="0" xr:uid="{A066B698-6605-471A-9E4B-8FDB81D1654D}">
      <text>
        <r>
          <rPr>
            <b/>
            <sz val="9"/>
            <color indexed="81"/>
            <rFont val="Tahoma"/>
            <family val="2"/>
          </rPr>
          <t xml:space="preserve"> &lt;[[TCDeals] - [Proxy Entities (Seq: 1)] Direct Phone - Send]&gt;</t>
        </r>
      </text>
    </comment>
    <comment ref="AA137" authorId="0" shapeId="0" xr:uid="{73D14A96-E17F-47FD-A8C7-5CDC4421CF1A}">
      <text>
        <r>
          <rPr>
            <b/>
            <sz val="9"/>
            <color indexed="81"/>
            <rFont val="Tahoma"/>
            <family val="2"/>
          </rPr>
          <t xml:space="preserve"> &lt;[[TCDeals] - [Associated DEV Deal (Seq: 1)] - [Proxy Entities (Seq: 5)] Name (Doing Business As) - Send]&gt;</t>
        </r>
      </text>
    </comment>
    <comment ref="AB137" authorId="0" shapeId="0" xr:uid="{A443581A-9FA1-437B-AB2B-8DC516116787}">
      <text>
        <r>
          <rPr>
            <b/>
            <sz val="9"/>
            <color indexed="81"/>
            <rFont val="Tahoma"/>
            <family val="2"/>
          </rPr>
          <t xml:space="preserve"> &lt;[[TCDeals] - [Associated DEV Deal (Seq: 1)] - [Proxy Entities (Seq: 5)] Company or Individual? - Send]&gt;</t>
        </r>
      </text>
    </comment>
    <comment ref="AC137" authorId="0" shapeId="0" xr:uid="{3C380D4A-6753-43A1-9CFB-ADA5813C96D6}">
      <text>
        <r>
          <rPr>
            <b/>
            <sz val="9"/>
            <color indexed="81"/>
            <rFont val="Tahoma"/>
            <family val="2"/>
          </rPr>
          <t xml:space="preserve"> &lt;[[TCDeals] - [Associated DEV Deal (Seq: 1)] - [Proxy Entities (Seq: 5)] Deal Entity Role - Send]&gt;</t>
        </r>
      </text>
    </comment>
    <comment ref="AD137" authorId="0" shapeId="0" xr:uid="{7764CD08-59B6-4738-9DE2-ABAF06BA8BC1}">
      <text>
        <r>
          <rPr>
            <b/>
            <sz val="9"/>
            <color indexed="81"/>
            <rFont val="Tahoma"/>
            <family val="2"/>
          </rPr>
          <t xml:space="preserve"> &lt;[[TCDeals] - [Associated DEV Deal (Seq: 1)] - [Proxy Entities (Seq: 5)] First Name - Send]&gt;</t>
        </r>
      </text>
    </comment>
    <comment ref="AE137" authorId="0" shapeId="0" xr:uid="{B4D14F66-63FF-41CA-AD56-908740AD072A}">
      <text>
        <r>
          <rPr>
            <b/>
            <sz val="9"/>
            <color indexed="81"/>
            <rFont val="Tahoma"/>
            <family val="2"/>
          </rPr>
          <t xml:space="preserve"> &lt;[[TCDeals] - [Associated DEV Deal (Seq: 1)] - [Proxy Entities (Seq: 5)] Last Name - Send]&gt;</t>
        </r>
      </text>
    </comment>
    <comment ref="AF137" authorId="0" shapeId="0" xr:uid="{A846C5CD-705B-4B8F-AB46-5624E7C7C780}">
      <text>
        <r>
          <rPr>
            <b/>
            <sz val="9"/>
            <color indexed="81"/>
            <rFont val="Tahoma"/>
            <family val="2"/>
          </rPr>
          <t xml:space="preserve"> &lt;[[TCDeals] - [Associated DEV Deal (Seq: 1)] - [Proxy Entities (Seq: 5)] Email Address 1 - Send]&gt;</t>
        </r>
      </text>
    </comment>
    <comment ref="AG137" authorId="0" shapeId="0" xr:uid="{9A93AA2D-0779-4568-BD8A-1E02E9AA11AD}">
      <text>
        <r>
          <rPr>
            <b/>
            <sz val="9"/>
            <color indexed="81"/>
            <rFont val="Tahoma"/>
            <family val="2"/>
          </rPr>
          <t xml:space="preserve"> &lt;[[TCDeals] - [Associated DEV Deal (Seq: 1)] - [Proxy Entities (Seq: 5)] Address 1 - Send]&gt;</t>
        </r>
      </text>
    </comment>
    <comment ref="AH137" authorId="0" shapeId="0" xr:uid="{CA1C2995-F14E-4AF8-B9EA-CE4C0F96F0AA}">
      <text>
        <r>
          <rPr>
            <b/>
            <sz val="9"/>
            <color indexed="81"/>
            <rFont val="Tahoma"/>
            <family val="2"/>
          </rPr>
          <t xml:space="preserve"> &lt;[[TCDeals] - [Associated DEV Deal (Seq: 1)] - [Proxy Entities (Seq: 5)] City - Send]&gt;</t>
        </r>
      </text>
    </comment>
    <comment ref="AI137" authorId="0" shapeId="0" xr:uid="{63D74A14-F396-4D0B-8852-E59841E18D5A}">
      <text>
        <r>
          <rPr>
            <b/>
            <sz val="9"/>
            <color indexed="81"/>
            <rFont val="Tahoma"/>
            <family val="2"/>
          </rPr>
          <t xml:space="preserve"> &lt;[[TCDeals] - [Associated DEV Deal (Seq: 1)] - [Proxy Entities (Seq: 5)] State - Send]&gt;</t>
        </r>
      </text>
    </comment>
    <comment ref="AJ137" authorId="0" shapeId="0" xr:uid="{95F28E50-9FCB-4206-B6E8-B679F943DC06}">
      <text>
        <r>
          <rPr>
            <b/>
            <sz val="9"/>
            <color indexed="81"/>
            <rFont val="Tahoma"/>
            <family val="2"/>
          </rPr>
          <t xml:space="preserve"> &lt;[[TCDeals] - [Associated DEV Deal (Seq: 1)] - [Proxy Entities (Seq: 5)] Zip Code - Send]&gt;</t>
        </r>
      </text>
    </comment>
    <comment ref="AK137" authorId="0" shapeId="0" xr:uid="{7E151440-D264-49B4-90DC-C580C09DC443}">
      <text>
        <r>
          <rPr>
            <b/>
            <sz val="9"/>
            <color indexed="81"/>
            <rFont val="Tahoma"/>
            <family val="2"/>
          </rPr>
          <t xml:space="preserve"> &lt;[[TCDeals] - [Associated DEV Deal (Seq: 1)] - [Proxy Entities (Seq: 5)] Direct Phone - Send]&gt;</t>
        </r>
      </text>
    </comment>
    <comment ref="M138" authorId="0" shapeId="0" xr:uid="{F0D959ED-8B8C-4170-BE51-A06F820A356F}">
      <text>
        <r>
          <rPr>
            <b/>
            <sz val="9"/>
            <color indexed="81"/>
            <rFont val="Tahoma"/>
            <family val="2"/>
          </rPr>
          <t xml:space="preserve"> &lt;[[TCDeals] - [Proxy Entities (Seq: 1)] Company or Individual? - Send]&gt;</t>
        </r>
      </text>
    </comment>
    <comment ref="N138" authorId="0" shapeId="0" xr:uid="{5B6AB953-7683-432B-B45A-E5898A0386F6}">
      <text>
        <r>
          <rPr>
            <b/>
            <sz val="9"/>
            <color indexed="81"/>
            <rFont val="Tahoma"/>
            <family val="2"/>
          </rPr>
          <t xml:space="preserve"> &lt;[[TCDeals] - [Proxy Entities (Seq: 1)] Deal Entity Role - Send]&gt;</t>
        </r>
      </text>
    </comment>
    <comment ref="O138" authorId="0" shapeId="0" xr:uid="{2CE33A4B-B35C-492C-BCB5-B1494CAFCD9C}">
      <text>
        <r>
          <rPr>
            <b/>
            <sz val="9"/>
            <color indexed="81"/>
            <rFont val="Tahoma"/>
            <family val="2"/>
          </rPr>
          <t xml:space="preserve"> &lt;[[TCDeals] - [Proxy Entities (Seq: 6)] Name (Doing Business As) - Send]&gt;</t>
        </r>
      </text>
    </comment>
    <comment ref="P138" authorId="0" shapeId="0" xr:uid="{8C441334-65E2-4721-841B-1B923B59EC69}">
      <text>
        <r>
          <rPr>
            <b/>
            <sz val="9"/>
            <color indexed="81"/>
            <rFont val="Tahoma"/>
            <family val="2"/>
          </rPr>
          <t xml:space="preserve"> &lt;[[TCDeals] - [Proxy Entities (Seq: 6)] First Name - Send]&gt;</t>
        </r>
      </text>
    </comment>
    <comment ref="Q138" authorId="0" shapeId="0" xr:uid="{54631D2D-5BE4-4383-85EA-DB39DA8B4232}">
      <text>
        <r>
          <rPr>
            <b/>
            <sz val="9"/>
            <color indexed="81"/>
            <rFont val="Tahoma"/>
            <family val="2"/>
          </rPr>
          <t xml:space="preserve"> &lt;[[TCDeals] - [Proxy Entities (Seq: 6)] Last Name - Send]&gt;</t>
        </r>
      </text>
    </comment>
    <comment ref="R138" authorId="0" shapeId="0" xr:uid="{44CAC727-AC65-4869-8F48-A5D9A7D31065}">
      <text>
        <r>
          <rPr>
            <b/>
            <sz val="9"/>
            <color indexed="81"/>
            <rFont val="Tahoma"/>
            <family val="2"/>
          </rPr>
          <t xml:space="preserve"> &lt;[[TCDeals] - [Proxy Entities (Seq: 1)] Email Address 1 - Send]&gt;</t>
        </r>
      </text>
    </comment>
    <comment ref="S138" authorId="0" shapeId="0" xr:uid="{7F52FF94-F96F-4407-91E8-EA48FA26A23D}">
      <text>
        <r>
          <rPr>
            <b/>
            <sz val="9"/>
            <color indexed="81"/>
            <rFont val="Tahoma"/>
            <family val="2"/>
          </rPr>
          <t xml:space="preserve"> &lt;[[TCDeals] - [Proxy Entities (Seq: 1)] Address 1 - Send]&gt;</t>
        </r>
      </text>
    </comment>
    <comment ref="T138" authorId="0" shapeId="0" xr:uid="{9361F8DD-2BFB-4718-B6B6-380EFB4B100E}">
      <text>
        <r>
          <rPr>
            <b/>
            <sz val="9"/>
            <color indexed="81"/>
            <rFont val="Tahoma"/>
            <family val="2"/>
          </rPr>
          <t xml:space="preserve"> &lt;[[TCDeals] - [Proxy Entities (Seq: 1)] City - Send]&gt;</t>
        </r>
      </text>
    </comment>
    <comment ref="U138" authorId="0" shapeId="0" xr:uid="{883158A8-E4B5-43AA-8B36-F967892E1C80}">
      <text>
        <r>
          <rPr>
            <b/>
            <sz val="9"/>
            <color indexed="81"/>
            <rFont val="Tahoma"/>
            <family val="2"/>
          </rPr>
          <t xml:space="preserve"> &lt;[[TCDeals] - [Proxy Entities (Seq: 1)] State - Send]&gt;</t>
        </r>
      </text>
    </comment>
    <comment ref="V138" authorId="0" shapeId="0" xr:uid="{963D9D04-6F29-4F71-B027-EFE12FD6591F}">
      <text>
        <r>
          <rPr>
            <b/>
            <sz val="9"/>
            <color indexed="81"/>
            <rFont val="Tahoma"/>
            <family val="2"/>
          </rPr>
          <t xml:space="preserve"> &lt;[[TCDeals] - [Proxy Entities (Seq: 1)] Zip Code - Send]&gt;</t>
        </r>
      </text>
    </comment>
    <comment ref="W138" authorId="0" shapeId="0" xr:uid="{DEFEAFC7-5F25-4B23-9F3F-959FA96ED5FF}">
      <text>
        <r>
          <rPr>
            <b/>
            <sz val="9"/>
            <color indexed="81"/>
            <rFont val="Tahoma"/>
            <family val="2"/>
          </rPr>
          <t xml:space="preserve"> &lt;[[TCDeals] - [Proxy Entities (Seq: 1)] Direct Phone - Send]&gt;</t>
        </r>
      </text>
    </comment>
    <comment ref="AA138" authorId="0" shapeId="0" xr:uid="{CE766927-BDC1-4976-8341-E5E0775DA9CD}">
      <text>
        <r>
          <rPr>
            <b/>
            <sz val="9"/>
            <color indexed="81"/>
            <rFont val="Tahoma"/>
            <family val="2"/>
          </rPr>
          <t xml:space="preserve"> &lt;[[TCDeals] - [Associated DEV Deal (Seq: 1)] - [Proxy Entities (Seq: 6)] Name (Doing Business As) - Send]&gt;</t>
        </r>
      </text>
    </comment>
    <comment ref="AB138" authorId="0" shapeId="0" xr:uid="{CFA59B05-6899-46C8-824D-77690D39130B}">
      <text>
        <r>
          <rPr>
            <b/>
            <sz val="9"/>
            <color indexed="81"/>
            <rFont val="Tahoma"/>
            <family val="2"/>
          </rPr>
          <t xml:space="preserve"> &lt;[[TCDeals] - [Associated DEV Deal (Seq: 1)] - [Proxy Entities (Seq: 6)] Company or Individual? - Send]&gt;</t>
        </r>
      </text>
    </comment>
    <comment ref="AC138" authorId="0" shapeId="0" xr:uid="{B72BCD46-5015-4592-9D32-C7F4AF4DDF08}">
      <text>
        <r>
          <rPr>
            <b/>
            <sz val="9"/>
            <color indexed="81"/>
            <rFont val="Tahoma"/>
            <family val="2"/>
          </rPr>
          <t xml:space="preserve"> &lt;[[TCDeals] - [Associated DEV Deal (Seq: 1)] - [Proxy Entities (Seq: 6)] Deal Entity Role - Send]&gt;</t>
        </r>
      </text>
    </comment>
    <comment ref="AD138" authorId="0" shapeId="0" xr:uid="{1333220C-48BD-4036-BF08-692183CD2A92}">
      <text>
        <r>
          <rPr>
            <b/>
            <sz val="9"/>
            <color indexed="81"/>
            <rFont val="Tahoma"/>
            <family val="2"/>
          </rPr>
          <t xml:space="preserve"> &lt;[[TCDeals] - [Associated DEV Deal (Seq: 1)] - [Proxy Entities (Seq: 6)] First Name - Send]&gt;</t>
        </r>
      </text>
    </comment>
    <comment ref="AE138" authorId="0" shapeId="0" xr:uid="{9D41C232-C2C6-4C5E-A1B6-27E91D40A5DB}">
      <text>
        <r>
          <rPr>
            <b/>
            <sz val="9"/>
            <color indexed="81"/>
            <rFont val="Tahoma"/>
            <family val="2"/>
          </rPr>
          <t xml:space="preserve"> &lt;[[TCDeals] - [Associated DEV Deal (Seq: 1)] - [Proxy Entities (Seq: 6)] Last Name - Send]&gt;</t>
        </r>
      </text>
    </comment>
    <comment ref="AF138" authorId="0" shapeId="0" xr:uid="{F28E6301-BE08-48B5-AE91-FF174761E171}">
      <text>
        <r>
          <rPr>
            <b/>
            <sz val="9"/>
            <color indexed="81"/>
            <rFont val="Tahoma"/>
            <family val="2"/>
          </rPr>
          <t xml:space="preserve"> &lt;[[TCDeals] - [Associated DEV Deal (Seq: 1)] - [Proxy Entities (Seq: 6)] Email Address 1 - Send]&gt;</t>
        </r>
      </text>
    </comment>
    <comment ref="AG138" authorId="0" shapeId="0" xr:uid="{D644BF69-B980-4B86-BACF-4078ABFB1E10}">
      <text>
        <r>
          <rPr>
            <b/>
            <sz val="9"/>
            <color indexed="81"/>
            <rFont val="Tahoma"/>
            <family val="2"/>
          </rPr>
          <t xml:space="preserve"> &lt;[[TCDeals] - [Associated DEV Deal (Seq: 1)] - [Proxy Entities (Seq: 6)] Address 1 - Send]&gt;</t>
        </r>
      </text>
    </comment>
    <comment ref="AH138" authorId="0" shapeId="0" xr:uid="{21B0340B-7DBE-4927-A25B-9D0929BA0F50}">
      <text>
        <r>
          <rPr>
            <b/>
            <sz val="9"/>
            <color indexed="81"/>
            <rFont val="Tahoma"/>
            <family val="2"/>
          </rPr>
          <t xml:space="preserve"> &lt;[[TCDeals] - [Associated DEV Deal (Seq: 1)] - [Proxy Entities (Seq: 6)] City - Send]&gt;</t>
        </r>
      </text>
    </comment>
    <comment ref="AI138" authorId="0" shapeId="0" xr:uid="{D97A6DFD-AB29-4E3A-B655-4D8D041F7C44}">
      <text>
        <r>
          <rPr>
            <b/>
            <sz val="9"/>
            <color indexed="81"/>
            <rFont val="Tahoma"/>
            <family val="2"/>
          </rPr>
          <t xml:space="preserve"> &lt;[[TCDeals] - [Associated DEV Deal (Seq: 1)] - [Proxy Entities (Seq: 6)] State - Send]&gt;</t>
        </r>
      </text>
    </comment>
    <comment ref="AJ138" authorId="0" shapeId="0" xr:uid="{2D71308A-9D5F-4659-A047-5126837BF1C4}">
      <text>
        <r>
          <rPr>
            <b/>
            <sz val="9"/>
            <color indexed="81"/>
            <rFont val="Tahoma"/>
            <family val="2"/>
          </rPr>
          <t xml:space="preserve"> &lt;[[TCDeals] - [Associated DEV Deal (Seq: 1)] - [Proxy Entities (Seq: 6)] Zip Code - Send]&gt;</t>
        </r>
      </text>
    </comment>
    <comment ref="AK138" authorId="0" shapeId="0" xr:uid="{DC96534B-E2AB-4789-83D0-D9210DA215EF}">
      <text>
        <r>
          <rPr>
            <b/>
            <sz val="9"/>
            <color indexed="81"/>
            <rFont val="Tahoma"/>
            <family val="2"/>
          </rPr>
          <t xml:space="preserve"> &lt;[[TCDeals] - [Associated DEV Deal (Seq: 1)] - [Proxy Entities (Seq: 6)] Direct Phone - Send]&gt;</t>
        </r>
      </text>
    </comment>
    <comment ref="M139" authorId="0" shapeId="0" xr:uid="{FC4D46BD-517E-4D0A-817F-86CE4019484B}">
      <text>
        <r>
          <rPr>
            <b/>
            <sz val="9"/>
            <color indexed="81"/>
            <rFont val="Tahoma"/>
            <family val="2"/>
          </rPr>
          <t xml:space="preserve"> &lt;[[TCDeals] - [Proxy Entities (Seq: 1)] Company or Individual? - Send]&gt;</t>
        </r>
      </text>
    </comment>
    <comment ref="N139" authorId="0" shapeId="0" xr:uid="{2B4B6233-450A-4696-849B-C56B48BEE715}">
      <text>
        <r>
          <rPr>
            <b/>
            <sz val="9"/>
            <color indexed="81"/>
            <rFont val="Tahoma"/>
            <family val="2"/>
          </rPr>
          <t xml:space="preserve"> &lt;[[TCDeals] - [Proxy Entities (Seq: 1)] Deal Entity Role - Send]&gt;</t>
        </r>
      </text>
    </comment>
    <comment ref="O139" authorId="0" shapeId="0" xr:uid="{2B611320-24A6-491F-8979-E8BFE63AB33D}">
      <text>
        <r>
          <rPr>
            <b/>
            <sz val="9"/>
            <color indexed="81"/>
            <rFont val="Tahoma"/>
            <family val="2"/>
          </rPr>
          <t xml:space="preserve"> &lt;[[TCDeals] - [Proxy Entities (Seq: 7)] Name (Doing Business As) - Send]&gt;</t>
        </r>
      </text>
    </comment>
    <comment ref="P139" authorId="0" shapeId="0" xr:uid="{CA1A3B14-B754-4365-A32F-426DA8435DC2}">
      <text>
        <r>
          <rPr>
            <b/>
            <sz val="9"/>
            <color indexed="81"/>
            <rFont val="Tahoma"/>
            <family val="2"/>
          </rPr>
          <t xml:space="preserve"> &lt;[[TCDeals] - [Proxy Entities (Seq: 7)] First Name - Send]&gt;</t>
        </r>
      </text>
    </comment>
    <comment ref="Q139" authorId="0" shapeId="0" xr:uid="{BE99EA4E-D0C2-4F95-A749-E8A2EB2F16D8}">
      <text>
        <r>
          <rPr>
            <b/>
            <sz val="9"/>
            <color indexed="81"/>
            <rFont val="Tahoma"/>
            <family val="2"/>
          </rPr>
          <t xml:space="preserve"> &lt;[[TCDeals] - [Proxy Entities (Seq: 7)] Last Name - Send]&gt;</t>
        </r>
      </text>
    </comment>
    <comment ref="R139" authorId="0" shapeId="0" xr:uid="{A1A8D58E-5D7E-4733-B75C-C673D80C9B7D}">
      <text>
        <r>
          <rPr>
            <b/>
            <sz val="9"/>
            <color indexed="81"/>
            <rFont val="Tahoma"/>
            <family val="2"/>
          </rPr>
          <t xml:space="preserve"> &lt;[[TCDeals] - [Proxy Entities (Seq: 1)] Email Address 1 - Send]&gt;</t>
        </r>
      </text>
    </comment>
    <comment ref="S139" authorId="0" shapeId="0" xr:uid="{7C0EDBB5-4364-49C6-9BED-15E2D9EEF2AA}">
      <text>
        <r>
          <rPr>
            <b/>
            <sz val="9"/>
            <color indexed="81"/>
            <rFont val="Tahoma"/>
            <family val="2"/>
          </rPr>
          <t xml:space="preserve"> &lt;[[TCDeals] - [Proxy Entities (Seq: 1)] Address 1 - Send]&gt;</t>
        </r>
      </text>
    </comment>
    <comment ref="T139" authorId="0" shapeId="0" xr:uid="{9A556C01-88FC-4E95-8A72-A955E249A688}">
      <text>
        <r>
          <rPr>
            <b/>
            <sz val="9"/>
            <color indexed="81"/>
            <rFont val="Tahoma"/>
            <family val="2"/>
          </rPr>
          <t xml:space="preserve"> &lt;[[TCDeals] - [Proxy Entities (Seq: 1)] City - Send]&gt;</t>
        </r>
      </text>
    </comment>
    <comment ref="U139" authorId="0" shapeId="0" xr:uid="{D5D0632D-CE1C-4A7A-B999-0D309099E554}">
      <text>
        <r>
          <rPr>
            <b/>
            <sz val="9"/>
            <color indexed="81"/>
            <rFont val="Tahoma"/>
            <family val="2"/>
          </rPr>
          <t xml:space="preserve"> &lt;[[TCDeals] - [Proxy Entities (Seq: 1)] State - Send]&gt;</t>
        </r>
      </text>
    </comment>
    <comment ref="V139" authorId="0" shapeId="0" xr:uid="{2F978007-5062-44FA-86B6-9A2646EC731D}">
      <text>
        <r>
          <rPr>
            <b/>
            <sz val="9"/>
            <color indexed="81"/>
            <rFont val="Tahoma"/>
            <family val="2"/>
          </rPr>
          <t xml:space="preserve"> &lt;[[TCDeals] - [Proxy Entities (Seq: 1)] Zip Code - Send]&gt;</t>
        </r>
      </text>
    </comment>
    <comment ref="W139" authorId="0" shapeId="0" xr:uid="{E0A9D89E-61F6-4C3A-8090-BC200E3C538F}">
      <text>
        <r>
          <rPr>
            <b/>
            <sz val="9"/>
            <color indexed="81"/>
            <rFont val="Tahoma"/>
            <family val="2"/>
          </rPr>
          <t xml:space="preserve"> &lt;[[TCDeals] - [Proxy Entities (Seq: 1)] Direct Phone - Send]&gt;</t>
        </r>
      </text>
    </comment>
    <comment ref="AA139" authorId="0" shapeId="0" xr:uid="{C8892A64-F92A-4DE0-89A1-B821ADF6254E}">
      <text>
        <r>
          <rPr>
            <b/>
            <sz val="9"/>
            <color indexed="81"/>
            <rFont val="Tahoma"/>
            <family val="2"/>
          </rPr>
          <t xml:space="preserve"> &lt;[[TCDeals] - [Associated DEV Deal (Seq: 1)] - [Proxy Entities (Seq: 7)] Name (Doing Business As) - Send]&gt;</t>
        </r>
      </text>
    </comment>
    <comment ref="AB139" authorId="0" shapeId="0" xr:uid="{DDD54CB1-E23E-4357-8F2D-1A5689100F68}">
      <text>
        <r>
          <rPr>
            <b/>
            <sz val="9"/>
            <color indexed="81"/>
            <rFont val="Tahoma"/>
            <family val="2"/>
          </rPr>
          <t xml:space="preserve"> &lt;[[TCDeals] - [Associated DEV Deal (Seq: 1)] - [Proxy Entities (Seq: 7)] Company or Individual? - Send]&gt;</t>
        </r>
      </text>
    </comment>
    <comment ref="AC139" authorId="0" shapeId="0" xr:uid="{13B9149D-2B89-4F88-8873-100B10CF08FB}">
      <text>
        <r>
          <rPr>
            <b/>
            <sz val="9"/>
            <color indexed="81"/>
            <rFont val="Tahoma"/>
            <family val="2"/>
          </rPr>
          <t xml:space="preserve"> &lt;[[TCDeals] - [Associated DEV Deal (Seq: 1)] - [Proxy Entities (Seq: 7)] Deal Entity Role - Send]&gt;</t>
        </r>
      </text>
    </comment>
    <comment ref="AD139" authorId="0" shapeId="0" xr:uid="{6E5408F5-02D8-4361-974E-08114EE38A6A}">
      <text>
        <r>
          <rPr>
            <b/>
            <sz val="9"/>
            <color indexed="81"/>
            <rFont val="Tahoma"/>
            <family val="2"/>
          </rPr>
          <t xml:space="preserve"> &lt;[[TCDeals] - [Associated DEV Deal (Seq: 1)] - [Proxy Entities (Seq: 7)] First Name - Send]&gt;</t>
        </r>
      </text>
    </comment>
    <comment ref="AE139" authorId="0" shapeId="0" xr:uid="{8DC72E9A-F906-4B03-83DC-EECCA0AE792D}">
      <text>
        <r>
          <rPr>
            <b/>
            <sz val="9"/>
            <color indexed="81"/>
            <rFont val="Tahoma"/>
            <family val="2"/>
          </rPr>
          <t xml:space="preserve"> &lt;[[TCDeals] - [Associated DEV Deal (Seq: 1)] - [Proxy Entities (Seq: 7)] Last Name - Send]&gt;</t>
        </r>
      </text>
    </comment>
    <comment ref="AF139" authorId="0" shapeId="0" xr:uid="{E8824226-4A23-49BC-97D1-6475A3105643}">
      <text>
        <r>
          <rPr>
            <b/>
            <sz val="9"/>
            <color indexed="81"/>
            <rFont val="Tahoma"/>
            <family val="2"/>
          </rPr>
          <t xml:space="preserve"> &lt;[[TCDeals] - [Associated DEV Deal (Seq: 1)] - [Proxy Entities (Seq: 7)] Email Address 1 - Send]&gt;</t>
        </r>
      </text>
    </comment>
    <comment ref="AG139" authorId="0" shapeId="0" xr:uid="{C70E4DAC-4A57-41D9-BAA8-BF78A2184281}">
      <text>
        <r>
          <rPr>
            <b/>
            <sz val="9"/>
            <color indexed="81"/>
            <rFont val="Tahoma"/>
            <family val="2"/>
          </rPr>
          <t xml:space="preserve"> &lt;[[TCDeals] - [Associated DEV Deal (Seq: 1)] - [Proxy Entities (Seq: 7)] Address 1 - Send]&gt;</t>
        </r>
      </text>
    </comment>
    <comment ref="AH139" authorId="0" shapeId="0" xr:uid="{F94F2CD2-F860-408A-A4C9-AE8D02D3E73E}">
      <text>
        <r>
          <rPr>
            <b/>
            <sz val="9"/>
            <color indexed="81"/>
            <rFont val="Tahoma"/>
            <family val="2"/>
          </rPr>
          <t xml:space="preserve"> &lt;[[TCDeals] - [Associated DEV Deal (Seq: 1)] - [Proxy Entities (Seq: 7)] City - Send]&gt;</t>
        </r>
      </text>
    </comment>
    <comment ref="AI139" authorId="0" shapeId="0" xr:uid="{E07E0407-0043-4CE9-B118-DB9CE9607789}">
      <text>
        <r>
          <rPr>
            <b/>
            <sz val="9"/>
            <color indexed="81"/>
            <rFont val="Tahoma"/>
            <family val="2"/>
          </rPr>
          <t xml:space="preserve"> &lt;[[TCDeals] - [Associated DEV Deal (Seq: 1)] - [Proxy Entities (Seq: 7)] State - Send]&gt;</t>
        </r>
      </text>
    </comment>
    <comment ref="AJ139" authorId="0" shapeId="0" xr:uid="{C8DF5C3F-972F-4D96-9F42-EE714F7E2D60}">
      <text>
        <r>
          <rPr>
            <b/>
            <sz val="9"/>
            <color indexed="81"/>
            <rFont val="Tahoma"/>
            <family val="2"/>
          </rPr>
          <t xml:space="preserve"> &lt;[[TCDeals] - [Associated DEV Deal (Seq: 1)] - [Proxy Entities (Seq: 7)] Zip Code - Send]&gt;</t>
        </r>
      </text>
    </comment>
    <comment ref="AK139" authorId="0" shapeId="0" xr:uid="{D695AE95-D527-4E7C-87DD-0D166A1DA820}">
      <text>
        <r>
          <rPr>
            <b/>
            <sz val="9"/>
            <color indexed="81"/>
            <rFont val="Tahoma"/>
            <family val="2"/>
          </rPr>
          <t xml:space="preserve"> &lt;[[TCDeals] - [Associated DEV Deal (Seq: 1)] - [Proxy Entities (Seq: 7)] Direct Phone - Send]&gt;</t>
        </r>
      </text>
    </comment>
    <comment ref="M140" authorId="0" shapeId="0" xr:uid="{8B8D6100-8FD9-4706-8F3E-B9421283CC54}">
      <text>
        <r>
          <rPr>
            <b/>
            <sz val="9"/>
            <color indexed="81"/>
            <rFont val="Tahoma"/>
            <family val="2"/>
          </rPr>
          <t xml:space="preserve"> &lt;[[TCDeals] - [Proxy Entities (Seq: 1)] Company or Individual? - Send]&gt;</t>
        </r>
      </text>
    </comment>
    <comment ref="N140" authorId="0" shapeId="0" xr:uid="{35813A14-2D37-439D-929D-FC51F9C500A1}">
      <text>
        <r>
          <rPr>
            <b/>
            <sz val="9"/>
            <color indexed="81"/>
            <rFont val="Tahoma"/>
            <family val="2"/>
          </rPr>
          <t xml:space="preserve"> &lt;[[TCDeals] - [Proxy Entities (Seq: 1)] Deal Entity Role - Send]&gt;</t>
        </r>
      </text>
    </comment>
    <comment ref="O140" authorId="0" shapeId="0" xr:uid="{6A1153C0-352F-4100-BEEB-3E3220756691}">
      <text>
        <r>
          <rPr>
            <b/>
            <sz val="9"/>
            <color indexed="81"/>
            <rFont val="Tahoma"/>
            <family val="2"/>
          </rPr>
          <t xml:space="preserve"> &lt;[[TCDeals] - [Proxy Entities (Seq: 8)] Name (Doing Business As) - Send]&gt;</t>
        </r>
      </text>
    </comment>
    <comment ref="P140" authorId="0" shapeId="0" xr:uid="{E9575F69-6DD9-418E-AE91-8100B29BC468}">
      <text>
        <r>
          <rPr>
            <b/>
            <sz val="9"/>
            <color indexed="81"/>
            <rFont val="Tahoma"/>
            <family val="2"/>
          </rPr>
          <t xml:space="preserve"> &lt;[[TCDeals] - [Proxy Entities (Seq: 8)] First Name - Send]&gt;</t>
        </r>
      </text>
    </comment>
    <comment ref="Q140" authorId="0" shapeId="0" xr:uid="{75325139-5E92-4B05-9F62-B55A4CCE1AE0}">
      <text>
        <r>
          <rPr>
            <b/>
            <sz val="9"/>
            <color indexed="81"/>
            <rFont val="Tahoma"/>
            <family val="2"/>
          </rPr>
          <t xml:space="preserve"> &lt;[[TCDeals] - [Proxy Entities (Seq: 8)] Last Name - Send]&gt;</t>
        </r>
      </text>
    </comment>
    <comment ref="R140" authorId="0" shapeId="0" xr:uid="{BDAC22BD-BDC3-48EC-B5AE-D951FC982C27}">
      <text>
        <r>
          <rPr>
            <b/>
            <sz val="9"/>
            <color indexed="81"/>
            <rFont val="Tahoma"/>
            <family val="2"/>
          </rPr>
          <t xml:space="preserve"> &lt;[[TCDeals] - [Proxy Entities (Seq: 1)] Email Address 1 - Send]&gt;</t>
        </r>
      </text>
    </comment>
    <comment ref="S140" authorId="0" shapeId="0" xr:uid="{4951A5EC-0A8B-4643-BC31-13D38B794891}">
      <text>
        <r>
          <rPr>
            <b/>
            <sz val="9"/>
            <color indexed="81"/>
            <rFont val="Tahoma"/>
            <family val="2"/>
          </rPr>
          <t xml:space="preserve"> &lt;[[TCDeals] - [Proxy Entities (Seq: 1)] Address 1 - Send]&gt;</t>
        </r>
      </text>
    </comment>
    <comment ref="T140" authorId="0" shapeId="0" xr:uid="{C4ED9587-0A02-4508-8FB0-129537900FAF}">
      <text>
        <r>
          <rPr>
            <b/>
            <sz val="9"/>
            <color indexed="81"/>
            <rFont val="Tahoma"/>
            <family val="2"/>
          </rPr>
          <t xml:space="preserve"> &lt;[[TCDeals] - [Proxy Entities (Seq: 1)] City - Send]&gt;</t>
        </r>
      </text>
    </comment>
    <comment ref="U140" authorId="0" shapeId="0" xr:uid="{D4E57669-51B3-4E6B-9413-59107B6FF97C}">
      <text>
        <r>
          <rPr>
            <b/>
            <sz val="9"/>
            <color indexed="81"/>
            <rFont val="Tahoma"/>
            <family val="2"/>
          </rPr>
          <t xml:space="preserve"> &lt;[[TCDeals] - [Proxy Entities (Seq: 1)] State - Send]&gt;</t>
        </r>
      </text>
    </comment>
    <comment ref="V140" authorId="0" shapeId="0" xr:uid="{D3F73BB9-EBBC-4C1C-85DA-71446843C094}">
      <text>
        <r>
          <rPr>
            <b/>
            <sz val="9"/>
            <color indexed="81"/>
            <rFont val="Tahoma"/>
            <family val="2"/>
          </rPr>
          <t xml:space="preserve"> &lt;[[TCDeals] - [Proxy Entities (Seq: 1)] Zip Code - Send]&gt;</t>
        </r>
      </text>
    </comment>
    <comment ref="W140" authorId="0" shapeId="0" xr:uid="{6F713DDD-EB01-4270-840C-C815A5553804}">
      <text>
        <r>
          <rPr>
            <b/>
            <sz val="9"/>
            <color indexed="81"/>
            <rFont val="Tahoma"/>
            <family val="2"/>
          </rPr>
          <t xml:space="preserve"> &lt;[[TCDeals] - [Proxy Entities (Seq: 1)] Direct Phone - Send]&gt;</t>
        </r>
      </text>
    </comment>
    <comment ref="AA140" authorId="0" shapeId="0" xr:uid="{7D1DEE43-593A-4EAD-81A9-D9270EB29140}">
      <text>
        <r>
          <rPr>
            <b/>
            <sz val="9"/>
            <color indexed="81"/>
            <rFont val="Tahoma"/>
            <family val="2"/>
          </rPr>
          <t xml:space="preserve"> &lt;[[TCDeals] - [Associated DEV Deal (Seq: 1)] - [Proxy Entities (Seq: 8)] Name (Doing Business As) - Send]&gt;</t>
        </r>
      </text>
    </comment>
    <comment ref="AB140" authorId="0" shapeId="0" xr:uid="{470C6B5D-B5F8-48DC-ABD0-8BBBACC0DE8A}">
      <text>
        <r>
          <rPr>
            <b/>
            <sz val="9"/>
            <color indexed="81"/>
            <rFont val="Tahoma"/>
            <family val="2"/>
          </rPr>
          <t xml:space="preserve"> &lt;[[TCDeals] - [Associated DEV Deal (Seq: 1)] - [Proxy Entities (Seq: 8)] Company or Individual? - Send]&gt;</t>
        </r>
      </text>
    </comment>
    <comment ref="AC140" authorId="0" shapeId="0" xr:uid="{7FDAB88F-7CC0-4AB1-A38D-B1538222E99B}">
      <text>
        <r>
          <rPr>
            <b/>
            <sz val="9"/>
            <color indexed="81"/>
            <rFont val="Tahoma"/>
            <family val="2"/>
          </rPr>
          <t xml:space="preserve"> &lt;[[TCDeals] - [Associated DEV Deal (Seq: 1)] - [Proxy Entities (Seq: 8)] Deal Entity Role - Send]&gt;</t>
        </r>
      </text>
    </comment>
    <comment ref="AD140" authorId="0" shapeId="0" xr:uid="{3889975A-0B56-4F7E-93BB-A8CD84674566}">
      <text>
        <r>
          <rPr>
            <b/>
            <sz val="9"/>
            <color indexed="81"/>
            <rFont val="Tahoma"/>
            <family val="2"/>
          </rPr>
          <t xml:space="preserve"> &lt;[[TCDeals] - [Associated DEV Deal (Seq: 1)] - [Proxy Entities (Seq: 8)] First Name - Send]&gt;</t>
        </r>
      </text>
    </comment>
    <comment ref="AE140" authorId="0" shapeId="0" xr:uid="{6A5A75B7-6470-4EA1-BABF-B68922A4B76A}">
      <text>
        <r>
          <rPr>
            <b/>
            <sz val="9"/>
            <color indexed="81"/>
            <rFont val="Tahoma"/>
            <family val="2"/>
          </rPr>
          <t xml:space="preserve"> &lt;[[TCDeals] - [Associated DEV Deal (Seq: 1)] - [Proxy Entities (Seq: 8)] Last Name - Send]&gt;</t>
        </r>
      </text>
    </comment>
    <comment ref="AF140" authorId="0" shapeId="0" xr:uid="{ED8DE065-DEB3-456D-ACEF-68F8F0DBF7C6}">
      <text>
        <r>
          <rPr>
            <b/>
            <sz val="9"/>
            <color indexed="81"/>
            <rFont val="Tahoma"/>
            <family val="2"/>
          </rPr>
          <t xml:space="preserve"> &lt;[[TCDeals] - [Associated DEV Deal (Seq: 1)] - [Proxy Entities (Seq: 8)] Email Address 1 - Send]&gt;</t>
        </r>
      </text>
    </comment>
    <comment ref="AG140" authorId="0" shapeId="0" xr:uid="{4E57F5E3-ABC2-45E9-AF3E-5C73D1D61653}">
      <text>
        <r>
          <rPr>
            <b/>
            <sz val="9"/>
            <color indexed="81"/>
            <rFont val="Tahoma"/>
            <family val="2"/>
          </rPr>
          <t xml:space="preserve"> &lt;[[TCDeals] - [Associated DEV Deal (Seq: 1)] - [Proxy Entities (Seq: 8)] Address 1 - Send]&gt;</t>
        </r>
      </text>
    </comment>
    <comment ref="AH140" authorId="0" shapeId="0" xr:uid="{D73DF5EF-C9A2-48BD-A7DE-8865FC7798EB}">
      <text>
        <r>
          <rPr>
            <b/>
            <sz val="9"/>
            <color indexed="81"/>
            <rFont val="Tahoma"/>
            <family val="2"/>
          </rPr>
          <t xml:space="preserve"> &lt;[[TCDeals] - [Associated DEV Deal (Seq: 1)] - [Proxy Entities (Seq: 8)] City - Send]&gt;</t>
        </r>
      </text>
    </comment>
    <comment ref="AI140" authorId="0" shapeId="0" xr:uid="{C58B49E9-CF0C-4B02-8ED8-CB06DF2B97A2}">
      <text>
        <r>
          <rPr>
            <b/>
            <sz val="9"/>
            <color indexed="81"/>
            <rFont val="Tahoma"/>
            <family val="2"/>
          </rPr>
          <t xml:space="preserve"> &lt;[[TCDeals] - [Associated DEV Deal (Seq: 1)] - [Proxy Entities (Seq: 8)] State - Send]&gt;</t>
        </r>
      </text>
    </comment>
    <comment ref="AJ140" authorId="0" shapeId="0" xr:uid="{893C8A36-10F4-461A-978F-9611189E3080}">
      <text>
        <r>
          <rPr>
            <b/>
            <sz val="9"/>
            <color indexed="81"/>
            <rFont val="Tahoma"/>
            <family val="2"/>
          </rPr>
          <t xml:space="preserve"> &lt;[[TCDeals] - [Associated DEV Deal (Seq: 1)] - [Proxy Entities (Seq: 8)] Zip Code - Send]&gt;</t>
        </r>
      </text>
    </comment>
    <comment ref="AK140" authorId="0" shapeId="0" xr:uid="{02BFB976-2149-43E1-B1FA-7B76FE34CC04}">
      <text>
        <r>
          <rPr>
            <b/>
            <sz val="9"/>
            <color indexed="81"/>
            <rFont val="Tahoma"/>
            <family val="2"/>
          </rPr>
          <t xml:space="preserve"> &lt;[[TCDeals] - [Associated DEV Deal (Seq: 1)] - [Proxy Entities (Seq: 8)] Direct Phone - Send]&gt;</t>
        </r>
      </text>
    </comment>
    <comment ref="M141" authorId="0" shapeId="0" xr:uid="{AEF2C481-1B3E-477F-8E90-6229C59BC94D}">
      <text>
        <r>
          <rPr>
            <b/>
            <sz val="9"/>
            <color indexed="81"/>
            <rFont val="Tahoma"/>
            <family val="2"/>
          </rPr>
          <t xml:space="preserve"> &lt;[[TCDeals] - [Proxy Entities (Seq: 1)] Company or Individual? - Send]&gt;</t>
        </r>
      </text>
    </comment>
    <comment ref="N141" authorId="0" shapeId="0" xr:uid="{BBD799B4-732A-4AD3-91A9-CD1547A90E53}">
      <text>
        <r>
          <rPr>
            <b/>
            <sz val="9"/>
            <color indexed="81"/>
            <rFont val="Tahoma"/>
            <family val="2"/>
          </rPr>
          <t xml:space="preserve"> &lt;[[TCDeals] - [Proxy Entities (Seq: 1)] Deal Entity Role - Send]&gt;</t>
        </r>
      </text>
    </comment>
    <comment ref="O141" authorId="0" shapeId="0" xr:uid="{945A5333-C8E3-47F7-AC09-430519C0234E}">
      <text>
        <r>
          <rPr>
            <b/>
            <sz val="9"/>
            <color indexed="81"/>
            <rFont val="Tahoma"/>
            <family val="2"/>
          </rPr>
          <t xml:space="preserve"> &lt;[[TCDeals] - [Proxy Entities (Seq: 9)] Name (Doing Business As) - Send]&gt;</t>
        </r>
      </text>
    </comment>
    <comment ref="P141" authorId="0" shapeId="0" xr:uid="{00140184-1E08-4789-8761-2D3DEB5C1EF5}">
      <text>
        <r>
          <rPr>
            <b/>
            <sz val="9"/>
            <color indexed="81"/>
            <rFont val="Tahoma"/>
            <family val="2"/>
          </rPr>
          <t xml:space="preserve"> &lt;[[TCDeals] - [Proxy Entities (Seq: 9)] First Name - Send]&gt;</t>
        </r>
      </text>
    </comment>
    <comment ref="Q141" authorId="0" shapeId="0" xr:uid="{DA9D5933-60AB-4AAB-A0DD-644DB3789E13}">
      <text>
        <r>
          <rPr>
            <b/>
            <sz val="9"/>
            <color indexed="81"/>
            <rFont val="Tahoma"/>
            <family val="2"/>
          </rPr>
          <t xml:space="preserve"> &lt;[[TCDeals] - [Proxy Entities (Seq: 9)] Last Name - Send]&gt;</t>
        </r>
      </text>
    </comment>
    <comment ref="R141" authorId="0" shapeId="0" xr:uid="{C9D533D4-A07B-47BB-BE22-CE91E0E5B3C3}">
      <text>
        <r>
          <rPr>
            <b/>
            <sz val="9"/>
            <color indexed="81"/>
            <rFont val="Tahoma"/>
            <family val="2"/>
          </rPr>
          <t xml:space="preserve"> &lt;[[TCDeals] - [Proxy Entities (Seq: 1)] Email Address 1 - Send]&gt;</t>
        </r>
      </text>
    </comment>
    <comment ref="S141" authorId="0" shapeId="0" xr:uid="{4D4F6B35-B048-46B8-BF3C-B0AEF742D429}">
      <text>
        <r>
          <rPr>
            <b/>
            <sz val="9"/>
            <color indexed="81"/>
            <rFont val="Tahoma"/>
            <family val="2"/>
          </rPr>
          <t xml:space="preserve"> &lt;[[TCDeals] - [Proxy Entities (Seq: 1)] Address 1 - Send]&gt;</t>
        </r>
      </text>
    </comment>
    <comment ref="T141" authorId="0" shapeId="0" xr:uid="{72634AE6-0879-4823-B816-14AB963EB951}">
      <text>
        <r>
          <rPr>
            <b/>
            <sz val="9"/>
            <color indexed="81"/>
            <rFont val="Tahoma"/>
            <family val="2"/>
          </rPr>
          <t xml:space="preserve"> &lt;[[TCDeals] - [Proxy Entities (Seq: 1)] City - Send]&gt;</t>
        </r>
      </text>
    </comment>
    <comment ref="U141" authorId="0" shapeId="0" xr:uid="{9A520902-5F0B-41B0-BE4B-DF558E9425E5}">
      <text>
        <r>
          <rPr>
            <b/>
            <sz val="9"/>
            <color indexed="81"/>
            <rFont val="Tahoma"/>
            <family val="2"/>
          </rPr>
          <t xml:space="preserve"> &lt;[[TCDeals] - [Proxy Entities (Seq: 1)] State - Send]&gt;</t>
        </r>
      </text>
    </comment>
    <comment ref="V141" authorId="0" shapeId="0" xr:uid="{7E822C95-BCD3-4380-BFB8-8C1BEB7C1752}">
      <text>
        <r>
          <rPr>
            <b/>
            <sz val="9"/>
            <color indexed="81"/>
            <rFont val="Tahoma"/>
            <family val="2"/>
          </rPr>
          <t xml:space="preserve"> &lt;[[TCDeals] - [Proxy Entities (Seq: 1)] Zip Code - Send]&gt;</t>
        </r>
      </text>
    </comment>
    <comment ref="W141" authorId="0" shapeId="0" xr:uid="{4A9ED195-8709-4B5C-9866-DE2EEA42392A}">
      <text>
        <r>
          <rPr>
            <b/>
            <sz val="9"/>
            <color indexed="81"/>
            <rFont val="Tahoma"/>
            <family val="2"/>
          </rPr>
          <t xml:space="preserve"> &lt;[[TCDeals] - [Proxy Entities (Seq: 1)] Direct Phone - Send]&gt;</t>
        </r>
      </text>
    </comment>
    <comment ref="AA141" authorId="0" shapeId="0" xr:uid="{6E71872B-26C6-42D4-81A2-0ED083B3E613}">
      <text>
        <r>
          <rPr>
            <b/>
            <sz val="9"/>
            <color indexed="81"/>
            <rFont val="Tahoma"/>
            <family val="2"/>
          </rPr>
          <t xml:space="preserve"> &lt;[[TCDeals] - [Associated DEV Deal (Seq: 1)] - [Proxy Entities (Seq: 9)] Name (Doing Business As) - Send]&gt;</t>
        </r>
      </text>
    </comment>
    <comment ref="AB141" authorId="0" shapeId="0" xr:uid="{ACB86673-6118-40FA-ABB4-EF322507ECDF}">
      <text>
        <r>
          <rPr>
            <b/>
            <sz val="9"/>
            <color indexed="81"/>
            <rFont val="Tahoma"/>
            <family val="2"/>
          </rPr>
          <t xml:space="preserve"> &lt;[[TCDeals] - [Associated DEV Deal (Seq: 1)] - [Proxy Entities (Seq: 9)] Company or Individual? - Send]&gt;</t>
        </r>
      </text>
    </comment>
    <comment ref="AC141" authorId="0" shapeId="0" xr:uid="{1045C4CD-D18C-426C-B39C-20500C7920BD}">
      <text>
        <r>
          <rPr>
            <b/>
            <sz val="9"/>
            <color indexed="81"/>
            <rFont val="Tahoma"/>
            <family val="2"/>
          </rPr>
          <t xml:space="preserve"> &lt;[[TCDeals] - [Associated DEV Deal (Seq: 1)] - [Proxy Entities (Seq: 9)] Deal Entity Role - Send]&gt;</t>
        </r>
      </text>
    </comment>
    <comment ref="AD141" authorId="0" shapeId="0" xr:uid="{F0973FE9-C0CE-49D7-85E3-6AAFA38D5E72}">
      <text>
        <r>
          <rPr>
            <b/>
            <sz val="9"/>
            <color indexed="81"/>
            <rFont val="Tahoma"/>
            <family val="2"/>
          </rPr>
          <t xml:space="preserve"> &lt;[[TCDeals] - [Associated DEV Deal (Seq: 1)] - [Proxy Entities (Seq: 9)] First Name - Send]&gt;</t>
        </r>
      </text>
    </comment>
    <comment ref="AE141" authorId="0" shapeId="0" xr:uid="{2700EB4F-4940-4F6F-A236-004645C75E6D}">
      <text>
        <r>
          <rPr>
            <b/>
            <sz val="9"/>
            <color indexed="81"/>
            <rFont val="Tahoma"/>
            <family val="2"/>
          </rPr>
          <t xml:space="preserve"> &lt;[[TCDeals] - [Associated DEV Deal (Seq: 1)] - [Proxy Entities (Seq: 9)] Last Name - Send]&gt;</t>
        </r>
      </text>
    </comment>
    <comment ref="AF141" authorId="0" shapeId="0" xr:uid="{18DCD762-0793-452C-A8B2-A2085C96941F}">
      <text>
        <r>
          <rPr>
            <b/>
            <sz val="9"/>
            <color indexed="81"/>
            <rFont val="Tahoma"/>
            <family val="2"/>
          </rPr>
          <t xml:space="preserve"> &lt;[[TCDeals] - [Associated DEV Deal (Seq: 1)] - [Proxy Entities (Seq: 9)] Email Address 1 - Send]&gt;</t>
        </r>
      </text>
    </comment>
    <comment ref="AG141" authorId="0" shapeId="0" xr:uid="{1D4BF42A-67E8-41D7-86F4-4380C88BB6B7}">
      <text>
        <r>
          <rPr>
            <b/>
            <sz val="9"/>
            <color indexed="81"/>
            <rFont val="Tahoma"/>
            <family val="2"/>
          </rPr>
          <t xml:space="preserve"> &lt;[[TCDeals] - [Associated DEV Deal (Seq: 1)] - [Proxy Entities (Seq: 9)] Address 1 - Send]&gt;</t>
        </r>
      </text>
    </comment>
    <comment ref="AH141" authorId="0" shapeId="0" xr:uid="{AC03E8A4-E96B-4D29-B3C0-AC255E49868C}">
      <text>
        <r>
          <rPr>
            <b/>
            <sz val="9"/>
            <color indexed="81"/>
            <rFont val="Tahoma"/>
            <family val="2"/>
          </rPr>
          <t xml:space="preserve"> &lt;[[TCDeals] - [Associated DEV Deal (Seq: 1)] - [Proxy Entities (Seq: 9)] City - Send]&gt;</t>
        </r>
      </text>
    </comment>
    <comment ref="AI141" authorId="0" shapeId="0" xr:uid="{D404958E-48D6-4886-84AF-59444AEBBA84}">
      <text>
        <r>
          <rPr>
            <b/>
            <sz val="9"/>
            <color indexed="81"/>
            <rFont val="Tahoma"/>
            <family val="2"/>
          </rPr>
          <t xml:space="preserve"> &lt;[[TCDeals] - [Associated DEV Deal (Seq: 1)] - [Proxy Entities (Seq: 9)] State - Send]&gt;</t>
        </r>
      </text>
    </comment>
    <comment ref="AJ141" authorId="0" shapeId="0" xr:uid="{1778A32F-747F-4D6E-AF73-A2BB56FB7E12}">
      <text>
        <r>
          <rPr>
            <b/>
            <sz val="9"/>
            <color indexed="81"/>
            <rFont val="Tahoma"/>
            <family val="2"/>
          </rPr>
          <t xml:space="preserve"> &lt;[[TCDeals] - [Associated DEV Deal (Seq: 1)] - [Proxy Entities (Seq: 9)] Zip Code - Send]&gt;</t>
        </r>
      </text>
    </comment>
    <comment ref="AK141" authorId="0" shapeId="0" xr:uid="{92862596-75D8-4949-9002-C0C6EC1DA7C9}">
      <text>
        <r>
          <rPr>
            <b/>
            <sz val="9"/>
            <color indexed="81"/>
            <rFont val="Tahoma"/>
            <family val="2"/>
          </rPr>
          <t xml:space="preserve"> &lt;[[TCDeals] - [Associated DEV Deal (Seq: 1)] - [Proxy Entities (Seq: 9)] Direct Phone - Send]&gt;</t>
        </r>
      </text>
    </comment>
    <comment ref="M142" authorId="0" shapeId="0" xr:uid="{09B9C9D0-3728-4405-9D56-FC228F4783B3}">
      <text>
        <r>
          <rPr>
            <b/>
            <sz val="9"/>
            <color indexed="81"/>
            <rFont val="Tahoma"/>
            <family val="2"/>
          </rPr>
          <t xml:space="preserve"> &lt;[[TCDeals] - [Proxy Entities (Seq: 1)] Company or Individual? - Send]&gt;</t>
        </r>
      </text>
    </comment>
    <comment ref="N142" authorId="0" shapeId="0" xr:uid="{C5A65131-0C8A-4019-A49A-A266FB0F85DD}">
      <text>
        <r>
          <rPr>
            <b/>
            <sz val="9"/>
            <color indexed="81"/>
            <rFont val="Tahoma"/>
            <family val="2"/>
          </rPr>
          <t xml:space="preserve"> &lt;[[TCDeals] - [Proxy Entities (Seq: 1)] Deal Entity Role - Send]&gt;</t>
        </r>
      </text>
    </comment>
    <comment ref="O142" authorId="0" shapeId="0" xr:uid="{5F015EA9-8A40-49A1-8C6C-8B5C5D74D0EA}">
      <text>
        <r>
          <rPr>
            <b/>
            <sz val="9"/>
            <color indexed="81"/>
            <rFont val="Tahoma"/>
            <family val="2"/>
          </rPr>
          <t xml:space="preserve"> &lt;[[TCDeals] - [Proxy Entities (Seq: 10)] Name (Doing Business As) - Send]&gt;</t>
        </r>
      </text>
    </comment>
    <comment ref="P142" authorId="0" shapeId="0" xr:uid="{35B8906A-99FF-473A-8666-02212074C48A}">
      <text>
        <r>
          <rPr>
            <b/>
            <sz val="9"/>
            <color indexed="81"/>
            <rFont val="Tahoma"/>
            <family val="2"/>
          </rPr>
          <t xml:space="preserve"> &lt;[[TCDeals] - [Proxy Entities (Seq: 10)] First Name - Send]&gt;</t>
        </r>
      </text>
    </comment>
    <comment ref="Q142" authorId="0" shapeId="0" xr:uid="{53C7328C-ED45-4347-8C41-A17336EC7C7F}">
      <text>
        <r>
          <rPr>
            <b/>
            <sz val="9"/>
            <color indexed="81"/>
            <rFont val="Tahoma"/>
            <family val="2"/>
          </rPr>
          <t xml:space="preserve"> &lt;[[TCDeals] - [Proxy Entities (Seq: 10)] Last Name - Send]&gt;</t>
        </r>
      </text>
    </comment>
    <comment ref="R142" authorId="0" shapeId="0" xr:uid="{5A4A7900-5C87-4C87-AFCC-14EDA6D0BA36}">
      <text>
        <r>
          <rPr>
            <b/>
            <sz val="9"/>
            <color indexed="81"/>
            <rFont val="Tahoma"/>
            <family val="2"/>
          </rPr>
          <t xml:space="preserve"> &lt;[[TCDeals] - [Proxy Entities (Seq: 1)] Email Address 1 - Send]&gt;</t>
        </r>
      </text>
    </comment>
    <comment ref="S142" authorId="0" shapeId="0" xr:uid="{84E71BBB-3D7E-4A57-B332-E553090C46C7}">
      <text>
        <r>
          <rPr>
            <b/>
            <sz val="9"/>
            <color indexed="81"/>
            <rFont val="Tahoma"/>
            <family val="2"/>
          </rPr>
          <t xml:space="preserve"> &lt;[[TCDeals] - [Proxy Entities (Seq: 1)] Address 1 - Send]&gt;</t>
        </r>
      </text>
    </comment>
    <comment ref="T142" authorId="0" shapeId="0" xr:uid="{D37DDB30-A2A2-4791-BFC6-05593C69D22A}">
      <text>
        <r>
          <rPr>
            <b/>
            <sz val="9"/>
            <color indexed="81"/>
            <rFont val="Tahoma"/>
            <family val="2"/>
          </rPr>
          <t xml:space="preserve"> &lt;[[TCDeals] - [Proxy Entities (Seq: 1)] City - Send]&gt;</t>
        </r>
      </text>
    </comment>
    <comment ref="U142" authorId="0" shapeId="0" xr:uid="{78489728-6119-4EC4-9D62-53C0E10FBE75}">
      <text>
        <r>
          <rPr>
            <b/>
            <sz val="9"/>
            <color indexed="81"/>
            <rFont val="Tahoma"/>
            <family val="2"/>
          </rPr>
          <t xml:space="preserve"> &lt;[[TCDeals] - [Proxy Entities (Seq: 1)] State - Send]&gt;</t>
        </r>
      </text>
    </comment>
    <comment ref="V142" authorId="0" shapeId="0" xr:uid="{B482686F-EB0E-4525-ABE8-8288F75642AA}">
      <text>
        <r>
          <rPr>
            <b/>
            <sz val="9"/>
            <color indexed="81"/>
            <rFont val="Tahoma"/>
            <family val="2"/>
          </rPr>
          <t xml:space="preserve"> &lt;[[TCDeals] - [Proxy Entities (Seq: 1)] Zip Code - Send]&gt;</t>
        </r>
      </text>
    </comment>
    <comment ref="W142" authorId="0" shapeId="0" xr:uid="{E8BB9566-F7A6-4C91-B1FE-7111E861089D}">
      <text>
        <r>
          <rPr>
            <b/>
            <sz val="9"/>
            <color indexed="81"/>
            <rFont val="Tahoma"/>
            <family val="2"/>
          </rPr>
          <t xml:space="preserve"> &lt;[[TCDeals] - [Proxy Entities (Seq: 1)] Direct Phone - Send]&gt;</t>
        </r>
      </text>
    </comment>
    <comment ref="AA142" authorId="0" shapeId="0" xr:uid="{33B24477-C872-4117-AF46-27201688E50D}">
      <text>
        <r>
          <rPr>
            <b/>
            <sz val="9"/>
            <color indexed="81"/>
            <rFont val="Tahoma"/>
            <family val="2"/>
          </rPr>
          <t xml:space="preserve"> &lt;[[TCDeals] - [Associated DEV Deal (Seq: 1)] - [Proxy Entities (Seq: 10)] Name (Doing Business As) - Send]&gt;</t>
        </r>
      </text>
    </comment>
    <comment ref="AB142" authorId="0" shapeId="0" xr:uid="{A9830119-9C90-4C4D-8BF7-B9488FA87D04}">
      <text>
        <r>
          <rPr>
            <b/>
            <sz val="9"/>
            <color indexed="81"/>
            <rFont val="Tahoma"/>
            <family val="2"/>
          </rPr>
          <t xml:space="preserve"> &lt;[[TCDeals] - [Associated DEV Deal (Seq: 1)] - [Proxy Entities (Seq: 10)] Company or Individual? - Send]&gt;</t>
        </r>
      </text>
    </comment>
    <comment ref="AC142" authorId="0" shapeId="0" xr:uid="{4D7C890A-0BFA-4663-9942-C0AC34FF6510}">
      <text>
        <r>
          <rPr>
            <b/>
            <sz val="9"/>
            <color indexed="81"/>
            <rFont val="Tahoma"/>
            <family val="2"/>
          </rPr>
          <t xml:space="preserve"> &lt;[[TCDeals] - [Associated DEV Deal (Seq: 1)] - [Proxy Entities (Seq: 10)] Deal Entity Role - Send]&gt;</t>
        </r>
      </text>
    </comment>
    <comment ref="AD142" authorId="0" shapeId="0" xr:uid="{3F594BBC-7D43-4C5C-BB18-195FE3A62113}">
      <text>
        <r>
          <rPr>
            <b/>
            <sz val="9"/>
            <color indexed="81"/>
            <rFont val="Tahoma"/>
            <family val="2"/>
          </rPr>
          <t xml:space="preserve"> &lt;[[TCDeals] - [Associated DEV Deal (Seq: 1)] - [Proxy Entities (Seq: 10)] First Name - Send]&gt;</t>
        </r>
      </text>
    </comment>
    <comment ref="AE142" authorId="0" shapeId="0" xr:uid="{D73F4637-A302-4C2F-BA80-B8F954914068}">
      <text>
        <r>
          <rPr>
            <b/>
            <sz val="9"/>
            <color indexed="81"/>
            <rFont val="Tahoma"/>
            <family val="2"/>
          </rPr>
          <t xml:space="preserve"> &lt;[[TCDeals] - [Associated DEV Deal (Seq: 1)] - [Proxy Entities (Seq: 10)] Last Name - Send]&gt;</t>
        </r>
      </text>
    </comment>
    <comment ref="AF142" authorId="0" shapeId="0" xr:uid="{6BD0FD47-B014-48A5-9D38-6B8131089A69}">
      <text>
        <r>
          <rPr>
            <b/>
            <sz val="9"/>
            <color indexed="81"/>
            <rFont val="Tahoma"/>
            <family val="2"/>
          </rPr>
          <t xml:space="preserve"> &lt;[[TCDeals] - [Associated DEV Deal (Seq: 1)] - [Proxy Entities (Seq: 10)] Email Address 1 - Send]&gt;</t>
        </r>
      </text>
    </comment>
    <comment ref="AG142" authorId="0" shapeId="0" xr:uid="{4530524F-B4E4-4BC4-92A3-1A3E9031DE3B}">
      <text>
        <r>
          <rPr>
            <b/>
            <sz val="9"/>
            <color indexed="81"/>
            <rFont val="Tahoma"/>
            <family val="2"/>
          </rPr>
          <t xml:space="preserve"> &lt;[[TCDeals] - [Associated DEV Deal (Seq: 1)] - [Proxy Entities (Seq: 10)] Address 1 - Send]&gt;</t>
        </r>
      </text>
    </comment>
    <comment ref="AH142" authorId="0" shapeId="0" xr:uid="{0384B3C6-4A2D-4795-9521-7A825553CC1C}">
      <text>
        <r>
          <rPr>
            <b/>
            <sz val="9"/>
            <color indexed="81"/>
            <rFont val="Tahoma"/>
            <family val="2"/>
          </rPr>
          <t xml:space="preserve"> &lt;[[TCDeals] - [Associated DEV Deal (Seq: 1)] - [Proxy Entities (Seq: 10)] City - Send]&gt;</t>
        </r>
      </text>
    </comment>
    <comment ref="AI142" authorId="0" shapeId="0" xr:uid="{5CA333CF-3DB2-414F-B0E7-CC3D5E3542B3}">
      <text>
        <r>
          <rPr>
            <b/>
            <sz val="9"/>
            <color indexed="81"/>
            <rFont val="Tahoma"/>
            <family val="2"/>
          </rPr>
          <t xml:space="preserve"> &lt;[[TCDeals] - [Associated DEV Deal (Seq: 1)] - [Proxy Entities (Seq: 10)] State - Send]&gt;</t>
        </r>
      </text>
    </comment>
    <comment ref="AJ142" authorId="0" shapeId="0" xr:uid="{7EADDB43-E5F7-40EC-A14D-692BD3B23AE4}">
      <text>
        <r>
          <rPr>
            <b/>
            <sz val="9"/>
            <color indexed="81"/>
            <rFont val="Tahoma"/>
            <family val="2"/>
          </rPr>
          <t xml:space="preserve"> &lt;[[TCDeals] - [Associated DEV Deal (Seq: 1)] - [Proxy Entities (Seq: 10)] Zip Code - Send]&gt;</t>
        </r>
      </text>
    </comment>
    <comment ref="AK142" authorId="0" shapeId="0" xr:uid="{03F342CD-1793-42BD-9A68-25638672003A}">
      <text>
        <r>
          <rPr>
            <b/>
            <sz val="9"/>
            <color indexed="81"/>
            <rFont val="Tahoma"/>
            <family val="2"/>
          </rPr>
          <t xml:space="preserve"> &lt;[[TCDeals] - [Associated DEV Deal (Seq: 1)] - [Proxy Entities (Seq: 10)] Direct Phone - Send]&gt;</t>
        </r>
      </text>
    </comment>
    <comment ref="M143" authorId="0" shapeId="0" xr:uid="{C328CB76-5343-4D68-A8E6-81D26DDB1D05}">
      <text>
        <r>
          <rPr>
            <b/>
            <sz val="9"/>
            <color indexed="81"/>
            <rFont val="Tahoma"/>
            <family val="2"/>
          </rPr>
          <t xml:space="preserve"> &lt;[[TCDeals] - [Proxy Entities (Seq: 1)] Company or Individual? - Send]&gt;</t>
        </r>
      </text>
    </comment>
    <comment ref="N143" authorId="0" shapeId="0" xr:uid="{8F1823CB-09CF-4A20-A262-5F3578E8A0AC}">
      <text>
        <r>
          <rPr>
            <b/>
            <sz val="9"/>
            <color indexed="81"/>
            <rFont val="Tahoma"/>
            <family val="2"/>
          </rPr>
          <t xml:space="preserve"> &lt;[[TCDeals] - [Proxy Entities (Seq: 1)] Deal Entity Role - Send]&gt;</t>
        </r>
      </text>
    </comment>
    <comment ref="O143" authorId="0" shapeId="0" xr:uid="{3D75C610-A65A-4422-81AB-F2E3F9189E72}">
      <text>
        <r>
          <rPr>
            <b/>
            <sz val="9"/>
            <color indexed="81"/>
            <rFont val="Tahoma"/>
            <family val="2"/>
          </rPr>
          <t xml:space="preserve"> &lt;[[TCDeals] - [Proxy Entities (Seq: 11)] Name (Doing Business As) - Send]&gt;</t>
        </r>
      </text>
    </comment>
    <comment ref="P143" authorId="0" shapeId="0" xr:uid="{E3F020F7-00AF-4F69-A6A0-893A25AF96DA}">
      <text>
        <r>
          <rPr>
            <b/>
            <sz val="9"/>
            <color indexed="81"/>
            <rFont val="Tahoma"/>
            <family val="2"/>
          </rPr>
          <t xml:space="preserve"> &lt;[[TCDeals] - [Proxy Entities (Seq: 11)] First Name - Send]&gt;</t>
        </r>
      </text>
    </comment>
    <comment ref="Q143" authorId="0" shapeId="0" xr:uid="{11F15E80-A4EF-4C73-8F0C-61DA442B9AE5}">
      <text>
        <r>
          <rPr>
            <b/>
            <sz val="9"/>
            <color indexed="81"/>
            <rFont val="Tahoma"/>
            <family val="2"/>
          </rPr>
          <t xml:space="preserve"> &lt;[[TCDeals] - [Proxy Entities (Seq: 11)] Last Name - Send]&gt;</t>
        </r>
      </text>
    </comment>
    <comment ref="R143" authorId="0" shapeId="0" xr:uid="{4D80264D-3BFC-4A31-B0EF-7D47DCB518D9}">
      <text>
        <r>
          <rPr>
            <b/>
            <sz val="9"/>
            <color indexed="81"/>
            <rFont val="Tahoma"/>
            <family val="2"/>
          </rPr>
          <t xml:space="preserve"> &lt;[[TCDeals] - [Proxy Entities (Seq: 1)] Email Address 1 - Send]&gt;</t>
        </r>
      </text>
    </comment>
    <comment ref="S143" authorId="0" shapeId="0" xr:uid="{C10E7A77-BEEF-41AC-8501-21F045F04C75}">
      <text>
        <r>
          <rPr>
            <b/>
            <sz val="9"/>
            <color indexed="81"/>
            <rFont val="Tahoma"/>
            <family val="2"/>
          </rPr>
          <t xml:space="preserve"> &lt;[[TCDeals] - [Proxy Entities (Seq: 1)] Address 1 - Send]&gt;</t>
        </r>
      </text>
    </comment>
    <comment ref="T143" authorId="0" shapeId="0" xr:uid="{4D0A76B8-25B8-4CBB-B60D-ACC96447FC7A}">
      <text>
        <r>
          <rPr>
            <b/>
            <sz val="9"/>
            <color indexed="81"/>
            <rFont val="Tahoma"/>
            <family val="2"/>
          </rPr>
          <t xml:space="preserve"> &lt;[[TCDeals] - [Proxy Entities (Seq: 1)] City - Send]&gt;</t>
        </r>
      </text>
    </comment>
    <comment ref="U143" authorId="0" shapeId="0" xr:uid="{1366FF30-C096-4F72-B331-B417D98CCE7D}">
      <text>
        <r>
          <rPr>
            <b/>
            <sz val="9"/>
            <color indexed="81"/>
            <rFont val="Tahoma"/>
            <family val="2"/>
          </rPr>
          <t xml:space="preserve"> &lt;[[TCDeals] - [Proxy Entities (Seq: 1)] State - Send]&gt;</t>
        </r>
      </text>
    </comment>
    <comment ref="V143" authorId="0" shapeId="0" xr:uid="{CF86CF8F-959F-4B21-B9D4-954F6EDE32F6}">
      <text>
        <r>
          <rPr>
            <b/>
            <sz val="9"/>
            <color indexed="81"/>
            <rFont val="Tahoma"/>
            <family val="2"/>
          </rPr>
          <t xml:space="preserve"> &lt;[[TCDeals] - [Proxy Entities (Seq: 1)] Zip Code - Send]&gt;</t>
        </r>
      </text>
    </comment>
    <comment ref="W143" authorId="0" shapeId="0" xr:uid="{26E44CF5-2CAC-4D30-8493-2A0D6BBA8471}">
      <text>
        <r>
          <rPr>
            <b/>
            <sz val="9"/>
            <color indexed="81"/>
            <rFont val="Tahoma"/>
            <family val="2"/>
          </rPr>
          <t xml:space="preserve"> &lt;[[TCDeals] - [Proxy Entities (Seq: 1)] Direct Phone - Send]&gt;</t>
        </r>
      </text>
    </comment>
    <comment ref="AA143" authorId="0" shapeId="0" xr:uid="{B8AFD137-FCE3-44C6-B055-F727928BF3DC}">
      <text>
        <r>
          <rPr>
            <b/>
            <sz val="9"/>
            <color indexed="81"/>
            <rFont val="Tahoma"/>
            <family val="2"/>
          </rPr>
          <t xml:space="preserve"> &lt;[[TCDeals] - [Associated DEV Deal (Seq: 1)] - [Proxy Entities (Seq: 11)] Name (Doing Business As) - Send]&gt;</t>
        </r>
      </text>
    </comment>
    <comment ref="AB143" authorId="0" shapeId="0" xr:uid="{134BC0D0-4D8A-4C8A-ABCE-EEA7B6E5F285}">
      <text>
        <r>
          <rPr>
            <b/>
            <sz val="9"/>
            <color indexed="81"/>
            <rFont val="Tahoma"/>
            <family val="2"/>
          </rPr>
          <t xml:space="preserve"> &lt;[[TCDeals] - [Associated DEV Deal (Seq: 1)] - [Proxy Entities (Seq: 11)] Company or Individual? - Send]&gt;</t>
        </r>
      </text>
    </comment>
    <comment ref="AC143" authorId="0" shapeId="0" xr:uid="{9E2E191E-3139-405B-B683-807372C77DCD}">
      <text>
        <r>
          <rPr>
            <b/>
            <sz val="9"/>
            <color indexed="81"/>
            <rFont val="Tahoma"/>
            <family val="2"/>
          </rPr>
          <t xml:space="preserve"> &lt;[[TCDeals] - [Associated DEV Deal (Seq: 1)] - [Proxy Entities (Seq: 11)] Deal Entity Role - Send]&gt;</t>
        </r>
      </text>
    </comment>
    <comment ref="AD143" authorId="0" shapeId="0" xr:uid="{3DA68D88-EFD4-4BBB-8A59-ABFCEF0E76D3}">
      <text>
        <r>
          <rPr>
            <b/>
            <sz val="9"/>
            <color indexed="81"/>
            <rFont val="Tahoma"/>
            <family val="2"/>
          </rPr>
          <t xml:space="preserve"> &lt;[[TCDeals] - [Associated DEV Deal (Seq: 1)] - [Proxy Entities (Seq: 11)] First Name - Send]&gt;</t>
        </r>
      </text>
    </comment>
    <comment ref="AE143" authorId="0" shapeId="0" xr:uid="{3C8C5E71-714C-4B0D-9E5F-B7830755782F}">
      <text>
        <r>
          <rPr>
            <b/>
            <sz val="9"/>
            <color indexed="81"/>
            <rFont val="Tahoma"/>
            <family val="2"/>
          </rPr>
          <t xml:space="preserve"> &lt;[[TCDeals] - [Associated DEV Deal (Seq: 1)] - [Proxy Entities (Seq: 11)] Last Name - Send]&gt;</t>
        </r>
      </text>
    </comment>
    <comment ref="AF143" authorId="0" shapeId="0" xr:uid="{3EC3E2C0-3580-4E5B-9D56-2689DBCD2F8E}">
      <text>
        <r>
          <rPr>
            <b/>
            <sz val="9"/>
            <color indexed="81"/>
            <rFont val="Tahoma"/>
            <family val="2"/>
          </rPr>
          <t xml:space="preserve"> &lt;[[TCDeals] - [Associated DEV Deal (Seq: 1)] - [Proxy Entities (Seq: 11)] Email Address 1 - Send]&gt;</t>
        </r>
      </text>
    </comment>
    <comment ref="AG143" authorId="0" shapeId="0" xr:uid="{E83A7060-6B53-4388-8DAE-C2F154D0C29B}">
      <text>
        <r>
          <rPr>
            <b/>
            <sz val="9"/>
            <color indexed="81"/>
            <rFont val="Tahoma"/>
            <family val="2"/>
          </rPr>
          <t xml:space="preserve"> &lt;[[TCDeals] - [Associated DEV Deal (Seq: 1)] - [Proxy Entities (Seq: 11)] Address 1 - Send]&gt;</t>
        </r>
      </text>
    </comment>
    <comment ref="AH143" authorId="0" shapeId="0" xr:uid="{B7553219-EFA9-4C24-8B5A-AEE099458186}">
      <text>
        <r>
          <rPr>
            <b/>
            <sz val="9"/>
            <color indexed="81"/>
            <rFont val="Tahoma"/>
            <family val="2"/>
          </rPr>
          <t xml:space="preserve"> &lt;[[TCDeals] - [Associated DEV Deal (Seq: 1)] - [Proxy Entities (Seq: 11)] City - Send]&gt;</t>
        </r>
      </text>
    </comment>
    <comment ref="AI143" authorId="0" shapeId="0" xr:uid="{2312B56B-DDA6-4D8D-8153-DAD8D8E5EA2C}">
      <text>
        <r>
          <rPr>
            <b/>
            <sz val="9"/>
            <color indexed="81"/>
            <rFont val="Tahoma"/>
            <family val="2"/>
          </rPr>
          <t xml:space="preserve"> &lt;[[TCDeals] - [Associated DEV Deal (Seq: 1)] - [Proxy Entities (Seq: 11)] State - Send]&gt;</t>
        </r>
      </text>
    </comment>
    <comment ref="AJ143" authorId="0" shapeId="0" xr:uid="{AF960A96-06EE-4EC6-98B4-6DF8F5C15C27}">
      <text>
        <r>
          <rPr>
            <b/>
            <sz val="9"/>
            <color indexed="81"/>
            <rFont val="Tahoma"/>
            <family val="2"/>
          </rPr>
          <t xml:space="preserve"> &lt;[[TCDeals] - [Associated DEV Deal (Seq: 1)] - [Proxy Entities (Seq: 11)] Zip Code - Send]&gt;</t>
        </r>
      </text>
    </comment>
    <comment ref="AK143" authorId="0" shapeId="0" xr:uid="{59FC2A42-FA2F-498A-9994-5FAFC898D0A9}">
      <text>
        <r>
          <rPr>
            <b/>
            <sz val="9"/>
            <color indexed="81"/>
            <rFont val="Tahoma"/>
            <family val="2"/>
          </rPr>
          <t xml:space="preserve"> &lt;[[TCDeals] - [Associated DEV Deal (Seq: 1)] - [Proxy Entities (Seq: 11)] Direct Phone - Send]&gt;</t>
        </r>
      </text>
    </comment>
    <comment ref="M144" authorId="0" shapeId="0" xr:uid="{4902DA73-7418-4555-B490-53834A512A1B}">
      <text>
        <r>
          <rPr>
            <b/>
            <sz val="9"/>
            <color indexed="81"/>
            <rFont val="Tahoma"/>
            <family val="2"/>
          </rPr>
          <t xml:space="preserve"> &lt;[[TCDeals] - [Proxy Entities (Seq: 1)] Company or Individual? - Send]&gt;</t>
        </r>
      </text>
    </comment>
    <comment ref="N144" authorId="0" shapeId="0" xr:uid="{0C30BB2F-32B3-4A14-A35C-03CD85EBA009}">
      <text>
        <r>
          <rPr>
            <b/>
            <sz val="9"/>
            <color indexed="81"/>
            <rFont val="Tahoma"/>
            <family val="2"/>
          </rPr>
          <t xml:space="preserve"> &lt;[[TCDeals] - [Proxy Entities (Seq: 1)] Deal Entity Role - Send]&gt;</t>
        </r>
      </text>
    </comment>
    <comment ref="O144" authorId="0" shapeId="0" xr:uid="{ECD77490-7053-4F62-A43A-4A41E0CBEDBE}">
      <text>
        <r>
          <rPr>
            <b/>
            <sz val="9"/>
            <color indexed="81"/>
            <rFont val="Tahoma"/>
            <family val="2"/>
          </rPr>
          <t xml:space="preserve"> &lt;[[TCDeals] - [Proxy Entities (Seq: 12)] Name (Doing Business As) - Send]&gt;</t>
        </r>
      </text>
    </comment>
    <comment ref="P144" authorId="0" shapeId="0" xr:uid="{7D1B44E8-2A53-46A4-B6DE-97FC40C98AD1}">
      <text>
        <r>
          <rPr>
            <b/>
            <sz val="9"/>
            <color indexed="81"/>
            <rFont val="Tahoma"/>
            <family val="2"/>
          </rPr>
          <t xml:space="preserve"> &lt;[[TCDeals] - [Proxy Entities (Seq: 12)] First Name - Send]&gt;</t>
        </r>
      </text>
    </comment>
    <comment ref="Q144" authorId="0" shapeId="0" xr:uid="{956452A1-7723-49D9-BCEB-6D6326601C69}">
      <text>
        <r>
          <rPr>
            <b/>
            <sz val="9"/>
            <color indexed="81"/>
            <rFont val="Tahoma"/>
            <family val="2"/>
          </rPr>
          <t xml:space="preserve"> &lt;[[TCDeals] - [Proxy Entities (Seq: 12)] Last Name - Send]&gt;</t>
        </r>
      </text>
    </comment>
    <comment ref="R144" authorId="0" shapeId="0" xr:uid="{1318B024-BFE4-465F-AC5C-FAC72B08E2D4}">
      <text>
        <r>
          <rPr>
            <b/>
            <sz val="9"/>
            <color indexed="81"/>
            <rFont val="Tahoma"/>
            <family val="2"/>
          </rPr>
          <t xml:space="preserve"> &lt;[[TCDeals] - [Proxy Entities (Seq: 1)] Email Address 1 - Send]&gt;</t>
        </r>
      </text>
    </comment>
    <comment ref="S144" authorId="0" shapeId="0" xr:uid="{DD62DC53-A78F-4DEC-BDB0-800E2BD495A6}">
      <text>
        <r>
          <rPr>
            <b/>
            <sz val="9"/>
            <color indexed="81"/>
            <rFont val="Tahoma"/>
            <family val="2"/>
          </rPr>
          <t xml:space="preserve"> &lt;[[TCDeals] - [Proxy Entities (Seq: 1)] Address 1 - Send]&gt;</t>
        </r>
      </text>
    </comment>
    <comment ref="T144" authorId="0" shapeId="0" xr:uid="{9AC6912F-500F-487F-9C5F-86B50751EDAB}">
      <text>
        <r>
          <rPr>
            <b/>
            <sz val="9"/>
            <color indexed="81"/>
            <rFont val="Tahoma"/>
            <family val="2"/>
          </rPr>
          <t xml:space="preserve"> &lt;[[TCDeals] - [Proxy Entities (Seq: 1)] City - Send]&gt;</t>
        </r>
      </text>
    </comment>
    <comment ref="U144" authorId="0" shapeId="0" xr:uid="{601ABB80-8F82-483B-B4B4-597A6E32CF3A}">
      <text>
        <r>
          <rPr>
            <b/>
            <sz val="9"/>
            <color indexed="81"/>
            <rFont val="Tahoma"/>
            <family val="2"/>
          </rPr>
          <t xml:space="preserve"> &lt;[[TCDeals] - [Proxy Entities (Seq: 1)] State - Send]&gt;</t>
        </r>
      </text>
    </comment>
    <comment ref="V144" authorId="0" shapeId="0" xr:uid="{51A0A3E9-1E15-49DB-85D3-686A88A27B40}">
      <text>
        <r>
          <rPr>
            <b/>
            <sz val="9"/>
            <color indexed="81"/>
            <rFont val="Tahoma"/>
            <family val="2"/>
          </rPr>
          <t xml:space="preserve"> &lt;[[TCDeals] - [Proxy Entities (Seq: 1)] Zip Code - Send]&gt;</t>
        </r>
      </text>
    </comment>
    <comment ref="W144" authorId="0" shapeId="0" xr:uid="{C844E638-50EE-4A7F-92F6-9892E613E179}">
      <text>
        <r>
          <rPr>
            <b/>
            <sz val="9"/>
            <color indexed="81"/>
            <rFont val="Tahoma"/>
            <family val="2"/>
          </rPr>
          <t xml:space="preserve"> &lt;[[TCDeals] - [Proxy Entities (Seq: 1)] Direct Phone - Send]&gt;</t>
        </r>
      </text>
    </comment>
    <comment ref="AA144" authorId="0" shapeId="0" xr:uid="{4323FBF9-F886-4448-877B-D3C24CA3CF27}">
      <text>
        <r>
          <rPr>
            <b/>
            <sz val="9"/>
            <color indexed="81"/>
            <rFont val="Tahoma"/>
            <family val="2"/>
          </rPr>
          <t xml:space="preserve"> &lt;[[TCDeals] - [Associated DEV Deal (Seq: 1)] - [Proxy Entities (Seq: 12)] Name (Doing Business As) - Send]&gt;</t>
        </r>
      </text>
    </comment>
    <comment ref="AB144" authorId="0" shapeId="0" xr:uid="{525B8D92-4AB5-4CA2-B397-6898149354F3}">
      <text>
        <r>
          <rPr>
            <b/>
            <sz val="9"/>
            <color indexed="81"/>
            <rFont val="Tahoma"/>
            <family val="2"/>
          </rPr>
          <t xml:space="preserve"> &lt;[[TCDeals] - [Associated DEV Deal (Seq: 1)] - [Proxy Entities (Seq: 12)] Company or Individual? - Send]&gt;</t>
        </r>
      </text>
    </comment>
    <comment ref="AC144" authorId="0" shapeId="0" xr:uid="{3F4AAC29-7856-400B-95B6-6AC77B20BAF6}">
      <text>
        <r>
          <rPr>
            <b/>
            <sz val="9"/>
            <color indexed="81"/>
            <rFont val="Tahoma"/>
            <family val="2"/>
          </rPr>
          <t xml:space="preserve"> &lt;[[TCDeals] - [Associated DEV Deal (Seq: 1)] - [Proxy Entities (Seq: 12)] Deal Entity Role - Send]&gt;</t>
        </r>
      </text>
    </comment>
    <comment ref="AD144" authorId="0" shapeId="0" xr:uid="{DD310CDB-0364-4AF8-924E-C94252B9F01B}">
      <text>
        <r>
          <rPr>
            <b/>
            <sz val="9"/>
            <color indexed="81"/>
            <rFont val="Tahoma"/>
            <family val="2"/>
          </rPr>
          <t xml:space="preserve"> &lt;[[TCDeals] - [Associated DEV Deal (Seq: 1)] - [Proxy Entities (Seq: 12)] First Name - Send]&gt;</t>
        </r>
      </text>
    </comment>
    <comment ref="AE144" authorId="0" shapeId="0" xr:uid="{E45AFF5B-BB86-4B0F-9A36-BDAF6F17D2C3}">
      <text>
        <r>
          <rPr>
            <b/>
            <sz val="9"/>
            <color indexed="81"/>
            <rFont val="Tahoma"/>
            <family val="2"/>
          </rPr>
          <t xml:space="preserve"> &lt;[[TCDeals] - [Associated DEV Deal (Seq: 1)] - [Proxy Entities (Seq: 12)] Last Name - Send]&gt;</t>
        </r>
      </text>
    </comment>
    <comment ref="AF144" authorId="0" shapeId="0" xr:uid="{7D86F6BA-3A34-4E71-8F2C-7ED04D508965}">
      <text>
        <r>
          <rPr>
            <b/>
            <sz val="9"/>
            <color indexed="81"/>
            <rFont val="Tahoma"/>
            <family val="2"/>
          </rPr>
          <t xml:space="preserve"> &lt;[[TCDeals] - [Associated DEV Deal (Seq: 1)] - [Proxy Entities (Seq: 12)] Email Address 1 - Send]&gt;</t>
        </r>
      </text>
    </comment>
    <comment ref="AG144" authorId="0" shapeId="0" xr:uid="{4DD7A508-7F43-4BCE-96F1-2AD46B53903B}">
      <text>
        <r>
          <rPr>
            <b/>
            <sz val="9"/>
            <color indexed="81"/>
            <rFont val="Tahoma"/>
            <family val="2"/>
          </rPr>
          <t xml:space="preserve"> &lt;[[TCDeals] - [Associated DEV Deal (Seq: 1)] - [Proxy Entities (Seq: 12)] Address 1 - Send]&gt;</t>
        </r>
      </text>
    </comment>
    <comment ref="AH144" authorId="0" shapeId="0" xr:uid="{5A69C5D6-ED6F-4AB0-B38E-2F971E1CCF39}">
      <text>
        <r>
          <rPr>
            <b/>
            <sz val="9"/>
            <color indexed="81"/>
            <rFont val="Tahoma"/>
            <family val="2"/>
          </rPr>
          <t xml:space="preserve"> &lt;[[TCDeals] - [Associated DEV Deal (Seq: 1)] - [Proxy Entities (Seq: 12)] City - Send]&gt;</t>
        </r>
      </text>
    </comment>
    <comment ref="AI144" authorId="0" shapeId="0" xr:uid="{5FC2E4C2-7FFD-4697-AB3F-D7BE551ABA18}">
      <text>
        <r>
          <rPr>
            <b/>
            <sz val="9"/>
            <color indexed="81"/>
            <rFont val="Tahoma"/>
            <family val="2"/>
          </rPr>
          <t xml:space="preserve"> &lt;[[TCDeals] - [Associated DEV Deal (Seq: 1)] - [Proxy Entities (Seq: 12)] State - Send]&gt;</t>
        </r>
      </text>
    </comment>
    <comment ref="AJ144" authorId="0" shapeId="0" xr:uid="{539F57F5-3088-4396-9077-3A791B5F5D1A}">
      <text>
        <r>
          <rPr>
            <b/>
            <sz val="9"/>
            <color indexed="81"/>
            <rFont val="Tahoma"/>
            <family val="2"/>
          </rPr>
          <t xml:space="preserve"> &lt;[[TCDeals] - [Associated DEV Deal (Seq: 1)] - [Proxy Entities (Seq: 12)] Zip Code - Send]&gt;</t>
        </r>
      </text>
    </comment>
    <comment ref="AK144" authorId="0" shapeId="0" xr:uid="{5248252D-D9B1-4708-8C72-15114EE21081}">
      <text>
        <r>
          <rPr>
            <b/>
            <sz val="9"/>
            <color indexed="81"/>
            <rFont val="Tahoma"/>
            <family val="2"/>
          </rPr>
          <t xml:space="preserve"> &lt;[[TCDeals] - [Associated DEV Deal (Seq: 1)] - [Proxy Entities (Seq: 12)] Direct Phone - Send]&gt;</t>
        </r>
      </text>
    </comment>
    <comment ref="M145" authorId="0" shapeId="0" xr:uid="{7BC88F0C-212C-4777-9CB7-BDD7FDD52E55}">
      <text>
        <r>
          <rPr>
            <b/>
            <sz val="9"/>
            <color indexed="81"/>
            <rFont val="Tahoma"/>
            <family val="2"/>
          </rPr>
          <t xml:space="preserve"> &lt;[[TCDeals] - [Proxy Entities (Seq: 1)] Company or Individual? - Send]&gt;</t>
        </r>
      </text>
    </comment>
    <comment ref="N145" authorId="0" shapeId="0" xr:uid="{31C49ABA-441B-4CCF-936F-9EE98E5CF982}">
      <text>
        <r>
          <rPr>
            <b/>
            <sz val="9"/>
            <color indexed="81"/>
            <rFont val="Tahoma"/>
            <family val="2"/>
          </rPr>
          <t xml:space="preserve"> &lt;[[TCDeals] - [Proxy Entities (Seq: 1)] Deal Entity Role - Send]&gt;</t>
        </r>
      </text>
    </comment>
    <comment ref="O145" authorId="0" shapeId="0" xr:uid="{EB967F4B-3AE1-42B6-8DAC-1F08D783885F}">
      <text>
        <r>
          <rPr>
            <b/>
            <sz val="9"/>
            <color indexed="81"/>
            <rFont val="Tahoma"/>
            <family val="2"/>
          </rPr>
          <t xml:space="preserve"> &lt;[[TCDeals] - [Proxy Entities (Seq: 13)] Name (Doing Business As) - Send]&gt;</t>
        </r>
      </text>
    </comment>
    <comment ref="P145" authorId="0" shapeId="0" xr:uid="{3A6535DB-F308-43E5-9033-ED05297948CE}">
      <text>
        <r>
          <rPr>
            <b/>
            <sz val="9"/>
            <color indexed="81"/>
            <rFont val="Tahoma"/>
            <family val="2"/>
          </rPr>
          <t xml:space="preserve"> &lt;[[TCDeals] - [Proxy Entities (Seq: 13)] First Name - Send]&gt;</t>
        </r>
      </text>
    </comment>
    <comment ref="Q145" authorId="0" shapeId="0" xr:uid="{AEA47C77-19F1-41CB-BEA4-CE3D30C67B6E}">
      <text>
        <r>
          <rPr>
            <b/>
            <sz val="9"/>
            <color indexed="81"/>
            <rFont val="Tahoma"/>
            <family val="2"/>
          </rPr>
          <t xml:space="preserve"> &lt;[[TCDeals] - [Proxy Entities (Seq: 13)] Last Name - Send]&gt;</t>
        </r>
      </text>
    </comment>
    <comment ref="R145" authorId="0" shapeId="0" xr:uid="{663996F1-1C0A-49BF-A070-0D97FA0A2689}">
      <text>
        <r>
          <rPr>
            <b/>
            <sz val="9"/>
            <color indexed="81"/>
            <rFont val="Tahoma"/>
            <family val="2"/>
          </rPr>
          <t xml:space="preserve"> &lt;[[TCDeals] - [Proxy Entities (Seq: 1)] Email Address 1 - Send]&gt;</t>
        </r>
      </text>
    </comment>
    <comment ref="S145" authorId="0" shapeId="0" xr:uid="{8AB1F9AF-7F03-48F1-9CA4-E8EA4B672964}">
      <text>
        <r>
          <rPr>
            <b/>
            <sz val="9"/>
            <color indexed="81"/>
            <rFont val="Tahoma"/>
            <family val="2"/>
          </rPr>
          <t xml:space="preserve"> &lt;[[TCDeals] - [Proxy Entities (Seq: 1)] Address 1 - Send]&gt;</t>
        </r>
      </text>
    </comment>
    <comment ref="T145" authorId="0" shapeId="0" xr:uid="{91A4CD1F-4EBD-45A4-BB8C-7B326674FA19}">
      <text>
        <r>
          <rPr>
            <b/>
            <sz val="9"/>
            <color indexed="81"/>
            <rFont val="Tahoma"/>
            <family val="2"/>
          </rPr>
          <t xml:space="preserve"> &lt;[[TCDeals] - [Proxy Entities (Seq: 1)] City - Send]&gt;</t>
        </r>
      </text>
    </comment>
    <comment ref="U145" authorId="0" shapeId="0" xr:uid="{6CBE4E82-4CAE-46CF-8EC4-D76CE3559416}">
      <text>
        <r>
          <rPr>
            <b/>
            <sz val="9"/>
            <color indexed="81"/>
            <rFont val="Tahoma"/>
            <family val="2"/>
          </rPr>
          <t xml:space="preserve"> &lt;[[TCDeals] - [Proxy Entities (Seq: 1)] State - Send]&gt;</t>
        </r>
      </text>
    </comment>
    <comment ref="V145" authorId="0" shapeId="0" xr:uid="{D6E8EA1C-DFAA-48CC-A1F7-0BCBE0184684}">
      <text>
        <r>
          <rPr>
            <b/>
            <sz val="9"/>
            <color indexed="81"/>
            <rFont val="Tahoma"/>
            <family val="2"/>
          </rPr>
          <t xml:space="preserve"> &lt;[[TCDeals] - [Proxy Entities (Seq: 1)] Zip Code - Send]&gt;</t>
        </r>
      </text>
    </comment>
    <comment ref="W145" authorId="0" shapeId="0" xr:uid="{3D7D13B6-EB03-4D31-9997-F7BC3A8CC9EA}">
      <text>
        <r>
          <rPr>
            <b/>
            <sz val="9"/>
            <color indexed="81"/>
            <rFont val="Tahoma"/>
            <family val="2"/>
          </rPr>
          <t xml:space="preserve"> &lt;[[TCDeals] - [Proxy Entities (Seq: 1)] Direct Phone - Send]&gt;</t>
        </r>
      </text>
    </comment>
    <comment ref="AA145" authorId="0" shapeId="0" xr:uid="{B2126662-A294-47E9-BA5D-538A28312C1D}">
      <text>
        <r>
          <rPr>
            <b/>
            <sz val="9"/>
            <color indexed="81"/>
            <rFont val="Tahoma"/>
            <family val="2"/>
          </rPr>
          <t xml:space="preserve"> &lt;[[TCDeals] - [Associated DEV Deal (Seq: 1)] - [Proxy Entities (Seq: 13)] Name (Doing Business As) - Send]&gt;</t>
        </r>
      </text>
    </comment>
    <comment ref="AB145" authorId="0" shapeId="0" xr:uid="{66BFA751-AE5E-485C-B442-472805A3168E}">
      <text>
        <r>
          <rPr>
            <b/>
            <sz val="9"/>
            <color indexed="81"/>
            <rFont val="Tahoma"/>
            <family val="2"/>
          </rPr>
          <t xml:space="preserve"> &lt;[[TCDeals] - [Associated DEV Deal (Seq: 1)] - [Proxy Entities (Seq: 13)] Company or Individual? - Send]&gt;</t>
        </r>
      </text>
    </comment>
    <comment ref="AC145" authorId="0" shapeId="0" xr:uid="{80723994-FBB2-48FF-B2F3-297B30C5BBB5}">
      <text>
        <r>
          <rPr>
            <b/>
            <sz val="9"/>
            <color indexed="81"/>
            <rFont val="Tahoma"/>
            <family val="2"/>
          </rPr>
          <t xml:space="preserve"> &lt;[[TCDeals] - [Associated DEV Deal (Seq: 1)] - [Proxy Entities (Seq: 13)] Deal Entity Role - Send]&gt;</t>
        </r>
      </text>
    </comment>
    <comment ref="AD145" authorId="0" shapeId="0" xr:uid="{375ACE09-46C9-4E82-9D7D-45E58AE49BE7}">
      <text>
        <r>
          <rPr>
            <b/>
            <sz val="9"/>
            <color indexed="81"/>
            <rFont val="Tahoma"/>
            <family val="2"/>
          </rPr>
          <t xml:space="preserve"> &lt;[[TCDeals] - [Associated DEV Deal (Seq: 1)] - [Proxy Entities (Seq: 13)] First Name - Send]&gt;</t>
        </r>
      </text>
    </comment>
    <comment ref="AE145" authorId="0" shapeId="0" xr:uid="{5EA212B5-B307-4B46-8C68-9684338E1093}">
      <text>
        <r>
          <rPr>
            <b/>
            <sz val="9"/>
            <color indexed="81"/>
            <rFont val="Tahoma"/>
            <family val="2"/>
          </rPr>
          <t xml:space="preserve"> &lt;[[TCDeals] - [Associated DEV Deal (Seq: 1)] - [Proxy Entities (Seq: 13)] Last Name - Send]&gt;</t>
        </r>
      </text>
    </comment>
    <comment ref="AF145" authorId="0" shapeId="0" xr:uid="{CBB15D22-6B34-408E-912D-4FD05A813E51}">
      <text>
        <r>
          <rPr>
            <b/>
            <sz val="9"/>
            <color indexed="81"/>
            <rFont val="Tahoma"/>
            <family val="2"/>
          </rPr>
          <t xml:space="preserve"> &lt;[[TCDeals] - [Associated DEV Deal (Seq: 1)] - [Proxy Entities (Seq: 13)] Email Address 1 - Send]&gt;</t>
        </r>
      </text>
    </comment>
    <comment ref="AG145" authorId="0" shapeId="0" xr:uid="{D2D9C636-7A73-472C-BEFB-0738C3CCF6A4}">
      <text>
        <r>
          <rPr>
            <b/>
            <sz val="9"/>
            <color indexed="81"/>
            <rFont val="Tahoma"/>
            <family val="2"/>
          </rPr>
          <t xml:space="preserve"> &lt;[[TCDeals] - [Associated DEV Deal (Seq: 1)] - [Proxy Entities (Seq: 13)] Address 1 - Send]&gt;</t>
        </r>
      </text>
    </comment>
    <comment ref="AH145" authorId="0" shapeId="0" xr:uid="{4C8A2327-0B61-491B-8427-4CB2AA6CE47A}">
      <text>
        <r>
          <rPr>
            <b/>
            <sz val="9"/>
            <color indexed="81"/>
            <rFont val="Tahoma"/>
            <family val="2"/>
          </rPr>
          <t xml:space="preserve"> &lt;[[TCDeals] - [Associated DEV Deal (Seq: 1)] - [Proxy Entities (Seq: 13)] City - Send]&gt;</t>
        </r>
      </text>
    </comment>
    <comment ref="AI145" authorId="0" shapeId="0" xr:uid="{E9E3E4CC-1BED-4737-AD61-39812B538025}">
      <text>
        <r>
          <rPr>
            <b/>
            <sz val="9"/>
            <color indexed="81"/>
            <rFont val="Tahoma"/>
            <family val="2"/>
          </rPr>
          <t xml:space="preserve"> &lt;[[TCDeals] - [Associated DEV Deal (Seq: 1)] - [Proxy Entities (Seq: 13)] State - Send]&gt;</t>
        </r>
      </text>
    </comment>
    <comment ref="AJ145" authorId="0" shapeId="0" xr:uid="{7C68B8E5-A838-4D07-960D-74CB2AB8E4D4}">
      <text>
        <r>
          <rPr>
            <b/>
            <sz val="9"/>
            <color indexed="81"/>
            <rFont val="Tahoma"/>
            <family val="2"/>
          </rPr>
          <t xml:space="preserve"> &lt;[[TCDeals] - [Associated DEV Deal (Seq: 1)] - [Proxy Entities (Seq: 13)] Zip Code - Send]&gt;</t>
        </r>
      </text>
    </comment>
    <comment ref="AK145" authorId="0" shapeId="0" xr:uid="{71CC6549-15D4-4AD7-B3C7-AECEEFEFC39A}">
      <text>
        <r>
          <rPr>
            <b/>
            <sz val="9"/>
            <color indexed="81"/>
            <rFont val="Tahoma"/>
            <family val="2"/>
          </rPr>
          <t xml:space="preserve"> &lt;[[TCDeals] - [Associated DEV Deal (Seq: 1)] - [Proxy Entities (Seq: 13)] Direct Phone - Send]&gt;</t>
        </r>
      </text>
    </comment>
    <comment ref="M146" authorId="0" shapeId="0" xr:uid="{8035E5BF-2F4B-491F-8383-E2C2840CA814}">
      <text>
        <r>
          <rPr>
            <b/>
            <sz val="9"/>
            <color indexed="81"/>
            <rFont val="Tahoma"/>
            <family val="2"/>
          </rPr>
          <t xml:space="preserve"> &lt;[[TCDeals] - [Proxy Entities (Seq: 1)] Company or Individual? - Send]&gt;</t>
        </r>
      </text>
    </comment>
    <comment ref="N146" authorId="0" shapeId="0" xr:uid="{DC11D99C-9B8A-424D-95C1-3DBD7C40A718}">
      <text>
        <r>
          <rPr>
            <b/>
            <sz val="9"/>
            <color indexed="81"/>
            <rFont val="Tahoma"/>
            <family val="2"/>
          </rPr>
          <t xml:space="preserve"> &lt;[[TCDeals] - [Proxy Entities (Seq: 1)] Deal Entity Role - Send]&gt;</t>
        </r>
      </text>
    </comment>
    <comment ref="O146" authorId="0" shapeId="0" xr:uid="{A086D12F-017D-4C29-B63A-F0E84025A100}">
      <text>
        <r>
          <rPr>
            <b/>
            <sz val="9"/>
            <color indexed="81"/>
            <rFont val="Tahoma"/>
            <family val="2"/>
          </rPr>
          <t xml:space="preserve"> &lt;[[TCDeals] - [Proxy Entities (Seq: 14)] Name (Doing Business As) - Send]&gt;</t>
        </r>
      </text>
    </comment>
    <comment ref="P146" authorId="0" shapeId="0" xr:uid="{A7D0A4D0-7DF7-4DDB-8104-C9B133A39FFD}">
      <text>
        <r>
          <rPr>
            <b/>
            <sz val="9"/>
            <color indexed="81"/>
            <rFont val="Tahoma"/>
            <family val="2"/>
          </rPr>
          <t xml:space="preserve"> &lt;[[TCDeals] - [Proxy Entities (Seq: 14)] First Name - Send]&gt;</t>
        </r>
      </text>
    </comment>
    <comment ref="Q146" authorId="0" shapeId="0" xr:uid="{43DA81DD-6A78-46F4-B0BC-186561E87055}">
      <text>
        <r>
          <rPr>
            <b/>
            <sz val="9"/>
            <color indexed="81"/>
            <rFont val="Tahoma"/>
            <family val="2"/>
          </rPr>
          <t xml:space="preserve"> &lt;[[TCDeals] - [Proxy Entities (Seq: 14)] Last Name - Send]&gt;</t>
        </r>
      </text>
    </comment>
    <comment ref="R146" authorId="0" shapeId="0" xr:uid="{07CB06D6-4F0F-43BD-BA34-46506D609F14}">
      <text>
        <r>
          <rPr>
            <b/>
            <sz val="9"/>
            <color indexed="81"/>
            <rFont val="Tahoma"/>
            <family val="2"/>
          </rPr>
          <t xml:space="preserve"> &lt;[[TCDeals] - [Proxy Entities (Seq: 1)] Email Address 1 - Send]&gt;</t>
        </r>
      </text>
    </comment>
    <comment ref="S146" authorId="0" shapeId="0" xr:uid="{AA3EF75D-06A1-457B-B190-D04D21D2FC79}">
      <text>
        <r>
          <rPr>
            <b/>
            <sz val="9"/>
            <color indexed="81"/>
            <rFont val="Tahoma"/>
            <family val="2"/>
          </rPr>
          <t xml:space="preserve"> &lt;[[TCDeals] - [Proxy Entities (Seq: 1)] Address 1 - Send]&gt;</t>
        </r>
      </text>
    </comment>
    <comment ref="T146" authorId="0" shapeId="0" xr:uid="{188E0557-91EE-488F-AAAD-47D4E40E26F0}">
      <text>
        <r>
          <rPr>
            <b/>
            <sz val="9"/>
            <color indexed="81"/>
            <rFont val="Tahoma"/>
            <family val="2"/>
          </rPr>
          <t xml:space="preserve"> &lt;[[TCDeals] - [Proxy Entities (Seq: 1)] City - Send]&gt;</t>
        </r>
      </text>
    </comment>
    <comment ref="U146" authorId="0" shapeId="0" xr:uid="{E1B4695D-DBE3-4E39-A59D-C9DDE7C0B298}">
      <text>
        <r>
          <rPr>
            <b/>
            <sz val="9"/>
            <color indexed="81"/>
            <rFont val="Tahoma"/>
            <family val="2"/>
          </rPr>
          <t xml:space="preserve"> &lt;[[TCDeals] - [Proxy Entities (Seq: 1)] State - Send]&gt;</t>
        </r>
      </text>
    </comment>
    <comment ref="V146" authorId="0" shapeId="0" xr:uid="{C673DE84-18DE-4F84-AAFC-246B9657BB8E}">
      <text>
        <r>
          <rPr>
            <b/>
            <sz val="9"/>
            <color indexed="81"/>
            <rFont val="Tahoma"/>
            <family val="2"/>
          </rPr>
          <t xml:space="preserve"> &lt;[[TCDeals] - [Proxy Entities (Seq: 1)] Zip Code - Send]&gt;</t>
        </r>
      </text>
    </comment>
    <comment ref="W146" authorId="0" shapeId="0" xr:uid="{46F459C9-CCBF-416D-9D97-2735A0BA35BD}">
      <text>
        <r>
          <rPr>
            <b/>
            <sz val="9"/>
            <color indexed="81"/>
            <rFont val="Tahoma"/>
            <family val="2"/>
          </rPr>
          <t xml:space="preserve"> &lt;[[TCDeals] - [Proxy Entities (Seq: 1)] Direct Phone - Send]&gt;</t>
        </r>
      </text>
    </comment>
    <comment ref="AA146" authorId="0" shapeId="0" xr:uid="{E91179DD-284B-42DD-958E-86518B5C4DA8}">
      <text>
        <r>
          <rPr>
            <b/>
            <sz val="9"/>
            <color indexed="81"/>
            <rFont val="Tahoma"/>
            <family val="2"/>
          </rPr>
          <t xml:space="preserve"> &lt;[[TCDeals] - [Associated DEV Deal (Seq: 1)] - [Proxy Entities (Seq: 14)] Name (Doing Business As) - Send]&gt;</t>
        </r>
      </text>
    </comment>
    <comment ref="AB146" authorId="0" shapeId="0" xr:uid="{AB7970BF-06F6-4791-AEA6-A81C8F510965}">
      <text>
        <r>
          <rPr>
            <b/>
            <sz val="9"/>
            <color indexed="81"/>
            <rFont val="Tahoma"/>
            <family val="2"/>
          </rPr>
          <t xml:space="preserve"> &lt;[[TCDeals] - [Associated DEV Deal (Seq: 1)] - [Proxy Entities (Seq: 14)] Company or Individual? - Send]&gt;</t>
        </r>
      </text>
    </comment>
    <comment ref="AC146" authorId="0" shapeId="0" xr:uid="{7BE4A8D3-7C37-4D05-BFEF-03E32ECAACDA}">
      <text>
        <r>
          <rPr>
            <b/>
            <sz val="9"/>
            <color indexed="81"/>
            <rFont val="Tahoma"/>
            <family val="2"/>
          </rPr>
          <t xml:space="preserve"> &lt;[[TCDeals] - [Associated DEV Deal (Seq: 1)] - [Proxy Entities (Seq: 14)] Deal Entity Role - Send]&gt;</t>
        </r>
      </text>
    </comment>
    <comment ref="AD146" authorId="0" shapeId="0" xr:uid="{B1E72FF1-BC70-4B83-B20A-54C586F4D972}">
      <text>
        <r>
          <rPr>
            <b/>
            <sz val="9"/>
            <color indexed="81"/>
            <rFont val="Tahoma"/>
            <family val="2"/>
          </rPr>
          <t xml:space="preserve"> &lt;[[TCDeals] - [Associated DEV Deal (Seq: 1)] - [Proxy Entities (Seq: 14)] First Name - Send]&gt;</t>
        </r>
      </text>
    </comment>
    <comment ref="AE146" authorId="0" shapeId="0" xr:uid="{4DEB9A8E-7139-455C-A711-7EEA8F5A6895}">
      <text>
        <r>
          <rPr>
            <b/>
            <sz val="9"/>
            <color indexed="81"/>
            <rFont val="Tahoma"/>
            <family val="2"/>
          </rPr>
          <t xml:space="preserve"> &lt;[[TCDeals] - [Associated DEV Deal (Seq: 1)] - [Proxy Entities (Seq: 14)] Last Name - Send]&gt;</t>
        </r>
      </text>
    </comment>
    <comment ref="AF146" authorId="0" shapeId="0" xr:uid="{870AEDD1-CAF6-40D2-A902-ED2637FF79CB}">
      <text>
        <r>
          <rPr>
            <b/>
            <sz val="9"/>
            <color indexed="81"/>
            <rFont val="Tahoma"/>
            <family val="2"/>
          </rPr>
          <t xml:space="preserve"> &lt;[[TCDeals] - [Associated DEV Deal (Seq: 1)] - [Proxy Entities (Seq: 14)] Email Address 1 - Send]&gt;</t>
        </r>
      </text>
    </comment>
    <comment ref="AG146" authorId="0" shapeId="0" xr:uid="{2664901A-6996-4C6E-A350-D69B69D21D8B}">
      <text>
        <r>
          <rPr>
            <b/>
            <sz val="9"/>
            <color indexed="81"/>
            <rFont val="Tahoma"/>
            <family val="2"/>
          </rPr>
          <t xml:space="preserve"> &lt;[[TCDeals] - [Associated DEV Deal (Seq: 1)] - [Proxy Entities (Seq: 14)] Address 1 - Send]&gt;</t>
        </r>
      </text>
    </comment>
    <comment ref="AH146" authorId="0" shapeId="0" xr:uid="{6EF484F9-D9F5-4BB4-9B5D-8FED75029B63}">
      <text>
        <r>
          <rPr>
            <b/>
            <sz val="9"/>
            <color indexed="81"/>
            <rFont val="Tahoma"/>
            <family val="2"/>
          </rPr>
          <t xml:space="preserve"> &lt;[[TCDeals] - [Associated DEV Deal (Seq: 1)] - [Proxy Entities (Seq: 14)] City - Send]&gt;</t>
        </r>
      </text>
    </comment>
    <comment ref="AI146" authorId="0" shapeId="0" xr:uid="{C5DDCADA-6B41-4A2A-8171-F1A36C1B1943}">
      <text>
        <r>
          <rPr>
            <b/>
            <sz val="9"/>
            <color indexed="81"/>
            <rFont val="Tahoma"/>
            <family val="2"/>
          </rPr>
          <t xml:space="preserve"> &lt;[[TCDeals] - [Associated DEV Deal (Seq: 1)] - [Proxy Entities (Seq: 14)] State - Send]&gt;</t>
        </r>
      </text>
    </comment>
    <comment ref="AJ146" authorId="0" shapeId="0" xr:uid="{BB8335B6-B26B-4BC0-8A9B-39E9FBDF4D5A}">
      <text>
        <r>
          <rPr>
            <b/>
            <sz val="9"/>
            <color indexed="81"/>
            <rFont val="Tahoma"/>
            <family val="2"/>
          </rPr>
          <t xml:space="preserve"> &lt;[[TCDeals] - [Associated DEV Deal (Seq: 1)] - [Proxy Entities (Seq: 14)] Zip Code - Send]&gt;</t>
        </r>
      </text>
    </comment>
    <comment ref="AK146" authorId="0" shapeId="0" xr:uid="{68409FB7-3B0B-4509-BB90-03440B8F246B}">
      <text>
        <r>
          <rPr>
            <b/>
            <sz val="9"/>
            <color indexed="81"/>
            <rFont val="Tahoma"/>
            <family val="2"/>
          </rPr>
          <t xml:space="preserve"> &lt;[[TCDeals] - [Associated DEV Deal (Seq: 1)] - [Proxy Entities (Seq: 14)] Direct Phone - Send]&gt;</t>
        </r>
      </text>
    </comment>
    <comment ref="M147" authorId="0" shapeId="0" xr:uid="{540FAF22-F0A3-4590-93AF-E4097121B726}">
      <text>
        <r>
          <rPr>
            <b/>
            <sz val="9"/>
            <color indexed="81"/>
            <rFont val="Tahoma"/>
            <family val="2"/>
          </rPr>
          <t xml:space="preserve"> &lt;[[TCDeals] - [Proxy Entities (Seq: 1)] Company or Individual? - Send]&gt;</t>
        </r>
      </text>
    </comment>
    <comment ref="N147" authorId="0" shapeId="0" xr:uid="{BCCF0175-D55C-4214-97E8-2588C93DBC63}">
      <text>
        <r>
          <rPr>
            <b/>
            <sz val="9"/>
            <color indexed="81"/>
            <rFont val="Tahoma"/>
            <family val="2"/>
          </rPr>
          <t xml:space="preserve"> &lt;[[TCDeals] - [Proxy Entities (Seq: 1)] Deal Entity Role - Send]&gt;</t>
        </r>
      </text>
    </comment>
    <comment ref="O147" authorId="0" shapeId="0" xr:uid="{0E426639-9165-4692-9B8E-00444B760E90}">
      <text>
        <r>
          <rPr>
            <b/>
            <sz val="9"/>
            <color indexed="81"/>
            <rFont val="Tahoma"/>
            <family val="2"/>
          </rPr>
          <t xml:space="preserve"> &lt;[[TCDeals] - [Proxy Entities (Seq: 15)] Name (Doing Business As) - Send]&gt;</t>
        </r>
      </text>
    </comment>
    <comment ref="P147" authorId="0" shapeId="0" xr:uid="{CCBC2B15-342C-460F-BE32-C5D04A09A0F3}">
      <text>
        <r>
          <rPr>
            <b/>
            <sz val="9"/>
            <color indexed="81"/>
            <rFont val="Tahoma"/>
            <family val="2"/>
          </rPr>
          <t xml:space="preserve"> &lt;[[TCDeals] - [Proxy Entities (Seq: 15)] First Name - Send]&gt;</t>
        </r>
      </text>
    </comment>
    <comment ref="Q147" authorId="0" shapeId="0" xr:uid="{93508D81-6E42-4696-8226-1AEE4FF7131C}">
      <text>
        <r>
          <rPr>
            <b/>
            <sz val="9"/>
            <color indexed="81"/>
            <rFont val="Tahoma"/>
            <family val="2"/>
          </rPr>
          <t xml:space="preserve"> &lt;[[TCDeals] - [Proxy Entities (Seq: 15)] Last Name - Send]&gt;</t>
        </r>
      </text>
    </comment>
    <comment ref="R147" authorId="0" shapeId="0" xr:uid="{AF884F86-8AC4-4759-BB55-70943ADC79D5}">
      <text>
        <r>
          <rPr>
            <b/>
            <sz val="9"/>
            <color indexed="81"/>
            <rFont val="Tahoma"/>
            <family val="2"/>
          </rPr>
          <t xml:space="preserve"> &lt;[[TCDeals] - [Proxy Entities (Seq: 1)] Email Address 1 - Send]&gt;</t>
        </r>
      </text>
    </comment>
    <comment ref="S147" authorId="0" shapeId="0" xr:uid="{9254CA16-92CB-4689-A5FE-72391CBF15C4}">
      <text>
        <r>
          <rPr>
            <b/>
            <sz val="9"/>
            <color indexed="81"/>
            <rFont val="Tahoma"/>
            <family val="2"/>
          </rPr>
          <t xml:space="preserve"> &lt;[[TCDeals] - [Proxy Entities (Seq: 1)] Address 1 - Send]&gt;</t>
        </r>
      </text>
    </comment>
    <comment ref="T147" authorId="0" shapeId="0" xr:uid="{4C8A32D1-EFC4-45E0-AE9D-DD7D8EFE7143}">
      <text>
        <r>
          <rPr>
            <b/>
            <sz val="9"/>
            <color indexed="81"/>
            <rFont val="Tahoma"/>
            <family val="2"/>
          </rPr>
          <t xml:space="preserve"> &lt;[[TCDeals] - [Proxy Entities (Seq: 1)] City - Send]&gt;</t>
        </r>
      </text>
    </comment>
    <comment ref="U147" authorId="0" shapeId="0" xr:uid="{41972617-E588-4739-8118-31D925A53101}">
      <text>
        <r>
          <rPr>
            <b/>
            <sz val="9"/>
            <color indexed="81"/>
            <rFont val="Tahoma"/>
            <family val="2"/>
          </rPr>
          <t xml:space="preserve"> &lt;[[TCDeals] - [Proxy Entities (Seq: 1)] State - Send]&gt;</t>
        </r>
      </text>
    </comment>
    <comment ref="V147" authorId="0" shapeId="0" xr:uid="{7AFB91D6-4CF0-42D4-A96A-505E60B06102}">
      <text>
        <r>
          <rPr>
            <b/>
            <sz val="9"/>
            <color indexed="81"/>
            <rFont val="Tahoma"/>
            <family val="2"/>
          </rPr>
          <t xml:space="preserve"> &lt;[[TCDeals] - [Proxy Entities (Seq: 1)] Zip Code - Send]&gt;</t>
        </r>
      </text>
    </comment>
    <comment ref="W147" authorId="0" shapeId="0" xr:uid="{6619E803-2450-432B-9E93-0B13595AF117}">
      <text>
        <r>
          <rPr>
            <b/>
            <sz val="9"/>
            <color indexed="81"/>
            <rFont val="Tahoma"/>
            <family val="2"/>
          </rPr>
          <t xml:space="preserve"> &lt;[[TCDeals] - [Proxy Entities (Seq: 1)] Direct Phone - Send]&gt;</t>
        </r>
      </text>
    </comment>
    <comment ref="AA147" authorId="0" shapeId="0" xr:uid="{8E12B104-5549-42FF-96EA-78633B4941A5}">
      <text>
        <r>
          <rPr>
            <b/>
            <sz val="9"/>
            <color indexed="81"/>
            <rFont val="Tahoma"/>
            <family val="2"/>
          </rPr>
          <t xml:space="preserve"> &lt;[[TCDeals] - [Associated DEV Deal (Seq: 1)] - [Proxy Entities (Seq: 15)] Name (Doing Business As) - Send]&gt;</t>
        </r>
      </text>
    </comment>
    <comment ref="AB147" authorId="0" shapeId="0" xr:uid="{FFDA4AFB-74B5-4EE6-9A32-E3D34C16782F}">
      <text>
        <r>
          <rPr>
            <b/>
            <sz val="9"/>
            <color indexed="81"/>
            <rFont val="Tahoma"/>
            <family val="2"/>
          </rPr>
          <t xml:space="preserve"> &lt;[[TCDeals] - [Associated DEV Deal (Seq: 1)] - [Proxy Entities (Seq: 15)] Company or Individual? - Send]&gt;</t>
        </r>
      </text>
    </comment>
    <comment ref="AC147" authorId="0" shapeId="0" xr:uid="{0E3F6B23-69EE-40B7-8421-52DC58E19D7A}">
      <text>
        <r>
          <rPr>
            <b/>
            <sz val="9"/>
            <color indexed="81"/>
            <rFont val="Tahoma"/>
            <family val="2"/>
          </rPr>
          <t xml:space="preserve"> &lt;[[TCDeals] - [Associated DEV Deal (Seq: 1)] - [Proxy Entities (Seq: 15)] Deal Entity Role - Send]&gt;</t>
        </r>
      </text>
    </comment>
    <comment ref="AD147" authorId="0" shapeId="0" xr:uid="{4204BB45-CA2E-4915-841B-7E5E4DA1FFD6}">
      <text>
        <r>
          <rPr>
            <b/>
            <sz val="9"/>
            <color indexed="81"/>
            <rFont val="Tahoma"/>
            <family val="2"/>
          </rPr>
          <t xml:space="preserve"> &lt;[[TCDeals] - [Associated DEV Deal (Seq: 1)] - [Proxy Entities (Seq: 15)] First Name - Send]&gt;</t>
        </r>
      </text>
    </comment>
    <comment ref="AE147" authorId="0" shapeId="0" xr:uid="{5EABD408-6F12-4F25-B30E-7EDD8FDA47C2}">
      <text>
        <r>
          <rPr>
            <b/>
            <sz val="9"/>
            <color indexed="81"/>
            <rFont val="Tahoma"/>
            <family val="2"/>
          </rPr>
          <t xml:space="preserve"> &lt;[[TCDeals] - [Associated DEV Deal (Seq: 1)] - [Proxy Entities (Seq: 15)] Last Name - Send]&gt;</t>
        </r>
      </text>
    </comment>
    <comment ref="AF147" authorId="0" shapeId="0" xr:uid="{01286F7A-032F-4DC4-A7E7-B80B7403EAF3}">
      <text>
        <r>
          <rPr>
            <b/>
            <sz val="9"/>
            <color indexed="81"/>
            <rFont val="Tahoma"/>
            <family val="2"/>
          </rPr>
          <t xml:space="preserve"> &lt;[[TCDeals] - [Associated DEV Deal (Seq: 1)] - [Proxy Entities (Seq: 15)] Email Address 1 - Send]&gt;</t>
        </r>
      </text>
    </comment>
    <comment ref="AG147" authorId="0" shapeId="0" xr:uid="{843ABB40-B328-49FE-87FB-769B47B8A65F}">
      <text>
        <r>
          <rPr>
            <b/>
            <sz val="9"/>
            <color indexed="81"/>
            <rFont val="Tahoma"/>
            <family val="2"/>
          </rPr>
          <t xml:space="preserve"> &lt;[[TCDeals] - [Associated DEV Deal (Seq: 1)] - [Proxy Entities (Seq: 15)] Address 1 - Send]&gt;</t>
        </r>
      </text>
    </comment>
    <comment ref="AH147" authorId="0" shapeId="0" xr:uid="{0ECA7117-7C38-4679-9311-5FD4237397D0}">
      <text>
        <r>
          <rPr>
            <b/>
            <sz val="9"/>
            <color indexed="81"/>
            <rFont val="Tahoma"/>
            <family val="2"/>
          </rPr>
          <t xml:space="preserve"> &lt;[[TCDeals] - [Associated DEV Deal (Seq: 1)] - [Proxy Entities (Seq: 15)] City - Send]&gt;</t>
        </r>
      </text>
    </comment>
    <comment ref="AI147" authorId="0" shapeId="0" xr:uid="{5C281C94-9E3A-4278-BAF3-CABFABC8EA56}">
      <text>
        <r>
          <rPr>
            <b/>
            <sz val="9"/>
            <color indexed="81"/>
            <rFont val="Tahoma"/>
            <family val="2"/>
          </rPr>
          <t xml:space="preserve"> &lt;[[TCDeals] - [Associated DEV Deal (Seq: 1)] - [Proxy Entities (Seq: 15)] State - Send]&gt;</t>
        </r>
      </text>
    </comment>
    <comment ref="AJ147" authorId="0" shapeId="0" xr:uid="{AB3123BC-7053-4FC7-842E-7A6C08AB8C0E}">
      <text>
        <r>
          <rPr>
            <b/>
            <sz val="9"/>
            <color indexed="81"/>
            <rFont val="Tahoma"/>
            <family val="2"/>
          </rPr>
          <t xml:space="preserve"> &lt;[[TCDeals] - [Associated DEV Deal (Seq: 1)] - [Proxy Entities (Seq: 15)] Zip Code - Send]&gt;</t>
        </r>
      </text>
    </comment>
    <comment ref="AK147" authorId="0" shapeId="0" xr:uid="{994E6231-A895-4916-9C5E-AF35A19E7528}">
      <text>
        <r>
          <rPr>
            <b/>
            <sz val="9"/>
            <color indexed="81"/>
            <rFont val="Tahoma"/>
            <family val="2"/>
          </rPr>
          <t xml:space="preserve"> &lt;[[TCDeals] - [Associated DEV Deal (Seq: 1)] - [Proxy Entities (Seq: 15)] Direct Phone - Send]&gt;</t>
        </r>
      </text>
    </comment>
    <comment ref="M148" authorId="0" shapeId="0" xr:uid="{19214270-2DC6-445A-9CC6-00DD4C35E519}">
      <text>
        <r>
          <rPr>
            <b/>
            <sz val="9"/>
            <color indexed="81"/>
            <rFont val="Tahoma"/>
            <family val="2"/>
          </rPr>
          <t xml:space="preserve"> &lt;[[TCDeals] - [Proxy Entities (Seq: 1)] Company or Individual? - Send]&gt;</t>
        </r>
      </text>
    </comment>
    <comment ref="N148" authorId="0" shapeId="0" xr:uid="{A0C94230-AB8C-4BB6-A0C5-BFCB96560E52}">
      <text>
        <r>
          <rPr>
            <b/>
            <sz val="9"/>
            <color indexed="81"/>
            <rFont val="Tahoma"/>
            <family val="2"/>
          </rPr>
          <t xml:space="preserve"> &lt;[[TCDeals] - [Proxy Entities (Seq: 1)] Deal Entity Role - Send]&gt;</t>
        </r>
      </text>
    </comment>
    <comment ref="O148" authorId="0" shapeId="0" xr:uid="{CE846AF6-394C-43CE-BE6A-49F80D4CB526}">
      <text>
        <r>
          <rPr>
            <b/>
            <sz val="9"/>
            <color indexed="81"/>
            <rFont val="Tahoma"/>
            <family val="2"/>
          </rPr>
          <t xml:space="preserve"> &lt;[[TCDeals] - [Proxy Entities (Seq: 16)] Name (Doing Business As) - Send]&gt;</t>
        </r>
      </text>
    </comment>
    <comment ref="P148" authorId="0" shapeId="0" xr:uid="{0AB9B269-9B35-424F-9F45-454E2CA12569}">
      <text>
        <r>
          <rPr>
            <b/>
            <sz val="9"/>
            <color indexed="81"/>
            <rFont val="Tahoma"/>
            <family val="2"/>
          </rPr>
          <t xml:space="preserve"> &lt;[[TCDeals] - [Proxy Entities (Seq: 16)] First Name - Send]&gt;</t>
        </r>
      </text>
    </comment>
    <comment ref="Q148" authorId="0" shapeId="0" xr:uid="{1C26F9A6-7327-441B-8AD2-25CD861A8A64}">
      <text>
        <r>
          <rPr>
            <b/>
            <sz val="9"/>
            <color indexed="81"/>
            <rFont val="Tahoma"/>
            <family val="2"/>
          </rPr>
          <t xml:space="preserve"> &lt;[[TCDeals] - [Proxy Entities (Seq: 16)] Last Name - Send]&gt;</t>
        </r>
      </text>
    </comment>
    <comment ref="R148" authorId="0" shapeId="0" xr:uid="{D6760BD8-1FAA-4591-A21E-89B6368729D2}">
      <text>
        <r>
          <rPr>
            <b/>
            <sz val="9"/>
            <color indexed="81"/>
            <rFont val="Tahoma"/>
            <family val="2"/>
          </rPr>
          <t xml:space="preserve"> &lt;[[TCDeals] - [Proxy Entities (Seq: 1)] Email Address 1 - Send]&gt;</t>
        </r>
      </text>
    </comment>
    <comment ref="S148" authorId="0" shapeId="0" xr:uid="{B86EA2B5-DDCD-4DF4-AE1F-0AFBB12BF8F2}">
      <text>
        <r>
          <rPr>
            <b/>
            <sz val="9"/>
            <color indexed="81"/>
            <rFont val="Tahoma"/>
            <family val="2"/>
          </rPr>
          <t xml:space="preserve"> &lt;[[TCDeals] - [Proxy Entities (Seq: 1)] Address 1 - Send]&gt;</t>
        </r>
      </text>
    </comment>
    <comment ref="T148" authorId="0" shapeId="0" xr:uid="{B3D3BF23-3679-4DDE-ADAC-E759D7528724}">
      <text>
        <r>
          <rPr>
            <b/>
            <sz val="9"/>
            <color indexed="81"/>
            <rFont val="Tahoma"/>
            <family val="2"/>
          </rPr>
          <t xml:space="preserve"> &lt;[[TCDeals] - [Proxy Entities (Seq: 1)] City - Send]&gt;</t>
        </r>
      </text>
    </comment>
    <comment ref="U148" authorId="0" shapeId="0" xr:uid="{2DF31542-579F-4C19-BBFE-8B7DC5A0E30E}">
      <text>
        <r>
          <rPr>
            <b/>
            <sz val="9"/>
            <color indexed="81"/>
            <rFont val="Tahoma"/>
            <family val="2"/>
          </rPr>
          <t xml:space="preserve"> &lt;[[TCDeals] - [Proxy Entities (Seq: 1)] State - Send]&gt;</t>
        </r>
      </text>
    </comment>
    <comment ref="V148" authorId="0" shapeId="0" xr:uid="{EB588AA9-0FAC-4C5C-BDD2-E7A426A0E7B2}">
      <text>
        <r>
          <rPr>
            <b/>
            <sz val="9"/>
            <color indexed="81"/>
            <rFont val="Tahoma"/>
            <family val="2"/>
          </rPr>
          <t xml:space="preserve"> &lt;[[TCDeals] - [Proxy Entities (Seq: 1)] Zip Code - Send]&gt;</t>
        </r>
      </text>
    </comment>
    <comment ref="W148" authorId="0" shapeId="0" xr:uid="{3D29B05A-5E58-4F09-B924-95E58D2F137B}">
      <text>
        <r>
          <rPr>
            <b/>
            <sz val="9"/>
            <color indexed="81"/>
            <rFont val="Tahoma"/>
            <family val="2"/>
          </rPr>
          <t xml:space="preserve"> &lt;[[TCDeals] - [Proxy Entities (Seq: 1)] Direct Phone - Send]&gt;</t>
        </r>
      </text>
    </comment>
    <comment ref="AA148" authorId="0" shapeId="0" xr:uid="{3554E1E7-D4B5-47B8-9C52-5B7577E9D8D5}">
      <text>
        <r>
          <rPr>
            <b/>
            <sz val="9"/>
            <color indexed="81"/>
            <rFont val="Tahoma"/>
            <family val="2"/>
          </rPr>
          <t xml:space="preserve"> &lt;[[TCDeals] - [Associated DEV Deal (Seq: 1)] - [Proxy Entities (Seq: 16)] Name (Doing Business As) - Send]&gt;</t>
        </r>
      </text>
    </comment>
    <comment ref="AB148" authorId="0" shapeId="0" xr:uid="{3825A976-76BE-45CB-9D1F-948AF8C1F950}">
      <text>
        <r>
          <rPr>
            <b/>
            <sz val="9"/>
            <color indexed="81"/>
            <rFont val="Tahoma"/>
            <family val="2"/>
          </rPr>
          <t xml:space="preserve"> &lt;[[TCDeals] - [Associated DEV Deal (Seq: 1)] - [Proxy Entities (Seq: 16)] Company or Individual? - Send]&gt;</t>
        </r>
      </text>
    </comment>
    <comment ref="AC148" authorId="0" shapeId="0" xr:uid="{BDCF0264-D0DF-44AF-8058-1415C39B3EE8}">
      <text>
        <r>
          <rPr>
            <b/>
            <sz val="9"/>
            <color indexed="81"/>
            <rFont val="Tahoma"/>
            <family val="2"/>
          </rPr>
          <t xml:space="preserve"> &lt;[[TCDeals] - [Associated DEV Deal (Seq: 1)] - [Proxy Entities (Seq: 16)] Deal Entity Role - Send]&gt;</t>
        </r>
      </text>
    </comment>
    <comment ref="AD148" authorId="0" shapeId="0" xr:uid="{7D2CA448-9DDE-4B51-8720-ACEFB6F8AA62}">
      <text>
        <r>
          <rPr>
            <b/>
            <sz val="9"/>
            <color indexed="81"/>
            <rFont val="Tahoma"/>
            <family val="2"/>
          </rPr>
          <t xml:space="preserve"> &lt;[[TCDeals] - [Associated DEV Deal (Seq: 1)] - [Proxy Entities (Seq: 16)] First Name - Send]&gt;</t>
        </r>
      </text>
    </comment>
    <comment ref="AE148" authorId="0" shapeId="0" xr:uid="{B689A419-C669-4121-AB60-0A4EFFD110FF}">
      <text>
        <r>
          <rPr>
            <b/>
            <sz val="9"/>
            <color indexed="81"/>
            <rFont val="Tahoma"/>
            <family val="2"/>
          </rPr>
          <t xml:space="preserve"> &lt;[[TCDeals] - [Associated DEV Deal (Seq: 1)] - [Proxy Entities (Seq: 16)] Last Name - Send]&gt;</t>
        </r>
      </text>
    </comment>
    <comment ref="AF148" authorId="0" shapeId="0" xr:uid="{CC9825B1-917D-4D5D-9E12-D04C04A650E7}">
      <text>
        <r>
          <rPr>
            <b/>
            <sz val="9"/>
            <color indexed="81"/>
            <rFont val="Tahoma"/>
            <family val="2"/>
          </rPr>
          <t xml:space="preserve"> &lt;[[TCDeals] - [Associated DEV Deal (Seq: 1)] - [Proxy Entities (Seq: 16)] Email Address 1 - Send]&gt;</t>
        </r>
      </text>
    </comment>
    <comment ref="AG148" authorId="0" shapeId="0" xr:uid="{C0DB1121-3F52-41D1-9F1D-E80382CCEE9A}">
      <text>
        <r>
          <rPr>
            <b/>
            <sz val="9"/>
            <color indexed="81"/>
            <rFont val="Tahoma"/>
            <family val="2"/>
          </rPr>
          <t xml:space="preserve"> &lt;[[TCDeals] - [Associated DEV Deal (Seq: 1)] - [Proxy Entities (Seq: 16)] Address 1 - Send]&gt;</t>
        </r>
      </text>
    </comment>
    <comment ref="AH148" authorId="0" shapeId="0" xr:uid="{95B48196-F57C-4BB6-AB91-6139918964CB}">
      <text>
        <r>
          <rPr>
            <b/>
            <sz val="9"/>
            <color indexed="81"/>
            <rFont val="Tahoma"/>
            <family val="2"/>
          </rPr>
          <t xml:space="preserve"> &lt;[[TCDeals] - [Associated DEV Deal (Seq: 1)] - [Proxy Entities (Seq: 16)] City - Send]&gt;</t>
        </r>
      </text>
    </comment>
    <comment ref="AI148" authorId="0" shapeId="0" xr:uid="{BDDA58F9-4F04-41C5-ACD8-C0E081F78D4A}">
      <text>
        <r>
          <rPr>
            <b/>
            <sz val="9"/>
            <color indexed="81"/>
            <rFont val="Tahoma"/>
            <family val="2"/>
          </rPr>
          <t xml:space="preserve"> &lt;[[TCDeals] - [Associated DEV Deal (Seq: 1)] - [Proxy Entities (Seq: 16)] State - Send]&gt;</t>
        </r>
      </text>
    </comment>
    <comment ref="AJ148" authorId="0" shapeId="0" xr:uid="{321E8D2D-8CFA-4EC6-8C3D-E56136C51FD7}">
      <text>
        <r>
          <rPr>
            <b/>
            <sz val="9"/>
            <color indexed="81"/>
            <rFont val="Tahoma"/>
            <family val="2"/>
          </rPr>
          <t xml:space="preserve"> &lt;[[TCDeals] - [Associated DEV Deal (Seq: 1)] - [Proxy Entities (Seq: 16)] Zip Code - Send]&gt;</t>
        </r>
      </text>
    </comment>
    <comment ref="AK148" authorId="0" shapeId="0" xr:uid="{B1EAD4C6-3E60-40F4-9C4F-F31E043520CD}">
      <text>
        <r>
          <rPr>
            <b/>
            <sz val="9"/>
            <color indexed="81"/>
            <rFont val="Tahoma"/>
            <family val="2"/>
          </rPr>
          <t xml:space="preserve"> &lt;[[TCDeals] - [Associated DEV Deal (Seq: 1)] - [Proxy Entities (Seq: 16)] Direct Phone - Send]&gt;</t>
        </r>
      </text>
    </comment>
    <comment ref="M149" authorId="0" shapeId="0" xr:uid="{AD7EA3CD-1B12-4A41-AF02-77C88C02B068}">
      <text>
        <r>
          <rPr>
            <b/>
            <sz val="9"/>
            <color indexed="81"/>
            <rFont val="Tahoma"/>
            <family val="2"/>
          </rPr>
          <t xml:space="preserve"> &lt;[[TCDeals] - [Proxy Entities (Seq: 1)] Company or Individual? - Send]&gt;</t>
        </r>
      </text>
    </comment>
    <comment ref="N149" authorId="0" shapeId="0" xr:uid="{4C231F69-25DD-4C09-B092-7CB6FDB19753}">
      <text>
        <r>
          <rPr>
            <b/>
            <sz val="9"/>
            <color indexed="81"/>
            <rFont val="Tahoma"/>
            <family val="2"/>
          </rPr>
          <t xml:space="preserve"> &lt;[[TCDeals] - [Proxy Entities (Seq: 1)] Deal Entity Role - Send]&gt;</t>
        </r>
      </text>
    </comment>
    <comment ref="O149" authorId="0" shapeId="0" xr:uid="{AED88DC7-DD94-4E90-AE46-EC4254AC5736}">
      <text>
        <r>
          <rPr>
            <b/>
            <sz val="9"/>
            <color indexed="81"/>
            <rFont val="Tahoma"/>
            <family val="2"/>
          </rPr>
          <t xml:space="preserve"> &lt;[[TCDeals] - [Proxy Entities (Seq: 17)] Name (Doing Business As) - Send]&gt;</t>
        </r>
      </text>
    </comment>
    <comment ref="P149" authorId="0" shapeId="0" xr:uid="{D66CC64C-B200-42D6-B01E-AB96FA430065}">
      <text>
        <r>
          <rPr>
            <b/>
            <sz val="9"/>
            <color indexed="81"/>
            <rFont val="Tahoma"/>
            <family val="2"/>
          </rPr>
          <t xml:space="preserve"> &lt;[[TCDeals] - [Proxy Entities (Seq: 17)] First Name - Send]&gt;</t>
        </r>
      </text>
    </comment>
    <comment ref="Q149" authorId="0" shapeId="0" xr:uid="{1FF09E91-7A5E-4875-9C19-02BB18799792}">
      <text>
        <r>
          <rPr>
            <b/>
            <sz val="9"/>
            <color indexed="81"/>
            <rFont val="Tahoma"/>
            <family val="2"/>
          </rPr>
          <t xml:space="preserve"> &lt;[[TCDeals] - [Proxy Entities (Seq: 17)] Last Name - Send]&gt;</t>
        </r>
      </text>
    </comment>
    <comment ref="R149" authorId="0" shapeId="0" xr:uid="{896B8BA4-65DE-4CF8-BA41-AE329F36A078}">
      <text>
        <r>
          <rPr>
            <b/>
            <sz val="9"/>
            <color indexed="81"/>
            <rFont val="Tahoma"/>
            <family val="2"/>
          </rPr>
          <t xml:space="preserve"> &lt;[[TCDeals] - [Proxy Entities (Seq: 1)] Email Address 1 - Send]&gt;</t>
        </r>
      </text>
    </comment>
    <comment ref="S149" authorId="0" shapeId="0" xr:uid="{C9C24E75-F340-488C-9734-40C221EF762B}">
      <text>
        <r>
          <rPr>
            <b/>
            <sz val="9"/>
            <color indexed="81"/>
            <rFont val="Tahoma"/>
            <family val="2"/>
          </rPr>
          <t xml:space="preserve"> &lt;[[TCDeals] - [Proxy Entities (Seq: 1)] Address 1 - Send]&gt;</t>
        </r>
      </text>
    </comment>
    <comment ref="T149" authorId="0" shapeId="0" xr:uid="{683062E3-3A41-44FE-829F-A549EB36773A}">
      <text>
        <r>
          <rPr>
            <b/>
            <sz val="9"/>
            <color indexed="81"/>
            <rFont val="Tahoma"/>
            <family val="2"/>
          </rPr>
          <t xml:space="preserve"> &lt;[[TCDeals] - [Proxy Entities (Seq: 1)] City - Send]&gt;</t>
        </r>
      </text>
    </comment>
    <comment ref="U149" authorId="0" shapeId="0" xr:uid="{0C0065D4-8A76-4146-991D-05B999994FA8}">
      <text>
        <r>
          <rPr>
            <b/>
            <sz val="9"/>
            <color indexed="81"/>
            <rFont val="Tahoma"/>
            <family val="2"/>
          </rPr>
          <t xml:space="preserve"> &lt;[[TCDeals] - [Proxy Entities (Seq: 1)] State - Send]&gt;</t>
        </r>
      </text>
    </comment>
    <comment ref="V149" authorId="0" shapeId="0" xr:uid="{B1B143C7-F6A3-4FB3-9299-07C9B63CAF8B}">
      <text>
        <r>
          <rPr>
            <b/>
            <sz val="9"/>
            <color indexed="81"/>
            <rFont val="Tahoma"/>
            <family val="2"/>
          </rPr>
          <t xml:space="preserve"> &lt;[[TCDeals] - [Proxy Entities (Seq: 1)] Zip Code - Send]&gt;</t>
        </r>
      </text>
    </comment>
    <comment ref="W149" authorId="0" shapeId="0" xr:uid="{4ACFAA87-1A81-4382-8FAF-72672C92B78B}">
      <text>
        <r>
          <rPr>
            <b/>
            <sz val="9"/>
            <color indexed="81"/>
            <rFont val="Tahoma"/>
            <family val="2"/>
          </rPr>
          <t xml:space="preserve"> &lt;[[TCDeals] - [Proxy Entities (Seq: 1)] Direct Phone - Send]&gt;</t>
        </r>
      </text>
    </comment>
    <comment ref="AA149" authorId="0" shapeId="0" xr:uid="{36AD687A-558B-4971-A309-0A6E2F9C407D}">
      <text>
        <r>
          <rPr>
            <b/>
            <sz val="9"/>
            <color indexed="81"/>
            <rFont val="Tahoma"/>
            <family val="2"/>
          </rPr>
          <t xml:space="preserve"> &lt;[[TCDeals] - [Associated DEV Deal (Seq: 1)] - [Proxy Entities (Seq: 17)] Name (Doing Business As) - Send]&gt;</t>
        </r>
      </text>
    </comment>
    <comment ref="AB149" authorId="0" shapeId="0" xr:uid="{FCB93A88-039D-4EDE-A421-BC09F4D10783}">
      <text>
        <r>
          <rPr>
            <b/>
            <sz val="9"/>
            <color indexed="81"/>
            <rFont val="Tahoma"/>
            <family val="2"/>
          </rPr>
          <t xml:space="preserve"> &lt;[[TCDeals] - [Associated DEV Deal (Seq: 1)] - [Proxy Entities (Seq: 17)] Company or Individual? - Send]&gt;</t>
        </r>
      </text>
    </comment>
    <comment ref="AC149" authorId="0" shapeId="0" xr:uid="{734751CD-961B-42AE-BD7C-F26AFD86482F}">
      <text>
        <r>
          <rPr>
            <b/>
            <sz val="9"/>
            <color indexed="81"/>
            <rFont val="Tahoma"/>
            <family val="2"/>
          </rPr>
          <t xml:space="preserve"> &lt;[[TCDeals] - [Associated DEV Deal (Seq: 1)] - [Proxy Entities (Seq: 17)] Deal Entity Role - Send]&gt;</t>
        </r>
      </text>
    </comment>
    <comment ref="AD149" authorId="0" shapeId="0" xr:uid="{BE55578B-CFD1-45A6-BCC1-81A544B088EB}">
      <text>
        <r>
          <rPr>
            <b/>
            <sz val="9"/>
            <color indexed="81"/>
            <rFont val="Tahoma"/>
            <family val="2"/>
          </rPr>
          <t xml:space="preserve"> &lt;[[TCDeals] - [Associated DEV Deal (Seq: 1)] - [Proxy Entities (Seq: 17)] First Name - Send]&gt;</t>
        </r>
      </text>
    </comment>
    <comment ref="AE149" authorId="0" shapeId="0" xr:uid="{0D469A47-ECD7-4115-9E48-3DA03BB76841}">
      <text>
        <r>
          <rPr>
            <b/>
            <sz val="9"/>
            <color indexed="81"/>
            <rFont val="Tahoma"/>
            <family val="2"/>
          </rPr>
          <t xml:space="preserve"> &lt;[[TCDeals] - [Associated DEV Deal (Seq: 1)] - [Proxy Entities (Seq: 17)] Last Name - Send]&gt;</t>
        </r>
      </text>
    </comment>
    <comment ref="AF149" authorId="0" shapeId="0" xr:uid="{33EABDD3-97CD-4885-8351-B73C34C80E84}">
      <text>
        <r>
          <rPr>
            <b/>
            <sz val="9"/>
            <color indexed="81"/>
            <rFont val="Tahoma"/>
            <family val="2"/>
          </rPr>
          <t xml:space="preserve"> &lt;[[TCDeals] - [Associated DEV Deal (Seq: 1)] - [Proxy Entities (Seq: 17)] Email Address 1 - Send]&gt;</t>
        </r>
      </text>
    </comment>
    <comment ref="AG149" authorId="0" shapeId="0" xr:uid="{CBCDCD7D-5F8A-486F-B100-BFB82D502479}">
      <text>
        <r>
          <rPr>
            <b/>
            <sz val="9"/>
            <color indexed="81"/>
            <rFont val="Tahoma"/>
            <family val="2"/>
          </rPr>
          <t xml:space="preserve"> &lt;[[TCDeals] - [Associated DEV Deal (Seq: 1)] - [Proxy Entities (Seq: 17)] Address 1 - Send]&gt;</t>
        </r>
      </text>
    </comment>
    <comment ref="AH149" authorId="0" shapeId="0" xr:uid="{8DC03BAB-B6C6-4BB0-B6D8-128CE75483CD}">
      <text>
        <r>
          <rPr>
            <b/>
            <sz val="9"/>
            <color indexed="81"/>
            <rFont val="Tahoma"/>
            <family val="2"/>
          </rPr>
          <t xml:space="preserve"> &lt;[[TCDeals] - [Associated DEV Deal (Seq: 1)] - [Proxy Entities (Seq: 17)] City - Send]&gt;</t>
        </r>
      </text>
    </comment>
    <comment ref="AI149" authorId="0" shapeId="0" xr:uid="{C5D5F0B5-306C-4750-B9FA-E3004E442950}">
      <text>
        <r>
          <rPr>
            <b/>
            <sz val="9"/>
            <color indexed="81"/>
            <rFont val="Tahoma"/>
            <family val="2"/>
          </rPr>
          <t xml:space="preserve"> &lt;[[TCDeals] - [Associated DEV Deal (Seq: 1)] - [Proxy Entities (Seq: 17)] State - Send]&gt;</t>
        </r>
      </text>
    </comment>
    <comment ref="AJ149" authorId="0" shapeId="0" xr:uid="{903BF48B-0174-4282-8936-94B3CAD6F0B5}">
      <text>
        <r>
          <rPr>
            <b/>
            <sz val="9"/>
            <color indexed="81"/>
            <rFont val="Tahoma"/>
            <family val="2"/>
          </rPr>
          <t xml:space="preserve"> &lt;[[TCDeals] - [Associated DEV Deal (Seq: 1)] - [Proxy Entities (Seq: 17)] Zip Code - Send]&gt;</t>
        </r>
      </text>
    </comment>
    <comment ref="AK149" authorId="0" shapeId="0" xr:uid="{7F7AD436-F009-4E9B-8BE5-6A6A4D4A0575}">
      <text>
        <r>
          <rPr>
            <b/>
            <sz val="9"/>
            <color indexed="81"/>
            <rFont val="Tahoma"/>
            <family val="2"/>
          </rPr>
          <t xml:space="preserve"> &lt;[[TCDeals] - [Associated DEV Deal (Seq: 1)] - [Proxy Entities (Seq: 17)] Direct Phone - Send]&gt;</t>
        </r>
      </text>
    </comment>
    <comment ref="M150" authorId="0" shapeId="0" xr:uid="{EC6CFAE7-61B1-4BA4-B45C-F4A286D1DDC3}">
      <text>
        <r>
          <rPr>
            <b/>
            <sz val="9"/>
            <color indexed="81"/>
            <rFont val="Tahoma"/>
            <family val="2"/>
          </rPr>
          <t xml:space="preserve"> &lt;[[TCDeals] - [Proxy Entities (Seq: 1)] Company or Individual? - Send]&gt;</t>
        </r>
      </text>
    </comment>
    <comment ref="N150" authorId="0" shapeId="0" xr:uid="{4ADB4175-114B-4592-869D-2535FCE21562}">
      <text>
        <r>
          <rPr>
            <b/>
            <sz val="9"/>
            <color indexed="81"/>
            <rFont val="Tahoma"/>
            <family val="2"/>
          </rPr>
          <t xml:space="preserve"> &lt;[[TCDeals] - [Proxy Entities (Seq: 1)] Deal Entity Role - Send]&gt;</t>
        </r>
      </text>
    </comment>
    <comment ref="O150" authorId="0" shapeId="0" xr:uid="{C5882BB7-7A98-4350-B617-E1056A2F5122}">
      <text>
        <r>
          <rPr>
            <b/>
            <sz val="9"/>
            <color indexed="81"/>
            <rFont val="Tahoma"/>
            <family val="2"/>
          </rPr>
          <t xml:space="preserve"> &lt;[[TCDeals] - [Proxy Entities (Seq: 18)] Name (Doing Business As) - Send]&gt;</t>
        </r>
      </text>
    </comment>
    <comment ref="P150" authorId="0" shapeId="0" xr:uid="{B50DFB72-7AF0-4133-B039-18EC22A78363}">
      <text>
        <r>
          <rPr>
            <b/>
            <sz val="9"/>
            <color indexed="81"/>
            <rFont val="Tahoma"/>
            <family val="2"/>
          </rPr>
          <t xml:space="preserve"> &lt;[[TCDeals] - [Proxy Entities (Seq: 18)] First Name - Send]&gt;</t>
        </r>
      </text>
    </comment>
    <comment ref="Q150" authorId="0" shapeId="0" xr:uid="{3241F225-3191-4680-9184-A3718938B499}">
      <text>
        <r>
          <rPr>
            <b/>
            <sz val="9"/>
            <color indexed="81"/>
            <rFont val="Tahoma"/>
            <family val="2"/>
          </rPr>
          <t xml:space="preserve"> &lt;[[TCDeals] - [Proxy Entities (Seq: 18)] Last Name - Send]&gt;</t>
        </r>
      </text>
    </comment>
    <comment ref="R150" authorId="0" shapeId="0" xr:uid="{E207973C-65BA-4F28-AFDC-0B929508B854}">
      <text>
        <r>
          <rPr>
            <b/>
            <sz val="9"/>
            <color indexed="81"/>
            <rFont val="Tahoma"/>
            <family val="2"/>
          </rPr>
          <t xml:space="preserve"> &lt;[[TCDeals] - [Proxy Entities (Seq: 1)] Email Address 1 - Send]&gt;</t>
        </r>
      </text>
    </comment>
    <comment ref="S150" authorId="0" shapeId="0" xr:uid="{826A9425-B34C-45AA-BB41-CF4A9D55FB0D}">
      <text>
        <r>
          <rPr>
            <b/>
            <sz val="9"/>
            <color indexed="81"/>
            <rFont val="Tahoma"/>
            <family val="2"/>
          </rPr>
          <t xml:space="preserve"> &lt;[[TCDeals] - [Proxy Entities (Seq: 1)] Address 1 - Send]&gt;</t>
        </r>
      </text>
    </comment>
    <comment ref="T150" authorId="0" shapeId="0" xr:uid="{24CE19DB-0CE5-4220-A6B4-BAA3A59C66FF}">
      <text>
        <r>
          <rPr>
            <b/>
            <sz val="9"/>
            <color indexed="81"/>
            <rFont val="Tahoma"/>
            <family val="2"/>
          </rPr>
          <t xml:space="preserve"> &lt;[[TCDeals] - [Proxy Entities (Seq: 1)] City - Send]&gt;</t>
        </r>
      </text>
    </comment>
    <comment ref="U150" authorId="0" shapeId="0" xr:uid="{900FF0E5-443F-4647-8DA6-36D71C390748}">
      <text>
        <r>
          <rPr>
            <b/>
            <sz val="9"/>
            <color indexed="81"/>
            <rFont val="Tahoma"/>
            <family val="2"/>
          </rPr>
          <t xml:space="preserve"> &lt;[[TCDeals] - [Proxy Entities (Seq: 1)] State - Send]&gt;</t>
        </r>
      </text>
    </comment>
    <comment ref="V150" authorId="0" shapeId="0" xr:uid="{39CA5649-481B-408F-9E7E-B6752D300C6C}">
      <text>
        <r>
          <rPr>
            <b/>
            <sz val="9"/>
            <color indexed="81"/>
            <rFont val="Tahoma"/>
            <family val="2"/>
          </rPr>
          <t xml:space="preserve"> &lt;[[TCDeals] - [Proxy Entities (Seq: 1)] Zip Code - Send]&gt;</t>
        </r>
      </text>
    </comment>
    <comment ref="W150" authorId="0" shapeId="0" xr:uid="{728DDAAA-0F6D-4940-86A9-17D267D25B0A}">
      <text>
        <r>
          <rPr>
            <b/>
            <sz val="9"/>
            <color indexed="81"/>
            <rFont val="Tahoma"/>
            <family val="2"/>
          </rPr>
          <t xml:space="preserve"> &lt;[[TCDeals] - [Proxy Entities (Seq: 1)] Direct Phone - Send]&gt;</t>
        </r>
      </text>
    </comment>
    <comment ref="AA150" authorId="0" shapeId="0" xr:uid="{514280FC-AB59-4C05-A5F3-5273B0B6C93E}">
      <text>
        <r>
          <rPr>
            <b/>
            <sz val="9"/>
            <color indexed="81"/>
            <rFont val="Tahoma"/>
            <family val="2"/>
          </rPr>
          <t xml:space="preserve"> &lt;[[TCDeals] - [Associated DEV Deal (Seq: 1)] - [Proxy Entities (Seq: 18)] Name (Doing Business As) - Send]&gt;</t>
        </r>
      </text>
    </comment>
    <comment ref="AB150" authorId="0" shapeId="0" xr:uid="{7F47C44F-712A-4CF1-A305-C85277C8A740}">
      <text>
        <r>
          <rPr>
            <b/>
            <sz val="9"/>
            <color indexed="81"/>
            <rFont val="Tahoma"/>
            <family val="2"/>
          </rPr>
          <t xml:space="preserve"> &lt;[[TCDeals] - [Associated DEV Deal (Seq: 1)] - [Proxy Entities (Seq: 18)] Company or Individual? - Send]&gt;</t>
        </r>
      </text>
    </comment>
    <comment ref="AC150" authorId="0" shapeId="0" xr:uid="{0743B590-9D7D-4C57-8E51-829864BFD820}">
      <text>
        <r>
          <rPr>
            <b/>
            <sz val="9"/>
            <color indexed="81"/>
            <rFont val="Tahoma"/>
            <family val="2"/>
          </rPr>
          <t xml:space="preserve"> &lt;[[TCDeals] - [Associated DEV Deal (Seq: 1)] - [Proxy Entities (Seq: 18)] Deal Entity Role - Send]&gt;</t>
        </r>
      </text>
    </comment>
    <comment ref="AD150" authorId="0" shapeId="0" xr:uid="{858791CD-8461-47C3-88E6-2C44D7CECC2D}">
      <text>
        <r>
          <rPr>
            <b/>
            <sz val="9"/>
            <color indexed="81"/>
            <rFont val="Tahoma"/>
            <family val="2"/>
          </rPr>
          <t xml:space="preserve"> &lt;[[TCDeals] - [Associated DEV Deal (Seq: 1)] - [Proxy Entities (Seq: 18)] First Name - Send]&gt;</t>
        </r>
      </text>
    </comment>
    <comment ref="AE150" authorId="0" shapeId="0" xr:uid="{9A270723-A43F-4C91-A9CC-3772ABFD2E3E}">
      <text>
        <r>
          <rPr>
            <b/>
            <sz val="9"/>
            <color indexed="81"/>
            <rFont val="Tahoma"/>
            <family val="2"/>
          </rPr>
          <t xml:space="preserve"> &lt;[[TCDeals] - [Associated DEV Deal (Seq: 1)] - [Proxy Entities (Seq: 18)] Last Name - Send]&gt;</t>
        </r>
      </text>
    </comment>
    <comment ref="AF150" authorId="0" shapeId="0" xr:uid="{1ED8DEDC-7983-4A2A-BB78-E1A163B310CF}">
      <text>
        <r>
          <rPr>
            <b/>
            <sz val="9"/>
            <color indexed="81"/>
            <rFont val="Tahoma"/>
            <family val="2"/>
          </rPr>
          <t xml:space="preserve"> &lt;[[TCDeals] - [Associated DEV Deal (Seq: 1)] - [Proxy Entities (Seq: 18)] Email Address 1 - Send]&gt;</t>
        </r>
      </text>
    </comment>
    <comment ref="AG150" authorId="0" shapeId="0" xr:uid="{6859C8EC-B8E9-4EAA-8FDC-AD03719B13FA}">
      <text>
        <r>
          <rPr>
            <b/>
            <sz val="9"/>
            <color indexed="81"/>
            <rFont val="Tahoma"/>
            <family val="2"/>
          </rPr>
          <t xml:space="preserve"> &lt;[[TCDeals] - [Associated DEV Deal (Seq: 1)] - [Proxy Entities (Seq: 18)] Address 1 - Send]&gt;</t>
        </r>
      </text>
    </comment>
    <comment ref="AH150" authorId="0" shapeId="0" xr:uid="{32296988-03C9-4769-9919-C8311CC69533}">
      <text>
        <r>
          <rPr>
            <b/>
            <sz val="9"/>
            <color indexed="81"/>
            <rFont val="Tahoma"/>
            <family val="2"/>
          </rPr>
          <t xml:space="preserve"> &lt;[[TCDeals] - [Associated DEV Deal (Seq: 1)] - [Proxy Entities (Seq: 18)] City - Send]&gt;</t>
        </r>
      </text>
    </comment>
    <comment ref="AI150" authorId="0" shapeId="0" xr:uid="{0EB86EFD-8030-42F3-BE8B-D7D68E2F627F}">
      <text>
        <r>
          <rPr>
            <b/>
            <sz val="9"/>
            <color indexed="81"/>
            <rFont val="Tahoma"/>
            <family val="2"/>
          </rPr>
          <t xml:space="preserve"> &lt;[[TCDeals] - [Associated DEV Deal (Seq: 1)] - [Proxy Entities (Seq: 18)] State - Send]&gt;</t>
        </r>
      </text>
    </comment>
    <comment ref="AJ150" authorId="0" shapeId="0" xr:uid="{45DE4DF9-F25C-43F0-8197-FD0CCC55739E}">
      <text>
        <r>
          <rPr>
            <b/>
            <sz val="9"/>
            <color indexed="81"/>
            <rFont val="Tahoma"/>
            <family val="2"/>
          </rPr>
          <t xml:space="preserve"> &lt;[[TCDeals] - [Associated DEV Deal (Seq: 1)] - [Proxy Entities (Seq: 18)] Zip Code - Send]&gt;</t>
        </r>
      </text>
    </comment>
    <comment ref="AK150" authorId="0" shapeId="0" xr:uid="{777D17FD-A1BA-4FD0-B9CE-7BB4093F8794}">
      <text>
        <r>
          <rPr>
            <b/>
            <sz val="9"/>
            <color indexed="81"/>
            <rFont val="Tahoma"/>
            <family val="2"/>
          </rPr>
          <t xml:space="preserve"> &lt;[[TCDeals] - [Associated DEV Deal (Seq: 1)] - [Proxy Entities (Seq: 18)] Direct Phone - Send]&gt;</t>
        </r>
      </text>
    </comment>
    <comment ref="M151" authorId="0" shapeId="0" xr:uid="{4F4219E5-0372-49F1-8E21-4E8D2A8C7910}">
      <text>
        <r>
          <rPr>
            <b/>
            <sz val="9"/>
            <color indexed="81"/>
            <rFont val="Tahoma"/>
            <family val="2"/>
          </rPr>
          <t xml:space="preserve"> &lt;[[TCDeals] - [Proxy Entities (Seq: 1)] Company or Individual? - Send]&gt;</t>
        </r>
      </text>
    </comment>
    <comment ref="N151" authorId="0" shapeId="0" xr:uid="{1C1AF3E9-F817-45A2-A526-D01432CCC489}">
      <text>
        <r>
          <rPr>
            <b/>
            <sz val="9"/>
            <color indexed="81"/>
            <rFont val="Tahoma"/>
            <family val="2"/>
          </rPr>
          <t xml:space="preserve"> &lt;[[TCDeals] - [Proxy Entities (Seq: 1)] Deal Entity Role - Send]&gt;</t>
        </r>
      </text>
    </comment>
    <comment ref="O151" authorId="0" shapeId="0" xr:uid="{2E0ECA29-AC19-48EE-A3E7-63418FB0DF39}">
      <text>
        <r>
          <rPr>
            <b/>
            <sz val="9"/>
            <color indexed="81"/>
            <rFont val="Tahoma"/>
            <family val="2"/>
          </rPr>
          <t xml:space="preserve"> &lt;[[TCDeals] - [Proxy Entities (Seq: 19)] Name (Doing Business As) - Send]&gt;</t>
        </r>
      </text>
    </comment>
    <comment ref="P151" authorId="0" shapeId="0" xr:uid="{66313A0C-FC0A-4FE0-93AF-C6CA45F288EF}">
      <text>
        <r>
          <rPr>
            <b/>
            <sz val="9"/>
            <color indexed="81"/>
            <rFont val="Tahoma"/>
            <family val="2"/>
          </rPr>
          <t xml:space="preserve"> &lt;[[TCDeals] - [Proxy Entities (Seq: 19)] First Name - Send]&gt;</t>
        </r>
      </text>
    </comment>
    <comment ref="Q151" authorId="0" shapeId="0" xr:uid="{C53E9E22-C396-41AE-8A83-5E60FD03A9BE}">
      <text>
        <r>
          <rPr>
            <b/>
            <sz val="9"/>
            <color indexed="81"/>
            <rFont val="Tahoma"/>
            <family val="2"/>
          </rPr>
          <t xml:space="preserve"> &lt;[[TCDeals] - [Proxy Entities (Seq: 19)] Last Name - Send]&gt;</t>
        </r>
      </text>
    </comment>
    <comment ref="R151" authorId="0" shapeId="0" xr:uid="{CF1B59D6-796F-420B-A270-C9FB2C8B5E20}">
      <text>
        <r>
          <rPr>
            <b/>
            <sz val="9"/>
            <color indexed="81"/>
            <rFont val="Tahoma"/>
            <family val="2"/>
          </rPr>
          <t xml:space="preserve"> &lt;[[TCDeals] - [Proxy Entities (Seq: 1)] Email Address 1 - Send]&gt;</t>
        </r>
      </text>
    </comment>
    <comment ref="S151" authorId="0" shapeId="0" xr:uid="{4C1376F1-3FD5-4744-86AB-2DD5608014E8}">
      <text>
        <r>
          <rPr>
            <b/>
            <sz val="9"/>
            <color indexed="81"/>
            <rFont val="Tahoma"/>
            <family val="2"/>
          </rPr>
          <t xml:space="preserve"> &lt;[[TCDeals] - [Proxy Entities (Seq: 1)] Address 1 - Send]&gt;</t>
        </r>
      </text>
    </comment>
    <comment ref="T151" authorId="0" shapeId="0" xr:uid="{C7E18982-7B41-49C0-B2CF-410D424372D1}">
      <text>
        <r>
          <rPr>
            <b/>
            <sz val="9"/>
            <color indexed="81"/>
            <rFont val="Tahoma"/>
            <family val="2"/>
          </rPr>
          <t xml:space="preserve"> &lt;[[TCDeals] - [Proxy Entities (Seq: 1)] City - Send]&gt;</t>
        </r>
      </text>
    </comment>
    <comment ref="U151" authorId="0" shapeId="0" xr:uid="{489F69A0-ECF8-47A7-B3D3-0028022CB8F3}">
      <text>
        <r>
          <rPr>
            <b/>
            <sz val="9"/>
            <color indexed="81"/>
            <rFont val="Tahoma"/>
            <family val="2"/>
          </rPr>
          <t xml:space="preserve"> &lt;[[TCDeals] - [Proxy Entities (Seq: 1)] State - Send]&gt;</t>
        </r>
      </text>
    </comment>
    <comment ref="V151" authorId="0" shapeId="0" xr:uid="{B1E2DFAF-E363-4361-B002-76E0A98AAE0F}">
      <text>
        <r>
          <rPr>
            <b/>
            <sz val="9"/>
            <color indexed="81"/>
            <rFont val="Tahoma"/>
            <family val="2"/>
          </rPr>
          <t xml:space="preserve"> &lt;[[TCDeals] - [Proxy Entities (Seq: 1)] Zip Code - Send]&gt;</t>
        </r>
      </text>
    </comment>
    <comment ref="W151" authorId="0" shapeId="0" xr:uid="{C4E27973-C9F0-45A1-B743-7B27E1BDDA7A}">
      <text>
        <r>
          <rPr>
            <b/>
            <sz val="9"/>
            <color indexed="81"/>
            <rFont val="Tahoma"/>
            <family val="2"/>
          </rPr>
          <t xml:space="preserve"> &lt;[[TCDeals] - [Proxy Entities (Seq: 1)] Direct Phone - Send]&gt;</t>
        </r>
      </text>
    </comment>
    <comment ref="AA151" authorId="0" shapeId="0" xr:uid="{4B8F95EC-D0E9-4182-AF91-B3219810026A}">
      <text>
        <r>
          <rPr>
            <b/>
            <sz val="9"/>
            <color indexed="81"/>
            <rFont val="Tahoma"/>
            <family val="2"/>
          </rPr>
          <t xml:space="preserve"> &lt;[[TCDeals] - [Associated DEV Deal (Seq: 1)] - [Proxy Entities (Seq: 19)] Name (Doing Business As) - Send]&gt;</t>
        </r>
      </text>
    </comment>
    <comment ref="AB151" authorId="0" shapeId="0" xr:uid="{B3C87266-256C-471D-AD86-0D7721AB3995}">
      <text>
        <r>
          <rPr>
            <b/>
            <sz val="9"/>
            <color indexed="81"/>
            <rFont val="Tahoma"/>
            <family val="2"/>
          </rPr>
          <t xml:space="preserve"> &lt;[[TCDeals] - [Associated DEV Deal (Seq: 1)] - [Proxy Entities (Seq: 19)] Company or Individual? - Send]&gt;</t>
        </r>
      </text>
    </comment>
    <comment ref="AC151" authorId="0" shapeId="0" xr:uid="{205CD645-4913-4FDE-B376-9F563F502230}">
      <text>
        <r>
          <rPr>
            <b/>
            <sz val="9"/>
            <color indexed="81"/>
            <rFont val="Tahoma"/>
            <family val="2"/>
          </rPr>
          <t xml:space="preserve"> &lt;[[TCDeals] - [Associated DEV Deal (Seq: 1)] - [Proxy Entities (Seq: 19)] Deal Entity Role - Send]&gt;</t>
        </r>
      </text>
    </comment>
    <comment ref="AD151" authorId="0" shapeId="0" xr:uid="{38B3D913-E8E5-4D59-9B88-44EC63A78762}">
      <text>
        <r>
          <rPr>
            <b/>
            <sz val="9"/>
            <color indexed="81"/>
            <rFont val="Tahoma"/>
            <family val="2"/>
          </rPr>
          <t xml:space="preserve"> &lt;[[TCDeals] - [Associated DEV Deal (Seq: 1)] - [Proxy Entities (Seq: 19)] First Name - Send]&gt;</t>
        </r>
      </text>
    </comment>
    <comment ref="AE151" authorId="0" shapeId="0" xr:uid="{950EC593-0B2F-4448-964A-E0F43974EC83}">
      <text>
        <r>
          <rPr>
            <b/>
            <sz val="9"/>
            <color indexed="81"/>
            <rFont val="Tahoma"/>
            <family val="2"/>
          </rPr>
          <t xml:space="preserve"> &lt;[[TCDeals] - [Associated DEV Deal (Seq: 1)] - [Proxy Entities (Seq: 19)] Last Name - Send]&gt;</t>
        </r>
      </text>
    </comment>
    <comment ref="AF151" authorId="0" shapeId="0" xr:uid="{BB3FAB4C-F0C6-49F7-AD98-6A1B5E9B14F5}">
      <text>
        <r>
          <rPr>
            <b/>
            <sz val="9"/>
            <color indexed="81"/>
            <rFont val="Tahoma"/>
            <family val="2"/>
          </rPr>
          <t xml:space="preserve"> &lt;[[TCDeals] - [Associated DEV Deal (Seq: 1)] - [Proxy Entities (Seq: 19)] Email Address 1 - Send]&gt;</t>
        </r>
      </text>
    </comment>
    <comment ref="AG151" authorId="0" shapeId="0" xr:uid="{4E7490E0-B1EB-4FF0-A153-7CD22B2B1BD8}">
      <text>
        <r>
          <rPr>
            <b/>
            <sz val="9"/>
            <color indexed="81"/>
            <rFont val="Tahoma"/>
            <family val="2"/>
          </rPr>
          <t xml:space="preserve"> &lt;[[TCDeals] - [Associated DEV Deal (Seq: 1)] - [Proxy Entities (Seq: 19)] Address 1 - Send]&gt;</t>
        </r>
      </text>
    </comment>
    <comment ref="AH151" authorId="0" shapeId="0" xr:uid="{8E36DF2E-B060-4B23-82FC-23A6DC0C7D3D}">
      <text>
        <r>
          <rPr>
            <b/>
            <sz val="9"/>
            <color indexed="81"/>
            <rFont val="Tahoma"/>
            <family val="2"/>
          </rPr>
          <t xml:space="preserve"> &lt;[[TCDeals] - [Associated DEV Deal (Seq: 1)] - [Proxy Entities (Seq: 19)] City - Send]&gt;</t>
        </r>
      </text>
    </comment>
    <comment ref="AI151" authorId="0" shapeId="0" xr:uid="{A64A85EB-64F1-4294-AC88-19BB41BB4F2A}">
      <text>
        <r>
          <rPr>
            <b/>
            <sz val="9"/>
            <color indexed="81"/>
            <rFont val="Tahoma"/>
            <family val="2"/>
          </rPr>
          <t xml:space="preserve"> &lt;[[TCDeals] - [Associated DEV Deal (Seq: 1)] - [Proxy Entities (Seq: 19)] State - Send]&gt;</t>
        </r>
      </text>
    </comment>
    <comment ref="AJ151" authorId="0" shapeId="0" xr:uid="{6C971B15-6CF3-4DE6-9154-028A6B27F8D5}">
      <text>
        <r>
          <rPr>
            <b/>
            <sz val="9"/>
            <color indexed="81"/>
            <rFont val="Tahoma"/>
            <family val="2"/>
          </rPr>
          <t xml:space="preserve"> &lt;[[TCDeals] - [Associated DEV Deal (Seq: 1)] - [Proxy Entities (Seq: 19)] Zip Code - Send]&gt;</t>
        </r>
      </text>
    </comment>
    <comment ref="AK151" authorId="0" shapeId="0" xr:uid="{F0B19F1D-1E94-40B2-AB07-4CF929AAD757}">
      <text>
        <r>
          <rPr>
            <b/>
            <sz val="9"/>
            <color indexed="81"/>
            <rFont val="Tahoma"/>
            <family val="2"/>
          </rPr>
          <t xml:space="preserve"> &lt;[[TCDeals] - [Associated DEV Deal (Seq: 1)] - [Proxy Entities (Seq: 19)] Direct Phone - Send]&gt;</t>
        </r>
      </text>
    </comment>
    <comment ref="M152" authorId="0" shapeId="0" xr:uid="{C375139C-81CA-4D20-85E9-E4DDB8C67F07}">
      <text>
        <r>
          <rPr>
            <b/>
            <sz val="9"/>
            <color indexed="81"/>
            <rFont val="Tahoma"/>
            <family val="2"/>
          </rPr>
          <t xml:space="preserve"> &lt;[[TCDeals] - [Proxy Entities (Seq: 1)] Company or Individual? - Send]&gt;</t>
        </r>
      </text>
    </comment>
    <comment ref="N152" authorId="0" shapeId="0" xr:uid="{578087D8-8B1A-4175-A390-50FDBE1AC1BA}">
      <text>
        <r>
          <rPr>
            <b/>
            <sz val="9"/>
            <color indexed="81"/>
            <rFont val="Tahoma"/>
            <family val="2"/>
          </rPr>
          <t xml:space="preserve"> &lt;[[TCDeals] - [Proxy Entities (Seq: 1)] Deal Entity Role - Send]&gt;</t>
        </r>
      </text>
    </comment>
    <comment ref="O152" authorId="0" shapeId="0" xr:uid="{A625EED6-5056-4659-8E5F-78F6A564D0A3}">
      <text>
        <r>
          <rPr>
            <b/>
            <sz val="9"/>
            <color indexed="81"/>
            <rFont val="Tahoma"/>
            <family val="2"/>
          </rPr>
          <t xml:space="preserve"> &lt;[[TCDeals] - [Proxy Entities (Seq: 20)] Name (Doing Business As) - Send]&gt;</t>
        </r>
      </text>
    </comment>
    <comment ref="P152" authorId="0" shapeId="0" xr:uid="{8FD4A135-2E80-472C-962A-43590B0070A1}">
      <text>
        <r>
          <rPr>
            <b/>
            <sz val="9"/>
            <color indexed="81"/>
            <rFont val="Tahoma"/>
            <family val="2"/>
          </rPr>
          <t xml:space="preserve"> &lt;[[TCDeals] - [Proxy Entities (Seq: 20)] First Name - Send]&gt;</t>
        </r>
      </text>
    </comment>
    <comment ref="Q152" authorId="0" shapeId="0" xr:uid="{BBEB5377-05B0-4A9E-A7B0-22842ED73516}">
      <text>
        <r>
          <rPr>
            <b/>
            <sz val="9"/>
            <color indexed="81"/>
            <rFont val="Tahoma"/>
            <family val="2"/>
          </rPr>
          <t xml:space="preserve"> &lt;[[TCDeals] - [Proxy Entities (Seq: 20)] Last Name - Send]&gt;</t>
        </r>
      </text>
    </comment>
    <comment ref="R152" authorId="0" shapeId="0" xr:uid="{DC87BCF2-D00B-4E62-BD11-7039ADDCA60D}">
      <text>
        <r>
          <rPr>
            <b/>
            <sz val="9"/>
            <color indexed="81"/>
            <rFont val="Tahoma"/>
            <family val="2"/>
          </rPr>
          <t xml:space="preserve"> &lt;[[TCDeals] - [Proxy Entities (Seq: 1)] Email Address 1 - Send]&gt;</t>
        </r>
      </text>
    </comment>
    <comment ref="S152" authorId="0" shapeId="0" xr:uid="{D6BE8B18-CFDE-4CB8-90D0-D0B8C3A76267}">
      <text>
        <r>
          <rPr>
            <b/>
            <sz val="9"/>
            <color indexed="81"/>
            <rFont val="Tahoma"/>
            <family val="2"/>
          </rPr>
          <t xml:space="preserve"> &lt;[[TCDeals] - [Proxy Entities (Seq: 1)] Address 1 - Send]&gt;</t>
        </r>
      </text>
    </comment>
    <comment ref="T152" authorId="0" shapeId="0" xr:uid="{D7496877-46E1-471D-99F2-18FBFFF12E5A}">
      <text>
        <r>
          <rPr>
            <b/>
            <sz val="9"/>
            <color indexed="81"/>
            <rFont val="Tahoma"/>
            <family val="2"/>
          </rPr>
          <t xml:space="preserve"> &lt;[[TCDeals] - [Proxy Entities (Seq: 1)] City - Send]&gt;</t>
        </r>
      </text>
    </comment>
    <comment ref="U152" authorId="0" shapeId="0" xr:uid="{0D98F8E6-75E1-48F9-9D1D-BEACFF858C40}">
      <text>
        <r>
          <rPr>
            <b/>
            <sz val="9"/>
            <color indexed="81"/>
            <rFont val="Tahoma"/>
            <family val="2"/>
          </rPr>
          <t xml:space="preserve"> &lt;[[TCDeals] - [Proxy Entities (Seq: 1)] State - Send]&gt;</t>
        </r>
      </text>
    </comment>
    <comment ref="V152" authorId="0" shapeId="0" xr:uid="{6436DB58-680C-456A-A0E1-201A776BF52B}">
      <text>
        <r>
          <rPr>
            <b/>
            <sz val="9"/>
            <color indexed="81"/>
            <rFont val="Tahoma"/>
            <family val="2"/>
          </rPr>
          <t xml:space="preserve"> &lt;[[TCDeals] - [Proxy Entities (Seq: 1)] Zip Code - Send]&gt;</t>
        </r>
      </text>
    </comment>
    <comment ref="W152" authorId="0" shapeId="0" xr:uid="{BC684570-0BA0-40F7-86C0-D00912C73B44}">
      <text>
        <r>
          <rPr>
            <b/>
            <sz val="9"/>
            <color indexed="81"/>
            <rFont val="Tahoma"/>
            <family val="2"/>
          </rPr>
          <t xml:space="preserve"> &lt;[[TCDeals] - [Proxy Entities (Seq: 1)] Direct Phone - Send]&gt;</t>
        </r>
      </text>
    </comment>
    <comment ref="AA152" authorId="0" shapeId="0" xr:uid="{22B38DCD-7873-4E77-AD93-F7AD03CA1002}">
      <text>
        <r>
          <rPr>
            <b/>
            <sz val="9"/>
            <color indexed="81"/>
            <rFont val="Tahoma"/>
            <family val="2"/>
          </rPr>
          <t xml:space="preserve"> &lt;[[TCDeals] - [Associated DEV Deal (Seq: 1)] - [Proxy Entities (Seq: 20)] Name (Doing Business As) - Send]&gt;</t>
        </r>
      </text>
    </comment>
    <comment ref="AB152" authorId="0" shapeId="0" xr:uid="{4C61AC71-4BE1-4E84-A62B-81C42259BD19}">
      <text>
        <r>
          <rPr>
            <b/>
            <sz val="9"/>
            <color indexed="81"/>
            <rFont val="Tahoma"/>
            <family val="2"/>
          </rPr>
          <t xml:space="preserve"> &lt;[[TCDeals] - [Associated DEV Deal (Seq: 1)] - [Proxy Entities (Seq: 20)] Company or Individual? - Send]&gt;</t>
        </r>
      </text>
    </comment>
    <comment ref="AC152" authorId="0" shapeId="0" xr:uid="{EC6A5D6B-1BB9-433C-A0C9-3809D229F1EC}">
      <text>
        <r>
          <rPr>
            <b/>
            <sz val="9"/>
            <color indexed="81"/>
            <rFont val="Tahoma"/>
            <family val="2"/>
          </rPr>
          <t xml:space="preserve"> &lt;[[TCDeals] - [Associated DEV Deal (Seq: 1)] - [Proxy Entities (Seq: 20)] Deal Entity Role - Send]&gt;</t>
        </r>
      </text>
    </comment>
    <comment ref="AD152" authorId="0" shapeId="0" xr:uid="{F160F8FA-CFD3-4232-AA97-BE2B156F33FE}">
      <text>
        <r>
          <rPr>
            <b/>
            <sz val="9"/>
            <color indexed="81"/>
            <rFont val="Tahoma"/>
            <family val="2"/>
          </rPr>
          <t xml:space="preserve"> &lt;[[TCDeals] - [Associated DEV Deal (Seq: 1)] - [Proxy Entities (Seq: 20)] First Name - Send]&gt;</t>
        </r>
      </text>
    </comment>
    <comment ref="AE152" authorId="0" shapeId="0" xr:uid="{256EBE70-A390-424A-98CA-ECDA0D61CC58}">
      <text>
        <r>
          <rPr>
            <b/>
            <sz val="9"/>
            <color indexed="81"/>
            <rFont val="Tahoma"/>
            <family val="2"/>
          </rPr>
          <t xml:space="preserve"> &lt;[[TCDeals] - [Associated DEV Deal (Seq: 1)] - [Proxy Entities (Seq: 20)] Last Name - Send]&gt;</t>
        </r>
      </text>
    </comment>
    <comment ref="AF152" authorId="0" shapeId="0" xr:uid="{20FCDAE6-34CF-4275-AC8D-A386E3387BBC}">
      <text>
        <r>
          <rPr>
            <b/>
            <sz val="9"/>
            <color indexed="81"/>
            <rFont val="Tahoma"/>
            <family val="2"/>
          </rPr>
          <t xml:space="preserve"> &lt;[[TCDeals] - [Associated DEV Deal (Seq: 1)] - [Proxy Entities (Seq: 20)] Email Address 1 - Send]&gt;</t>
        </r>
      </text>
    </comment>
    <comment ref="AG152" authorId="0" shapeId="0" xr:uid="{7C22B8AA-87CA-4755-BC58-4E57EB95F100}">
      <text>
        <r>
          <rPr>
            <b/>
            <sz val="9"/>
            <color indexed="81"/>
            <rFont val="Tahoma"/>
            <family val="2"/>
          </rPr>
          <t xml:space="preserve"> &lt;[[TCDeals] - [Associated DEV Deal (Seq: 1)] - [Proxy Entities (Seq: 20)] Address 1 - Send]&gt;</t>
        </r>
      </text>
    </comment>
    <comment ref="AH152" authorId="0" shapeId="0" xr:uid="{CFFA7178-F68B-43A0-857E-941E9C3A027D}">
      <text>
        <r>
          <rPr>
            <b/>
            <sz val="9"/>
            <color indexed="81"/>
            <rFont val="Tahoma"/>
            <family val="2"/>
          </rPr>
          <t xml:space="preserve"> &lt;[[TCDeals] - [Associated DEV Deal (Seq: 1)] - [Proxy Entities (Seq: 20)] City - Send]&gt;</t>
        </r>
      </text>
    </comment>
    <comment ref="AI152" authorId="0" shapeId="0" xr:uid="{85166908-6F8B-4924-910B-7F699546A31E}">
      <text>
        <r>
          <rPr>
            <b/>
            <sz val="9"/>
            <color indexed="81"/>
            <rFont val="Tahoma"/>
            <family val="2"/>
          </rPr>
          <t xml:space="preserve"> &lt;[[TCDeals] - [Associated DEV Deal (Seq: 1)] - [Proxy Entities (Seq: 20)] State - Send]&gt;</t>
        </r>
      </text>
    </comment>
    <comment ref="AJ152" authorId="0" shapeId="0" xr:uid="{A70F8C76-9D17-4928-BCA9-4D355F4B9033}">
      <text>
        <r>
          <rPr>
            <b/>
            <sz val="9"/>
            <color indexed="81"/>
            <rFont val="Tahoma"/>
            <family val="2"/>
          </rPr>
          <t xml:space="preserve"> &lt;[[TCDeals] - [Associated DEV Deal (Seq: 1)] - [Proxy Entities (Seq: 20)] Zip Code - Send]&gt;</t>
        </r>
      </text>
    </comment>
    <comment ref="AK152" authorId="0" shapeId="0" xr:uid="{2CBCC576-44DC-4512-91EA-16DCACAE67E2}">
      <text>
        <r>
          <rPr>
            <b/>
            <sz val="9"/>
            <color indexed="81"/>
            <rFont val="Tahoma"/>
            <family val="2"/>
          </rPr>
          <t xml:space="preserve"> &lt;[[TCDeals] - [Associated DEV Deal (Seq: 1)] - [Proxy Entities (Seq: 20)] Direct Phone - Send]&gt;</t>
        </r>
      </text>
    </comment>
    <comment ref="M153" authorId="0" shapeId="0" xr:uid="{3094C0C7-D1C9-4B37-BEC2-87A2DCCB6F46}">
      <text>
        <r>
          <rPr>
            <b/>
            <sz val="9"/>
            <color indexed="81"/>
            <rFont val="Tahoma"/>
            <family val="2"/>
          </rPr>
          <t xml:space="preserve"> &lt;[[TCDeals] - [Proxy Entities (Seq: 1)] Company or Individual? - Send]&gt;</t>
        </r>
      </text>
    </comment>
    <comment ref="N153" authorId="0" shapeId="0" xr:uid="{1A6CBAE1-E4ED-47A2-AD57-73B9FBB0158A}">
      <text>
        <r>
          <rPr>
            <b/>
            <sz val="9"/>
            <color indexed="81"/>
            <rFont val="Tahoma"/>
            <family val="2"/>
          </rPr>
          <t xml:space="preserve"> &lt;[[TCDeals] - [Proxy Entities (Seq: 1)] Deal Entity Role - Send]&gt;</t>
        </r>
      </text>
    </comment>
    <comment ref="O153" authorId="0" shapeId="0" xr:uid="{7574F2BF-44E4-451E-9C5E-443642565C8A}">
      <text>
        <r>
          <rPr>
            <b/>
            <sz val="9"/>
            <color indexed="81"/>
            <rFont val="Tahoma"/>
            <family val="2"/>
          </rPr>
          <t xml:space="preserve"> &lt;[[TCDeals] - [Proxy Entities (Seq: 21)] Name (Doing Business As) - Send]&gt;</t>
        </r>
      </text>
    </comment>
    <comment ref="P153" authorId="0" shapeId="0" xr:uid="{4C33DFD5-6CB1-4A93-B09F-2A48B193EB26}">
      <text>
        <r>
          <rPr>
            <b/>
            <sz val="9"/>
            <color indexed="81"/>
            <rFont val="Tahoma"/>
            <family val="2"/>
          </rPr>
          <t xml:space="preserve"> &lt;[[TCDeals] - [Proxy Entities (Seq: 21)] First Name - Send]&gt;</t>
        </r>
      </text>
    </comment>
    <comment ref="Q153" authorId="0" shapeId="0" xr:uid="{AF7F2AF9-627C-4B20-8842-9376EBC5CD98}">
      <text>
        <r>
          <rPr>
            <b/>
            <sz val="9"/>
            <color indexed="81"/>
            <rFont val="Tahoma"/>
            <family val="2"/>
          </rPr>
          <t xml:space="preserve"> &lt;[[TCDeals] - [Proxy Entities (Seq: 21)] Last Name - Send]&gt;</t>
        </r>
      </text>
    </comment>
    <comment ref="R153" authorId="0" shapeId="0" xr:uid="{4A924A13-E93B-4CC1-B4A9-43CAB3EEE085}">
      <text>
        <r>
          <rPr>
            <b/>
            <sz val="9"/>
            <color indexed="81"/>
            <rFont val="Tahoma"/>
            <family val="2"/>
          </rPr>
          <t xml:space="preserve"> &lt;[[TCDeals] - [Proxy Entities (Seq: 1)] Email Address 1 - Send]&gt;</t>
        </r>
      </text>
    </comment>
    <comment ref="S153" authorId="0" shapeId="0" xr:uid="{340080CA-36A6-433B-BE5B-8AFF1ECC4987}">
      <text>
        <r>
          <rPr>
            <b/>
            <sz val="9"/>
            <color indexed="81"/>
            <rFont val="Tahoma"/>
            <family val="2"/>
          </rPr>
          <t xml:space="preserve"> &lt;[[TCDeals] - [Proxy Entities (Seq: 1)] Address 1 - Send]&gt;</t>
        </r>
      </text>
    </comment>
    <comment ref="T153" authorId="0" shapeId="0" xr:uid="{F80A684F-D9D4-4912-B3F8-B134ACD8950E}">
      <text>
        <r>
          <rPr>
            <b/>
            <sz val="9"/>
            <color indexed="81"/>
            <rFont val="Tahoma"/>
            <family val="2"/>
          </rPr>
          <t xml:space="preserve"> &lt;[[TCDeals] - [Proxy Entities (Seq: 1)] City - Send]&gt;</t>
        </r>
      </text>
    </comment>
    <comment ref="U153" authorId="0" shapeId="0" xr:uid="{264F34BC-29FC-4D76-92B5-FCCC4B9514C1}">
      <text>
        <r>
          <rPr>
            <b/>
            <sz val="9"/>
            <color indexed="81"/>
            <rFont val="Tahoma"/>
            <family val="2"/>
          </rPr>
          <t xml:space="preserve"> &lt;[[TCDeals] - [Proxy Entities (Seq: 1)] State - Send]&gt;</t>
        </r>
      </text>
    </comment>
    <comment ref="V153" authorId="0" shapeId="0" xr:uid="{737097A6-4804-4FFD-AD78-A1EEE3348FB1}">
      <text>
        <r>
          <rPr>
            <b/>
            <sz val="9"/>
            <color indexed="81"/>
            <rFont val="Tahoma"/>
            <family val="2"/>
          </rPr>
          <t xml:space="preserve"> &lt;[[TCDeals] - [Proxy Entities (Seq: 1)] Zip Code - Send]&gt;</t>
        </r>
      </text>
    </comment>
    <comment ref="W153" authorId="0" shapeId="0" xr:uid="{5D25B0FA-930E-4FCD-B106-C13EAFA671AE}">
      <text>
        <r>
          <rPr>
            <b/>
            <sz val="9"/>
            <color indexed="81"/>
            <rFont val="Tahoma"/>
            <family val="2"/>
          </rPr>
          <t xml:space="preserve"> &lt;[[TCDeals] - [Proxy Entities (Seq: 1)] Direct Phone - Send]&gt;</t>
        </r>
      </text>
    </comment>
    <comment ref="AA153" authorId="0" shapeId="0" xr:uid="{7053DFAC-B7BC-48D4-A51B-F9815247B4E1}">
      <text>
        <r>
          <rPr>
            <b/>
            <sz val="9"/>
            <color indexed="81"/>
            <rFont val="Tahoma"/>
            <family val="2"/>
          </rPr>
          <t xml:space="preserve"> &lt;[[TCDeals] - [Associated DEV Deal (Seq: 1)] - [Proxy Entities (Seq: 21)] Name (Doing Business As) - Send]&gt;</t>
        </r>
      </text>
    </comment>
    <comment ref="AB153" authorId="0" shapeId="0" xr:uid="{D146C2D3-7A2E-4290-8974-1BC4DAD717B0}">
      <text>
        <r>
          <rPr>
            <b/>
            <sz val="9"/>
            <color indexed="81"/>
            <rFont val="Tahoma"/>
            <family val="2"/>
          </rPr>
          <t xml:space="preserve"> &lt;[[TCDeals] - [Associated DEV Deal (Seq: 1)] - [Proxy Entities (Seq: 21)] Company or Individual? - Send]&gt;</t>
        </r>
      </text>
    </comment>
    <comment ref="AC153" authorId="0" shapeId="0" xr:uid="{4505F968-CBE8-4FB1-BB1F-965A696E920B}">
      <text>
        <r>
          <rPr>
            <b/>
            <sz val="9"/>
            <color indexed="81"/>
            <rFont val="Tahoma"/>
            <family val="2"/>
          </rPr>
          <t xml:space="preserve"> &lt;[[TCDeals] - [Associated DEV Deal (Seq: 1)] - [Proxy Entities (Seq: 21)] Deal Entity Role - Send]&gt;</t>
        </r>
      </text>
    </comment>
    <comment ref="AD153" authorId="0" shapeId="0" xr:uid="{713B5345-3EA0-4932-932C-268C661B756D}">
      <text>
        <r>
          <rPr>
            <b/>
            <sz val="9"/>
            <color indexed="81"/>
            <rFont val="Tahoma"/>
            <family val="2"/>
          </rPr>
          <t xml:space="preserve"> &lt;[[TCDeals] - [Associated DEV Deal (Seq: 1)] - [Proxy Entities (Seq: 21)] First Name - Send]&gt;</t>
        </r>
      </text>
    </comment>
    <comment ref="AE153" authorId="0" shapeId="0" xr:uid="{6F8708A6-B654-4576-A284-4F397E22C33E}">
      <text>
        <r>
          <rPr>
            <b/>
            <sz val="9"/>
            <color indexed="81"/>
            <rFont val="Tahoma"/>
            <family val="2"/>
          </rPr>
          <t xml:space="preserve"> &lt;[[TCDeals] - [Associated DEV Deal (Seq: 1)] - [Proxy Entities (Seq: 21)] Last Name - Send]&gt;</t>
        </r>
      </text>
    </comment>
    <comment ref="AF153" authorId="0" shapeId="0" xr:uid="{EC9608A3-E157-4F77-B57F-94FCCFEB8920}">
      <text>
        <r>
          <rPr>
            <b/>
            <sz val="9"/>
            <color indexed="81"/>
            <rFont val="Tahoma"/>
            <family val="2"/>
          </rPr>
          <t xml:space="preserve"> &lt;[[TCDeals] - [Associated DEV Deal (Seq: 1)] - [Proxy Entities (Seq: 21)] Email Address 1 - Send]&gt;</t>
        </r>
      </text>
    </comment>
    <comment ref="AG153" authorId="0" shapeId="0" xr:uid="{78B29D5B-2947-43DD-AC03-F7242043B688}">
      <text>
        <r>
          <rPr>
            <b/>
            <sz val="9"/>
            <color indexed="81"/>
            <rFont val="Tahoma"/>
            <family val="2"/>
          </rPr>
          <t xml:space="preserve"> &lt;[[TCDeals] - [Associated DEV Deal (Seq: 1)] - [Proxy Entities (Seq: 21)] Address 1 - Send]&gt;</t>
        </r>
      </text>
    </comment>
    <comment ref="AH153" authorId="0" shapeId="0" xr:uid="{F1F9AA75-C261-4695-8C35-C80E23BBEA5E}">
      <text>
        <r>
          <rPr>
            <b/>
            <sz val="9"/>
            <color indexed="81"/>
            <rFont val="Tahoma"/>
            <family val="2"/>
          </rPr>
          <t xml:space="preserve"> &lt;[[TCDeals] - [Associated DEV Deal (Seq: 1)] - [Proxy Entities (Seq: 21)] City - Send]&gt;</t>
        </r>
      </text>
    </comment>
    <comment ref="AI153" authorId="0" shapeId="0" xr:uid="{A4AAAE57-8E8D-4B6E-A07F-3BC001D36155}">
      <text>
        <r>
          <rPr>
            <b/>
            <sz val="9"/>
            <color indexed="81"/>
            <rFont val="Tahoma"/>
            <family val="2"/>
          </rPr>
          <t xml:space="preserve"> &lt;[[TCDeals] - [Associated DEV Deal (Seq: 1)] - [Proxy Entities (Seq: 21)] State - Send]&gt;</t>
        </r>
      </text>
    </comment>
    <comment ref="AJ153" authorId="0" shapeId="0" xr:uid="{20D86AA5-D1FF-49B7-852E-724379EEEE97}">
      <text>
        <r>
          <rPr>
            <b/>
            <sz val="9"/>
            <color indexed="81"/>
            <rFont val="Tahoma"/>
            <family val="2"/>
          </rPr>
          <t xml:space="preserve"> &lt;[[TCDeals] - [Associated DEV Deal (Seq: 1)] - [Proxy Entities (Seq: 21)] Zip Code - Send]&gt;</t>
        </r>
      </text>
    </comment>
    <comment ref="AK153" authorId="0" shapeId="0" xr:uid="{8AC56932-6687-44AC-B6EE-F11D17B0381D}">
      <text>
        <r>
          <rPr>
            <b/>
            <sz val="9"/>
            <color indexed="81"/>
            <rFont val="Tahoma"/>
            <family val="2"/>
          </rPr>
          <t xml:space="preserve"> &lt;[[TCDeals] - [Associated DEV Deal (Seq: 1)] - [Proxy Entities (Seq: 21)] Direct Phone - Send]&gt;</t>
        </r>
      </text>
    </comment>
    <comment ref="M154" authorId="0" shapeId="0" xr:uid="{8A4BC973-A18A-4A74-B03A-B1E17DE71D2B}">
      <text>
        <r>
          <rPr>
            <b/>
            <sz val="9"/>
            <color indexed="81"/>
            <rFont val="Tahoma"/>
            <family val="2"/>
          </rPr>
          <t xml:space="preserve"> &lt;[[TCDeals] - [Proxy Entities (Seq: 1)] Company or Individual? - Send]&gt;</t>
        </r>
      </text>
    </comment>
    <comment ref="N154" authorId="0" shapeId="0" xr:uid="{A01375D6-9EEF-48CC-9C3C-1912E204609E}">
      <text>
        <r>
          <rPr>
            <b/>
            <sz val="9"/>
            <color indexed="81"/>
            <rFont val="Tahoma"/>
            <family val="2"/>
          </rPr>
          <t xml:space="preserve"> &lt;[[TCDeals] - [Proxy Entities (Seq: 1)] Deal Entity Role - Send]&gt;</t>
        </r>
      </text>
    </comment>
    <comment ref="O154" authorId="0" shapeId="0" xr:uid="{543AD6D5-BE3E-4F22-82DE-729EDCB53247}">
      <text>
        <r>
          <rPr>
            <b/>
            <sz val="9"/>
            <color indexed="81"/>
            <rFont val="Tahoma"/>
            <family val="2"/>
          </rPr>
          <t xml:space="preserve"> &lt;[[TCDeals] - [Proxy Entities (Seq: 22)] Name (Doing Business As) - Send]&gt;</t>
        </r>
      </text>
    </comment>
    <comment ref="P154" authorId="0" shapeId="0" xr:uid="{06C3EEF9-DAB1-4F4D-9FE1-48A21D0036BE}">
      <text>
        <r>
          <rPr>
            <b/>
            <sz val="9"/>
            <color indexed="81"/>
            <rFont val="Tahoma"/>
            <family val="2"/>
          </rPr>
          <t xml:space="preserve"> &lt;[[TCDeals] - [Proxy Entities (Seq: 22)] First Name - Send]&gt;</t>
        </r>
      </text>
    </comment>
    <comment ref="Q154" authorId="0" shapeId="0" xr:uid="{A8969622-3F17-4C7A-A3B1-C78682C02452}">
      <text>
        <r>
          <rPr>
            <b/>
            <sz val="9"/>
            <color indexed="81"/>
            <rFont val="Tahoma"/>
            <family val="2"/>
          </rPr>
          <t xml:space="preserve"> &lt;[[TCDeals] - [Proxy Entities (Seq: 22)] Last Name - Send]&gt;</t>
        </r>
      </text>
    </comment>
    <comment ref="R154" authorId="0" shapeId="0" xr:uid="{618A969C-1E95-408A-90F7-E2F1F9D7E1D5}">
      <text>
        <r>
          <rPr>
            <b/>
            <sz val="9"/>
            <color indexed="81"/>
            <rFont val="Tahoma"/>
            <family val="2"/>
          </rPr>
          <t xml:space="preserve"> &lt;[[TCDeals] - [Proxy Entities (Seq: 1)] Email Address 1 - Send]&gt;</t>
        </r>
      </text>
    </comment>
    <comment ref="S154" authorId="0" shapeId="0" xr:uid="{26508B72-AB9D-46D7-97A2-8DA5BB889B0D}">
      <text>
        <r>
          <rPr>
            <b/>
            <sz val="9"/>
            <color indexed="81"/>
            <rFont val="Tahoma"/>
            <family val="2"/>
          </rPr>
          <t xml:space="preserve"> &lt;[[TCDeals] - [Proxy Entities (Seq: 1)] Address 1 - Send]&gt;</t>
        </r>
      </text>
    </comment>
    <comment ref="T154" authorId="0" shapeId="0" xr:uid="{1553B414-1AF9-4949-B9FF-4009E9E9ED88}">
      <text>
        <r>
          <rPr>
            <b/>
            <sz val="9"/>
            <color indexed="81"/>
            <rFont val="Tahoma"/>
            <family val="2"/>
          </rPr>
          <t xml:space="preserve"> &lt;[[TCDeals] - [Proxy Entities (Seq: 1)] City - Send]&gt;</t>
        </r>
      </text>
    </comment>
    <comment ref="U154" authorId="0" shapeId="0" xr:uid="{E620EBBB-D220-4989-935A-16241271D205}">
      <text>
        <r>
          <rPr>
            <b/>
            <sz val="9"/>
            <color indexed="81"/>
            <rFont val="Tahoma"/>
            <family val="2"/>
          </rPr>
          <t xml:space="preserve"> &lt;[[TCDeals] - [Proxy Entities (Seq: 1)] State - Send]&gt;</t>
        </r>
      </text>
    </comment>
    <comment ref="V154" authorId="0" shapeId="0" xr:uid="{1C8C6263-AA5E-40D1-86CC-9637D4A2F5BA}">
      <text>
        <r>
          <rPr>
            <b/>
            <sz val="9"/>
            <color indexed="81"/>
            <rFont val="Tahoma"/>
            <family val="2"/>
          </rPr>
          <t xml:space="preserve"> &lt;[[TCDeals] - [Proxy Entities (Seq: 1)] Zip Code - Send]&gt;</t>
        </r>
      </text>
    </comment>
    <comment ref="W154" authorId="0" shapeId="0" xr:uid="{5892EEF6-0D27-439A-A719-DB119791B922}">
      <text>
        <r>
          <rPr>
            <b/>
            <sz val="9"/>
            <color indexed="81"/>
            <rFont val="Tahoma"/>
            <family val="2"/>
          </rPr>
          <t xml:space="preserve"> &lt;[[TCDeals] - [Proxy Entities (Seq: 1)] Direct Phone - Send]&gt;</t>
        </r>
      </text>
    </comment>
    <comment ref="AA154" authorId="0" shapeId="0" xr:uid="{771FBF7B-D713-41FC-9197-8568B26F172C}">
      <text>
        <r>
          <rPr>
            <b/>
            <sz val="9"/>
            <color indexed="81"/>
            <rFont val="Tahoma"/>
            <family val="2"/>
          </rPr>
          <t xml:space="preserve"> &lt;[[TCDeals] - [Associated DEV Deal (Seq: 1)] - [Proxy Entities (Seq: 22)] Name (Doing Business As) - Send]&gt;</t>
        </r>
      </text>
    </comment>
    <comment ref="AB154" authorId="0" shapeId="0" xr:uid="{4E2C563E-ABBC-427A-AE3A-B2F75CA99309}">
      <text>
        <r>
          <rPr>
            <b/>
            <sz val="9"/>
            <color indexed="81"/>
            <rFont val="Tahoma"/>
            <family val="2"/>
          </rPr>
          <t xml:space="preserve"> &lt;[[TCDeals] - [Associated DEV Deal (Seq: 1)] - [Proxy Entities (Seq: 22)] Company or Individual? - Send]&gt;</t>
        </r>
      </text>
    </comment>
    <comment ref="AC154" authorId="0" shapeId="0" xr:uid="{12C010DA-0913-4348-A24F-1501F1BFB632}">
      <text>
        <r>
          <rPr>
            <b/>
            <sz val="9"/>
            <color indexed="81"/>
            <rFont val="Tahoma"/>
            <family val="2"/>
          </rPr>
          <t xml:space="preserve"> &lt;[[TCDeals] - [Associated DEV Deal (Seq: 1)] - [Proxy Entities (Seq: 22)] Deal Entity Role - Send]&gt;</t>
        </r>
      </text>
    </comment>
    <comment ref="AD154" authorId="0" shapeId="0" xr:uid="{68E182B8-C1DB-454F-A3E3-9A4CCAB42557}">
      <text>
        <r>
          <rPr>
            <b/>
            <sz val="9"/>
            <color indexed="81"/>
            <rFont val="Tahoma"/>
            <family val="2"/>
          </rPr>
          <t xml:space="preserve"> &lt;[[TCDeals] - [Associated DEV Deal (Seq: 1)] - [Proxy Entities (Seq: 22)] First Name - Send]&gt;</t>
        </r>
      </text>
    </comment>
    <comment ref="AE154" authorId="0" shapeId="0" xr:uid="{05187D31-6916-4A96-8675-B2D1F099C900}">
      <text>
        <r>
          <rPr>
            <b/>
            <sz val="9"/>
            <color indexed="81"/>
            <rFont val="Tahoma"/>
            <family val="2"/>
          </rPr>
          <t xml:space="preserve"> &lt;[[TCDeals] - [Associated DEV Deal (Seq: 1)] - [Proxy Entities (Seq: 22)] Last Name - Send]&gt;</t>
        </r>
      </text>
    </comment>
    <comment ref="AF154" authorId="0" shapeId="0" xr:uid="{A33AACFE-474F-49EF-8EE6-2D0E38751499}">
      <text>
        <r>
          <rPr>
            <b/>
            <sz val="9"/>
            <color indexed="81"/>
            <rFont val="Tahoma"/>
            <family val="2"/>
          </rPr>
          <t xml:space="preserve"> &lt;[[TCDeals] - [Associated DEV Deal (Seq: 1)] - [Proxy Entities (Seq: 22)] Email Address 1 - Send]&gt;</t>
        </r>
      </text>
    </comment>
    <comment ref="AG154" authorId="0" shapeId="0" xr:uid="{965828F9-98DF-4650-B4B1-204AD7A930EF}">
      <text>
        <r>
          <rPr>
            <b/>
            <sz val="9"/>
            <color indexed="81"/>
            <rFont val="Tahoma"/>
            <family val="2"/>
          </rPr>
          <t xml:space="preserve"> &lt;[[TCDeals] - [Associated DEV Deal (Seq: 1)] - [Proxy Entities (Seq: 22)] Address 1 - Send]&gt;</t>
        </r>
      </text>
    </comment>
    <comment ref="AH154" authorId="0" shapeId="0" xr:uid="{A5A80946-75D9-4E2A-9045-CCE5ACA1EE0D}">
      <text>
        <r>
          <rPr>
            <b/>
            <sz val="9"/>
            <color indexed="81"/>
            <rFont val="Tahoma"/>
            <family val="2"/>
          </rPr>
          <t xml:space="preserve"> &lt;[[TCDeals] - [Associated DEV Deal (Seq: 1)] - [Proxy Entities (Seq: 22)] City - Send]&gt;</t>
        </r>
      </text>
    </comment>
    <comment ref="AI154" authorId="0" shapeId="0" xr:uid="{D6CD52D4-9ED4-4DEB-B2F1-00726DFE2217}">
      <text>
        <r>
          <rPr>
            <b/>
            <sz val="9"/>
            <color indexed="81"/>
            <rFont val="Tahoma"/>
            <family val="2"/>
          </rPr>
          <t xml:space="preserve"> &lt;[[TCDeals] - [Associated DEV Deal (Seq: 1)] - [Proxy Entities (Seq: 22)] State - Send]&gt;</t>
        </r>
      </text>
    </comment>
    <comment ref="AJ154" authorId="0" shapeId="0" xr:uid="{4E30525B-B34A-4A13-900E-50821A462DF8}">
      <text>
        <r>
          <rPr>
            <b/>
            <sz val="9"/>
            <color indexed="81"/>
            <rFont val="Tahoma"/>
            <family val="2"/>
          </rPr>
          <t xml:space="preserve"> &lt;[[TCDeals] - [Associated DEV Deal (Seq: 1)] - [Proxy Entities (Seq: 22)] Zip Code - Send]&gt;</t>
        </r>
      </text>
    </comment>
    <comment ref="AK154" authorId="0" shapeId="0" xr:uid="{12D3F758-60B6-4841-BC5F-EE81FFE1092C}">
      <text>
        <r>
          <rPr>
            <b/>
            <sz val="9"/>
            <color indexed="81"/>
            <rFont val="Tahoma"/>
            <family val="2"/>
          </rPr>
          <t xml:space="preserve"> &lt;[[TCDeals] - [Associated DEV Deal (Seq: 1)] - [Proxy Entities (Seq: 22)] Direct Phone - Send]&gt;</t>
        </r>
      </text>
    </comment>
    <comment ref="M155" authorId="0" shapeId="0" xr:uid="{C7369EF2-E6E8-4006-9249-DC7454694A5B}">
      <text>
        <r>
          <rPr>
            <b/>
            <sz val="9"/>
            <color indexed="81"/>
            <rFont val="Tahoma"/>
            <family val="2"/>
          </rPr>
          <t xml:space="preserve"> &lt;[[TCDeals] - [Proxy Entities (Seq: 1)] Company or Individual? - Send]&gt;</t>
        </r>
      </text>
    </comment>
    <comment ref="N155" authorId="0" shapeId="0" xr:uid="{FB3A13A4-BA84-4C1D-BCCA-D2F61BEC8A2E}">
      <text>
        <r>
          <rPr>
            <b/>
            <sz val="9"/>
            <color indexed="81"/>
            <rFont val="Tahoma"/>
            <family val="2"/>
          </rPr>
          <t xml:space="preserve"> &lt;[[TCDeals] - [Proxy Entities (Seq: 1)] Deal Entity Role - Send]&gt;</t>
        </r>
      </text>
    </comment>
    <comment ref="O155" authorId="0" shapeId="0" xr:uid="{179359B2-78BC-42E9-A6FE-9CB2B650E67C}">
      <text>
        <r>
          <rPr>
            <b/>
            <sz val="9"/>
            <color indexed="81"/>
            <rFont val="Tahoma"/>
            <family val="2"/>
          </rPr>
          <t xml:space="preserve"> &lt;[[TCDeals] - [Proxy Entities (Seq: 23)] Name (Doing Business As) - Send]&gt;</t>
        </r>
      </text>
    </comment>
    <comment ref="P155" authorId="0" shapeId="0" xr:uid="{81CF2726-E161-4DF7-9903-4D985CDB6A5F}">
      <text>
        <r>
          <rPr>
            <b/>
            <sz val="9"/>
            <color indexed="81"/>
            <rFont val="Tahoma"/>
            <family val="2"/>
          </rPr>
          <t xml:space="preserve"> &lt;[[TCDeals] - [Proxy Entities (Seq: 23)] First Name - Send]&gt;</t>
        </r>
      </text>
    </comment>
    <comment ref="Q155" authorId="0" shapeId="0" xr:uid="{717686E7-930E-4A3B-B624-4BECF69EAC50}">
      <text>
        <r>
          <rPr>
            <b/>
            <sz val="9"/>
            <color indexed="81"/>
            <rFont val="Tahoma"/>
            <family val="2"/>
          </rPr>
          <t xml:space="preserve"> &lt;[[TCDeals] - [Proxy Entities (Seq: 23)] Last Name - Send]&gt;</t>
        </r>
      </text>
    </comment>
    <comment ref="R155" authorId="0" shapeId="0" xr:uid="{2CB726C7-98A8-4B1B-8896-F6E836190A93}">
      <text>
        <r>
          <rPr>
            <b/>
            <sz val="9"/>
            <color indexed="81"/>
            <rFont val="Tahoma"/>
            <family val="2"/>
          </rPr>
          <t xml:space="preserve"> &lt;[[TCDeals] - [Proxy Entities (Seq: 1)] Email Address 1 - Send]&gt;</t>
        </r>
      </text>
    </comment>
    <comment ref="S155" authorId="0" shapeId="0" xr:uid="{497C44C9-4EA7-4E4C-AC56-1F13E086632F}">
      <text>
        <r>
          <rPr>
            <b/>
            <sz val="9"/>
            <color indexed="81"/>
            <rFont val="Tahoma"/>
            <family val="2"/>
          </rPr>
          <t xml:space="preserve"> &lt;[[TCDeals] - [Proxy Entities (Seq: 1)] Address 1 - Send]&gt;</t>
        </r>
      </text>
    </comment>
    <comment ref="T155" authorId="0" shapeId="0" xr:uid="{A9CE02C7-C185-41EA-A559-B4B57B467B0D}">
      <text>
        <r>
          <rPr>
            <b/>
            <sz val="9"/>
            <color indexed="81"/>
            <rFont val="Tahoma"/>
            <family val="2"/>
          </rPr>
          <t xml:space="preserve"> &lt;[[TCDeals] - [Proxy Entities (Seq: 1)] City - Send]&gt;</t>
        </r>
      </text>
    </comment>
    <comment ref="U155" authorId="0" shapeId="0" xr:uid="{F75530A5-6584-4AEB-BEF2-5B35293E2138}">
      <text>
        <r>
          <rPr>
            <b/>
            <sz val="9"/>
            <color indexed="81"/>
            <rFont val="Tahoma"/>
            <family val="2"/>
          </rPr>
          <t xml:space="preserve"> &lt;[[TCDeals] - [Proxy Entities (Seq: 1)] State - Send]&gt;</t>
        </r>
      </text>
    </comment>
    <comment ref="V155" authorId="0" shapeId="0" xr:uid="{069E4599-6345-4B6B-8C35-73F6D5961996}">
      <text>
        <r>
          <rPr>
            <b/>
            <sz val="9"/>
            <color indexed="81"/>
            <rFont val="Tahoma"/>
            <family val="2"/>
          </rPr>
          <t xml:space="preserve"> &lt;[[TCDeals] - [Proxy Entities (Seq: 1)] Zip Code - Send]&gt;</t>
        </r>
      </text>
    </comment>
    <comment ref="W155" authorId="0" shapeId="0" xr:uid="{E664E8D3-E791-4B02-A7AC-E9F0A9D9C9BE}">
      <text>
        <r>
          <rPr>
            <b/>
            <sz val="9"/>
            <color indexed="81"/>
            <rFont val="Tahoma"/>
            <family val="2"/>
          </rPr>
          <t xml:space="preserve"> &lt;[[TCDeals] - [Proxy Entities (Seq: 1)] Direct Phone - Send]&gt;</t>
        </r>
      </text>
    </comment>
    <comment ref="AA155" authorId="0" shapeId="0" xr:uid="{45701B5F-913E-4A2E-9ABD-A3893FFD9A30}">
      <text>
        <r>
          <rPr>
            <b/>
            <sz val="9"/>
            <color indexed="81"/>
            <rFont val="Tahoma"/>
            <family val="2"/>
          </rPr>
          <t xml:space="preserve"> &lt;[[TCDeals] - [Associated DEV Deal (Seq: 1)] - [Proxy Entities (Seq: 23)] Name (Doing Business As) - Send]&gt;</t>
        </r>
      </text>
    </comment>
    <comment ref="AB155" authorId="0" shapeId="0" xr:uid="{21E83E2B-E4B4-4018-ACE9-E32C165644EB}">
      <text>
        <r>
          <rPr>
            <b/>
            <sz val="9"/>
            <color indexed="81"/>
            <rFont val="Tahoma"/>
            <family val="2"/>
          </rPr>
          <t xml:space="preserve"> &lt;[[TCDeals] - [Associated DEV Deal (Seq: 1)] - [Proxy Entities (Seq: 23)] Company or Individual? - Send]&gt;</t>
        </r>
      </text>
    </comment>
    <comment ref="AC155" authorId="0" shapeId="0" xr:uid="{3E8FA4C7-080C-433F-A1C8-5DF37211B50C}">
      <text>
        <r>
          <rPr>
            <b/>
            <sz val="9"/>
            <color indexed="81"/>
            <rFont val="Tahoma"/>
            <family val="2"/>
          </rPr>
          <t xml:space="preserve"> &lt;[[TCDeals] - [Associated DEV Deal (Seq: 1)] - [Proxy Entities (Seq: 23)] Deal Entity Role - Send]&gt;</t>
        </r>
      </text>
    </comment>
    <comment ref="AD155" authorId="0" shapeId="0" xr:uid="{AE7A2BC1-5AA4-43C1-B6E0-E7628B2B1C78}">
      <text>
        <r>
          <rPr>
            <b/>
            <sz val="9"/>
            <color indexed="81"/>
            <rFont val="Tahoma"/>
            <family val="2"/>
          </rPr>
          <t xml:space="preserve"> &lt;[[TCDeals] - [Associated DEV Deal (Seq: 1)] - [Proxy Entities (Seq: 23)] First Name - Send]&gt;</t>
        </r>
      </text>
    </comment>
    <comment ref="AE155" authorId="0" shapeId="0" xr:uid="{1E78CED5-6488-4B79-8EC5-3A19078D8DBC}">
      <text>
        <r>
          <rPr>
            <b/>
            <sz val="9"/>
            <color indexed="81"/>
            <rFont val="Tahoma"/>
            <family val="2"/>
          </rPr>
          <t xml:space="preserve"> &lt;[[TCDeals] - [Associated DEV Deal (Seq: 1)] - [Proxy Entities (Seq: 23)] Last Name - Send]&gt;</t>
        </r>
      </text>
    </comment>
    <comment ref="AF155" authorId="0" shapeId="0" xr:uid="{EBBBA6E5-EB45-4450-8BAD-0D31E92801E0}">
      <text>
        <r>
          <rPr>
            <b/>
            <sz val="9"/>
            <color indexed="81"/>
            <rFont val="Tahoma"/>
            <family val="2"/>
          </rPr>
          <t xml:space="preserve"> &lt;[[TCDeals] - [Associated DEV Deal (Seq: 1)] - [Proxy Entities (Seq: 23)] Email Address 1 - Send]&gt;</t>
        </r>
      </text>
    </comment>
    <comment ref="AG155" authorId="0" shapeId="0" xr:uid="{5BB8F88B-609A-4D8F-B518-EB0FEA2FAFF7}">
      <text>
        <r>
          <rPr>
            <b/>
            <sz val="9"/>
            <color indexed="81"/>
            <rFont val="Tahoma"/>
            <family val="2"/>
          </rPr>
          <t xml:space="preserve"> &lt;[[TCDeals] - [Associated DEV Deal (Seq: 1)] - [Proxy Entities (Seq: 23)] Address 1 - Send]&gt;</t>
        </r>
      </text>
    </comment>
    <comment ref="AH155" authorId="0" shapeId="0" xr:uid="{0BC491DF-8A7C-47DB-8DCE-472258AC5739}">
      <text>
        <r>
          <rPr>
            <b/>
            <sz val="9"/>
            <color indexed="81"/>
            <rFont val="Tahoma"/>
            <family val="2"/>
          </rPr>
          <t xml:space="preserve"> &lt;[[TCDeals] - [Associated DEV Deal (Seq: 1)] - [Proxy Entities (Seq: 23)] City - Send]&gt;</t>
        </r>
      </text>
    </comment>
    <comment ref="AI155" authorId="0" shapeId="0" xr:uid="{038C9FB3-58B6-46FC-9BB6-7012B0BB1316}">
      <text>
        <r>
          <rPr>
            <b/>
            <sz val="9"/>
            <color indexed="81"/>
            <rFont val="Tahoma"/>
            <family val="2"/>
          </rPr>
          <t xml:space="preserve"> &lt;[[TCDeals] - [Associated DEV Deal (Seq: 1)] - [Proxy Entities (Seq: 23)] State - Send]&gt;</t>
        </r>
      </text>
    </comment>
    <comment ref="AJ155" authorId="0" shapeId="0" xr:uid="{AB4C442C-4452-4768-B293-6BC39C81C7A0}">
      <text>
        <r>
          <rPr>
            <b/>
            <sz val="9"/>
            <color indexed="81"/>
            <rFont val="Tahoma"/>
            <family val="2"/>
          </rPr>
          <t xml:space="preserve"> &lt;[[TCDeals] - [Associated DEV Deal (Seq: 1)] - [Proxy Entities (Seq: 23)] Zip Code - Send]&gt;</t>
        </r>
      </text>
    </comment>
    <comment ref="AK155" authorId="0" shapeId="0" xr:uid="{09A818CC-F340-45A0-B345-48B2EBA00226}">
      <text>
        <r>
          <rPr>
            <b/>
            <sz val="9"/>
            <color indexed="81"/>
            <rFont val="Tahoma"/>
            <family val="2"/>
          </rPr>
          <t xml:space="preserve"> &lt;[[TCDeals] - [Associated DEV Deal (Seq: 1)] - [Proxy Entities (Seq: 23)] Direct Phone - Send]&gt;</t>
        </r>
      </text>
    </comment>
    <comment ref="M156" authorId="0" shapeId="0" xr:uid="{F4298CF3-8E14-4709-BF87-8158DCADEB67}">
      <text>
        <r>
          <rPr>
            <b/>
            <sz val="9"/>
            <color indexed="81"/>
            <rFont val="Tahoma"/>
            <family val="2"/>
          </rPr>
          <t xml:space="preserve"> &lt;[[TCDeals] - [Proxy Entities (Seq: 1)] Company or Individual? - Send]&gt;</t>
        </r>
      </text>
    </comment>
    <comment ref="N156" authorId="0" shapeId="0" xr:uid="{ADDD3366-A453-4399-849A-B9C9B6AA92DC}">
      <text>
        <r>
          <rPr>
            <b/>
            <sz val="9"/>
            <color indexed="81"/>
            <rFont val="Tahoma"/>
            <family val="2"/>
          </rPr>
          <t xml:space="preserve"> &lt;[[TCDeals] - [Proxy Entities (Seq: 1)] Deal Entity Role - Send]&gt;</t>
        </r>
      </text>
    </comment>
    <comment ref="O156" authorId="0" shapeId="0" xr:uid="{92364BD5-A8FB-47DE-B8D3-1891514B82B2}">
      <text>
        <r>
          <rPr>
            <b/>
            <sz val="9"/>
            <color indexed="81"/>
            <rFont val="Tahoma"/>
            <family val="2"/>
          </rPr>
          <t xml:space="preserve"> &lt;[[TCDeals] - [Proxy Entities (Seq: 24)] Name (Doing Business As) - Send]&gt;</t>
        </r>
      </text>
    </comment>
    <comment ref="P156" authorId="0" shapeId="0" xr:uid="{5DDAB49A-D97F-47A6-AC53-BE0BDAB07E49}">
      <text>
        <r>
          <rPr>
            <b/>
            <sz val="9"/>
            <color indexed="81"/>
            <rFont val="Tahoma"/>
            <family val="2"/>
          </rPr>
          <t xml:space="preserve"> &lt;[[TCDeals] - [Proxy Entities (Seq: 24)] First Name - Send]&gt;</t>
        </r>
      </text>
    </comment>
    <comment ref="Q156" authorId="0" shapeId="0" xr:uid="{636D1FE3-EB1E-4F4B-B2AA-314C1856E2A6}">
      <text>
        <r>
          <rPr>
            <b/>
            <sz val="9"/>
            <color indexed="81"/>
            <rFont val="Tahoma"/>
            <family val="2"/>
          </rPr>
          <t xml:space="preserve"> &lt;[[TCDeals] - [Proxy Entities (Seq: 24)] Last Name - Send]&gt;</t>
        </r>
      </text>
    </comment>
    <comment ref="R156" authorId="0" shapeId="0" xr:uid="{84CA15E1-5EC0-481E-9182-7B307A7A04C5}">
      <text>
        <r>
          <rPr>
            <b/>
            <sz val="9"/>
            <color indexed="81"/>
            <rFont val="Tahoma"/>
            <family val="2"/>
          </rPr>
          <t xml:space="preserve"> &lt;[[TCDeals] - [Proxy Entities (Seq: 1)] Email Address 1 - Send]&gt;</t>
        </r>
      </text>
    </comment>
    <comment ref="S156" authorId="0" shapeId="0" xr:uid="{8DCA8852-5F07-487E-9966-C68C9C449E44}">
      <text>
        <r>
          <rPr>
            <b/>
            <sz val="9"/>
            <color indexed="81"/>
            <rFont val="Tahoma"/>
            <family val="2"/>
          </rPr>
          <t xml:space="preserve"> &lt;[[TCDeals] - [Proxy Entities (Seq: 1)] Address 1 - Send]&gt;</t>
        </r>
      </text>
    </comment>
    <comment ref="T156" authorId="0" shapeId="0" xr:uid="{2DA721BF-E285-437C-ADD1-2AC477FD4F56}">
      <text>
        <r>
          <rPr>
            <b/>
            <sz val="9"/>
            <color indexed="81"/>
            <rFont val="Tahoma"/>
            <family val="2"/>
          </rPr>
          <t xml:space="preserve"> &lt;[[TCDeals] - [Proxy Entities (Seq: 1)] City - Send]&gt;</t>
        </r>
      </text>
    </comment>
    <comment ref="U156" authorId="0" shapeId="0" xr:uid="{C271A01C-0C20-44AC-9921-EDF662A02D4E}">
      <text>
        <r>
          <rPr>
            <b/>
            <sz val="9"/>
            <color indexed="81"/>
            <rFont val="Tahoma"/>
            <family val="2"/>
          </rPr>
          <t xml:space="preserve"> &lt;[[TCDeals] - [Proxy Entities (Seq: 1)] State - Send]&gt;</t>
        </r>
      </text>
    </comment>
    <comment ref="V156" authorId="0" shapeId="0" xr:uid="{E4D8D767-7534-4B22-AB1E-9F5D2EAF7CB7}">
      <text>
        <r>
          <rPr>
            <b/>
            <sz val="9"/>
            <color indexed="81"/>
            <rFont val="Tahoma"/>
            <family val="2"/>
          </rPr>
          <t xml:space="preserve"> &lt;[[TCDeals] - [Proxy Entities (Seq: 1)] Zip Code - Send]&gt;</t>
        </r>
      </text>
    </comment>
    <comment ref="W156" authorId="0" shapeId="0" xr:uid="{03EDE82B-BBAF-4AA3-B6D5-4AEC825D023F}">
      <text>
        <r>
          <rPr>
            <b/>
            <sz val="9"/>
            <color indexed="81"/>
            <rFont val="Tahoma"/>
            <family val="2"/>
          </rPr>
          <t xml:space="preserve"> &lt;[[TCDeals] - [Proxy Entities (Seq: 1)] Direct Phone - Send]&gt;</t>
        </r>
      </text>
    </comment>
    <comment ref="AA156" authorId="0" shapeId="0" xr:uid="{9A0B766B-D5C2-4316-BB6D-8B4AB0502031}">
      <text>
        <r>
          <rPr>
            <b/>
            <sz val="9"/>
            <color indexed="81"/>
            <rFont val="Tahoma"/>
            <family val="2"/>
          </rPr>
          <t xml:space="preserve"> &lt;[[TCDeals] - [Associated DEV Deal (Seq: 1)] - [Proxy Entities (Seq: 24)] Name (Doing Business As) - Send]&gt;</t>
        </r>
      </text>
    </comment>
    <comment ref="AB156" authorId="0" shapeId="0" xr:uid="{5908DAB7-02A4-498E-B961-FD45B8DB2897}">
      <text>
        <r>
          <rPr>
            <b/>
            <sz val="9"/>
            <color indexed="81"/>
            <rFont val="Tahoma"/>
            <family val="2"/>
          </rPr>
          <t xml:space="preserve"> &lt;[[TCDeals] - [Associated DEV Deal (Seq: 1)] - [Proxy Entities (Seq: 24)] Company or Individual? - Send]&gt;</t>
        </r>
      </text>
    </comment>
    <comment ref="AC156" authorId="0" shapeId="0" xr:uid="{15D3858B-98CC-421B-B1DA-E40264AE78C1}">
      <text>
        <r>
          <rPr>
            <b/>
            <sz val="9"/>
            <color indexed="81"/>
            <rFont val="Tahoma"/>
            <family val="2"/>
          </rPr>
          <t xml:space="preserve"> &lt;[[TCDeals] - [Associated DEV Deal (Seq: 1)] - [Proxy Entities (Seq: 24)] Deal Entity Role - Send]&gt;</t>
        </r>
      </text>
    </comment>
    <comment ref="AD156" authorId="0" shapeId="0" xr:uid="{87AB9022-B6A7-44CB-95D4-BA1FD163D38F}">
      <text>
        <r>
          <rPr>
            <b/>
            <sz val="9"/>
            <color indexed="81"/>
            <rFont val="Tahoma"/>
            <family val="2"/>
          </rPr>
          <t xml:space="preserve"> &lt;[[TCDeals] - [Associated DEV Deal (Seq: 1)] - [Proxy Entities (Seq: 24)] First Name - Send]&gt;</t>
        </r>
      </text>
    </comment>
    <comment ref="AE156" authorId="0" shapeId="0" xr:uid="{0C304C42-36E8-4106-9845-19B085E31F7B}">
      <text>
        <r>
          <rPr>
            <b/>
            <sz val="9"/>
            <color indexed="81"/>
            <rFont val="Tahoma"/>
            <family val="2"/>
          </rPr>
          <t xml:space="preserve"> &lt;[[TCDeals] - [Associated DEV Deal (Seq: 1)] - [Proxy Entities (Seq: 24)] Last Name - Send]&gt;</t>
        </r>
      </text>
    </comment>
    <comment ref="AF156" authorId="0" shapeId="0" xr:uid="{23789147-A6B9-4269-BA86-BAEEA2B064E0}">
      <text>
        <r>
          <rPr>
            <b/>
            <sz val="9"/>
            <color indexed="81"/>
            <rFont val="Tahoma"/>
            <family val="2"/>
          </rPr>
          <t xml:space="preserve"> &lt;[[TCDeals] - [Associated DEV Deal (Seq: 1)] - [Proxy Entities (Seq: 24)] Email Address 1 - Send]&gt;</t>
        </r>
      </text>
    </comment>
    <comment ref="AG156" authorId="0" shapeId="0" xr:uid="{88606861-12B6-4D5D-BE63-EF9088E106D6}">
      <text>
        <r>
          <rPr>
            <b/>
            <sz val="9"/>
            <color indexed="81"/>
            <rFont val="Tahoma"/>
            <family val="2"/>
          </rPr>
          <t xml:space="preserve"> &lt;[[TCDeals] - [Associated DEV Deal (Seq: 1)] - [Proxy Entities (Seq: 24)] Address 1 - Send]&gt;</t>
        </r>
      </text>
    </comment>
    <comment ref="AH156" authorId="0" shapeId="0" xr:uid="{FC7F453E-93BF-455E-AE70-8FFCAE390677}">
      <text>
        <r>
          <rPr>
            <b/>
            <sz val="9"/>
            <color indexed="81"/>
            <rFont val="Tahoma"/>
            <family val="2"/>
          </rPr>
          <t xml:space="preserve"> &lt;[[TCDeals] - [Associated DEV Deal (Seq: 1)] - [Proxy Entities (Seq: 24)] City - Send]&gt;</t>
        </r>
      </text>
    </comment>
    <comment ref="AI156" authorId="0" shapeId="0" xr:uid="{4FA7A586-A891-4A07-AD96-4A7D8F4DD7A7}">
      <text>
        <r>
          <rPr>
            <b/>
            <sz val="9"/>
            <color indexed="81"/>
            <rFont val="Tahoma"/>
            <family val="2"/>
          </rPr>
          <t xml:space="preserve"> &lt;[[TCDeals] - [Associated DEV Deal (Seq: 1)] - [Proxy Entities (Seq: 24)] State - Send]&gt;</t>
        </r>
      </text>
    </comment>
    <comment ref="AJ156" authorId="0" shapeId="0" xr:uid="{76FED03A-23B1-421F-B7D4-65AE6D4BB486}">
      <text>
        <r>
          <rPr>
            <b/>
            <sz val="9"/>
            <color indexed="81"/>
            <rFont val="Tahoma"/>
            <family val="2"/>
          </rPr>
          <t xml:space="preserve"> &lt;[[TCDeals] - [Associated DEV Deal (Seq: 1)] - [Proxy Entities (Seq: 24)] Zip Code - Send]&gt;</t>
        </r>
      </text>
    </comment>
    <comment ref="AK156" authorId="0" shapeId="0" xr:uid="{995DE507-C08C-447E-B8A5-DDAD8FAEB068}">
      <text>
        <r>
          <rPr>
            <b/>
            <sz val="9"/>
            <color indexed="81"/>
            <rFont val="Tahoma"/>
            <family val="2"/>
          </rPr>
          <t xml:space="preserve"> &lt;[[TCDeals] - [Associated DEV Deal (Seq: 1)] - [Proxy Entities (Seq: 24)] Direct Phone - Send]&gt;</t>
        </r>
      </text>
    </comment>
    <comment ref="M157" authorId="0" shapeId="0" xr:uid="{F3528F46-7ABE-44A7-85DE-C4A723DF0A0E}">
      <text>
        <r>
          <rPr>
            <b/>
            <sz val="9"/>
            <color indexed="81"/>
            <rFont val="Tahoma"/>
            <family val="2"/>
          </rPr>
          <t xml:space="preserve"> &lt;[[TCDeals] - [Proxy Entities (Seq: 1)] Company or Individual? - Send]&gt;</t>
        </r>
      </text>
    </comment>
    <comment ref="N157" authorId="0" shapeId="0" xr:uid="{3772E26A-3703-49D4-BF00-4ECDB7DC445E}">
      <text>
        <r>
          <rPr>
            <b/>
            <sz val="9"/>
            <color indexed="81"/>
            <rFont val="Tahoma"/>
            <family val="2"/>
          </rPr>
          <t xml:space="preserve"> &lt;[[TCDeals] - [Proxy Entities (Seq: 1)] Deal Entity Role - Send]&gt;</t>
        </r>
      </text>
    </comment>
    <comment ref="O157" authorId="0" shapeId="0" xr:uid="{26ED92A4-895F-4CF3-80BE-39DC9823A2CA}">
      <text>
        <r>
          <rPr>
            <b/>
            <sz val="9"/>
            <color indexed="81"/>
            <rFont val="Tahoma"/>
            <family val="2"/>
          </rPr>
          <t xml:space="preserve"> &lt;[[TCDeals] - [Proxy Entities (Seq: 25)] Name (Doing Business As) - Send]&gt;</t>
        </r>
      </text>
    </comment>
    <comment ref="P157" authorId="0" shapeId="0" xr:uid="{9D3989CB-D0F4-4942-99DD-2528ABAF29D1}">
      <text>
        <r>
          <rPr>
            <b/>
            <sz val="9"/>
            <color indexed="81"/>
            <rFont val="Tahoma"/>
            <family val="2"/>
          </rPr>
          <t xml:space="preserve"> &lt;[[TCDeals] - [Proxy Entities (Seq: 25)] First Name - Send]&gt;</t>
        </r>
      </text>
    </comment>
    <comment ref="Q157" authorId="0" shapeId="0" xr:uid="{EE288701-D385-47D3-9BA2-E0DD10EA6A1F}">
      <text>
        <r>
          <rPr>
            <b/>
            <sz val="9"/>
            <color indexed="81"/>
            <rFont val="Tahoma"/>
            <family val="2"/>
          </rPr>
          <t xml:space="preserve"> &lt;[[TCDeals] - [Proxy Entities (Seq: 25)] Last Name - Send]&gt;</t>
        </r>
      </text>
    </comment>
    <comment ref="R157" authorId="0" shapeId="0" xr:uid="{2EB4C786-D12D-4C2F-928A-C19A36102DB0}">
      <text>
        <r>
          <rPr>
            <b/>
            <sz val="9"/>
            <color indexed="81"/>
            <rFont val="Tahoma"/>
            <family val="2"/>
          </rPr>
          <t xml:space="preserve"> &lt;[[TCDeals] - [Proxy Entities (Seq: 1)] Email Address 1 - Send]&gt;</t>
        </r>
      </text>
    </comment>
    <comment ref="S157" authorId="0" shapeId="0" xr:uid="{E1394BA9-6663-4067-8760-471484C0993F}">
      <text>
        <r>
          <rPr>
            <b/>
            <sz val="9"/>
            <color indexed="81"/>
            <rFont val="Tahoma"/>
            <family val="2"/>
          </rPr>
          <t xml:space="preserve"> &lt;[[TCDeals] - [Proxy Entities (Seq: 1)] Address 1 - Send]&gt;</t>
        </r>
      </text>
    </comment>
    <comment ref="T157" authorId="0" shapeId="0" xr:uid="{B8A4488E-30D5-4D94-B9B6-7A5E2AD57071}">
      <text>
        <r>
          <rPr>
            <b/>
            <sz val="9"/>
            <color indexed="81"/>
            <rFont val="Tahoma"/>
            <family val="2"/>
          </rPr>
          <t xml:space="preserve"> &lt;[[TCDeals] - [Proxy Entities (Seq: 1)] City - Send]&gt;</t>
        </r>
      </text>
    </comment>
    <comment ref="U157" authorId="0" shapeId="0" xr:uid="{172D124C-35AF-4619-986E-EA6D1AB55CB5}">
      <text>
        <r>
          <rPr>
            <b/>
            <sz val="9"/>
            <color indexed="81"/>
            <rFont val="Tahoma"/>
            <family val="2"/>
          </rPr>
          <t xml:space="preserve"> &lt;[[TCDeals] - [Proxy Entities (Seq: 1)] State - Send]&gt;</t>
        </r>
      </text>
    </comment>
    <comment ref="V157" authorId="0" shapeId="0" xr:uid="{1EF57533-5229-4459-B7EC-4808534E330B}">
      <text>
        <r>
          <rPr>
            <b/>
            <sz val="9"/>
            <color indexed="81"/>
            <rFont val="Tahoma"/>
            <family val="2"/>
          </rPr>
          <t xml:space="preserve"> &lt;[[TCDeals] - [Proxy Entities (Seq: 1)] Zip Code - Send]&gt;</t>
        </r>
      </text>
    </comment>
    <comment ref="W157" authorId="0" shapeId="0" xr:uid="{1A207B96-A307-4C5A-BF05-DE226E557635}">
      <text>
        <r>
          <rPr>
            <b/>
            <sz val="9"/>
            <color indexed="81"/>
            <rFont val="Tahoma"/>
            <family val="2"/>
          </rPr>
          <t xml:space="preserve"> &lt;[[TCDeals] - [Proxy Entities (Seq: 1)] Direct Phone - Send]&gt;</t>
        </r>
      </text>
    </comment>
    <comment ref="AA157" authorId="0" shapeId="0" xr:uid="{7A0F21D0-6EF9-4212-8637-FE07AA1A2252}">
      <text>
        <r>
          <rPr>
            <b/>
            <sz val="9"/>
            <color indexed="81"/>
            <rFont val="Tahoma"/>
            <family val="2"/>
          </rPr>
          <t xml:space="preserve"> &lt;[[TCDeals] - [Associated DEV Deal (Seq: 1)] - [Proxy Entities (Seq: 25)] Name (Doing Business As) - Send]&gt;</t>
        </r>
      </text>
    </comment>
    <comment ref="AB157" authorId="0" shapeId="0" xr:uid="{179BAB39-BFAF-4DDF-9B5E-1D164A0EA7D0}">
      <text>
        <r>
          <rPr>
            <b/>
            <sz val="9"/>
            <color indexed="81"/>
            <rFont val="Tahoma"/>
            <family val="2"/>
          </rPr>
          <t xml:space="preserve"> &lt;[[TCDeals] - [Associated DEV Deal (Seq: 1)] - [Proxy Entities (Seq: 25)] Company or Individual? - Send]&gt;</t>
        </r>
      </text>
    </comment>
    <comment ref="AC157" authorId="0" shapeId="0" xr:uid="{86AACCB6-F296-4DA6-8DAB-F57D26D875EC}">
      <text>
        <r>
          <rPr>
            <b/>
            <sz val="9"/>
            <color indexed="81"/>
            <rFont val="Tahoma"/>
            <family val="2"/>
          </rPr>
          <t xml:space="preserve"> &lt;[[TCDeals] - [Associated DEV Deal (Seq: 1)] - [Proxy Entities (Seq: 25)] Deal Entity Role - Send]&gt;</t>
        </r>
      </text>
    </comment>
    <comment ref="AD157" authorId="0" shapeId="0" xr:uid="{E1DAADCB-5DA5-4871-9A82-1D6C00E97E0C}">
      <text>
        <r>
          <rPr>
            <b/>
            <sz val="9"/>
            <color indexed="81"/>
            <rFont val="Tahoma"/>
            <family val="2"/>
          </rPr>
          <t xml:space="preserve"> &lt;[[TCDeals] - [Associated DEV Deal (Seq: 1)] - [Proxy Entities (Seq: 25)] First Name - Send]&gt;</t>
        </r>
      </text>
    </comment>
    <comment ref="AE157" authorId="0" shapeId="0" xr:uid="{E2B95572-C133-416C-82B8-1E846C0A669D}">
      <text>
        <r>
          <rPr>
            <b/>
            <sz val="9"/>
            <color indexed="81"/>
            <rFont val="Tahoma"/>
            <family val="2"/>
          </rPr>
          <t xml:space="preserve"> &lt;[[TCDeals] - [Associated DEV Deal (Seq: 1)] - [Proxy Entities (Seq: 25)] Last Name - Send]&gt;</t>
        </r>
      </text>
    </comment>
    <comment ref="AF157" authorId="0" shapeId="0" xr:uid="{2E39B2D3-32D3-4144-A683-EBCE21AB87AF}">
      <text>
        <r>
          <rPr>
            <b/>
            <sz val="9"/>
            <color indexed="81"/>
            <rFont val="Tahoma"/>
            <family val="2"/>
          </rPr>
          <t xml:space="preserve"> &lt;[[TCDeals] - [Associated DEV Deal (Seq: 1)] - [Proxy Entities (Seq: 25)] Email Address 1 - Send]&gt;</t>
        </r>
      </text>
    </comment>
    <comment ref="AG157" authorId="0" shapeId="0" xr:uid="{AC1AFBA4-B57C-4B14-B41A-4886D5042259}">
      <text>
        <r>
          <rPr>
            <b/>
            <sz val="9"/>
            <color indexed="81"/>
            <rFont val="Tahoma"/>
            <family val="2"/>
          </rPr>
          <t xml:space="preserve"> &lt;[[TCDeals] - [Associated DEV Deal (Seq: 1)] - [Proxy Entities (Seq: 25)] Address 1 - Send]&gt;</t>
        </r>
      </text>
    </comment>
    <comment ref="AH157" authorId="0" shapeId="0" xr:uid="{4BBE2038-A76D-4794-9349-A6203D85FEBE}">
      <text>
        <r>
          <rPr>
            <b/>
            <sz val="9"/>
            <color indexed="81"/>
            <rFont val="Tahoma"/>
            <family val="2"/>
          </rPr>
          <t xml:space="preserve"> &lt;[[TCDeals] - [Associated DEV Deal (Seq: 1)] - [Proxy Entities (Seq: 25)] City - Send]&gt;</t>
        </r>
      </text>
    </comment>
    <comment ref="AI157" authorId="0" shapeId="0" xr:uid="{4F13F83F-66D7-49C5-ADDF-D2A621395E4A}">
      <text>
        <r>
          <rPr>
            <b/>
            <sz val="9"/>
            <color indexed="81"/>
            <rFont val="Tahoma"/>
            <family val="2"/>
          </rPr>
          <t xml:space="preserve"> &lt;[[TCDeals] - [Associated DEV Deal (Seq: 1)] - [Proxy Entities (Seq: 25)] State - Send]&gt;</t>
        </r>
      </text>
    </comment>
    <comment ref="AJ157" authorId="0" shapeId="0" xr:uid="{A6944931-F419-4EE1-B187-1E1CAF1DBD54}">
      <text>
        <r>
          <rPr>
            <b/>
            <sz val="9"/>
            <color indexed="81"/>
            <rFont val="Tahoma"/>
            <family val="2"/>
          </rPr>
          <t xml:space="preserve"> &lt;[[TCDeals] - [Associated DEV Deal (Seq: 1)] - [Proxy Entities (Seq: 25)] Zip Code - Send]&gt;</t>
        </r>
      </text>
    </comment>
    <comment ref="AK157" authorId="0" shapeId="0" xr:uid="{FB80D1A0-88E4-413A-A0C8-CF604232DB88}">
      <text>
        <r>
          <rPr>
            <b/>
            <sz val="9"/>
            <color indexed="81"/>
            <rFont val="Tahoma"/>
            <family val="2"/>
          </rPr>
          <t xml:space="preserve"> &lt;[[TCDeals] - [Associated DEV Deal (Seq: 1)] - [Proxy Entities (Seq: 25)] Direct Phone - Send]&gt;</t>
        </r>
      </text>
    </comment>
    <comment ref="M158" authorId="0" shapeId="0" xr:uid="{A852E375-0A3A-46A2-859F-CD0CF5264853}">
      <text>
        <r>
          <rPr>
            <b/>
            <sz val="9"/>
            <color indexed="81"/>
            <rFont val="Tahoma"/>
            <family val="2"/>
          </rPr>
          <t xml:space="preserve"> &lt;[[TCDeals] - [Proxy Entities (Seq: 1)] Company or Individual? - Send]&gt;</t>
        </r>
      </text>
    </comment>
    <comment ref="N158" authorId="0" shapeId="0" xr:uid="{5B89882D-EBCD-4CF3-A194-0E814A1D595A}">
      <text>
        <r>
          <rPr>
            <b/>
            <sz val="9"/>
            <color indexed="81"/>
            <rFont val="Tahoma"/>
            <family val="2"/>
          </rPr>
          <t xml:space="preserve"> &lt;[[TCDeals] - [Proxy Entities (Seq: 1)] Deal Entity Role - Send]&gt;</t>
        </r>
      </text>
    </comment>
    <comment ref="O158" authorId="0" shapeId="0" xr:uid="{1BF5700E-8B0D-40DA-9D3C-5293C947CC86}">
      <text>
        <r>
          <rPr>
            <b/>
            <sz val="9"/>
            <color indexed="81"/>
            <rFont val="Tahoma"/>
            <family val="2"/>
          </rPr>
          <t xml:space="preserve"> &lt;[[TCDeals] - [Proxy Entities (Seq: 26)] Name (Doing Business As) - Send]&gt;</t>
        </r>
      </text>
    </comment>
    <comment ref="P158" authorId="0" shapeId="0" xr:uid="{28F0C95C-9CE5-44B5-88DB-CB89BAEB26E0}">
      <text>
        <r>
          <rPr>
            <b/>
            <sz val="9"/>
            <color indexed="81"/>
            <rFont val="Tahoma"/>
            <family val="2"/>
          </rPr>
          <t xml:space="preserve"> &lt;[[TCDeals] - [Proxy Entities (Seq: 26)] First Name - Send]&gt;</t>
        </r>
      </text>
    </comment>
    <comment ref="Q158" authorId="0" shapeId="0" xr:uid="{E0A9D67B-B486-4D7E-ACC9-50A43EC2D227}">
      <text>
        <r>
          <rPr>
            <b/>
            <sz val="9"/>
            <color indexed="81"/>
            <rFont val="Tahoma"/>
            <family val="2"/>
          </rPr>
          <t xml:space="preserve"> &lt;[[TCDeals] - [Proxy Entities (Seq: 26)] Last Name - Send]&gt;</t>
        </r>
      </text>
    </comment>
    <comment ref="R158" authorId="0" shapeId="0" xr:uid="{C206BBFD-4CF9-4C4E-B7AB-A5F866131B58}">
      <text>
        <r>
          <rPr>
            <b/>
            <sz val="9"/>
            <color indexed="81"/>
            <rFont val="Tahoma"/>
            <family val="2"/>
          </rPr>
          <t xml:space="preserve"> &lt;[[TCDeals] - [Proxy Entities (Seq: 1)] Email Address 1 - Send]&gt;</t>
        </r>
      </text>
    </comment>
    <comment ref="S158" authorId="0" shapeId="0" xr:uid="{EEEC0909-AC44-4B91-BB3E-CBCCDDAC8014}">
      <text>
        <r>
          <rPr>
            <b/>
            <sz val="9"/>
            <color indexed="81"/>
            <rFont val="Tahoma"/>
            <family val="2"/>
          </rPr>
          <t xml:space="preserve"> &lt;[[TCDeals] - [Proxy Entities (Seq: 1)] Address 1 - Send]&gt;</t>
        </r>
      </text>
    </comment>
    <comment ref="T158" authorId="0" shapeId="0" xr:uid="{0401FA77-6C91-4885-AB73-4B97FC76957B}">
      <text>
        <r>
          <rPr>
            <b/>
            <sz val="9"/>
            <color indexed="81"/>
            <rFont val="Tahoma"/>
            <family val="2"/>
          </rPr>
          <t xml:space="preserve"> &lt;[[TCDeals] - [Proxy Entities (Seq: 1)] City - Send]&gt;</t>
        </r>
      </text>
    </comment>
    <comment ref="U158" authorId="0" shapeId="0" xr:uid="{58CF0D73-BB73-423F-97DC-5FC1CA765423}">
      <text>
        <r>
          <rPr>
            <b/>
            <sz val="9"/>
            <color indexed="81"/>
            <rFont val="Tahoma"/>
            <family val="2"/>
          </rPr>
          <t xml:space="preserve"> &lt;[[TCDeals] - [Proxy Entities (Seq: 1)] State - Send]&gt;</t>
        </r>
      </text>
    </comment>
    <comment ref="V158" authorId="0" shapeId="0" xr:uid="{5BA44CDE-6A59-4F97-873F-C517CC83ED3B}">
      <text>
        <r>
          <rPr>
            <b/>
            <sz val="9"/>
            <color indexed="81"/>
            <rFont val="Tahoma"/>
            <family val="2"/>
          </rPr>
          <t xml:space="preserve"> &lt;[[TCDeals] - [Proxy Entities (Seq: 1)] Zip Code - Send]&gt;</t>
        </r>
      </text>
    </comment>
    <comment ref="W158" authorId="0" shapeId="0" xr:uid="{7B54ADDD-3043-4BF9-A53C-DE5F60013D83}">
      <text>
        <r>
          <rPr>
            <b/>
            <sz val="9"/>
            <color indexed="81"/>
            <rFont val="Tahoma"/>
            <family val="2"/>
          </rPr>
          <t xml:space="preserve"> &lt;[[TCDeals] - [Proxy Entities (Seq: 1)] Direct Phone - Send]&gt;</t>
        </r>
      </text>
    </comment>
    <comment ref="AA158" authorId="0" shapeId="0" xr:uid="{7F0269EC-C6FF-4A23-81D1-4A2411C2AEBF}">
      <text>
        <r>
          <rPr>
            <b/>
            <sz val="9"/>
            <color indexed="81"/>
            <rFont val="Tahoma"/>
            <family val="2"/>
          </rPr>
          <t xml:space="preserve"> &lt;[[TCDeals] - [Associated DEV Deal (Seq: 1)] - [Proxy Entities (Seq: 26)] Name (Doing Business As) - Send]&gt;</t>
        </r>
      </text>
    </comment>
    <comment ref="AB158" authorId="0" shapeId="0" xr:uid="{E7C93009-05E8-452A-B1A9-6B35F07A166D}">
      <text>
        <r>
          <rPr>
            <b/>
            <sz val="9"/>
            <color indexed="81"/>
            <rFont val="Tahoma"/>
            <family val="2"/>
          </rPr>
          <t xml:space="preserve"> &lt;[[TCDeals] - [Associated DEV Deal (Seq: 1)] - [Proxy Entities (Seq: 26)] Company or Individual? - Send]&gt;</t>
        </r>
      </text>
    </comment>
    <comment ref="AC158" authorId="0" shapeId="0" xr:uid="{EA6C423E-52F5-49CD-ACAA-539ACB5EAA6D}">
      <text>
        <r>
          <rPr>
            <b/>
            <sz val="9"/>
            <color indexed="81"/>
            <rFont val="Tahoma"/>
            <family val="2"/>
          </rPr>
          <t xml:space="preserve"> &lt;[[TCDeals] - [Associated DEV Deal (Seq: 1)] - [Proxy Entities (Seq: 26)] Deal Entity Role - Send]&gt;</t>
        </r>
      </text>
    </comment>
    <comment ref="AD158" authorId="0" shapeId="0" xr:uid="{3B1A9D10-4877-4DCA-BDBE-47850B45D443}">
      <text>
        <r>
          <rPr>
            <b/>
            <sz val="9"/>
            <color indexed="81"/>
            <rFont val="Tahoma"/>
            <family val="2"/>
          </rPr>
          <t xml:space="preserve"> &lt;[[TCDeals] - [Associated DEV Deal (Seq: 1)] - [Proxy Entities (Seq: 26)] First Name - Send]&gt;</t>
        </r>
      </text>
    </comment>
    <comment ref="AE158" authorId="0" shapeId="0" xr:uid="{486EA557-9854-4E5D-BEDA-F970FBC69BD8}">
      <text>
        <r>
          <rPr>
            <b/>
            <sz val="9"/>
            <color indexed="81"/>
            <rFont val="Tahoma"/>
            <family val="2"/>
          </rPr>
          <t xml:space="preserve"> &lt;[[TCDeals] - [Associated DEV Deal (Seq: 1)] - [Proxy Entities (Seq: 26)] Last Name - Send]&gt;</t>
        </r>
      </text>
    </comment>
    <comment ref="AF158" authorId="0" shapeId="0" xr:uid="{D7CE6695-1914-4BCE-82EF-E2A5BB949362}">
      <text>
        <r>
          <rPr>
            <b/>
            <sz val="9"/>
            <color indexed="81"/>
            <rFont val="Tahoma"/>
            <family val="2"/>
          </rPr>
          <t xml:space="preserve"> &lt;[[TCDeals] - [Associated DEV Deal (Seq: 1)] - [Proxy Entities (Seq: 26)] Email Address 1 - Send]&gt;</t>
        </r>
      </text>
    </comment>
    <comment ref="AG158" authorId="0" shapeId="0" xr:uid="{9FEC69B2-FE05-420D-98CF-5D66F7C2AD97}">
      <text>
        <r>
          <rPr>
            <b/>
            <sz val="9"/>
            <color indexed="81"/>
            <rFont val="Tahoma"/>
            <family val="2"/>
          </rPr>
          <t xml:space="preserve"> &lt;[[TCDeals] - [Associated DEV Deal (Seq: 1)] - [Proxy Entities (Seq: 26)] Address 1 - Send]&gt;</t>
        </r>
      </text>
    </comment>
    <comment ref="AH158" authorId="0" shapeId="0" xr:uid="{2AF79A4B-16DC-4DE4-805D-EC8E9726DF96}">
      <text>
        <r>
          <rPr>
            <b/>
            <sz val="9"/>
            <color indexed="81"/>
            <rFont val="Tahoma"/>
            <family val="2"/>
          </rPr>
          <t xml:space="preserve"> &lt;[[TCDeals] - [Associated DEV Deal (Seq: 1)] - [Proxy Entities (Seq: 26)] City - Send]&gt;</t>
        </r>
      </text>
    </comment>
    <comment ref="AI158" authorId="0" shapeId="0" xr:uid="{A7CD8F9C-534D-427A-9C82-56DBE94E71C2}">
      <text>
        <r>
          <rPr>
            <b/>
            <sz val="9"/>
            <color indexed="81"/>
            <rFont val="Tahoma"/>
            <family val="2"/>
          </rPr>
          <t xml:space="preserve"> &lt;[[TCDeals] - [Associated DEV Deal (Seq: 1)] - [Proxy Entities (Seq: 26)] State - Send]&gt;</t>
        </r>
      </text>
    </comment>
    <comment ref="AJ158" authorId="0" shapeId="0" xr:uid="{61810FFF-C611-4ACB-BAAA-EE0B2918FB01}">
      <text>
        <r>
          <rPr>
            <b/>
            <sz val="9"/>
            <color indexed="81"/>
            <rFont val="Tahoma"/>
            <family val="2"/>
          </rPr>
          <t xml:space="preserve"> &lt;[[TCDeals] - [Associated DEV Deal (Seq: 1)] - [Proxy Entities (Seq: 26)] Zip Code - Send]&gt;</t>
        </r>
      </text>
    </comment>
    <comment ref="AK158" authorId="0" shapeId="0" xr:uid="{CF1639D8-B6C7-4B9D-B086-13D44CE1ED50}">
      <text>
        <r>
          <rPr>
            <b/>
            <sz val="9"/>
            <color indexed="81"/>
            <rFont val="Tahoma"/>
            <family val="2"/>
          </rPr>
          <t xml:space="preserve"> &lt;[[TCDeals] - [Associated DEV Deal (Seq: 1)] - [Proxy Entities (Seq: 26)] Direct Phone - Send]&gt;</t>
        </r>
      </text>
    </comment>
    <comment ref="M159" authorId="0" shapeId="0" xr:uid="{236644FC-C2F3-416A-85F2-1A6C5BBF4870}">
      <text>
        <r>
          <rPr>
            <b/>
            <sz val="9"/>
            <color indexed="81"/>
            <rFont val="Tahoma"/>
            <family val="2"/>
          </rPr>
          <t xml:space="preserve"> &lt;[[TCDeals] - [Proxy Entities (Seq: 1)] Company or Individual? - Send]&gt;</t>
        </r>
      </text>
    </comment>
    <comment ref="N159" authorId="0" shapeId="0" xr:uid="{98BCBB81-4AF2-40BE-8BC7-072C17C30EE1}">
      <text>
        <r>
          <rPr>
            <b/>
            <sz val="9"/>
            <color indexed="81"/>
            <rFont val="Tahoma"/>
            <family val="2"/>
          </rPr>
          <t xml:space="preserve"> &lt;[[TCDeals] - [Proxy Entities (Seq: 1)] Deal Entity Role - Send]&gt;</t>
        </r>
      </text>
    </comment>
    <comment ref="O159" authorId="0" shapeId="0" xr:uid="{0D048587-6AA0-41C2-853E-60642B8ED69C}">
      <text>
        <r>
          <rPr>
            <b/>
            <sz val="9"/>
            <color indexed="81"/>
            <rFont val="Tahoma"/>
            <family val="2"/>
          </rPr>
          <t xml:space="preserve"> &lt;[[TCDeals] - [Proxy Entities (Seq: 27)] Name (Doing Business As) - Send]&gt;</t>
        </r>
      </text>
    </comment>
    <comment ref="P159" authorId="0" shapeId="0" xr:uid="{6D5325F7-5603-4BFE-B4CC-89BF7A7077B4}">
      <text>
        <r>
          <rPr>
            <b/>
            <sz val="9"/>
            <color indexed="81"/>
            <rFont val="Tahoma"/>
            <family val="2"/>
          </rPr>
          <t xml:space="preserve"> &lt;[[TCDeals] - [Proxy Entities (Seq: 27)] First Name - Send]&gt;</t>
        </r>
      </text>
    </comment>
    <comment ref="Q159" authorId="0" shapeId="0" xr:uid="{54F5A238-2469-4A0E-B037-E6588722737F}">
      <text>
        <r>
          <rPr>
            <b/>
            <sz val="9"/>
            <color indexed="81"/>
            <rFont val="Tahoma"/>
            <family val="2"/>
          </rPr>
          <t xml:space="preserve"> &lt;[[TCDeals] - [Proxy Entities (Seq: 27)] Last Name - Send]&gt;</t>
        </r>
      </text>
    </comment>
    <comment ref="R159" authorId="0" shapeId="0" xr:uid="{F1605B60-03BE-40E2-AC48-FAA36F947C37}">
      <text>
        <r>
          <rPr>
            <b/>
            <sz val="9"/>
            <color indexed="81"/>
            <rFont val="Tahoma"/>
            <family val="2"/>
          </rPr>
          <t xml:space="preserve"> &lt;[[TCDeals] - [Proxy Entities (Seq: 1)] Email Address 1 - Send]&gt;</t>
        </r>
      </text>
    </comment>
    <comment ref="S159" authorId="0" shapeId="0" xr:uid="{FC91C33E-B9C9-4580-B405-34CD89B71145}">
      <text>
        <r>
          <rPr>
            <b/>
            <sz val="9"/>
            <color indexed="81"/>
            <rFont val="Tahoma"/>
            <family val="2"/>
          </rPr>
          <t xml:space="preserve"> &lt;[[TCDeals] - [Proxy Entities (Seq: 1)] Address 1 - Send]&gt;</t>
        </r>
      </text>
    </comment>
    <comment ref="T159" authorId="0" shapeId="0" xr:uid="{A74C7DB0-4919-486D-94B5-4D608A9A01DB}">
      <text>
        <r>
          <rPr>
            <b/>
            <sz val="9"/>
            <color indexed="81"/>
            <rFont val="Tahoma"/>
            <family val="2"/>
          </rPr>
          <t xml:space="preserve"> &lt;[[TCDeals] - [Proxy Entities (Seq: 1)] City - Send]&gt;</t>
        </r>
      </text>
    </comment>
    <comment ref="U159" authorId="0" shapeId="0" xr:uid="{D46A5E01-A8E4-4A6C-9D67-93524113758C}">
      <text>
        <r>
          <rPr>
            <b/>
            <sz val="9"/>
            <color indexed="81"/>
            <rFont val="Tahoma"/>
            <family val="2"/>
          </rPr>
          <t xml:space="preserve"> &lt;[[TCDeals] - [Proxy Entities (Seq: 1)] State - Send]&gt;</t>
        </r>
      </text>
    </comment>
    <comment ref="V159" authorId="0" shapeId="0" xr:uid="{3A93310A-F379-4DD9-938A-050A01B312E0}">
      <text>
        <r>
          <rPr>
            <b/>
            <sz val="9"/>
            <color indexed="81"/>
            <rFont val="Tahoma"/>
            <family val="2"/>
          </rPr>
          <t xml:space="preserve"> &lt;[[TCDeals] - [Proxy Entities (Seq: 1)] Zip Code - Send]&gt;</t>
        </r>
      </text>
    </comment>
    <comment ref="W159" authorId="0" shapeId="0" xr:uid="{511DE11A-8F03-4C87-9C9F-9C3876E52AA7}">
      <text>
        <r>
          <rPr>
            <b/>
            <sz val="9"/>
            <color indexed="81"/>
            <rFont val="Tahoma"/>
            <family val="2"/>
          </rPr>
          <t xml:space="preserve"> &lt;[[TCDeals] - [Proxy Entities (Seq: 1)] Direct Phone - Send]&gt;</t>
        </r>
      </text>
    </comment>
    <comment ref="AA159" authorId="0" shapeId="0" xr:uid="{F706C0A9-F1D7-458A-B60A-093E13EA32AF}">
      <text>
        <r>
          <rPr>
            <b/>
            <sz val="9"/>
            <color indexed="81"/>
            <rFont val="Tahoma"/>
            <family val="2"/>
          </rPr>
          <t xml:space="preserve"> &lt;[[TCDeals] - [Associated DEV Deal (Seq: 1)] - [Proxy Entities (Seq: 27)] Name (Doing Business As) - Send]&gt;</t>
        </r>
      </text>
    </comment>
    <comment ref="AB159" authorId="0" shapeId="0" xr:uid="{30CBE446-2DC4-4E3E-8647-B7A2584E2BB8}">
      <text>
        <r>
          <rPr>
            <b/>
            <sz val="9"/>
            <color indexed="81"/>
            <rFont val="Tahoma"/>
            <family val="2"/>
          </rPr>
          <t xml:space="preserve"> &lt;[[TCDeals] - [Associated DEV Deal (Seq: 1)] - [Proxy Entities (Seq: 27)] Company or Individual? - Send]&gt;</t>
        </r>
      </text>
    </comment>
    <comment ref="AC159" authorId="0" shapeId="0" xr:uid="{3C307E42-D0EB-4E5E-811D-AEAC6E0BFE71}">
      <text>
        <r>
          <rPr>
            <b/>
            <sz val="9"/>
            <color indexed="81"/>
            <rFont val="Tahoma"/>
            <family val="2"/>
          </rPr>
          <t xml:space="preserve"> &lt;[[TCDeals] - [Associated DEV Deal (Seq: 1)] - [Proxy Entities (Seq: 27)] Deal Entity Role - Send]&gt;</t>
        </r>
      </text>
    </comment>
    <comment ref="AD159" authorId="0" shapeId="0" xr:uid="{E4009BC5-E56F-4EB0-8A13-3C6187A79E16}">
      <text>
        <r>
          <rPr>
            <b/>
            <sz val="9"/>
            <color indexed="81"/>
            <rFont val="Tahoma"/>
            <family val="2"/>
          </rPr>
          <t xml:space="preserve"> &lt;[[TCDeals] - [Associated DEV Deal (Seq: 1)] - [Proxy Entities (Seq: 27)] First Name - Send]&gt;</t>
        </r>
      </text>
    </comment>
    <comment ref="AE159" authorId="0" shapeId="0" xr:uid="{ECE0DF68-DE6B-4592-8CDE-6E7AD806F499}">
      <text>
        <r>
          <rPr>
            <b/>
            <sz val="9"/>
            <color indexed="81"/>
            <rFont val="Tahoma"/>
            <family val="2"/>
          </rPr>
          <t xml:space="preserve"> &lt;[[TCDeals] - [Associated DEV Deal (Seq: 1)] - [Proxy Entities (Seq: 27)] Last Name - Send]&gt;</t>
        </r>
      </text>
    </comment>
    <comment ref="AF159" authorId="0" shapeId="0" xr:uid="{D45E5D00-5FC2-431A-AB3B-F86F615D98CD}">
      <text>
        <r>
          <rPr>
            <b/>
            <sz val="9"/>
            <color indexed="81"/>
            <rFont val="Tahoma"/>
            <family val="2"/>
          </rPr>
          <t xml:space="preserve"> &lt;[[TCDeals] - [Associated DEV Deal (Seq: 1)] - [Proxy Entities (Seq: 27)] Email Address 1 - Send]&gt;</t>
        </r>
      </text>
    </comment>
    <comment ref="AG159" authorId="0" shapeId="0" xr:uid="{96EFCF06-0392-4601-A51A-6DF5C2DF30FA}">
      <text>
        <r>
          <rPr>
            <b/>
            <sz val="9"/>
            <color indexed="81"/>
            <rFont val="Tahoma"/>
            <family val="2"/>
          </rPr>
          <t xml:space="preserve"> &lt;[[TCDeals] - [Associated DEV Deal (Seq: 1)] - [Proxy Entities (Seq: 27)] Address 1 - Send]&gt;</t>
        </r>
      </text>
    </comment>
    <comment ref="AH159" authorId="0" shapeId="0" xr:uid="{8EA4C256-1814-453F-A1B1-EAC602AB7D69}">
      <text>
        <r>
          <rPr>
            <b/>
            <sz val="9"/>
            <color indexed="81"/>
            <rFont val="Tahoma"/>
            <family val="2"/>
          </rPr>
          <t xml:space="preserve"> &lt;[[TCDeals] - [Associated DEV Deal (Seq: 1)] - [Proxy Entities (Seq: 27)] City - Send]&gt;</t>
        </r>
      </text>
    </comment>
    <comment ref="AI159" authorId="0" shapeId="0" xr:uid="{D69EF381-22F1-4CA4-A347-C6E6B0026D77}">
      <text>
        <r>
          <rPr>
            <b/>
            <sz val="9"/>
            <color indexed="81"/>
            <rFont val="Tahoma"/>
            <family val="2"/>
          </rPr>
          <t xml:space="preserve"> &lt;[[TCDeals] - [Associated DEV Deal (Seq: 1)] - [Proxy Entities (Seq: 27)] State - Send]&gt;</t>
        </r>
      </text>
    </comment>
    <comment ref="AJ159" authorId="0" shapeId="0" xr:uid="{27C482DE-6427-4F02-AE63-66807867CCEE}">
      <text>
        <r>
          <rPr>
            <b/>
            <sz val="9"/>
            <color indexed="81"/>
            <rFont val="Tahoma"/>
            <family val="2"/>
          </rPr>
          <t xml:space="preserve"> &lt;[[TCDeals] - [Associated DEV Deal (Seq: 1)] - [Proxy Entities (Seq: 27)] Zip Code - Send]&gt;</t>
        </r>
      </text>
    </comment>
    <comment ref="AK159" authorId="0" shapeId="0" xr:uid="{2B6F6351-8ED5-427C-AA4C-48B106BD2453}">
      <text>
        <r>
          <rPr>
            <b/>
            <sz val="9"/>
            <color indexed="81"/>
            <rFont val="Tahoma"/>
            <family val="2"/>
          </rPr>
          <t xml:space="preserve"> &lt;[[TCDeals] - [Associated DEV Deal (Seq: 1)] - [Proxy Entities (Seq: 27)] Direct Phone - Send]&gt;</t>
        </r>
      </text>
    </comment>
    <comment ref="M160" authorId="0" shapeId="0" xr:uid="{14AFF7AC-2927-43FF-9143-BFD071103046}">
      <text>
        <r>
          <rPr>
            <b/>
            <sz val="9"/>
            <color indexed="81"/>
            <rFont val="Tahoma"/>
            <family val="2"/>
          </rPr>
          <t xml:space="preserve"> &lt;[[TCDeals] - [Proxy Entities (Seq: 1)] Company or Individual? - Send]&gt;</t>
        </r>
      </text>
    </comment>
    <comment ref="N160" authorId="0" shapeId="0" xr:uid="{D7C0E03C-2940-4D51-A100-65CAAC8AE2D6}">
      <text>
        <r>
          <rPr>
            <b/>
            <sz val="9"/>
            <color indexed="81"/>
            <rFont val="Tahoma"/>
            <family val="2"/>
          </rPr>
          <t xml:space="preserve"> &lt;[[TCDeals] - [Proxy Entities (Seq: 1)] Deal Entity Role - Send]&gt;</t>
        </r>
      </text>
    </comment>
    <comment ref="O160" authorId="0" shapeId="0" xr:uid="{8CF42399-721E-4427-8E6E-2D7CB791ED96}">
      <text>
        <r>
          <rPr>
            <b/>
            <sz val="9"/>
            <color indexed="81"/>
            <rFont val="Tahoma"/>
            <family val="2"/>
          </rPr>
          <t xml:space="preserve"> &lt;[[TCDeals] - [Proxy Entities (Seq: 28)] Name (Doing Business As) - Send]&gt;</t>
        </r>
      </text>
    </comment>
    <comment ref="P160" authorId="0" shapeId="0" xr:uid="{487FB215-20DA-4F05-87D0-9A35480F266F}">
      <text>
        <r>
          <rPr>
            <b/>
            <sz val="9"/>
            <color indexed="81"/>
            <rFont val="Tahoma"/>
            <family val="2"/>
          </rPr>
          <t xml:space="preserve"> &lt;[[TCDeals] - [Proxy Entities (Seq: 28)] First Name - Send]&gt;</t>
        </r>
      </text>
    </comment>
    <comment ref="Q160" authorId="0" shapeId="0" xr:uid="{7441EA9B-790C-42DC-BACB-6C0AE6AB735B}">
      <text>
        <r>
          <rPr>
            <b/>
            <sz val="9"/>
            <color indexed="81"/>
            <rFont val="Tahoma"/>
            <family val="2"/>
          </rPr>
          <t xml:space="preserve"> &lt;[[TCDeals] - [Proxy Entities (Seq: 28)] Last Name - Send]&gt;</t>
        </r>
      </text>
    </comment>
    <comment ref="R160" authorId="0" shapeId="0" xr:uid="{D7D3BFC1-7032-49CB-8B8C-83E20B68A47F}">
      <text>
        <r>
          <rPr>
            <b/>
            <sz val="9"/>
            <color indexed="81"/>
            <rFont val="Tahoma"/>
            <family val="2"/>
          </rPr>
          <t xml:space="preserve"> &lt;[[TCDeals] - [Proxy Entities (Seq: 1)] Email Address 1 - Send]&gt;</t>
        </r>
      </text>
    </comment>
    <comment ref="S160" authorId="0" shapeId="0" xr:uid="{4FCA002F-86CE-48C5-9384-44A57D6F2AFB}">
      <text>
        <r>
          <rPr>
            <b/>
            <sz val="9"/>
            <color indexed="81"/>
            <rFont val="Tahoma"/>
            <family val="2"/>
          </rPr>
          <t xml:space="preserve"> &lt;[[TCDeals] - [Proxy Entities (Seq: 1)] Address 1 - Send]&gt;</t>
        </r>
      </text>
    </comment>
    <comment ref="T160" authorId="0" shapeId="0" xr:uid="{82131CC4-68D5-477E-A2A3-1D1A71326BD9}">
      <text>
        <r>
          <rPr>
            <b/>
            <sz val="9"/>
            <color indexed="81"/>
            <rFont val="Tahoma"/>
            <family val="2"/>
          </rPr>
          <t xml:space="preserve"> &lt;[[TCDeals] - [Proxy Entities (Seq: 1)] City - Send]&gt;</t>
        </r>
      </text>
    </comment>
    <comment ref="U160" authorId="0" shapeId="0" xr:uid="{75216B6D-76B0-4205-87EA-22874ADFAB4D}">
      <text>
        <r>
          <rPr>
            <b/>
            <sz val="9"/>
            <color indexed="81"/>
            <rFont val="Tahoma"/>
            <family val="2"/>
          </rPr>
          <t xml:space="preserve"> &lt;[[TCDeals] - [Proxy Entities (Seq: 1)] State - Send]&gt;</t>
        </r>
      </text>
    </comment>
    <comment ref="V160" authorId="0" shapeId="0" xr:uid="{44BE1757-CCB3-4935-AE60-800FFDC7301C}">
      <text>
        <r>
          <rPr>
            <b/>
            <sz val="9"/>
            <color indexed="81"/>
            <rFont val="Tahoma"/>
            <family val="2"/>
          </rPr>
          <t xml:space="preserve"> &lt;[[TCDeals] - [Proxy Entities (Seq: 1)] Zip Code - Send]&gt;</t>
        </r>
      </text>
    </comment>
    <comment ref="W160" authorId="0" shapeId="0" xr:uid="{091CAB18-FF92-4FA0-BCB9-BC982BE5DD58}">
      <text>
        <r>
          <rPr>
            <b/>
            <sz val="9"/>
            <color indexed="81"/>
            <rFont val="Tahoma"/>
            <family val="2"/>
          </rPr>
          <t xml:space="preserve"> &lt;[[TCDeals] - [Proxy Entities (Seq: 1)] Direct Phone - Send]&gt;</t>
        </r>
      </text>
    </comment>
    <comment ref="AA160" authorId="0" shapeId="0" xr:uid="{E6EBE181-45DD-4765-8139-EF360F851A60}">
      <text>
        <r>
          <rPr>
            <b/>
            <sz val="9"/>
            <color indexed="81"/>
            <rFont val="Tahoma"/>
            <family val="2"/>
          </rPr>
          <t xml:space="preserve"> &lt;[[TCDeals] - [Associated DEV Deal (Seq: 1)] - [Proxy Entities (Seq: 28)] Name (Doing Business As) - Send]&gt;</t>
        </r>
      </text>
    </comment>
    <comment ref="AB160" authorId="0" shapeId="0" xr:uid="{62894BA5-81B0-4EF3-8628-8479A960BFD4}">
      <text>
        <r>
          <rPr>
            <b/>
            <sz val="9"/>
            <color indexed="81"/>
            <rFont val="Tahoma"/>
            <family val="2"/>
          </rPr>
          <t xml:space="preserve"> &lt;[[TCDeals] - [Associated DEV Deal (Seq: 1)] - [Proxy Entities (Seq: 28)] Company or Individual? - Send]&gt;</t>
        </r>
      </text>
    </comment>
    <comment ref="AC160" authorId="0" shapeId="0" xr:uid="{95183DAD-13EA-459E-A47A-86AB62F44CCD}">
      <text>
        <r>
          <rPr>
            <b/>
            <sz val="9"/>
            <color indexed="81"/>
            <rFont val="Tahoma"/>
            <family val="2"/>
          </rPr>
          <t xml:space="preserve"> &lt;[[TCDeals] - [Associated DEV Deal (Seq: 1)] - [Proxy Entities (Seq: 28)] Deal Entity Role - Send]&gt;</t>
        </r>
      </text>
    </comment>
    <comment ref="AD160" authorId="0" shapeId="0" xr:uid="{0A4277B7-41ED-44FB-BE99-E7E78CAC30D1}">
      <text>
        <r>
          <rPr>
            <b/>
            <sz val="9"/>
            <color indexed="81"/>
            <rFont val="Tahoma"/>
            <family val="2"/>
          </rPr>
          <t xml:space="preserve"> &lt;[[TCDeals] - [Associated DEV Deal (Seq: 1)] - [Proxy Entities (Seq: 28)] First Name - Send]&gt;</t>
        </r>
      </text>
    </comment>
    <comment ref="AE160" authorId="0" shapeId="0" xr:uid="{A4CA2251-E917-4F6F-9347-05F0032DDE43}">
      <text>
        <r>
          <rPr>
            <b/>
            <sz val="9"/>
            <color indexed="81"/>
            <rFont val="Tahoma"/>
            <family val="2"/>
          </rPr>
          <t xml:space="preserve"> &lt;[[TCDeals] - [Associated DEV Deal (Seq: 1)] - [Proxy Entities (Seq: 28)] Last Name - Send]&gt;</t>
        </r>
      </text>
    </comment>
    <comment ref="AF160" authorId="0" shapeId="0" xr:uid="{C491A188-F4F4-4AEE-BF9D-CBD0890E8B4C}">
      <text>
        <r>
          <rPr>
            <b/>
            <sz val="9"/>
            <color indexed="81"/>
            <rFont val="Tahoma"/>
            <family val="2"/>
          </rPr>
          <t xml:space="preserve"> &lt;[[TCDeals] - [Associated DEV Deal (Seq: 1)] - [Proxy Entities (Seq: 28)] Email Address 1 - Send]&gt;</t>
        </r>
      </text>
    </comment>
    <comment ref="AG160" authorId="0" shapeId="0" xr:uid="{1923428D-13F9-4984-9D17-786FBBC448B7}">
      <text>
        <r>
          <rPr>
            <b/>
            <sz val="9"/>
            <color indexed="81"/>
            <rFont val="Tahoma"/>
            <family val="2"/>
          </rPr>
          <t xml:space="preserve"> &lt;[[TCDeals] - [Associated DEV Deal (Seq: 1)] - [Proxy Entities (Seq: 28)] Address 1 - Send]&gt;</t>
        </r>
      </text>
    </comment>
    <comment ref="AH160" authorId="0" shapeId="0" xr:uid="{D2B5BFAB-5A38-4572-B99B-528E64CEC23A}">
      <text>
        <r>
          <rPr>
            <b/>
            <sz val="9"/>
            <color indexed="81"/>
            <rFont val="Tahoma"/>
            <family val="2"/>
          </rPr>
          <t xml:space="preserve"> &lt;[[TCDeals] - [Associated DEV Deal (Seq: 1)] - [Proxy Entities (Seq: 28)] City - Send]&gt;</t>
        </r>
      </text>
    </comment>
    <comment ref="AI160" authorId="0" shapeId="0" xr:uid="{4084ECDE-0063-4223-9CD1-6E85E8D53357}">
      <text>
        <r>
          <rPr>
            <b/>
            <sz val="9"/>
            <color indexed="81"/>
            <rFont val="Tahoma"/>
            <family val="2"/>
          </rPr>
          <t xml:space="preserve"> &lt;[[TCDeals] - [Associated DEV Deal (Seq: 1)] - [Proxy Entities (Seq: 28)] State - Send]&gt;</t>
        </r>
      </text>
    </comment>
    <comment ref="AJ160" authorId="0" shapeId="0" xr:uid="{2DDCDA51-6B2D-4EB3-9068-0D133B3975C5}">
      <text>
        <r>
          <rPr>
            <b/>
            <sz val="9"/>
            <color indexed="81"/>
            <rFont val="Tahoma"/>
            <family val="2"/>
          </rPr>
          <t xml:space="preserve"> &lt;[[TCDeals] - [Associated DEV Deal (Seq: 1)] - [Proxy Entities (Seq: 28)] Zip Code - Send]&gt;</t>
        </r>
      </text>
    </comment>
    <comment ref="AK160" authorId="0" shapeId="0" xr:uid="{65F294A9-14BB-4FB0-BBFD-18A5BB16AD2B}">
      <text>
        <r>
          <rPr>
            <b/>
            <sz val="9"/>
            <color indexed="81"/>
            <rFont val="Tahoma"/>
            <family val="2"/>
          </rPr>
          <t xml:space="preserve"> &lt;[[TCDeals] - [Associated DEV Deal (Seq: 1)] - [Proxy Entities (Seq: 28)] Direct Phone - Send]&gt;</t>
        </r>
      </text>
    </comment>
    <comment ref="M161" authorId="0" shapeId="0" xr:uid="{0C6C59B8-CD04-4FD3-9921-19CC16EFF805}">
      <text>
        <r>
          <rPr>
            <b/>
            <sz val="9"/>
            <color indexed="81"/>
            <rFont val="Tahoma"/>
            <family val="2"/>
          </rPr>
          <t xml:space="preserve"> &lt;[[TCDeals] - [Proxy Entities (Seq: 1)] Company or Individual? - Send]&gt;</t>
        </r>
      </text>
    </comment>
    <comment ref="N161" authorId="0" shapeId="0" xr:uid="{31958023-B6F8-4A37-AC25-3E116BCC3928}">
      <text>
        <r>
          <rPr>
            <b/>
            <sz val="9"/>
            <color indexed="81"/>
            <rFont val="Tahoma"/>
            <family val="2"/>
          </rPr>
          <t xml:space="preserve"> &lt;[[TCDeals] - [Proxy Entities (Seq: 1)] Deal Entity Role - Send]&gt;</t>
        </r>
      </text>
    </comment>
    <comment ref="O161" authorId="0" shapeId="0" xr:uid="{ADC77F6A-9C18-4897-811E-BB4A4EDAE577}">
      <text>
        <r>
          <rPr>
            <b/>
            <sz val="9"/>
            <color indexed="81"/>
            <rFont val="Tahoma"/>
            <family val="2"/>
          </rPr>
          <t xml:space="preserve"> &lt;[[TCDeals] - [Proxy Entities (Seq: 29)] Name (Doing Business As) - Send]&gt;</t>
        </r>
      </text>
    </comment>
    <comment ref="P161" authorId="0" shapeId="0" xr:uid="{B560E571-6FD3-402E-A1D2-5ABAC25581C4}">
      <text>
        <r>
          <rPr>
            <b/>
            <sz val="9"/>
            <color indexed="81"/>
            <rFont val="Tahoma"/>
            <family val="2"/>
          </rPr>
          <t xml:space="preserve"> &lt;[[TCDeals] - [Proxy Entities (Seq: 29)] First Name - Send]&gt;</t>
        </r>
      </text>
    </comment>
    <comment ref="Q161" authorId="0" shapeId="0" xr:uid="{B5D5D641-90F5-4D8E-B012-FD458B5BB539}">
      <text>
        <r>
          <rPr>
            <b/>
            <sz val="9"/>
            <color indexed="81"/>
            <rFont val="Tahoma"/>
            <family val="2"/>
          </rPr>
          <t xml:space="preserve"> &lt;[[TCDeals] - [Proxy Entities (Seq: 29)] Last Name - Send]&gt;</t>
        </r>
      </text>
    </comment>
    <comment ref="R161" authorId="0" shapeId="0" xr:uid="{498BCCB5-0EBA-4583-81BB-48EB6D0F7DEB}">
      <text>
        <r>
          <rPr>
            <b/>
            <sz val="9"/>
            <color indexed="81"/>
            <rFont val="Tahoma"/>
            <family val="2"/>
          </rPr>
          <t xml:space="preserve"> &lt;[[TCDeals] - [Proxy Entities (Seq: 1)] Email Address 1 - Send]&gt;</t>
        </r>
      </text>
    </comment>
    <comment ref="S161" authorId="0" shapeId="0" xr:uid="{F70B295B-FECF-4B2C-9913-6D88FB660A67}">
      <text>
        <r>
          <rPr>
            <b/>
            <sz val="9"/>
            <color indexed="81"/>
            <rFont val="Tahoma"/>
            <family val="2"/>
          </rPr>
          <t xml:space="preserve"> &lt;[[TCDeals] - [Proxy Entities (Seq: 1)] Address 1 - Send]&gt;</t>
        </r>
      </text>
    </comment>
    <comment ref="T161" authorId="0" shapeId="0" xr:uid="{0839D487-D6CB-44C2-AE05-710C82CCC85C}">
      <text>
        <r>
          <rPr>
            <b/>
            <sz val="9"/>
            <color indexed="81"/>
            <rFont val="Tahoma"/>
            <family val="2"/>
          </rPr>
          <t xml:space="preserve"> &lt;[[TCDeals] - [Proxy Entities (Seq: 1)] City - Send]&gt;</t>
        </r>
      </text>
    </comment>
    <comment ref="U161" authorId="0" shapeId="0" xr:uid="{3FCA4FCD-5043-45C9-9029-00D9CAF8324B}">
      <text>
        <r>
          <rPr>
            <b/>
            <sz val="9"/>
            <color indexed="81"/>
            <rFont val="Tahoma"/>
            <family val="2"/>
          </rPr>
          <t xml:space="preserve"> &lt;[[TCDeals] - [Proxy Entities (Seq: 1)] State - Send]&gt;</t>
        </r>
      </text>
    </comment>
    <comment ref="V161" authorId="0" shapeId="0" xr:uid="{E0BA2F13-BDF5-40A5-A3CF-6C9A34DF6F36}">
      <text>
        <r>
          <rPr>
            <b/>
            <sz val="9"/>
            <color indexed="81"/>
            <rFont val="Tahoma"/>
            <family val="2"/>
          </rPr>
          <t xml:space="preserve"> &lt;[[TCDeals] - [Proxy Entities (Seq: 1)] Zip Code - Send]&gt;</t>
        </r>
      </text>
    </comment>
    <comment ref="W161" authorId="0" shapeId="0" xr:uid="{B64FB01F-CF8D-4188-9B77-2E7A9BDDCCDE}">
      <text>
        <r>
          <rPr>
            <b/>
            <sz val="9"/>
            <color indexed="81"/>
            <rFont val="Tahoma"/>
            <family val="2"/>
          </rPr>
          <t xml:space="preserve"> &lt;[[TCDeals] - [Proxy Entities (Seq: 1)] Direct Phone - Send]&gt;</t>
        </r>
      </text>
    </comment>
    <comment ref="AA161" authorId="0" shapeId="0" xr:uid="{AE1E7673-6EF2-49C1-9FA2-C2F1A03B1B31}">
      <text>
        <r>
          <rPr>
            <b/>
            <sz val="9"/>
            <color indexed="81"/>
            <rFont val="Tahoma"/>
            <family val="2"/>
          </rPr>
          <t xml:space="preserve"> &lt;[[TCDeals] - [Associated DEV Deal (Seq: 1)] - [Proxy Entities (Seq: 29)] Name (Doing Business As) - Send]&gt;</t>
        </r>
      </text>
    </comment>
    <comment ref="AB161" authorId="0" shapeId="0" xr:uid="{55464A74-FC1E-4C57-8FB6-AB7D04ED7999}">
      <text>
        <r>
          <rPr>
            <b/>
            <sz val="9"/>
            <color indexed="81"/>
            <rFont val="Tahoma"/>
            <family val="2"/>
          </rPr>
          <t xml:space="preserve"> &lt;[[TCDeals] - [Associated DEV Deal (Seq: 1)] - [Proxy Entities (Seq: 29)] Company or Individual? - Send]&gt;</t>
        </r>
      </text>
    </comment>
    <comment ref="AC161" authorId="0" shapeId="0" xr:uid="{48E9E544-5854-44B2-B74E-E93BA365AB3A}">
      <text>
        <r>
          <rPr>
            <b/>
            <sz val="9"/>
            <color indexed="81"/>
            <rFont val="Tahoma"/>
            <family val="2"/>
          </rPr>
          <t xml:space="preserve"> &lt;[[TCDeals] - [Associated DEV Deal (Seq: 1)] - [Proxy Entities (Seq: 29)] Deal Entity Role - Send]&gt;</t>
        </r>
      </text>
    </comment>
    <comment ref="AD161" authorId="0" shapeId="0" xr:uid="{72856C63-48A0-41FD-B913-2A4010DA105C}">
      <text>
        <r>
          <rPr>
            <b/>
            <sz val="9"/>
            <color indexed="81"/>
            <rFont val="Tahoma"/>
            <family val="2"/>
          </rPr>
          <t xml:space="preserve"> &lt;[[TCDeals] - [Associated DEV Deal (Seq: 1)] - [Proxy Entities (Seq: 29)] First Name - Send]&gt;</t>
        </r>
      </text>
    </comment>
    <comment ref="AE161" authorId="0" shapeId="0" xr:uid="{2C7CDFC2-E272-4B3B-B047-0F43AD8DE085}">
      <text>
        <r>
          <rPr>
            <b/>
            <sz val="9"/>
            <color indexed="81"/>
            <rFont val="Tahoma"/>
            <family val="2"/>
          </rPr>
          <t xml:space="preserve"> &lt;[[TCDeals] - [Associated DEV Deal (Seq: 1)] - [Proxy Entities (Seq: 29)] Last Name - Send]&gt;</t>
        </r>
      </text>
    </comment>
    <comment ref="AF161" authorId="0" shapeId="0" xr:uid="{1D836AFE-FDF3-4A44-9554-35838FFA52A3}">
      <text>
        <r>
          <rPr>
            <b/>
            <sz val="9"/>
            <color indexed="81"/>
            <rFont val="Tahoma"/>
            <family val="2"/>
          </rPr>
          <t xml:space="preserve"> &lt;[[TCDeals] - [Associated DEV Deal (Seq: 1)] - [Proxy Entities (Seq: 29)] Email Address 1 - Send]&gt;</t>
        </r>
      </text>
    </comment>
    <comment ref="AG161" authorId="0" shapeId="0" xr:uid="{C93254FD-57D1-4774-A2F3-3B5960973248}">
      <text>
        <r>
          <rPr>
            <b/>
            <sz val="9"/>
            <color indexed="81"/>
            <rFont val="Tahoma"/>
            <family val="2"/>
          </rPr>
          <t xml:space="preserve"> &lt;[[TCDeals] - [Associated DEV Deal (Seq: 1)] - [Proxy Entities (Seq: 29)] Address 1 - Send]&gt;</t>
        </r>
      </text>
    </comment>
    <comment ref="AH161" authorId="0" shapeId="0" xr:uid="{318D5317-5806-4800-A4DF-644D7181BC8B}">
      <text>
        <r>
          <rPr>
            <b/>
            <sz val="9"/>
            <color indexed="81"/>
            <rFont val="Tahoma"/>
            <family val="2"/>
          </rPr>
          <t xml:space="preserve"> &lt;[[TCDeals] - [Associated DEV Deal (Seq: 1)] - [Proxy Entities (Seq: 29)] City - Send]&gt;</t>
        </r>
      </text>
    </comment>
    <comment ref="AI161" authorId="0" shapeId="0" xr:uid="{439A868E-2C37-4241-8114-EE87EB79A5E4}">
      <text>
        <r>
          <rPr>
            <b/>
            <sz val="9"/>
            <color indexed="81"/>
            <rFont val="Tahoma"/>
            <family val="2"/>
          </rPr>
          <t xml:space="preserve"> &lt;[[TCDeals] - [Associated DEV Deal (Seq: 1)] - [Proxy Entities (Seq: 29)] State - Send]&gt;</t>
        </r>
      </text>
    </comment>
    <comment ref="AJ161" authorId="0" shapeId="0" xr:uid="{7274CBF2-CDBB-4679-BD1F-19574E02E03E}">
      <text>
        <r>
          <rPr>
            <b/>
            <sz val="9"/>
            <color indexed="81"/>
            <rFont val="Tahoma"/>
            <family val="2"/>
          </rPr>
          <t xml:space="preserve"> &lt;[[TCDeals] - [Associated DEV Deal (Seq: 1)] - [Proxy Entities (Seq: 29)] Zip Code - Send]&gt;</t>
        </r>
      </text>
    </comment>
    <comment ref="AK161" authorId="0" shapeId="0" xr:uid="{4F022B4E-34F4-456C-BADF-B36B83EC8E72}">
      <text>
        <r>
          <rPr>
            <b/>
            <sz val="9"/>
            <color indexed="81"/>
            <rFont val="Tahoma"/>
            <family val="2"/>
          </rPr>
          <t xml:space="preserve"> &lt;[[TCDeals] - [Associated DEV Deal (Seq: 1)] - [Proxy Entities (Seq: 29)] Direct Phone - Send]&gt;</t>
        </r>
      </text>
    </comment>
    <comment ref="M162" authorId="0" shapeId="0" xr:uid="{CFAC638A-875F-49D6-92B3-64DD60904967}">
      <text>
        <r>
          <rPr>
            <b/>
            <sz val="9"/>
            <color indexed="81"/>
            <rFont val="Tahoma"/>
            <family val="2"/>
          </rPr>
          <t xml:space="preserve"> &lt;[[TCDeals] - [Proxy Entities (Seq: 1)] Company or Individual? - Send]&gt;</t>
        </r>
      </text>
    </comment>
    <comment ref="N162" authorId="0" shapeId="0" xr:uid="{02EFBEE2-C712-4126-B6D5-ECB63B6D1E0C}">
      <text>
        <r>
          <rPr>
            <b/>
            <sz val="9"/>
            <color indexed="81"/>
            <rFont val="Tahoma"/>
            <family val="2"/>
          </rPr>
          <t xml:space="preserve"> &lt;[[TCDeals] - [Proxy Entities (Seq: 1)] Deal Entity Role - Send]&gt;</t>
        </r>
      </text>
    </comment>
    <comment ref="O162" authorId="0" shapeId="0" xr:uid="{26351F79-94C3-4D50-8326-ED75EE3D1C00}">
      <text>
        <r>
          <rPr>
            <b/>
            <sz val="9"/>
            <color indexed="81"/>
            <rFont val="Tahoma"/>
            <family val="2"/>
          </rPr>
          <t xml:space="preserve"> &lt;[[TCDeals] - [Proxy Entities (Seq: 30)] Name (Doing Business As) - Send]&gt;</t>
        </r>
      </text>
    </comment>
    <comment ref="P162" authorId="0" shapeId="0" xr:uid="{8A0827A6-D38D-454A-9635-00E8D2AB8BA5}">
      <text>
        <r>
          <rPr>
            <b/>
            <sz val="9"/>
            <color indexed="81"/>
            <rFont val="Tahoma"/>
            <family val="2"/>
          </rPr>
          <t xml:space="preserve"> &lt;[[TCDeals] - [Proxy Entities (Seq: 30)] First Name - Send]&gt;</t>
        </r>
      </text>
    </comment>
    <comment ref="Q162" authorId="0" shapeId="0" xr:uid="{C84636BC-2691-461D-8E64-3396788FCD67}">
      <text>
        <r>
          <rPr>
            <b/>
            <sz val="9"/>
            <color indexed="81"/>
            <rFont val="Tahoma"/>
            <family val="2"/>
          </rPr>
          <t xml:space="preserve"> &lt;[[TCDeals] - [Proxy Entities (Seq: 30)] Last Name - Send]&gt;</t>
        </r>
      </text>
    </comment>
    <comment ref="R162" authorId="0" shapeId="0" xr:uid="{2C51447D-E80C-4990-ABA6-D822EFA1780C}">
      <text>
        <r>
          <rPr>
            <b/>
            <sz val="9"/>
            <color indexed="81"/>
            <rFont val="Tahoma"/>
            <family val="2"/>
          </rPr>
          <t xml:space="preserve"> &lt;[[TCDeals] - [Proxy Entities (Seq: 1)] Email Address 1 - Send]&gt;</t>
        </r>
      </text>
    </comment>
    <comment ref="S162" authorId="0" shapeId="0" xr:uid="{956C0CF1-4A1A-4E23-BEAF-7894F4D0AEE1}">
      <text>
        <r>
          <rPr>
            <b/>
            <sz val="9"/>
            <color indexed="81"/>
            <rFont val="Tahoma"/>
            <family val="2"/>
          </rPr>
          <t xml:space="preserve"> &lt;[[TCDeals] - [Proxy Entities (Seq: 1)] Address 1 - Send]&gt;</t>
        </r>
      </text>
    </comment>
    <comment ref="T162" authorId="0" shapeId="0" xr:uid="{19E411A5-B6F0-44EA-87AD-F8E0EEC55D7E}">
      <text>
        <r>
          <rPr>
            <b/>
            <sz val="9"/>
            <color indexed="81"/>
            <rFont val="Tahoma"/>
            <family val="2"/>
          </rPr>
          <t xml:space="preserve"> &lt;[[TCDeals] - [Proxy Entities (Seq: 1)] City - Send]&gt;</t>
        </r>
      </text>
    </comment>
    <comment ref="U162" authorId="0" shapeId="0" xr:uid="{3CF057E0-B257-4B47-B2F0-62E2CB03FD0E}">
      <text>
        <r>
          <rPr>
            <b/>
            <sz val="9"/>
            <color indexed="81"/>
            <rFont val="Tahoma"/>
            <family val="2"/>
          </rPr>
          <t xml:space="preserve"> &lt;[[TCDeals] - [Proxy Entities (Seq: 1)] State - Send]&gt;</t>
        </r>
      </text>
    </comment>
    <comment ref="V162" authorId="0" shapeId="0" xr:uid="{CA69B388-8D9F-4620-B881-8623BEFE9922}">
      <text>
        <r>
          <rPr>
            <b/>
            <sz val="9"/>
            <color indexed="81"/>
            <rFont val="Tahoma"/>
            <family val="2"/>
          </rPr>
          <t xml:space="preserve"> &lt;[[TCDeals] - [Proxy Entities (Seq: 1)] Zip Code - Send]&gt;</t>
        </r>
      </text>
    </comment>
    <comment ref="W162" authorId="0" shapeId="0" xr:uid="{F697D50C-E11C-4B8F-A156-FCF93898B206}">
      <text>
        <r>
          <rPr>
            <b/>
            <sz val="9"/>
            <color indexed="81"/>
            <rFont val="Tahoma"/>
            <family val="2"/>
          </rPr>
          <t xml:space="preserve"> &lt;[[TCDeals] - [Proxy Entities (Seq: 1)] Direct Phone - Send]&gt;</t>
        </r>
      </text>
    </comment>
    <comment ref="AA162" authorId="0" shapeId="0" xr:uid="{EE530DDD-C789-42E3-8612-4E7F3F3F4FC9}">
      <text>
        <r>
          <rPr>
            <b/>
            <sz val="9"/>
            <color indexed="81"/>
            <rFont val="Tahoma"/>
            <family val="2"/>
          </rPr>
          <t xml:space="preserve"> &lt;[[TCDeals] - [Associated DEV Deal (Seq: 1)] - [Proxy Entities (Seq: 30)] Name (Doing Business As) - Send]&gt;</t>
        </r>
      </text>
    </comment>
    <comment ref="AB162" authorId="0" shapeId="0" xr:uid="{5C516DFE-F839-4335-B65F-536CC26395F0}">
      <text>
        <r>
          <rPr>
            <b/>
            <sz val="9"/>
            <color indexed="81"/>
            <rFont val="Tahoma"/>
            <family val="2"/>
          </rPr>
          <t xml:space="preserve"> &lt;[[TCDeals] - [Associated DEV Deal (Seq: 1)] - [Proxy Entities (Seq: 30)] Company or Individual? - Send]&gt;</t>
        </r>
      </text>
    </comment>
    <comment ref="AC162" authorId="0" shapeId="0" xr:uid="{5BB5572E-68A5-4392-9C4F-F7ED0375FC54}">
      <text>
        <r>
          <rPr>
            <b/>
            <sz val="9"/>
            <color indexed="81"/>
            <rFont val="Tahoma"/>
            <family val="2"/>
          </rPr>
          <t xml:space="preserve"> &lt;[[TCDeals] - [Associated DEV Deal (Seq: 1)] - [Proxy Entities (Seq: 30)] Deal Entity Role - Send]&gt;</t>
        </r>
      </text>
    </comment>
    <comment ref="AD162" authorId="0" shapeId="0" xr:uid="{5BA6F54D-F5A0-4771-9388-6620604B9D93}">
      <text>
        <r>
          <rPr>
            <b/>
            <sz val="9"/>
            <color indexed="81"/>
            <rFont val="Tahoma"/>
            <family val="2"/>
          </rPr>
          <t xml:space="preserve"> &lt;[[TCDeals] - [Associated DEV Deal (Seq: 1)] - [Proxy Entities (Seq: 30)] First Name - Send]&gt;</t>
        </r>
      </text>
    </comment>
    <comment ref="AE162" authorId="0" shapeId="0" xr:uid="{30FA8969-91C4-40B2-B56E-E2C41EE70BBB}">
      <text>
        <r>
          <rPr>
            <b/>
            <sz val="9"/>
            <color indexed="81"/>
            <rFont val="Tahoma"/>
            <family val="2"/>
          </rPr>
          <t xml:space="preserve"> &lt;[[TCDeals] - [Associated DEV Deal (Seq: 1)] - [Proxy Entities (Seq: 30)] Last Name - Send]&gt;</t>
        </r>
      </text>
    </comment>
    <comment ref="AF162" authorId="0" shapeId="0" xr:uid="{37991A64-2102-4DF0-9F6E-9C287834F5EA}">
      <text>
        <r>
          <rPr>
            <b/>
            <sz val="9"/>
            <color indexed="81"/>
            <rFont val="Tahoma"/>
            <family val="2"/>
          </rPr>
          <t xml:space="preserve"> &lt;[[TCDeals] - [Associated DEV Deal (Seq: 1)] - [Proxy Entities (Seq: 30)] Email Address 1 - Send]&gt;</t>
        </r>
      </text>
    </comment>
    <comment ref="AG162" authorId="0" shapeId="0" xr:uid="{5DD2BDEE-7317-42C8-8084-5D5F15CA5B2C}">
      <text>
        <r>
          <rPr>
            <b/>
            <sz val="9"/>
            <color indexed="81"/>
            <rFont val="Tahoma"/>
            <family val="2"/>
          </rPr>
          <t xml:space="preserve"> &lt;[[TCDeals] - [Associated DEV Deal (Seq: 1)] - [Proxy Entities (Seq: 30)] Address 1 - Send]&gt;</t>
        </r>
      </text>
    </comment>
    <comment ref="AH162" authorId="0" shapeId="0" xr:uid="{709396E4-3EB2-496B-9336-06BC6C3AB2F0}">
      <text>
        <r>
          <rPr>
            <b/>
            <sz val="9"/>
            <color indexed="81"/>
            <rFont val="Tahoma"/>
            <family val="2"/>
          </rPr>
          <t xml:space="preserve"> &lt;[[TCDeals] - [Associated DEV Deal (Seq: 1)] - [Proxy Entities (Seq: 30)] City - Send]&gt;</t>
        </r>
      </text>
    </comment>
    <comment ref="AI162" authorId="0" shapeId="0" xr:uid="{8C8F317A-FD1F-4163-9C5F-9E0F6A2F2C22}">
      <text>
        <r>
          <rPr>
            <b/>
            <sz val="9"/>
            <color indexed="81"/>
            <rFont val="Tahoma"/>
            <family val="2"/>
          </rPr>
          <t xml:space="preserve"> &lt;[[TCDeals] - [Associated DEV Deal (Seq: 1)] - [Proxy Entities (Seq: 30)] State - Send]&gt;</t>
        </r>
      </text>
    </comment>
    <comment ref="AJ162" authorId="0" shapeId="0" xr:uid="{FF8FEA54-5B6C-4ED6-A3AE-0ACDA244442A}">
      <text>
        <r>
          <rPr>
            <b/>
            <sz val="9"/>
            <color indexed="81"/>
            <rFont val="Tahoma"/>
            <family val="2"/>
          </rPr>
          <t xml:space="preserve"> &lt;[[TCDeals] - [Associated DEV Deal (Seq: 1)] - [Proxy Entities (Seq: 30)] Zip Code - Send]&gt;</t>
        </r>
      </text>
    </comment>
    <comment ref="AK162" authorId="0" shapeId="0" xr:uid="{54F66894-4BB5-43D2-A180-1DEA8F4A7718}">
      <text>
        <r>
          <rPr>
            <b/>
            <sz val="9"/>
            <color indexed="81"/>
            <rFont val="Tahoma"/>
            <family val="2"/>
          </rPr>
          <t xml:space="preserve"> &lt;[[TCDeals] - [Associated DEV Deal (Seq: 1)] - [Proxy Entities (Seq: 30)] Direct Phone - Send]&gt;</t>
        </r>
      </text>
    </comment>
    <comment ref="C165" authorId="0" shapeId="0" xr:uid="{A417308B-B8EE-40F8-86D4-886F165DE5F9}">
      <text>
        <r>
          <rPr>
            <b/>
            <sz val="9"/>
            <color indexed="81"/>
            <rFont val="Tahoma"/>
            <family val="2"/>
          </rPr>
          <t xml:space="preserve"> &lt;[[TCDeals] - [TCDeals - User Defined Field Values (Seq: 1)] Multi Family Application - Management Agent - Identity of Interest - Send]&gt;</t>
        </r>
      </text>
    </comment>
    <comment ref="C166" authorId="0" shapeId="0" xr:uid="{044B5BCF-852E-4971-B87D-0F9BD3F15710}">
      <text>
        <r>
          <rPr>
            <b/>
            <sz val="9"/>
            <color indexed="81"/>
            <rFont val="Tahoma"/>
            <family val="2"/>
          </rPr>
          <t xml:space="preserve"> &lt;[[TCDeals] - [TCDeals - User Defined Field Values (Seq: 1)] Multi Family Application - Consultant - Identity of Interest - Send]&gt;</t>
        </r>
      </text>
    </comment>
    <comment ref="C167" authorId="0" shapeId="0" xr:uid="{7718F619-0455-49CF-9613-25D77062EADA}">
      <text>
        <r>
          <rPr>
            <b/>
            <sz val="9"/>
            <color indexed="81"/>
            <rFont val="Tahoma"/>
            <family val="2"/>
          </rPr>
          <t xml:space="preserve"> &lt;[[TCDeals] - [TCDeals - User Defined Field Values (Seq: 1)] Multi Family Application - General Contractor - Identity of Interest - Send]&gt;</t>
        </r>
      </text>
    </comment>
    <comment ref="C168" authorId="0" shapeId="0" xr:uid="{AC98FADD-AD0D-437E-906B-5E5D9DA25912}">
      <text>
        <r>
          <rPr>
            <b/>
            <sz val="9"/>
            <color indexed="81"/>
            <rFont val="Tahoma"/>
            <family val="2"/>
          </rPr>
          <t xml:space="preserve"> &lt;[[TCDeals] - [TCDeals - User Defined Field Values (Seq: 1)] Multi Family Application - Syndicator - Identity of Interest - Send]&gt;</t>
        </r>
      </text>
    </comment>
    <comment ref="C169" authorId="0" shapeId="0" xr:uid="{0DACD5B3-B4C7-4764-859F-F490C019BE90}">
      <text>
        <r>
          <rPr>
            <b/>
            <sz val="9"/>
            <color indexed="81"/>
            <rFont val="Tahoma"/>
            <family val="2"/>
          </rPr>
          <t xml:space="preserve"> &lt;[[TCDeals] - [TCDeals - User Defined Field Values (Seq: 1)] Multi Family Application - Design Architect - Identity of Interest - Send]&gt;</t>
        </r>
      </text>
    </comment>
    <comment ref="C170" authorId="0" shapeId="0" xr:uid="{00978DB9-71D5-49E7-8198-DED8AD1F65BA}">
      <text>
        <r>
          <rPr>
            <b/>
            <sz val="9"/>
            <color indexed="81"/>
            <rFont val="Tahoma"/>
            <family val="2"/>
          </rPr>
          <t xml:space="preserve"> &lt;[[TCDeals] - [TCDeals - User Defined Field Values (Seq: 1)] Multi Family Application - Supervisory Architect - Identity of Interest - Send]&gt;</t>
        </r>
      </text>
    </comment>
    <comment ref="C171" authorId="0" shapeId="0" xr:uid="{6EC2BCBC-272F-45EF-8182-CFD0D236BD24}">
      <text>
        <r>
          <rPr>
            <b/>
            <sz val="9"/>
            <color indexed="81"/>
            <rFont val="Tahoma"/>
            <family val="2"/>
          </rPr>
          <t xml:space="preserve"> &lt;[[TCDeals] - [TCDeals - User Defined Field Values (Seq: 1)] Multi Family Application - Attorney - Identity of Interest - Send]&gt;</t>
        </r>
      </text>
    </comment>
    <comment ref="C172" authorId="0" shapeId="0" xr:uid="{9E37C533-060C-4FF7-8620-B2D5FFA1AF7E}">
      <text>
        <r>
          <rPr>
            <b/>
            <sz val="9"/>
            <color indexed="81"/>
            <rFont val="Tahoma"/>
            <family val="2"/>
          </rPr>
          <t xml:space="preserve"> &lt;[[TCDeals] - [TCDeals - User Defined Field Values (Seq: 1)] Multi Family Application - Accountant - Identity of Interest - Send]&gt;</t>
        </r>
      </text>
    </comment>
    <comment ref="I175" authorId="0" shapeId="0" xr:uid="{49279C6F-4028-41FA-AE03-C2ED3C06C51D}">
      <text>
        <r>
          <rPr>
            <b/>
            <sz val="9"/>
            <color indexed="81"/>
            <rFont val="Tahoma"/>
            <family val="2"/>
          </rPr>
          <t xml:space="preserve"> &lt;[[TCDeals] - [TC Property Current Stage (Seq: 1)] - [TC Property Current Stage - User Defined Field Values (Seq: 1)] Multi Family Application - Community Room - Sq. Ft. - Send]&gt;</t>
        </r>
      </text>
    </comment>
    <comment ref="Z175" authorId="0" shapeId="0" xr:uid="{2BF6F7FA-AE86-49D9-9ACC-B218753B4549}">
      <text>
        <r>
          <rPr>
            <b/>
            <sz val="9"/>
            <color indexed="81"/>
            <rFont val="Tahoma"/>
            <family val="2"/>
          </rPr>
          <t xml:space="preserve"> &lt;[[TCDeals] - [Associated DEV Deal (Seq: 1)] - [Deal Property (Seq: 1)] Has Clubhouse - Send]&gt;</t>
        </r>
      </text>
    </comment>
    <comment ref="C176" authorId="0" shapeId="0" xr:uid="{F2439285-D36C-4E33-AE47-4DE0781FD521}">
      <text>
        <r>
          <rPr>
            <b/>
            <sz val="9"/>
            <color indexed="81"/>
            <rFont val="Tahoma"/>
            <family val="2"/>
          </rPr>
          <t xml:space="preserve"> &lt;[[TCDeals] - [TC Property Current Stage (Seq: 1)] Has Clubhouse - Send]&gt;</t>
        </r>
      </text>
    </comment>
    <comment ref="I176" authorId="0" shapeId="0" xr:uid="{7101340D-AF80-4483-8543-D459EB40C35F}">
      <text>
        <r>
          <rPr>
            <b/>
            <sz val="9"/>
            <color indexed="81"/>
            <rFont val="Tahoma"/>
            <family val="2"/>
          </rPr>
          <t xml:space="preserve"> &lt;[[TCDeals] - [TC Property Current Stage (Seq: 1)] - [TC Property Current Stage - User Defined Field Values (Seq: 1)] Multi Family Application - Surface Parking - Number - Send]&gt;</t>
        </r>
      </text>
    </comment>
    <comment ref="L176" authorId="0" shapeId="0" xr:uid="{9DDC8ADB-FABF-4D24-A56C-CA56F18CD5EF}">
      <text>
        <r>
          <rPr>
            <b/>
            <sz val="9"/>
            <color indexed="81"/>
            <rFont val="Tahoma"/>
            <family val="2"/>
          </rPr>
          <t xml:space="preserve"> &lt;[[TCDeals] - [TC Property Current Stage (Seq: 1)] Has Fitness Trail - Send]&gt;</t>
        </r>
      </text>
    </comment>
    <comment ref="AD176" authorId="0" shapeId="0" xr:uid="{788694BC-A615-4361-B212-250BE91511F0}">
      <text>
        <r>
          <rPr>
            <b/>
            <sz val="9"/>
            <color indexed="81"/>
            <rFont val="Tahoma"/>
            <family val="2"/>
          </rPr>
          <t xml:space="preserve"> &lt;[[TCDeals] - [Associated DEV Deal (Seq: 1)] - [Deal Property (Seq: 1)] Has Fitness Trail - Send]&gt;</t>
        </r>
      </text>
    </comment>
    <comment ref="C177" authorId="0" shapeId="0" xr:uid="{81898517-5E74-4994-A517-98CB04E044BA}">
      <text>
        <r>
          <rPr>
            <b/>
            <sz val="9"/>
            <color indexed="81"/>
            <rFont val="Tahoma"/>
            <family val="2"/>
          </rPr>
          <t xml:space="preserve"> &lt;[[TCDeals] - [TC Property Current Stage (Seq: 1)] Has Garage - Send]&gt;</t>
        </r>
      </text>
    </comment>
    <comment ref="E177" authorId="0" shapeId="0" xr:uid="{DBD3CD53-B306-480A-A192-407A0B88E583}">
      <text>
        <r>
          <rPr>
            <b/>
            <sz val="9"/>
            <color indexed="81"/>
            <rFont val="Tahoma"/>
            <family val="2"/>
          </rPr>
          <t xml:space="preserve"> &lt;[[TCDeals] - [TC Property Current Stage (Seq: 1)] Has Theatre Room - Send]&gt;</t>
        </r>
      </text>
    </comment>
    <comment ref="I177" authorId="0" shapeId="0" xr:uid="{26DB6C23-4241-4007-B64D-0A66DF75F907}">
      <text>
        <r>
          <rPr>
            <b/>
            <sz val="9"/>
            <color indexed="81"/>
            <rFont val="Tahoma"/>
            <family val="2"/>
          </rPr>
          <t xml:space="preserve"> &lt;[[TCDeals] - [TC Property Current Stage (Seq: 1)] - [TC Property Current Stage - User Defined Field Values (Seq: 1)] Multi Family Application - Underground Parking - Number - Send]&gt;</t>
        </r>
      </text>
    </comment>
    <comment ref="Z177" authorId="0" shapeId="0" xr:uid="{FC79123F-D0A8-4B21-A00C-E8EC9E2B2A52}">
      <text>
        <r>
          <rPr>
            <b/>
            <sz val="9"/>
            <color indexed="81"/>
            <rFont val="Tahoma"/>
            <family val="2"/>
          </rPr>
          <t xml:space="preserve"> &lt;[[TCDeals] - [Associated DEV Deal (Seq: 1)] - [Deal Property (Seq: 1)] Has Garage - Send]&gt;</t>
        </r>
      </text>
    </comment>
    <comment ref="AB177" authorId="0" shapeId="0" xr:uid="{02601EB9-CED4-4BA1-AD7A-EF2764EE7532}">
      <text>
        <r>
          <rPr>
            <b/>
            <sz val="9"/>
            <color indexed="81"/>
            <rFont val="Tahoma"/>
            <family val="2"/>
          </rPr>
          <t xml:space="preserve"> &lt;[[TCDeals] - [Associated DEV Deal (Seq: 1)] - [Deal Property (Seq: 1)] Has Theatre Room - Send]&gt;</t>
        </r>
      </text>
    </comment>
    <comment ref="B178" authorId="0" shapeId="0" xr:uid="{8F7C7D3D-64CA-4B1F-96C4-1FAE9D924CF0}">
      <text>
        <r>
          <rPr>
            <b/>
            <sz val="9"/>
            <color indexed="81"/>
            <rFont val="Tahoma"/>
            <family val="2"/>
          </rPr>
          <t xml:space="preserve"> &lt;[[TCDeals] - [TC Property Current Stage (Seq: 1)] Other Amenity1 Desc - Send]&gt;</t>
        </r>
      </text>
    </comment>
    <comment ref="C178" authorId="0" shapeId="0" xr:uid="{2E29F544-AB7C-4674-85C7-F1089BD07BA6}">
      <text>
        <r>
          <rPr>
            <b/>
            <sz val="9"/>
            <color indexed="81"/>
            <rFont val="Tahoma"/>
            <family val="2"/>
          </rPr>
          <t xml:space="preserve"> &lt;[[TCDeals] - [TC Property Current Stage (Seq: 1)] Has Other Amenity1 - Send]&gt;</t>
        </r>
      </text>
    </comment>
    <comment ref="I178" authorId="0" shapeId="0" xr:uid="{4EFA16BD-A741-4C1A-B9B8-038004959DCA}">
      <text>
        <r>
          <rPr>
            <b/>
            <sz val="9"/>
            <color indexed="81"/>
            <rFont val="Tahoma"/>
            <family val="2"/>
          </rPr>
          <t xml:space="preserve"> &lt;[[TCDeals] - [TC Property Current Stage (Seq: 1)] - [TC Property Current Stage - User Defined Field Values (Seq: 1)] Multi Family Application - Surface Parking - Rent - Send]&gt;</t>
        </r>
      </text>
    </comment>
    <comment ref="Y178" authorId="0" shapeId="0" xr:uid="{7722CC38-3C33-4574-A2B1-66F558F197C1}">
      <text>
        <r>
          <rPr>
            <b/>
            <sz val="9"/>
            <color indexed="81"/>
            <rFont val="Tahoma"/>
            <family val="2"/>
          </rPr>
          <t xml:space="preserve"> &lt;[[TCDeals] - [Associated DEV Deal (Seq: 1)] - [Deal Property (Seq: 1)] Other Amenity1 Desc - Send]&gt;</t>
        </r>
      </text>
    </comment>
    <comment ref="Z178" authorId="0" shapeId="0" xr:uid="{949A414E-91EB-40DA-8770-AE9233BE2B79}">
      <text>
        <r>
          <rPr>
            <b/>
            <sz val="9"/>
            <color indexed="81"/>
            <rFont val="Tahoma"/>
            <family val="2"/>
          </rPr>
          <t xml:space="preserve"> &lt;[[TCDeals] - [Associated DEV Deal (Seq: 1)] - [Deal Property (Seq: 1)] Has Other Amenity1 - Send]&gt;</t>
        </r>
      </text>
    </comment>
    <comment ref="B179" authorId="0" shapeId="0" xr:uid="{758B2793-CD3C-4FC4-A31B-02127B0BD8C9}">
      <text>
        <r>
          <rPr>
            <b/>
            <sz val="9"/>
            <color indexed="81"/>
            <rFont val="Tahoma"/>
            <family val="2"/>
          </rPr>
          <t xml:space="preserve"> &lt;[[TCDeals] - [TC Property Current Stage (Seq: 1)] Other Amenity2 Desc - Send]&gt;</t>
        </r>
      </text>
    </comment>
    <comment ref="C179" authorId="0" shapeId="0" xr:uid="{CD6087D8-6F0F-4B87-BE46-5DC90A52A2C1}">
      <text>
        <r>
          <rPr>
            <b/>
            <sz val="9"/>
            <color indexed="81"/>
            <rFont val="Tahoma"/>
            <family val="2"/>
          </rPr>
          <t xml:space="preserve"> &lt;[[TCDeals] - [TC Property Current Stage (Seq: 1)] Has Other Amenity2 - Send]&gt;</t>
        </r>
      </text>
    </comment>
    <comment ref="I179" authorId="0" shapeId="0" xr:uid="{1D2B446A-15AD-4A26-A398-48DAAC9C9829}">
      <text>
        <r>
          <rPr>
            <b/>
            <sz val="9"/>
            <color indexed="81"/>
            <rFont val="Tahoma"/>
            <family val="2"/>
          </rPr>
          <t xml:space="preserve"> &lt;[[TCDeals] - [TC Property Current Stage (Seq: 1)] - [TC Property Current Stage - User Defined Field Values (Seq: 1)] Multi Family Application - Underground Parking - Rent - Send]&gt;</t>
        </r>
      </text>
    </comment>
    <comment ref="L179" authorId="0" shapeId="0" xr:uid="{3AAC61AA-E169-4A51-B569-4E387978F3DC}">
      <text>
        <r>
          <rPr>
            <b/>
            <sz val="9"/>
            <color indexed="81"/>
            <rFont val="Tahoma"/>
            <family val="2"/>
          </rPr>
          <t xml:space="preserve"> &lt;[[TCDeals] - [TC Property Current Stage (Seq: 1)] Num Proposed Parking Spaces - Send]&gt;</t>
        </r>
      </text>
    </comment>
    <comment ref="Z179" authorId="0" shapeId="0" xr:uid="{2FD99EF8-464D-48E7-BF86-5228AF818B20}">
      <text>
        <r>
          <rPr>
            <b/>
            <sz val="9"/>
            <color indexed="81"/>
            <rFont val="Tahoma"/>
            <family val="2"/>
          </rPr>
          <t xml:space="preserve"> &lt;[[TCDeals] - [Associated DEV Deal (Seq: 1)] - [Deal Property (Seq: 1)] Has Covered Parking - Send]&gt;</t>
        </r>
      </text>
    </comment>
    <comment ref="AD179" authorId="0" shapeId="0" xr:uid="{5EFB3088-D997-4B25-A0BE-519C14941951}">
      <text>
        <r>
          <rPr>
            <b/>
            <sz val="9"/>
            <color indexed="81"/>
            <rFont val="Tahoma"/>
            <family val="2"/>
          </rPr>
          <t xml:space="preserve"> &lt;[[TCDeals] - [Associated DEV Deal (Seq: 1)] - [Deal Property (Seq: 1)] Number Of Proposed Parking Spaces - Send]&gt;</t>
        </r>
      </text>
    </comment>
    <comment ref="C180" authorId="0" shapeId="0" xr:uid="{FF979EE3-2D58-4052-B113-103FC40B6E5E}">
      <text>
        <r>
          <rPr>
            <b/>
            <sz val="9"/>
            <color indexed="81"/>
            <rFont val="Tahoma"/>
            <family val="2"/>
          </rPr>
          <t xml:space="preserve"> &lt;[[TCDeals] - [TC Property Current Stage (Seq: 1)] Has Laundry - Send]&gt;</t>
        </r>
      </text>
    </comment>
    <comment ref="E180" authorId="0" shapeId="0" xr:uid="{2770E7BB-0D08-464F-8CC3-C02FFB7735C9}">
      <text>
        <r>
          <rPr>
            <b/>
            <sz val="9"/>
            <color indexed="81"/>
            <rFont val="Tahoma"/>
            <family val="2"/>
          </rPr>
          <t xml:space="preserve"> &lt;[[TCDeals] - [TC Property Current Stage (Seq: 1)] Has Playground - Send]&gt;</t>
        </r>
      </text>
    </comment>
    <comment ref="Z180" authorId="0" shapeId="0" xr:uid="{B132F5A0-7E12-4E99-8CEB-D9ADBEC61482}">
      <text>
        <r>
          <rPr>
            <b/>
            <sz val="9"/>
            <color indexed="81"/>
            <rFont val="Tahoma"/>
            <family val="2"/>
          </rPr>
          <t xml:space="preserve"> &lt;[[TCDeals] - [Associated DEV Deal (Seq: 1)] - [Deal Property (Seq: 1)] Has Laundry - Send]&gt;</t>
        </r>
      </text>
    </comment>
    <comment ref="AB180" authorId="0" shapeId="0" xr:uid="{DDFAA290-27E5-4E30-B1DE-04E98533421A}">
      <text>
        <r>
          <rPr>
            <b/>
            <sz val="9"/>
            <color indexed="81"/>
            <rFont val="Tahoma"/>
            <family val="2"/>
          </rPr>
          <t xml:space="preserve"> &lt;[[TCDeals] - [Associated DEV Deal (Seq: 1)] - [Deal Property (Seq: 1)] Has Playground - Send]&gt;</t>
        </r>
      </text>
    </comment>
    <comment ref="C181" authorId="0" shapeId="0" xr:uid="{6B309987-B2E9-4730-BB8E-AFCC43F4271E}">
      <text>
        <r>
          <rPr>
            <b/>
            <sz val="9"/>
            <color indexed="81"/>
            <rFont val="Tahoma"/>
            <family val="2"/>
          </rPr>
          <t xml:space="preserve"> &lt;[[TCDeals] - [TC Property Current Stage (Seq: 1)] Has Business Center - Send]&gt;</t>
        </r>
      </text>
    </comment>
    <comment ref="Z181" authorId="0" shapeId="0" xr:uid="{73E0A973-FA97-424C-BF71-F4AFB223DEA7}">
      <text>
        <r>
          <rPr>
            <b/>
            <sz val="9"/>
            <color indexed="81"/>
            <rFont val="Tahoma"/>
            <family val="2"/>
          </rPr>
          <t xml:space="preserve"> &lt;[[TCDeals] - [Associated DEV Deal (Seq: 1)] - [Deal Property (Seq: 1)] Has Business Center - Send]&gt;</t>
        </r>
      </text>
    </comment>
    <comment ref="E185" authorId="0" shapeId="0" xr:uid="{17D9B744-A0B8-4EF5-986D-DD7874B1A7E0}">
      <text>
        <r>
          <rPr>
            <b/>
            <sz val="9"/>
            <color indexed="81"/>
            <rFont val="Tahoma"/>
            <family val="2"/>
          </rPr>
          <t xml:space="preserve"> &lt;[[TCDeals] - [TC Property Current Stage (Seq: 1)] Has Exercise Room - Send]&gt;</t>
        </r>
      </text>
    </comment>
    <comment ref="I185" authorId="0" shapeId="0" xr:uid="{AD1CCB4B-6871-4816-822E-404A32E1A8C8}">
      <text>
        <r>
          <rPr>
            <b/>
            <sz val="9"/>
            <color indexed="81"/>
            <rFont val="Tahoma"/>
            <family val="2"/>
          </rPr>
          <t xml:space="preserve"> &lt;[[TCDeals] - [TC Property Current Stage (Seq: 1)] - [TC Property Current Stage - User Defined Field Values (Seq: 1)] Multi Family Application - Describe difference in low-income &amp; market-rate unit amenities - Send]&gt;</t>
        </r>
      </text>
    </comment>
    <comment ref="AB185" authorId="0" shapeId="0" xr:uid="{6CF6BBCF-CA59-4177-AE3D-80E42F1CDF4C}">
      <text>
        <r>
          <rPr>
            <b/>
            <sz val="9"/>
            <color indexed="81"/>
            <rFont val="Tahoma"/>
            <family val="2"/>
          </rPr>
          <t xml:space="preserve"> &lt;[[TCDeals] - [Associated DEV Deal (Seq: 1)] - [Deal Property (Seq: 1)] Has Exercise Facility - Send]&gt;</t>
        </r>
      </text>
    </comment>
    <comment ref="G186" authorId="0" shapeId="0" xr:uid="{1B7F3583-5DFF-488B-80E2-D8F79862C28C}">
      <text>
        <r>
          <rPr>
            <b/>
            <sz val="9"/>
            <color indexed="81"/>
            <rFont val="Tahoma"/>
            <family val="2"/>
          </rPr>
          <t xml:space="preserve"> &lt;[[TCDeals] - [TC Property Current Stage (Seq: 1)] Is Heat Landlord Paid - Send]&gt;</t>
        </r>
      </text>
    </comment>
    <comment ref="L186" authorId="0" shapeId="0" xr:uid="{8B357185-1C8C-424F-AE2F-CAEF36EDD2D1}">
      <text>
        <r>
          <rPr>
            <b/>
            <sz val="9"/>
            <color indexed="81"/>
            <rFont val="Tahoma"/>
            <family val="2"/>
          </rPr>
          <t xml:space="preserve"> &lt;[[TCDeals] - [TCDeals - User Defined Field Values (Seq: 1)] Multi Family Application - Proposed Number of Buildings - Send]&gt;</t>
        </r>
      </text>
    </comment>
    <comment ref="C187" authorId="0" shapeId="0" xr:uid="{40477049-75FA-4425-A037-E833EE368CDC}">
      <text>
        <r>
          <rPr>
            <b/>
            <sz val="9"/>
            <color indexed="81"/>
            <rFont val="Tahoma"/>
            <family val="2"/>
          </rPr>
          <t xml:space="preserve"> &lt;[[TCDeals] - [TC Property Current Stage (Seq: 1)] Has Limited Access - Send]&gt;</t>
        </r>
      </text>
    </comment>
    <comment ref="G187" authorId="0" shapeId="0" xr:uid="{D3687502-B6D0-4A85-B333-BD52D0ACE843}">
      <text>
        <r>
          <rPr>
            <b/>
            <sz val="9"/>
            <color indexed="81"/>
            <rFont val="Tahoma"/>
            <family val="2"/>
          </rPr>
          <t xml:space="preserve"> &lt;[[TCDeals] - [TC Property Current Stage (Seq: 1)] Is AC Landlord Paid - Send]&gt;</t>
        </r>
      </text>
    </comment>
    <comment ref="Z187" authorId="0" shapeId="0" xr:uid="{F58B29B8-B9A0-4999-8517-1F742E40EE5B}">
      <text>
        <r>
          <rPr>
            <b/>
            <sz val="9"/>
            <color indexed="81"/>
            <rFont val="Tahoma"/>
            <family val="2"/>
          </rPr>
          <t xml:space="preserve"> &lt;[[TCDeals] - [Associated DEV Deal (Seq: 1)] - [Deal Property (Seq: 1)] Has Limited Access - Send]&gt;</t>
        </r>
      </text>
    </comment>
    <comment ref="E188" authorId="0" shapeId="0" xr:uid="{9DB7C45B-AEBC-4000-B365-1DD0A988A6CE}">
      <text>
        <r>
          <rPr>
            <b/>
            <sz val="9"/>
            <color indexed="81"/>
            <rFont val="Tahoma"/>
            <family val="2"/>
          </rPr>
          <t xml:space="preserve"> &lt;[[TCDeals] - [TC Property Current Stage (Seq: 1)] Has Pool - Send]&gt;</t>
        </r>
      </text>
    </comment>
    <comment ref="G188" authorId="0" shapeId="0" xr:uid="{3715D0B2-76AD-4222-82ED-B4AED54ED278}">
      <text>
        <r>
          <rPr>
            <b/>
            <sz val="9"/>
            <color indexed="81"/>
            <rFont val="Tahoma"/>
            <family val="2"/>
          </rPr>
          <t xml:space="preserve"> &lt;[[TCDeals] - [TC Property Current Stage (Seq: 1)] Is Cooking Landlord Paid - Send]&gt;</t>
        </r>
      </text>
    </comment>
    <comment ref="AB188" authorId="0" shapeId="0" xr:uid="{BB17067A-45A8-4CAC-8244-9AA9ACE56808}">
      <text>
        <r>
          <rPr>
            <b/>
            <sz val="9"/>
            <color indexed="81"/>
            <rFont val="Tahoma"/>
            <family val="2"/>
          </rPr>
          <t xml:space="preserve"> &lt;[[TCDeals] - [Associated DEV Deal (Seq: 1)] - [Deal Property (Seq: 1)] Has Pool - Send]&gt;</t>
        </r>
      </text>
    </comment>
    <comment ref="G189" authorId="0" shapeId="0" xr:uid="{CD2D0B36-24D2-4BE3-9218-647EB25C3ACD}">
      <text>
        <r>
          <rPr>
            <b/>
            <sz val="9"/>
            <color indexed="81"/>
            <rFont val="Tahoma"/>
            <family val="2"/>
          </rPr>
          <t xml:space="preserve"> &lt;[[TCDeals] - [TC Property Current Stage (Seq: 1)] Is Electric Landlord Paid - Send]&gt;</t>
        </r>
      </text>
    </comment>
    <comment ref="C190" authorId="0" shapeId="0" xr:uid="{ACDB9FE1-309A-449A-B4F3-AB0C6DBD6CAD}">
      <text>
        <r>
          <rPr>
            <b/>
            <sz val="9"/>
            <color indexed="81"/>
            <rFont val="Tahoma"/>
            <family val="2"/>
          </rPr>
          <t xml:space="preserve"> &lt;[[TCDeals] - [TC Property Current Stage (Seq: 1)] Heating Type - Send]&gt;</t>
        </r>
      </text>
    </comment>
    <comment ref="E190" authorId="0" shapeId="0" xr:uid="{233B39F2-62A8-4976-8F77-9FFF9AEE8E7E}">
      <text>
        <r>
          <rPr>
            <b/>
            <sz val="9"/>
            <color indexed="81"/>
            <rFont val="Tahoma"/>
            <family val="2"/>
          </rPr>
          <t xml:space="preserve"> &lt;[[TCDeals] - [TC Property Current Stage (Seq: 1)] Cooking Type - Send]&gt;</t>
        </r>
      </text>
    </comment>
    <comment ref="G190" authorId="0" shapeId="0" xr:uid="{90A64791-1130-4D10-901B-37DAA9B60C70}">
      <text>
        <r>
          <rPr>
            <b/>
            <sz val="9"/>
            <color indexed="81"/>
            <rFont val="Tahoma"/>
            <family val="2"/>
          </rPr>
          <t xml:space="preserve"> &lt;[[TCDeals] - [TC Property Current Stage (Seq: 1)] Is Hot Water Landlord Paid - Send]&gt;</t>
        </r>
      </text>
    </comment>
    <comment ref="C191" authorId="0" shapeId="0" xr:uid="{14524EFD-E860-4145-B1D4-FE8D59D56651}">
      <text>
        <r>
          <rPr>
            <b/>
            <sz val="9"/>
            <color indexed="81"/>
            <rFont val="Tahoma"/>
            <family val="2"/>
          </rPr>
          <t xml:space="preserve"> &lt;[[TCDeals] - [TC Property Current Stage (Seq: 1)] Air Conditioning Type - Send]&gt;</t>
        </r>
      </text>
    </comment>
    <comment ref="E191" authorId="0" shapeId="0" xr:uid="{51F914A2-DF9A-4515-93F6-E92F6F5430EF}">
      <text>
        <r>
          <rPr>
            <b/>
            <sz val="9"/>
            <color indexed="81"/>
            <rFont val="Tahoma"/>
            <family val="2"/>
          </rPr>
          <t xml:space="preserve"> &lt;[[TCDeals] - [TC Property Current Stage (Seq: 1)] Hot Water Type - Send]&gt;</t>
        </r>
      </text>
    </comment>
    <comment ref="G191" authorId="0" shapeId="0" xr:uid="{0B634CE6-5BB6-4939-B400-881B9708D504}">
      <text>
        <r>
          <rPr>
            <b/>
            <sz val="9"/>
            <color indexed="81"/>
            <rFont val="Tahoma"/>
            <family val="2"/>
          </rPr>
          <t xml:space="preserve"> &lt;[[TCDeals] - [TC Property Current Stage (Seq: 1)] Is Sewer Landlord Paid - Send]&gt;</t>
        </r>
      </text>
    </comment>
    <comment ref="C192" authorId="0" shapeId="0" xr:uid="{D7A98E34-4150-4DAD-8605-F3243EBCF217}">
      <text>
        <r>
          <rPr>
            <b/>
            <sz val="9"/>
            <color indexed="81"/>
            <rFont val="Tahoma"/>
            <family val="2"/>
          </rPr>
          <t xml:space="preserve"> &lt;[[TCDeals] - [TC Property Current Stage (Seq: 1)] Is Internet Access - Send]&gt;</t>
        </r>
      </text>
    </comment>
    <comment ref="G192" authorId="0" shapeId="0" xr:uid="{7DB6674C-6A7C-48A2-B4AB-8D2C967B2C7B}">
      <text>
        <r>
          <rPr>
            <b/>
            <sz val="9"/>
            <color indexed="81"/>
            <rFont val="Tahoma"/>
            <family val="2"/>
          </rPr>
          <t xml:space="preserve"> &lt;[[TCDeals] - [TC Property Current Stage (Seq: 1)] Is Trash Landlord Paid - Send]&gt;</t>
        </r>
      </text>
    </comment>
    <comment ref="G193" authorId="0" shapeId="0" xr:uid="{C26DA754-E45F-4EBD-A4E6-04E2116E7666}">
      <text>
        <r>
          <rPr>
            <b/>
            <sz val="9"/>
            <color indexed="81"/>
            <rFont val="Tahoma"/>
            <family val="2"/>
          </rPr>
          <t xml:space="preserve"> &lt;[[TCDeals] - [TC Property Current Stage (Seq: 1)] Is Cable Landlord Paid - Send]&gt;</t>
        </r>
      </text>
    </comment>
    <comment ref="G194" authorId="0" shapeId="0" xr:uid="{ED356644-04B0-44ED-B37E-7634702940C9}">
      <text>
        <r>
          <rPr>
            <b/>
            <sz val="9"/>
            <color indexed="81"/>
            <rFont val="Tahoma"/>
            <family val="2"/>
          </rPr>
          <t xml:space="preserve"> &lt;[[TCDeals] - [TC Property Current Stage (Seq: 1)] Is Water Landlord Paid - Send]&gt;</t>
        </r>
      </text>
    </comment>
    <comment ref="H197" authorId="0" shapeId="0" xr:uid="{7F8BD83E-6009-41EA-9720-D71DC5BFC446}">
      <text>
        <r>
          <rPr>
            <b/>
            <sz val="9"/>
            <color indexed="81"/>
            <rFont val="Tahoma"/>
            <family val="2"/>
          </rPr>
          <t xml:space="preserve"> &lt;[[TCDeals] - [TC Property Current Stage (Seq: 1)] - [Unit Mix (Seq: 1)] TC Unit Mix Type - Send]&gt;</t>
        </r>
      </text>
    </comment>
    <comment ref="J197" authorId="0" shapeId="0" xr:uid="{4076E11C-D91F-437A-9CC2-988FC11E651F}">
      <text>
        <r>
          <rPr>
            <b/>
            <sz val="9"/>
            <color indexed="81"/>
            <rFont val="Tahoma"/>
            <family val="2"/>
          </rPr>
          <t xml:space="preserve"> &lt;[[TCDeals] - [TC Property Current Stage (Seq: 1)] - [Unit Mix (Seq: 1)] Net Rentable Sq Ft - Send]&gt;</t>
        </r>
      </text>
    </comment>
    <comment ref="L197" authorId="0" shapeId="0" xr:uid="{9C9ECAB5-3B2B-4139-B125-7DEC3DD11896}">
      <text>
        <r>
          <rPr>
            <b/>
            <sz val="9"/>
            <color indexed="81"/>
            <rFont val="Tahoma"/>
            <family val="2"/>
          </rPr>
          <t xml:space="preserve"> &lt;[[TCDeals] - [TC Property Current Stage (Seq: 1)] - [Unit Mix (Seq: 1)] Num Units - Send]&gt;</t>
        </r>
      </text>
    </comment>
    <comment ref="N197" authorId="0" shapeId="0" xr:uid="{001C5F1F-C111-4A12-B4BC-914577DA47AC}">
      <text>
        <r>
          <rPr>
            <b/>
            <sz val="9"/>
            <color indexed="81"/>
            <rFont val="Tahoma"/>
            <family val="2"/>
          </rPr>
          <t xml:space="preserve"> &lt;[[TCDeals] - [TC Property Current Stage (Seq: 1)] - [Unit Mix (Seq: 1)] Monthly Rent Per Unit - Send]&gt;</t>
        </r>
      </text>
    </comment>
    <comment ref="P197" authorId="0" shapeId="0" xr:uid="{7DC63B30-67D9-4D87-BAFA-3BB4D6F54266}">
      <text>
        <r>
          <rPr>
            <b/>
            <sz val="9"/>
            <color indexed="81"/>
            <rFont val="Tahoma"/>
            <family val="2"/>
          </rPr>
          <t xml:space="preserve"> &lt;[[TCDeals] - [TC Property Current Stage (Seq: 1)] - [Unit Mix (Seq: 1)] Income Target - Send]&gt;</t>
        </r>
      </text>
    </comment>
    <comment ref="Z197" authorId="0" shapeId="0" xr:uid="{73F4BF1F-2C67-472F-9BB4-FDFC932E2BC6}">
      <text>
        <r>
          <rPr>
            <b/>
            <sz val="9"/>
            <color indexed="81"/>
            <rFont val="Tahoma"/>
            <family val="2"/>
          </rPr>
          <t xml:space="preserve"> &lt;[[TCDeals] - [Associated DEV Deal (Seq: 1)] - [Deal Property (Seq: 1)] - [Locations (Seq: 1)] - [Unit Mix (Seq: 1)] Unit Type - Send]&gt;</t>
        </r>
      </text>
    </comment>
    <comment ref="AB197" authorId="0" shapeId="0" xr:uid="{68E75B85-3EDE-480C-BA95-DF8FCE01239F}">
      <text>
        <r>
          <rPr>
            <b/>
            <sz val="9"/>
            <color indexed="81"/>
            <rFont val="Tahoma"/>
            <family val="2"/>
          </rPr>
          <t xml:space="preserve"> &lt;[[TCDeals] - [Associated DEV Deal (Seq: 1)] - [Deal Property (Seq: 1)] - [Locations (Seq: 1)] - [Unit Mix (Seq: 1)] Residential Apartment Type - Send]&gt;</t>
        </r>
      </text>
    </comment>
    <comment ref="AD197" authorId="0" shapeId="0" xr:uid="{4E9E40DC-AAA7-4020-94AD-7DE2D9CED0EF}">
      <text>
        <r>
          <rPr>
            <b/>
            <sz val="9"/>
            <color indexed="81"/>
            <rFont val="Tahoma"/>
            <family val="2"/>
          </rPr>
          <t xml:space="preserve"> &lt;[[TCDeals] - [Associated DEV Deal (Seq: 1)] - [Deal Property (Seq: 1)] - [Locations (Seq: 1)] - [Unit Mix (Seq: 1)] Base Rent - Send]&gt;</t>
        </r>
      </text>
    </comment>
    <comment ref="AF197" authorId="0" shapeId="0" xr:uid="{81BCA524-D022-4E43-BA74-0B6AFCFAB75E}">
      <text>
        <r>
          <rPr>
            <b/>
            <sz val="9"/>
            <color indexed="81"/>
            <rFont val="Tahoma"/>
            <family val="2"/>
          </rPr>
          <t xml:space="preserve"> &lt;[[TCDeals] - [Associated DEV Deal (Seq: 1)] - [Deal Property (Seq: 1)] - [Locations (Seq: 1)] - [Unit Mix (Seq: 1)] Square Footage - Send]&gt;</t>
        </r>
      </text>
    </comment>
    <comment ref="AH197" authorId="0" shapeId="0" xr:uid="{6C9A7CC9-2E9F-4C18-8EFD-202DE1605CA0}">
      <text>
        <r>
          <rPr>
            <b/>
            <sz val="9"/>
            <color indexed="81"/>
            <rFont val="Tahoma"/>
            <family val="2"/>
          </rPr>
          <t xml:space="preserve"> &lt;[[TCDeals] - [Associated DEV Deal (Seq: 1)] - [Deal Property (Seq: 1)] - [Locations (Seq: 1)] - [Unit Mix (Seq: 1)] Num Units - Send]&gt;</t>
        </r>
      </text>
    </comment>
    <comment ref="AL197" authorId="0" shapeId="0" xr:uid="{321D75C7-6AD2-4772-94B7-4CE90B659D0D}">
      <text>
        <r>
          <rPr>
            <b/>
            <sz val="9"/>
            <color indexed="81"/>
            <rFont val="Tahoma"/>
            <family val="2"/>
          </rPr>
          <t xml:space="preserve"> &lt;[[TCDeals] - [Associated DEV Deal (Seq: 1)] - [Deal Property (Seq: 1)] - [Locations (Seq: 1)] - [Unit Mix (Seq: 1)] Unit Mix Ami Percent - Send]&gt;</t>
        </r>
      </text>
    </comment>
    <comment ref="H198" authorId="0" shapeId="0" xr:uid="{A3675854-7518-4B36-B88C-984E57644F52}">
      <text>
        <r>
          <rPr>
            <b/>
            <sz val="9"/>
            <color indexed="81"/>
            <rFont val="Tahoma"/>
            <family val="2"/>
          </rPr>
          <t xml:space="preserve"> &lt;[[TCDeals] - [TC Property Current Stage (Seq: 1)] - [Unit Mix (Seq: 2)] TC Unit Mix Type - Send]&gt;</t>
        </r>
      </text>
    </comment>
    <comment ref="J198" authorId="0" shapeId="0" xr:uid="{0166B825-7134-481A-BB2C-3E8E5AF4E275}">
      <text>
        <r>
          <rPr>
            <b/>
            <sz val="9"/>
            <color indexed="81"/>
            <rFont val="Tahoma"/>
            <family val="2"/>
          </rPr>
          <t xml:space="preserve"> &lt;[[TCDeals] - [TC Property Current Stage (Seq: 1)] - [Unit Mix (Seq: 2)] Net Rentable Sq Ft - Send]&gt;</t>
        </r>
      </text>
    </comment>
    <comment ref="L198" authorId="0" shapeId="0" xr:uid="{51B5E930-3F4F-4A6B-BA91-D5A55B129655}">
      <text>
        <r>
          <rPr>
            <b/>
            <sz val="9"/>
            <color indexed="81"/>
            <rFont val="Tahoma"/>
            <family val="2"/>
          </rPr>
          <t xml:space="preserve"> &lt;[[TCDeals] - [TC Property Current Stage (Seq: 1)] - [Unit Mix (Seq: 2)] Num Units - Send]&gt;</t>
        </r>
      </text>
    </comment>
    <comment ref="N198" authorId="0" shapeId="0" xr:uid="{42300806-DE4F-41C6-A65D-B7C691C474EE}">
      <text>
        <r>
          <rPr>
            <b/>
            <sz val="9"/>
            <color indexed="81"/>
            <rFont val="Tahoma"/>
            <family val="2"/>
          </rPr>
          <t xml:space="preserve"> &lt;[[TCDeals] - [TC Property Current Stage (Seq: 1)] - [Unit Mix (Seq: 2)] Monthly Rent Per Unit - Send]&gt;</t>
        </r>
      </text>
    </comment>
    <comment ref="P198" authorId="0" shapeId="0" xr:uid="{97A6F55A-1259-45F6-A3F6-ACE23DBA7D69}">
      <text>
        <r>
          <rPr>
            <b/>
            <sz val="9"/>
            <color indexed="81"/>
            <rFont val="Tahoma"/>
            <family val="2"/>
          </rPr>
          <t xml:space="preserve"> &lt;[[TCDeals] - [TC Property Current Stage (Seq: 1)] - [Unit Mix (Seq: 2)] Income Target - Send]&gt;</t>
        </r>
      </text>
    </comment>
    <comment ref="Z198" authorId="0" shapeId="0" xr:uid="{D08F960E-EEAF-4224-AC4F-1A584958E92A}">
      <text>
        <r>
          <rPr>
            <b/>
            <sz val="9"/>
            <color indexed="81"/>
            <rFont val="Tahoma"/>
            <family val="2"/>
          </rPr>
          <t xml:space="preserve"> &lt;[[TCDeals] - [Associated DEV Deal (Seq: 1)] - [Deal Property (Seq: 1)] - [Locations (Seq: 1)] - [Unit Mix (Seq: 2)] Unit Type - Send]&gt;</t>
        </r>
      </text>
    </comment>
    <comment ref="AB198" authorId="0" shapeId="0" xr:uid="{DF70C515-1B47-40E4-8AEA-06A51228A609}">
      <text>
        <r>
          <rPr>
            <b/>
            <sz val="9"/>
            <color indexed="81"/>
            <rFont val="Tahoma"/>
            <family val="2"/>
          </rPr>
          <t xml:space="preserve"> &lt;[[TCDeals] - [Associated DEV Deal (Seq: 1)] - [Deal Property (Seq: 1)] - [Locations (Seq: 1)] - [Unit Mix (Seq: 2)] Residential Apartment Type - Send]&gt;</t>
        </r>
      </text>
    </comment>
    <comment ref="AD198" authorId="0" shapeId="0" xr:uid="{7A8FB8FA-9BFF-40CB-8C9A-3CD10A3FE1DD}">
      <text>
        <r>
          <rPr>
            <b/>
            <sz val="9"/>
            <color indexed="81"/>
            <rFont val="Tahoma"/>
            <family val="2"/>
          </rPr>
          <t xml:space="preserve"> &lt;[[TCDeals] - [Associated DEV Deal (Seq: 1)] - [Deal Property (Seq: 1)] - [Locations (Seq: 1)] - [Unit Mix (Seq: 2)] Base Rent - Send]&gt;</t>
        </r>
      </text>
    </comment>
    <comment ref="AF198" authorId="0" shapeId="0" xr:uid="{CDFA8575-1BA2-44A9-9CD8-66EE9A10265D}">
      <text>
        <r>
          <rPr>
            <b/>
            <sz val="9"/>
            <color indexed="81"/>
            <rFont val="Tahoma"/>
            <family val="2"/>
          </rPr>
          <t xml:space="preserve"> &lt;[[TCDeals] - [Associated DEV Deal (Seq: 1)] - [Deal Property (Seq: 1)] - [Locations (Seq: 1)] - [Unit Mix (Seq: 2)] Square Footage - Send]&gt;</t>
        </r>
      </text>
    </comment>
    <comment ref="AH198" authorId="0" shapeId="0" xr:uid="{A5D1F9A2-6EE3-4DEE-841C-08434A47E0B1}">
      <text>
        <r>
          <rPr>
            <b/>
            <sz val="9"/>
            <color indexed="81"/>
            <rFont val="Tahoma"/>
            <family val="2"/>
          </rPr>
          <t xml:space="preserve"> &lt;[[TCDeals] - [Associated DEV Deal (Seq: 1)] - [Deal Property (Seq: 1)] - [Locations (Seq: 1)] - [Unit Mix (Seq: 2)] Num Units - Send]&gt;</t>
        </r>
      </text>
    </comment>
    <comment ref="AL198" authorId="0" shapeId="0" xr:uid="{A07F96EA-1660-4AD2-AF18-D61E9B284D5B}">
      <text>
        <r>
          <rPr>
            <b/>
            <sz val="9"/>
            <color indexed="81"/>
            <rFont val="Tahoma"/>
            <family val="2"/>
          </rPr>
          <t xml:space="preserve"> &lt;[[TCDeals] - [Associated DEV Deal (Seq: 1)] - [Deal Property (Seq: 1)] - [Locations (Seq: 1)] - [Unit Mix (Seq: 2)] Unit Mix Ami Percent - Send]&gt;</t>
        </r>
      </text>
    </comment>
    <comment ref="H199" authorId="0" shapeId="0" xr:uid="{08D4FB0F-D1B4-4B15-9B0C-CC7ED98E4E84}">
      <text>
        <r>
          <rPr>
            <b/>
            <sz val="9"/>
            <color indexed="81"/>
            <rFont val="Tahoma"/>
            <family val="2"/>
          </rPr>
          <t xml:space="preserve"> &lt;[[TCDeals] - [TC Property Current Stage (Seq: 1)] - [Unit Mix (Seq: 3)] TC Unit Mix Type - Send]&gt;</t>
        </r>
      </text>
    </comment>
    <comment ref="J199" authorId="0" shapeId="0" xr:uid="{AA5E62AA-D27E-4F2D-8F99-E741F84E2544}">
      <text>
        <r>
          <rPr>
            <b/>
            <sz val="9"/>
            <color indexed="81"/>
            <rFont val="Tahoma"/>
            <family val="2"/>
          </rPr>
          <t xml:space="preserve"> &lt;[[TCDeals] - [TC Property Current Stage (Seq: 1)] - [Unit Mix (Seq: 3)] Net Rentable Sq Ft - Send]&gt;</t>
        </r>
      </text>
    </comment>
    <comment ref="L199" authorId="0" shapeId="0" xr:uid="{F741744B-EFCA-4930-9F72-B76C4DF841BC}">
      <text>
        <r>
          <rPr>
            <b/>
            <sz val="9"/>
            <color indexed="81"/>
            <rFont val="Tahoma"/>
            <family val="2"/>
          </rPr>
          <t xml:space="preserve"> &lt;[[TCDeals] - [TC Property Current Stage (Seq: 1)] - [Unit Mix (Seq: 3)] Num Units - Send]&gt;</t>
        </r>
      </text>
    </comment>
    <comment ref="N199" authorId="0" shapeId="0" xr:uid="{BACD2622-D6D5-4A62-902F-464333554DA9}">
      <text>
        <r>
          <rPr>
            <b/>
            <sz val="9"/>
            <color indexed="81"/>
            <rFont val="Tahoma"/>
            <family val="2"/>
          </rPr>
          <t xml:space="preserve"> &lt;[[TCDeals] - [TC Property Current Stage (Seq: 1)] - [Unit Mix (Seq: 3)] Monthly Rent Per Unit - Send]&gt;</t>
        </r>
      </text>
    </comment>
    <comment ref="P199" authorId="0" shapeId="0" xr:uid="{4D72B262-7B4E-4154-8336-24D94A72807A}">
      <text>
        <r>
          <rPr>
            <b/>
            <sz val="9"/>
            <color indexed="81"/>
            <rFont val="Tahoma"/>
            <family val="2"/>
          </rPr>
          <t xml:space="preserve"> &lt;[[TCDeals] - [TC Property Current Stage (Seq: 1)] - [Unit Mix (Seq: 3)] Income Target - Send]&gt;</t>
        </r>
      </text>
    </comment>
    <comment ref="Z199" authorId="0" shapeId="0" xr:uid="{9AF803A7-B8D6-4E47-92FB-F441A9DDADF4}">
      <text>
        <r>
          <rPr>
            <b/>
            <sz val="9"/>
            <color indexed="81"/>
            <rFont val="Tahoma"/>
            <family val="2"/>
          </rPr>
          <t xml:space="preserve"> &lt;[[TCDeals] - [Associated DEV Deal (Seq: 1)] - [Deal Property (Seq: 1)] - [Locations (Seq: 1)] - [Unit Mix (Seq: 3)] Unit Type - Send]&gt;</t>
        </r>
      </text>
    </comment>
    <comment ref="AB199" authorId="0" shapeId="0" xr:uid="{AD98DFCD-72DC-4E96-BF10-9F4E0B2FF9C5}">
      <text>
        <r>
          <rPr>
            <b/>
            <sz val="9"/>
            <color indexed="81"/>
            <rFont val="Tahoma"/>
            <family val="2"/>
          </rPr>
          <t xml:space="preserve"> &lt;[[TCDeals] - [Associated DEV Deal (Seq: 1)] - [Deal Property (Seq: 1)] - [Locations (Seq: 1)] - [Unit Mix (Seq: 3)] Residential Apartment Type - Send]&gt;</t>
        </r>
      </text>
    </comment>
    <comment ref="AD199" authorId="0" shapeId="0" xr:uid="{687BED82-AC79-4462-B1CA-ACEE2862A3CE}">
      <text>
        <r>
          <rPr>
            <b/>
            <sz val="9"/>
            <color indexed="81"/>
            <rFont val="Tahoma"/>
            <family val="2"/>
          </rPr>
          <t xml:space="preserve"> &lt;[[TCDeals] - [Associated DEV Deal (Seq: 1)] - [Deal Property (Seq: 1)] - [Locations (Seq: 1)] - [Unit Mix (Seq: 3)] Base Rent - Send]&gt;</t>
        </r>
      </text>
    </comment>
    <comment ref="AF199" authorId="0" shapeId="0" xr:uid="{EFC8D401-A9C7-4B1E-8355-CBD7EEA6C096}">
      <text>
        <r>
          <rPr>
            <b/>
            <sz val="9"/>
            <color indexed="81"/>
            <rFont val="Tahoma"/>
            <family val="2"/>
          </rPr>
          <t xml:space="preserve"> &lt;[[TCDeals] - [Associated DEV Deal (Seq: 1)] - [Deal Property (Seq: 1)] - [Locations (Seq: 1)] - [Unit Mix (Seq: 3)] Square Footage - Send]&gt;</t>
        </r>
      </text>
    </comment>
    <comment ref="AH199" authorId="0" shapeId="0" xr:uid="{40525652-0512-41FB-8A41-25F61B69A9EF}">
      <text>
        <r>
          <rPr>
            <b/>
            <sz val="9"/>
            <color indexed="81"/>
            <rFont val="Tahoma"/>
            <family val="2"/>
          </rPr>
          <t xml:space="preserve"> &lt;[[TCDeals] - [Associated DEV Deal (Seq: 1)] - [Deal Property (Seq: 1)] - [Locations (Seq: 1)] - [Unit Mix (Seq: 3)] Num Units - Send]&gt;</t>
        </r>
      </text>
    </comment>
    <comment ref="AL199" authorId="0" shapeId="0" xr:uid="{402549B5-CCEB-4A17-9C3E-99B95A781728}">
      <text>
        <r>
          <rPr>
            <b/>
            <sz val="9"/>
            <color indexed="81"/>
            <rFont val="Tahoma"/>
            <family val="2"/>
          </rPr>
          <t xml:space="preserve"> &lt;[[TCDeals] - [Associated DEV Deal (Seq: 1)] - [Deal Property (Seq: 1)] - [Locations (Seq: 1)] - [Unit Mix (Seq: 3)] Unit Mix Ami Percent - Send]&gt;</t>
        </r>
      </text>
    </comment>
    <comment ref="H200" authorId="0" shapeId="0" xr:uid="{13C24CBB-BD3F-480C-BA86-D45D42D74310}">
      <text>
        <r>
          <rPr>
            <b/>
            <sz val="9"/>
            <color indexed="81"/>
            <rFont val="Tahoma"/>
            <family val="2"/>
          </rPr>
          <t xml:space="preserve"> &lt;[[TCDeals] - [TC Property Current Stage (Seq: 1)] - [Unit Mix (Seq: 4)] TC Unit Mix Type - Send]&gt;</t>
        </r>
      </text>
    </comment>
    <comment ref="J200" authorId="0" shapeId="0" xr:uid="{7AE2161B-3118-4124-9C09-DAD1B42BDD80}">
      <text>
        <r>
          <rPr>
            <b/>
            <sz val="9"/>
            <color indexed="81"/>
            <rFont val="Tahoma"/>
            <family val="2"/>
          </rPr>
          <t xml:space="preserve"> &lt;[[TCDeals] - [TC Property Current Stage (Seq: 1)] - [Unit Mix (Seq: 4)] Net Rentable Sq Ft - Send]&gt;</t>
        </r>
      </text>
    </comment>
    <comment ref="L200" authorId="0" shapeId="0" xr:uid="{01DF25DF-A71C-4BE5-A2EE-50A7887D39A5}">
      <text>
        <r>
          <rPr>
            <b/>
            <sz val="9"/>
            <color indexed="81"/>
            <rFont val="Tahoma"/>
            <family val="2"/>
          </rPr>
          <t xml:space="preserve"> &lt;[[TCDeals] - [TC Property Current Stage (Seq: 1)] - [Unit Mix (Seq: 4)] Num Units - Send]&gt;</t>
        </r>
      </text>
    </comment>
    <comment ref="N200" authorId="0" shapeId="0" xr:uid="{9CB8A05E-1E83-456F-81D5-244ECBD3AC8D}">
      <text>
        <r>
          <rPr>
            <b/>
            <sz val="9"/>
            <color indexed="81"/>
            <rFont val="Tahoma"/>
            <family val="2"/>
          </rPr>
          <t xml:space="preserve"> &lt;[[TCDeals] - [TC Property Current Stage (Seq: 1)] - [Unit Mix (Seq: 4)] Monthly Rent Per Unit - Send]&gt;</t>
        </r>
      </text>
    </comment>
    <comment ref="P200" authorId="0" shapeId="0" xr:uid="{6A0D3A29-4D06-4FA0-B39C-B6A698DA1ACB}">
      <text>
        <r>
          <rPr>
            <b/>
            <sz val="9"/>
            <color indexed="81"/>
            <rFont val="Tahoma"/>
            <family val="2"/>
          </rPr>
          <t xml:space="preserve"> &lt;[[TCDeals] - [TC Property Current Stage (Seq: 1)] - [Unit Mix (Seq: 4)] Income Target - Send]&gt;</t>
        </r>
      </text>
    </comment>
    <comment ref="Z200" authorId="0" shapeId="0" xr:uid="{1AF68EC7-71F8-440D-AD49-8D51F390551D}">
      <text>
        <r>
          <rPr>
            <b/>
            <sz val="9"/>
            <color indexed="81"/>
            <rFont val="Tahoma"/>
            <family val="2"/>
          </rPr>
          <t xml:space="preserve"> &lt;[[TCDeals] - [Associated DEV Deal (Seq: 1)] - [Deal Property (Seq: 1)] - [Locations (Seq: 1)] - [Unit Mix (Seq: 4)] Unit Type - Send]&gt;</t>
        </r>
      </text>
    </comment>
    <comment ref="AB200" authorId="0" shapeId="0" xr:uid="{1A2430AA-24E7-476C-B407-206A4B860BCA}">
      <text>
        <r>
          <rPr>
            <b/>
            <sz val="9"/>
            <color indexed="81"/>
            <rFont val="Tahoma"/>
            <family val="2"/>
          </rPr>
          <t xml:space="preserve"> &lt;[[TCDeals] - [Associated DEV Deal (Seq: 1)] - [Deal Property (Seq: 1)] - [Locations (Seq: 1)] - [Unit Mix (Seq: 4)] Residential Apartment Type - Send]&gt;</t>
        </r>
      </text>
    </comment>
    <comment ref="AD200" authorId="0" shapeId="0" xr:uid="{FE286EAD-987D-42EF-AC9E-4CC61AD6B526}">
      <text>
        <r>
          <rPr>
            <b/>
            <sz val="9"/>
            <color indexed="81"/>
            <rFont val="Tahoma"/>
            <family val="2"/>
          </rPr>
          <t xml:space="preserve"> &lt;[[TCDeals] - [Associated DEV Deal (Seq: 1)] - [Deal Property (Seq: 1)] - [Locations (Seq: 1)] - [Unit Mix (Seq: 4)] Base Rent - Send]&gt;</t>
        </r>
      </text>
    </comment>
    <comment ref="AF200" authorId="0" shapeId="0" xr:uid="{FBB7804B-1C05-41EC-BDFC-86FD4DC7087F}">
      <text>
        <r>
          <rPr>
            <b/>
            <sz val="9"/>
            <color indexed="81"/>
            <rFont val="Tahoma"/>
            <family val="2"/>
          </rPr>
          <t xml:space="preserve"> &lt;[[TCDeals] - [Associated DEV Deal (Seq: 1)] - [Deal Property (Seq: 1)] - [Locations (Seq: 1)] - [Unit Mix (Seq: 4)] Square Footage - Send]&gt;</t>
        </r>
      </text>
    </comment>
    <comment ref="AH200" authorId="0" shapeId="0" xr:uid="{D3AD697E-15BE-430D-A592-E6165EAAFF79}">
      <text>
        <r>
          <rPr>
            <b/>
            <sz val="9"/>
            <color indexed="81"/>
            <rFont val="Tahoma"/>
            <family val="2"/>
          </rPr>
          <t xml:space="preserve"> &lt;[[TCDeals] - [Associated DEV Deal (Seq: 1)] - [Deal Property (Seq: 1)] - [Locations (Seq: 1)] - [Unit Mix (Seq: 4)] Num Units - Send]&gt;</t>
        </r>
      </text>
    </comment>
    <comment ref="AL200" authorId="0" shapeId="0" xr:uid="{EC57FA52-59DE-4DFF-9906-0A5E36265E3A}">
      <text>
        <r>
          <rPr>
            <b/>
            <sz val="9"/>
            <color indexed="81"/>
            <rFont val="Tahoma"/>
            <family val="2"/>
          </rPr>
          <t xml:space="preserve"> &lt;[[TCDeals] - [Associated DEV Deal (Seq: 1)] - [Deal Property (Seq: 1)] - [Locations (Seq: 1)] - [Unit Mix (Seq: 4)] Unit Mix Ami Percent - Send]&gt;</t>
        </r>
      </text>
    </comment>
    <comment ref="H201" authorId="0" shapeId="0" xr:uid="{A728ABDB-E997-405A-BD99-949CE97691A4}">
      <text>
        <r>
          <rPr>
            <b/>
            <sz val="9"/>
            <color indexed="81"/>
            <rFont val="Tahoma"/>
            <family val="2"/>
          </rPr>
          <t xml:space="preserve"> &lt;[[TCDeals] - [TC Property Current Stage (Seq: 1)] - [Unit Mix (Seq: 5)] TC Unit Mix Type - Send]&gt;</t>
        </r>
      </text>
    </comment>
    <comment ref="J201" authorId="0" shapeId="0" xr:uid="{006F246B-6246-40FF-B023-C51469D90E53}">
      <text>
        <r>
          <rPr>
            <b/>
            <sz val="9"/>
            <color indexed="81"/>
            <rFont val="Tahoma"/>
            <family val="2"/>
          </rPr>
          <t xml:space="preserve"> &lt;[[TCDeals] - [TC Property Current Stage (Seq: 1)] - [Unit Mix (Seq: 5)] Net Rentable Sq Ft - Send]&gt;</t>
        </r>
      </text>
    </comment>
    <comment ref="L201" authorId="0" shapeId="0" xr:uid="{0E6D96DB-6319-488C-A671-541C5F131202}">
      <text>
        <r>
          <rPr>
            <b/>
            <sz val="9"/>
            <color indexed="81"/>
            <rFont val="Tahoma"/>
            <family val="2"/>
          </rPr>
          <t xml:space="preserve"> &lt;[[TCDeals] - [TC Property Current Stage (Seq: 1)] - [Unit Mix (Seq: 5)] Num Units - Send]&gt;</t>
        </r>
      </text>
    </comment>
    <comment ref="N201" authorId="0" shapeId="0" xr:uid="{75470A7E-1F1E-4DEB-A972-452F7D7B6FE6}">
      <text>
        <r>
          <rPr>
            <b/>
            <sz val="9"/>
            <color indexed="81"/>
            <rFont val="Tahoma"/>
            <family val="2"/>
          </rPr>
          <t xml:space="preserve"> &lt;[[TCDeals] - [TC Property Current Stage (Seq: 1)] - [Unit Mix (Seq: 5)] Monthly Rent Per Unit - Send]&gt;</t>
        </r>
      </text>
    </comment>
    <comment ref="P201" authorId="0" shapeId="0" xr:uid="{C4EA08BC-8772-4985-89F0-E8F61D272F2D}">
      <text>
        <r>
          <rPr>
            <b/>
            <sz val="9"/>
            <color indexed="81"/>
            <rFont val="Tahoma"/>
            <family val="2"/>
          </rPr>
          <t xml:space="preserve"> &lt;[[TCDeals] - [TC Property Current Stage (Seq: 1)] - [Unit Mix (Seq: 5)] Income Target - Send]&gt;</t>
        </r>
      </text>
    </comment>
    <comment ref="Z201" authorId="0" shapeId="0" xr:uid="{2A662761-AA71-4140-B19B-77AF934F3151}">
      <text>
        <r>
          <rPr>
            <b/>
            <sz val="9"/>
            <color indexed="81"/>
            <rFont val="Tahoma"/>
            <family val="2"/>
          </rPr>
          <t xml:space="preserve"> &lt;[[TCDeals] - [Associated DEV Deal (Seq: 1)] - [Deal Property (Seq: 1)] - [Locations (Seq: 1)] - [Unit Mix (Seq: 5)] Unit Type - Send]&gt;</t>
        </r>
      </text>
    </comment>
    <comment ref="AB201" authorId="0" shapeId="0" xr:uid="{9462196A-28EA-443B-9477-D76D023E5CAF}">
      <text>
        <r>
          <rPr>
            <b/>
            <sz val="9"/>
            <color indexed="81"/>
            <rFont val="Tahoma"/>
            <family val="2"/>
          </rPr>
          <t xml:space="preserve"> &lt;[[TCDeals] - [Associated DEV Deal (Seq: 1)] - [Deal Property (Seq: 1)] - [Locations (Seq: 1)] - [Unit Mix (Seq: 5)] Residential Apartment Type - Send]&gt;</t>
        </r>
      </text>
    </comment>
    <comment ref="AD201" authorId="0" shapeId="0" xr:uid="{068A1711-ABD0-48BC-B601-3E15B3473C45}">
      <text>
        <r>
          <rPr>
            <b/>
            <sz val="9"/>
            <color indexed="81"/>
            <rFont val="Tahoma"/>
            <family val="2"/>
          </rPr>
          <t xml:space="preserve"> &lt;[[TCDeals] - [Associated DEV Deal (Seq: 1)] - [Deal Property (Seq: 1)] - [Locations (Seq: 1)] - [Unit Mix (Seq: 5)] Base Rent - Send]&gt;</t>
        </r>
      </text>
    </comment>
    <comment ref="AF201" authorId="0" shapeId="0" xr:uid="{A91E8783-FA3A-49C7-8462-4591B3CCF393}">
      <text>
        <r>
          <rPr>
            <b/>
            <sz val="9"/>
            <color indexed="81"/>
            <rFont val="Tahoma"/>
            <family val="2"/>
          </rPr>
          <t xml:space="preserve"> &lt;[[TCDeals] - [Associated DEV Deal (Seq: 1)] - [Deal Property (Seq: 1)] - [Locations (Seq: 1)] - [Unit Mix (Seq: 5)] Square Footage - Send]&gt;</t>
        </r>
      </text>
    </comment>
    <comment ref="AH201" authorId="0" shapeId="0" xr:uid="{332F51A7-30D8-450D-A438-EFE250A36ED0}">
      <text>
        <r>
          <rPr>
            <b/>
            <sz val="9"/>
            <color indexed="81"/>
            <rFont val="Tahoma"/>
            <family val="2"/>
          </rPr>
          <t xml:space="preserve"> &lt;[[TCDeals] - [Associated DEV Deal (Seq: 1)] - [Deal Property (Seq: 1)] - [Locations (Seq: 1)] - [Unit Mix (Seq: 5)] Num Units - Send]&gt;</t>
        </r>
      </text>
    </comment>
    <comment ref="AL201" authorId="0" shapeId="0" xr:uid="{3C4125FE-9E69-4B5B-9BAE-0064C1143E73}">
      <text>
        <r>
          <rPr>
            <b/>
            <sz val="9"/>
            <color indexed="81"/>
            <rFont val="Tahoma"/>
            <family val="2"/>
          </rPr>
          <t xml:space="preserve"> &lt;[[TCDeals] - [Associated DEV Deal (Seq: 1)] - [Deal Property (Seq: 1)] - [Locations (Seq: 1)] - [Unit Mix (Seq: 5)] Unit Mix Ami Percent - Send]&gt;</t>
        </r>
      </text>
    </comment>
    <comment ref="H202" authorId="0" shapeId="0" xr:uid="{350D4958-3085-441B-A086-181DAF93865B}">
      <text>
        <r>
          <rPr>
            <b/>
            <sz val="9"/>
            <color indexed="81"/>
            <rFont val="Tahoma"/>
            <family val="2"/>
          </rPr>
          <t xml:space="preserve"> &lt;[[TCDeals] - [TC Property Current Stage (Seq: 1)] - [Unit Mix (Seq: 6)] TC Unit Mix Type - Send]&gt;</t>
        </r>
      </text>
    </comment>
    <comment ref="J202" authorId="0" shapeId="0" xr:uid="{D5D176EE-BFFC-4255-A4D3-B1ACEDC57748}">
      <text>
        <r>
          <rPr>
            <b/>
            <sz val="9"/>
            <color indexed="81"/>
            <rFont val="Tahoma"/>
            <family val="2"/>
          </rPr>
          <t xml:space="preserve"> &lt;[[TCDeals] - [TC Property Current Stage (Seq: 1)] - [Unit Mix (Seq: 6)] Net Rentable Sq Ft - Send]&gt;</t>
        </r>
      </text>
    </comment>
    <comment ref="L202" authorId="0" shapeId="0" xr:uid="{A11BCA30-9A30-4566-A46D-986578237C86}">
      <text>
        <r>
          <rPr>
            <b/>
            <sz val="9"/>
            <color indexed="81"/>
            <rFont val="Tahoma"/>
            <family val="2"/>
          </rPr>
          <t xml:space="preserve"> &lt;[[TCDeals] - [TC Property Current Stage (Seq: 1)] - [Unit Mix (Seq: 6)] Num Units - Send]&gt;</t>
        </r>
      </text>
    </comment>
    <comment ref="N202" authorId="0" shapeId="0" xr:uid="{A61666A7-9C17-4968-AC95-D869D2350CDC}">
      <text>
        <r>
          <rPr>
            <b/>
            <sz val="9"/>
            <color indexed="81"/>
            <rFont val="Tahoma"/>
            <family val="2"/>
          </rPr>
          <t xml:space="preserve"> &lt;[[TCDeals] - [TC Property Current Stage (Seq: 1)] - [Unit Mix (Seq: 6)] Monthly Rent Per Unit - Send]&gt;</t>
        </r>
      </text>
    </comment>
    <comment ref="P202" authorId="0" shapeId="0" xr:uid="{AF075E38-96C3-48C1-92A4-79CA3880BA79}">
      <text>
        <r>
          <rPr>
            <b/>
            <sz val="9"/>
            <color indexed="81"/>
            <rFont val="Tahoma"/>
            <family val="2"/>
          </rPr>
          <t xml:space="preserve"> &lt;[[TCDeals] - [TC Property Current Stage (Seq: 1)] - [Unit Mix (Seq: 6)] Income Target - Send]&gt;</t>
        </r>
      </text>
    </comment>
    <comment ref="Z202" authorId="0" shapeId="0" xr:uid="{445E6B9F-9816-485E-B549-DEEA007492C7}">
      <text>
        <r>
          <rPr>
            <b/>
            <sz val="9"/>
            <color indexed="81"/>
            <rFont val="Tahoma"/>
            <family val="2"/>
          </rPr>
          <t xml:space="preserve"> &lt;[[TCDeals] - [Associated DEV Deal (Seq: 1)] - [Deal Property (Seq: 1)] - [Locations (Seq: 1)] - [Unit Mix (Seq: 6)] Unit Type - Send]&gt;</t>
        </r>
      </text>
    </comment>
    <comment ref="AB202" authorId="0" shapeId="0" xr:uid="{808C02AC-3A5E-45A4-BF9A-D93E6EFB0F84}">
      <text>
        <r>
          <rPr>
            <b/>
            <sz val="9"/>
            <color indexed="81"/>
            <rFont val="Tahoma"/>
            <family val="2"/>
          </rPr>
          <t xml:space="preserve"> &lt;[[TCDeals] - [Associated DEV Deal (Seq: 1)] - [Deal Property (Seq: 1)] - [Locations (Seq: 1)] - [Unit Mix (Seq: 6)] Residential Apartment Type - Send]&gt;</t>
        </r>
      </text>
    </comment>
    <comment ref="AD202" authorId="0" shapeId="0" xr:uid="{07D3C343-2EA7-481A-B551-8598430EB7AC}">
      <text>
        <r>
          <rPr>
            <b/>
            <sz val="9"/>
            <color indexed="81"/>
            <rFont val="Tahoma"/>
            <family val="2"/>
          </rPr>
          <t xml:space="preserve"> &lt;[[TCDeals] - [Associated DEV Deal (Seq: 1)] - [Deal Property (Seq: 1)] - [Locations (Seq: 1)] - [Unit Mix (Seq: 6)] Base Rent - Send]&gt;</t>
        </r>
      </text>
    </comment>
    <comment ref="AF202" authorId="0" shapeId="0" xr:uid="{7EE8878D-FF41-4CF7-BF79-EDCB9B094D9F}">
      <text>
        <r>
          <rPr>
            <b/>
            <sz val="9"/>
            <color indexed="81"/>
            <rFont val="Tahoma"/>
            <family val="2"/>
          </rPr>
          <t xml:space="preserve"> &lt;[[TCDeals] - [Associated DEV Deal (Seq: 1)] - [Deal Property (Seq: 1)] - [Locations (Seq: 1)] - [Unit Mix (Seq: 6)] Square Footage - Send]&gt;</t>
        </r>
      </text>
    </comment>
    <comment ref="AH202" authorId="0" shapeId="0" xr:uid="{279FAB40-22B0-4D30-9FE1-D8B6FE730191}">
      <text>
        <r>
          <rPr>
            <b/>
            <sz val="9"/>
            <color indexed="81"/>
            <rFont val="Tahoma"/>
            <family val="2"/>
          </rPr>
          <t xml:space="preserve"> &lt;[[TCDeals] - [Associated DEV Deal (Seq: 1)] - [Deal Property (Seq: 1)] - [Locations (Seq: 1)] - [Unit Mix (Seq: 6)] Num Units - Send]&gt;</t>
        </r>
      </text>
    </comment>
    <comment ref="AL202" authorId="0" shapeId="0" xr:uid="{249C9657-24E1-4592-AA01-0CFBF5AFE5D1}">
      <text>
        <r>
          <rPr>
            <b/>
            <sz val="9"/>
            <color indexed="81"/>
            <rFont val="Tahoma"/>
            <family val="2"/>
          </rPr>
          <t xml:space="preserve"> &lt;[[TCDeals] - [Associated DEV Deal (Seq: 1)] - [Deal Property (Seq: 1)] - [Locations (Seq: 1)] - [Unit Mix (Seq: 6)] Unit Mix Ami Percent - Send]&gt;</t>
        </r>
      </text>
    </comment>
    <comment ref="H203" authorId="0" shapeId="0" xr:uid="{1245ED67-8C78-41D1-B076-FBE450F703B9}">
      <text>
        <r>
          <rPr>
            <b/>
            <sz val="9"/>
            <color indexed="81"/>
            <rFont val="Tahoma"/>
            <family val="2"/>
          </rPr>
          <t xml:space="preserve"> &lt;[[TCDeals] - [TC Property Current Stage (Seq: 1)] - [Unit Mix (Seq: 7)] TC Unit Mix Type - Send]&gt;</t>
        </r>
      </text>
    </comment>
    <comment ref="J203" authorId="0" shapeId="0" xr:uid="{C6FCD1F7-7833-4175-9781-FE54B94D1123}">
      <text>
        <r>
          <rPr>
            <b/>
            <sz val="9"/>
            <color indexed="81"/>
            <rFont val="Tahoma"/>
            <family val="2"/>
          </rPr>
          <t xml:space="preserve"> &lt;[[TCDeals] - [TC Property Current Stage (Seq: 1)] - [Unit Mix (Seq: 7)] Net Rentable Sq Ft - Send]&gt;</t>
        </r>
      </text>
    </comment>
    <comment ref="L203" authorId="0" shapeId="0" xr:uid="{24485FED-66FE-44F1-996C-1C634F2C3233}">
      <text>
        <r>
          <rPr>
            <b/>
            <sz val="9"/>
            <color indexed="81"/>
            <rFont val="Tahoma"/>
            <family val="2"/>
          </rPr>
          <t xml:space="preserve"> &lt;[[TCDeals] - [TC Property Current Stage (Seq: 1)] - [Unit Mix (Seq: 7)] Num Units - Send]&gt;</t>
        </r>
      </text>
    </comment>
    <comment ref="N203" authorId="0" shapeId="0" xr:uid="{037105C2-FF1C-41C8-A44D-81F447F052E9}">
      <text>
        <r>
          <rPr>
            <b/>
            <sz val="9"/>
            <color indexed="81"/>
            <rFont val="Tahoma"/>
            <family val="2"/>
          </rPr>
          <t xml:space="preserve"> &lt;[[TCDeals] - [TC Property Current Stage (Seq: 1)] - [Unit Mix (Seq: 7)] Monthly Rent Per Unit - Send]&gt;</t>
        </r>
      </text>
    </comment>
    <comment ref="P203" authorId="0" shapeId="0" xr:uid="{C6E97E43-08B0-47D1-9F25-89A5C1C3707F}">
      <text>
        <r>
          <rPr>
            <b/>
            <sz val="9"/>
            <color indexed="81"/>
            <rFont val="Tahoma"/>
            <family val="2"/>
          </rPr>
          <t xml:space="preserve"> &lt;[[TCDeals] - [TC Property Current Stage (Seq: 1)] - [Unit Mix (Seq: 7)] Income Target - Send]&gt;</t>
        </r>
      </text>
    </comment>
    <comment ref="Z203" authorId="0" shapeId="0" xr:uid="{DD618F82-C06D-479A-B054-E3ED02F3EDF3}">
      <text>
        <r>
          <rPr>
            <b/>
            <sz val="9"/>
            <color indexed="81"/>
            <rFont val="Tahoma"/>
            <family val="2"/>
          </rPr>
          <t xml:space="preserve"> &lt;[[TCDeals] - [Associated DEV Deal (Seq: 1)] - [Deal Property (Seq: 1)] - [Locations (Seq: 1)] - [Unit Mix (Seq: 7)] Unit Type - Send]&gt;</t>
        </r>
      </text>
    </comment>
    <comment ref="AB203" authorId="0" shapeId="0" xr:uid="{DF25D581-1EB1-4610-BA6B-9CFC9FA88226}">
      <text>
        <r>
          <rPr>
            <b/>
            <sz val="9"/>
            <color indexed="81"/>
            <rFont val="Tahoma"/>
            <family val="2"/>
          </rPr>
          <t xml:space="preserve"> &lt;[[TCDeals] - [Associated DEV Deal (Seq: 1)] - [Deal Property (Seq: 1)] - [Locations (Seq: 1)] - [Unit Mix (Seq: 7)] Residential Apartment Type - Send]&gt;</t>
        </r>
      </text>
    </comment>
    <comment ref="AD203" authorId="0" shapeId="0" xr:uid="{0B0255B6-4B74-494B-B68E-BB18DE0C5607}">
      <text>
        <r>
          <rPr>
            <b/>
            <sz val="9"/>
            <color indexed="81"/>
            <rFont val="Tahoma"/>
            <family val="2"/>
          </rPr>
          <t xml:space="preserve"> &lt;[[TCDeals] - [Associated DEV Deal (Seq: 1)] - [Deal Property (Seq: 1)] - [Locations (Seq: 1)] - [Unit Mix (Seq: 7)] Base Rent - Send]&gt;</t>
        </r>
      </text>
    </comment>
    <comment ref="AF203" authorId="0" shapeId="0" xr:uid="{BBE871A9-6C3A-40C8-814F-4E85AD0AAA5A}">
      <text>
        <r>
          <rPr>
            <b/>
            <sz val="9"/>
            <color indexed="81"/>
            <rFont val="Tahoma"/>
            <family val="2"/>
          </rPr>
          <t xml:space="preserve"> &lt;[[TCDeals] - [Associated DEV Deal (Seq: 1)] - [Deal Property (Seq: 1)] - [Locations (Seq: 1)] - [Unit Mix (Seq: 7)] Square Footage - Send]&gt;</t>
        </r>
      </text>
    </comment>
    <comment ref="AH203" authorId="0" shapeId="0" xr:uid="{6877C959-5CC2-4B24-A29E-B45E20814A60}">
      <text>
        <r>
          <rPr>
            <b/>
            <sz val="9"/>
            <color indexed="81"/>
            <rFont val="Tahoma"/>
            <family val="2"/>
          </rPr>
          <t xml:space="preserve"> &lt;[[TCDeals] - [Associated DEV Deal (Seq: 1)] - [Deal Property (Seq: 1)] - [Locations (Seq: 1)] - [Unit Mix (Seq: 7)] Num Units - Send]&gt;</t>
        </r>
      </text>
    </comment>
    <comment ref="AL203" authorId="0" shapeId="0" xr:uid="{78D4D6CA-CF30-425E-B617-BE8B9229F170}">
      <text>
        <r>
          <rPr>
            <b/>
            <sz val="9"/>
            <color indexed="81"/>
            <rFont val="Tahoma"/>
            <family val="2"/>
          </rPr>
          <t xml:space="preserve"> &lt;[[TCDeals] - [Associated DEV Deal (Seq: 1)] - [Deal Property (Seq: 1)] - [Locations (Seq: 1)] - [Unit Mix (Seq: 7)] Unit Mix Ami Percent - Send]&gt;</t>
        </r>
      </text>
    </comment>
    <comment ref="H204" authorId="0" shapeId="0" xr:uid="{EC003913-C906-4804-B649-22F7DAD2E219}">
      <text>
        <r>
          <rPr>
            <b/>
            <sz val="9"/>
            <color indexed="81"/>
            <rFont val="Tahoma"/>
            <family val="2"/>
          </rPr>
          <t xml:space="preserve"> &lt;[[TCDeals] - [TC Property Current Stage (Seq: 1)] - [Unit Mix (Seq: 8)] TC Unit Mix Type - Send]&gt;</t>
        </r>
      </text>
    </comment>
    <comment ref="J204" authorId="0" shapeId="0" xr:uid="{961F93A0-CB5B-4BCF-A2DF-6E25485E528C}">
      <text>
        <r>
          <rPr>
            <b/>
            <sz val="9"/>
            <color indexed="81"/>
            <rFont val="Tahoma"/>
            <family val="2"/>
          </rPr>
          <t xml:space="preserve"> &lt;[[TCDeals] - [TC Property Current Stage (Seq: 1)] - [Unit Mix (Seq: 8)] Net Rentable Sq Ft - Send]&gt;</t>
        </r>
      </text>
    </comment>
    <comment ref="L204" authorId="0" shapeId="0" xr:uid="{6E70C328-BA4D-44DD-9B08-BDC7358AA993}">
      <text>
        <r>
          <rPr>
            <b/>
            <sz val="9"/>
            <color indexed="81"/>
            <rFont val="Tahoma"/>
            <family val="2"/>
          </rPr>
          <t xml:space="preserve"> &lt;[[TCDeals] - [TC Property Current Stage (Seq: 1)] - [Unit Mix (Seq: 8)] Num Units - Send]&gt;</t>
        </r>
      </text>
    </comment>
    <comment ref="N204" authorId="0" shapeId="0" xr:uid="{EC1A7DFF-3F44-43E3-8CB2-DAB84042288A}">
      <text>
        <r>
          <rPr>
            <b/>
            <sz val="9"/>
            <color indexed="81"/>
            <rFont val="Tahoma"/>
            <family val="2"/>
          </rPr>
          <t xml:space="preserve"> &lt;[[TCDeals] - [TC Property Current Stage (Seq: 1)] - [Unit Mix (Seq: 8)] Monthly Rent Per Unit - Send]&gt;</t>
        </r>
      </text>
    </comment>
    <comment ref="P204" authorId="0" shapeId="0" xr:uid="{A5327EF3-8F0E-44E9-8F98-33EA15CDC60C}">
      <text>
        <r>
          <rPr>
            <b/>
            <sz val="9"/>
            <color indexed="81"/>
            <rFont val="Tahoma"/>
            <family val="2"/>
          </rPr>
          <t xml:space="preserve"> &lt;[[TCDeals] - [TC Property Current Stage (Seq: 1)] - [Unit Mix (Seq: 8)] Income Target - Send]&gt;</t>
        </r>
      </text>
    </comment>
    <comment ref="Z204" authorId="0" shapeId="0" xr:uid="{B92EAC54-40C8-4F8C-A3D3-A9B24FE3B2EB}">
      <text>
        <r>
          <rPr>
            <b/>
            <sz val="9"/>
            <color indexed="81"/>
            <rFont val="Tahoma"/>
            <family val="2"/>
          </rPr>
          <t xml:space="preserve"> &lt;[[TCDeals] - [Associated DEV Deal (Seq: 1)] - [Deal Property (Seq: 1)] - [Locations (Seq: 1)] - [Unit Mix (Seq: 8)] Unit Type - Send]&gt;</t>
        </r>
      </text>
    </comment>
    <comment ref="AB204" authorId="0" shapeId="0" xr:uid="{70175EF8-ED7B-474B-91BB-230513E153D0}">
      <text>
        <r>
          <rPr>
            <b/>
            <sz val="9"/>
            <color indexed="81"/>
            <rFont val="Tahoma"/>
            <family val="2"/>
          </rPr>
          <t xml:space="preserve"> &lt;[[TCDeals] - [Associated DEV Deal (Seq: 1)] - [Deal Property (Seq: 1)] - [Locations (Seq: 1)] - [Unit Mix (Seq: 8)] Residential Apartment Type - Send]&gt;</t>
        </r>
      </text>
    </comment>
    <comment ref="AD204" authorId="0" shapeId="0" xr:uid="{B8AC1555-58F9-482E-BB03-3D88158B8AB0}">
      <text>
        <r>
          <rPr>
            <b/>
            <sz val="9"/>
            <color indexed="81"/>
            <rFont val="Tahoma"/>
            <family val="2"/>
          </rPr>
          <t xml:space="preserve"> &lt;[[TCDeals] - [Associated DEV Deal (Seq: 1)] - [Deal Property (Seq: 1)] - [Locations (Seq: 1)] - [Unit Mix (Seq: 8)] Base Rent - Send]&gt;</t>
        </r>
      </text>
    </comment>
    <comment ref="AF204" authorId="0" shapeId="0" xr:uid="{080AD85A-6DEB-4E78-8C5C-F60EA7B353BC}">
      <text>
        <r>
          <rPr>
            <b/>
            <sz val="9"/>
            <color indexed="81"/>
            <rFont val="Tahoma"/>
            <family val="2"/>
          </rPr>
          <t xml:space="preserve"> &lt;[[TCDeals] - [Associated DEV Deal (Seq: 1)] - [Deal Property (Seq: 1)] - [Locations (Seq: 1)] - [Unit Mix (Seq: 8)] Square Footage - Send]&gt;</t>
        </r>
      </text>
    </comment>
    <comment ref="AH204" authorId="0" shapeId="0" xr:uid="{EF28246C-17CE-4104-9747-71818870B2DA}">
      <text>
        <r>
          <rPr>
            <b/>
            <sz val="9"/>
            <color indexed="81"/>
            <rFont val="Tahoma"/>
            <family val="2"/>
          </rPr>
          <t xml:space="preserve"> &lt;[[TCDeals] - [Associated DEV Deal (Seq: 1)] - [Deal Property (Seq: 1)] - [Locations (Seq: 1)] - [Unit Mix (Seq: 8)] Num Units - Send]&gt;</t>
        </r>
      </text>
    </comment>
    <comment ref="AL204" authorId="0" shapeId="0" xr:uid="{C192BF44-3CCC-48EC-90C5-4E7D749E6050}">
      <text>
        <r>
          <rPr>
            <b/>
            <sz val="9"/>
            <color indexed="81"/>
            <rFont val="Tahoma"/>
            <family val="2"/>
          </rPr>
          <t xml:space="preserve"> &lt;[[TCDeals] - [Associated DEV Deal (Seq: 1)] - [Deal Property (Seq: 1)] - [Locations (Seq: 1)] - [Unit Mix (Seq: 8)] Unit Mix Ami Percent - Send]&gt;</t>
        </r>
      </text>
    </comment>
    <comment ref="H205" authorId="0" shapeId="0" xr:uid="{6619B6E0-D15B-4802-ABEE-32174047AAFB}">
      <text>
        <r>
          <rPr>
            <b/>
            <sz val="9"/>
            <color indexed="81"/>
            <rFont val="Tahoma"/>
            <family val="2"/>
          </rPr>
          <t xml:space="preserve"> &lt;[[TCDeals] - [TC Property Current Stage (Seq: 1)] - [Unit Mix (Seq: 9)] TC Unit Mix Type - Send]&gt;</t>
        </r>
      </text>
    </comment>
    <comment ref="J205" authorId="0" shapeId="0" xr:uid="{D22C9D16-A55F-40A3-A27B-A5C76655AE94}">
      <text>
        <r>
          <rPr>
            <b/>
            <sz val="9"/>
            <color indexed="81"/>
            <rFont val="Tahoma"/>
            <family val="2"/>
          </rPr>
          <t xml:space="preserve"> &lt;[[TCDeals] - [TC Property Current Stage (Seq: 1)] - [Unit Mix (Seq: 9)] Net Rentable Sq Ft - Send]&gt;</t>
        </r>
      </text>
    </comment>
    <comment ref="L205" authorId="0" shapeId="0" xr:uid="{8DEEDA17-6542-4580-A08B-34E153F2A210}">
      <text>
        <r>
          <rPr>
            <b/>
            <sz val="9"/>
            <color indexed="81"/>
            <rFont val="Tahoma"/>
            <family val="2"/>
          </rPr>
          <t xml:space="preserve"> &lt;[[TCDeals] - [TC Property Current Stage (Seq: 1)] - [Unit Mix (Seq: 9)] Num Units - Send]&gt;</t>
        </r>
      </text>
    </comment>
    <comment ref="N205" authorId="0" shapeId="0" xr:uid="{617E3525-4416-4592-855D-315A95223019}">
      <text>
        <r>
          <rPr>
            <b/>
            <sz val="9"/>
            <color indexed="81"/>
            <rFont val="Tahoma"/>
            <family val="2"/>
          </rPr>
          <t xml:space="preserve"> &lt;[[TCDeals] - [TC Property Current Stage (Seq: 1)] - [Unit Mix (Seq: 9)] Monthly Rent Per Unit - Send]&gt;</t>
        </r>
      </text>
    </comment>
    <comment ref="P205" authorId="0" shapeId="0" xr:uid="{D6C75C98-6C19-418A-916B-2EA7A27F4B2A}">
      <text>
        <r>
          <rPr>
            <b/>
            <sz val="9"/>
            <color indexed="81"/>
            <rFont val="Tahoma"/>
            <family val="2"/>
          </rPr>
          <t xml:space="preserve"> &lt;[[TCDeals] - [TC Property Current Stage (Seq: 1)] - [Unit Mix (Seq: 9)] Income Target - Send]&gt;</t>
        </r>
      </text>
    </comment>
    <comment ref="Z205" authorId="0" shapeId="0" xr:uid="{C0C4ACF0-5CAE-423F-A199-47E7B49603F3}">
      <text>
        <r>
          <rPr>
            <b/>
            <sz val="9"/>
            <color indexed="81"/>
            <rFont val="Tahoma"/>
            <family val="2"/>
          </rPr>
          <t xml:space="preserve"> &lt;[[TCDeals] - [Associated DEV Deal (Seq: 1)] - [Deal Property (Seq: 1)] - [Locations (Seq: 1)] - [Unit Mix (Seq: 9)] Unit Type - Send]&gt;</t>
        </r>
      </text>
    </comment>
    <comment ref="AB205" authorId="0" shapeId="0" xr:uid="{FD478BB2-0DD0-4607-8529-B0AFD4F0060B}">
      <text>
        <r>
          <rPr>
            <b/>
            <sz val="9"/>
            <color indexed="81"/>
            <rFont val="Tahoma"/>
            <family val="2"/>
          </rPr>
          <t xml:space="preserve"> &lt;[[TCDeals] - [Associated DEV Deal (Seq: 1)] - [Deal Property (Seq: 1)] - [Locations (Seq: 1)] - [Unit Mix (Seq: 9)] Residential Apartment Type - Send]&gt;</t>
        </r>
      </text>
    </comment>
    <comment ref="AD205" authorId="0" shapeId="0" xr:uid="{8E067F4A-4446-45BF-8B19-102A73BBB896}">
      <text>
        <r>
          <rPr>
            <b/>
            <sz val="9"/>
            <color indexed="81"/>
            <rFont val="Tahoma"/>
            <family val="2"/>
          </rPr>
          <t xml:space="preserve"> &lt;[[TCDeals] - [Associated DEV Deal (Seq: 1)] - [Deal Property (Seq: 1)] - [Locations (Seq: 1)] - [Unit Mix (Seq: 9)] Base Rent - Send]&gt;</t>
        </r>
      </text>
    </comment>
    <comment ref="AF205" authorId="0" shapeId="0" xr:uid="{53B1FDF5-6ABB-4FDA-8E94-3F02259437D5}">
      <text>
        <r>
          <rPr>
            <b/>
            <sz val="9"/>
            <color indexed="81"/>
            <rFont val="Tahoma"/>
            <family val="2"/>
          </rPr>
          <t xml:space="preserve"> &lt;[[TCDeals] - [Associated DEV Deal (Seq: 1)] - [Deal Property (Seq: 1)] - [Locations (Seq: 1)] - [Unit Mix (Seq: 9)] Square Footage - Send]&gt;</t>
        </r>
      </text>
    </comment>
    <comment ref="AH205" authorId="0" shapeId="0" xr:uid="{6696E080-B63D-478F-9BFA-3AC0F2B4A212}">
      <text>
        <r>
          <rPr>
            <b/>
            <sz val="9"/>
            <color indexed="81"/>
            <rFont val="Tahoma"/>
            <family val="2"/>
          </rPr>
          <t xml:space="preserve"> &lt;[[TCDeals] - [Associated DEV Deal (Seq: 1)] - [Deal Property (Seq: 1)] - [Locations (Seq: 1)] - [Unit Mix (Seq: 9)] Num Units - Send]&gt;</t>
        </r>
      </text>
    </comment>
    <comment ref="AL205" authorId="0" shapeId="0" xr:uid="{89F38D58-5034-4C44-855B-654184ECE6F5}">
      <text>
        <r>
          <rPr>
            <b/>
            <sz val="9"/>
            <color indexed="81"/>
            <rFont val="Tahoma"/>
            <family val="2"/>
          </rPr>
          <t xml:space="preserve"> &lt;[[TCDeals] - [Associated DEV Deal (Seq: 1)] - [Deal Property (Seq: 1)] - [Locations (Seq: 1)] - [Unit Mix (Seq: 9)] Unit Mix Ami Percent - Send]&gt;</t>
        </r>
      </text>
    </comment>
    <comment ref="H206" authorId="0" shapeId="0" xr:uid="{02C15813-FFCE-444B-B986-068B4D701696}">
      <text>
        <r>
          <rPr>
            <b/>
            <sz val="9"/>
            <color indexed="81"/>
            <rFont val="Tahoma"/>
            <family val="2"/>
          </rPr>
          <t xml:space="preserve"> &lt;[[TCDeals] - [TC Property Current Stage (Seq: 1)] - [Unit Mix (Seq: 10)] TC Unit Mix Type - Send]&gt;</t>
        </r>
      </text>
    </comment>
    <comment ref="J206" authorId="0" shapeId="0" xr:uid="{71820FCB-658B-4138-8576-99CA50D24B4E}">
      <text>
        <r>
          <rPr>
            <b/>
            <sz val="9"/>
            <color indexed="81"/>
            <rFont val="Tahoma"/>
            <family val="2"/>
          </rPr>
          <t xml:space="preserve"> &lt;[[TCDeals] - [TC Property Current Stage (Seq: 1)] - [Unit Mix (Seq: 10)] Net Rentable Sq Ft - Send]&gt;</t>
        </r>
      </text>
    </comment>
    <comment ref="L206" authorId="0" shapeId="0" xr:uid="{EE76D130-61EE-47C1-A1CB-1FE194FD6301}">
      <text>
        <r>
          <rPr>
            <b/>
            <sz val="9"/>
            <color indexed="81"/>
            <rFont val="Tahoma"/>
            <family val="2"/>
          </rPr>
          <t xml:space="preserve"> &lt;[[TCDeals] - [TC Property Current Stage (Seq: 1)] - [Unit Mix (Seq: 10)] Num Units - Send]&gt;</t>
        </r>
      </text>
    </comment>
    <comment ref="N206" authorId="0" shapeId="0" xr:uid="{DA129CB3-4F28-4AD0-A552-BFBDF8F3E88A}">
      <text>
        <r>
          <rPr>
            <b/>
            <sz val="9"/>
            <color indexed="81"/>
            <rFont val="Tahoma"/>
            <family val="2"/>
          </rPr>
          <t xml:space="preserve"> &lt;[[TCDeals] - [TC Property Current Stage (Seq: 1)] - [Unit Mix (Seq: 10)] Monthly Rent Per Unit - Send]&gt;</t>
        </r>
      </text>
    </comment>
    <comment ref="P206" authorId="0" shapeId="0" xr:uid="{F823E6B9-5BAD-4C24-BC18-606BD515F8AC}">
      <text>
        <r>
          <rPr>
            <b/>
            <sz val="9"/>
            <color indexed="81"/>
            <rFont val="Tahoma"/>
            <family val="2"/>
          </rPr>
          <t xml:space="preserve"> &lt;[[TCDeals] - [TC Property Current Stage (Seq: 1)] - [Unit Mix (Seq: 10)] Income Target - Send]&gt;</t>
        </r>
      </text>
    </comment>
    <comment ref="Z206" authorId="0" shapeId="0" xr:uid="{E55A7E4A-737A-4F5A-A136-A27FDF4695D3}">
      <text>
        <r>
          <rPr>
            <b/>
            <sz val="9"/>
            <color indexed="81"/>
            <rFont val="Tahoma"/>
            <family val="2"/>
          </rPr>
          <t xml:space="preserve"> &lt;[[TCDeals] - [Associated DEV Deal (Seq: 1)] - [Deal Property (Seq: 1)] - [Locations (Seq: 1)] - [Unit Mix (Seq: 10)] Unit Type - Send]&gt;</t>
        </r>
      </text>
    </comment>
    <comment ref="AB206" authorId="0" shapeId="0" xr:uid="{D03B1F96-A764-4D47-A3C7-D4E89E61A474}">
      <text>
        <r>
          <rPr>
            <b/>
            <sz val="9"/>
            <color indexed="81"/>
            <rFont val="Tahoma"/>
            <family val="2"/>
          </rPr>
          <t xml:space="preserve"> &lt;[[TCDeals] - [Associated DEV Deal (Seq: 1)] - [Deal Property (Seq: 1)] - [Locations (Seq: 1)] - [Unit Mix (Seq: 10)] Residential Apartment Type - Send]&gt;</t>
        </r>
      </text>
    </comment>
    <comment ref="AD206" authorId="0" shapeId="0" xr:uid="{9EB5B6C7-0F05-4797-A08C-8E9338CBA8D3}">
      <text>
        <r>
          <rPr>
            <b/>
            <sz val="9"/>
            <color indexed="81"/>
            <rFont val="Tahoma"/>
            <family val="2"/>
          </rPr>
          <t xml:space="preserve"> &lt;[[TCDeals] - [Associated DEV Deal (Seq: 1)] - [Deal Property (Seq: 1)] - [Locations (Seq: 1)] - [Unit Mix (Seq: 10)] Base Rent - Send]&gt;</t>
        </r>
      </text>
    </comment>
    <comment ref="AF206" authorId="0" shapeId="0" xr:uid="{4C0CDDEA-7273-4B7D-8327-AF7BC4ED084B}">
      <text>
        <r>
          <rPr>
            <b/>
            <sz val="9"/>
            <color indexed="81"/>
            <rFont val="Tahoma"/>
            <family val="2"/>
          </rPr>
          <t xml:space="preserve"> &lt;[[TCDeals] - [Associated DEV Deal (Seq: 1)] - [Deal Property (Seq: 1)] - [Locations (Seq: 1)] - [Unit Mix (Seq: 10)] Square Footage - Send]&gt;</t>
        </r>
      </text>
    </comment>
    <comment ref="AH206" authorId="0" shapeId="0" xr:uid="{52FB3CC0-DC8E-4F5E-B500-7A44A0088EE5}">
      <text>
        <r>
          <rPr>
            <b/>
            <sz val="9"/>
            <color indexed="81"/>
            <rFont val="Tahoma"/>
            <family val="2"/>
          </rPr>
          <t xml:space="preserve"> &lt;[[TCDeals] - [Associated DEV Deal (Seq: 1)] - [Deal Property (Seq: 1)] - [Locations (Seq: 1)] - [Unit Mix (Seq: 10)] Num Units - Send]&gt;</t>
        </r>
      </text>
    </comment>
    <comment ref="AL206" authorId="0" shapeId="0" xr:uid="{88AE48EA-0CDE-4BCD-AF28-BF5029358D7A}">
      <text>
        <r>
          <rPr>
            <b/>
            <sz val="9"/>
            <color indexed="81"/>
            <rFont val="Tahoma"/>
            <family val="2"/>
          </rPr>
          <t xml:space="preserve"> &lt;[[TCDeals] - [Associated DEV Deal (Seq: 1)] - [Deal Property (Seq: 1)] - [Locations (Seq: 1)] - [Unit Mix (Seq: 10)] Unit Mix Ami Percent - Send]&gt;</t>
        </r>
      </text>
    </comment>
    <comment ref="H207" authorId="0" shapeId="0" xr:uid="{68AD0766-739C-44A3-85D5-97F6F09AB15D}">
      <text>
        <r>
          <rPr>
            <b/>
            <sz val="9"/>
            <color indexed="81"/>
            <rFont val="Tahoma"/>
            <family val="2"/>
          </rPr>
          <t xml:space="preserve"> &lt;[[TCDeals] - [TC Property Current Stage (Seq: 1)] - [Unit Mix (Seq: 11)] TC Unit Mix Type - Send]&gt;</t>
        </r>
      </text>
    </comment>
    <comment ref="J207" authorId="0" shapeId="0" xr:uid="{B61678F8-E581-46C7-B49B-81727FD6C2F5}">
      <text>
        <r>
          <rPr>
            <b/>
            <sz val="9"/>
            <color indexed="81"/>
            <rFont val="Tahoma"/>
            <family val="2"/>
          </rPr>
          <t xml:space="preserve"> &lt;[[TCDeals] - [TC Property Current Stage (Seq: 1)] - [Unit Mix (Seq: 11)] Net Rentable Sq Ft - Send]&gt;</t>
        </r>
      </text>
    </comment>
    <comment ref="L207" authorId="0" shapeId="0" xr:uid="{D0ACB54D-F968-4AC2-9061-55F90C53FBC8}">
      <text>
        <r>
          <rPr>
            <b/>
            <sz val="9"/>
            <color indexed="81"/>
            <rFont val="Tahoma"/>
            <family val="2"/>
          </rPr>
          <t xml:space="preserve"> &lt;[[TCDeals] - [TC Property Current Stage (Seq: 1)] - [Unit Mix (Seq: 11)] Num Units - Send]&gt;</t>
        </r>
      </text>
    </comment>
    <comment ref="N207" authorId="0" shapeId="0" xr:uid="{B2A24C6C-CED9-4B61-B5A1-593D5E6F11B7}">
      <text>
        <r>
          <rPr>
            <b/>
            <sz val="9"/>
            <color indexed="81"/>
            <rFont val="Tahoma"/>
            <family val="2"/>
          </rPr>
          <t xml:space="preserve"> &lt;[[TCDeals] - [TC Property Current Stage (Seq: 1)] - [Unit Mix (Seq: 11)] Monthly Rent Per Unit - Send]&gt;</t>
        </r>
      </text>
    </comment>
    <comment ref="P207" authorId="0" shapeId="0" xr:uid="{56F43D9B-E002-444A-9E8B-A926A8910F61}">
      <text>
        <r>
          <rPr>
            <b/>
            <sz val="9"/>
            <color indexed="81"/>
            <rFont val="Tahoma"/>
            <family val="2"/>
          </rPr>
          <t xml:space="preserve"> &lt;[[TCDeals] - [TC Property Current Stage (Seq: 1)] - [Unit Mix (Seq: 11)] Income Target - Send]&gt;</t>
        </r>
      </text>
    </comment>
    <comment ref="Z207" authorId="0" shapeId="0" xr:uid="{266102EA-2905-4BB4-BD82-02C9851EC1FD}">
      <text>
        <r>
          <rPr>
            <b/>
            <sz val="9"/>
            <color indexed="81"/>
            <rFont val="Tahoma"/>
            <family val="2"/>
          </rPr>
          <t xml:space="preserve"> &lt;[[TCDeals] - [Associated DEV Deal (Seq: 1)] - [Deal Property (Seq: 1)] - [Locations (Seq: 1)] - [Unit Mix (Seq: 11)] Unit Type - Send]&gt;</t>
        </r>
      </text>
    </comment>
    <comment ref="AB207" authorId="0" shapeId="0" xr:uid="{EAE9B0BA-944B-485B-AC58-2E5BB87EF00F}">
      <text>
        <r>
          <rPr>
            <b/>
            <sz val="9"/>
            <color indexed="81"/>
            <rFont val="Tahoma"/>
            <family val="2"/>
          </rPr>
          <t xml:space="preserve"> &lt;[[TCDeals] - [Associated DEV Deal (Seq: 1)] - [Deal Property (Seq: 1)] - [Locations (Seq: 1)] - [Unit Mix (Seq: 11)] Residential Apartment Type - Send]&gt;</t>
        </r>
      </text>
    </comment>
    <comment ref="AD207" authorId="0" shapeId="0" xr:uid="{AAEABC2C-FB60-486E-979C-A6255B6A9C27}">
      <text>
        <r>
          <rPr>
            <b/>
            <sz val="9"/>
            <color indexed="81"/>
            <rFont val="Tahoma"/>
            <family val="2"/>
          </rPr>
          <t xml:space="preserve"> &lt;[[TCDeals] - [Associated DEV Deal (Seq: 1)] - [Deal Property (Seq: 1)] - [Locations (Seq: 1)] - [Unit Mix (Seq: 11)] Base Rent - Send]&gt;</t>
        </r>
      </text>
    </comment>
    <comment ref="AF207" authorId="0" shapeId="0" xr:uid="{D20BE16B-6670-41E8-B56F-AC6C55D5CDBC}">
      <text>
        <r>
          <rPr>
            <b/>
            <sz val="9"/>
            <color indexed="81"/>
            <rFont val="Tahoma"/>
            <family val="2"/>
          </rPr>
          <t xml:space="preserve"> &lt;[[TCDeals] - [Associated DEV Deal (Seq: 1)] - [Deal Property (Seq: 1)] - [Locations (Seq: 1)] - [Unit Mix (Seq: 11)] Square Footage - Send]&gt;</t>
        </r>
      </text>
    </comment>
    <comment ref="AH207" authorId="0" shapeId="0" xr:uid="{6B3956FE-6E81-4CFA-B7D7-4CB3C7FD2E82}">
      <text>
        <r>
          <rPr>
            <b/>
            <sz val="9"/>
            <color indexed="81"/>
            <rFont val="Tahoma"/>
            <family val="2"/>
          </rPr>
          <t xml:space="preserve"> &lt;[[TCDeals] - [Associated DEV Deal (Seq: 1)] - [Deal Property (Seq: 1)] - [Locations (Seq: 1)] - [Unit Mix (Seq: 11)] Num Units - Send]&gt;</t>
        </r>
      </text>
    </comment>
    <comment ref="AL207" authorId="0" shapeId="0" xr:uid="{7F2B5300-A4D5-488F-B7BA-AE8730F6EF50}">
      <text>
        <r>
          <rPr>
            <b/>
            <sz val="9"/>
            <color indexed="81"/>
            <rFont val="Tahoma"/>
            <family val="2"/>
          </rPr>
          <t xml:space="preserve"> &lt;[[TCDeals] - [Associated DEV Deal (Seq: 1)] - [Deal Property (Seq: 1)] - [Locations (Seq: 1)] - [Unit Mix (Seq: 11)] Unit Mix Ami Percent - Send]&gt;</t>
        </r>
      </text>
    </comment>
    <comment ref="H208" authorId="0" shapeId="0" xr:uid="{E22DCFDE-DDA4-456D-9A65-A11204A56E03}">
      <text>
        <r>
          <rPr>
            <b/>
            <sz val="9"/>
            <color indexed="81"/>
            <rFont val="Tahoma"/>
            <family val="2"/>
          </rPr>
          <t xml:space="preserve"> &lt;[[TCDeals] - [TC Property Current Stage (Seq: 1)] - [Unit Mix (Seq: 12)] TC Unit Mix Type - Send]&gt;</t>
        </r>
      </text>
    </comment>
    <comment ref="J208" authorId="0" shapeId="0" xr:uid="{9671C7C6-8EAD-4EC6-BB75-349F37177CD7}">
      <text>
        <r>
          <rPr>
            <b/>
            <sz val="9"/>
            <color indexed="81"/>
            <rFont val="Tahoma"/>
            <family val="2"/>
          </rPr>
          <t xml:space="preserve"> &lt;[[TCDeals] - [TC Property Current Stage (Seq: 1)] - [Unit Mix (Seq: 12)] Net Rentable Sq Ft - Send]&gt;</t>
        </r>
      </text>
    </comment>
    <comment ref="L208" authorId="0" shapeId="0" xr:uid="{DEAA8904-229F-43FD-9DC3-B07ABEF77471}">
      <text>
        <r>
          <rPr>
            <b/>
            <sz val="9"/>
            <color indexed="81"/>
            <rFont val="Tahoma"/>
            <family val="2"/>
          </rPr>
          <t xml:space="preserve"> &lt;[[TCDeals] - [TC Property Current Stage (Seq: 1)] - [Unit Mix (Seq: 12)] Num Units - Send]&gt;</t>
        </r>
      </text>
    </comment>
    <comment ref="N208" authorId="0" shapeId="0" xr:uid="{997C6F30-61BE-4C8A-A996-996CE64209E6}">
      <text>
        <r>
          <rPr>
            <b/>
            <sz val="9"/>
            <color indexed="81"/>
            <rFont val="Tahoma"/>
            <family val="2"/>
          </rPr>
          <t xml:space="preserve"> &lt;[[TCDeals] - [TC Property Current Stage (Seq: 1)] - [Unit Mix (Seq: 12)] Monthly Rent Per Unit - Send]&gt;</t>
        </r>
      </text>
    </comment>
    <comment ref="P208" authorId="0" shapeId="0" xr:uid="{98277DA6-69CE-496F-84E8-128ECB1F66B5}">
      <text>
        <r>
          <rPr>
            <b/>
            <sz val="9"/>
            <color indexed="81"/>
            <rFont val="Tahoma"/>
            <family val="2"/>
          </rPr>
          <t xml:space="preserve"> &lt;[[TCDeals] - [TC Property Current Stage (Seq: 1)] - [Unit Mix (Seq: 12)] Income Target - Send]&gt;</t>
        </r>
      </text>
    </comment>
    <comment ref="Z208" authorId="0" shapeId="0" xr:uid="{605ACC16-3F27-49A5-84B9-4F7B7982F03C}">
      <text>
        <r>
          <rPr>
            <b/>
            <sz val="9"/>
            <color indexed="81"/>
            <rFont val="Tahoma"/>
            <family val="2"/>
          </rPr>
          <t xml:space="preserve"> &lt;[[TCDeals] - [Associated DEV Deal (Seq: 1)] - [Deal Property (Seq: 1)] - [Locations (Seq: 1)] - [Unit Mix (Seq: 12)] Unit Type - Send]&gt;</t>
        </r>
      </text>
    </comment>
    <comment ref="AB208" authorId="0" shapeId="0" xr:uid="{DE0B5EF5-A2FE-44FD-85EE-7863114C80EC}">
      <text>
        <r>
          <rPr>
            <b/>
            <sz val="9"/>
            <color indexed="81"/>
            <rFont val="Tahoma"/>
            <family val="2"/>
          </rPr>
          <t xml:space="preserve"> &lt;[[TCDeals] - [Associated DEV Deal (Seq: 1)] - [Deal Property (Seq: 1)] - [Locations (Seq: 1)] - [Unit Mix (Seq: 12)] Residential Apartment Type - Send]&gt;</t>
        </r>
      </text>
    </comment>
    <comment ref="AD208" authorId="0" shapeId="0" xr:uid="{DE4A77B8-39DC-44AE-8A6C-9601CBCB2B92}">
      <text>
        <r>
          <rPr>
            <b/>
            <sz val="9"/>
            <color indexed="81"/>
            <rFont val="Tahoma"/>
            <family val="2"/>
          </rPr>
          <t xml:space="preserve"> &lt;[[TCDeals] - [Associated DEV Deal (Seq: 1)] - [Deal Property (Seq: 1)] - [Locations (Seq: 1)] - [Unit Mix (Seq: 12)] Base Rent - Send]&gt;</t>
        </r>
      </text>
    </comment>
    <comment ref="AF208" authorId="0" shapeId="0" xr:uid="{990727D5-A8AE-4BAE-A9E0-86943B1CE7A1}">
      <text>
        <r>
          <rPr>
            <b/>
            <sz val="9"/>
            <color indexed="81"/>
            <rFont val="Tahoma"/>
            <family val="2"/>
          </rPr>
          <t xml:space="preserve"> &lt;[[TCDeals] - [Associated DEV Deal (Seq: 1)] - [Deal Property (Seq: 1)] - [Locations (Seq: 1)] - [Unit Mix (Seq: 12)] Square Footage - Send]&gt;</t>
        </r>
      </text>
    </comment>
    <comment ref="AH208" authorId="0" shapeId="0" xr:uid="{4CCB6C71-49CF-433B-B080-9DF39E5DA6D3}">
      <text>
        <r>
          <rPr>
            <b/>
            <sz val="9"/>
            <color indexed="81"/>
            <rFont val="Tahoma"/>
            <family val="2"/>
          </rPr>
          <t xml:space="preserve"> &lt;[[TCDeals] - [Associated DEV Deal (Seq: 1)] - [Deal Property (Seq: 1)] - [Locations (Seq: 1)] - [Unit Mix (Seq: 12)] Num Units - Send]&gt;</t>
        </r>
      </text>
    </comment>
    <comment ref="AL208" authorId="0" shapeId="0" xr:uid="{405A5D73-3E42-4182-A5EE-9E53B1A06BD2}">
      <text>
        <r>
          <rPr>
            <b/>
            <sz val="9"/>
            <color indexed="81"/>
            <rFont val="Tahoma"/>
            <family val="2"/>
          </rPr>
          <t xml:space="preserve"> &lt;[[TCDeals] - [Associated DEV Deal (Seq: 1)] - [Deal Property (Seq: 1)] - [Locations (Seq: 1)] - [Unit Mix (Seq: 12)] Unit Mix Ami Percent - Send]&gt;</t>
        </r>
      </text>
    </comment>
    <comment ref="H209" authorId="0" shapeId="0" xr:uid="{9AA1CE71-F7D1-4571-84ED-6900E8724565}">
      <text>
        <r>
          <rPr>
            <b/>
            <sz val="9"/>
            <color indexed="81"/>
            <rFont val="Tahoma"/>
            <family val="2"/>
          </rPr>
          <t xml:space="preserve"> &lt;[[TCDeals] - [TC Property Current Stage (Seq: 1)] - [Unit Mix (Seq: 13)] TC Unit Mix Type - Send]&gt;</t>
        </r>
      </text>
    </comment>
    <comment ref="J209" authorId="0" shapeId="0" xr:uid="{81C33B88-5916-4D26-B9DC-7767E3F3A29A}">
      <text>
        <r>
          <rPr>
            <b/>
            <sz val="9"/>
            <color indexed="81"/>
            <rFont val="Tahoma"/>
            <family val="2"/>
          </rPr>
          <t xml:space="preserve"> &lt;[[TCDeals] - [TC Property Current Stage (Seq: 1)] - [Unit Mix (Seq: 13)] Net Rentable Sq Ft - Send]&gt;</t>
        </r>
      </text>
    </comment>
    <comment ref="L209" authorId="0" shapeId="0" xr:uid="{7B8905AB-373E-496A-BCBC-27B5B09DC8CF}">
      <text>
        <r>
          <rPr>
            <b/>
            <sz val="9"/>
            <color indexed="81"/>
            <rFont val="Tahoma"/>
            <family val="2"/>
          </rPr>
          <t xml:space="preserve"> &lt;[[TCDeals] - [TC Property Current Stage (Seq: 1)] - [Unit Mix (Seq: 13)] Num Units - Send]&gt;</t>
        </r>
      </text>
    </comment>
    <comment ref="N209" authorId="0" shapeId="0" xr:uid="{F57C12AD-6500-4CE5-B758-426C32312760}">
      <text>
        <r>
          <rPr>
            <b/>
            <sz val="9"/>
            <color indexed="81"/>
            <rFont val="Tahoma"/>
            <family val="2"/>
          </rPr>
          <t xml:space="preserve"> &lt;[[TCDeals] - [TC Property Current Stage (Seq: 1)] - [Unit Mix (Seq: 13)] Monthly Rent Per Unit - Send]&gt;</t>
        </r>
      </text>
    </comment>
    <comment ref="P209" authorId="0" shapeId="0" xr:uid="{68142AE9-17ED-4554-80AE-1F7624BD7ECA}">
      <text>
        <r>
          <rPr>
            <b/>
            <sz val="9"/>
            <color indexed="81"/>
            <rFont val="Tahoma"/>
            <family val="2"/>
          </rPr>
          <t xml:space="preserve"> &lt;[[TCDeals] - [TC Property Current Stage (Seq: 1)] - [Unit Mix (Seq: 13)] Income Target - Send]&gt;</t>
        </r>
      </text>
    </comment>
    <comment ref="Z209" authorId="0" shapeId="0" xr:uid="{BBA1CA1F-CE4E-45B3-AE62-811BCF207B63}">
      <text>
        <r>
          <rPr>
            <b/>
            <sz val="9"/>
            <color indexed="81"/>
            <rFont val="Tahoma"/>
            <family val="2"/>
          </rPr>
          <t xml:space="preserve"> &lt;[[TCDeals] - [Associated DEV Deal (Seq: 1)] - [Deal Property (Seq: 1)] - [Locations (Seq: 1)] - [Unit Mix (Seq: 13)] Unit Type - Send]&gt;</t>
        </r>
      </text>
    </comment>
    <comment ref="AB209" authorId="0" shapeId="0" xr:uid="{A9DC3BEC-79B3-4346-8A86-721F02E1B823}">
      <text>
        <r>
          <rPr>
            <b/>
            <sz val="9"/>
            <color indexed="81"/>
            <rFont val="Tahoma"/>
            <family val="2"/>
          </rPr>
          <t xml:space="preserve"> &lt;[[TCDeals] - [Associated DEV Deal (Seq: 1)] - [Deal Property (Seq: 1)] - [Locations (Seq: 1)] - [Unit Mix (Seq: 13)] Residential Apartment Type - Send]&gt;</t>
        </r>
      </text>
    </comment>
    <comment ref="AD209" authorId="0" shapeId="0" xr:uid="{69A8A222-203D-4216-B5DD-7D560A046D2C}">
      <text>
        <r>
          <rPr>
            <b/>
            <sz val="9"/>
            <color indexed="81"/>
            <rFont val="Tahoma"/>
            <family val="2"/>
          </rPr>
          <t xml:space="preserve"> &lt;[[TCDeals] - [Associated DEV Deal (Seq: 1)] - [Deal Property (Seq: 1)] - [Locations (Seq: 1)] - [Unit Mix (Seq: 13)] Base Rent - Send]&gt;</t>
        </r>
      </text>
    </comment>
    <comment ref="AF209" authorId="0" shapeId="0" xr:uid="{86C25E80-A5E3-41BC-8604-D10BE37F0FCD}">
      <text>
        <r>
          <rPr>
            <b/>
            <sz val="9"/>
            <color indexed="81"/>
            <rFont val="Tahoma"/>
            <family val="2"/>
          </rPr>
          <t xml:space="preserve"> &lt;[[TCDeals] - [Associated DEV Deal (Seq: 1)] - [Deal Property (Seq: 1)] - [Locations (Seq: 1)] - [Unit Mix (Seq: 13)] Square Footage - Send]&gt;</t>
        </r>
      </text>
    </comment>
    <comment ref="AH209" authorId="0" shapeId="0" xr:uid="{61E94AB6-9D7B-4C96-AA68-967FCC92193C}">
      <text>
        <r>
          <rPr>
            <b/>
            <sz val="9"/>
            <color indexed="81"/>
            <rFont val="Tahoma"/>
            <family val="2"/>
          </rPr>
          <t xml:space="preserve"> &lt;[[TCDeals] - [Associated DEV Deal (Seq: 1)] - [Deal Property (Seq: 1)] - [Locations (Seq: 1)] - [Unit Mix (Seq: 13)] Num Units - Send]&gt;</t>
        </r>
      </text>
    </comment>
    <comment ref="AL209" authorId="0" shapeId="0" xr:uid="{31978C39-B509-4222-9F88-AF6A921DE4DA}">
      <text>
        <r>
          <rPr>
            <b/>
            <sz val="9"/>
            <color indexed="81"/>
            <rFont val="Tahoma"/>
            <family val="2"/>
          </rPr>
          <t xml:space="preserve"> &lt;[[TCDeals] - [Associated DEV Deal (Seq: 1)] - [Deal Property (Seq: 1)] - [Locations (Seq: 1)] - [Unit Mix (Seq: 13)] Unit Mix Ami Percent - Send]&gt;</t>
        </r>
      </text>
    </comment>
    <comment ref="H210" authorId="0" shapeId="0" xr:uid="{6CB96092-DA03-4C0E-98ED-A4EE4707ED0E}">
      <text>
        <r>
          <rPr>
            <b/>
            <sz val="9"/>
            <color indexed="81"/>
            <rFont val="Tahoma"/>
            <family val="2"/>
          </rPr>
          <t xml:space="preserve"> &lt;[[TCDeals] - [TC Property Current Stage (Seq: 1)] - [Unit Mix (Seq: 14)] TC Unit Mix Type - Send]&gt;</t>
        </r>
      </text>
    </comment>
    <comment ref="J210" authorId="0" shapeId="0" xr:uid="{26FB6F92-53B9-439B-BB33-CABDC3917B7A}">
      <text>
        <r>
          <rPr>
            <b/>
            <sz val="9"/>
            <color indexed="81"/>
            <rFont val="Tahoma"/>
            <family val="2"/>
          </rPr>
          <t xml:space="preserve"> &lt;[[TCDeals] - [TC Property Current Stage (Seq: 1)] - [Unit Mix (Seq: 14)] Net Rentable Sq Ft - Send]&gt;</t>
        </r>
      </text>
    </comment>
    <comment ref="L210" authorId="0" shapeId="0" xr:uid="{65C259BA-8847-48AB-A331-502EBC13537E}">
      <text>
        <r>
          <rPr>
            <b/>
            <sz val="9"/>
            <color indexed="81"/>
            <rFont val="Tahoma"/>
            <family val="2"/>
          </rPr>
          <t xml:space="preserve"> &lt;[[TCDeals] - [TC Property Current Stage (Seq: 1)] - [Unit Mix (Seq: 14)] Num Units - Send]&gt;</t>
        </r>
      </text>
    </comment>
    <comment ref="N210" authorId="0" shapeId="0" xr:uid="{0A1A66E5-0FF3-4885-B22C-716D4A078D12}">
      <text>
        <r>
          <rPr>
            <b/>
            <sz val="9"/>
            <color indexed="81"/>
            <rFont val="Tahoma"/>
            <family val="2"/>
          </rPr>
          <t xml:space="preserve"> &lt;[[TCDeals] - [TC Property Current Stage (Seq: 1)] - [Unit Mix (Seq: 14)] Monthly Rent Per Unit - Send]&gt;</t>
        </r>
      </text>
    </comment>
    <comment ref="P210" authorId="0" shapeId="0" xr:uid="{DA925CEF-CE0A-4A49-8335-DF9886B9271A}">
      <text>
        <r>
          <rPr>
            <b/>
            <sz val="9"/>
            <color indexed="81"/>
            <rFont val="Tahoma"/>
            <family val="2"/>
          </rPr>
          <t xml:space="preserve"> &lt;[[TCDeals] - [TC Property Current Stage (Seq: 1)] - [Unit Mix (Seq: 14)] Income Target - Send]&gt;</t>
        </r>
      </text>
    </comment>
    <comment ref="Z210" authorId="0" shapeId="0" xr:uid="{A1F80C03-2A1C-4B4D-808C-3063261BF6FA}">
      <text>
        <r>
          <rPr>
            <b/>
            <sz val="9"/>
            <color indexed="81"/>
            <rFont val="Tahoma"/>
            <family val="2"/>
          </rPr>
          <t xml:space="preserve"> &lt;[[TCDeals] - [Associated DEV Deal (Seq: 1)] - [Deal Property (Seq: 1)] - [Locations (Seq: 1)] - [Unit Mix (Seq: 14)] Unit Type - Send]&gt;</t>
        </r>
      </text>
    </comment>
    <comment ref="AB210" authorId="0" shapeId="0" xr:uid="{4D8C2ADA-BCE1-42F9-AAF8-8C92D61BC6AD}">
      <text>
        <r>
          <rPr>
            <b/>
            <sz val="9"/>
            <color indexed="81"/>
            <rFont val="Tahoma"/>
            <family val="2"/>
          </rPr>
          <t xml:space="preserve"> &lt;[[TCDeals] - [Associated DEV Deal (Seq: 1)] - [Deal Property (Seq: 1)] - [Locations (Seq: 1)] - [Unit Mix (Seq: 14)] Residential Apartment Type - Send]&gt;</t>
        </r>
      </text>
    </comment>
    <comment ref="AD210" authorId="0" shapeId="0" xr:uid="{65CE94A1-9C42-45D8-A456-9CD36E2D4757}">
      <text>
        <r>
          <rPr>
            <b/>
            <sz val="9"/>
            <color indexed="81"/>
            <rFont val="Tahoma"/>
            <family val="2"/>
          </rPr>
          <t xml:space="preserve"> &lt;[[TCDeals] - [Associated DEV Deal (Seq: 1)] - [Deal Property (Seq: 1)] - [Locations (Seq: 1)] - [Unit Mix (Seq: 14)] Base Rent - Send]&gt;</t>
        </r>
      </text>
    </comment>
    <comment ref="AF210" authorId="0" shapeId="0" xr:uid="{349726AD-BADA-496F-8F46-5EAFA4ACDBD3}">
      <text>
        <r>
          <rPr>
            <b/>
            <sz val="9"/>
            <color indexed="81"/>
            <rFont val="Tahoma"/>
            <family val="2"/>
          </rPr>
          <t xml:space="preserve"> &lt;[[TCDeals] - [Associated DEV Deal (Seq: 1)] - [Deal Property (Seq: 1)] - [Locations (Seq: 1)] - [Unit Mix (Seq: 14)] Square Footage - Send]&gt;</t>
        </r>
      </text>
    </comment>
    <comment ref="AH210" authorId="0" shapeId="0" xr:uid="{48800810-D1F1-4308-9FDC-4262B1360DD9}">
      <text>
        <r>
          <rPr>
            <b/>
            <sz val="9"/>
            <color indexed="81"/>
            <rFont val="Tahoma"/>
            <family val="2"/>
          </rPr>
          <t xml:space="preserve"> &lt;[[TCDeals] - [Associated DEV Deal (Seq: 1)] - [Deal Property (Seq: 1)] - [Locations (Seq: 1)] - [Unit Mix (Seq: 14)] Num Units - Send]&gt;</t>
        </r>
      </text>
    </comment>
    <comment ref="AL210" authorId="0" shapeId="0" xr:uid="{60C89CB1-10E2-4A8F-BC8A-8F93B10AFB6C}">
      <text>
        <r>
          <rPr>
            <b/>
            <sz val="9"/>
            <color indexed="81"/>
            <rFont val="Tahoma"/>
            <family val="2"/>
          </rPr>
          <t xml:space="preserve"> &lt;[[TCDeals] - [Associated DEV Deal (Seq: 1)] - [Deal Property (Seq: 1)] - [Locations (Seq: 1)] - [Unit Mix (Seq: 14)] Unit Mix Ami Percent - Send]&gt;</t>
        </r>
      </text>
    </comment>
    <comment ref="H211" authorId="0" shapeId="0" xr:uid="{F090C3D2-6909-435D-86DD-AD740CF7421A}">
      <text>
        <r>
          <rPr>
            <b/>
            <sz val="9"/>
            <color indexed="81"/>
            <rFont val="Tahoma"/>
            <family val="2"/>
          </rPr>
          <t xml:space="preserve"> &lt;[[TCDeals] - [TC Property Current Stage (Seq: 1)] - [Unit Mix (Seq: 15)] TC Unit Mix Type - Send]&gt;</t>
        </r>
      </text>
    </comment>
    <comment ref="J211" authorId="0" shapeId="0" xr:uid="{149458C1-E3C3-45B9-8B66-4B27183A8488}">
      <text>
        <r>
          <rPr>
            <b/>
            <sz val="9"/>
            <color indexed="81"/>
            <rFont val="Tahoma"/>
            <family val="2"/>
          </rPr>
          <t xml:space="preserve"> &lt;[[TCDeals] - [TC Property Current Stage (Seq: 1)] - [Unit Mix (Seq: 15)] Net Rentable Sq Ft - Send]&gt;</t>
        </r>
      </text>
    </comment>
    <comment ref="L211" authorId="0" shapeId="0" xr:uid="{CA434C02-2CD0-4C1A-9ED6-3C9363036720}">
      <text>
        <r>
          <rPr>
            <b/>
            <sz val="9"/>
            <color indexed="81"/>
            <rFont val="Tahoma"/>
            <family val="2"/>
          </rPr>
          <t xml:space="preserve"> &lt;[[TCDeals] - [TC Property Current Stage (Seq: 1)] - [Unit Mix (Seq: 15)] Num Units - Send]&gt;</t>
        </r>
      </text>
    </comment>
    <comment ref="N211" authorId="0" shapeId="0" xr:uid="{D5B135FC-E5F1-4AE7-BA82-A170FFA5A415}">
      <text>
        <r>
          <rPr>
            <b/>
            <sz val="9"/>
            <color indexed="81"/>
            <rFont val="Tahoma"/>
            <family val="2"/>
          </rPr>
          <t xml:space="preserve"> &lt;[[TCDeals] - [TC Property Current Stage (Seq: 1)] - [Unit Mix (Seq: 15)] Monthly Rent Per Unit - Send]&gt;</t>
        </r>
      </text>
    </comment>
    <comment ref="P211" authorId="0" shapeId="0" xr:uid="{DA59010B-CAD1-4199-BA78-607D0DA26872}">
      <text>
        <r>
          <rPr>
            <b/>
            <sz val="9"/>
            <color indexed="81"/>
            <rFont val="Tahoma"/>
            <family val="2"/>
          </rPr>
          <t xml:space="preserve"> &lt;[[TCDeals] - [TC Property Current Stage (Seq: 1)] - [Unit Mix (Seq: 15)] Income Target - Send]&gt;</t>
        </r>
      </text>
    </comment>
    <comment ref="Z211" authorId="0" shapeId="0" xr:uid="{A14B2EC2-02F3-4500-BD75-C45ED48054E7}">
      <text>
        <r>
          <rPr>
            <b/>
            <sz val="9"/>
            <color indexed="81"/>
            <rFont val="Tahoma"/>
            <family val="2"/>
          </rPr>
          <t xml:space="preserve"> &lt;[[TCDeals] - [Associated DEV Deal (Seq: 1)] - [Deal Property (Seq: 1)] - [Locations (Seq: 1)] - [Unit Mix (Seq: 15)] Unit Type - Send]&gt;</t>
        </r>
      </text>
    </comment>
    <comment ref="AB211" authorId="0" shapeId="0" xr:uid="{0B15C18D-E3B7-4CB0-B390-2B7640F784BF}">
      <text>
        <r>
          <rPr>
            <b/>
            <sz val="9"/>
            <color indexed="81"/>
            <rFont val="Tahoma"/>
            <family val="2"/>
          </rPr>
          <t xml:space="preserve"> &lt;[[TCDeals] - [Associated DEV Deal (Seq: 1)] - [Deal Property (Seq: 1)] - [Locations (Seq: 1)] - [Unit Mix (Seq: 15)] Residential Apartment Type - Send]&gt;</t>
        </r>
      </text>
    </comment>
    <comment ref="AD211" authorId="0" shapeId="0" xr:uid="{48609CBE-AFFA-4788-9751-3D89914C40E8}">
      <text>
        <r>
          <rPr>
            <b/>
            <sz val="9"/>
            <color indexed="81"/>
            <rFont val="Tahoma"/>
            <family val="2"/>
          </rPr>
          <t xml:space="preserve"> &lt;[[TCDeals] - [Associated DEV Deal (Seq: 1)] - [Deal Property (Seq: 1)] - [Locations (Seq: 1)] - [Unit Mix (Seq: 15)] Base Rent - Send]&gt;</t>
        </r>
      </text>
    </comment>
    <comment ref="AF211" authorId="0" shapeId="0" xr:uid="{0E9C43A0-FB66-4F1B-BA58-DA7830757B6A}">
      <text>
        <r>
          <rPr>
            <b/>
            <sz val="9"/>
            <color indexed="81"/>
            <rFont val="Tahoma"/>
            <family val="2"/>
          </rPr>
          <t xml:space="preserve"> &lt;[[TCDeals] - [Associated DEV Deal (Seq: 1)] - [Deal Property (Seq: 1)] - [Locations (Seq: 1)] - [Unit Mix (Seq: 15)] Square Footage - Send]&gt;</t>
        </r>
      </text>
    </comment>
    <comment ref="AH211" authorId="0" shapeId="0" xr:uid="{F6105F63-C174-45CB-B8FC-E7353325E675}">
      <text>
        <r>
          <rPr>
            <b/>
            <sz val="9"/>
            <color indexed="81"/>
            <rFont val="Tahoma"/>
            <family val="2"/>
          </rPr>
          <t xml:space="preserve"> &lt;[[TCDeals] - [Associated DEV Deal (Seq: 1)] - [Deal Property (Seq: 1)] - [Locations (Seq: 1)] - [Unit Mix (Seq: 15)] Num Units - Send]&gt;</t>
        </r>
      </text>
    </comment>
    <comment ref="AL211" authorId="0" shapeId="0" xr:uid="{E11F2707-C11F-4BB3-9D6A-63BF6DA21A32}">
      <text>
        <r>
          <rPr>
            <b/>
            <sz val="9"/>
            <color indexed="81"/>
            <rFont val="Tahoma"/>
            <family val="2"/>
          </rPr>
          <t xml:space="preserve"> &lt;[[TCDeals] - [Associated DEV Deal (Seq: 1)] - [Deal Property (Seq: 1)] - [Locations (Seq: 1)] - [Unit Mix (Seq: 15)] Unit Mix Ami Percent - Send]&gt;</t>
        </r>
      </text>
    </comment>
    <comment ref="H212" authorId="0" shapeId="0" xr:uid="{E2517F37-7874-4384-8749-E2DDD95D1933}">
      <text>
        <r>
          <rPr>
            <b/>
            <sz val="9"/>
            <color indexed="81"/>
            <rFont val="Tahoma"/>
            <family val="2"/>
          </rPr>
          <t xml:space="preserve"> &lt;[[TCDeals] - [TC Property Current Stage (Seq: 1)] - [Unit Mix (Seq: 16)] TC Unit Mix Type - Send]&gt;</t>
        </r>
      </text>
    </comment>
    <comment ref="J212" authorId="0" shapeId="0" xr:uid="{AE5823A8-110B-4251-A680-0D6CF1D9576C}">
      <text>
        <r>
          <rPr>
            <b/>
            <sz val="9"/>
            <color indexed="81"/>
            <rFont val="Tahoma"/>
            <family val="2"/>
          </rPr>
          <t xml:space="preserve"> &lt;[[TCDeals] - [TC Property Current Stage (Seq: 1)] - [Unit Mix (Seq: 16)] Net Rentable Sq Ft - Send]&gt;</t>
        </r>
      </text>
    </comment>
    <comment ref="L212" authorId="0" shapeId="0" xr:uid="{F863169D-B22F-485C-B612-FA12B7B5C930}">
      <text>
        <r>
          <rPr>
            <b/>
            <sz val="9"/>
            <color indexed="81"/>
            <rFont val="Tahoma"/>
            <family val="2"/>
          </rPr>
          <t xml:space="preserve"> &lt;[[TCDeals] - [TC Property Current Stage (Seq: 1)] - [Unit Mix (Seq: 16)] Num Units - Send]&gt;</t>
        </r>
      </text>
    </comment>
    <comment ref="N212" authorId="0" shapeId="0" xr:uid="{2460F2B4-BDDC-40CB-81D4-CE5976790E19}">
      <text>
        <r>
          <rPr>
            <b/>
            <sz val="9"/>
            <color indexed="81"/>
            <rFont val="Tahoma"/>
            <family val="2"/>
          </rPr>
          <t xml:space="preserve"> &lt;[[TCDeals] - [TC Property Current Stage (Seq: 1)] - [Unit Mix (Seq: 16)] Monthly Rent Per Unit - Send]&gt;</t>
        </r>
      </text>
    </comment>
    <comment ref="P212" authorId="0" shapeId="0" xr:uid="{A2E59978-94BE-4D2F-9AA8-61441A9D4F23}">
      <text>
        <r>
          <rPr>
            <b/>
            <sz val="9"/>
            <color indexed="81"/>
            <rFont val="Tahoma"/>
            <family val="2"/>
          </rPr>
          <t xml:space="preserve"> &lt;[[TCDeals] - [TC Property Current Stage (Seq: 1)] - [Unit Mix (Seq: 16)] Income Target - Send]&gt;</t>
        </r>
      </text>
    </comment>
    <comment ref="Z212" authorId="0" shapeId="0" xr:uid="{BA30E33D-D1E1-4B79-BD79-BBAF7B55BE98}">
      <text>
        <r>
          <rPr>
            <b/>
            <sz val="9"/>
            <color indexed="81"/>
            <rFont val="Tahoma"/>
            <family val="2"/>
          </rPr>
          <t xml:space="preserve"> &lt;[[TCDeals] - [Associated DEV Deal (Seq: 1)] - [Deal Property (Seq: 1)] - [Locations (Seq: 1)] - [Unit Mix (Seq: 16)] Unit Type - Send]&gt;</t>
        </r>
      </text>
    </comment>
    <comment ref="AB212" authorId="0" shapeId="0" xr:uid="{36FB1635-3383-40FD-AA7C-4F46960360BE}">
      <text>
        <r>
          <rPr>
            <b/>
            <sz val="9"/>
            <color indexed="81"/>
            <rFont val="Tahoma"/>
            <family val="2"/>
          </rPr>
          <t xml:space="preserve"> &lt;[[TCDeals] - [Associated DEV Deal (Seq: 1)] - [Deal Property (Seq: 1)] - [Locations (Seq: 1)] - [Unit Mix (Seq: 16)] Residential Apartment Type - Send]&gt;</t>
        </r>
      </text>
    </comment>
    <comment ref="AD212" authorId="0" shapeId="0" xr:uid="{7AD8F38A-A0A6-40DA-BDCF-BFDE4FC976F5}">
      <text>
        <r>
          <rPr>
            <b/>
            <sz val="9"/>
            <color indexed="81"/>
            <rFont val="Tahoma"/>
            <family val="2"/>
          </rPr>
          <t xml:space="preserve"> &lt;[[TCDeals] - [Associated DEV Deal (Seq: 1)] - [Deal Property (Seq: 1)] - [Locations (Seq: 1)] - [Unit Mix (Seq: 16)] Base Rent - Send]&gt;</t>
        </r>
      </text>
    </comment>
    <comment ref="AF212" authorId="0" shapeId="0" xr:uid="{4A2717BA-1CE3-48C1-9540-0F76F741DAF5}">
      <text>
        <r>
          <rPr>
            <b/>
            <sz val="9"/>
            <color indexed="81"/>
            <rFont val="Tahoma"/>
            <family val="2"/>
          </rPr>
          <t xml:space="preserve"> &lt;[[TCDeals] - [Associated DEV Deal (Seq: 1)] - [Deal Property (Seq: 1)] - [Locations (Seq: 1)] - [Unit Mix (Seq: 16)] Square Footage - Send]&gt;</t>
        </r>
      </text>
    </comment>
    <comment ref="AH212" authorId="0" shapeId="0" xr:uid="{4FA29779-76B5-4ADA-8472-D365D058117E}">
      <text>
        <r>
          <rPr>
            <b/>
            <sz val="9"/>
            <color indexed="81"/>
            <rFont val="Tahoma"/>
            <family val="2"/>
          </rPr>
          <t xml:space="preserve"> &lt;[[TCDeals] - [Associated DEV Deal (Seq: 1)] - [Deal Property (Seq: 1)] - [Locations (Seq: 1)] - [Unit Mix (Seq: 16)] Num Units - Send]&gt;</t>
        </r>
      </text>
    </comment>
    <comment ref="AL212" authorId="0" shapeId="0" xr:uid="{F4471AFE-17ED-4BF9-B31F-33595E731239}">
      <text>
        <r>
          <rPr>
            <b/>
            <sz val="9"/>
            <color indexed="81"/>
            <rFont val="Tahoma"/>
            <family val="2"/>
          </rPr>
          <t xml:space="preserve"> &lt;[[TCDeals] - [Associated DEV Deal (Seq: 1)] - [Deal Property (Seq: 1)] - [Locations (Seq: 1)] - [Unit Mix (Seq: 16)] Unit Mix Ami Percent - Send]&gt;</t>
        </r>
      </text>
    </comment>
    <comment ref="H213" authorId="0" shapeId="0" xr:uid="{AD86680A-2526-4050-B2DE-000771EAD537}">
      <text>
        <r>
          <rPr>
            <b/>
            <sz val="9"/>
            <color indexed="81"/>
            <rFont val="Tahoma"/>
            <family val="2"/>
          </rPr>
          <t xml:space="preserve"> &lt;[[TCDeals] - [TC Property Current Stage (Seq: 1)] - [Unit Mix (Seq: 17)] TC Unit Mix Type - Send]&gt;</t>
        </r>
      </text>
    </comment>
    <comment ref="J213" authorId="0" shapeId="0" xr:uid="{4D01BAC6-3367-4331-8CFB-3D25D01FA5AE}">
      <text>
        <r>
          <rPr>
            <b/>
            <sz val="9"/>
            <color indexed="81"/>
            <rFont val="Tahoma"/>
            <family val="2"/>
          </rPr>
          <t xml:space="preserve"> &lt;[[TCDeals] - [TC Property Current Stage (Seq: 1)] - [Unit Mix (Seq: 17)] Net Rentable Sq Ft - Send]&gt;</t>
        </r>
      </text>
    </comment>
    <comment ref="L213" authorId="0" shapeId="0" xr:uid="{9E992943-3509-4557-A292-E2EB08E8BBCC}">
      <text>
        <r>
          <rPr>
            <b/>
            <sz val="9"/>
            <color indexed="81"/>
            <rFont val="Tahoma"/>
            <family val="2"/>
          </rPr>
          <t xml:space="preserve"> &lt;[[TCDeals] - [TC Property Current Stage (Seq: 1)] - [Unit Mix (Seq: 17)] Num Units - Send]&gt;</t>
        </r>
      </text>
    </comment>
    <comment ref="N213" authorId="0" shapeId="0" xr:uid="{3ED36FF2-D67B-4CF3-B412-71858CC0D05C}">
      <text>
        <r>
          <rPr>
            <b/>
            <sz val="9"/>
            <color indexed="81"/>
            <rFont val="Tahoma"/>
            <family val="2"/>
          </rPr>
          <t xml:space="preserve"> &lt;[[TCDeals] - [TC Property Current Stage (Seq: 1)] - [Unit Mix (Seq: 17)] Monthly Rent Per Unit - Send]&gt;</t>
        </r>
      </text>
    </comment>
    <comment ref="P213" authorId="0" shapeId="0" xr:uid="{71D3846D-1712-40CC-8E24-9DFBA8A03F5A}">
      <text>
        <r>
          <rPr>
            <b/>
            <sz val="9"/>
            <color indexed="81"/>
            <rFont val="Tahoma"/>
            <family val="2"/>
          </rPr>
          <t xml:space="preserve"> &lt;[[TCDeals] - [TC Property Current Stage (Seq: 1)] - [Unit Mix (Seq: 17)] Income Target - Send]&gt;</t>
        </r>
      </text>
    </comment>
    <comment ref="Z213" authorId="0" shapeId="0" xr:uid="{E330A31F-B037-4D88-B98D-9E2AC6976333}">
      <text>
        <r>
          <rPr>
            <b/>
            <sz val="9"/>
            <color indexed="81"/>
            <rFont val="Tahoma"/>
            <family val="2"/>
          </rPr>
          <t xml:space="preserve"> &lt;[[TCDeals] - [Associated DEV Deal (Seq: 1)] - [Deal Property (Seq: 1)] - [Locations (Seq: 1)] - [Unit Mix (Seq: 17)] Unit Type - Send]&gt;</t>
        </r>
      </text>
    </comment>
    <comment ref="AB213" authorId="0" shapeId="0" xr:uid="{C54762C4-F63F-4A44-BDA7-06A8A2623D26}">
      <text>
        <r>
          <rPr>
            <b/>
            <sz val="9"/>
            <color indexed="81"/>
            <rFont val="Tahoma"/>
            <family val="2"/>
          </rPr>
          <t xml:space="preserve"> &lt;[[TCDeals] - [Associated DEV Deal (Seq: 1)] - [Deal Property (Seq: 1)] - [Locations (Seq: 1)] - [Unit Mix (Seq: 17)] Residential Apartment Type - Send]&gt;</t>
        </r>
      </text>
    </comment>
    <comment ref="AD213" authorId="0" shapeId="0" xr:uid="{958B0F33-F78C-4D39-9AE7-982A0FAEC9ED}">
      <text>
        <r>
          <rPr>
            <b/>
            <sz val="9"/>
            <color indexed="81"/>
            <rFont val="Tahoma"/>
            <family val="2"/>
          </rPr>
          <t xml:space="preserve"> &lt;[[TCDeals] - [Associated DEV Deal (Seq: 1)] - [Deal Property (Seq: 1)] - [Locations (Seq: 1)] - [Unit Mix (Seq: 17)] Base Rent - Send]&gt;</t>
        </r>
      </text>
    </comment>
    <comment ref="AF213" authorId="0" shapeId="0" xr:uid="{7E92E501-4179-4985-8D76-9948C76B0299}">
      <text>
        <r>
          <rPr>
            <b/>
            <sz val="9"/>
            <color indexed="81"/>
            <rFont val="Tahoma"/>
            <family val="2"/>
          </rPr>
          <t xml:space="preserve"> &lt;[[TCDeals] - [Associated DEV Deal (Seq: 1)] - [Deal Property (Seq: 1)] - [Locations (Seq: 1)] - [Unit Mix (Seq: 17)] Square Footage - Send]&gt;</t>
        </r>
      </text>
    </comment>
    <comment ref="AH213" authorId="0" shapeId="0" xr:uid="{E2C6385A-D01E-481D-BBBB-9F64B820FAB6}">
      <text>
        <r>
          <rPr>
            <b/>
            <sz val="9"/>
            <color indexed="81"/>
            <rFont val="Tahoma"/>
            <family val="2"/>
          </rPr>
          <t xml:space="preserve"> &lt;[[TCDeals] - [Associated DEV Deal (Seq: 1)] - [Deal Property (Seq: 1)] - [Locations (Seq: 1)] - [Unit Mix (Seq: 17)] Num Units - Send]&gt;</t>
        </r>
      </text>
    </comment>
    <comment ref="AL213" authorId="0" shapeId="0" xr:uid="{4CC5F20F-BED8-482E-9228-297911FBD98F}">
      <text>
        <r>
          <rPr>
            <b/>
            <sz val="9"/>
            <color indexed="81"/>
            <rFont val="Tahoma"/>
            <family val="2"/>
          </rPr>
          <t xml:space="preserve"> &lt;[[TCDeals] - [Associated DEV Deal (Seq: 1)] - [Deal Property (Seq: 1)] - [Locations (Seq: 1)] - [Unit Mix (Seq: 17)] Unit Mix Ami Percent - Send]&gt;</t>
        </r>
      </text>
    </comment>
    <comment ref="H214" authorId="0" shapeId="0" xr:uid="{B9217CF8-E835-49FA-8E34-F3A506378BA7}">
      <text>
        <r>
          <rPr>
            <b/>
            <sz val="9"/>
            <color indexed="81"/>
            <rFont val="Tahoma"/>
            <family val="2"/>
          </rPr>
          <t xml:space="preserve"> &lt;[[TCDeals] - [TC Property Current Stage (Seq: 1)] - [Unit Mix (Seq: 18)] TC Unit Mix Type - Send]&gt;</t>
        </r>
      </text>
    </comment>
    <comment ref="J214" authorId="0" shapeId="0" xr:uid="{DB1D15B0-D7E1-4A94-9A2C-84501B4E535F}">
      <text>
        <r>
          <rPr>
            <b/>
            <sz val="9"/>
            <color indexed="81"/>
            <rFont val="Tahoma"/>
            <family val="2"/>
          </rPr>
          <t xml:space="preserve"> &lt;[[TCDeals] - [TC Property Current Stage (Seq: 1)] - [Unit Mix (Seq: 18)] Net Rentable Sq Ft - Send]&gt;</t>
        </r>
      </text>
    </comment>
    <comment ref="L214" authorId="0" shapeId="0" xr:uid="{7CF73AE7-632C-45AE-B77F-BC4B1BAFE8FC}">
      <text>
        <r>
          <rPr>
            <b/>
            <sz val="9"/>
            <color indexed="81"/>
            <rFont val="Tahoma"/>
            <family val="2"/>
          </rPr>
          <t xml:space="preserve"> &lt;[[TCDeals] - [TC Property Current Stage (Seq: 1)] - [Unit Mix (Seq: 18)] Num Units - Send]&gt;</t>
        </r>
      </text>
    </comment>
    <comment ref="N214" authorId="0" shapeId="0" xr:uid="{F7F439F6-8B4A-4308-9735-7B51189EAB06}">
      <text>
        <r>
          <rPr>
            <b/>
            <sz val="9"/>
            <color indexed="81"/>
            <rFont val="Tahoma"/>
            <family val="2"/>
          </rPr>
          <t xml:space="preserve"> &lt;[[TCDeals] - [TC Property Current Stage (Seq: 1)] - [Unit Mix (Seq: 18)] Monthly Rent Per Unit - Send]&gt;</t>
        </r>
      </text>
    </comment>
    <comment ref="P214" authorId="0" shapeId="0" xr:uid="{964C3A1D-E9BC-4172-B712-24FA4038A25D}">
      <text>
        <r>
          <rPr>
            <b/>
            <sz val="9"/>
            <color indexed="81"/>
            <rFont val="Tahoma"/>
            <family val="2"/>
          </rPr>
          <t xml:space="preserve"> &lt;[[TCDeals] - [TC Property Current Stage (Seq: 1)] - [Unit Mix (Seq: 18)] Income Target - Send]&gt;</t>
        </r>
      </text>
    </comment>
    <comment ref="Z214" authorId="0" shapeId="0" xr:uid="{0926CB47-8E52-41DF-BA94-AA3E40D26842}">
      <text>
        <r>
          <rPr>
            <b/>
            <sz val="9"/>
            <color indexed="81"/>
            <rFont val="Tahoma"/>
            <family val="2"/>
          </rPr>
          <t xml:space="preserve"> &lt;[[TCDeals] - [Associated DEV Deal (Seq: 1)] - [Deal Property (Seq: 1)] - [Locations (Seq: 1)] - [Unit Mix (Seq: 18)] Unit Type - Send]&gt;</t>
        </r>
      </text>
    </comment>
    <comment ref="AB214" authorId="0" shapeId="0" xr:uid="{2EE5322F-1010-4E32-BC64-2AE6BF0D4F21}">
      <text>
        <r>
          <rPr>
            <b/>
            <sz val="9"/>
            <color indexed="81"/>
            <rFont val="Tahoma"/>
            <family val="2"/>
          </rPr>
          <t xml:space="preserve"> &lt;[[TCDeals] - [Associated DEV Deal (Seq: 1)] - [Deal Property (Seq: 1)] - [Locations (Seq: 1)] - [Unit Mix (Seq: 18)] Residential Apartment Type - Send]&gt;</t>
        </r>
      </text>
    </comment>
    <comment ref="AD214" authorId="0" shapeId="0" xr:uid="{22464A2A-E033-4D66-A6B3-6134769E394D}">
      <text>
        <r>
          <rPr>
            <b/>
            <sz val="9"/>
            <color indexed="81"/>
            <rFont val="Tahoma"/>
            <family val="2"/>
          </rPr>
          <t xml:space="preserve"> &lt;[[TCDeals] - [Associated DEV Deal (Seq: 1)] - [Deal Property (Seq: 1)] - [Locations (Seq: 1)] - [Unit Mix (Seq: 18)] Base Rent - Send]&gt;</t>
        </r>
      </text>
    </comment>
    <comment ref="AF214" authorId="0" shapeId="0" xr:uid="{8410BC91-2023-4577-B82A-921FD1FCBDA2}">
      <text>
        <r>
          <rPr>
            <b/>
            <sz val="9"/>
            <color indexed="81"/>
            <rFont val="Tahoma"/>
            <family val="2"/>
          </rPr>
          <t xml:space="preserve"> &lt;[[TCDeals] - [Associated DEV Deal (Seq: 1)] - [Deal Property (Seq: 1)] - [Locations (Seq: 1)] - [Unit Mix (Seq: 18)] Square Footage - Send]&gt;</t>
        </r>
      </text>
    </comment>
    <comment ref="AH214" authorId="0" shapeId="0" xr:uid="{B17031C4-7A51-4B19-8EF9-3EDB2898AB9A}">
      <text>
        <r>
          <rPr>
            <b/>
            <sz val="9"/>
            <color indexed="81"/>
            <rFont val="Tahoma"/>
            <family val="2"/>
          </rPr>
          <t xml:space="preserve"> &lt;[[TCDeals] - [Associated DEV Deal (Seq: 1)] - [Deal Property (Seq: 1)] - [Locations (Seq: 1)] - [Unit Mix (Seq: 18)] Num Units - Send]&gt;</t>
        </r>
      </text>
    </comment>
    <comment ref="AL214" authorId="0" shapeId="0" xr:uid="{94E99177-69E9-4726-AF63-E8EF2A20BD38}">
      <text>
        <r>
          <rPr>
            <b/>
            <sz val="9"/>
            <color indexed="81"/>
            <rFont val="Tahoma"/>
            <family val="2"/>
          </rPr>
          <t xml:space="preserve"> &lt;[[TCDeals] - [Associated DEV Deal (Seq: 1)] - [Deal Property (Seq: 1)] - [Locations (Seq: 1)] - [Unit Mix (Seq: 18)] Unit Mix Ami Percent - Send]&gt;</t>
        </r>
      </text>
    </comment>
    <comment ref="H215" authorId="0" shapeId="0" xr:uid="{1B45031A-364D-48BF-860A-A430950C4424}">
      <text>
        <r>
          <rPr>
            <b/>
            <sz val="9"/>
            <color indexed="81"/>
            <rFont val="Tahoma"/>
            <family val="2"/>
          </rPr>
          <t xml:space="preserve"> &lt;[[TCDeals] - [TC Property Current Stage (Seq: 1)] - [Unit Mix (Seq: 19)] TC Unit Mix Type - Send]&gt;</t>
        </r>
      </text>
    </comment>
    <comment ref="J215" authorId="0" shapeId="0" xr:uid="{69919D0F-603C-42B2-9CAE-7D15856F3EE2}">
      <text>
        <r>
          <rPr>
            <b/>
            <sz val="9"/>
            <color indexed="81"/>
            <rFont val="Tahoma"/>
            <family val="2"/>
          </rPr>
          <t xml:space="preserve"> &lt;[[TCDeals] - [TC Property Current Stage (Seq: 1)] - [Unit Mix (Seq: 19)] Net Rentable Sq Ft - Send]&gt;</t>
        </r>
      </text>
    </comment>
    <comment ref="L215" authorId="0" shapeId="0" xr:uid="{490A53AB-D853-49E4-993A-64AEEADE1E6B}">
      <text>
        <r>
          <rPr>
            <b/>
            <sz val="9"/>
            <color indexed="81"/>
            <rFont val="Tahoma"/>
            <family val="2"/>
          </rPr>
          <t xml:space="preserve"> &lt;[[TCDeals] - [TC Property Current Stage (Seq: 1)] - [Unit Mix (Seq: 19)] Num Units - Send]&gt;</t>
        </r>
      </text>
    </comment>
    <comment ref="N215" authorId="0" shapeId="0" xr:uid="{5B384967-76B4-4CBD-BEA0-B11B83CC65DD}">
      <text>
        <r>
          <rPr>
            <b/>
            <sz val="9"/>
            <color indexed="81"/>
            <rFont val="Tahoma"/>
            <family val="2"/>
          </rPr>
          <t xml:space="preserve"> &lt;[[TCDeals] - [TC Property Current Stage (Seq: 1)] - [Unit Mix (Seq: 19)] Monthly Rent Per Unit - Send]&gt;</t>
        </r>
      </text>
    </comment>
    <comment ref="P215" authorId="0" shapeId="0" xr:uid="{2AB5BC05-3FC9-4F0C-9ED7-EBB3C987024E}">
      <text>
        <r>
          <rPr>
            <b/>
            <sz val="9"/>
            <color indexed="81"/>
            <rFont val="Tahoma"/>
            <family val="2"/>
          </rPr>
          <t xml:space="preserve"> &lt;[[TCDeals] - [TC Property Current Stage (Seq: 1)] - [Unit Mix (Seq: 19)] Income Target - Send]&gt;</t>
        </r>
      </text>
    </comment>
    <comment ref="Z215" authorId="0" shapeId="0" xr:uid="{88DC7A10-D04A-46C8-8234-AFB363F9737B}">
      <text>
        <r>
          <rPr>
            <b/>
            <sz val="9"/>
            <color indexed="81"/>
            <rFont val="Tahoma"/>
            <family val="2"/>
          </rPr>
          <t xml:space="preserve"> &lt;[[TCDeals] - [Associated DEV Deal (Seq: 1)] - [Deal Property (Seq: 1)] - [Locations (Seq: 1)] - [Unit Mix (Seq: 19)] Unit Type - Send]&gt;</t>
        </r>
      </text>
    </comment>
    <comment ref="AB215" authorId="0" shapeId="0" xr:uid="{8593821D-1A35-4226-88E9-6C550D5E6DB3}">
      <text>
        <r>
          <rPr>
            <b/>
            <sz val="9"/>
            <color indexed="81"/>
            <rFont val="Tahoma"/>
            <family val="2"/>
          </rPr>
          <t xml:space="preserve"> &lt;[[TCDeals] - [Associated DEV Deal (Seq: 1)] - [Deal Property (Seq: 1)] - [Locations (Seq: 1)] - [Unit Mix (Seq: 19)] Residential Apartment Type - Send]&gt;</t>
        </r>
      </text>
    </comment>
    <comment ref="AD215" authorId="0" shapeId="0" xr:uid="{AB41CAC9-F712-4585-8675-E7C7B4C307CA}">
      <text>
        <r>
          <rPr>
            <b/>
            <sz val="9"/>
            <color indexed="81"/>
            <rFont val="Tahoma"/>
            <family val="2"/>
          </rPr>
          <t xml:space="preserve"> &lt;[[TCDeals] - [Associated DEV Deal (Seq: 1)] - [Deal Property (Seq: 1)] - [Locations (Seq: 1)] - [Unit Mix (Seq: 19)] Base Rent - Send]&gt;</t>
        </r>
      </text>
    </comment>
    <comment ref="AF215" authorId="0" shapeId="0" xr:uid="{8A4D99AC-D475-45F8-8FB2-FC09A33B7B0C}">
      <text>
        <r>
          <rPr>
            <b/>
            <sz val="9"/>
            <color indexed="81"/>
            <rFont val="Tahoma"/>
            <family val="2"/>
          </rPr>
          <t xml:space="preserve"> &lt;[[TCDeals] - [Associated DEV Deal (Seq: 1)] - [Deal Property (Seq: 1)] - [Locations (Seq: 1)] - [Unit Mix (Seq: 19)] Square Footage - Send]&gt;</t>
        </r>
      </text>
    </comment>
    <comment ref="AH215" authorId="0" shapeId="0" xr:uid="{6A4BA357-2B1D-46D2-878C-5CDD8C61FFE3}">
      <text>
        <r>
          <rPr>
            <b/>
            <sz val="9"/>
            <color indexed="81"/>
            <rFont val="Tahoma"/>
            <family val="2"/>
          </rPr>
          <t xml:space="preserve"> &lt;[[TCDeals] - [Associated DEV Deal (Seq: 1)] - [Deal Property (Seq: 1)] - [Locations (Seq: 1)] - [Unit Mix (Seq: 19)] Num Units - Send]&gt;</t>
        </r>
      </text>
    </comment>
    <comment ref="AL215" authorId="0" shapeId="0" xr:uid="{CC487363-BB0B-476F-AC6D-A97F740D0A3D}">
      <text>
        <r>
          <rPr>
            <b/>
            <sz val="9"/>
            <color indexed="81"/>
            <rFont val="Tahoma"/>
            <family val="2"/>
          </rPr>
          <t xml:space="preserve"> &lt;[[TCDeals] - [Associated DEV Deal (Seq: 1)] - [Deal Property (Seq: 1)] - [Locations (Seq: 1)] - [Unit Mix (Seq: 19)] Unit Mix Ami Percent - Send]&gt;</t>
        </r>
      </text>
    </comment>
    <comment ref="H216" authorId="0" shapeId="0" xr:uid="{39CFE319-EE45-4E4C-B9A8-87C6F737CAC7}">
      <text>
        <r>
          <rPr>
            <b/>
            <sz val="9"/>
            <color indexed="81"/>
            <rFont val="Tahoma"/>
            <family val="2"/>
          </rPr>
          <t xml:space="preserve"> &lt;[[TCDeals] - [TC Property Current Stage (Seq: 1)] - [Unit Mix (Seq: 20)] TC Unit Mix Type - Send]&gt;</t>
        </r>
      </text>
    </comment>
    <comment ref="J216" authorId="0" shapeId="0" xr:uid="{D7F5CD4F-4B96-4839-8A10-57D100B07096}">
      <text>
        <r>
          <rPr>
            <b/>
            <sz val="9"/>
            <color indexed="81"/>
            <rFont val="Tahoma"/>
            <family val="2"/>
          </rPr>
          <t xml:space="preserve"> &lt;[[TCDeals] - [TC Property Current Stage (Seq: 1)] - [Unit Mix (Seq: 20)] Net Rentable Sq Ft - Send]&gt;</t>
        </r>
      </text>
    </comment>
    <comment ref="L216" authorId="0" shapeId="0" xr:uid="{151632F2-C1AC-40EE-A3E5-02999FA960FB}">
      <text>
        <r>
          <rPr>
            <b/>
            <sz val="9"/>
            <color indexed="81"/>
            <rFont val="Tahoma"/>
            <family val="2"/>
          </rPr>
          <t xml:space="preserve"> &lt;[[TCDeals] - [TC Property Current Stage (Seq: 1)] - [Unit Mix (Seq: 20)] Num Units - Send]&gt;</t>
        </r>
      </text>
    </comment>
    <comment ref="N216" authorId="0" shapeId="0" xr:uid="{B9A5D692-E3C2-4599-9958-803E0C67C9AA}">
      <text>
        <r>
          <rPr>
            <b/>
            <sz val="9"/>
            <color indexed="81"/>
            <rFont val="Tahoma"/>
            <family val="2"/>
          </rPr>
          <t xml:space="preserve"> &lt;[[TCDeals] - [TC Property Current Stage (Seq: 1)] - [Unit Mix (Seq: 20)] Monthly Rent Per Unit - Send]&gt;</t>
        </r>
      </text>
    </comment>
    <comment ref="P216" authorId="0" shapeId="0" xr:uid="{A31407FB-126E-4531-BB48-6174A792D051}">
      <text>
        <r>
          <rPr>
            <b/>
            <sz val="9"/>
            <color indexed="81"/>
            <rFont val="Tahoma"/>
            <family val="2"/>
          </rPr>
          <t xml:space="preserve"> &lt;[[TCDeals] - [TC Property Current Stage (Seq: 1)] - [Unit Mix (Seq: 20)] Income Target - Send]&gt;</t>
        </r>
      </text>
    </comment>
    <comment ref="Z216" authorId="0" shapeId="0" xr:uid="{ED60CF2A-5D29-497B-8FA0-9A84E743383D}">
      <text>
        <r>
          <rPr>
            <b/>
            <sz val="9"/>
            <color indexed="81"/>
            <rFont val="Tahoma"/>
            <family val="2"/>
          </rPr>
          <t xml:space="preserve"> &lt;[[TCDeals] - [Associated DEV Deal (Seq: 1)] - [Deal Property (Seq: 1)] - [Locations (Seq: 1)] - [Unit Mix (Seq: 20)] Unit Type - Send]&gt;</t>
        </r>
      </text>
    </comment>
    <comment ref="AB216" authorId="0" shapeId="0" xr:uid="{9FA76EBD-E864-4169-A706-AEB0F9A7831A}">
      <text>
        <r>
          <rPr>
            <b/>
            <sz val="9"/>
            <color indexed="81"/>
            <rFont val="Tahoma"/>
            <family val="2"/>
          </rPr>
          <t xml:space="preserve"> &lt;[[TCDeals] - [Associated DEV Deal (Seq: 1)] - [Deal Property (Seq: 1)] - [Locations (Seq: 1)] - [Unit Mix (Seq: 20)] Residential Apartment Type - Send]&gt;</t>
        </r>
      </text>
    </comment>
    <comment ref="AD216" authorId="0" shapeId="0" xr:uid="{8B3EB04E-1568-40F8-841C-7A4221856A3E}">
      <text>
        <r>
          <rPr>
            <b/>
            <sz val="9"/>
            <color indexed="81"/>
            <rFont val="Tahoma"/>
            <family val="2"/>
          </rPr>
          <t xml:space="preserve"> &lt;[[TCDeals] - [Associated DEV Deal (Seq: 1)] - [Deal Property (Seq: 1)] - [Locations (Seq: 1)] - [Unit Mix (Seq: 20)] Base Rent - Send]&gt;</t>
        </r>
      </text>
    </comment>
    <comment ref="AF216" authorId="0" shapeId="0" xr:uid="{D80E6ABC-D0BF-4458-8B4E-92A3BFFFF997}">
      <text>
        <r>
          <rPr>
            <b/>
            <sz val="9"/>
            <color indexed="81"/>
            <rFont val="Tahoma"/>
            <family val="2"/>
          </rPr>
          <t xml:space="preserve"> &lt;[[TCDeals] - [Associated DEV Deal (Seq: 1)] - [Deal Property (Seq: 1)] - [Locations (Seq: 1)] - [Unit Mix (Seq: 20)] Square Footage - Send]&gt;</t>
        </r>
      </text>
    </comment>
    <comment ref="AH216" authorId="0" shapeId="0" xr:uid="{8C9D0D07-5C25-446C-BEF1-64F66AC6E611}">
      <text>
        <r>
          <rPr>
            <b/>
            <sz val="9"/>
            <color indexed="81"/>
            <rFont val="Tahoma"/>
            <family val="2"/>
          </rPr>
          <t xml:space="preserve"> &lt;[[TCDeals] - [Associated DEV Deal (Seq: 1)] - [Deal Property (Seq: 1)] - [Locations (Seq: 1)] - [Unit Mix (Seq: 20)] Num Units - Send]&gt;</t>
        </r>
      </text>
    </comment>
    <comment ref="AL216" authorId="0" shapeId="0" xr:uid="{611AD4FD-4E07-4256-89D0-1FC177AF4885}">
      <text>
        <r>
          <rPr>
            <b/>
            <sz val="9"/>
            <color indexed="81"/>
            <rFont val="Tahoma"/>
            <family val="2"/>
          </rPr>
          <t xml:space="preserve"> &lt;[[TCDeals] - [Associated DEV Deal (Seq: 1)] - [Deal Property (Seq: 1)] - [Locations (Seq: 1)] - [Unit Mix (Seq: 20)] Unit Mix Ami Percent - Send]&gt;</t>
        </r>
      </text>
    </comment>
    <comment ref="H217" authorId="0" shapeId="0" xr:uid="{6FB99A9B-FF4B-4726-ADB2-790C98130FC3}">
      <text>
        <r>
          <rPr>
            <b/>
            <sz val="9"/>
            <color indexed="81"/>
            <rFont val="Tahoma"/>
            <family val="2"/>
          </rPr>
          <t xml:space="preserve"> &lt;[[TCDeals] - [TC Property Current Stage (Seq: 1)] - [Unit Mix (Seq: 21)] TC Unit Mix Type - Send]&gt;</t>
        </r>
      </text>
    </comment>
    <comment ref="J217" authorId="0" shapeId="0" xr:uid="{FD981759-9BAC-4A23-B080-2C13984A2952}">
      <text>
        <r>
          <rPr>
            <b/>
            <sz val="9"/>
            <color indexed="81"/>
            <rFont val="Tahoma"/>
            <family val="2"/>
          </rPr>
          <t xml:space="preserve"> &lt;[[TCDeals] - [TC Property Current Stage (Seq: 1)] - [Unit Mix (Seq: 21)] Net Rentable Sq Ft - Send]&gt;</t>
        </r>
      </text>
    </comment>
    <comment ref="L217" authorId="0" shapeId="0" xr:uid="{470ECCD5-CA9A-4E17-B9D1-0F0AA4C4306A}">
      <text>
        <r>
          <rPr>
            <b/>
            <sz val="9"/>
            <color indexed="81"/>
            <rFont val="Tahoma"/>
            <family val="2"/>
          </rPr>
          <t xml:space="preserve"> &lt;[[TCDeals] - [TC Property Current Stage (Seq: 1)] - [Unit Mix (Seq: 21)] Num Units - Send]&gt;</t>
        </r>
      </text>
    </comment>
    <comment ref="N217" authorId="0" shapeId="0" xr:uid="{244D8136-5A67-420A-961B-5C7F1FEE8E6F}">
      <text>
        <r>
          <rPr>
            <b/>
            <sz val="9"/>
            <color indexed="81"/>
            <rFont val="Tahoma"/>
            <family val="2"/>
          </rPr>
          <t xml:space="preserve"> &lt;[[TCDeals] - [TC Property Current Stage (Seq: 1)] - [Unit Mix (Seq: 21)] Monthly Rent Per Unit - Send]&gt;</t>
        </r>
      </text>
    </comment>
    <comment ref="P217" authorId="0" shapeId="0" xr:uid="{1581BD09-F8A9-4EEE-A312-7729362E2FC9}">
      <text>
        <r>
          <rPr>
            <b/>
            <sz val="9"/>
            <color indexed="81"/>
            <rFont val="Tahoma"/>
            <family val="2"/>
          </rPr>
          <t xml:space="preserve"> &lt;[[TCDeals] - [TC Property Current Stage (Seq: 1)] - [Unit Mix (Seq: 21)] Income Target - Send]&gt;</t>
        </r>
      </text>
    </comment>
    <comment ref="Z217" authorId="0" shapeId="0" xr:uid="{667FB7AB-D95B-41AD-A0AC-3F498A44915B}">
      <text>
        <r>
          <rPr>
            <b/>
            <sz val="9"/>
            <color indexed="81"/>
            <rFont val="Tahoma"/>
            <family val="2"/>
          </rPr>
          <t xml:space="preserve"> &lt;[[TCDeals] - [Associated DEV Deal (Seq: 1)] - [Deal Property (Seq: 1)] - [Locations (Seq: 1)] - [Unit Mix (Seq: 21)] Unit Type - Send]&gt;</t>
        </r>
      </text>
    </comment>
    <comment ref="AB217" authorId="0" shapeId="0" xr:uid="{46C194BD-540D-4D62-BFD1-DD5D554E3C6A}">
      <text>
        <r>
          <rPr>
            <b/>
            <sz val="9"/>
            <color indexed="81"/>
            <rFont val="Tahoma"/>
            <family val="2"/>
          </rPr>
          <t xml:space="preserve"> &lt;[[TCDeals] - [Associated DEV Deal (Seq: 1)] - [Deal Property (Seq: 1)] - [Locations (Seq: 1)] - [Unit Mix (Seq: 21)] Residential Apartment Type - Send]&gt;</t>
        </r>
      </text>
    </comment>
    <comment ref="AD217" authorId="0" shapeId="0" xr:uid="{491240B1-ECA4-461A-A01A-D0018DDAA7F9}">
      <text>
        <r>
          <rPr>
            <b/>
            <sz val="9"/>
            <color indexed="81"/>
            <rFont val="Tahoma"/>
            <family val="2"/>
          </rPr>
          <t xml:space="preserve"> &lt;[[TCDeals] - [Associated DEV Deal (Seq: 1)] - [Deal Property (Seq: 1)] - [Locations (Seq: 1)] - [Unit Mix (Seq: 21)] Base Rent - Send]&gt;</t>
        </r>
      </text>
    </comment>
    <comment ref="AF217" authorId="0" shapeId="0" xr:uid="{407DCAE4-99FD-4C11-BC7E-B7813F81327F}">
      <text>
        <r>
          <rPr>
            <b/>
            <sz val="9"/>
            <color indexed="81"/>
            <rFont val="Tahoma"/>
            <family val="2"/>
          </rPr>
          <t xml:space="preserve"> &lt;[[TCDeals] - [Associated DEV Deal (Seq: 1)] - [Deal Property (Seq: 1)] - [Locations (Seq: 1)] - [Unit Mix (Seq: 21)] Square Footage - Send]&gt;</t>
        </r>
      </text>
    </comment>
    <comment ref="AH217" authorId="0" shapeId="0" xr:uid="{815A24EB-FE7F-46EF-AD61-66183D552B91}">
      <text>
        <r>
          <rPr>
            <b/>
            <sz val="9"/>
            <color indexed="81"/>
            <rFont val="Tahoma"/>
            <family val="2"/>
          </rPr>
          <t xml:space="preserve"> &lt;[[TCDeals] - [Associated DEV Deal (Seq: 1)] - [Deal Property (Seq: 1)] - [Locations (Seq: 1)] - [Unit Mix (Seq: 21)] Num Units - Send]&gt;</t>
        </r>
      </text>
    </comment>
    <comment ref="AL217" authorId="0" shapeId="0" xr:uid="{E9D0ECF9-97F6-4F8D-93E9-8E580A26A00F}">
      <text>
        <r>
          <rPr>
            <b/>
            <sz val="9"/>
            <color indexed="81"/>
            <rFont val="Tahoma"/>
            <family val="2"/>
          </rPr>
          <t xml:space="preserve"> &lt;[[TCDeals] - [Associated DEV Deal (Seq: 1)] - [Deal Property (Seq: 1)] - [Locations (Seq: 1)] - [Unit Mix (Seq: 21)] Unit Mix Ami Percent - Send]&gt;</t>
        </r>
      </text>
    </comment>
    <comment ref="H218" authorId="0" shapeId="0" xr:uid="{BFDB202B-6355-4D81-9418-FABD49EC604B}">
      <text>
        <r>
          <rPr>
            <b/>
            <sz val="9"/>
            <color indexed="81"/>
            <rFont val="Tahoma"/>
            <family val="2"/>
          </rPr>
          <t xml:space="preserve"> &lt;[[TCDeals] - [TC Property Current Stage (Seq: 1)] - [Unit Mix (Seq: 22)] TC Unit Mix Type - Send]&gt;</t>
        </r>
      </text>
    </comment>
    <comment ref="J218" authorId="0" shapeId="0" xr:uid="{C1693AD0-A030-4C56-8940-E77F4C0514BB}">
      <text>
        <r>
          <rPr>
            <b/>
            <sz val="9"/>
            <color indexed="81"/>
            <rFont val="Tahoma"/>
            <family val="2"/>
          </rPr>
          <t xml:space="preserve"> &lt;[[TCDeals] - [TC Property Current Stage (Seq: 1)] - [Unit Mix (Seq: 22)] Net Rentable Sq Ft - Send]&gt;</t>
        </r>
      </text>
    </comment>
    <comment ref="L218" authorId="0" shapeId="0" xr:uid="{E7AD3EF8-E027-4362-B4BB-6A1E35AFE23C}">
      <text>
        <r>
          <rPr>
            <b/>
            <sz val="9"/>
            <color indexed="81"/>
            <rFont val="Tahoma"/>
            <family val="2"/>
          </rPr>
          <t xml:space="preserve"> &lt;[[TCDeals] - [TC Property Current Stage (Seq: 1)] - [Unit Mix (Seq: 22)] Num Units - Send]&gt;</t>
        </r>
      </text>
    </comment>
    <comment ref="N218" authorId="0" shapeId="0" xr:uid="{4A6E0379-5E1C-4B75-B843-841044D83C8F}">
      <text>
        <r>
          <rPr>
            <b/>
            <sz val="9"/>
            <color indexed="81"/>
            <rFont val="Tahoma"/>
            <family val="2"/>
          </rPr>
          <t xml:space="preserve"> &lt;[[TCDeals] - [TC Property Current Stage (Seq: 1)] - [Unit Mix (Seq: 22)] Monthly Rent Per Unit - Send]&gt;</t>
        </r>
      </text>
    </comment>
    <comment ref="P218" authorId="0" shapeId="0" xr:uid="{4C92CAC7-09BB-4560-A2E7-C9AF9EE0BDE6}">
      <text>
        <r>
          <rPr>
            <b/>
            <sz val="9"/>
            <color indexed="81"/>
            <rFont val="Tahoma"/>
            <family val="2"/>
          </rPr>
          <t xml:space="preserve"> &lt;[[TCDeals] - [TC Property Current Stage (Seq: 1)] - [Unit Mix (Seq: 22)] Income Target - Send]&gt;</t>
        </r>
      </text>
    </comment>
    <comment ref="Z218" authorId="0" shapeId="0" xr:uid="{C7930234-A99E-4A4E-914B-02986A0DF682}">
      <text>
        <r>
          <rPr>
            <b/>
            <sz val="9"/>
            <color indexed="81"/>
            <rFont val="Tahoma"/>
            <family val="2"/>
          </rPr>
          <t xml:space="preserve"> &lt;[[TCDeals] - [Associated DEV Deal (Seq: 1)] - [Deal Property (Seq: 1)] - [Locations (Seq: 1)] - [Unit Mix (Seq: 22)] Unit Type - Send]&gt;</t>
        </r>
      </text>
    </comment>
    <comment ref="AB218" authorId="0" shapeId="0" xr:uid="{CBC47F02-4572-44A7-BCEA-312F6219B7B8}">
      <text>
        <r>
          <rPr>
            <b/>
            <sz val="9"/>
            <color indexed="81"/>
            <rFont val="Tahoma"/>
            <family val="2"/>
          </rPr>
          <t xml:space="preserve"> &lt;[[TCDeals] - [Associated DEV Deal (Seq: 1)] - [Deal Property (Seq: 1)] - [Locations (Seq: 1)] - [Unit Mix (Seq: 22)] Residential Apartment Type - Send]&gt;</t>
        </r>
      </text>
    </comment>
    <comment ref="AD218" authorId="0" shapeId="0" xr:uid="{17D10472-F00F-4415-BB69-EACBF2C86373}">
      <text>
        <r>
          <rPr>
            <b/>
            <sz val="9"/>
            <color indexed="81"/>
            <rFont val="Tahoma"/>
            <family val="2"/>
          </rPr>
          <t xml:space="preserve"> &lt;[[TCDeals] - [Associated DEV Deal (Seq: 1)] - [Deal Property (Seq: 1)] - [Locations (Seq: 1)] - [Unit Mix (Seq: 22)] Base Rent - Send]&gt;</t>
        </r>
      </text>
    </comment>
    <comment ref="AF218" authorId="0" shapeId="0" xr:uid="{529845F5-E877-4A7F-A22B-BDD7C09EA19C}">
      <text>
        <r>
          <rPr>
            <b/>
            <sz val="9"/>
            <color indexed="81"/>
            <rFont val="Tahoma"/>
            <family val="2"/>
          </rPr>
          <t xml:space="preserve"> &lt;[[TCDeals] - [Associated DEV Deal (Seq: 1)] - [Deal Property (Seq: 1)] - [Locations (Seq: 1)] - [Unit Mix (Seq: 22)] Square Footage - Send]&gt;</t>
        </r>
      </text>
    </comment>
    <comment ref="AH218" authorId="0" shapeId="0" xr:uid="{B30F72AF-A98B-4129-B315-5121E424B6FD}">
      <text>
        <r>
          <rPr>
            <b/>
            <sz val="9"/>
            <color indexed="81"/>
            <rFont val="Tahoma"/>
            <family val="2"/>
          </rPr>
          <t xml:space="preserve"> &lt;[[TCDeals] - [Associated DEV Deal (Seq: 1)] - [Deal Property (Seq: 1)] - [Locations (Seq: 1)] - [Unit Mix (Seq: 22)] Num Units - Send]&gt;</t>
        </r>
      </text>
    </comment>
    <comment ref="AL218" authorId="0" shapeId="0" xr:uid="{8A92ED7A-3707-4B65-BD6E-96A8D2A8D8BB}">
      <text>
        <r>
          <rPr>
            <b/>
            <sz val="9"/>
            <color indexed="81"/>
            <rFont val="Tahoma"/>
            <family val="2"/>
          </rPr>
          <t xml:space="preserve"> &lt;[[TCDeals] - [Associated DEV Deal (Seq: 1)] - [Deal Property (Seq: 1)] - [Locations (Seq: 1)] - [Unit Mix (Seq: 22)] Unit Mix Ami Percent - Send]&gt;</t>
        </r>
      </text>
    </comment>
    <comment ref="H219" authorId="0" shapeId="0" xr:uid="{7AC6DDD7-DBD5-44E0-B7BF-4CDA24305F81}">
      <text>
        <r>
          <rPr>
            <b/>
            <sz val="9"/>
            <color indexed="81"/>
            <rFont val="Tahoma"/>
            <family val="2"/>
          </rPr>
          <t xml:space="preserve"> &lt;[[TCDeals] - [TC Property Current Stage (Seq: 1)] - [Unit Mix (Seq: 23)] TC Unit Mix Type - Send]&gt;</t>
        </r>
      </text>
    </comment>
    <comment ref="J219" authorId="0" shapeId="0" xr:uid="{0B19BD9B-15A2-412C-91F0-7B83DA1489F3}">
      <text>
        <r>
          <rPr>
            <b/>
            <sz val="9"/>
            <color indexed="81"/>
            <rFont val="Tahoma"/>
            <family val="2"/>
          </rPr>
          <t xml:space="preserve"> &lt;[[TCDeals] - [TC Property Current Stage (Seq: 1)] - [Unit Mix (Seq: 23)] Net Rentable Sq Ft - Send]&gt;</t>
        </r>
      </text>
    </comment>
    <comment ref="L219" authorId="0" shapeId="0" xr:uid="{2773EE88-C314-4223-876C-92E45DF564AB}">
      <text>
        <r>
          <rPr>
            <b/>
            <sz val="9"/>
            <color indexed="81"/>
            <rFont val="Tahoma"/>
            <family val="2"/>
          </rPr>
          <t xml:space="preserve"> &lt;[[TCDeals] - [TC Property Current Stage (Seq: 1)] - [Unit Mix (Seq: 23)] Num Units - Send]&gt;</t>
        </r>
      </text>
    </comment>
    <comment ref="N219" authorId="0" shapeId="0" xr:uid="{CE872428-C40F-42CD-B510-A8A00C575B70}">
      <text>
        <r>
          <rPr>
            <b/>
            <sz val="9"/>
            <color indexed="81"/>
            <rFont val="Tahoma"/>
            <family val="2"/>
          </rPr>
          <t xml:space="preserve"> &lt;[[TCDeals] - [TC Property Current Stage (Seq: 1)] - [Unit Mix (Seq: 23)] Monthly Rent Per Unit - Send]&gt;</t>
        </r>
      </text>
    </comment>
    <comment ref="P219" authorId="0" shapeId="0" xr:uid="{AF3A1F19-D386-4127-BA16-77A64653AF77}">
      <text>
        <r>
          <rPr>
            <b/>
            <sz val="9"/>
            <color indexed="81"/>
            <rFont val="Tahoma"/>
            <family val="2"/>
          </rPr>
          <t xml:space="preserve"> &lt;[[TCDeals] - [TC Property Current Stage (Seq: 1)] - [Unit Mix (Seq: 23)] Income Target - Send]&gt;</t>
        </r>
      </text>
    </comment>
    <comment ref="Z219" authorId="0" shapeId="0" xr:uid="{D30755D4-7C9B-4918-9BF2-C0491DFDD0E3}">
      <text>
        <r>
          <rPr>
            <b/>
            <sz val="9"/>
            <color indexed="81"/>
            <rFont val="Tahoma"/>
            <family val="2"/>
          </rPr>
          <t xml:space="preserve"> &lt;[[TCDeals] - [Associated DEV Deal (Seq: 1)] - [Deal Property (Seq: 1)] - [Locations (Seq: 1)] - [Unit Mix (Seq: 23)] Unit Type - Send]&gt;</t>
        </r>
      </text>
    </comment>
    <comment ref="AB219" authorId="0" shapeId="0" xr:uid="{18B9F628-85F9-4B26-8212-87CD78914F35}">
      <text>
        <r>
          <rPr>
            <b/>
            <sz val="9"/>
            <color indexed="81"/>
            <rFont val="Tahoma"/>
            <family val="2"/>
          </rPr>
          <t xml:space="preserve"> &lt;[[TCDeals] - [Associated DEV Deal (Seq: 1)] - [Deal Property (Seq: 1)] - [Locations (Seq: 1)] - [Unit Mix (Seq: 23)] Residential Apartment Type - Send]&gt;</t>
        </r>
      </text>
    </comment>
    <comment ref="AD219" authorId="0" shapeId="0" xr:uid="{6145F61E-B705-44E1-9AFC-1B19236903E4}">
      <text>
        <r>
          <rPr>
            <b/>
            <sz val="9"/>
            <color indexed="81"/>
            <rFont val="Tahoma"/>
            <family val="2"/>
          </rPr>
          <t xml:space="preserve"> &lt;[[TCDeals] - [Associated DEV Deal (Seq: 1)] - [Deal Property (Seq: 1)] - [Locations (Seq: 1)] - [Unit Mix (Seq: 23)] Base Rent - Send]&gt;</t>
        </r>
      </text>
    </comment>
    <comment ref="AF219" authorId="0" shapeId="0" xr:uid="{DB110ABB-08F7-43BF-A55A-802C3C65ED22}">
      <text>
        <r>
          <rPr>
            <b/>
            <sz val="9"/>
            <color indexed="81"/>
            <rFont val="Tahoma"/>
            <family val="2"/>
          </rPr>
          <t xml:space="preserve"> &lt;[[TCDeals] - [Associated DEV Deal (Seq: 1)] - [Deal Property (Seq: 1)] - [Locations (Seq: 1)] - [Unit Mix (Seq: 23)] Square Footage - Send]&gt;</t>
        </r>
      </text>
    </comment>
    <comment ref="AH219" authorId="0" shapeId="0" xr:uid="{D9E04B72-E43D-4B8C-886A-671CD2759706}">
      <text>
        <r>
          <rPr>
            <b/>
            <sz val="9"/>
            <color indexed="81"/>
            <rFont val="Tahoma"/>
            <family val="2"/>
          </rPr>
          <t xml:space="preserve"> &lt;[[TCDeals] - [Associated DEV Deal (Seq: 1)] - [Deal Property (Seq: 1)] - [Locations (Seq: 1)] - [Unit Mix (Seq: 23)] Num Units - Send]&gt;</t>
        </r>
      </text>
    </comment>
    <comment ref="AL219" authorId="0" shapeId="0" xr:uid="{883F95AD-F5F6-4E93-AF99-6FCC1AB65C35}">
      <text>
        <r>
          <rPr>
            <b/>
            <sz val="9"/>
            <color indexed="81"/>
            <rFont val="Tahoma"/>
            <family val="2"/>
          </rPr>
          <t xml:space="preserve"> &lt;[[TCDeals] - [Associated DEV Deal (Seq: 1)] - [Deal Property (Seq: 1)] - [Locations (Seq: 1)] - [Unit Mix (Seq: 23)] Unit Mix Ami Percent - Send]&gt;</t>
        </r>
      </text>
    </comment>
    <comment ref="H220" authorId="0" shapeId="0" xr:uid="{1A829DE1-F467-48FE-8DAC-67CD45EAF064}">
      <text>
        <r>
          <rPr>
            <b/>
            <sz val="9"/>
            <color indexed="81"/>
            <rFont val="Tahoma"/>
            <family val="2"/>
          </rPr>
          <t xml:space="preserve"> &lt;[[TCDeals] - [TC Property Current Stage (Seq: 1)] - [Unit Mix (Seq: 24)] TC Unit Mix Type - Send]&gt;</t>
        </r>
      </text>
    </comment>
    <comment ref="J220" authorId="0" shapeId="0" xr:uid="{45AFE4D6-BF91-4D88-A9F6-A349272FBBF9}">
      <text>
        <r>
          <rPr>
            <b/>
            <sz val="9"/>
            <color indexed="81"/>
            <rFont val="Tahoma"/>
            <family val="2"/>
          </rPr>
          <t xml:space="preserve"> &lt;[[TCDeals] - [TC Property Current Stage (Seq: 1)] - [Unit Mix (Seq: 24)] Net Rentable Sq Ft - Send]&gt;</t>
        </r>
      </text>
    </comment>
    <comment ref="L220" authorId="0" shapeId="0" xr:uid="{FC3CFE34-EA27-4920-AA6B-77072641678E}">
      <text>
        <r>
          <rPr>
            <b/>
            <sz val="9"/>
            <color indexed="81"/>
            <rFont val="Tahoma"/>
            <family val="2"/>
          </rPr>
          <t xml:space="preserve"> &lt;[[TCDeals] - [TC Property Current Stage (Seq: 1)] - [Unit Mix (Seq: 24)] Num Units - Send]&gt;</t>
        </r>
      </text>
    </comment>
    <comment ref="N220" authorId="0" shapeId="0" xr:uid="{F8306A3C-53F1-4756-B406-3B7BE9EE13F0}">
      <text>
        <r>
          <rPr>
            <b/>
            <sz val="9"/>
            <color indexed="81"/>
            <rFont val="Tahoma"/>
            <family val="2"/>
          </rPr>
          <t xml:space="preserve"> &lt;[[TCDeals] - [TC Property Current Stage (Seq: 1)] - [Unit Mix (Seq: 24)] Monthly Rent Per Unit - Send]&gt;</t>
        </r>
      </text>
    </comment>
    <comment ref="P220" authorId="0" shapeId="0" xr:uid="{0916DE3E-1312-419C-8BE0-50D2987BD30E}">
      <text>
        <r>
          <rPr>
            <b/>
            <sz val="9"/>
            <color indexed="81"/>
            <rFont val="Tahoma"/>
            <family val="2"/>
          </rPr>
          <t xml:space="preserve"> &lt;[[TCDeals] - [TC Property Current Stage (Seq: 1)] - [Unit Mix (Seq: 24)] Income Target - Send]&gt;</t>
        </r>
      </text>
    </comment>
    <comment ref="Z220" authorId="0" shapeId="0" xr:uid="{4A368125-B805-4B13-BD7C-1E14099CC884}">
      <text>
        <r>
          <rPr>
            <b/>
            <sz val="9"/>
            <color indexed="81"/>
            <rFont val="Tahoma"/>
            <family val="2"/>
          </rPr>
          <t xml:space="preserve"> &lt;[[TCDeals] - [Associated DEV Deal (Seq: 1)] - [Deal Property (Seq: 1)] - [Locations (Seq: 1)] - [Unit Mix (Seq: 24)] Unit Type - Send]&gt;</t>
        </r>
      </text>
    </comment>
    <comment ref="AB220" authorId="0" shapeId="0" xr:uid="{1FB1301C-C381-458A-B711-D6E5433C7DA3}">
      <text>
        <r>
          <rPr>
            <b/>
            <sz val="9"/>
            <color indexed="81"/>
            <rFont val="Tahoma"/>
            <family val="2"/>
          </rPr>
          <t xml:space="preserve"> &lt;[[TCDeals] - [Associated DEV Deal (Seq: 1)] - [Deal Property (Seq: 1)] - [Locations (Seq: 1)] - [Unit Mix (Seq: 24)] Residential Apartment Type - Send]&gt;</t>
        </r>
      </text>
    </comment>
    <comment ref="AD220" authorId="0" shapeId="0" xr:uid="{5B8FF153-ADD2-4CD7-A31E-E33CE0CC9707}">
      <text>
        <r>
          <rPr>
            <b/>
            <sz val="9"/>
            <color indexed="81"/>
            <rFont val="Tahoma"/>
            <family val="2"/>
          </rPr>
          <t xml:space="preserve"> &lt;[[TCDeals] - [Associated DEV Deal (Seq: 1)] - [Deal Property (Seq: 1)] - [Locations (Seq: 1)] - [Unit Mix (Seq: 24)] Base Rent - Send]&gt;</t>
        </r>
      </text>
    </comment>
    <comment ref="AF220" authorId="0" shapeId="0" xr:uid="{D5B1BEEB-C64A-4ED7-BA05-C19314DA5812}">
      <text>
        <r>
          <rPr>
            <b/>
            <sz val="9"/>
            <color indexed="81"/>
            <rFont val="Tahoma"/>
            <family val="2"/>
          </rPr>
          <t xml:space="preserve"> &lt;[[TCDeals] - [Associated DEV Deal (Seq: 1)] - [Deal Property (Seq: 1)] - [Locations (Seq: 1)] - [Unit Mix (Seq: 24)] Square Footage - Send]&gt;</t>
        </r>
      </text>
    </comment>
    <comment ref="AH220" authorId="0" shapeId="0" xr:uid="{FBBB6586-B9B7-4E25-9AA4-E8A2D5282619}">
      <text>
        <r>
          <rPr>
            <b/>
            <sz val="9"/>
            <color indexed="81"/>
            <rFont val="Tahoma"/>
            <family val="2"/>
          </rPr>
          <t xml:space="preserve"> &lt;[[TCDeals] - [Associated DEV Deal (Seq: 1)] - [Deal Property (Seq: 1)] - [Locations (Seq: 1)] - [Unit Mix (Seq: 24)] Num Units - Send]&gt;</t>
        </r>
      </text>
    </comment>
    <comment ref="AL220" authorId="0" shapeId="0" xr:uid="{391EFEC2-E606-4B25-9DF5-25CD0C2BFBB1}">
      <text>
        <r>
          <rPr>
            <b/>
            <sz val="9"/>
            <color indexed="81"/>
            <rFont val="Tahoma"/>
            <family val="2"/>
          </rPr>
          <t xml:space="preserve"> &lt;[[TCDeals] - [Associated DEV Deal (Seq: 1)] - [Deal Property (Seq: 1)] - [Locations (Seq: 1)] - [Unit Mix (Seq: 24)] Unit Mix Ami Percent - Send]&gt;</t>
        </r>
      </text>
    </comment>
    <comment ref="H221" authorId="0" shapeId="0" xr:uid="{9CB1AC82-E5B7-4DB3-BE8C-698C93B4EB4F}">
      <text>
        <r>
          <rPr>
            <b/>
            <sz val="9"/>
            <color indexed="81"/>
            <rFont val="Tahoma"/>
            <family val="2"/>
          </rPr>
          <t xml:space="preserve"> &lt;[[TCDeals] - [TC Property Current Stage (Seq: 1)] - [Unit Mix (Seq: 25)] TC Unit Mix Type - Send]&gt;</t>
        </r>
      </text>
    </comment>
    <comment ref="J221" authorId="0" shapeId="0" xr:uid="{3BB50EAE-E348-4795-9BEF-EA2BADB959F3}">
      <text>
        <r>
          <rPr>
            <b/>
            <sz val="9"/>
            <color indexed="81"/>
            <rFont val="Tahoma"/>
            <family val="2"/>
          </rPr>
          <t xml:space="preserve"> &lt;[[TCDeals] - [TC Property Current Stage (Seq: 1)] - [Unit Mix (Seq: 25)] Net Rentable Sq Ft - Send]&gt;</t>
        </r>
      </text>
    </comment>
    <comment ref="L221" authorId="0" shapeId="0" xr:uid="{3DFA3074-9E6F-4D64-BB8D-A0CDD75097EC}">
      <text>
        <r>
          <rPr>
            <b/>
            <sz val="9"/>
            <color indexed="81"/>
            <rFont val="Tahoma"/>
            <family val="2"/>
          </rPr>
          <t xml:space="preserve"> &lt;[[TCDeals] - [TC Property Current Stage (Seq: 1)] - [Unit Mix (Seq: 25)] Num Units - Send]&gt;</t>
        </r>
      </text>
    </comment>
    <comment ref="N221" authorId="0" shapeId="0" xr:uid="{AF35974E-9DF8-4CAC-87BA-D8296FF529AA}">
      <text>
        <r>
          <rPr>
            <b/>
            <sz val="9"/>
            <color indexed="81"/>
            <rFont val="Tahoma"/>
            <family val="2"/>
          </rPr>
          <t xml:space="preserve"> &lt;[[TCDeals] - [TC Property Current Stage (Seq: 1)] - [Unit Mix (Seq: 25)] Monthly Rent Per Unit - Send]&gt;</t>
        </r>
      </text>
    </comment>
    <comment ref="P221" authorId="0" shapeId="0" xr:uid="{DD502238-9A90-4616-B6DC-CCB80240051B}">
      <text>
        <r>
          <rPr>
            <b/>
            <sz val="9"/>
            <color indexed="81"/>
            <rFont val="Tahoma"/>
            <family val="2"/>
          </rPr>
          <t xml:space="preserve"> &lt;[[TCDeals] - [TC Property Current Stage (Seq: 1)] - [Unit Mix (Seq: 25)] Income Target - Send]&gt;</t>
        </r>
      </text>
    </comment>
    <comment ref="Z221" authorId="0" shapeId="0" xr:uid="{4FC9CB1F-9D5A-4B2C-A5B6-F0274C3F5AEB}">
      <text>
        <r>
          <rPr>
            <b/>
            <sz val="9"/>
            <color indexed="81"/>
            <rFont val="Tahoma"/>
            <family val="2"/>
          </rPr>
          <t xml:space="preserve"> &lt;[[TCDeals] - [Associated DEV Deal (Seq: 1)] - [Deal Property (Seq: 1)] - [Locations (Seq: 1)] - [Unit Mix (Seq: 25)] Unit Type - Send]&gt;</t>
        </r>
      </text>
    </comment>
    <comment ref="AB221" authorId="0" shapeId="0" xr:uid="{D48C0F6D-9D64-4A66-9241-CC54B2B4A3B5}">
      <text>
        <r>
          <rPr>
            <b/>
            <sz val="9"/>
            <color indexed="81"/>
            <rFont val="Tahoma"/>
            <family val="2"/>
          </rPr>
          <t xml:space="preserve"> &lt;[[TCDeals] - [Associated DEV Deal (Seq: 1)] - [Deal Property (Seq: 1)] - [Locations (Seq: 1)] - [Unit Mix (Seq: 25)] Residential Apartment Type - Send]&gt;</t>
        </r>
      </text>
    </comment>
    <comment ref="AD221" authorId="0" shapeId="0" xr:uid="{DD35884D-23F1-46F2-814B-850194DC2649}">
      <text>
        <r>
          <rPr>
            <b/>
            <sz val="9"/>
            <color indexed="81"/>
            <rFont val="Tahoma"/>
            <family val="2"/>
          </rPr>
          <t xml:space="preserve"> &lt;[[TCDeals] - [Associated DEV Deal (Seq: 1)] - [Deal Property (Seq: 1)] - [Locations (Seq: 1)] - [Unit Mix (Seq: 25)] Base Rent - Send]&gt;</t>
        </r>
      </text>
    </comment>
    <comment ref="AF221" authorId="0" shapeId="0" xr:uid="{779A69BE-686B-4DC7-A4B7-84F180AD53C1}">
      <text>
        <r>
          <rPr>
            <b/>
            <sz val="9"/>
            <color indexed="81"/>
            <rFont val="Tahoma"/>
            <family val="2"/>
          </rPr>
          <t xml:space="preserve"> &lt;[[TCDeals] - [Associated DEV Deal (Seq: 1)] - [Deal Property (Seq: 1)] - [Locations (Seq: 1)] - [Unit Mix (Seq: 25)] Square Footage - Send]&gt;</t>
        </r>
      </text>
    </comment>
    <comment ref="AH221" authorId="0" shapeId="0" xr:uid="{57D24C21-12F3-4F59-9BAA-BCBCA28D29C1}">
      <text>
        <r>
          <rPr>
            <b/>
            <sz val="9"/>
            <color indexed="81"/>
            <rFont val="Tahoma"/>
            <family val="2"/>
          </rPr>
          <t xml:space="preserve"> &lt;[[TCDeals] - [Associated DEV Deal (Seq: 1)] - [Deal Property (Seq: 1)] - [Locations (Seq: 1)] - [Unit Mix (Seq: 25)] Num Units - Send]&gt;</t>
        </r>
      </text>
    </comment>
    <comment ref="AL221" authorId="0" shapeId="0" xr:uid="{0D6375F6-4C13-40AC-8C07-643F931FCB47}">
      <text>
        <r>
          <rPr>
            <b/>
            <sz val="9"/>
            <color indexed="81"/>
            <rFont val="Tahoma"/>
            <family val="2"/>
          </rPr>
          <t xml:space="preserve"> &lt;[[TCDeals] - [Associated DEV Deal (Seq: 1)] - [Deal Property (Seq: 1)] - [Locations (Seq: 1)] - [Unit Mix (Seq: 25)] Unit Mix Ami Percent - Send]&gt;</t>
        </r>
      </text>
    </comment>
    <comment ref="H222" authorId="0" shapeId="0" xr:uid="{BF9CCB61-44FB-486D-974F-69FDF40C2694}">
      <text>
        <r>
          <rPr>
            <b/>
            <sz val="9"/>
            <color indexed="81"/>
            <rFont val="Tahoma"/>
            <family val="2"/>
          </rPr>
          <t xml:space="preserve"> &lt;[[TCDeals] - [TC Property Current Stage (Seq: 1)] - [Unit Mix (Seq: 26)] TC Unit Mix Type - Send]&gt;</t>
        </r>
      </text>
    </comment>
    <comment ref="J222" authorId="0" shapeId="0" xr:uid="{732593FC-0A6C-4D62-B014-45DB58B3D978}">
      <text>
        <r>
          <rPr>
            <b/>
            <sz val="9"/>
            <color indexed="81"/>
            <rFont val="Tahoma"/>
            <family val="2"/>
          </rPr>
          <t xml:space="preserve"> &lt;[[TCDeals] - [TC Property Current Stage (Seq: 1)] - [Unit Mix (Seq: 26)] Net Rentable Sq Ft - Send]&gt;</t>
        </r>
      </text>
    </comment>
    <comment ref="L222" authorId="0" shapeId="0" xr:uid="{DEB9AF1C-E3E0-498F-806E-8DA12D679581}">
      <text>
        <r>
          <rPr>
            <b/>
            <sz val="9"/>
            <color indexed="81"/>
            <rFont val="Tahoma"/>
            <family val="2"/>
          </rPr>
          <t xml:space="preserve"> &lt;[[TCDeals] - [TC Property Current Stage (Seq: 1)] - [Unit Mix (Seq: 26)] Num Units - Send]&gt;</t>
        </r>
      </text>
    </comment>
    <comment ref="N222" authorId="0" shapeId="0" xr:uid="{A318E26A-EB82-4A28-98F5-38E3E09C5E72}">
      <text>
        <r>
          <rPr>
            <b/>
            <sz val="9"/>
            <color indexed="81"/>
            <rFont val="Tahoma"/>
            <family val="2"/>
          </rPr>
          <t xml:space="preserve"> &lt;[[TCDeals] - [TC Property Current Stage (Seq: 1)] - [Unit Mix (Seq: 26)] Monthly Rent Per Unit - Send]&gt;</t>
        </r>
      </text>
    </comment>
    <comment ref="P222" authorId="0" shapeId="0" xr:uid="{D4844D7A-73D3-433A-8A04-D5E223413729}">
      <text>
        <r>
          <rPr>
            <b/>
            <sz val="9"/>
            <color indexed="81"/>
            <rFont val="Tahoma"/>
            <family val="2"/>
          </rPr>
          <t xml:space="preserve"> &lt;[[TCDeals] - [TC Property Current Stage (Seq: 1)] - [Unit Mix (Seq: 26)] Income Target - Send]&gt;</t>
        </r>
      </text>
    </comment>
    <comment ref="Z222" authorId="0" shapeId="0" xr:uid="{3516934B-9086-471C-9593-AB8726825761}">
      <text>
        <r>
          <rPr>
            <b/>
            <sz val="9"/>
            <color indexed="81"/>
            <rFont val="Tahoma"/>
            <family val="2"/>
          </rPr>
          <t xml:space="preserve"> &lt;[[TCDeals] - [Associated DEV Deal (Seq: 1)] - [Deal Property (Seq: 1)] - [Locations (Seq: 1)] - [Unit Mix (Seq: 26)] Unit Type - Send]&gt;</t>
        </r>
      </text>
    </comment>
    <comment ref="AB222" authorId="0" shapeId="0" xr:uid="{85390DE8-ACA6-4F5B-98B8-E8C150B347B5}">
      <text>
        <r>
          <rPr>
            <b/>
            <sz val="9"/>
            <color indexed="81"/>
            <rFont val="Tahoma"/>
            <family val="2"/>
          </rPr>
          <t xml:space="preserve"> &lt;[[TCDeals] - [Associated DEV Deal (Seq: 1)] - [Deal Property (Seq: 1)] - [Locations (Seq: 1)] - [Unit Mix (Seq: 26)] Residential Apartment Type - Send]&gt;</t>
        </r>
      </text>
    </comment>
    <comment ref="AD222" authorId="0" shapeId="0" xr:uid="{11D52E3B-A489-4DB4-8983-2E5B1A8353B4}">
      <text>
        <r>
          <rPr>
            <b/>
            <sz val="9"/>
            <color indexed="81"/>
            <rFont val="Tahoma"/>
            <family val="2"/>
          </rPr>
          <t xml:space="preserve"> &lt;[[TCDeals] - [Associated DEV Deal (Seq: 1)] - [Deal Property (Seq: 1)] - [Locations (Seq: 1)] - [Unit Mix (Seq: 26)] Base Rent - Send]&gt;</t>
        </r>
      </text>
    </comment>
    <comment ref="AF222" authorId="0" shapeId="0" xr:uid="{55024A01-F4C9-40C3-A9A2-89A1DD31D8E9}">
      <text>
        <r>
          <rPr>
            <b/>
            <sz val="9"/>
            <color indexed="81"/>
            <rFont val="Tahoma"/>
            <family val="2"/>
          </rPr>
          <t xml:space="preserve"> &lt;[[TCDeals] - [Associated DEV Deal (Seq: 1)] - [Deal Property (Seq: 1)] - [Locations (Seq: 1)] - [Unit Mix (Seq: 26)] Square Footage - Send]&gt;</t>
        </r>
      </text>
    </comment>
    <comment ref="AH222" authorId="0" shapeId="0" xr:uid="{02265ADC-F775-4006-AD76-DBA56F7B09C0}">
      <text>
        <r>
          <rPr>
            <b/>
            <sz val="9"/>
            <color indexed="81"/>
            <rFont val="Tahoma"/>
            <family val="2"/>
          </rPr>
          <t xml:space="preserve"> &lt;[[TCDeals] - [Associated DEV Deal (Seq: 1)] - [Deal Property (Seq: 1)] - [Locations (Seq: 1)] - [Unit Mix (Seq: 26)] Num Units - Send]&gt;</t>
        </r>
      </text>
    </comment>
    <comment ref="AL222" authorId="0" shapeId="0" xr:uid="{0AFDC36E-8085-4380-903B-EF290C267ADA}">
      <text>
        <r>
          <rPr>
            <b/>
            <sz val="9"/>
            <color indexed="81"/>
            <rFont val="Tahoma"/>
            <family val="2"/>
          </rPr>
          <t xml:space="preserve"> &lt;[[TCDeals] - [Associated DEV Deal (Seq: 1)] - [Deal Property (Seq: 1)] - [Locations (Seq: 1)] - [Unit Mix (Seq: 26)] Unit Mix Ami Percent - Send]&gt;</t>
        </r>
      </text>
    </comment>
    <comment ref="H223" authorId="0" shapeId="0" xr:uid="{D27D1087-EE1D-482F-9132-3EEA00442C90}">
      <text>
        <r>
          <rPr>
            <b/>
            <sz val="9"/>
            <color indexed="81"/>
            <rFont val="Tahoma"/>
            <family val="2"/>
          </rPr>
          <t xml:space="preserve"> &lt;[[TCDeals] - [TC Property Current Stage (Seq: 1)] - [Unit Mix (Seq: 27)] TC Unit Mix Type - Send]&gt;</t>
        </r>
      </text>
    </comment>
    <comment ref="J223" authorId="0" shapeId="0" xr:uid="{92A0C9A6-2E51-43DB-8994-321FEF8EA1A8}">
      <text>
        <r>
          <rPr>
            <b/>
            <sz val="9"/>
            <color indexed="81"/>
            <rFont val="Tahoma"/>
            <family val="2"/>
          </rPr>
          <t xml:space="preserve"> &lt;[[TCDeals] - [TC Property Current Stage (Seq: 1)] - [Unit Mix (Seq: 27)] Net Rentable Sq Ft - Send]&gt;</t>
        </r>
      </text>
    </comment>
    <comment ref="L223" authorId="0" shapeId="0" xr:uid="{E5027E4E-7036-4835-9CC7-D7DE041EF916}">
      <text>
        <r>
          <rPr>
            <b/>
            <sz val="9"/>
            <color indexed="81"/>
            <rFont val="Tahoma"/>
            <family val="2"/>
          </rPr>
          <t xml:space="preserve"> &lt;[[TCDeals] - [TC Property Current Stage (Seq: 1)] - [Unit Mix (Seq: 27)] Num Units - Send]&gt;</t>
        </r>
      </text>
    </comment>
    <comment ref="N223" authorId="0" shapeId="0" xr:uid="{A265ADF7-8F0F-48DD-A2C2-17B02F952525}">
      <text>
        <r>
          <rPr>
            <b/>
            <sz val="9"/>
            <color indexed="81"/>
            <rFont val="Tahoma"/>
            <family val="2"/>
          </rPr>
          <t xml:space="preserve"> &lt;[[TCDeals] - [TC Property Current Stage (Seq: 1)] - [Unit Mix (Seq: 27)] Monthly Rent Per Unit - Send]&gt;</t>
        </r>
      </text>
    </comment>
    <comment ref="P223" authorId="0" shapeId="0" xr:uid="{5EC3A65A-0DF9-4C51-AE08-4D27C6F44331}">
      <text>
        <r>
          <rPr>
            <b/>
            <sz val="9"/>
            <color indexed="81"/>
            <rFont val="Tahoma"/>
            <family val="2"/>
          </rPr>
          <t xml:space="preserve"> &lt;[[TCDeals] - [TC Property Current Stage (Seq: 1)] - [Unit Mix (Seq: 27)] Income Target - Send]&gt;</t>
        </r>
      </text>
    </comment>
    <comment ref="Z223" authorId="0" shapeId="0" xr:uid="{6DE4EA67-0A1F-414E-AAB9-3D039D9CF4AB}">
      <text>
        <r>
          <rPr>
            <b/>
            <sz val="9"/>
            <color indexed="81"/>
            <rFont val="Tahoma"/>
            <family val="2"/>
          </rPr>
          <t xml:space="preserve"> &lt;[[TCDeals] - [Associated DEV Deal (Seq: 1)] - [Deal Property (Seq: 1)] - [Locations (Seq: 1)] - [Unit Mix (Seq: 27)] Unit Type - Send]&gt;</t>
        </r>
      </text>
    </comment>
    <comment ref="AB223" authorId="0" shapeId="0" xr:uid="{4B159FA4-A090-4E50-8BA2-DC6B5A75A462}">
      <text>
        <r>
          <rPr>
            <b/>
            <sz val="9"/>
            <color indexed="81"/>
            <rFont val="Tahoma"/>
            <family val="2"/>
          </rPr>
          <t xml:space="preserve"> &lt;[[TCDeals] - [Associated DEV Deal (Seq: 1)] - [Deal Property (Seq: 1)] - [Locations (Seq: 1)] - [Unit Mix (Seq: 27)] Residential Apartment Type - Send]&gt;</t>
        </r>
      </text>
    </comment>
    <comment ref="AD223" authorId="0" shapeId="0" xr:uid="{3329BB67-CE03-4DAA-B39A-68904BFAAC0B}">
      <text>
        <r>
          <rPr>
            <b/>
            <sz val="9"/>
            <color indexed="81"/>
            <rFont val="Tahoma"/>
            <family val="2"/>
          </rPr>
          <t xml:space="preserve"> &lt;[[TCDeals] - [Associated DEV Deal (Seq: 1)] - [Deal Property (Seq: 1)] - [Locations (Seq: 1)] - [Unit Mix (Seq: 27)] Base Rent - Send]&gt;</t>
        </r>
      </text>
    </comment>
    <comment ref="AF223" authorId="0" shapeId="0" xr:uid="{CA34DE4A-BCC5-4AA5-92B8-D8503D3C1995}">
      <text>
        <r>
          <rPr>
            <b/>
            <sz val="9"/>
            <color indexed="81"/>
            <rFont val="Tahoma"/>
            <family val="2"/>
          </rPr>
          <t xml:space="preserve"> &lt;[[TCDeals] - [Associated DEV Deal (Seq: 1)] - [Deal Property (Seq: 1)] - [Locations (Seq: 1)] - [Unit Mix (Seq: 27)] Square Footage - Send]&gt;</t>
        </r>
      </text>
    </comment>
    <comment ref="AH223" authorId="0" shapeId="0" xr:uid="{C6265519-F67D-4256-A9B4-450EECBD2ECA}">
      <text>
        <r>
          <rPr>
            <b/>
            <sz val="9"/>
            <color indexed="81"/>
            <rFont val="Tahoma"/>
            <family val="2"/>
          </rPr>
          <t xml:space="preserve"> &lt;[[TCDeals] - [Associated DEV Deal (Seq: 1)] - [Deal Property (Seq: 1)] - [Locations (Seq: 1)] - [Unit Mix (Seq: 27)] Num Units - Send]&gt;</t>
        </r>
      </text>
    </comment>
    <comment ref="AL223" authorId="0" shapeId="0" xr:uid="{C39F06B2-9F05-47D8-A835-20FAC2A29746}">
      <text>
        <r>
          <rPr>
            <b/>
            <sz val="9"/>
            <color indexed="81"/>
            <rFont val="Tahoma"/>
            <family val="2"/>
          </rPr>
          <t xml:space="preserve"> &lt;[[TCDeals] - [Associated DEV Deal (Seq: 1)] - [Deal Property (Seq: 1)] - [Locations (Seq: 1)] - [Unit Mix (Seq: 27)] Unit Mix Ami Percent - Send]&gt;</t>
        </r>
      </text>
    </comment>
    <comment ref="H224" authorId="0" shapeId="0" xr:uid="{72D106A2-D02F-43E7-8976-5FBFE4E6EF29}">
      <text>
        <r>
          <rPr>
            <b/>
            <sz val="9"/>
            <color indexed="81"/>
            <rFont val="Tahoma"/>
            <family val="2"/>
          </rPr>
          <t xml:space="preserve"> &lt;[[TCDeals] - [TC Property Current Stage (Seq: 1)] - [Unit Mix (Seq: 28)] TC Unit Mix Type - Send]&gt;</t>
        </r>
      </text>
    </comment>
    <comment ref="J224" authorId="0" shapeId="0" xr:uid="{76F59481-DD4C-43FC-B1A9-69085AFD4486}">
      <text>
        <r>
          <rPr>
            <b/>
            <sz val="9"/>
            <color indexed="81"/>
            <rFont val="Tahoma"/>
            <family val="2"/>
          </rPr>
          <t xml:space="preserve"> &lt;[[TCDeals] - [TC Property Current Stage (Seq: 1)] - [Unit Mix (Seq: 28)] Net Rentable Sq Ft - Send]&gt;</t>
        </r>
      </text>
    </comment>
    <comment ref="L224" authorId="0" shapeId="0" xr:uid="{69975404-7EF4-4E2D-AE2E-088CF1CC7248}">
      <text>
        <r>
          <rPr>
            <b/>
            <sz val="9"/>
            <color indexed="81"/>
            <rFont val="Tahoma"/>
            <family val="2"/>
          </rPr>
          <t xml:space="preserve"> &lt;[[TCDeals] - [TC Property Current Stage (Seq: 1)] - [Unit Mix (Seq: 28)] Num Units - Send]&gt;</t>
        </r>
      </text>
    </comment>
    <comment ref="N224" authorId="0" shapeId="0" xr:uid="{CC31440F-91C6-4D75-A472-8F94A6635A9B}">
      <text>
        <r>
          <rPr>
            <b/>
            <sz val="9"/>
            <color indexed="81"/>
            <rFont val="Tahoma"/>
            <family val="2"/>
          </rPr>
          <t xml:space="preserve"> &lt;[[TCDeals] - [TC Property Current Stage (Seq: 1)] - [Unit Mix (Seq: 28)] Monthly Rent Per Unit - Send]&gt;</t>
        </r>
      </text>
    </comment>
    <comment ref="P224" authorId="0" shapeId="0" xr:uid="{E3157CC2-8A82-4EB1-BABD-03C1DA45DD09}">
      <text>
        <r>
          <rPr>
            <b/>
            <sz val="9"/>
            <color indexed="81"/>
            <rFont val="Tahoma"/>
            <family val="2"/>
          </rPr>
          <t xml:space="preserve"> &lt;[[TCDeals] - [TC Property Current Stage (Seq: 1)] - [Unit Mix (Seq: 28)] Income Target - Send]&gt;</t>
        </r>
      </text>
    </comment>
    <comment ref="Z224" authorId="0" shapeId="0" xr:uid="{AB031A8B-6D4A-460D-9B50-C2C60B6B0F27}">
      <text>
        <r>
          <rPr>
            <b/>
            <sz val="9"/>
            <color indexed="81"/>
            <rFont val="Tahoma"/>
            <family val="2"/>
          </rPr>
          <t xml:space="preserve"> &lt;[[TCDeals] - [Associated DEV Deal (Seq: 1)] - [Deal Property (Seq: 1)] - [Locations (Seq: 1)] - [Unit Mix (Seq: 28)] Unit Type - Send]&gt;</t>
        </r>
      </text>
    </comment>
    <comment ref="AB224" authorId="0" shapeId="0" xr:uid="{A54AEB29-AF4D-4823-A212-68DC6EFD5E36}">
      <text>
        <r>
          <rPr>
            <b/>
            <sz val="9"/>
            <color indexed="81"/>
            <rFont val="Tahoma"/>
            <family val="2"/>
          </rPr>
          <t xml:space="preserve"> &lt;[[TCDeals] - [Associated DEV Deal (Seq: 1)] - [Deal Property (Seq: 1)] - [Locations (Seq: 1)] - [Unit Mix (Seq: 28)] Residential Apartment Type - Send]&gt;</t>
        </r>
      </text>
    </comment>
    <comment ref="AD224" authorId="0" shapeId="0" xr:uid="{DA72A5B2-9391-41CC-9B3F-957913B98179}">
      <text>
        <r>
          <rPr>
            <b/>
            <sz val="9"/>
            <color indexed="81"/>
            <rFont val="Tahoma"/>
            <family val="2"/>
          </rPr>
          <t xml:space="preserve"> &lt;[[TCDeals] - [Associated DEV Deal (Seq: 1)] - [Deal Property (Seq: 1)] - [Locations (Seq: 1)] - [Unit Mix (Seq: 28)] Base Rent - Send]&gt;</t>
        </r>
      </text>
    </comment>
    <comment ref="AF224" authorId="0" shapeId="0" xr:uid="{0EAB2073-95E4-4734-9F6F-D96907BD46D0}">
      <text>
        <r>
          <rPr>
            <b/>
            <sz val="9"/>
            <color indexed="81"/>
            <rFont val="Tahoma"/>
            <family val="2"/>
          </rPr>
          <t xml:space="preserve"> &lt;[[TCDeals] - [Associated DEV Deal (Seq: 1)] - [Deal Property (Seq: 1)] - [Locations (Seq: 1)] - [Unit Mix (Seq: 28)] Square Footage - Send]&gt;</t>
        </r>
      </text>
    </comment>
    <comment ref="AH224" authorId="0" shapeId="0" xr:uid="{DB90B6C1-3711-4FF8-BEF9-C218852CE5D0}">
      <text>
        <r>
          <rPr>
            <b/>
            <sz val="9"/>
            <color indexed="81"/>
            <rFont val="Tahoma"/>
            <family val="2"/>
          </rPr>
          <t xml:space="preserve"> &lt;[[TCDeals] - [Associated DEV Deal (Seq: 1)] - [Deal Property (Seq: 1)] - [Locations (Seq: 1)] - [Unit Mix (Seq: 28)] Num Units - Send]&gt;</t>
        </r>
      </text>
    </comment>
    <comment ref="AL224" authorId="0" shapeId="0" xr:uid="{AC6FACB8-63B2-4561-BA93-C70D927428A7}">
      <text>
        <r>
          <rPr>
            <b/>
            <sz val="9"/>
            <color indexed="81"/>
            <rFont val="Tahoma"/>
            <family val="2"/>
          </rPr>
          <t xml:space="preserve"> &lt;[[TCDeals] - [Associated DEV Deal (Seq: 1)] - [Deal Property (Seq: 1)] - [Locations (Seq: 1)] - [Unit Mix (Seq: 28)] Unit Mix Ami Percent - Send]&gt;</t>
        </r>
      </text>
    </comment>
    <comment ref="H225" authorId="0" shapeId="0" xr:uid="{29CEDCE9-08F3-460F-903B-0FF8DA94AAC2}">
      <text>
        <r>
          <rPr>
            <b/>
            <sz val="9"/>
            <color indexed="81"/>
            <rFont val="Tahoma"/>
            <family val="2"/>
          </rPr>
          <t xml:space="preserve"> &lt;[[TCDeals] - [TC Property Current Stage (Seq: 1)] - [Unit Mix (Seq: 29)] TC Unit Mix Type - Send]&gt;</t>
        </r>
      </text>
    </comment>
    <comment ref="J225" authorId="0" shapeId="0" xr:uid="{268EC81C-7CED-4654-94F4-EE6811300CC4}">
      <text>
        <r>
          <rPr>
            <b/>
            <sz val="9"/>
            <color indexed="81"/>
            <rFont val="Tahoma"/>
            <family val="2"/>
          </rPr>
          <t xml:space="preserve"> &lt;[[TCDeals] - [TC Property Current Stage (Seq: 1)] - [Unit Mix (Seq: 29)] Net Rentable Sq Ft - Send]&gt;</t>
        </r>
      </text>
    </comment>
    <comment ref="L225" authorId="0" shapeId="0" xr:uid="{94AB4ED2-E827-471D-A12A-49EABE8F38C6}">
      <text>
        <r>
          <rPr>
            <b/>
            <sz val="9"/>
            <color indexed="81"/>
            <rFont val="Tahoma"/>
            <family val="2"/>
          </rPr>
          <t xml:space="preserve"> &lt;[[TCDeals] - [TC Property Current Stage (Seq: 1)] - [Unit Mix (Seq: 29)] Num Units - Send]&gt;</t>
        </r>
      </text>
    </comment>
    <comment ref="N225" authorId="0" shapeId="0" xr:uid="{77B3B679-85C6-4464-A37E-97CFFD019EB5}">
      <text>
        <r>
          <rPr>
            <b/>
            <sz val="9"/>
            <color indexed="81"/>
            <rFont val="Tahoma"/>
            <family val="2"/>
          </rPr>
          <t xml:space="preserve"> &lt;[[TCDeals] - [TC Property Current Stage (Seq: 1)] - [Unit Mix (Seq: 29)] Monthly Rent Per Unit - Send]&gt;</t>
        </r>
      </text>
    </comment>
    <comment ref="P225" authorId="0" shapeId="0" xr:uid="{7CFB206F-8FA0-438D-88D7-6032BC12F7EF}">
      <text>
        <r>
          <rPr>
            <b/>
            <sz val="9"/>
            <color indexed="81"/>
            <rFont val="Tahoma"/>
            <family val="2"/>
          </rPr>
          <t xml:space="preserve"> &lt;[[TCDeals] - [TC Property Current Stage (Seq: 1)] - [Unit Mix (Seq: 29)] Income Target - Send]&gt;</t>
        </r>
      </text>
    </comment>
    <comment ref="Z225" authorId="0" shapeId="0" xr:uid="{0457624D-B5EB-47DA-B8B6-0F65C3552666}">
      <text>
        <r>
          <rPr>
            <b/>
            <sz val="9"/>
            <color indexed="81"/>
            <rFont val="Tahoma"/>
            <family val="2"/>
          </rPr>
          <t xml:space="preserve"> &lt;[[TCDeals] - [Associated DEV Deal (Seq: 1)] - [Deal Property (Seq: 1)] - [Locations (Seq: 1)] - [Unit Mix (Seq: 29)] Unit Type - Send]&gt;</t>
        </r>
      </text>
    </comment>
    <comment ref="AB225" authorId="0" shapeId="0" xr:uid="{8D28EA44-D17D-4D5B-ABED-7A96EB3A9AC7}">
      <text>
        <r>
          <rPr>
            <b/>
            <sz val="9"/>
            <color indexed="81"/>
            <rFont val="Tahoma"/>
            <family val="2"/>
          </rPr>
          <t xml:space="preserve"> &lt;[[TCDeals] - [Associated DEV Deal (Seq: 1)] - [Deal Property (Seq: 1)] - [Locations (Seq: 1)] - [Unit Mix (Seq: 29)] Residential Apartment Type - Send]&gt;</t>
        </r>
      </text>
    </comment>
    <comment ref="AD225" authorId="0" shapeId="0" xr:uid="{E905AA33-B53E-40C0-AB99-F9680A0FA025}">
      <text>
        <r>
          <rPr>
            <b/>
            <sz val="9"/>
            <color indexed="81"/>
            <rFont val="Tahoma"/>
            <family val="2"/>
          </rPr>
          <t xml:space="preserve"> &lt;[[TCDeals] - [Associated DEV Deal (Seq: 1)] - [Deal Property (Seq: 1)] - [Locations (Seq: 1)] - [Unit Mix (Seq: 29)] Base Rent - Send]&gt;</t>
        </r>
      </text>
    </comment>
    <comment ref="AF225" authorId="0" shapeId="0" xr:uid="{AE20FDDB-1433-469A-80A2-0A36518DB0D2}">
      <text>
        <r>
          <rPr>
            <b/>
            <sz val="9"/>
            <color indexed="81"/>
            <rFont val="Tahoma"/>
            <family val="2"/>
          </rPr>
          <t xml:space="preserve"> &lt;[[TCDeals] - [Associated DEV Deal (Seq: 1)] - [Deal Property (Seq: 1)] - [Locations (Seq: 1)] - [Unit Mix (Seq: 29)] Square Footage - Send]&gt;</t>
        </r>
      </text>
    </comment>
    <comment ref="AH225" authorId="0" shapeId="0" xr:uid="{B1EF117D-AB2C-40AD-AF69-211B5BAC8704}">
      <text>
        <r>
          <rPr>
            <b/>
            <sz val="9"/>
            <color indexed="81"/>
            <rFont val="Tahoma"/>
            <family val="2"/>
          </rPr>
          <t xml:space="preserve"> &lt;[[TCDeals] - [Associated DEV Deal (Seq: 1)] - [Deal Property (Seq: 1)] - [Locations (Seq: 1)] - [Unit Mix (Seq: 29)] Num Units - Send]&gt;</t>
        </r>
      </text>
    </comment>
    <comment ref="AL225" authorId="0" shapeId="0" xr:uid="{50ED98DE-AFCB-43CA-877A-492ACFEEC1F5}">
      <text>
        <r>
          <rPr>
            <b/>
            <sz val="9"/>
            <color indexed="81"/>
            <rFont val="Tahoma"/>
            <family val="2"/>
          </rPr>
          <t xml:space="preserve"> &lt;[[TCDeals] - [Associated DEV Deal (Seq: 1)] - [Deal Property (Seq: 1)] - [Locations (Seq: 1)] - [Unit Mix (Seq: 29)] Unit Mix Ami Percent - Send]&gt;</t>
        </r>
      </text>
    </comment>
    <comment ref="H226" authorId="0" shapeId="0" xr:uid="{9BF91359-6209-463F-98CB-93E378A780FC}">
      <text>
        <r>
          <rPr>
            <b/>
            <sz val="9"/>
            <color indexed="81"/>
            <rFont val="Tahoma"/>
            <family val="2"/>
          </rPr>
          <t xml:space="preserve"> &lt;[[TCDeals] - [TC Property Current Stage (Seq: 1)] - [Unit Mix (Seq: 30)] TC Unit Mix Type - Send]&gt;</t>
        </r>
      </text>
    </comment>
    <comment ref="J226" authorId="0" shapeId="0" xr:uid="{CDFB0B5F-3DE2-410F-B3D9-E0F9B4075F0C}">
      <text>
        <r>
          <rPr>
            <b/>
            <sz val="9"/>
            <color indexed="81"/>
            <rFont val="Tahoma"/>
            <family val="2"/>
          </rPr>
          <t xml:space="preserve"> &lt;[[TCDeals] - [TC Property Current Stage (Seq: 1)] - [Unit Mix (Seq: 30)] Net Rentable Sq Ft - Send]&gt;</t>
        </r>
      </text>
    </comment>
    <comment ref="L226" authorId="0" shapeId="0" xr:uid="{0BA35CD1-EC90-4712-A76F-71CF15FC03EF}">
      <text>
        <r>
          <rPr>
            <b/>
            <sz val="9"/>
            <color indexed="81"/>
            <rFont val="Tahoma"/>
            <family val="2"/>
          </rPr>
          <t xml:space="preserve"> &lt;[[TCDeals] - [TC Property Current Stage (Seq: 1)] - [Unit Mix (Seq: 30)] Num Units - Send]&gt;</t>
        </r>
      </text>
    </comment>
    <comment ref="N226" authorId="0" shapeId="0" xr:uid="{6B55CFDC-8B7D-4CEF-9477-0E90A32C2376}">
      <text>
        <r>
          <rPr>
            <b/>
            <sz val="9"/>
            <color indexed="81"/>
            <rFont val="Tahoma"/>
            <family val="2"/>
          </rPr>
          <t xml:space="preserve"> &lt;[[TCDeals] - [TC Property Current Stage (Seq: 1)] - [Unit Mix (Seq: 30)] Monthly Rent Per Unit - Send]&gt;</t>
        </r>
      </text>
    </comment>
    <comment ref="P226" authorId="0" shapeId="0" xr:uid="{386AA3E1-F63A-48CF-8F7A-752ABBDB25CD}">
      <text>
        <r>
          <rPr>
            <b/>
            <sz val="9"/>
            <color indexed="81"/>
            <rFont val="Tahoma"/>
            <family val="2"/>
          </rPr>
          <t xml:space="preserve"> &lt;[[TCDeals] - [TC Property Current Stage (Seq: 1)] - [Unit Mix (Seq: 30)] Income Target - Send]&gt;</t>
        </r>
      </text>
    </comment>
    <comment ref="Z226" authorId="0" shapeId="0" xr:uid="{61C4EB37-4D91-4924-9489-44F3F0652A54}">
      <text>
        <r>
          <rPr>
            <b/>
            <sz val="9"/>
            <color indexed="81"/>
            <rFont val="Tahoma"/>
            <family val="2"/>
          </rPr>
          <t xml:space="preserve"> &lt;[[TCDeals] - [Associated DEV Deal (Seq: 1)] - [Deal Property (Seq: 1)] - [Locations (Seq: 1)] - [Unit Mix (Seq: 30)] Unit Type - Send]&gt;</t>
        </r>
      </text>
    </comment>
    <comment ref="AB226" authorId="0" shapeId="0" xr:uid="{1D9E8B29-84B7-4406-A0F7-82B3F7E5AD0E}">
      <text>
        <r>
          <rPr>
            <b/>
            <sz val="9"/>
            <color indexed="81"/>
            <rFont val="Tahoma"/>
            <family val="2"/>
          </rPr>
          <t xml:space="preserve"> &lt;[[TCDeals] - [Associated DEV Deal (Seq: 1)] - [Deal Property (Seq: 1)] - [Locations (Seq: 1)] - [Unit Mix (Seq: 30)] Residential Apartment Type - Send]&gt;</t>
        </r>
      </text>
    </comment>
    <comment ref="AD226" authorId="0" shapeId="0" xr:uid="{BD4AC178-7950-4667-83C1-8DDFD253FC44}">
      <text>
        <r>
          <rPr>
            <b/>
            <sz val="9"/>
            <color indexed="81"/>
            <rFont val="Tahoma"/>
            <family val="2"/>
          </rPr>
          <t xml:space="preserve"> &lt;[[TCDeals] - [Associated DEV Deal (Seq: 1)] - [Deal Property (Seq: 1)] - [Locations (Seq: 1)] - [Unit Mix (Seq: 30)] Base Rent - Send]&gt;</t>
        </r>
      </text>
    </comment>
    <comment ref="AF226" authorId="0" shapeId="0" xr:uid="{EC678066-0A78-498C-AA6A-A061EF127670}">
      <text>
        <r>
          <rPr>
            <b/>
            <sz val="9"/>
            <color indexed="81"/>
            <rFont val="Tahoma"/>
            <family val="2"/>
          </rPr>
          <t xml:space="preserve"> &lt;[[TCDeals] - [Associated DEV Deal (Seq: 1)] - [Deal Property (Seq: 1)] - [Locations (Seq: 1)] - [Unit Mix (Seq: 30)] Square Footage - Send]&gt;</t>
        </r>
      </text>
    </comment>
    <comment ref="AH226" authorId="0" shapeId="0" xr:uid="{0F354685-CD8B-4B47-B79C-9C52E4B2EB9C}">
      <text>
        <r>
          <rPr>
            <b/>
            <sz val="9"/>
            <color indexed="81"/>
            <rFont val="Tahoma"/>
            <family val="2"/>
          </rPr>
          <t xml:space="preserve"> &lt;[[TCDeals] - [Associated DEV Deal (Seq: 1)] - [Deal Property (Seq: 1)] - [Locations (Seq: 1)] - [Unit Mix (Seq: 30)] Num Units - Send]&gt;</t>
        </r>
      </text>
    </comment>
    <comment ref="AL226" authorId="0" shapeId="0" xr:uid="{70BFA4E3-0055-4BC7-9E16-54AD516C41A1}">
      <text>
        <r>
          <rPr>
            <b/>
            <sz val="9"/>
            <color indexed="81"/>
            <rFont val="Tahoma"/>
            <family val="2"/>
          </rPr>
          <t xml:space="preserve"> &lt;[[TCDeals] - [Associated DEV Deal (Seq: 1)] - [Deal Property (Seq: 1)] - [Locations (Seq: 1)] - [Unit Mix (Seq: 30)] Unit Mix Ami Percent - Send]&gt;</t>
        </r>
      </text>
    </comment>
    <comment ref="H227" authorId="0" shapeId="0" xr:uid="{22FD40EE-112B-4C16-AA83-CE6CAE2A2F82}">
      <text>
        <r>
          <rPr>
            <b/>
            <sz val="9"/>
            <color indexed="81"/>
            <rFont val="Tahoma"/>
            <family val="2"/>
          </rPr>
          <t xml:space="preserve"> &lt;[[TCDeals] - [TC Property Current Stage (Seq: 1)] - [Unit Mix (Seq: 31)] TC Unit Mix Type - Send]&gt;</t>
        </r>
      </text>
    </comment>
    <comment ref="J227" authorId="0" shapeId="0" xr:uid="{4834C6B7-AC74-41A5-901D-39B1B1188CEF}">
      <text>
        <r>
          <rPr>
            <b/>
            <sz val="9"/>
            <color indexed="81"/>
            <rFont val="Tahoma"/>
            <family val="2"/>
          </rPr>
          <t xml:space="preserve"> &lt;[[TCDeals] - [TC Property Current Stage (Seq: 1)] - [Unit Mix (Seq: 31)] Net Rentable Sq Ft - Send]&gt;</t>
        </r>
      </text>
    </comment>
    <comment ref="L227" authorId="0" shapeId="0" xr:uid="{56953B0E-6D49-4775-B8D3-6A0B685EAD75}">
      <text>
        <r>
          <rPr>
            <b/>
            <sz val="9"/>
            <color indexed="81"/>
            <rFont val="Tahoma"/>
            <family val="2"/>
          </rPr>
          <t xml:space="preserve"> &lt;[[TCDeals] - [TC Property Current Stage (Seq: 1)] - [Unit Mix (Seq: 31)] Num Units - Send]&gt;</t>
        </r>
      </text>
    </comment>
    <comment ref="N227" authorId="0" shapeId="0" xr:uid="{E529D370-C03A-40BF-B139-8CF315FC823E}">
      <text>
        <r>
          <rPr>
            <b/>
            <sz val="9"/>
            <color indexed="81"/>
            <rFont val="Tahoma"/>
            <family val="2"/>
          </rPr>
          <t xml:space="preserve"> &lt;[[TCDeals] - [TC Property Current Stage (Seq: 1)] - [Unit Mix (Seq: 31)] Monthly Rent Per Unit - Send]&gt;</t>
        </r>
      </text>
    </comment>
    <comment ref="P227" authorId="0" shapeId="0" xr:uid="{AB0DD5ED-5C0B-407F-832D-124C1580F6E2}">
      <text>
        <r>
          <rPr>
            <b/>
            <sz val="9"/>
            <color indexed="81"/>
            <rFont val="Tahoma"/>
            <family val="2"/>
          </rPr>
          <t xml:space="preserve"> &lt;[[TCDeals] - [TC Property Current Stage (Seq: 1)] - [Unit Mix (Seq: 31)] Income Target - Send]&gt;</t>
        </r>
      </text>
    </comment>
    <comment ref="Z227" authorId="0" shapeId="0" xr:uid="{75BD8AB0-44A4-4C49-B458-67393FDD895B}">
      <text>
        <r>
          <rPr>
            <b/>
            <sz val="9"/>
            <color indexed="81"/>
            <rFont val="Tahoma"/>
            <family val="2"/>
          </rPr>
          <t xml:space="preserve"> &lt;[[TCDeals] - [Associated DEV Deal (Seq: 1)] - [Deal Property (Seq: 1)] - [Locations (Seq: 1)] - [Unit Mix (Seq: 31)] Unit Type - Send]&gt;</t>
        </r>
      </text>
    </comment>
    <comment ref="AB227" authorId="0" shapeId="0" xr:uid="{6B2BAB14-36E5-4B3A-99F1-EBD2E306DDE8}">
      <text>
        <r>
          <rPr>
            <b/>
            <sz val="9"/>
            <color indexed="81"/>
            <rFont val="Tahoma"/>
            <family val="2"/>
          </rPr>
          <t xml:space="preserve"> &lt;[[TCDeals] - [Associated DEV Deal (Seq: 1)] - [Deal Property (Seq: 1)] - [Locations (Seq: 1)] - [Unit Mix (Seq: 31)] Residential Apartment Type - Send]&gt;</t>
        </r>
      </text>
    </comment>
    <comment ref="AD227" authorId="0" shapeId="0" xr:uid="{3CB1D58C-C531-444F-81CB-30D9B6719B20}">
      <text>
        <r>
          <rPr>
            <b/>
            <sz val="9"/>
            <color indexed="81"/>
            <rFont val="Tahoma"/>
            <family val="2"/>
          </rPr>
          <t xml:space="preserve"> &lt;[[TCDeals] - [Associated DEV Deal (Seq: 1)] - [Deal Property (Seq: 1)] - [Locations (Seq: 1)] - [Unit Mix (Seq: 31)] Base Rent - Send]&gt;</t>
        </r>
      </text>
    </comment>
    <comment ref="AF227" authorId="0" shapeId="0" xr:uid="{D6981BC0-F1F2-4F36-9D11-BC20CAA6E8B4}">
      <text>
        <r>
          <rPr>
            <b/>
            <sz val="9"/>
            <color indexed="81"/>
            <rFont val="Tahoma"/>
            <family val="2"/>
          </rPr>
          <t xml:space="preserve"> &lt;[[TCDeals] - [Associated DEV Deal (Seq: 1)] - [Deal Property (Seq: 1)] - [Locations (Seq: 1)] - [Unit Mix (Seq: 31)] Square Footage - Send]&gt;</t>
        </r>
      </text>
    </comment>
    <comment ref="AH227" authorId="0" shapeId="0" xr:uid="{73096B89-5CC5-4C22-8002-1B077095A051}">
      <text>
        <r>
          <rPr>
            <b/>
            <sz val="9"/>
            <color indexed="81"/>
            <rFont val="Tahoma"/>
            <family val="2"/>
          </rPr>
          <t xml:space="preserve"> &lt;[[TCDeals] - [Associated DEV Deal (Seq: 1)] - [Deal Property (Seq: 1)] - [Locations (Seq: 1)] - [Unit Mix (Seq: 31)] Num Units - Send]&gt;</t>
        </r>
      </text>
    </comment>
    <comment ref="AL227" authorId="0" shapeId="0" xr:uid="{C7CB9583-9B57-4C08-A842-EB2C3A9A59E7}">
      <text>
        <r>
          <rPr>
            <b/>
            <sz val="9"/>
            <color indexed="81"/>
            <rFont val="Tahoma"/>
            <family val="2"/>
          </rPr>
          <t xml:space="preserve"> &lt;[[TCDeals] - [Associated DEV Deal (Seq: 1)] - [Deal Property (Seq: 1)] - [Locations (Seq: 1)] - [Unit Mix (Seq: 31)] Unit Mix Ami Percent - Send]&gt;</t>
        </r>
      </text>
    </comment>
    <comment ref="H228" authorId="0" shapeId="0" xr:uid="{A310A463-92F0-4E14-8257-E3CDD531FC1F}">
      <text>
        <r>
          <rPr>
            <b/>
            <sz val="9"/>
            <color indexed="81"/>
            <rFont val="Tahoma"/>
            <family val="2"/>
          </rPr>
          <t xml:space="preserve"> &lt;[[TCDeals] - [TC Property Current Stage (Seq: 1)] - [Unit Mix (Seq: 32)] TC Unit Mix Type - Send]&gt;</t>
        </r>
      </text>
    </comment>
    <comment ref="J228" authorId="0" shapeId="0" xr:uid="{8F0B7175-1AA7-4364-A59A-47EA1AA4C136}">
      <text>
        <r>
          <rPr>
            <b/>
            <sz val="9"/>
            <color indexed="81"/>
            <rFont val="Tahoma"/>
            <family val="2"/>
          </rPr>
          <t xml:space="preserve"> &lt;[[TCDeals] - [TC Property Current Stage (Seq: 1)] - [Unit Mix (Seq: 32)] Net Rentable Sq Ft - Send]&gt;</t>
        </r>
      </text>
    </comment>
    <comment ref="L228" authorId="0" shapeId="0" xr:uid="{844D27D5-4576-4F19-840A-809075D56061}">
      <text>
        <r>
          <rPr>
            <b/>
            <sz val="9"/>
            <color indexed="81"/>
            <rFont val="Tahoma"/>
            <family val="2"/>
          </rPr>
          <t xml:space="preserve"> &lt;[[TCDeals] - [TC Property Current Stage (Seq: 1)] - [Unit Mix (Seq: 32)] Num Units - Send]&gt;</t>
        </r>
      </text>
    </comment>
    <comment ref="N228" authorId="0" shapeId="0" xr:uid="{C3C66ADF-BE7A-4FB5-B4DE-2A05C8C54FAE}">
      <text>
        <r>
          <rPr>
            <b/>
            <sz val="9"/>
            <color indexed="81"/>
            <rFont val="Tahoma"/>
            <family val="2"/>
          </rPr>
          <t xml:space="preserve"> &lt;[[TCDeals] - [TC Property Current Stage (Seq: 1)] - [Unit Mix (Seq: 32)] Monthly Rent Per Unit - Send]&gt;</t>
        </r>
      </text>
    </comment>
    <comment ref="P228" authorId="0" shapeId="0" xr:uid="{6E04902C-263E-411A-B9DE-05CBF35F4E80}">
      <text>
        <r>
          <rPr>
            <b/>
            <sz val="9"/>
            <color indexed="81"/>
            <rFont val="Tahoma"/>
            <family val="2"/>
          </rPr>
          <t xml:space="preserve"> &lt;[[TCDeals] - [TC Property Current Stage (Seq: 1)] - [Unit Mix (Seq: 32)] Income Target - Send]&gt;</t>
        </r>
      </text>
    </comment>
    <comment ref="Z228" authorId="0" shapeId="0" xr:uid="{9BFA250C-0B52-41B3-AB13-25EE371E7671}">
      <text>
        <r>
          <rPr>
            <b/>
            <sz val="9"/>
            <color indexed="81"/>
            <rFont val="Tahoma"/>
            <family val="2"/>
          </rPr>
          <t xml:space="preserve"> &lt;[[TCDeals] - [Associated DEV Deal (Seq: 1)] - [Deal Property (Seq: 1)] - [Locations (Seq: 1)] - [Unit Mix (Seq: 32)] Unit Type - Send]&gt;</t>
        </r>
      </text>
    </comment>
    <comment ref="AB228" authorId="0" shapeId="0" xr:uid="{39D8B688-D686-4B90-B988-88ABD8959F8C}">
      <text>
        <r>
          <rPr>
            <b/>
            <sz val="9"/>
            <color indexed="81"/>
            <rFont val="Tahoma"/>
            <family val="2"/>
          </rPr>
          <t xml:space="preserve"> &lt;[[TCDeals] - [Associated DEV Deal (Seq: 1)] - [Deal Property (Seq: 1)] - [Locations (Seq: 1)] - [Unit Mix (Seq: 32)] Residential Apartment Type - Send]&gt;</t>
        </r>
      </text>
    </comment>
    <comment ref="AD228" authorId="0" shapeId="0" xr:uid="{0F6D6B06-D0EB-406E-88B1-4C0B1A1D0D6C}">
      <text>
        <r>
          <rPr>
            <b/>
            <sz val="9"/>
            <color indexed="81"/>
            <rFont val="Tahoma"/>
            <family val="2"/>
          </rPr>
          <t xml:space="preserve"> &lt;[[TCDeals] - [Associated DEV Deal (Seq: 1)] - [Deal Property (Seq: 1)] - [Locations (Seq: 1)] - [Unit Mix (Seq: 32)] Base Rent - Send]&gt;</t>
        </r>
      </text>
    </comment>
    <comment ref="AF228" authorId="0" shapeId="0" xr:uid="{1B032D5A-1DBB-4428-B0A7-35C65CEAF41C}">
      <text>
        <r>
          <rPr>
            <b/>
            <sz val="9"/>
            <color indexed="81"/>
            <rFont val="Tahoma"/>
            <family val="2"/>
          </rPr>
          <t xml:space="preserve"> &lt;[[TCDeals] - [Associated DEV Deal (Seq: 1)] - [Deal Property (Seq: 1)] - [Locations (Seq: 1)] - [Unit Mix (Seq: 32)] Square Footage - Send]&gt;</t>
        </r>
      </text>
    </comment>
    <comment ref="AH228" authorId="0" shapeId="0" xr:uid="{84612333-96F4-48B6-B72C-F4D783E867D3}">
      <text>
        <r>
          <rPr>
            <b/>
            <sz val="9"/>
            <color indexed="81"/>
            <rFont val="Tahoma"/>
            <family val="2"/>
          </rPr>
          <t xml:space="preserve"> &lt;[[TCDeals] - [Associated DEV Deal (Seq: 1)] - [Deal Property (Seq: 1)] - [Locations (Seq: 1)] - [Unit Mix (Seq: 32)] Num Units - Send]&gt;</t>
        </r>
      </text>
    </comment>
    <comment ref="AL228" authorId="0" shapeId="0" xr:uid="{51D25537-3E92-4E23-A634-B55A9FBAA4EA}">
      <text>
        <r>
          <rPr>
            <b/>
            <sz val="9"/>
            <color indexed="81"/>
            <rFont val="Tahoma"/>
            <family val="2"/>
          </rPr>
          <t xml:space="preserve"> &lt;[[TCDeals] - [Associated DEV Deal (Seq: 1)] - [Deal Property (Seq: 1)] - [Locations (Seq: 1)] - [Unit Mix (Seq: 32)] Unit Mix Ami Percent - Send]&gt;</t>
        </r>
      </text>
    </comment>
    <comment ref="H229" authorId="0" shapeId="0" xr:uid="{9317E393-D567-4236-B7D7-72F9F0991660}">
      <text>
        <r>
          <rPr>
            <b/>
            <sz val="9"/>
            <color indexed="81"/>
            <rFont val="Tahoma"/>
            <family val="2"/>
          </rPr>
          <t xml:space="preserve"> &lt;[[TCDeals] - [TC Property Current Stage (Seq: 1)] - [Unit Mix (Seq: 33)] TC Unit Mix Type - Send]&gt;</t>
        </r>
      </text>
    </comment>
    <comment ref="J229" authorId="0" shapeId="0" xr:uid="{A85B0783-0D93-4EB5-9017-ECAD322C6AC7}">
      <text>
        <r>
          <rPr>
            <b/>
            <sz val="9"/>
            <color indexed="81"/>
            <rFont val="Tahoma"/>
            <family val="2"/>
          </rPr>
          <t xml:space="preserve"> &lt;[[TCDeals] - [TC Property Current Stage (Seq: 1)] - [Unit Mix (Seq: 33)] Net Rentable Sq Ft - Send]&gt;</t>
        </r>
      </text>
    </comment>
    <comment ref="L229" authorId="0" shapeId="0" xr:uid="{F4D40C86-10B9-4667-8FBF-048739840363}">
      <text>
        <r>
          <rPr>
            <b/>
            <sz val="9"/>
            <color indexed="81"/>
            <rFont val="Tahoma"/>
            <family val="2"/>
          </rPr>
          <t xml:space="preserve"> &lt;[[TCDeals] - [TC Property Current Stage (Seq: 1)] - [Unit Mix (Seq: 33)] Num Units - Send]&gt;</t>
        </r>
      </text>
    </comment>
    <comment ref="N229" authorId="0" shapeId="0" xr:uid="{06329F9A-3CC7-427E-ADFB-5E0C8A09F8EE}">
      <text>
        <r>
          <rPr>
            <b/>
            <sz val="9"/>
            <color indexed="81"/>
            <rFont val="Tahoma"/>
            <family val="2"/>
          </rPr>
          <t xml:space="preserve"> &lt;[[TCDeals] - [TC Property Current Stage (Seq: 1)] - [Unit Mix (Seq: 33)] Monthly Rent Per Unit - Send]&gt;</t>
        </r>
      </text>
    </comment>
    <comment ref="P229" authorId="0" shapeId="0" xr:uid="{ED612721-1F10-44AF-A717-A323650F8E3C}">
      <text>
        <r>
          <rPr>
            <b/>
            <sz val="9"/>
            <color indexed="81"/>
            <rFont val="Tahoma"/>
            <family val="2"/>
          </rPr>
          <t xml:space="preserve"> &lt;[[TCDeals] - [TC Property Current Stage (Seq: 1)] - [Unit Mix (Seq: 33)] Income Target - Send]&gt;</t>
        </r>
      </text>
    </comment>
    <comment ref="Z229" authorId="0" shapeId="0" xr:uid="{08C27A72-5BF0-4CBC-AF09-C7FDB4F37E97}">
      <text>
        <r>
          <rPr>
            <b/>
            <sz val="9"/>
            <color indexed="81"/>
            <rFont val="Tahoma"/>
            <family val="2"/>
          </rPr>
          <t xml:space="preserve"> &lt;[[TCDeals] - [Associated DEV Deal (Seq: 1)] - [Deal Property (Seq: 1)] - [Locations (Seq: 1)] - [Unit Mix (Seq: 33)] Unit Type - Send]&gt;</t>
        </r>
      </text>
    </comment>
    <comment ref="AB229" authorId="0" shapeId="0" xr:uid="{E23DCCF1-31A4-4944-BFB7-75585A43A7B4}">
      <text>
        <r>
          <rPr>
            <b/>
            <sz val="9"/>
            <color indexed="81"/>
            <rFont val="Tahoma"/>
            <family val="2"/>
          </rPr>
          <t xml:space="preserve"> &lt;[[TCDeals] - [Associated DEV Deal (Seq: 1)] - [Deal Property (Seq: 1)] - [Locations (Seq: 1)] - [Unit Mix (Seq: 33)] Residential Apartment Type - Send]&gt;</t>
        </r>
      </text>
    </comment>
    <comment ref="AD229" authorId="0" shapeId="0" xr:uid="{21720458-D5D7-4E4B-936A-C82B63AB9AAF}">
      <text>
        <r>
          <rPr>
            <b/>
            <sz val="9"/>
            <color indexed="81"/>
            <rFont val="Tahoma"/>
            <family val="2"/>
          </rPr>
          <t xml:space="preserve"> &lt;[[TCDeals] - [Associated DEV Deal (Seq: 1)] - [Deal Property (Seq: 1)] - [Locations (Seq: 1)] - [Unit Mix (Seq: 33)] Base Rent - Send]&gt;</t>
        </r>
      </text>
    </comment>
    <comment ref="AF229" authorId="0" shapeId="0" xr:uid="{BF46B26F-B28E-48C3-B2F4-E8AF30408412}">
      <text>
        <r>
          <rPr>
            <b/>
            <sz val="9"/>
            <color indexed="81"/>
            <rFont val="Tahoma"/>
            <family val="2"/>
          </rPr>
          <t xml:space="preserve"> &lt;[[TCDeals] - [Associated DEV Deal (Seq: 1)] - [Deal Property (Seq: 1)] - [Locations (Seq: 1)] - [Unit Mix (Seq: 33)] Square Footage - Send]&gt;</t>
        </r>
      </text>
    </comment>
    <comment ref="AH229" authorId="0" shapeId="0" xr:uid="{8E2673AD-7CD2-4497-AB5C-6D2583E62172}">
      <text>
        <r>
          <rPr>
            <b/>
            <sz val="9"/>
            <color indexed="81"/>
            <rFont val="Tahoma"/>
            <family val="2"/>
          </rPr>
          <t xml:space="preserve"> &lt;[[TCDeals] - [Associated DEV Deal (Seq: 1)] - [Deal Property (Seq: 1)] - [Locations (Seq: 1)] - [Unit Mix (Seq: 33)] Num Units - Send]&gt;</t>
        </r>
      </text>
    </comment>
    <comment ref="AL229" authorId="0" shapeId="0" xr:uid="{6BBD2B6A-B664-4CDC-937D-0BABA53CD83A}">
      <text>
        <r>
          <rPr>
            <b/>
            <sz val="9"/>
            <color indexed="81"/>
            <rFont val="Tahoma"/>
            <family val="2"/>
          </rPr>
          <t xml:space="preserve"> &lt;[[TCDeals] - [Associated DEV Deal (Seq: 1)] - [Deal Property (Seq: 1)] - [Locations (Seq: 1)] - [Unit Mix (Seq: 33)] Unit Mix Ami Percent - Send]&gt;</t>
        </r>
      </text>
    </comment>
    <comment ref="H230" authorId="0" shapeId="0" xr:uid="{B78617D0-36B5-44B9-8AE5-C354505AA676}">
      <text>
        <r>
          <rPr>
            <b/>
            <sz val="9"/>
            <color indexed="81"/>
            <rFont val="Tahoma"/>
            <family val="2"/>
          </rPr>
          <t xml:space="preserve"> &lt;[[TCDeals] - [TC Property Current Stage (Seq: 1)] - [Unit Mix (Seq: 34)] TC Unit Mix Type - Send]&gt;</t>
        </r>
      </text>
    </comment>
    <comment ref="J230" authorId="0" shapeId="0" xr:uid="{08F3AA32-DC8A-462E-8333-D5FC0C90B795}">
      <text>
        <r>
          <rPr>
            <b/>
            <sz val="9"/>
            <color indexed="81"/>
            <rFont val="Tahoma"/>
            <family val="2"/>
          </rPr>
          <t xml:space="preserve"> &lt;[[TCDeals] - [TC Property Current Stage (Seq: 1)] - [Unit Mix (Seq: 34)] Net Rentable Sq Ft - Send]&gt;</t>
        </r>
      </text>
    </comment>
    <comment ref="L230" authorId="0" shapeId="0" xr:uid="{FA5748C6-3EAF-4374-887D-8D74CEC00D56}">
      <text>
        <r>
          <rPr>
            <b/>
            <sz val="9"/>
            <color indexed="81"/>
            <rFont val="Tahoma"/>
            <family val="2"/>
          </rPr>
          <t xml:space="preserve"> &lt;[[TCDeals] - [TC Property Current Stage (Seq: 1)] - [Unit Mix (Seq: 34)] Num Units - Send]&gt;</t>
        </r>
      </text>
    </comment>
    <comment ref="N230" authorId="0" shapeId="0" xr:uid="{22F7B7FE-A972-497D-A657-930B1BC3DC26}">
      <text>
        <r>
          <rPr>
            <b/>
            <sz val="9"/>
            <color indexed="81"/>
            <rFont val="Tahoma"/>
            <family val="2"/>
          </rPr>
          <t xml:space="preserve"> &lt;[[TCDeals] - [TC Property Current Stage (Seq: 1)] - [Unit Mix (Seq: 34)] Monthly Rent Per Unit - Send]&gt;</t>
        </r>
      </text>
    </comment>
    <comment ref="P230" authorId="0" shapeId="0" xr:uid="{43CEC5D2-DF9E-4366-BAB4-0452CC1B9E44}">
      <text>
        <r>
          <rPr>
            <b/>
            <sz val="9"/>
            <color indexed="81"/>
            <rFont val="Tahoma"/>
            <family val="2"/>
          </rPr>
          <t xml:space="preserve"> &lt;[[TCDeals] - [TC Property Current Stage (Seq: 1)] - [Unit Mix (Seq: 34)] Income Target - Send]&gt;</t>
        </r>
      </text>
    </comment>
    <comment ref="Z230" authorId="0" shapeId="0" xr:uid="{98A555BF-F27E-419F-A890-A1D1A6A0D603}">
      <text>
        <r>
          <rPr>
            <b/>
            <sz val="9"/>
            <color indexed="81"/>
            <rFont val="Tahoma"/>
            <family val="2"/>
          </rPr>
          <t xml:space="preserve"> &lt;[[TCDeals] - [Associated DEV Deal (Seq: 1)] - [Deal Property (Seq: 1)] - [Locations (Seq: 1)] - [Unit Mix (Seq: 34)] Unit Type - Send]&gt;</t>
        </r>
      </text>
    </comment>
    <comment ref="AB230" authorId="0" shapeId="0" xr:uid="{C07BA352-D010-40BF-AF80-D90DA6C8CFCA}">
      <text>
        <r>
          <rPr>
            <b/>
            <sz val="9"/>
            <color indexed="81"/>
            <rFont val="Tahoma"/>
            <family val="2"/>
          </rPr>
          <t xml:space="preserve"> &lt;[[TCDeals] - [Associated DEV Deal (Seq: 1)] - [Deal Property (Seq: 1)] - [Locations (Seq: 1)] - [Unit Mix (Seq: 34)] Residential Apartment Type - Send]&gt;</t>
        </r>
      </text>
    </comment>
    <comment ref="AD230" authorId="0" shapeId="0" xr:uid="{A84E66CD-6044-4574-9E87-C2C16F134FC6}">
      <text>
        <r>
          <rPr>
            <b/>
            <sz val="9"/>
            <color indexed="81"/>
            <rFont val="Tahoma"/>
            <family val="2"/>
          </rPr>
          <t xml:space="preserve"> &lt;[[TCDeals] - [Associated DEV Deal (Seq: 1)] - [Deal Property (Seq: 1)] - [Locations (Seq: 1)] - [Unit Mix (Seq: 34)] Base Rent - Send]&gt;</t>
        </r>
      </text>
    </comment>
    <comment ref="AF230" authorId="0" shapeId="0" xr:uid="{E8A994A8-C25F-4BCF-A4CC-07A303A61139}">
      <text>
        <r>
          <rPr>
            <b/>
            <sz val="9"/>
            <color indexed="81"/>
            <rFont val="Tahoma"/>
            <family val="2"/>
          </rPr>
          <t xml:space="preserve"> &lt;[[TCDeals] - [Associated DEV Deal (Seq: 1)] - [Deal Property (Seq: 1)] - [Locations (Seq: 1)] - [Unit Mix (Seq: 34)] Square Footage - Send]&gt;</t>
        </r>
      </text>
    </comment>
    <comment ref="AH230" authorId="0" shapeId="0" xr:uid="{89F8B7AC-4099-4EE7-856E-F43B24F3FCFC}">
      <text>
        <r>
          <rPr>
            <b/>
            <sz val="9"/>
            <color indexed="81"/>
            <rFont val="Tahoma"/>
            <family val="2"/>
          </rPr>
          <t xml:space="preserve"> &lt;[[TCDeals] - [Associated DEV Deal (Seq: 1)] - [Deal Property (Seq: 1)] - [Locations (Seq: 1)] - [Unit Mix (Seq: 34)] Num Units - Send]&gt;</t>
        </r>
      </text>
    </comment>
    <comment ref="AL230" authorId="0" shapeId="0" xr:uid="{A33EDA4D-9A4A-4ADF-A4DC-3AFBBCC3779F}">
      <text>
        <r>
          <rPr>
            <b/>
            <sz val="9"/>
            <color indexed="81"/>
            <rFont val="Tahoma"/>
            <family val="2"/>
          </rPr>
          <t xml:space="preserve"> &lt;[[TCDeals] - [Associated DEV Deal (Seq: 1)] - [Deal Property (Seq: 1)] - [Locations (Seq: 1)] - [Unit Mix (Seq: 34)] Unit Mix Ami Percent - Send]&gt;</t>
        </r>
      </text>
    </comment>
    <comment ref="H231" authorId="0" shapeId="0" xr:uid="{34719148-553E-46B1-AE87-1B562372A5E5}">
      <text>
        <r>
          <rPr>
            <b/>
            <sz val="9"/>
            <color indexed="81"/>
            <rFont val="Tahoma"/>
            <family val="2"/>
          </rPr>
          <t xml:space="preserve"> &lt;[[TCDeals] - [TC Property Current Stage (Seq: 1)] - [Unit Mix (Seq: 35)] TC Unit Mix Type - Send]&gt;</t>
        </r>
      </text>
    </comment>
    <comment ref="J231" authorId="0" shapeId="0" xr:uid="{9EF18BCE-2574-4F27-9453-347CB2B5DDF9}">
      <text>
        <r>
          <rPr>
            <b/>
            <sz val="9"/>
            <color indexed="81"/>
            <rFont val="Tahoma"/>
            <family val="2"/>
          </rPr>
          <t xml:space="preserve"> &lt;[[TCDeals] - [TC Property Current Stage (Seq: 1)] - [Unit Mix (Seq: 35)] Net Rentable Sq Ft - Send]&gt;</t>
        </r>
      </text>
    </comment>
    <comment ref="L231" authorId="0" shapeId="0" xr:uid="{860956B2-3470-4895-8515-EF6E1A12DF0D}">
      <text>
        <r>
          <rPr>
            <b/>
            <sz val="9"/>
            <color indexed="81"/>
            <rFont val="Tahoma"/>
            <family val="2"/>
          </rPr>
          <t xml:space="preserve"> &lt;[[TCDeals] - [TC Property Current Stage (Seq: 1)] - [Unit Mix (Seq: 35)] Num Units - Send]&gt;</t>
        </r>
      </text>
    </comment>
    <comment ref="N231" authorId="0" shapeId="0" xr:uid="{B28023F8-B31B-45A6-A7BB-1637D540A797}">
      <text>
        <r>
          <rPr>
            <b/>
            <sz val="9"/>
            <color indexed="81"/>
            <rFont val="Tahoma"/>
            <family val="2"/>
          </rPr>
          <t xml:space="preserve"> &lt;[[TCDeals] - [TC Property Current Stage (Seq: 1)] - [Unit Mix (Seq: 35)] Monthly Rent Per Unit - Send]&gt;</t>
        </r>
      </text>
    </comment>
    <comment ref="P231" authorId="0" shapeId="0" xr:uid="{52F5B488-9F47-4EE9-AFF5-1DEA1C814496}">
      <text>
        <r>
          <rPr>
            <b/>
            <sz val="9"/>
            <color indexed="81"/>
            <rFont val="Tahoma"/>
            <family val="2"/>
          </rPr>
          <t xml:space="preserve"> &lt;[[TCDeals] - [TC Property Current Stage (Seq: 1)] - [Unit Mix (Seq: 35)] Income Target - Send]&gt;</t>
        </r>
      </text>
    </comment>
    <comment ref="Z231" authorId="0" shapeId="0" xr:uid="{86081C2F-5468-4566-829F-9FCB601F9A86}">
      <text>
        <r>
          <rPr>
            <b/>
            <sz val="9"/>
            <color indexed="81"/>
            <rFont val="Tahoma"/>
            <family val="2"/>
          </rPr>
          <t xml:space="preserve"> &lt;[[TCDeals] - [Associated DEV Deal (Seq: 1)] - [Deal Property (Seq: 1)] - [Locations (Seq: 1)] - [Unit Mix (Seq: 35)] Unit Type - Send]&gt;</t>
        </r>
      </text>
    </comment>
    <comment ref="AB231" authorId="0" shapeId="0" xr:uid="{8E766620-4DA7-47EF-8748-CD8F4C510B1E}">
      <text>
        <r>
          <rPr>
            <b/>
            <sz val="9"/>
            <color indexed="81"/>
            <rFont val="Tahoma"/>
            <family val="2"/>
          </rPr>
          <t xml:space="preserve"> &lt;[[TCDeals] - [Associated DEV Deal (Seq: 1)] - [Deal Property (Seq: 1)] - [Locations (Seq: 1)] - [Unit Mix (Seq: 35)] Residential Apartment Type - Send]&gt;</t>
        </r>
      </text>
    </comment>
    <comment ref="AD231" authorId="0" shapeId="0" xr:uid="{2DC2C055-2B66-432F-A0C8-44D9D09B2C62}">
      <text>
        <r>
          <rPr>
            <b/>
            <sz val="9"/>
            <color indexed="81"/>
            <rFont val="Tahoma"/>
            <family val="2"/>
          </rPr>
          <t xml:space="preserve"> &lt;[[TCDeals] - [Associated DEV Deal (Seq: 1)] - [Deal Property (Seq: 1)] - [Locations (Seq: 1)] - [Unit Mix (Seq: 35)] Base Rent - Send]&gt;</t>
        </r>
      </text>
    </comment>
    <comment ref="AF231" authorId="0" shapeId="0" xr:uid="{EDFF8BE6-BD71-4E41-AC10-8F08337091A9}">
      <text>
        <r>
          <rPr>
            <b/>
            <sz val="9"/>
            <color indexed="81"/>
            <rFont val="Tahoma"/>
            <family val="2"/>
          </rPr>
          <t xml:space="preserve"> &lt;[[TCDeals] - [Associated DEV Deal (Seq: 1)] - [Deal Property (Seq: 1)] - [Locations (Seq: 1)] - [Unit Mix (Seq: 35)] Square Footage - Send]&gt;</t>
        </r>
      </text>
    </comment>
    <comment ref="AH231" authorId="0" shapeId="0" xr:uid="{A08AF776-FEB4-424E-B5FC-E1F82EBC0891}">
      <text>
        <r>
          <rPr>
            <b/>
            <sz val="9"/>
            <color indexed="81"/>
            <rFont val="Tahoma"/>
            <family val="2"/>
          </rPr>
          <t xml:space="preserve"> &lt;[[TCDeals] - [Associated DEV Deal (Seq: 1)] - [Deal Property (Seq: 1)] - [Locations (Seq: 1)] - [Unit Mix (Seq: 35)] Num Units - Send]&gt;</t>
        </r>
      </text>
    </comment>
    <comment ref="AL231" authorId="0" shapeId="0" xr:uid="{CA5CF179-BD78-4265-B178-8278B8BB1728}">
      <text>
        <r>
          <rPr>
            <b/>
            <sz val="9"/>
            <color indexed="81"/>
            <rFont val="Tahoma"/>
            <family val="2"/>
          </rPr>
          <t xml:space="preserve"> &lt;[[TCDeals] - [Associated DEV Deal (Seq: 1)] - [Deal Property (Seq: 1)] - [Locations (Seq: 1)] - [Unit Mix (Seq: 35)] Unit Mix Ami Percent - Send]&gt;</t>
        </r>
      </text>
    </comment>
    <comment ref="H232" authorId="0" shapeId="0" xr:uid="{3C91AA08-3567-4084-8DB8-CB94C3EE64AB}">
      <text>
        <r>
          <rPr>
            <b/>
            <sz val="9"/>
            <color indexed="81"/>
            <rFont val="Tahoma"/>
            <family val="2"/>
          </rPr>
          <t xml:space="preserve"> &lt;[[TCDeals] - [TC Property Current Stage (Seq: 1)] - [Unit Mix (Seq: 36)] TC Unit Mix Type - Send]&gt;</t>
        </r>
      </text>
    </comment>
    <comment ref="J232" authorId="0" shapeId="0" xr:uid="{01CBB66D-639A-428B-8C42-36167ACE3485}">
      <text>
        <r>
          <rPr>
            <b/>
            <sz val="9"/>
            <color indexed="81"/>
            <rFont val="Tahoma"/>
            <family val="2"/>
          </rPr>
          <t xml:space="preserve"> &lt;[[TCDeals] - [TC Property Current Stage (Seq: 1)] - [Unit Mix (Seq: 36)] Net Rentable Sq Ft - Send]&gt;</t>
        </r>
      </text>
    </comment>
    <comment ref="L232" authorId="0" shapeId="0" xr:uid="{96A3C139-5D4F-4698-A3DA-ECC6DE69C60C}">
      <text>
        <r>
          <rPr>
            <b/>
            <sz val="9"/>
            <color indexed="81"/>
            <rFont val="Tahoma"/>
            <family val="2"/>
          </rPr>
          <t xml:space="preserve"> &lt;[[TCDeals] - [TC Property Current Stage (Seq: 1)] - [Unit Mix (Seq: 36)] Num Units - Send]&gt;</t>
        </r>
      </text>
    </comment>
    <comment ref="N232" authorId="0" shapeId="0" xr:uid="{ABCBD7CB-F248-48E0-967A-2D86CE66D0ED}">
      <text>
        <r>
          <rPr>
            <b/>
            <sz val="9"/>
            <color indexed="81"/>
            <rFont val="Tahoma"/>
            <family val="2"/>
          </rPr>
          <t xml:space="preserve"> &lt;[[TCDeals] - [TC Property Current Stage (Seq: 1)] - [Unit Mix (Seq: 36)] Monthly Rent Per Unit - Send]&gt;</t>
        </r>
      </text>
    </comment>
    <comment ref="P232" authorId="0" shapeId="0" xr:uid="{4B784208-DADA-49CA-A443-F04A6DFB7A5D}">
      <text>
        <r>
          <rPr>
            <b/>
            <sz val="9"/>
            <color indexed="81"/>
            <rFont val="Tahoma"/>
            <family val="2"/>
          </rPr>
          <t xml:space="preserve"> &lt;[[TCDeals] - [TC Property Current Stage (Seq: 1)] - [Unit Mix (Seq: 36)] Income Target - Send]&gt;</t>
        </r>
      </text>
    </comment>
    <comment ref="Z232" authorId="0" shapeId="0" xr:uid="{942F0293-83D0-42E3-A547-006604932B9F}">
      <text>
        <r>
          <rPr>
            <b/>
            <sz val="9"/>
            <color indexed="81"/>
            <rFont val="Tahoma"/>
            <family val="2"/>
          </rPr>
          <t xml:space="preserve"> &lt;[[TCDeals] - [Associated DEV Deal (Seq: 1)] - [Deal Property (Seq: 1)] - [Locations (Seq: 1)] - [Unit Mix (Seq: 36)] Unit Type - Send]&gt;</t>
        </r>
      </text>
    </comment>
    <comment ref="AB232" authorId="0" shapeId="0" xr:uid="{27477981-5A56-4796-8F59-943E67598DCC}">
      <text>
        <r>
          <rPr>
            <b/>
            <sz val="9"/>
            <color indexed="81"/>
            <rFont val="Tahoma"/>
            <family val="2"/>
          </rPr>
          <t xml:space="preserve"> &lt;[[TCDeals] - [Associated DEV Deal (Seq: 1)] - [Deal Property (Seq: 1)] - [Locations (Seq: 1)] - [Unit Mix (Seq: 36)] Residential Apartment Type - Send]&gt;</t>
        </r>
      </text>
    </comment>
    <comment ref="AD232" authorId="0" shapeId="0" xr:uid="{F7D71181-9B4F-4E41-9AFD-580BF80F4AA4}">
      <text>
        <r>
          <rPr>
            <b/>
            <sz val="9"/>
            <color indexed="81"/>
            <rFont val="Tahoma"/>
            <family val="2"/>
          </rPr>
          <t xml:space="preserve"> &lt;[[TCDeals] - [Associated DEV Deal (Seq: 1)] - [Deal Property (Seq: 1)] - [Locations (Seq: 1)] - [Unit Mix (Seq: 36)] Base Rent - Send]&gt;</t>
        </r>
      </text>
    </comment>
    <comment ref="AF232" authorId="0" shapeId="0" xr:uid="{A22BD4E0-BA79-44FD-BCE6-CFDDE6E2F555}">
      <text>
        <r>
          <rPr>
            <b/>
            <sz val="9"/>
            <color indexed="81"/>
            <rFont val="Tahoma"/>
            <family val="2"/>
          </rPr>
          <t xml:space="preserve"> &lt;[[TCDeals] - [Associated DEV Deal (Seq: 1)] - [Deal Property (Seq: 1)] - [Locations (Seq: 1)] - [Unit Mix (Seq: 36)] Square Footage - Send]&gt;</t>
        </r>
      </text>
    </comment>
    <comment ref="AH232" authorId="0" shapeId="0" xr:uid="{E0F700C5-1991-4D3D-BAFE-09C0CAFE8082}">
      <text>
        <r>
          <rPr>
            <b/>
            <sz val="9"/>
            <color indexed="81"/>
            <rFont val="Tahoma"/>
            <family val="2"/>
          </rPr>
          <t xml:space="preserve"> &lt;[[TCDeals] - [Associated DEV Deal (Seq: 1)] - [Deal Property (Seq: 1)] - [Locations (Seq: 1)] - [Unit Mix (Seq: 36)] Num Units - Send]&gt;</t>
        </r>
      </text>
    </comment>
    <comment ref="AL232" authorId="0" shapeId="0" xr:uid="{9848E908-E3DC-44EC-867E-71E15F5C34A5}">
      <text>
        <r>
          <rPr>
            <b/>
            <sz val="9"/>
            <color indexed="81"/>
            <rFont val="Tahoma"/>
            <family val="2"/>
          </rPr>
          <t xml:space="preserve"> &lt;[[TCDeals] - [Associated DEV Deal (Seq: 1)] - [Deal Property (Seq: 1)] - [Locations (Seq: 1)] - [Unit Mix (Seq: 36)] Unit Mix Ami Percent - Send]&gt;</t>
        </r>
      </text>
    </comment>
    <comment ref="H233" authorId="0" shapeId="0" xr:uid="{E246F25A-6C27-4D80-9E94-7D70F9D73F97}">
      <text>
        <r>
          <rPr>
            <b/>
            <sz val="9"/>
            <color indexed="81"/>
            <rFont val="Tahoma"/>
            <family val="2"/>
          </rPr>
          <t xml:space="preserve"> &lt;[[TCDeals] - [TC Property Current Stage (Seq: 1)] - [Unit Mix (Seq: 37)] TC Unit Mix Type - Send]&gt;</t>
        </r>
      </text>
    </comment>
    <comment ref="J233" authorId="0" shapeId="0" xr:uid="{17A22404-D2BA-4D88-9860-5C67208207F2}">
      <text>
        <r>
          <rPr>
            <b/>
            <sz val="9"/>
            <color indexed="81"/>
            <rFont val="Tahoma"/>
            <family val="2"/>
          </rPr>
          <t xml:space="preserve"> &lt;[[TCDeals] - [TC Property Current Stage (Seq: 1)] - [Unit Mix (Seq: 37)] Net Rentable Sq Ft - Send]&gt;</t>
        </r>
      </text>
    </comment>
    <comment ref="L233" authorId="0" shapeId="0" xr:uid="{68B435F9-E156-4179-91A5-BB7BC9A8D6CC}">
      <text>
        <r>
          <rPr>
            <b/>
            <sz val="9"/>
            <color indexed="81"/>
            <rFont val="Tahoma"/>
            <family val="2"/>
          </rPr>
          <t xml:space="preserve"> &lt;[[TCDeals] - [TC Property Current Stage (Seq: 1)] - [Unit Mix (Seq: 37)] Num Units - Send]&gt;</t>
        </r>
      </text>
    </comment>
    <comment ref="N233" authorId="0" shapeId="0" xr:uid="{58BC5128-68AB-41F6-9A1D-7CD51570852C}">
      <text>
        <r>
          <rPr>
            <b/>
            <sz val="9"/>
            <color indexed="81"/>
            <rFont val="Tahoma"/>
            <family val="2"/>
          </rPr>
          <t xml:space="preserve"> &lt;[[TCDeals] - [TC Property Current Stage (Seq: 1)] - [Unit Mix (Seq: 37)] Monthly Rent Per Unit - Send]&gt;</t>
        </r>
      </text>
    </comment>
    <comment ref="P233" authorId="0" shapeId="0" xr:uid="{0C3F73CB-3750-48F1-B9D4-37EDA5D2A5BD}">
      <text>
        <r>
          <rPr>
            <b/>
            <sz val="9"/>
            <color indexed="81"/>
            <rFont val="Tahoma"/>
            <family val="2"/>
          </rPr>
          <t xml:space="preserve"> &lt;[[TCDeals] - [TC Property Current Stage (Seq: 1)] - [Unit Mix (Seq: 37)] Income Target - Send]&gt;</t>
        </r>
      </text>
    </comment>
    <comment ref="Z233" authorId="0" shapeId="0" xr:uid="{4B9151BE-9BC3-496B-8C3F-FA3A385F7EF4}">
      <text>
        <r>
          <rPr>
            <b/>
            <sz val="9"/>
            <color indexed="81"/>
            <rFont val="Tahoma"/>
            <family val="2"/>
          </rPr>
          <t xml:space="preserve"> &lt;[[TCDeals] - [Associated DEV Deal (Seq: 1)] - [Deal Property (Seq: 1)] - [Locations (Seq: 1)] - [Unit Mix (Seq: 37)] Unit Type - Send]&gt;</t>
        </r>
      </text>
    </comment>
    <comment ref="AB233" authorId="0" shapeId="0" xr:uid="{31246917-7D26-4D95-B30C-16F40E5DB418}">
      <text>
        <r>
          <rPr>
            <b/>
            <sz val="9"/>
            <color indexed="81"/>
            <rFont val="Tahoma"/>
            <family val="2"/>
          </rPr>
          <t xml:space="preserve"> &lt;[[TCDeals] - [Associated DEV Deal (Seq: 1)] - [Deal Property (Seq: 1)] - [Locations (Seq: 1)] - [Unit Mix (Seq: 37)] Residential Apartment Type - Send]&gt;</t>
        </r>
      </text>
    </comment>
    <comment ref="AD233" authorId="0" shapeId="0" xr:uid="{E009B359-A949-4729-8863-6D5F704792C9}">
      <text>
        <r>
          <rPr>
            <b/>
            <sz val="9"/>
            <color indexed="81"/>
            <rFont val="Tahoma"/>
            <family val="2"/>
          </rPr>
          <t xml:space="preserve"> &lt;[[TCDeals] - [Associated DEV Deal (Seq: 1)] - [Deal Property (Seq: 1)] - [Locations (Seq: 1)] - [Unit Mix (Seq: 37)] Base Rent - Send]&gt;</t>
        </r>
      </text>
    </comment>
    <comment ref="AF233" authorId="0" shapeId="0" xr:uid="{AA588366-293D-4944-AC07-00FE68D7EB30}">
      <text>
        <r>
          <rPr>
            <b/>
            <sz val="9"/>
            <color indexed="81"/>
            <rFont val="Tahoma"/>
            <family val="2"/>
          </rPr>
          <t xml:space="preserve"> &lt;[[TCDeals] - [Associated DEV Deal (Seq: 1)] - [Deal Property (Seq: 1)] - [Locations (Seq: 1)] - [Unit Mix (Seq: 37)] Square Footage - Send]&gt;</t>
        </r>
      </text>
    </comment>
    <comment ref="AH233" authorId="0" shapeId="0" xr:uid="{B7053ADA-B6CE-40E3-A13E-6381AB42E90F}">
      <text>
        <r>
          <rPr>
            <b/>
            <sz val="9"/>
            <color indexed="81"/>
            <rFont val="Tahoma"/>
            <family val="2"/>
          </rPr>
          <t xml:space="preserve"> &lt;[[TCDeals] - [Associated DEV Deal (Seq: 1)] - [Deal Property (Seq: 1)] - [Locations (Seq: 1)] - [Unit Mix (Seq: 37)] Num Units - Send]&gt;</t>
        </r>
      </text>
    </comment>
    <comment ref="AL233" authorId="0" shapeId="0" xr:uid="{DF43F43D-8123-4E0B-823B-D4DC0B41CDBB}">
      <text>
        <r>
          <rPr>
            <b/>
            <sz val="9"/>
            <color indexed="81"/>
            <rFont val="Tahoma"/>
            <family val="2"/>
          </rPr>
          <t xml:space="preserve"> &lt;[[TCDeals] - [Associated DEV Deal (Seq: 1)] - [Deal Property (Seq: 1)] - [Locations (Seq: 1)] - [Unit Mix (Seq: 37)] Unit Mix Ami Percent - Send]&gt;</t>
        </r>
      </text>
    </comment>
    <comment ref="H234" authorId="0" shapeId="0" xr:uid="{8C5E4547-793C-43BB-8D59-853D28D3081B}">
      <text>
        <r>
          <rPr>
            <b/>
            <sz val="9"/>
            <color indexed="81"/>
            <rFont val="Tahoma"/>
            <family val="2"/>
          </rPr>
          <t xml:space="preserve"> &lt;[[TCDeals] - [TC Property Current Stage (Seq: 1)] - [Unit Mix (Seq: 38)] TC Unit Mix Type - Send]&gt;</t>
        </r>
      </text>
    </comment>
    <comment ref="J234" authorId="0" shapeId="0" xr:uid="{6CB1D464-B94E-4EB2-9A73-210B3D317183}">
      <text>
        <r>
          <rPr>
            <b/>
            <sz val="9"/>
            <color indexed="81"/>
            <rFont val="Tahoma"/>
            <family val="2"/>
          </rPr>
          <t xml:space="preserve"> &lt;[[TCDeals] - [TC Property Current Stage (Seq: 1)] - [Unit Mix (Seq: 38)] Net Rentable Sq Ft - Send]&gt;</t>
        </r>
      </text>
    </comment>
    <comment ref="L234" authorId="0" shapeId="0" xr:uid="{E9DC1643-03D1-4296-BEE5-B90A09264FB0}">
      <text>
        <r>
          <rPr>
            <b/>
            <sz val="9"/>
            <color indexed="81"/>
            <rFont val="Tahoma"/>
            <family val="2"/>
          </rPr>
          <t xml:space="preserve"> &lt;[[TCDeals] - [TC Property Current Stage (Seq: 1)] - [Unit Mix (Seq: 38)] Num Units - Send]&gt;</t>
        </r>
      </text>
    </comment>
    <comment ref="N234" authorId="0" shapeId="0" xr:uid="{BFFE54E3-6398-4153-9170-C5FE30D54B3C}">
      <text>
        <r>
          <rPr>
            <b/>
            <sz val="9"/>
            <color indexed="81"/>
            <rFont val="Tahoma"/>
            <family val="2"/>
          </rPr>
          <t xml:space="preserve"> &lt;[[TCDeals] - [TC Property Current Stage (Seq: 1)] - [Unit Mix (Seq: 38)] Monthly Rent Per Unit - Send]&gt;</t>
        </r>
      </text>
    </comment>
    <comment ref="P234" authorId="0" shapeId="0" xr:uid="{764654AF-6A0D-435C-94AB-1FF608E401D2}">
      <text>
        <r>
          <rPr>
            <b/>
            <sz val="9"/>
            <color indexed="81"/>
            <rFont val="Tahoma"/>
            <family val="2"/>
          </rPr>
          <t xml:space="preserve"> &lt;[[TCDeals] - [TC Property Current Stage (Seq: 1)] - [Unit Mix (Seq: 38)] Income Target - Send]&gt;</t>
        </r>
      </text>
    </comment>
    <comment ref="Z234" authorId="0" shapeId="0" xr:uid="{31CD5414-180C-4DB3-8675-EE54A9E1A2B9}">
      <text>
        <r>
          <rPr>
            <b/>
            <sz val="9"/>
            <color indexed="81"/>
            <rFont val="Tahoma"/>
            <family val="2"/>
          </rPr>
          <t xml:space="preserve"> &lt;[[TCDeals] - [Associated DEV Deal (Seq: 1)] - [Deal Property (Seq: 1)] - [Locations (Seq: 1)] - [Unit Mix (Seq: 38)] Unit Type - Send]&gt;</t>
        </r>
      </text>
    </comment>
    <comment ref="AB234" authorId="0" shapeId="0" xr:uid="{052C9E2F-0B55-4C4F-A836-4A4642729059}">
      <text>
        <r>
          <rPr>
            <b/>
            <sz val="9"/>
            <color indexed="81"/>
            <rFont val="Tahoma"/>
            <family val="2"/>
          </rPr>
          <t xml:space="preserve"> &lt;[[TCDeals] - [Associated DEV Deal (Seq: 1)] - [Deal Property (Seq: 1)] - [Locations (Seq: 1)] - [Unit Mix (Seq: 38)] Residential Apartment Type - Send]&gt;</t>
        </r>
      </text>
    </comment>
    <comment ref="AD234" authorId="0" shapeId="0" xr:uid="{470B56D1-7934-49DB-8216-DD3EB7EADA0B}">
      <text>
        <r>
          <rPr>
            <b/>
            <sz val="9"/>
            <color indexed="81"/>
            <rFont val="Tahoma"/>
            <family val="2"/>
          </rPr>
          <t xml:space="preserve"> &lt;[[TCDeals] - [Associated DEV Deal (Seq: 1)] - [Deal Property (Seq: 1)] - [Locations (Seq: 1)] - [Unit Mix (Seq: 38)] Base Rent - Send]&gt;</t>
        </r>
      </text>
    </comment>
    <comment ref="AF234" authorId="0" shapeId="0" xr:uid="{3409A648-F05A-4ED4-BD96-19ED540A5092}">
      <text>
        <r>
          <rPr>
            <b/>
            <sz val="9"/>
            <color indexed="81"/>
            <rFont val="Tahoma"/>
            <family val="2"/>
          </rPr>
          <t xml:space="preserve"> &lt;[[TCDeals] - [Associated DEV Deal (Seq: 1)] - [Deal Property (Seq: 1)] - [Locations (Seq: 1)] - [Unit Mix (Seq: 38)] Square Footage - Send]&gt;</t>
        </r>
      </text>
    </comment>
    <comment ref="AH234" authorId="0" shapeId="0" xr:uid="{6CEDB65E-A16B-46B6-9D6B-6E016F971362}">
      <text>
        <r>
          <rPr>
            <b/>
            <sz val="9"/>
            <color indexed="81"/>
            <rFont val="Tahoma"/>
            <family val="2"/>
          </rPr>
          <t xml:space="preserve"> &lt;[[TCDeals] - [Associated DEV Deal (Seq: 1)] - [Deal Property (Seq: 1)] - [Locations (Seq: 1)] - [Unit Mix (Seq: 38)] Num Units - Send]&gt;</t>
        </r>
      </text>
    </comment>
    <comment ref="AL234" authorId="0" shapeId="0" xr:uid="{4F519E1F-7277-40B6-950E-2E6563EDEEBF}">
      <text>
        <r>
          <rPr>
            <b/>
            <sz val="9"/>
            <color indexed="81"/>
            <rFont val="Tahoma"/>
            <family val="2"/>
          </rPr>
          <t xml:space="preserve"> &lt;[[TCDeals] - [Associated DEV Deal (Seq: 1)] - [Deal Property (Seq: 1)] - [Locations (Seq: 1)] - [Unit Mix (Seq: 38)] Unit Mix Ami Percent - Send]&gt;</t>
        </r>
      </text>
    </comment>
    <comment ref="H235" authorId="0" shapeId="0" xr:uid="{71073F54-9C85-4ACB-AFF3-6BBF5BB35218}">
      <text>
        <r>
          <rPr>
            <b/>
            <sz val="9"/>
            <color indexed="81"/>
            <rFont val="Tahoma"/>
            <family val="2"/>
          </rPr>
          <t xml:space="preserve"> &lt;[[TCDeals] - [TC Property Current Stage (Seq: 1)] - [Unit Mix (Seq: 39)] TC Unit Mix Type - Send]&gt;</t>
        </r>
      </text>
    </comment>
    <comment ref="J235" authorId="0" shapeId="0" xr:uid="{B37AEA0F-26B3-401F-9900-AB4341C50700}">
      <text>
        <r>
          <rPr>
            <b/>
            <sz val="9"/>
            <color indexed="81"/>
            <rFont val="Tahoma"/>
            <family val="2"/>
          </rPr>
          <t xml:space="preserve"> &lt;[[TCDeals] - [TC Property Current Stage (Seq: 1)] - [Unit Mix (Seq: 39)] Net Rentable Sq Ft - Send]&gt;</t>
        </r>
      </text>
    </comment>
    <comment ref="L235" authorId="0" shapeId="0" xr:uid="{0ADFF0AF-6C03-4772-A2EB-6D53B3A0979F}">
      <text>
        <r>
          <rPr>
            <b/>
            <sz val="9"/>
            <color indexed="81"/>
            <rFont val="Tahoma"/>
            <family val="2"/>
          </rPr>
          <t xml:space="preserve"> &lt;[[TCDeals] - [TC Property Current Stage (Seq: 1)] - [Unit Mix (Seq: 39)] Num Units - Send]&gt;</t>
        </r>
      </text>
    </comment>
    <comment ref="N235" authorId="0" shapeId="0" xr:uid="{CFD19712-DA2C-4D91-B6BF-93E51849D1B2}">
      <text>
        <r>
          <rPr>
            <b/>
            <sz val="9"/>
            <color indexed="81"/>
            <rFont val="Tahoma"/>
            <family val="2"/>
          </rPr>
          <t xml:space="preserve"> &lt;[[TCDeals] - [TC Property Current Stage (Seq: 1)] - [Unit Mix (Seq: 39)] Monthly Rent Per Unit - Send]&gt;</t>
        </r>
      </text>
    </comment>
    <comment ref="P235" authorId="0" shapeId="0" xr:uid="{71153373-42A7-4B18-AB7A-EA43A2C7183B}">
      <text>
        <r>
          <rPr>
            <b/>
            <sz val="9"/>
            <color indexed="81"/>
            <rFont val="Tahoma"/>
            <family val="2"/>
          </rPr>
          <t xml:space="preserve"> &lt;[[TCDeals] - [TC Property Current Stage (Seq: 1)] - [Unit Mix (Seq: 39)] Income Target - Send]&gt;</t>
        </r>
      </text>
    </comment>
    <comment ref="Z235" authorId="0" shapeId="0" xr:uid="{C578049B-F686-4187-86D0-93278ABD754C}">
      <text>
        <r>
          <rPr>
            <b/>
            <sz val="9"/>
            <color indexed="81"/>
            <rFont val="Tahoma"/>
            <family val="2"/>
          </rPr>
          <t xml:space="preserve"> &lt;[[TCDeals] - [Associated DEV Deal (Seq: 1)] - [Deal Property (Seq: 1)] - [Locations (Seq: 1)] - [Unit Mix (Seq: 39)] Unit Type - Send]&gt;</t>
        </r>
      </text>
    </comment>
    <comment ref="AB235" authorId="0" shapeId="0" xr:uid="{9623BF75-6E2E-40D6-A590-20BF00C29EC1}">
      <text>
        <r>
          <rPr>
            <b/>
            <sz val="9"/>
            <color indexed="81"/>
            <rFont val="Tahoma"/>
            <family val="2"/>
          </rPr>
          <t xml:space="preserve"> &lt;[[TCDeals] - [Associated DEV Deal (Seq: 1)] - [Deal Property (Seq: 1)] - [Locations (Seq: 1)] - [Unit Mix (Seq: 39)] Residential Apartment Type - Send]&gt;</t>
        </r>
      </text>
    </comment>
    <comment ref="AD235" authorId="0" shapeId="0" xr:uid="{F64A31E8-114D-4677-ABB7-057FADB6EA35}">
      <text>
        <r>
          <rPr>
            <b/>
            <sz val="9"/>
            <color indexed="81"/>
            <rFont val="Tahoma"/>
            <family val="2"/>
          </rPr>
          <t xml:space="preserve"> &lt;[[TCDeals] - [Associated DEV Deal (Seq: 1)] - [Deal Property (Seq: 1)] - [Locations (Seq: 1)] - [Unit Mix (Seq: 39)] Base Rent - Send]&gt;</t>
        </r>
      </text>
    </comment>
    <comment ref="AF235" authorId="0" shapeId="0" xr:uid="{C951BBC6-38FB-411A-9165-D6C837E8EE97}">
      <text>
        <r>
          <rPr>
            <b/>
            <sz val="9"/>
            <color indexed="81"/>
            <rFont val="Tahoma"/>
            <family val="2"/>
          </rPr>
          <t xml:space="preserve"> &lt;[[TCDeals] - [Associated DEV Deal (Seq: 1)] - [Deal Property (Seq: 1)] - [Locations (Seq: 1)] - [Unit Mix (Seq: 39)] Square Footage - Send]&gt;</t>
        </r>
      </text>
    </comment>
    <comment ref="AH235" authorId="0" shapeId="0" xr:uid="{E9F13C5B-5C0B-4DF9-91AE-1C80AC0D5465}">
      <text>
        <r>
          <rPr>
            <b/>
            <sz val="9"/>
            <color indexed="81"/>
            <rFont val="Tahoma"/>
            <family val="2"/>
          </rPr>
          <t xml:space="preserve"> &lt;[[TCDeals] - [Associated DEV Deal (Seq: 1)] - [Deal Property (Seq: 1)] - [Locations (Seq: 1)] - [Unit Mix (Seq: 39)] Num Units - Send]&gt;</t>
        </r>
      </text>
    </comment>
    <comment ref="AL235" authorId="0" shapeId="0" xr:uid="{C295113F-F9AA-410D-966A-7957AA6F5538}">
      <text>
        <r>
          <rPr>
            <b/>
            <sz val="9"/>
            <color indexed="81"/>
            <rFont val="Tahoma"/>
            <family val="2"/>
          </rPr>
          <t xml:space="preserve"> &lt;[[TCDeals] - [Associated DEV Deal (Seq: 1)] - [Deal Property (Seq: 1)] - [Locations (Seq: 1)] - [Unit Mix (Seq: 39)] Unit Mix Ami Percent - Send]&gt;</t>
        </r>
      </text>
    </comment>
    <comment ref="H236" authorId="0" shapeId="0" xr:uid="{FAC64078-74C3-454D-B89D-51349AD88788}">
      <text>
        <r>
          <rPr>
            <b/>
            <sz val="9"/>
            <color indexed="81"/>
            <rFont val="Tahoma"/>
            <family val="2"/>
          </rPr>
          <t xml:space="preserve"> &lt;[[TCDeals] - [TC Property Current Stage (Seq: 1)] - [Unit Mix (Seq: 40)] TC Unit Mix Type - Send]&gt;</t>
        </r>
      </text>
    </comment>
    <comment ref="J236" authorId="0" shapeId="0" xr:uid="{284071E4-AA0A-4D16-A7B3-178AB33A577E}">
      <text>
        <r>
          <rPr>
            <b/>
            <sz val="9"/>
            <color indexed="81"/>
            <rFont val="Tahoma"/>
            <family val="2"/>
          </rPr>
          <t xml:space="preserve"> &lt;[[TCDeals] - [TC Property Current Stage (Seq: 1)] - [Unit Mix (Seq: 40)] Net Rentable Sq Ft - Send]&gt;</t>
        </r>
      </text>
    </comment>
    <comment ref="L236" authorId="0" shapeId="0" xr:uid="{4DA52C13-779E-4393-BE6C-BB8503622BA1}">
      <text>
        <r>
          <rPr>
            <b/>
            <sz val="9"/>
            <color indexed="81"/>
            <rFont val="Tahoma"/>
            <family val="2"/>
          </rPr>
          <t xml:space="preserve"> &lt;[[TCDeals] - [TC Property Current Stage (Seq: 1)] - [Unit Mix (Seq: 40)] Num Units - Send]&gt;</t>
        </r>
      </text>
    </comment>
    <comment ref="N236" authorId="0" shapeId="0" xr:uid="{7BD00761-9680-4A0E-987C-209B69DC9D9C}">
      <text>
        <r>
          <rPr>
            <b/>
            <sz val="9"/>
            <color indexed="81"/>
            <rFont val="Tahoma"/>
            <family val="2"/>
          </rPr>
          <t xml:space="preserve"> &lt;[[TCDeals] - [TC Property Current Stage (Seq: 1)] - [Unit Mix (Seq: 40)] Monthly Rent Per Unit - Send]&gt;</t>
        </r>
      </text>
    </comment>
    <comment ref="P236" authorId="0" shapeId="0" xr:uid="{965A0B36-496B-4042-8016-D2170E49FF6B}">
      <text>
        <r>
          <rPr>
            <b/>
            <sz val="9"/>
            <color indexed="81"/>
            <rFont val="Tahoma"/>
            <family val="2"/>
          </rPr>
          <t xml:space="preserve"> &lt;[[TCDeals] - [TC Property Current Stage (Seq: 1)] - [Unit Mix (Seq: 40)] Income Target - Send]&gt;</t>
        </r>
      </text>
    </comment>
    <comment ref="Z236" authorId="0" shapeId="0" xr:uid="{46B79901-96A8-4C10-ABD0-655CBFD8FBF3}">
      <text>
        <r>
          <rPr>
            <b/>
            <sz val="9"/>
            <color indexed="81"/>
            <rFont val="Tahoma"/>
            <family val="2"/>
          </rPr>
          <t xml:space="preserve"> &lt;[[TCDeals] - [Associated DEV Deal (Seq: 1)] - [Deal Property (Seq: 1)] - [Locations (Seq: 1)] - [Unit Mix (Seq: 40)] Unit Type - Send]&gt;</t>
        </r>
      </text>
    </comment>
    <comment ref="AB236" authorId="0" shapeId="0" xr:uid="{E60F07D5-07B5-4DD8-AB7D-AEA408ADFAEF}">
      <text>
        <r>
          <rPr>
            <b/>
            <sz val="9"/>
            <color indexed="81"/>
            <rFont val="Tahoma"/>
            <family val="2"/>
          </rPr>
          <t xml:space="preserve"> &lt;[[TCDeals] - [Associated DEV Deal (Seq: 1)] - [Deal Property (Seq: 1)] - [Locations (Seq: 1)] - [Unit Mix (Seq: 40)] Residential Apartment Type - Send]&gt;</t>
        </r>
      </text>
    </comment>
    <comment ref="AD236" authorId="0" shapeId="0" xr:uid="{C4E9686A-C4BB-4BC6-AE32-E9693C86DBFF}">
      <text>
        <r>
          <rPr>
            <b/>
            <sz val="9"/>
            <color indexed="81"/>
            <rFont val="Tahoma"/>
            <family val="2"/>
          </rPr>
          <t xml:space="preserve"> &lt;[[TCDeals] - [Associated DEV Deal (Seq: 1)] - [Deal Property (Seq: 1)] - [Locations (Seq: 1)] - [Unit Mix (Seq: 40)] Base Rent - Send]&gt;</t>
        </r>
      </text>
    </comment>
    <comment ref="AF236" authorId="0" shapeId="0" xr:uid="{A0C770A0-5297-4258-A52C-53A8E7C2B5AE}">
      <text>
        <r>
          <rPr>
            <b/>
            <sz val="9"/>
            <color indexed="81"/>
            <rFont val="Tahoma"/>
            <family val="2"/>
          </rPr>
          <t xml:space="preserve"> &lt;[[TCDeals] - [Associated DEV Deal (Seq: 1)] - [Deal Property (Seq: 1)] - [Locations (Seq: 1)] - [Unit Mix (Seq: 40)] Square Footage - Send]&gt;</t>
        </r>
      </text>
    </comment>
    <comment ref="AH236" authorId="0" shapeId="0" xr:uid="{091ED629-EF0B-499D-B3A0-F7D1DC4B5AB8}">
      <text>
        <r>
          <rPr>
            <b/>
            <sz val="9"/>
            <color indexed="81"/>
            <rFont val="Tahoma"/>
            <family val="2"/>
          </rPr>
          <t xml:space="preserve"> &lt;[[TCDeals] - [Associated DEV Deal (Seq: 1)] - [Deal Property (Seq: 1)] - [Locations (Seq: 1)] - [Unit Mix (Seq: 40)] Num Units - Send]&gt;</t>
        </r>
      </text>
    </comment>
    <comment ref="AL236" authorId="0" shapeId="0" xr:uid="{D6B14868-2A49-4912-878C-CD9630D2F1D2}">
      <text>
        <r>
          <rPr>
            <b/>
            <sz val="9"/>
            <color indexed="81"/>
            <rFont val="Tahoma"/>
            <family val="2"/>
          </rPr>
          <t xml:space="preserve"> &lt;[[TCDeals] - [Associated DEV Deal (Seq: 1)] - [Deal Property (Seq: 1)] - [Locations (Seq: 1)] - [Unit Mix (Seq: 40)] Unit Mix Ami Percent - Send]&gt;</t>
        </r>
      </text>
    </comment>
    <comment ref="H237" authorId="0" shapeId="0" xr:uid="{75CA3AE4-75D6-44F1-B028-E3225583B3F4}">
      <text>
        <r>
          <rPr>
            <b/>
            <sz val="9"/>
            <color indexed="81"/>
            <rFont val="Tahoma"/>
            <family val="2"/>
          </rPr>
          <t xml:space="preserve"> &lt;[[TCDeals] - [TC Property Current Stage (Seq: 1)] - [Unit Mix (Seq: 41)] TC Unit Mix Type - Send]&gt;</t>
        </r>
      </text>
    </comment>
    <comment ref="J237" authorId="0" shapeId="0" xr:uid="{1DFFE6ED-1FAC-457B-BA6C-1754E2B54ECB}">
      <text>
        <r>
          <rPr>
            <b/>
            <sz val="9"/>
            <color indexed="81"/>
            <rFont val="Tahoma"/>
            <family val="2"/>
          </rPr>
          <t xml:space="preserve"> &lt;[[TCDeals] - [TC Property Current Stage (Seq: 1)] - [Unit Mix (Seq: 41)] Net Rentable Sq Ft - Send]&gt;</t>
        </r>
      </text>
    </comment>
    <comment ref="L237" authorId="0" shapeId="0" xr:uid="{12D65DE3-3AE2-4C50-ADB1-1F1A8F5B7667}">
      <text>
        <r>
          <rPr>
            <b/>
            <sz val="9"/>
            <color indexed="81"/>
            <rFont val="Tahoma"/>
            <family val="2"/>
          </rPr>
          <t xml:space="preserve"> &lt;[[TCDeals] - [TC Property Current Stage (Seq: 1)] - [Unit Mix (Seq: 41)] Num Units - Send]&gt;</t>
        </r>
      </text>
    </comment>
    <comment ref="N237" authorId="0" shapeId="0" xr:uid="{CBA6B73A-3A95-4AD9-8ADC-7212477D3021}">
      <text>
        <r>
          <rPr>
            <b/>
            <sz val="9"/>
            <color indexed="81"/>
            <rFont val="Tahoma"/>
            <family val="2"/>
          </rPr>
          <t xml:space="preserve"> &lt;[[TCDeals] - [TC Property Current Stage (Seq: 1)] - [Unit Mix (Seq: 41)] Monthly Rent Per Unit - Send]&gt;</t>
        </r>
      </text>
    </comment>
    <comment ref="P237" authorId="0" shapeId="0" xr:uid="{39CA7E93-5E99-4302-B255-2CD258F78395}">
      <text>
        <r>
          <rPr>
            <b/>
            <sz val="9"/>
            <color indexed="81"/>
            <rFont val="Tahoma"/>
            <family val="2"/>
          </rPr>
          <t xml:space="preserve"> &lt;[[TCDeals] - [TC Property Current Stage (Seq: 1)] - [Unit Mix (Seq: 41)] Income Target - Send]&gt;</t>
        </r>
      </text>
    </comment>
    <comment ref="Z237" authorId="0" shapeId="0" xr:uid="{3C936A39-E8C5-4529-B5CD-308CEA9251E8}">
      <text>
        <r>
          <rPr>
            <b/>
            <sz val="9"/>
            <color indexed="81"/>
            <rFont val="Tahoma"/>
            <family val="2"/>
          </rPr>
          <t xml:space="preserve"> &lt;[[TCDeals] - [Associated DEV Deal (Seq: 1)] - [Deal Property (Seq: 1)] - [Locations (Seq: 1)] - [Unit Mix (Seq: 41)] Unit Type - Send]&gt;</t>
        </r>
      </text>
    </comment>
    <comment ref="AB237" authorId="0" shapeId="0" xr:uid="{3AF0AC0D-7727-49E1-9A5F-3F000CDBED7C}">
      <text>
        <r>
          <rPr>
            <b/>
            <sz val="9"/>
            <color indexed="81"/>
            <rFont val="Tahoma"/>
            <family val="2"/>
          </rPr>
          <t xml:space="preserve"> &lt;[[TCDeals] - [Associated DEV Deal (Seq: 1)] - [Deal Property (Seq: 1)] - [Locations (Seq: 1)] - [Unit Mix (Seq: 41)] Residential Apartment Type - Send]&gt;</t>
        </r>
      </text>
    </comment>
    <comment ref="AD237" authorId="0" shapeId="0" xr:uid="{F044BA4D-F4D1-483E-9F11-D5759FF3DB03}">
      <text>
        <r>
          <rPr>
            <b/>
            <sz val="9"/>
            <color indexed="81"/>
            <rFont val="Tahoma"/>
            <family val="2"/>
          </rPr>
          <t xml:space="preserve"> &lt;[[TCDeals] - [Associated DEV Deal (Seq: 1)] - [Deal Property (Seq: 1)] - [Locations (Seq: 1)] - [Unit Mix (Seq: 41)] Base Rent - Send]&gt;</t>
        </r>
      </text>
    </comment>
    <comment ref="AF237" authorId="0" shapeId="0" xr:uid="{F8A8CE8B-A1C7-4BB5-929E-769C9884F308}">
      <text>
        <r>
          <rPr>
            <b/>
            <sz val="9"/>
            <color indexed="81"/>
            <rFont val="Tahoma"/>
            <family val="2"/>
          </rPr>
          <t xml:space="preserve"> &lt;[[TCDeals] - [Associated DEV Deal (Seq: 1)] - [Deal Property (Seq: 1)] - [Locations (Seq: 1)] - [Unit Mix (Seq: 41)] Square Footage - Send]&gt;</t>
        </r>
      </text>
    </comment>
    <comment ref="AH237" authorId="0" shapeId="0" xr:uid="{EB35CE80-D40D-4D02-85F3-40131AB8BE5D}">
      <text>
        <r>
          <rPr>
            <b/>
            <sz val="9"/>
            <color indexed="81"/>
            <rFont val="Tahoma"/>
            <family val="2"/>
          </rPr>
          <t xml:space="preserve"> &lt;[[TCDeals] - [Associated DEV Deal (Seq: 1)] - [Deal Property (Seq: 1)] - [Locations (Seq: 1)] - [Unit Mix (Seq: 41)] Num Units - Send]&gt;</t>
        </r>
      </text>
    </comment>
    <comment ref="AL237" authorId="0" shapeId="0" xr:uid="{886E87FC-3B16-4F47-B6B9-057C7650A693}">
      <text>
        <r>
          <rPr>
            <b/>
            <sz val="9"/>
            <color indexed="81"/>
            <rFont val="Tahoma"/>
            <family val="2"/>
          </rPr>
          <t xml:space="preserve"> &lt;[[TCDeals] - [Associated DEV Deal (Seq: 1)] - [Deal Property (Seq: 1)] - [Locations (Seq: 1)] - [Unit Mix (Seq: 41)] Unit Mix Ami Percent - Send]&gt;</t>
        </r>
      </text>
    </comment>
    <comment ref="H238" authorId="0" shapeId="0" xr:uid="{69EF1DFB-4136-41FF-A9AC-5A52CE3C8AAF}">
      <text>
        <r>
          <rPr>
            <b/>
            <sz val="9"/>
            <color indexed="81"/>
            <rFont val="Tahoma"/>
            <family val="2"/>
          </rPr>
          <t xml:space="preserve"> &lt;[[TCDeals] - [TC Property Current Stage (Seq: 1)] - [Unit Mix (Seq: 42)] TC Unit Mix Type - Send]&gt;</t>
        </r>
      </text>
    </comment>
    <comment ref="J238" authorId="0" shapeId="0" xr:uid="{76EF51BF-6C33-45FD-92C0-8DB8002941D3}">
      <text>
        <r>
          <rPr>
            <b/>
            <sz val="9"/>
            <color indexed="81"/>
            <rFont val="Tahoma"/>
            <family val="2"/>
          </rPr>
          <t xml:space="preserve"> &lt;[[TCDeals] - [TC Property Current Stage (Seq: 1)] - [Unit Mix (Seq: 42)] Net Rentable Sq Ft - Send]&gt;</t>
        </r>
      </text>
    </comment>
    <comment ref="L238" authorId="0" shapeId="0" xr:uid="{4956E954-DF46-47A6-B71A-D619EC8870F5}">
      <text>
        <r>
          <rPr>
            <b/>
            <sz val="9"/>
            <color indexed="81"/>
            <rFont val="Tahoma"/>
            <family val="2"/>
          </rPr>
          <t xml:space="preserve"> &lt;[[TCDeals] - [TC Property Current Stage (Seq: 1)] - [Unit Mix (Seq: 42)] Num Units - Send]&gt;</t>
        </r>
      </text>
    </comment>
    <comment ref="N238" authorId="0" shapeId="0" xr:uid="{0C0CF50F-91E1-4855-A0EB-1B0F8AFC5F77}">
      <text>
        <r>
          <rPr>
            <b/>
            <sz val="9"/>
            <color indexed="81"/>
            <rFont val="Tahoma"/>
            <family val="2"/>
          </rPr>
          <t xml:space="preserve"> &lt;[[TCDeals] - [TC Property Current Stage (Seq: 1)] - [Unit Mix (Seq: 42)] Monthly Rent Per Unit - Send]&gt;</t>
        </r>
      </text>
    </comment>
    <comment ref="P238" authorId="0" shapeId="0" xr:uid="{66A3D899-2DD1-40D9-A96E-DB7CECF4287B}">
      <text>
        <r>
          <rPr>
            <b/>
            <sz val="9"/>
            <color indexed="81"/>
            <rFont val="Tahoma"/>
            <family val="2"/>
          </rPr>
          <t xml:space="preserve"> &lt;[[TCDeals] - [TC Property Current Stage (Seq: 1)] - [Unit Mix (Seq: 42)] Income Target - Send]&gt;</t>
        </r>
      </text>
    </comment>
    <comment ref="Z238" authorId="0" shapeId="0" xr:uid="{5039A1D6-9909-4D43-8788-C11C0D65EFC0}">
      <text>
        <r>
          <rPr>
            <b/>
            <sz val="9"/>
            <color indexed="81"/>
            <rFont val="Tahoma"/>
            <family val="2"/>
          </rPr>
          <t xml:space="preserve"> &lt;[[TCDeals] - [Associated DEV Deal (Seq: 1)] - [Deal Property (Seq: 1)] - [Locations (Seq: 1)] - [Unit Mix (Seq: 42)] Unit Type - Send]&gt;</t>
        </r>
      </text>
    </comment>
    <comment ref="AB238" authorId="0" shapeId="0" xr:uid="{76DAC5CF-C91C-452F-AB30-60A921D908EE}">
      <text>
        <r>
          <rPr>
            <b/>
            <sz val="9"/>
            <color indexed="81"/>
            <rFont val="Tahoma"/>
            <family val="2"/>
          </rPr>
          <t xml:space="preserve"> &lt;[[TCDeals] - [Associated DEV Deal (Seq: 1)] - [Deal Property (Seq: 1)] - [Locations (Seq: 1)] - [Unit Mix (Seq: 42)] Residential Apartment Type - Send]&gt;</t>
        </r>
      </text>
    </comment>
    <comment ref="AD238" authorId="0" shapeId="0" xr:uid="{2976E6BE-690B-4ABA-8714-8BAFF6293E9F}">
      <text>
        <r>
          <rPr>
            <b/>
            <sz val="9"/>
            <color indexed="81"/>
            <rFont val="Tahoma"/>
            <family val="2"/>
          </rPr>
          <t xml:space="preserve"> &lt;[[TCDeals] - [Associated DEV Deal (Seq: 1)] - [Deal Property (Seq: 1)] - [Locations (Seq: 1)] - [Unit Mix (Seq: 42)] Base Rent - Send]&gt;</t>
        </r>
      </text>
    </comment>
    <comment ref="AF238" authorId="0" shapeId="0" xr:uid="{08570C5A-44AC-4245-9FCA-A01C8C2A1F3C}">
      <text>
        <r>
          <rPr>
            <b/>
            <sz val="9"/>
            <color indexed="81"/>
            <rFont val="Tahoma"/>
            <family val="2"/>
          </rPr>
          <t xml:space="preserve"> &lt;[[TCDeals] - [Associated DEV Deal (Seq: 1)] - [Deal Property (Seq: 1)] - [Locations (Seq: 1)] - [Unit Mix (Seq: 42)] Square Footage - Send]&gt;</t>
        </r>
      </text>
    </comment>
    <comment ref="AH238" authorId="0" shapeId="0" xr:uid="{76209E81-A213-42E0-9862-11937413AB73}">
      <text>
        <r>
          <rPr>
            <b/>
            <sz val="9"/>
            <color indexed="81"/>
            <rFont val="Tahoma"/>
            <family val="2"/>
          </rPr>
          <t xml:space="preserve"> &lt;[[TCDeals] - [Associated DEV Deal (Seq: 1)] - [Deal Property (Seq: 1)] - [Locations (Seq: 1)] - [Unit Mix (Seq: 42)] Num Units - Send]&gt;</t>
        </r>
      </text>
    </comment>
    <comment ref="AL238" authorId="0" shapeId="0" xr:uid="{0DE444A0-0288-4AD0-BC66-962AD7E5912B}">
      <text>
        <r>
          <rPr>
            <b/>
            <sz val="9"/>
            <color indexed="81"/>
            <rFont val="Tahoma"/>
            <family val="2"/>
          </rPr>
          <t xml:space="preserve"> &lt;[[TCDeals] - [Associated DEV Deal (Seq: 1)] - [Deal Property (Seq: 1)] - [Locations (Seq: 1)] - [Unit Mix (Seq: 42)] Unit Mix Ami Percent - Send]&gt;</t>
        </r>
      </text>
    </comment>
    <comment ref="H239" authorId="0" shapeId="0" xr:uid="{52214A56-128A-401B-97DF-0CB52052DF32}">
      <text>
        <r>
          <rPr>
            <b/>
            <sz val="9"/>
            <color indexed="81"/>
            <rFont val="Tahoma"/>
            <family val="2"/>
          </rPr>
          <t xml:space="preserve"> &lt;[[TCDeals] - [TC Property Current Stage (Seq: 1)] - [Unit Mix (Seq: 43)] TC Unit Mix Type - Send]&gt;</t>
        </r>
      </text>
    </comment>
    <comment ref="J239" authorId="0" shapeId="0" xr:uid="{80CB6DFA-D569-4668-A6AC-385D40D10CD1}">
      <text>
        <r>
          <rPr>
            <b/>
            <sz val="9"/>
            <color indexed="81"/>
            <rFont val="Tahoma"/>
            <family val="2"/>
          </rPr>
          <t xml:space="preserve"> &lt;[[TCDeals] - [TC Property Current Stage (Seq: 1)] - [Unit Mix (Seq: 43)] Net Rentable Sq Ft - Send]&gt;</t>
        </r>
      </text>
    </comment>
    <comment ref="L239" authorId="0" shapeId="0" xr:uid="{AACEE736-D166-42FA-BD32-7AAE43A115E5}">
      <text>
        <r>
          <rPr>
            <b/>
            <sz val="9"/>
            <color indexed="81"/>
            <rFont val="Tahoma"/>
            <family val="2"/>
          </rPr>
          <t xml:space="preserve"> &lt;[[TCDeals] - [TC Property Current Stage (Seq: 1)] - [Unit Mix (Seq: 43)] Num Units - Send]&gt;</t>
        </r>
      </text>
    </comment>
    <comment ref="N239" authorId="0" shapeId="0" xr:uid="{6D273609-5FDD-4FD0-B7A5-2319950BCC9B}">
      <text>
        <r>
          <rPr>
            <b/>
            <sz val="9"/>
            <color indexed="81"/>
            <rFont val="Tahoma"/>
            <family val="2"/>
          </rPr>
          <t xml:space="preserve"> &lt;[[TCDeals] - [TC Property Current Stage (Seq: 1)] - [Unit Mix (Seq: 43)] Monthly Rent Per Unit - Send]&gt;</t>
        </r>
      </text>
    </comment>
    <comment ref="P239" authorId="0" shapeId="0" xr:uid="{66E82909-CD15-4D61-BE0B-F7A2AEFEE44A}">
      <text>
        <r>
          <rPr>
            <b/>
            <sz val="9"/>
            <color indexed="81"/>
            <rFont val="Tahoma"/>
            <family val="2"/>
          </rPr>
          <t xml:space="preserve"> &lt;[[TCDeals] - [TC Property Current Stage (Seq: 1)] - [Unit Mix (Seq: 43)] Income Target - Send]&gt;</t>
        </r>
      </text>
    </comment>
    <comment ref="Z239" authorId="0" shapeId="0" xr:uid="{A6935245-D81F-46C1-A08F-B10FAE364828}">
      <text>
        <r>
          <rPr>
            <b/>
            <sz val="9"/>
            <color indexed="81"/>
            <rFont val="Tahoma"/>
            <family val="2"/>
          </rPr>
          <t xml:space="preserve"> &lt;[[TCDeals] - [Associated DEV Deal (Seq: 1)] - [Deal Property (Seq: 1)] - [Locations (Seq: 1)] - [Unit Mix (Seq: 43)] Unit Type - Send]&gt;</t>
        </r>
      </text>
    </comment>
    <comment ref="AB239" authorId="0" shapeId="0" xr:uid="{77811795-18E6-4A0F-9B88-2D8D6253E36C}">
      <text>
        <r>
          <rPr>
            <b/>
            <sz val="9"/>
            <color indexed="81"/>
            <rFont val="Tahoma"/>
            <family val="2"/>
          </rPr>
          <t xml:space="preserve"> &lt;[[TCDeals] - [Associated DEV Deal (Seq: 1)] - [Deal Property (Seq: 1)] - [Locations (Seq: 1)] - [Unit Mix (Seq: 43)] Residential Apartment Type - Send]&gt;</t>
        </r>
      </text>
    </comment>
    <comment ref="AD239" authorId="0" shapeId="0" xr:uid="{B42E7A35-437E-404C-8FB4-C8DF93544ACB}">
      <text>
        <r>
          <rPr>
            <b/>
            <sz val="9"/>
            <color indexed="81"/>
            <rFont val="Tahoma"/>
            <family val="2"/>
          </rPr>
          <t xml:space="preserve"> &lt;[[TCDeals] - [Associated DEV Deal (Seq: 1)] - [Deal Property (Seq: 1)] - [Locations (Seq: 1)] - [Unit Mix (Seq: 43)] Base Rent - Send]&gt;</t>
        </r>
      </text>
    </comment>
    <comment ref="AF239" authorId="0" shapeId="0" xr:uid="{634E8B35-5B4C-4CDE-B497-F780B3614097}">
      <text>
        <r>
          <rPr>
            <b/>
            <sz val="9"/>
            <color indexed="81"/>
            <rFont val="Tahoma"/>
            <family val="2"/>
          </rPr>
          <t xml:space="preserve"> &lt;[[TCDeals] - [Associated DEV Deal (Seq: 1)] - [Deal Property (Seq: 1)] - [Locations (Seq: 1)] - [Unit Mix (Seq: 43)] Square Footage - Send]&gt;</t>
        </r>
      </text>
    </comment>
    <comment ref="AH239" authorId="0" shapeId="0" xr:uid="{33B00CC0-BD25-4B47-9A6D-DE47E92B31B1}">
      <text>
        <r>
          <rPr>
            <b/>
            <sz val="9"/>
            <color indexed="81"/>
            <rFont val="Tahoma"/>
            <family val="2"/>
          </rPr>
          <t xml:space="preserve"> &lt;[[TCDeals] - [Associated DEV Deal (Seq: 1)] - [Deal Property (Seq: 1)] - [Locations (Seq: 1)] - [Unit Mix (Seq: 43)] Num Units - Send]&gt;</t>
        </r>
      </text>
    </comment>
    <comment ref="AL239" authorId="0" shapeId="0" xr:uid="{5A2C11FD-744A-4E02-8BAF-105C134C844A}">
      <text>
        <r>
          <rPr>
            <b/>
            <sz val="9"/>
            <color indexed="81"/>
            <rFont val="Tahoma"/>
            <family val="2"/>
          </rPr>
          <t xml:space="preserve"> &lt;[[TCDeals] - [Associated DEV Deal (Seq: 1)] - [Deal Property (Seq: 1)] - [Locations (Seq: 1)] - [Unit Mix (Seq: 43)] Unit Mix Ami Percent - Send]&gt;</t>
        </r>
      </text>
    </comment>
    <comment ref="H240" authorId="0" shapeId="0" xr:uid="{CB476DA4-221E-43B6-912B-34C05B3A3605}">
      <text>
        <r>
          <rPr>
            <b/>
            <sz val="9"/>
            <color indexed="81"/>
            <rFont val="Tahoma"/>
            <family val="2"/>
          </rPr>
          <t xml:space="preserve"> &lt;[[TCDeals] - [TC Property Current Stage (Seq: 1)] - [Unit Mix (Seq: 44)] TC Unit Mix Type - Send]&gt;</t>
        </r>
      </text>
    </comment>
    <comment ref="J240" authorId="0" shapeId="0" xr:uid="{B1EB3AAB-0FB1-4F1D-AA6D-E1E1CB2DD262}">
      <text>
        <r>
          <rPr>
            <b/>
            <sz val="9"/>
            <color indexed="81"/>
            <rFont val="Tahoma"/>
            <family val="2"/>
          </rPr>
          <t xml:space="preserve"> &lt;[[TCDeals] - [TC Property Current Stage (Seq: 1)] - [Unit Mix (Seq: 44)] Net Rentable Sq Ft - Send]&gt;</t>
        </r>
      </text>
    </comment>
    <comment ref="L240" authorId="0" shapeId="0" xr:uid="{2C39DE0F-0560-449C-AA7D-1EAF959E5225}">
      <text>
        <r>
          <rPr>
            <b/>
            <sz val="9"/>
            <color indexed="81"/>
            <rFont val="Tahoma"/>
            <family val="2"/>
          </rPr>
          <t xml:space="preserve"> &lt;[[TCDeals] - [TC Property Current Stage (Seq: 1)] - [Unit Mix (Seq: 44)] Num Units - Send]&gt;</t>
        </r>
      </text>
    </comment>
    <comment ref="N240" authorId="0" shapeId="0" xr:uid="{067B66A5-B1AE-428E-B60F-735E5D7586A3}">
      <text>
        <r>
          <rPr>
            <b/>
            <sz val="9"/>
            <color indexed="81"/>
            <rFont val="Tahoma"/>
            <family val="2"/>
          </rPr>
          <t xml:space="preserve"> &lt;[[TCDeals] - [TC Property Current Stage (Seq: 1)] - [Unit Mix (Seq: 44)] Monthly Rent Per Unit - Send]&gt;</t>
        </r>
      </text>
    </comment>
    <comment ref="P240" authorId="0" shapeId="0" xr:uid="{1D757002-9294-4D1B-B618-6CD2E8C02229}">
      <text>
        <r>
          <rPr>
            <b/>
            <sz val="9"/>
            <color indexed="81"/>
            <rFont val="Tahoma"/>
            <family val="2"/>
          </rPr>
          <t xml:space="preserve"> &lt;[[TCDeals] - [TC Property Current Stage (Seq: 1)] - [Unit Mix (Seq: 44)] Income Target - Send]&gt;</t>
        </r>
      </text>
    </comment>
    <comment ref="Z240" authorId="0" shapeId="0" xr:uid="{83223477-BD20-4424-A202-158F1A5941D7}">
      <text>
        <r>
          <rPr>
            <b/>
            <sz val="9"/>
            <color indexed="81"/>
            <rFont val="Tahoma"/>
            <family val="2"/>
          </rPr>
          <t xml:space="preserve"> &lt;[[TCDeals] - [Associated DEV Deal (Seq: 1)] - [Deal Property (Seq: 1)] - [Locations (Seq: 1)] - [Unit Mix (Seq: 44)] Unit Type - Send]&gt;</t>
        </r>
      </text>
    </comment>
    <comment ref="AB240" authorId="0" shapeId="0" xr:uid="{FCDF978E-37BF-4822-A7B4-7ED2C1E08606}">
      <text>
        <r>
          <rPr>
            <b/>
            <sz val="9"/>
            <color indexed="81"/>
            <rFont val="Tahoma"/>
            <family val="2"/>
          </rPr>
          <t xml:space="preserve"> &lt;[[TCDeals] - [Associated DEV Deal (Seq: 1)] - [Deal Property (Seq: 1)] - [Locations (Seq: 1)] - [Unit Mix (Seq: 44)] Residential Apartment Type - Send]&gt;</t>
        </r>
      </text>
    </comment>
    <comment ref="AD240" authorId="0" shapeId="0" xr:uid="{9B2852BD-D52D-41B2-8D32-2A158C664C0C}">
      <text>
        <r>
          <rPr>
            <b/>
            <sz val="9"/>
            <color indexed="81"/>
            <rFont val="Tahoma"/>
            <family val="2"/>
          </rPr>
          <t xml:space="preserve"> &lt;[[TCDeals] - [Associated DEV Deal (Seq: 1)] - [Deal Property (Seq: 1)] - [Locations (Seq: 1)] - [Unit Mix (Seq: 44)] Base Rent - Send]&gt;</t>
        </r>
      </text>
    </comment>
    <comment ref="AF240" authorId="0" shapeId="0" xr:uid="{FEA7EEAA-3886-4E2C-A3F2-96C441A41C1E}">
      <text>
        <r>
          <rPr>
            <b/>
            <sz val="9"/>
            <color indexed="81"/>
            <rFont val="Tahoma"/>
            <family val="2"/>
          </rPr>
          <t xml:space="preserve"> &lt;[[TCDeals] - [Associated DEV Deal (Seq: 1)] - [Deal Property (Seq: 1)] - [Locations (Seq: 1)] - [Unit Mix (Seq: 44)] Square Footage - Send]&gt;</t>
        </r>
      </text>
    </comment>
    <comment ref="AH240" authorId="0" shapeId="0" xr:uid="{52833A74-7D8A-40D2-AC22-F562C08B72F0}">
      <text>
        <r>
          <rPr>
            <b/>
            <sz val="9"/>
            <color indexed="81"/>
            <rFont val="Tahoma"/>
            <family val="2"/>
          </rPr>
          <t xml:space="preserve"> &lt;[[TCDeals] - [Associated DEV Deal (Seq: 1)] - [Deal Property (Seq: 1)] - [Locations (Seq: 1)] - [Unit Mix (Seq: 44)] Num Units - Send]&gt;</t>
        </r>
      </text>
    </comment>
    <comment ref="AL240" authorId="0" shapeId="0" xr:uid="{1C9AB7D5-C4BE-4658-A3EA-FCD9299E0465}">
      <text>
        <r>
          <rPr>
            <b/>
            <sz val="9"/>
            <color indexed="81"/>
            <rFont val="Tahoma"/>
            <family val="2"/>
          </rPr>
          <t xml:space="preserve"> &lt;[[TCDeals] - [Associated DEV Deal (Seq: 1)] - [Deal Property (Seq: 1)] - [Locations (Seq: 1)] - [Unit Mix (Seq: 44)] Unit Mix Ami Percent - Send]&gt;</t>
        </r>
      </text>
    </comment>
    <comment ref="H241" authorId="0" shapeId="0" xr:uid="{A2B35B43-8274-4C9E-A595-A1E844084F4C}">
      <text>
        <r>
          <rPr>
            <b/>
            <sz val="9"/>
            <color indexed="81"/>
            <rFont val="Tahoma"/>
            <family val="2"/>
          </rPr>
          <t xml:space="preserve"> &lt;[[TCDeals] - [TC Property Current Stage (Seq: 1)] - [Unit Mix (Seq: 45)] TC Unit Mix Type - Send]&gt;</t>
        </r>
      </text>
    </comment>
    <comment ref="J241" authorId="0" shapeId="0" xr:uid="{BCA12033-9E44-42F6-AF6E-A9F38053024E}">
      <text>
        <r>
          <rPr>
            <b/>
            <sz val="9"/>
            <color indexed="81"/>
            <rFont val="Tahoma"/>
            <family val="2"/>
          </rPr>
          <t xml:space="preserve"> &lt;[[TCDeals] - [TC Property Current Stage (Seq: 1)] - [Unit Mix (Seq: 45)] Net Rentable Sq Ft - Send]&gt;</t>
        </r>
      </text>
    </comment>
    <comment ref="L241" authorId="0" shapeId="0" xr:uid="{5B324250-67E4-422C-8177-AE038495E48E}">
      <text>
        <r>
          <rPr>
            <b/>
            <sz val="9"/>
            <color indexed="81"/>
            <rFont val="Tahoma"/>
            <family val="2"/>
          </rPr>
          <t xml:space="preserve"> &lt;[[TCDeals] - [TC Property Current Stage (Seq: 1)] - [Unit Mix (Seq: 45)] Num Units - Send]&gt;</t>
        </r>
      </text>
    </comment>
    <comment ref="N241" authorId="0" shapeId="0" xr:uid="{B92783E6-E54E-43DA-A231-D63C5B53EF47}">
      <text>
        <r>
          <rPr>
            <b/>
            <sz val="9"/>
            <color indexed="81"/>
            <rFont val="Tahoma"/>
            <family val="2"/>
          </rPr>
          <t xml:space="preserve"> &lt;[[TCDeals] - [TC Property Current Stage (Seq: 1)] - [Unit Mix (Seq: 45)] Monthly Rent Per Unit - Send]&gt;</t>
        </r>
      </text>
    </comment>
    <comment ref="P241" authorId="0" shapeId="0" xr:uid="{FB9B8A22-620B-4ABE-854D-8D07ED85BDE8}">
      <text>
        <r>
          <rPr>
            <b/>
            <sz val="9"/>
            <color indexed="81"/>
            <rFont val="Tahoma"/>
            <family val="2"/>
          </rPr>
          <t xml:space="preserve"> &lt;[[TCDeals] - [TC Property Current Stage (Seq: 1)] - [Unit Mix (Seq: 45)] Income Target - Send]&gt;</t>
        </r>
      </text>
    </comment>
    <comment ref="Z241" authorId="0" shapeId="0" xr:uid="{FBE558FA-E2CB-4C22-BD35-F91E8ADEC75C}">
      <text>
        <r>
          <rPr>
            <b/>
            <sz val="9"/>
            <color indexed="81"/>
            <rFont val="Tahoma"/>
            <family val="2"/>
          </rPr>
          <t xml:space="preserve"> &lt;[[TCDeals] - [Associated DEV Deal (Seq: 1)] - [Deal Property (Seq: 1)] - [Locations (Seq: 1)] - [Unit Mix (Seq: 45)] Unit Type - Send]&gt;</t>
        </r>
      </text>
    </comment>
    <comment ref="AB241" authorId="0" shapeId="0" xr:uid="{D4935353-C4FD-41E9-BB85-FD614B1B497F}">
      <text>
        <r>
          <rPr>
            <b/>
            <sz val="9"/>
            <color indexed="81"/>
            <rFont val="Tahoma"/>
            <family val="2"/>
          </rPr>
          <t xml:space="preserve"> &lt;[[TCDeals] - [Associated DEV Deal (Seq: 1)] - [Deal Property (Seq: 1)] - [Locations (Seq: 1)] - [Unit Mix (Seq: 45)] Residential Apartment Type - Send]&gt;</t>
        </r>
      </text>
    </comment>
    <comment ref="AD241" authorId="0" shapeId="0" xr:uid="{42D926AD-5312-4082-9521-5230A4A04EBB}">
      <text>
        <r>
          <rPr>
            <b/>
            <sz val="9"/>
            <color indexed="81"/>
            <rFont val="Tahoma"/>
            <family val="2"/>
          </rPr>
          <t xml:space="preserve"> &lt;[[TCDeals] - [Associated DEV Deal (Seq: 1)] - [Deal Property (Seq: 1)] - [Locations (Seq: 1)] - [Unit Mix (Seq: 45)] Base Rent - Send]&gt;</t>
        </r>
      </text>
    </comment>
    <comment ref="AF241" authorId="0" shapeId="0" xr:uid="{AA4687C3-0B72-44F2-88E3-132FDE349008}">
      <text>
        <r>
          <rPr>
            <b/>
            <sz val="9"/>
            <color indexed="81"/>
            <rFont val="Tahoma"/>
            <family val="2"/>
          </rPr>
          <t xml:space="preserve"> &lt;[[TCDeals] - [Associated DEV Deal (Seq: 1)] - [Deal Property (Seq: 1)] - [Locations (Seq: 1)] - [Unit Mix (Seq: 45)] Square Footage - Send]&gt;</t>
        </r>
      </text>
    </comment>
    <comment ref="AH241" authorId="0" shapeId="0" xr:uid="{3B5B2B5F-2D1A-46AB-AAC1-237DB4833A49}">
      <text>
        <r>
          <rPr>
            <b/>
            <sz val="9"/>
            <color indexed="81"/>
            <rFont val="Tahoma"/>
            <family val="2"/>
          </rPr>
          <t xml:space="preserve"> &lt;[[TCDeals] - [Associated DEV Deal (Seq: 1)] - [Deal Property (Seq: 1)] - [Locations (Seq: 1)] - [Unit Mix (Seq: 45)] Num Units - Send]&gt;</t>
        </r>
      </text>
    </comment>
    <comment ref="AL241" authorId="0" shapeId="0" xr:uid="{A246A352-573D-433E-A2D4-F20706177A57}">
      <text>
        <r>
          <rPr>
            <b/>
            <sz val="9"/>
            <color indexed="81"/>
            <rFont val="Tahoma"/>
            <family val="2"/>
          </rPr>
          <t xml:space="preserve"> &lt;[[TCDeals] - [Associated DEV Deal (Seq: 1)] - [Deal Property (Seq: 1)] - [Locations (Seq: 1)] - [Unit Mix (Seq: 45)] Unit Mix Ami Percent - Send]&gt;</t>
        </r>
      </text>
    </comment>
    <comment ref="H242" authorId="0" shapeId="0" xr:uid="{A4BC33F5-3DF1-4226-B74E-4ACAF52A35DC}">
      <text>
        <r>
          <rPr>
            <b/>
            <sz val="9"/>
            <color indexed="81"/>
            <rFont val="Tahoma"/>
            <family val="2"/>
          </rPr>
          <t xml:space="preserve"> &lt;[[TCDeals] - [TC Property Current Stage (Seq: 1)] - [Unit Mix (Seq: 46)] TC Unit Mix Type - Send]&gt;</t>
        </r>
      </text>
    </comment>
    <comment ref="J242" authorId="0" shapeId="0" xr:uid="{5D660337-636C-42E6-BF87-B89116459530}">
      <text>
        <r>
          <rPr>
            <b/>
            <sz val="9"/>
            <color indexed="81"/>
            <rFont val="Tahoma"/>
            <family val="2"/>
          </rPr>
          <t xml:space="preserve"> &lt;[[TCDeals] - [TC Property Current Stage (Seq: 1)] - [Unit Mix (Seq: 46)] Net Rentable Sq Ft - Send]&gt;</t>
        </r>
      </text>
    </comment>
    <comment ref="L242" authorId="0" shapeId="0" xr:uid="{B0DABEAD-2F8F-4551-B75F-BEDC65996686}">
      <text>
        <r>
          <rPr>
            <b/>
            <sz val="9"/>
            <color indexed="81"/>
            <rFont val="Tahoma"/>
            <family val="2"/>
          </rPr>
          <t xml:space="preserve"> &lt;[[TCDeals] - [TC Property Current Stage (Seq: 1)] - [Unit Mix (Seq: 46)] Num Units - Send]&gt;</t>
        </r>
      </text>
    </comment>
    <comment ref="N242" authorId="0" shapeId="0" xr:uid="{315A4CC9-EE45-498B-94CB-7A02815EF75E}">
      <text>
        <r>
          <rPr>
            <b/>
            <sz val="9"/>
            <color indexed="81"/>
            <rFont val="Tahoma"/>
            <family val="2"/>
          </rPr>
          <t xml:space="preserve"> &lt;[[TCDeals] - [TC Property Current Stage (Seq: 1)] - [Unit Mix (Seq: 46)] Monthly Rent Per Unit - Send]&gt;</t>
        </r>
      </text>
    </comment>
    <comment ref="P242" authorId="0" shapeId="0" xr:uid="{30988D95-50AE-4AE2-8EE8-18DA333BEA08}">
      <text>
        <r>
          <rPr>
            <b/>
            <sz val="9"/>
            <color indexed="81"/>
            <rFont val="Tahoma"/>
            <family val="2"/>
          </rPr>
          <t xml:space="preserve"> &lt;[[TCDeals] - [TC Property Current Stage (Seq: 1)] - [Unit Mix (Seq: 46)] Income Target - Send]&gt;</t>
        </r>
      </text>
    </comment>
    <comment ref="Z242" authorId="0" shapeId="0" xr:uid="{8A2FF80C-94BC-450E-885F-EB86EA2F59BC}">
      <text>
        <r>
          <rPr>
            <b/>
            <sz val="9"/>
            <color indexed="81"/>
            <rFont val="Tahoma"/>
            <family val="2"/>
          </rPr>
          <t xml:space="preserve"> &lt;[[TCDeals] - [Associated DEV Deal (Seq: 1)] - [Deal Property (Seq: 1)] - [Locations (Seq: 1)] - [Unit Mix (Seq: 46)] Unit Type - Send]&gt;</t>
        </r>
      </text>
    </comment>
    <comment ref="AB242" authorId="0" shapeId="0" xr:uid="{8DEFAD53-B9F9-4A68-986E-AEAB7156C6F5}">
      <text>
        <r>
          <rPr>
            <b/>
            <sz val="9"/>
            <color indexed="81"/>
            <rFont val="Tahoma"/>
            <family val="2"/>
          </rPr>
          <t xml:space="preserve"> &lt;[[TCDeals] - [Associated DEV Deal (Seq: 1)] - [Deal Property (Seq: 1)] - [Locations (Seq: 1)] - [Unit Mix (Seq: 46)] Residential Apartment Type - Send]&gt;</t>
        </r>
      </text>
    </comment>
    <comment ref="AD242" authorId="0" shapeId="0" xr:uid="{383167C2-CD19-43C5-992E-BE0CE6D7F653}">
      <text>
        <r>
          <rPr>
            <b/>
            <sz val="9"/>
            <color indexed="81"/>
            <rFont val="Tahoma"/>
            <family val="2"/>
          </rPr>
          <t xml:space="preserve"> &lt;[[TCDeals] - [Associated DEV Deal (Seq: 1)] - [Deal Property (Seq: 1)] - [Locations (Seq: 1)] - [Unit Mix (Seq: 46)] Base Rent - Send]&gt;</t>
        </r>
      </text>
    </comment>
    <comment ref="AF242" authorId="0" shapeId="0" xr:uid="{83ECBECA-5838-45D2-BFCA-C8D0CC3D0E0C}">
      <text>
        <r>
          <rPr>
            <b/>
            <sz val="9"/>
            <color indexed="81"/>
            <rFont val="Tahoma"/>
            <family val="2"/>
          </rPr>
          <t xml:space="preserve"> &lt;[[TCDeals] - [Associated DEV Deal (Seq: 1)] - [Deal Property (Seq: 1)] - [Locations (Seq: 1)] - [Unit Mix (Seq: 46)] Square Footage - Send]&gt;</t>
        </r>
      </text>
    </comment>
    <comment ref="AH242" authorId="0" shapeId="0" xr:uid="{D9C41D78-F92E-4C3F-BA0F-B06506F57C3B}">
      <text>
        <r>
          <rPr>
            <b/>
            <sz val="9"/>
            <color indexed="81"/>
            <rFont val="Tahoma"/>
            <family val="2"/>
          </rPr>
          <t xml:space="preserve"> &lt;[[TCDeals] - [Associated DEV Deal (Seq: 1)] - [Deal Property (Seq: 1)] - [Locations (Seq: 1)] - [Unit Mix (Seq: 46)] Num Units - Send]&gt;</t>
        </r>
      </text>
    </comment>
    <comment ref="AL242" authorId="0" shapeId="0" xr:uid="{F9A59EB0-FCDB-4001-B181-2DABEC5B28D0}">
      <text>
        <r>
          <rPr>
            <b/>
            <sz val="9"/>
            <color indexed="81"/>
            <rFont val="Tahoma"/>
            <family val="2"/>
          </rPr>
          <t xml:space="preserve"> &lt;[[TCDeals] - [Associated DEV Deal (Seq: 1)] - [Deal Property (Seq: 1)] - [Locations (Seq: 1)] - [Unit Mix (Seq: 46)] Unit Mix Ami Percent - Send]&gt;</t>
        </r>
      </text>
    </comment>
    <comment ref="H243" authorId="0" shapeId="0" xr:uid="{99944F83-DCCA-4CAF-9D65-06BE9BAB001E}">
      <text>
        <r>
          <rPr>
            <b/>
            <sz val="9"/>
            <color indexed="81"/>
            <rFont val="Tahoma"/>
            <family val="2"/>
          </rPr>
          <t xml:space="preserve"> &lt;[[TCDeals] - [TC Property Current Stage (Seq: 1)] - [Unit Mix (Seq: 47)] TC Unit Mix Type - Send]&gt;</t>
        </r>
      </text>
    </comment>
    <comment ref="J243" authorId="0" shapeId="0" xr:uid="{9F208619-BAA3-4F7F-B5E1-FC06F97A524F}">
      <text>
        <r>
          <rPr>
            <b/>
            <sz val="9"/>
            <color indexed="81"/>
            <rFont val="Tahoma"/>
            <family val="2"/>
          </rPr>
          <t xml:space="preserve"> &lt;[[TCDeals] - [TC Property Current Stage (Seq: 1)] - [Unit Mix (Seq: 47)] Net Rentable Sq Ft - Send]&gt;</t>
        </r>
      </text>
    </comment>
    <comment ref="L243" authorId="0" shapeId="0" xr:uid="{1F7DA332-26E1-49C0-99FC-D34771664196}">
      <text>
        <r>
          <rPr>
            <b/>
            <sz val="9"/>
            <color indexed="81"/>
            <rFont val="Tahoma"/>
            <family val="2"/>
          </rPr>
          <t xml:space="preserve"> &lt;[[TCDeals] - [TC Property Current Stage (Seq: 1)] - [Unit Mix (Seq: 47)] Num Units - Send]&gt;</t>
        </r>
      </text>
    </comment>
    <comment ref="N243" authorId="0" shapeId="0" xr:uid="{AC6EC9D4-9F57-4B01-98C2-7E9899E6317E}">
      <text>
        <r>
          <rPr>
            <b/>
            <sz val="9"/>
            <color indexed="81"/>
            <rFont val="Tahoma"/>
            <family val="2"/>
          </rPr>
          <t xml:space="preserve"> &lt;[[TCDeals] - [TC Property Current Stage (Seq: 1)] - [Unit Mix (Seq: 47)] Monthly Rent Per Unit - Send]&gt;</t>
        </r>
      </text>
    </comment>
    <comment ref="P243" authorId="0" shapeId="0" xr:uid="{C69DCA5A-449C-4932-B55C-B9612CA2204F}">
      <text>
        <r>
          <rPr>
            <b/>
            <sz val="9"/>
            <color indexed="81"/>
            <rFont val="Tahoma"/>
            <family val="2"/>
          </rPr>
          <t xml:space="preserve"> &lt;[[TCDeals] - [TC Property Current Stage (Seq: 1)] - [Unit Mix (Seq: 47)] Income Target - Send]&gt;</t>
        </r>
      </text>
    </comment>
    <comment ref="Z243" authorId="0" shapeId="0" xr:uid="{FF0F8911-55B7-4A78-9360-2F663DD2698C}">
      <text>
        <r>
          <rPr>
            <b/>
            <sz val="9"/>
            <color indexed="81"/>
            <rFont val="Tahoma"/>
            <family val="2"/>
          </rPr>
          <t xml:space="preserve"> &lt;[[TCDeals] - [Associated DEV Deal (Seq: 1)] - [Deal Property (Seq: 1)] - [Locations (Seq: 1)] - [Unit Mix (Seq: 47)] Unit Type - Send]&gt;</t>
        </r>
      </text>
    </comment>
    <comment ref="AB243" authorId="0" shapeId="0" xr:uid="{DC1F9522-8109-4562-BD01-D05B0F3924AD}">
      <text>
        <r>
          <rPr>
            <b/>
            <sz val="9"/>
            <color indexed="81"/>
            <rFont val="Tahoma"/>
            <family val="2"/>
          </rPr>
          <t xml:space="preserve"> &lt;[[TCDeals] - [Associated DEV Deal (Seq: 1)] - [Deal Property (Seq: 1)] - [Locations (Seq: 1)] - [Unit Mix (Seq: 47)] Residential Apartment Type - Send]&gt;</t>
        </r>
      </text>
    </comment>
    <comment ref="AD243" authorId="0" shapeId="0" xr:uid="{301A9E9E-AA95-46FC-9BD1-3DF5B1CD8D4C}">
      <text>
        <r>
          <rPr>
            <b/>
            <sz val="9"/>
            <color indexed="81"/>
            <rFont val="Tahoma"/>
            <family val="2"/>
          </rPr>
          <t xml:space="preserve"> &lt;[[TCDeals] - [Associated DEV Deal (Seq: 1)] - [Deal Property (Seq: 1)] - [Locations (Seq: 1)] - [Unit Mix (Seq: 47)] Base Rent - Send]&gt;</t>
        </r>
      </text>
    </comment>
    <comment ref="AF243" authorId="0" shapeId="0" xr:uid="{5FDAEA44-3132-4B66-BEB6-6AFF7B666ED0}">
      <text>
        <r>
          <rPr>
            <b/>
            <sz val="9"/>
            <color indexed="81"/>
            <rFont val="Tahoma"/>
            <family val="2"/>
          </rPr>
          <t xml:space="preserve"> &lt;[[TCDeals] - [Associated DEV Deal (Seq: 1)] - [Deal Property (Seq: 1)] - [Locations (Seq: 1)] - [Unit Mix (Seq: 47)] Square Footage - Send]&gt;</t>
        </r>
      </text>
    </comment>
    <comment ref="AH243" authorId="0" shapeId="0" xr:uid="{EFE3FFE0-5A1C-426B-BCF1-141C9FDDBAA7}">
      <text>
        <r>
          <rPr>
            <b/>
            <sz val="9"/>
            <color indexed="81"/>
            <rFont val="Tahoma"/>
            <family val="2"/>
          </rPr>
          <t xml:space="preserve"> &lt;[[TCDeals] - [Associated DEV Deal (Seq: 1)] - [Deal Property (Seq: 1)] - [Locations (Seq: 1)] - [Unit Mix (Seq: 47)] Num Units - Send]&gt;</t>
        </r>
      </text>
    </comment>
    <comment ref="AL243" authorId="0" shapeId="0" xr:uid="{0C141B3C-1F07-49D6-AC37-7185625B8448}">
      <text>
        <r>
          <rPr>
            <b/>
            <sz val="9"/>
            <color indexed="81"/>
            <rFont val="Tahoma"/>
            <family val="2"/>
          </rPr>
          <t xml:space="preserve"> &lt;[[TCDeals] - [Associated DEV Deal (Seq: 1)] - [Deal Property (Seq: 1)] - [Locations (Seq: 1)] - [Unit Mix (Seq: 47)] Unit Mix Ami Percent - Send]&gt;</t>
        </r>
      </text>
    </comment>
    <comment ref="H244" authorId="0" shapeId="0" xr:uid="{82050DDF-5F35-43C8-AE3D-7DC6B0DEFFB1}">
      <text>
        <r>
          <rPr>
            <b/>
            <sz val="9"/>
            <color indexed="81"/>
            <rFont val="Tahoma"/>
            <family val="2"/>
          </rPr>
          <t xml:space="preserve"> &lt;[[TCDeals] - [TC Property Current Stage (Seq: 1)] - [Unit Mix (Seq: 48)] TC Unit Mix Type - Send]&gt;</t>
        </r>
      </text>
    </comment>
    <comment ref="J244" authorId="0" shapeId="0" xr:uid="{BE511957-E149-4984-98A3-3A34D8A6B4BE}">
      <text>
        <r>
          <rPr>
            <b/>
            <sz val="9"/>
            <color indexed="81"/>
            <rFont val="Tahoma"/>
            <family val="2"/>
          </rPr>
          <t xml:space="preserve"> &lt;[[TCDeals] - [TC Property Current Stage (Seq: 1)] - [Unit Mix (Seq: 48)] Net Rentable Sq Ft - Send]&gt;</t>
        </r>
      </text>
    </comment>
    <comment ref="L244" authorId="0" shapeId="0" xr:uid="{6F92C72F-084E-47FD-A2D4-A9289A5F7839}">
      <text>
        <r>
          <rPr>
            <b/>
            <sz val="9"/>
            <color indexed="81"/>
            <rFont val="Tahoma"/>
            <family val="2"/>
          </rPr>
          <t xml:space="preserve"> &lt;[[TCDeals] - [TC Property Current Stage (Seq: 1)] - [Unit Mix (Seq: 48)] Num Units - Send]&gt;</t>
        </r>
      </text>
    </comment>
    <comment ref="N244" authorId="0" shapeId="0" xr:uid="{1E3B2163-1DFF-455E-BEC8-EE40CD2AD78C}">
      <text>
        <r>
          <rPr>
            <b/>
            <sz val="9"/>
            <color indexed="81"/>
            <rFont val="Tahoma"/>
            <family val="2"/>
          </rPr>
          <t xml:space="preserve"> &lt;[[TCDeals] - [TC Property Current Stage (Seq: 1)] - [Unit Mix (Seq: 48)] Monthly Rent Per Unit - Send]&gt;</t>
        </r>
      </text>
    </comment>
    <comment ref="P244" authorId="0" shapeId="0" xr:uid="{09B87529-86E0-43F0-B784-E451E3E09DB9}">
      <text>
        <r>
          <rPr>
            <b/>
            <sz val="9"/>
            <color indexed="81"/>
            <rFont val="Tahoma"/>
            <family val="2"/>
          </rPr>
          <t xml:space="preserve"> &lt;[[TCDeals] - [TC Property Current Stage (Seq: 1)] - [Unit Mix (Seq: 48)] Income Target - Send]&gt;</t>
        </r>
      </text>
    </comment>
    <comment ref="Z244" authorId="0" shapeId="0" xr:uid="{9079C92C-03CB-4C15-AFBE-F9866B4FEB11}">
      <text>
        <r>
          <rPr>
            <b/>
            <sz val="9"/>
            <color indexed="81"/>
            <rFont val="Tahoma"/>
            <family val="2"/>
          </rPr>
          <t xml:space="preserve"> &lt;[[TCDeals] - [Associated DEV Deal (Seq: 1)] - [Deal Property (Seq: 1)] - [Locations (Seq: 1)] - [Unit Mix (Seq: 48)] Unit Type - Send]&gt;</t>
        </r>
      </text>
    </comment>
    <comment ref="AB244" authorId="0" shapeId="0" xr:uid="{84EF97EF-1582-4F7D-AE5C-81525F91243E}">
      <text>
        <r>
          <rPr>
            <b/>
            <sz val="9"/>
            <color indexed="81"/>
            <rFont val="Tahoma"/>
            <family val="2"/>
          </rPr>
          <t xml:space="preserve"> &lt;[[TCDeals] - [Associated DEV Deal (Seq: 1)] - [Deal Property (Seq: 1)] - [Locations (Seq: 1)] - [Unit Mix (Seq: 48)] Residential Apartment Type - Send]&gt;</t>
        </r>
      </text>
    </comment>
    <comment ref="AD244" authorId="0" shapeId="0" xr:uid="{DC495200-7B5E-4ADA-8C61-2C6320CA809F}">
      <text>
        <r>
          <rPr>
            <b/>
            <sz val="9"/>
            <color indexed="81"/>
            <rFont val="Tahoma"/>
            <family val="2"/>
          </rPr>
          <t xml:space="preserve"> &lt;[[TCDeals] - [Associated DEV Deal (Seq: 1)] - [Deal Property (Seq: 1)] - [Locations (Seq: 1)] - [Unit Mix (Seq: 48)] Base Rent - Send]&gt;</t>
        </r>
      </text>
    </comment>
    <comment ref="AF244" authorId="0" shapeId="0" xr:uid="{DD9A3621-CA3F-41ED-948A-EFD1DB693211}">
      <text>
        <r>
          <rPr>
            <b/>
            <sz val="9"/>
            <color indexed="81"/>
            <rFont val="Tahoma"/>
            <family val="2"/>
          </rPr>
          <t xml:space="preserve"> &lt;[[TCDeals] - [Associated DEV Deal (Seq: 1)] - [Deal Property (Seq: 1)] - [Locations (Seq: 1)] - [Unit Mix (Seq: 48)] Square Footage - Send]&gt;</t>
        </r>
      </text>
    </comment>
    <comment ref="AH244" authorId="0" shapeId="0" xr:uid="{BBE2A7EE-A1AF-4FA0-85AF-8313962F1297}">
      <text>
        <r>
          <rPr>
            <b/>
            <sz val="9"/>
            <color indexed="81"/>
            <rFont val="Tahoma"/>
            <family val="2"/>
          </rPr>
          <t xml:space="preserve"> &lt;[[TCDeals] - [Associated DEV Deal (Seq: 1)] - [Deal Property (Seq: 1)] - [Locations (Seq: 1)] - [Unit Mix (Seq: 48)] Num Units - Send]&gt;</t>
        </r>
      </text>
    </comment>
    <comment ref="AL244" authorId="0" shapeId="0" xr:uid="{FE8D9E27-51EA-45B3-8A79-DB3DDD77176D}">
      <text>
        <r>
          <rPr>
            <b/>
            <sz val="9"/>
            <color indexed="81"/>
            <rFont val="Tahoma"/>
            <family val="2"/>
          </rPr>
          <t xml:space="preserve"> &lt;[[TCDeals] - [Associated DEV Deal (Seq: 1)] - [Deal Property (Seq: 1)] - [Locations (Seq: 1)] - [Unit Mix (Seq: 48)] Unit Mix Ami Percent - Send]&gt;</t>
        </r>
      </text>
    </comment>
    <comment ref="H245" authorId="0" shapeId="0" xr:uid="{FFCC6CB9-49CD-4720-8DFA-12F591791178}">
      <text>
        <r>
          <rPr>
            <b/>
            <sz val="9"/>
            <color indexed="81"/>
            <rFont val="Tahoma"/>
            <family val="2"/>
          </rPr>
          <t xml:space="preserve"> &lt;[[TCDeals] - [TC Property Current Stage (Seq: 1)] - [Unit Mix (Seq: 49)] TC Unit Mix Type - Send]&gt;</t>
        </r>
      </text>
    </comment>
    <comment ref="J245" authorId="0" shapeId="0" xr:uid="{093410DF-3AF2-425B-91CE-D7250CFA0476}">
      <text>
        <r>
          <rPr>
            <b/>
            <sz val="9"/>
            <color indexed="81"/>
            <rFont val="Tahoma"/>
            <family val="2"/>
          </rPr>
          <t xml:space="preserve"> &lt;[[TCDeals] - [TC Property Current Stage (Seq: 1)] - [Unit Mix (Seq: 49)] Net Rentable Sq Ft - Send]&gt;</t>
        </r>
      </text>
    </comment>
    <comment ref="L245" authorId="0" shapeId="0" xr:uid="{32353FC6-73E8-444D-BD67-7D6431C71FD0}">
      <text>
        <r>
          <rPr>
            <b/>
            <sz val="9"/>
            <color indexed="81"/>
            <rFont val="Tahoma"/>
            <family val="2"/>
          </rPr>
          <t xml:space="preserve"> &lt;[[TCDeals] - [TC Property Current Stage (Seq: 1)] - [Unit Mix (Seq: 49)] Num Units - Send]&gt;</t>
        </r>
      </text>
    </comment>
    <comment ref="N245" authorId="0" shapeId="0" xr:uid="{FAD068E6-32C1-4570-94AF-CC0A302F77BE}">
      <text>
        <r>
          <rPr>
            <b/>
            <sz val="9"/>
            <color indexed="81"/>
            <rFont val="Tahoma"/>
            <family val="2"/>
          </rPr>
          <t xml:space="preserve"> &lt;[[TCDeals] - [TC Property Current Stage (Seq: 1)] - [Unit Mix (Seq: 49)] Monthly Rent Per Unit - Send]&gt;</t>
        </r>
      </text>
    </comment>
    <comment ref="P245" authorId="0" shapeId="0" xr:uid="{C9D9CC16-BA3C-46EF-AAE2-986AC9B326E9}">
      <text>
        <r>
          <rPr>
            <b/>
            <sz val="9"/>
            <color indexed="81"/>
            <rFont val="Tahoma"/>
            <family val="2"/>
          </rPr>
          <t xml:space="preserve"> &lt;[[TCDeals] - [TC Property Current Stage (Seq: 1)] - [Unit Mix (Seq: 49)] Income Target - Send]&gt;</t>
        </r>
      </text>
    </comment>
    <comment ref="Z245" authorId="0" shapeId="0" xr:uid="{A66B34A7-8C06-4DCE-B510-D8F322B5859E}">
      <text>
        <r>
          <rPr>
            <b/>
            <sz val="9"/>
            <color indexed="81"/>
            <rFont val="Tahoma"/>
            <family val="2"/>
          </rPr>
          <t xml:space="preserve"> &lt;[[TCDeals] - [Associated DEV Deal (Seq: 1)] - [Deal Property (Seq: 1)] - [Locations (Seq: 1)] - [Unit Mix (Seq: 49)] Unit Type - Send]&gt;</t>
        </r>
      </text>
    </comment>
    <comment ref="AB245" authorId="0" shapeId="0" xr:uid="{BEB32CB8-473E-4FEB-9EA1-C59A7E50E00A}">
      <text>
        <r>
          <rPr>
            <b/>
            <sz val="9"/>
            <color indexed="81"/>
            <rFont val="Tahoma"/>
            <family val="2"/>
          </rPr>
          <t xml:space="preserve"> &lt;[[TCDeals] - [Associated DEV Deal (Seq: 1)] - [Deal Property (Seq: 1)] - [Locations (Seq: 1)] - [Unit Mix (Seq: 49)] Residential Apartment Type - Send]&gt;</t>
        </r>
      </text>
    </comment>
    <comment ref="AD245" authorId="0" shapeId="0" xr:uid="{5D5A400B-7B0D-4470-89C3-E1FD8254EA56}">
      <text>
        <r>
          <rPr>
            <b/>
            <sz val="9"/>
            <color indexed="81"/>
            <rFont val="Tahoma"/>
            <family val="2"/>
          </rPr>
          <t xml:space="preserve"> &lt;[[TCDeals] - [Associated DEV Deal (Seq: 1)] - [Deal Property (Seq: 1)] - [Locations (Seq: 1)] - [Unit Mix (Seq: 49)] Base Rent - Send]&gt;</t>
        </r>
      </text>
    </comment>
    <comment ref="AF245" authorId="0" shapeId="0" xr:uid="{B9B6FF41-2C80-4C61-BC4F-A2980E5BFD5D}">
      <text>
        <r>
          <rPr>
            <b/>
            <sz val="9"/>
            <color indexed="81"/>
            <rFont val="Tahoma"/>
            <family val="2"/>
          </rPr>
          <t xml:space="preserve"> &lt;[[TCDeals] - [Associated DEV Deal (Seq: 1)] - [Deal Property (Seq: 1)] - [Locations (Seq: 1)] - [Unit Mix (Seq: 49)] Square Footage - Send]&gt;</t>
        </r>
      </text>
    </comment>
    <comment ref="AH245" authorId="0" shapeId="0" xr:uid="{9575ECDF-DDC4-499A-A7E9-341895C3759F}">
      <text>
        <r>
          <rPr>
            <b/>
            <sz val="9"/>
            <color indexed="81"/>
            <rFont val="Tahoma"/>
            <family val="2"/>
          </rPr>
          <t xml:space="preserve"> &lt;[[TCDeals] - [Associated DEV Deal (Seq: 1)] - [Deal Property (Seq: 1)] - [Locations (Seq: 1)] - [Unit Mix (Seq: 49)] Num Units - Send]&gt;</t>
        </r>
      </text>
    </comment>
    <comment ref="AL245" authorId="0" shapeId="0" xr:uid="{620CF281-87EC-479F-9875-77AEB39BCF07}">
      <text>
        <r>
          <rPr>
            <b/>
            <sz val="9"/>
            <color indexed="81"/>
            <rFont val="Tahoma"/>
            <family val="2"/>
          </rPr>
          <t xml:space="preserve"> &lt;[[TCDeals] - [Associated DEV Deal (Seq: 1)] - [Deal Property (Seq: 1)] - [Locations (Seq: 1)] - [Unit Mix (Seq: 49)] Unit Mix Ami Percent - Send]&gt;</t>
        </r>
      </text>
    </comment>
    <comment ref="H246" authorId="0" shapeId="0" xr:uid="{90405A5B-7D09-43CA-B3D7-1FE39D4F45F8}">
      <text>
        <r>
          <rPr>
            <b/>
            <sz val="9"/>
            <color indexed="81"/>
            <rFont val="Tahoma"/>
            <family val="2"/>
          </rPr>
          <t xml:space="preserve"> &lt;[[TCDeals] - [TC Property Current Stage (Seq: 1)] - [Unit Mix (Seq: 50)] TC Unit Mix Type - Send]&gt;</t>
        </r>
      </text>
    </comment>
    <comment ref="J246" authorId="0" shapeId="0" xr:uid="{FF225657-61F4-4F84-9FFF-D477DCDA4415}">
      <text>
        <r>
          <rPr>
            <b/>
            <sz val="9"/>
            <color indexed="81"/>
            <rFont val="Tahoma"/>
            <family val="2"/>
          </rPr>
          <t xml:space="preserve"> &lt;[[TCDeals] - [TC Property Current Stage (Seq: 1)] - [Unit Mix (Seq: 50)] Net Rentable Sq Ft - Send]&gt;</t>
        </r>
      </text>
    </comment>
    <comment ref="L246" authorId="0" shapeId="0" xr:uid="{0A053D4D-7EE0-464F-B1FD-3E5755A19BBB}">
      <text>
        <r>
          <rPr>
            <b/>
            <sz val="9"/>
            <color indexed="81"/>
            <rFont val="Tahoma"/>
            <family val="2"/>
          </rPr>
          <t xml:space="preserve"> &lt;[[TCDeals] - [TC Property Current Stage (Seq: 1)] - [Unit Mix (Seq: 50)] Num Units - Send]&gt;</t>
        </r>
      </text>
    </comment>
    <comment ref="N246" authorId="0" shapeId="0" xr:uid="{40E17BF0-2733-43FA-8D88-AE9918A300F1}">
      <text>
        <r>
          <rPr>
            <b/>
            <sz val="9"/>
            <color indexed="81"/>
            <rFont val="Tahoma"/>
            <family val="2"/>
          </rPr>
          <t xml:space="preserve"> &lt;[[TCDeals] - [TC Property Current Stage (Seq: 1)] - [Unit Mix (Seq: 50)] Monthly Rent Per Unit - Send]&gt;</t>
        </r>
      </text>
    </comment>
    <comment ref="P246" authorId="0" shapeId="0" xr:uid="{3C07C3B3-7F2F-4A1E-9991-25257CC2EE14}">
      <text>
        <r>
          <rPr>
            <b/>
            <sz val="9"/>
            <color indexed="81"/>
            <rFont val="Tahoma"/>
            <family val="2"/>
          </rPr>
          <t xml:space="preserve"> &lt;[[TCDeals] - [TC Property Current Stage (Seq: 1)] - [Unit Mix (Seq: 50)] Income Target - Send]&gt;</t>
        </r>
      </text>
    </comment>
    <comment ref="Z246" authorId="0" shapeId="0" xr:uid="{48124C15-AC0D-4361-9C2F-B8070A85A4E9}">
      <text>
        <r>
          <rPr>
            <b/>
            <sz val="9"/>
            <color indexed="81"/>
            <rFont val="Tahoma"/>
            <family val="2"/>
          </rPr>
          <t xml:space="preserve"> &lt;[[TCDeals] - [Associated DEV Deal (Seq: 1)] - [Deal Property (Seq: 1)] - [Locations (Seq: 1)] - [Unit Mix (Seq: 50)] Unit Type - Send]&gt;</t>
        </r>
      </text>
    </comment>
    <comment ref="AB246" authorId="0" shapeId="0" xr:uid="{B6120BE0-BBE3-4AB8-B1C5-7687A7B32E6F}">
      <text>
        <r>
          <rPr>
            <b/>
            <sz val="9"/>
            <color indexed="81"/>
            <rFont val="Tahoma"/>
            <family val="2"/>
          </rPr>
          <t xml:space="preserve"> &lt;[[TCDeals] - [Associated DEV Deal (Seq: 1)] - [Deal Property (Seq: 1)] - [Locations (Seq: 1)] - [Unit Mix (Seq: 50)] Residential Apartment Type - Send]&gt;</t>
        </r>
      </text>
    </comment>
    <comment ref="AD246" authorId="0" shapeId="0" xr:uid="{FD481881-7899-4269-8DB2-424FC9DE9698}">
      <text>
        <r>
          <rPr>
            <b/>
            <sz val="9"/>
            <color indexed="81"/>
            <rFont val="Tahoma"/>
            <family val="2"/>
          </rPr>
          <t xml:space="preserve"> &lt;[[TCDeals] - [Associated DEV Deal (Seq: 1)] - [Deal Property (Seq: 1)] - [Locations (Seq: 1)] - [Unit Mix (Seq: 50)] Base Rent - Send]&gt;</t>
        </r>
      </text>
    </comment>
    <comment ref="AF246" authorId="0" shapeId="0" xr:uid="{7E70B47B-5CCC-46EC-9C5B-E3EFD776B2C9}">
      <text>
        <r>
          <rPr>
            <b/>
            <sz val="9"/>
            <color indexed="81"/>
            <rFont val="Tahoma"/>
            <family val="2"/>
          </rPr>
          <t xml:space="preserve"> &lt;[[TCDeals] - [Associated DEV Deal (Seq: 1)] - [Deal Property (Seq: 1)] - [Locations (Seq: 1)] - [Unit Mix (Seq: 50)] Square Footage - Send]&gt;</t>
        </r>
      </text>
    </comment>
    <comment ref="AH246" authorId="0" shapeId="0" xr:uid="{7E37D5B2-153B-41CD-8026-5D43C08D3663}">
      <text>
        <r>
          <rPr>
            <b/>
            <sz val="9"/>
            <color indexed="81"/>
            <rFont val="Tahoma"/>
            <family val="2"/>
          </rPr>
          <t xml:space="preserve"> &lt;[[TCDeals] - [Associated DEV Deal (Seq: 1)] - [Deal Property (Seq: 1)] - [Locations (Seq: 1)] - [Unit Mix (Seq: 50)] Num Units - Send]&gt;</t>
        </r>
      </text>
    </comment>
    <comment ref="AL246" authorId="0" shapeId="0" xr:uid="{4A193BEA-E95A-4C43-B30A-1746E161E54C}">
      <text>
        <r>
          <rPr>
            <b/>
            <sz val="9"/>
            <color indexed="81"/>
            <rFont val="Tahoma"/>
            <family val="2"/>
          </rPr>
          <t xml:space="preserve"> &lt;[[TCDeals] - [Associated DEV Deal (Seq: 1)] - [Deal Property (Seq: 1)] - [Locations (Seq: 1)] - [Unit Mix (Seq: 50)] Unit Mix Ami Percent - Send]&gt;</t>
        </r>
      </text>
    </comment>
    <comment ref="H247" authorId="0" shapeId="0" xr:uid="{36548D1F-11DF-4067-8F1D-AC5DB8DC7FC6}">
      <text>
        <r>
          <rPr>
            <b/>
            <sz val="9"/>
            <color indexed="81"/>
            <rFont val="Tahoma"/>
            <family val="2"/>
          </rPr>
          <t xml:space="preserve"> &lt;[[TCDeals] - [TC Property Current Stage (Seq: 1)] - [Unit Mix (Seq: 51)] TC Unit Mix Type - Send]&gt;</t>
        </r>
      </text>
    </comment>
    <comment ref="J247" authorId="0" shapeId="0" xr:uid="{09FA69C9-6428-4098-A1DC-E4A11E5164B7}">
      <text>
        <r>
          <rPr>
            <b/>
            <sz val="9"/>
            <color indexed="81"/>
            <rFont val="Tahoma"/>
            <family val="2"/>
          </rPr>
          <t xml:space="preserve"> &lt;[[TCDeals] - [TC Property Current Stage (Seq: 1)] - [Unit Mix (Seq: 51)] Net Rentable Sq Ft - Send]&gt;</t>
        </r>
      </text>
    </comment>
    <comment ref="L247" authorId="0" shapeId="0" xr:uid="{D27436DD-E7B7-42E8-8E75-63E5DAA66939}">
      <text>
        <r>
          <rPr>
            <b/>
            <sz val="9"/>
            <color indexed="81"/>
            <rFont val="Tahoma"/>
            <family val="2"/>
          </rPr>
          <t xml:space="preserve"> &lt;[[TCDeals] - [TC Property Current Stage (Seq: 1)] - [Unit Mix (Seq: 51)] Num Units - Send]&gt;</t>
        </r>
      </text>
    </comment>
    <comment ref="N247" authorId="0" shapeId="0" xr:uid="{3EB24871-8D32-4F0C-B657-CAC15C2A8259}">
      <text>
        <r>
          <rPr>
            <b/>
            <sz val="9"/>
            <color indexed="81"/>
            <rFont val="Tahoma"/>
            <family val="2"/>
          </rPr>
          <t xml:space="preserve"> &lt;[[TCDeals] - [TC Property Current Stage (Seq: 1)] - [Unit Mix (Seq: 51)] Monthly Rent Per Unit - Send]&gt;</t>
        </r>
      </text>
    </comment>
    <comment ref="P247" authorId="0" shapeId="0" xr:uid="{62D71F91-92B2-48B5-802D-FA78429BE4E2}">
      <text>
        <r>
          <rPr>
            <b/>
            <sz val="9"/>
            <color indexed="81"/>
            <rFont val="Tahoma"/>
            <family val="2"/>
          </rPr>
          <t xml:space="preserve"> &lt;[[TCDeals] - [TC Property Current Stage (Seq: 1)] - [Unit Mix (Seq: 51)] Income Target - Send]&gt;</t>
        </r>
      </text>
    </comment>
    <comment ref="H248" authorId="0" shapeId="0" xr:uid="{7BC86CFA-C853-4CE2-8CAA-BE0176712451}">
      <text>
        <r>
          <rPr>
            <b/>
            <sz val="9"/>
            <color indexed="81"/>
            <rFont val="Tahoma"/>
            <family val="2"/>
          </rPr>
          <t xml:space="preserve"> &lt;[[TCDeals] - [TC Property Current Stage (Seq: 1)] - [Unit Mix (Seq: 52)] TC Unit Mix Type - Send]&gt;</t>
        </r>
      </text>
    </comment>
    <comment ref="J248" authorId="0" shapeId="0" xr:uid="{7B7006B1-15F5-4A52-A0C6-A745A488E5B6}">
      <text>
        <r>
          <rPr>
            <b/>
            <sz val="9"/>
            <color indexed="81"/>
            <rFont val="Tahoma"/>
            <family val="2"/>
          </rPr>
          <t xml:space="preserve"> &lt;[[TCDeals] - [TC Property Current Stage (Seq: 1)] - [Unit Mix (Seq: 52)] Net Rentable Sq Ft - Send]&gt;</t>
        </r>
      </text>
    </comment>
    <comment ref="L248" authorId="0" shapeId="0" xr:uid="{1D985C0B-6673-4F2E-ABFF-CADC81C9FC07}">
      <text>
        <r>
          <rPr>
            <b/>
            <sz val="9"/>
            <color indexed="81"/>
            <rFont val="Tahoma"/>
            <family val="2"/>
          </rPr>
          <t xml:space="preserve"> &lt;[[TCDeals] - [TC Property Current Stage (Seq: 1)] - [Unit Mix (Seq: 52)] Num Units - Send]&gt;</t>
        </r>
      </text>
    </comment>
    <comment ref="N248" authorId="0" shapeId="0" xr:uid="{EF40E5F3-F5F1-4C5D-824A-F109E254250B}">
      <text>
        <r>
          <rPr>
            <b/>
            <sz val="9"/>
            <color indexed="81"/>
            <rFont val="Tahoma"/>
            <family val="2"/>
          </rPr>
          <t xml:space="preserve"> &lt;[[TCDeals] - [TC Property Current Stage (Seq: 1)] - [Unit Mix (Seq: 52)] Monthly Rent Per Unit - Send]&gt;</t>
        </r>
      </text>
    </comment>
    <comment ref="P248" authorId="0" shapeId="0" xr:uid="{3B41FF06-E419-4C7C-B454-0F6CE782006D}">
      <text>
        <r>
          <rPr>
            <b/>
            <sz val="9"/>
            <color indexed="81"/>
            <rFont val="Tahoma"/>
            <family val="2"/>
          </rPr>
          <t xml:space="preserve"> &lt;[[TCDeals] - [TC Property Current Stage (Seq: 1)] - [Unit Mix (Seq: 52)] Income Target - Send]&gt;</t>
        </r>
      </text>
    </comment>
    <comment ref="H249" authorId="0" shapeId="0" xr:uid="{ACCE8C51-A46E-41FC-8DCD-D9CF38688344}">
      <text>
        <r>
          <rPr>
            <b/>
            <sz val="9"/>
            <color indexed="81"/>
            <rFont val="Tahoma"/>
            <family val="2"/>
          </rPr>
          <t xml:space="preserve"> &lt;[[TCDeals] - [TC Property Current Stage (Seq: 1)] - [Unit Mix (Seq: 53)] TC Unit Mix Type - Send]&gt;</t>
        </r>
      </text>
    </comment>
    <comment ref="J249" authorId="0" shapeId="0" xr:uid="{DA0D8D83-D318-4DF9-AAFF-5E6CA8B7FE8B}">
      <text>
        <r>
          <rPr>
            <b/>
            <sz val="9"/>
            <color indexed="81"/>
            <rFont val="Tahoma"/>
            <family val="2"/>
          </rPr>
          <t xml:space="preserve"> &lt;[[TCDeals] - [TC Property Current Stage (Seq: 1)] - [Unit Mix (Seq: 53)] Net Rentable Sq Ft - Send]&gt;</t>
        </r>
      </text>
    </comment>
    <comment ref="L249" authorId="0" shapeId="0" xr:uid="{6D89E539-FFAF-496D-A330-6D835651F946}">
      <text>
        <r>
          <rPr>
            <b/>
            <sz val="9"/>
            <color indexed="81"/>
            <rFont val="Tahoma"/>
            <family val="2"/>
          </rPr>
          <t xml:space="preserve"> &lt;[[TCDeals] - [TC Property Current Stage (Seq: 1)] - [Unit Mix (Seq: 53)] Num Units - Send]&gt;</t>
        </r>
      </text>
    </comment>
    <comment ref="N249" authorId="0" shapeId="0" xr:uid="{65435036-0582-4EE3-97EF-DFF9878328A3}">
      <text>
        <r>
          <rPr>
            <b/>
            <sz val="9"/>
            <color indexed="81"/>
            <rFont val="Tahoma"/>
            <family val="2"/>
          </rPr>
          <t xml:space="preserve"> &lt;[[TCDeals] - [TC Property Current Stage (Seq: 1)] - [Unit Mix (Seq: 53)] Monthly Rent Per Unit - Send]&gt;</t>
        </r>
      </text>
    </comment>
    <comment ref="P249" authorId="0" shapeId="0" xr:uid="{46503929-F5F3-465F-A10C-E2C05E790B01}">
      <text>
        <r>
          <rPr>
            <b/>
            <sz val="9"/>
            <color indexed="81"/>
            <rFont val="Tahoma"/>
            <family val="2"/>
          </rPr>
          <t xml:space="preserve"> &lt;[[TCDeals] - [TC Property Current Stage (Seq: 1)] - [Unit Mix (Seq: 53)] Income Target - Send]&gt;</t>
        </r>
      </text>
    </comment>
    <comment ref="H250" authorId="0" shapeId="0" xr:uid="{6FDB2F8E-DED1-43CA-9CF8-731BF77F88C9}">
      <text>
        <r>
          <rPr>
            <b/>
            <sz val="9"/>
            <color indexed="81"/>
            <rFont val="Tahoma"/>
            <family val="2"/>
          </rPr>
          <t xml:space="preserve"> &lt;[[TCDeals] - [TC Property Current Stage (Seq: 1)] - [Unit Mix (Seq: 54)] TC Unit Mix Type - Send]&gt;</t>
        </r>
      </text>
    </comment>
    <comment ref="J250" authorId="0" shapeId="0" xr:uid="{0B23B6EA-8838-4977-994A-AFA1B50D09DB}">
      <text>
        <r>
          <rPr>
            <b/>
            <sz val="9"/>
            <color indexed="81"/>
            <rFont val="Tahoma"/>
            <family val="2"/>
          </rPr>
          <t xml:space="preserve"> &lt;[[TCDeals] - [TC Property Current Stage (Seq: 1)] - [Unit Mix (Seq: 54)] Net Rentable Sq Ft - Send]&gt;</t>
        </r>
      </text>
    </comment>
    <comment ref="L250" authorId="0" shapeId="0" xr:uid="{9E222E06-B240-479A-8416-7051CC2ECBD8}">
      <text>
        <r>
          <rPr>
            <b/>
            <sz val="9"/>
            <color indexed="81"/>
            <rFont val="Tahoma"/>
            <family val="2"/>
          </rPr>
          <t xml:space="preserve"> &lt;[[TCDeals] - [TC Property Current Stage (Seq: 1)] - [Unit Mix (Seq: 54)] Num Units - Send]&gt;</t>
        </r>
      </text>
    </comment>
    <comment ref="N250" authorId="0" shapeId="0" xr:uid="{7BBD68A4-F61F-4629-990F-3C2DDB36DAC1}">
      <text>
        <r>
          <rPr>
            <b/>
            <sz val="9"/>
            <color indexed="81"/>
            <rFont val="Tahoma"/>
            <family val="2"/>
          </rPr>
          <t xml:space="preserve"> &lt;[[TCDeals] - [TC Property Current Stage (Seq: 1)] - [Unit Mix (Seq: 54)] Monthly Rent Per Unit - Send]&gt;</t>
        </r>
      </text>
    </comment>
    <comment ref="P250" authorId="0" shapeId="0" xr:uid="{BA686640-9412-413F-974F-4FC8EB86114C}">
      <text>
        <r>
          <rPr>
            <b/>
            <sz val="9"/>
            <color indexed="81"/>
            <rFont val="Tahoma"/>
            <family val="2"/>
          </rPr>
          <t xml:space="preserve"> &lt;[[TCDeals] - [TC Property Current Stage (Seq: 1)] - [Unit Mix (Seq: 54)] Income Target - Send]&gt;</t>
        </r>
      </text>
    </comment>
    <comment ref="H251" authorId="0" shapeId="0" xr:uid="{E2FDDB63-F8C0-4E3D-8DE5-5E6AA33770AA}">
      <text>
        <r>
          <rPr>
            <b/>
            <sz val="9"/>
            <color indexed="81"/>
            <rFont val="Tahoma"/>
            <family val="2"/>
          </rPr>
          <t xml:space="preserve"> &lt;[[TCDeals] - [TC Property Current Stage (Seq: 1)] - [Unit Mix (Seq: 55)] TC Unit Mix Type - Send]&gt;</t>
        </r>
      </text>
    </comment>
    <comment ref="J251" authorId="0" shapeId="0" xr:uid="{051A5F5B-FB66-4C4D-BE1D-114991B81CB7}">
      <text>
        <r>
          <rPr>
            <b/>
            <sz val="9"/>
            <color indexed="81"/>
            <rFont val="Tahoma"/>
            <family val="2"/>
          </rPr>
          <t xml:space="preserve"> &lt;[[TCDeals] - [TC Property Current Stage (Seq: 1)] - [Unit Mix (Seq: 55)] Net Rentable Sq Ft - Send]&gt;</t>
        </r>
      </text>
    </comment>
    <comment ref="L251" authorId="0" shapeId="0" xr:uid="{AA82E9A8-9D19-4B69-BC5A-767062A522A6}">
      <text>
        <r>
          <rPr>
            <b/>
            <sz val="9"/>
            <color indexed="81"/>
            <rFont val="Tahoma"/>
            <family val="2"/>
          </rPr>
          <t xml:space="preserve"> &lt;[[TCDeals] - [TC Property Current Stage (Seq: 1)] - [Unit Mix (Seq: 55)] Num Units - Send]&gt;</t>
        </r>
      </text>
    </comment>
    <comment ref="N251" authorId="0" shapeId="0" xr:uid="{5AAE1C89-BD0F-4742-A206-F6FD4E837DB5}">
      <text>
        <r>
          <rPr>
            <b/>
            <sz val="9"/>
            <color indexed="81"/>
            <rFont val="Tahoma"/>
            <family val="2"/>
          </rPr>
          <t xml:space="preserve"> &lt;[[TCDeals] - [TC Property Current Stage (Seq: 1)] - [Unit Mix (Seq: 55)] Monthly Rent Per Unit - Send]&gt;</t>
        </r>
      </text>
    </comment>
    <comment ref="P251" authorId="0" shapeId="0" xr:uid="{944D538C-2D39-442B-82BE-0F2AA184542D}">
      <text>
        <r>
          <rPr>
            <b/>
            <sz val="9"/>
            <color indexed="81"/>
            <rFont val="Tahoma"/>
            <family val="2"/>
          </rPr>
          <t xml:space="preserve"> &lt;[[TCDeals] - [TC Property Current Stage (Seq: 1)] - [Unit Mix (Seq: 55)] Income Target - Send]&gt;</t>
        </r>
      </text>
    </comment>
    <comment ref="H252" authorId="0" shapeId="0" xr:uid="{F3F76414-7969-4D65-8755-158561F7C003}">
      <text>
        <r>
          <rPr>
            <b/>
            <sz val="9"/>
            <color indexed="81"/>
            <rFont val="Tahoma"/>
            <family val="2"/>
          </rPr>
          <t xml:space="preserve"> &lt;[[TCDeals] - [TC Property Current Stage (Seq: 1)] - [Unit Mix (Seq: 56)] TC Unit Mix Type - Send]&gt;</t>
        </r>
      </text>
    </comment>
    <comment ref="J252" authorId="0" shapeId="0" xr:uid="{D300B509-D2ED-4DB9-9A4E-64BBDB4798D9}">
      <text>
        <r>
          <rPr>
            <b/>
            <sz val="9"/>
            <color indexed="81"/>
            <rFont val="Tahoma"/>
            <family val="2"/>
          </rPr>
          <t xml:space="preserve"> &lt;[[TCDeals] - [TC Property Current Stage (Seq: 1)] - [Unit Mix (Seq: 56)] Net Rentable Sq Ft - Send]&gt;</t>
        </r>
      </text>
    </comment>
    <comment ref="L252" authorId="0" shapeId="0" xr:uid="{951E82A9-A3E4-46D2-86A2-5BF2BF8763A3}">
      <text>
        <r>
          <rPr>
            <b/>
            <sz val="9"/>
            <color indexed="81"/>
            <rFont val="Tahoma"/>
            <family val="2"/>
          </rPr>
          <t xml:space="preserve"> &lt;[[TCDeals] - [TC Property Current Stage (Seq: 1)] - [Unit Mix (Seq: 56)] Num Units - Send]&gt;</t>
        </r>
      </text>
    </comment>
    <comment ref="N252" authorId="0" shapeId="0" xr:uid="{C29EA30B-E928-4A53-88A3-874EE845AC1D}">
      <text>
        <r>
          <rPr>
            <b/>
            <sz val="9"/>
            <color indexed="81"/>
            <rFont val="Tahoma"/>
            <family val="2"/>
          </rPr>
          <t xml:space="preserve"> &lt;[[TCDeals] - [TC Property Current Stage (Seq: 1)] - [Unit Mix (Seq: 56)] Monthly Rent Per Unit - Send]&gt;</t>
        </r>
      </text>
    </comment>
    <comment ref="P252" authorId="0" shapeId="0" xr:uid="{BDAAC15E-4186-4BD0-9D9B-F7375814EA30}">
      <text>
        <r>
          <rPr>
            <b/>
            <sz val="9"/>
            <color indexed="81"/>
            <rFont val="Tahoma"/>
            <family val="2"/>
          </rPr>
          <t xml:space="preserve"> &lt;[[TCDeals] - [TC Property Current Stage (Seq: 1)] - [Unit Mix (Seq: 56)] Income Target - Send]&gt;</t>
        </r>
      </text>
    </comment>
    <comment ref="H253" authorId="0" shapeId="0" xr:uid="{30166BF1-82E3-4F1F-85D9-884A18343195}">
      <text>
        <r>
          <rPr>
            <b/>
            <sz val="9"/>
            <color indexed="81"/>
            <rFont val="Tahoma"/>
            <family val="2"/>
          </rPr>
          <t xml:space="preserve"> &lt;[[TCDeals] - [TC Property Current Stage (Seq: 1)] - [Unit Mix (Seq: 57)] TC Unit Mix Type - Send]&gt;</t>
        </r>
      </text>
    </comment>
    <comment ref="J253" authorId="0" shapeId="0" xr:uid="{B75D4882-FC05-4685-8EE9-DDDEC26A65D7}">
      <text>
        <r>
          <rPr>
            <b/>
            <sz val="9"/>
            <color indexed="81"/>
            <rFont val="Tahoma"/>
            <family val="2"/>
          </rPr>
          <t xml:space="preserve"> &lt;[[TCDeals] - [TC Property Current Stage (Seq: 1)] - [Unit Mix (Seq: 57)] Net Rentable Sq Ft - Send]&gt;</t>
        </r>
      </text>
    </comment>
    <comment ref="L253" authorId="0" shapeId="0" xr:uid="{1CAEB159-AFB8-496C-B3F2-E89B3E7BE795}">
      <text>
        <r>
          <rPr>
            <b/>
            <sz val="9"/>
            <color indexed="81"/>
            <rFont val="Tahoma"/>
            <family val="2"/>
          </rPr>
          <t xml:space="preserve"> &lt;[[TCDeals] - [TC Property Current Stage (Seq: 1)] - [Unit Mix (Seq: 57)] Num Units - Send]&gt;</t>
        </r>
      </text>
    </comment>
    <comment ref="N253" authorId="0" shapeId="0" xr:uid="{F1FC5A2D-C794-41B0-80FA-A39D698B7096}">
      <text>
        <r>
          <rPr>
            <b/>
            <sz val="9"/>
            <color indexed="81"/>
            <rFont val="Tahoma"/>
            <family val="2"/>
          </rPr>
          <t xml:space="preserve"> &lt;[[TCDeals] - [TC Property Current Stage (Seq: 1)] - [Unit Mix (Seq: 57)] Monthly Rent Per Unit - Send]&gt;</t>
        </r>
      </text>
    </comment>
    <comment ref="P253" authorId="0" shapeId="0" xr:uid="{33A14319-427D-4877-943C-6267B1A6D843}">
      <text>
        <r>
          <rPr>
            <b/>
            <sz val="9"/>
            <color indexed="81"/>
            <rFont val="Tahoma"/>
            <family val="2"/>
          </rPr>
          <t xml:space="preserve"> &lt;[[TCDeals] - [TC Property Current Stage (Seq: 1)] - [Unit Mix (Seq: 57)] Income Target - Send]&gt;</t>
        </r>
      </text>
    </comment>
    <comment ref="H254" authorId="0" shapeId="0" xr:uid="{8947056F-A23F-4AB4-AF63-03D9FA5E1D86}">
      <text>
        <r>
          <rPr>
            <b/>
            <sz val="9"/>
            <color indexed="81"/>
            <rFont val="Tahoma"/>
            <family val="2"/>
          </rPr>
          <t xml:space="preserve"> &lt;[[TCDeals] - [TC Property Current Stage (Seq: 1)] - [Unit Mix (Seq: 58)] TC Unit Mix Type - Send]&gt;</t>
        </r>
      </text>
    </comment>
    <comment ref="J254" authorId="0" shapeId="0" xr:uid="{07BBD5BD-DA0E-4A55-9DD4-4A78C2BDA2D3}">
      <text>
        <r>
          <rPr>
            <b/>
            <sz val="9"/>
            <color indexed="81"/>
            <rFont val="Tahoma"/>
            <family val="2"/>
          </rPr>
          <t xml:space="preserve"> &lt;[[TCDeals] - [TC Property Current Stage (Seq: 1)] - [Unit Mix (Seq: 58)] Net Rentable Sq Ft - Send]&gt;</t>
        </r>
      </text>
    </comment>
    <comment ref="L254" authorId="0" shapeId="0" xr:uid="{4315BF05-F4CC-4255-9E53-0CC6128FA5CB}">
      <text>
        <r>
          <rPr>
            <b/>
            <sz val="9"/>
            <color indexed="81"/>
            <rFont val="Tahoma"/>
            <family val="2"/>
          </rPr>
          <t xml:space="preserve"> &lt;[[TCDeals] - [TC Property Current Stage (Seq: 1)] - [Unit Mix (Seq: 58)] Num Units - Send]&gt;</t>
        </r>
      </text>
    </comment>
    <comment ref="N254" authorId="0" shapeId="0" xr:uid="{78965C15-F2DC-417F-A122-9AFAD2C12428}">
      <text>
        <r>
          <rPr>
            <b/>
            <sz val="9"/>
            <color indexed="81"/>
            <rFont val="Tahoma"/>
            <family val="2"/>
          </rPr>
          <t xml:space="preserve"> &lt;[[TCDeals] - [TC Property Current Stage (Seq: 1)] - [Unit Mix (Seq: 58)] Monthly Rent Per Unit - Send]&gt;</t>
        </r>
      </text>
    </comment>
    <comment ref="P254" authorId="0" shapeId="0" xr:uid="{B5E2D209-BFED-4EFD-A46D-1DF89B1C674E}">
      <text>
        <r>
          <rPr>
            <b/>
            <sz val="9"/>
            <color indexed="81"/>
            <rFont val="Tahoma"/>
            <family val="2"/>
          </rPr>
          <t xml:space="preserve"> &lt;[[TCDeals] - [TC Property Current Stage (Seq: 1)] - [Unit Mix (Seq: 58)] Income Target - Send]&gt;</t>
        </r>
      </text>
    </comment>
    <comment ref="H255" authorId="0" shapeId="0" xr:uid="{09BF02AD-0E6D-40E0-871D-4941E9F53D14}">
      <text>
        <r>
          <rPr>
            <b/>
            <sz val="9"/>
            <color indexed="81"/>
            <rFont val="Tahoma"/>
            <family val="2"/>
          </rPr>
          <t xml:space="preserve"> &lt;[[TCDeals] - [TC Property Current Stage (Seq: 1)] - [Unit Mix (Seq: 59)] TC Unit Mix Type - Send]&gt;</t>
        </r>
      </text>
    </comment>
    <comment ref="J255" authorId="0" shapeId="0" xr:uid="{6F5F4AE3-3C30-4CDE-8E5F-4D81E4112D46}">
      <text>
        <r>
          <rPr>
            <b/>
            <sz val="9"/>
            <color indexed="81"/>
            <rFont val="Tahoma"/>
            <family val="2"/>
          </rPr>
          <t xml:space="preserve"> &lt;[[TCDeals] - [TC Property Current Stage (Seq: 1)] - [Unit Mix (Seq: 59)] Net Rentable Sq Ft - Send]&gt;</t>
        </r>
      </text>
    </comment>
    <comment ref="L255" authorId="0" shapeId="0" xr:uid="{BFD54704-103E-4ED3-8051-D63D7A301F35}">
      <text>
        <r>
          <rPr>
            <b/>
            <sz val="9"/>
            <color indexed="81"/>
            <rFont val="Tahoma"/>
            <family val="2"/>
          </rPr>
          <t xml:space="preserve"> &lt;[[TCDeals] - [TC Property Current Stage (Seq: 1)] - [Unit Mix (Seq: 59)] Num Units - Send]&gt;</t>
        </r>
      </text>
    </comment>
    <comment ref="N255" authorId="0" shapeId="0" xr:uid="{155A36A9-3756-427E-8CC6-DF2E1994C0A0}">
      <text>
        <r>
          <rPr>
            <b/>
            <sz val="9"/>
            <color indexed="81"/>
            <rFont val="Tahoma"/>
            <family val="2"/>
          </rPr>
          <t xml:space="preserve"> &lt;[[TCDeals] - [TC Property Current Stage (Seq: 1)] - [Unit Mix (Seq: 59)] Monthly Rent Per Unit - Send]&gt;</t>
        </r>
      </text>
    </comment>
    <comment ref="P255" authorId="0" shapeId="0" xr:uid="{20E0BE3C-A224-45FA-A34D-6E02424BF94D}">
      <text>
        <r>
          <rPr>
            <b/>
            <sz val="9"/>
            <color indexed="81"/>
            <rFont val="Tahoma"/>
            <family val="2"/>
          </rPr>
          <t xml:space="preserve"> &lt;[[TCDeals] - [TC Property Current Stage (Seq: 1)] - [Unit Mix (Seq: 59)] Income Target - Send]&gt;</t>
        </r>
      </text>
    </comment>
    <comment ref="H256" authorId="0" shapeId="0" xr:uid="{F6465199-3A1C-425F-9A5C-BC906BDDC092}">
      <text>
        <r>
          <rPr>
            <b/>
            <sz val="9"/>
            <color indexed="81"/>
            <rFont val="Tahoma"/>
            <family val="2"/>
          </rPr>
          <t xml:space="preserve"> &lt;[[TCDeals] - [TC Property Current Stage (Seq: 1)] - [Unit Mix (Seq: 60)] TC Unit Mix Type - Send]&gt;</t>
        </r>
      </text>
    </comment>
    <comment ref="J256" authorId="0" shapeId="0" xr:uid="{691CD701-FB5D-48BC-9080-3513B0CC54E7}">
      <text>
        <r>
          <rPr>
            <b/>
            <sz val="9"/>
            <color indexed="81"/>
            <rFont val="Tahoma"/>
            <family val="2"/>
          </rPr>
          <t xml:space="preserve"> &lt;[[TCDeals] - [TC Property Current Stage (Seq: 1)] - [Unit Mix (Seq: 60)] Net Rentable Sq Ft - Send]&gt;</t>
        </r>
      </text>
    </comment>
    <comment ref="L256" authorId="0" shapeId="0" xr:uid="{9C8A65AF-552E-4AD2-89C9-72ECA8F8CDF1}">
      <text>
        <r>
          <rPr>
            <b/>
            <sz val="9"/>
            <color indexed="81"/>
            <rFont val="Tahoma"/>
            <family val="2"/>
          </rPr>
          <t xml:space="preserve"> &lt;[[TCDeals] - [TC Property Current Stage (Seq: 1)] - [Unit Mix (Seq: 60)] Num Units - Send]&gt;</t>
        </r>
      </text>
    </comment>
    <comment ref="N256" authorId="0" shapeId="0" xr:uid="{9C824F87-13FB-46E8-85F1-93B4078FBABF}">
      <text>
        <r>
          <rPr>
            <b/>
            <sz val="9"/>
            <color indexed="81"/>
            <rFont val="Tahoma"/>
            <family val="2"/>
          </rPr>
          <t xml:space="preserve"> &lt;[[TCDeals] - [TC Property Current Stage (Seq: 1)] - [Unit Mix (Seq: 60)] Monthly Rent Per Unit - Send]&gt;</t>
        </r>
      </text>
    </comment>
    <comment ref="P256" authorId="0" shapeId="0" xr:uid="{F4A57666-D621-4AE1-A815-74B8674CD3C0}">
      <text>
        <r>
          <rPr>
            <b/>
            <sz val="9"/>
            <color indexed="81"/>
            <rFont val="Tahoma"/>
            <family val="2"/>
          </rPr>
          <t xml:space="preserve"> &lt;[[TCDeals] - [TC Property Current Stage (Seq: 1)] - [Unit Mix (Seq: 60)] Income Target - Send]&gt;</t>
        </r>
      </text>
    </comment>
    <comment ref="H257" authorId="0" shapeId="0" xr:uid="{3A7FE70F-C515-4A0B-82F2-215FC002999F}">
      <text>
        <r>
          <rPr>
            <b/>
            <sz val="9"/>
            <color indexed="81"/>
            <rFont val="Tahoma"/>
            <family val="2"/>
          </rPr>
          <t xml:space="preserve"> &lt;[[TCDeals] - [TC Property Current Stage (Seq: 1)] - [Unit Mix (Seq: 61)] TC Unit Mix Type - Send]&gt;</t>
        </r>
      </text>
    </comment>
    <comment ref="J257" authorId="0" shapeId="0" xr:uid="{511867CE-F7F7-4B7C-BAB3-FF19C40237D9}">
      <text>
        <r>
          <rPr>
            <b/>
            <sz val="9"/>
            <color indexed="81"/>
            <rFont val="Tahoma"/>
            <family val="2"/>
          </rPr>
          <t xml:space="preserve"> &lt;[[TCDeals] - [TC Property Current Stage (Seq: 1)] - [Unit Mix (Seq: 61)] Net Rentable Sq Ft - Send]&gt;</t>
        </r>
      </text>
    </comment>
    <comment ref="L257" authorId="0" shapeId="0" xr:uid="{0E1E17C2-6F46-4A7C-BF72-CD3A170E5B5E}">
      <text>
        <r>
          <rPr>
            <b/>
            <sz val="9"/>
            <color indexed="81"/>
            <rFont val="Tahoma"/>
            <family val="2"/>
          </rPr>
          <t xml:space="preserve"> &lt;[[TCDeals] - [TC Property Current Stage (Seq: 1)] - [Unit Mix (Seq: 61)] Num Units - Send]&gt;</t>
        </r>
      </text>
    </comment>
    <comment ref="N257" authorId="0" shapeId="0" xr:uid="{CA715478-35BC-461C-8A81-092C3AC6D681}">
      <text>
        <r>
          <rPr>
            <b/>
            <sz val="9"/>
            <color indexed="81"/>
            <rFont val="Tahoma"/>
            <family val="2"/>
          </rPr>
          <t xml:space="preserve"> &lt;[[TCDeals] - [TC Property Current Stage (Seq: 1)] - [Unit Mix (Seq: 61)] Monthly Rent Per Unit - Send]&gt;</t>
        </r>
      </text>
    </comment>
    <comment ref="P257" authorId="0" shapeId="0" xr:uid="{A268C7E4-066B-4E81-A82A-EBC9FFFF303A}">
      <text>
        <r>
          <rPr>
            <b/>
            <sz val="9"/>
            <color indexed="81"/>
            <rFont val="Tahoma"/>
            <family val="2"/>
          </rPr>
          <t xml:space="preserve"> &lt;[[TCDeals] - [TC Property Current Stage (Seq: 1)] - [Unit Mix (Seq: 61)] Income Target - Send]&gt;</t>
        </r>
      </text>
    </comment>
    <comment ref="H258" authorId="0" shapeId="0" xr:uid="{C58783FE-F3F1-4F26-AFEA-D4613DEBEE76}">
      <text>
        <r>
          <rPr>
            <b/>
            <sz val="9"/>
            <color indexed="81"/>
            <rFont val="Tahoma"/>
            <family val="2"/>
          </rPr>
          <t xml:space="preserve"> &lt;[[TCDeals] - [TC Property Current Stage (Seq: 1)] - [Unit Mix (Seq: 62)] TC Unit Mix Type - Send]&gt;</t>
        </r>
      </text>
    </comment>
    <comment ref="J258" authorId="0" shapeId="0" xr:uid="{9C0635C6-DD01-43F1-9BE4-B442C07791E4}">
      <text>
        <r>
          <rPr>
            <b/>
            <sz val="9"/>
            <color indexed="81"/>
            <rFont val="Tahoma"/>
            <family val="2"/>
          </rPr>
          <t xml:space="preserve"> &lt;[[TCDeals] - [TC Property Current Stage (Seq: 1)] - [Unit Mix (Seq: 62)] Net Rentable Sq Ft - Send]&gt;</t>
        </r>
      </text>
    </comment>
    <comment ref="L258" authorId="0" shapeId="0" xr:uid="{35EBF690-F918-4A1E-BA74-42391C346A7A}">
      <text>
        <r>
          <rPr>
            <b/>
            <sz val="9"/>
            <color indexed="81"/>
            <rFont val="Tahoma"/>
            <family val="2"/>
          </rPr>
          <t xml:space="preserve"> &lt;[[TCDeals] - [TC Property Current Stage (Seq: 1)] - [Unit Mix (Seq: 62)] Num Units - Send]&gt;</t>
        </r>
      </text>
    </comment>
    <comment ref="N258" authorId="0" shapeId="0" xr:uid="{3A54C3AE-DFD1-49F4-9583-F4478ED284B3}">
      <text>
        <r>
          <rPr>
            <b/>
            <sz val="9"/>
            <color indexed="81"/>
            <rFont val="Tahoma"/>
            <family val="2"/>
          </rPr>
          <t xml:space="preserve"> &lt;[[TCDeals] - [TC Property Current Stage (Seq: 1)] - [Unit Mix (Seq: 62)] Monthly Rent Per Unit - Send]&gt;</t>
        </r>
      </text>
    </comment>
    <comment ref="P258" authorId="0" shapeId="0" xr:uid="{9ED68211-48DB-4C1F-B9D1-9A7966C75D44}">
      <text>
        <r>
          <rPr>
            <b/>
            <sz val="9"/>
            <color indexed="81"/>
            <rFont val="Tahoma"/>
            <family val="2"/>
          </rPr>
          <t xml:space="preserve"> &lt;[[TCDeals] - [TC Property Current Stage (Seq: 1)] - [Unit Mix (Seq: 62)] Income Target - Send]&gt;</t>
        </r>
      </text>
    </comment>
    <comment ref="H259" authorId="0" shapeId="0" xr:uid="{E612D43F-A29F-4D5D-B952-4BA3B9173CD3}">
      <text>
        <r>
          <rPr>
            <b/>
            <sz val="9"/>
            <color indexed="81"/>
            <rFont val="Tahoma"/>
            <family val="2"/>
          </rPr>
          <t xml:space="preserve"> &lt;[[TCDeals] - [TC Property Current Stage (Seq: 1)] - [Unit Mix (Seq: 63)] TC Unit Mix Type - Send]&gt;</t>
        </r>
      </text>
    </comment>
    <comment ref="J259" authorId="0" shapeId="0" xr:uid="{80D639B1-5128-45D6-A3D4-1B47BBD06158}">
      <text>
        <r>
          <rPr>
            <b/>
            <sz val="9"/>
            <color indexed="81"/>
            <rFont val="Tahoma"/>
            <family val="2"/>
          </rPr>
          <t xml:space="preserve"> &lt;[[TCDeals] - [TC Property Current Stage (Seq: 1)] - [Unit Mix (Seq: 63)] Net Rentable Sq Ft - Send]&gt;</t>
        </r>
      </text>
    </comment>
    <comment ref="L259" authorId="0" shapeId="0" xr:uid="{E0109CCD-5AEE-43A0-8336-5F91AC6B6A92}">
      <text>
        <r>
          <rPr>
            <b/>
            <sz val="9"/>
            <color indexed="81"/>
            <rFont val="Tahoma"/>
            <family val="2"/>
          </rPr>
          <t xml:space="preserve"> &lt;[[TCDeals] - [TC Property Current Stage (Seq: 1)] - [Unit Mix (Seq: 63)] Num Units - Send]&gt;</t>
        </r>
      </text>
    </comment>
    <comment ref="N259" authorId="0" shapeId="0" xr:uid="{F2F27801-BB36-4EBB-B556-B9377952278F}">
      <text>
        <r>
          <rPr>
            <b/>
            <sz val="9"/>
            <color indexed="81"/>
            <rFont val="Tahoma"/>
            <family val="2"/>
          </rPr>
          <t xml:space="preserve"> &lt;[[TCDeals] - [TC Property Current Stage (Seq: 1)] - [Unit Mix (Seq: 63)] Monthly Rent Per Unit - Send]&gt;</t>
        </r>
      </text>
    </comment>
    <comment ref="P259" authorId="0" shapeId="0" xr:uid="{DF89B118-3F3C-4E71-804F-13EA9C4B62D8}">
      <text>
        <r>
          <rPr>
            <b/>
            <sz val="9"/>
            <color indexed="81"/>
            <rFont val="Tahoma"/>
            <family val="2"/>
          </rPr>
          <t xml:space="preserve"> &lt;[[TCDeals] - [TC Property Current Stage (Seq: 1)] - [Unit Mix (Seq: 63)] Income Target - Send]&gt;</t>
        </r>
      </text>
    </comment>
    <comment ref="Z261" authorId="0" shapeId="0" xr:uid="{2F660337-2B1F-4CE7-8057-144A2D99CAC3}">
      <text>
        <r>
          <rPr>
            <b/>
            <sz val="9"/>
            <color indexed="81"/>
            <rFont val="Tahoma"/>
            <family val="2"/>
          </rPr>
          <t xml:space="preserve"> &lt;[[TCDeals] - [Associated DEV Deal (Seq: 1)] - [Deal Property (Seq: 1)] Total Market Units - Send]&gt;</t>
        </r>
      </text>
    </comment>
    <comment ref="Z262" authorId="0" shapeId="0" xr:uid="{E4E82BED-643C-40A2-9BB0-1D288D5B3A67}">
      <text>
        <r>
          <rPr>
            <b/>
            <sz val="9"/>
            <color indexed="81"/>
            <rFont val="Tahoma"/>
            <family val="2"/>
          </rPr>
          <t xml:space="preserve"> &lt;[[TCDeals] - [Associated DEV Deal (Seq: 1)] - [Deal Property (Seq: 1)] Total LIHTC Units - Send]&gt;</t>
        </r>
      </text>
    </comment>
    <comment ref="D263" authorId="0" shapeId="0" xr:uid="{28F3F5B2-6ED7-4D71-8A42-509CE346C958}">
      <text>
        <r>
          <rPr>
            <b/>
            <sz val="9"/>
            <color indexed="81"/>
            <rFont val="Tahoma"/>
            <family val="2"/>
          </rPr>
          <t xml:space="preserve"> &lt;[[TCDeals] - [TC Property Current Stage (Seq: 1)] - [Units (Seq: 1)] TC Unit Type - Send]&gt;</t>
        </r>
      </text>
    </comment>
    <comment ref="E263" authorId="0" shapeId="0" xr:uid="{2A79FA7A-FEDF-4E95-9CB9-7CE46E4FBDDC}">
      <text>
        <r>
          <rPr>
            <b/>
            <sz val="9"/>
            <color indexed="81"/>
            <rFont val="Tahoma"/>
            <family val="2"/>
          </rPr>
          <t xml:space="preserve"> &lt;[[TCDeals] - [TC Property Current Stage (Seq: 1)] - [Units (Seq: 1)] Num TC Units - Send]&gt;</t>
        </r>
      </text>
    </comment>
    <comment ref="F263" authorId="0" shapeId="0" xr:uid="{A7591AE6-2B5B-4ADF-BD4D-1F01ED73F7B0}">
      <text>
        <r>
          <rPr>
            <b/>
            <sz val="9"/>
            <color indexed="81"/>
            <rFont val="Tahoma"/>
            <family val="2"/>
          </rPr>
          <t xml:space="preserve"> &lt;[[TCDeals] - [TC Property Current Stage (Seq: 1)] - [Units (Seq: 1)] Average Sq Feet - Send]&gt;</t>
        </r>
      </text>
    </comment>
    <comment ref="L263" authorId="0" shapeId="0" xr:uid="{F81825C3-9437-4562-8F9B-401C6B4C163F}">
      <text>
        <r>
          <rPr>
            <b/>
            <sz val="9"/>
            <color indexed="81"/>
            <rFont val="Tahoma"/>
            <family val="2"/>
          </rPr>
          <t xml:space="preserve"> &lt;[[TCDeals] - [TC Property Current Stage (Seq: 1)] - [Units (Seq: 1)] Total Rental Units - Send]&gt;</t>
        </r>
      </text>
    </comment>
    <comment ref="Z263" authorId="0" shapeId="0" xr:uid="{77AD1E74-0194-48F4-AC06-9C54B3E26E0D}">
      <text>
        <r>
          <rPr>
            <b/>
            <sz val="9"/>
            <color indexed="81"/>
            <rFont val="Tahoma"/>
            <family val="2"/>
          </rPr>
          <t xml:space="preserve"> &lt;[[TCDeals] - [Associated DEV Deal (Seq: 1)] - [Deal Property (Seq: 1)] Total LIHTC Beds - Send]&gt;</t>
        </r>
      </text>
    </comment>
    <comment ref="D264" authorId="0" shapeId="0" xr:uid="{D5ED86E8-B2E7-4936-8DE3-74E287D83D73}">
      <text>
        <r>
          <rPr>
            <b/>
            <sz val="9"/>
            <color indexed="81"/>
            <rFont val="Tahoma"/>
            <family val="2"/>
          </rPr>
          <t xml:space="preserve"> &lt;[[TCDeals] - [TC Property Current Stage (Seq: 1)] - [Units (Seq: 2)] TC Unit Type - Send]&gt;</t>
        </r>
      </text>
    </comment>
    <comment ref="E264" authorId="0" shapeId="0" xr:uid="{B3BE0CE4-CCE6-437C-9883-5BBF26CF13D1}">
      <text>
        <r>
          <rPr>
            <b/>
            <sz val="9"/>
            <color indexed="81"/>
            <rFont val="Tahoma"/>
            <family val="2"/>
          </rPr>
          <t xml:space="preserve"> &lt;[[TCDeals] - [TC Property Current Stage (Seq: 1)] - [Units (Seq: 2)] Num TC Units - Send]&gt;</t>
        </r>
      </text>
    </comment>
    <comment ref="F264" authorId="0" shapeId="0" xr:uid="{89934F1E-320A-42EE-BE0B-294ADB07D297}">
      <text>
        <r>
          <rPr>
            <b/>
            <sz val="9"/>
            <color indexed="81"/>
            <rFont val="Tahoma"/>
            <family val="2"/>
          </rPr>
          <t xml:space="preserve"> &lt;[[TCDeals] - [TC Property Current Stage (Seq: 1)] - [Units (Seq: 2)] Average Sq Feet - Send]&gt;</t>
        </r>
      </text>
    </comment>
    <comment ref="L264" authorId="0" shapeId="0" xr:uid="{835B3DDC-EE3E-43BB-BFE4-96F21E8DF8FC}">
      <text>
        <r>
          <rPr>
            <b/>
            <sz val="9"/>
            <color indexed="81"/>
            <rFont val="Tahoma"/>
            <family val="2"/>
          </rPr>
          <t xml:space="preserve"> &lt;[[TCDeals] - [TC Property Current Stage (Seq: 1)] - [Units (Seq: 2)] Total Rental Units - Send]&gt;</t>
        </r>
      </text>
    </comment>
    <comment ref="Z264" authorId="0" shapeId="0" xr:uid="{FB81854B-1307-487E-B2EC-1399470C176C}">
      <text>
        <r>
          <rPr>
            <b/>
            <sz val="9"/>
            <color indexed="81"/>
            <rFont val="Tahoma"/>
            <family val="2"/>
          </rPr>
          <t xml:space="preserve"> &lt;[[TCDeals] - [Associated DEV Deal (Seq: 1)] - [Deal Property (Seq: 1)] Total Square Footage - Send]&gt;</t>
        </r>
      </text>
    </comment>
    <comment ref="D265" authorId="0" shapeId="0" xr:uid="{C0721564-FE70-4A2B-AA56-2C64B013F492}">
      <text>
        <r>
          <rPr>
            <b/>
            <sz val="9"/>
            <color indexed="81"/>
            <rFont val="Tahoma"/>
            <family val="2"/>
          </rPr>
          <t xml:space="preserve"> &lt;[[TCDeals] - [TC Property Current Stage (Seq: 1)] - [Units (Seq: 3)] TC Unit Type - Send]&gt;</t>
        </r>
      </text>
    </comment>
    <comment ref="E265" authorId="0" shapeId="0" xr:uid="{2045BA24-A339-4F01-A532-D642018DC006}">
      <text>
        <r>
          <rPr>
            <b/>
            <sz val="9"/>
            <color indexed="81"/>
            <rFont val="Tahoma"/>
            <family val="2"/>
          </rPr>
          <t xml:space="preserve"> &lt;[[TCDeals] - [TC Property Current Stage (Seq: 1)] - [Units (Seq: 3)] Num TC Units - Send]&gt;</t>
        </r>
      </text>
    </comment>
    <comment ref="F265" authorId="0" shapeId="0" xr:uid="{0050F0CF-954B-4B51-AE81-C587047E0F44}">
      <text>
        <r>
          <rPr>
            <b/>
            <sz val="9"/>
            <color indexed="81"/>
            <rFont val="Tahoma"/>
            <family val="2"/>
          </rPr>
          <t xml:space="preserve"> &lt;[[TCDeals] - [TC Property Current Stage (Seq: 1)] - [Units (Seq: 3)] Average Sq Feet - Send]&gt;</t>
        </r>
      </text>
    </comment>
    <comment ref="L265" authorId="0" shapeId="0" xr:uid="{07886035-2C98-4018-B51A-84EFFB4C7790}">
      <text>
        <r>
          <rPr>
            <b/>
            <sz val="9"/>
            <color indexed="81"/>
            <rFont val="Tahoma"/>
            <family val="2"/>
          </rPr>
          <t xml:space="preserve"> &lt;[[TCDeals] - [TC Property Current Stage (Seq: 1)] - [Units (Seq: 3)] Total Rental Units - Send]&gt;</t>
        </r>
      </text>
    </comment>
    <comment ref="Z265" authorId="0" shapeId="0" xr:uid="{F099E899-1912-433A-BC0C-8A26D55A3F78}">
      <text>
        <r>
          <rPr>
            <b/>
            <sz val="9"/>
            <color indexed="81"/>
            <rFont val="Tahoma"/>
            <family val="2"/>
          </rPr>
          <t xml:space="preserve"> &lt;[[TCDeals] - [Associated DEV Deal (Seq: 1)] - [Deal Property (Seq: 1)] Total Beds - Send]&gt;</t>
        </r>
      </text>
    </comment>
    <comment ref="D266" authorId="0" shapeId="0" xr:uid="{4CD7F239-74C4-45AC-A8CB-8D1AEC3C50C5}">
      <text>
        <r>
          <rPr>
            <b/>
            <sz val="9"/>
            <color indexed="81"/>
            <rFont val="Tahoma"/>
            <family val="2"/>
          </rPr>
          <t xml:space="preserve"> &lt;[[TCDeals] - [TC Property Current Stage (Seq: 1)] - [Units (Seq: 4)] TC Unit Type - Send]&gt;</t>
        </r>
      </text>
    </comment>
    <comment ref="E266" authorId="0" shapeId="0" xr:uid="{6F7A48F4-AB86-4A22-A23E-E10F3A6B526E}">
      <text>
        <r>
          <rPr>
            <b/>
            <sz val="9"/>
            <color indexed="81"/>
            <rFont val="Tahoma"/>
            <family val="2"/>
          </rPr>
          <t xml:space="preserve"> &lt;[[TCDeals] - [TC Property Current Stage (Seq: 1)] - [Units (Seq: 4)] Num TC Units - Send]&gt;</t>
        </r>
      </text>
    </comment>
    <comment ref="F266" authorId="0" shapeId="0" xr:uid="{0A372C0A-3214-4996-B9E9-03DEAACB3D3B}">
      <text>
        <r>
          <rPr>
            <b/>
            <sz val="9"/>
            <color indexed="81"/>
            <rFont val="Tahoma"/>
            <family val="2"/>
          </rPr>
          <t xml:space="preserve"> &lt;[[TCDeals] - [TC Property Current Stage (Seq: 1)] - [Units (Seq: 4)] Average Sq Feet - Send]&gt;</t>
        </r>
      </text>
    </comment>
    <comment ref="L266" authorId="0" shapeId="0" xr:uid="{72F4E407-4274-4DA1-8DAA-B276D301AF15}">
      <text>
        <r>
          <rPr>
            <b/>
            <sz val="9"/>
            <color indexed="81"/>
            <rFont val="Tahoma"/>
            <family val="2"/>
          </rPr>
          <t xml:space="preserve"> &lt;[[TCDeals] - [TC Property Current Stage (Seq: 1)] - [Units (Seq: 4)] Total Rental Units - Send]&gt;</t>
        </r>
      </text>
    </comment>
    <comment ref="Z266" authorId="0" shapeId="0" xr:uid="{6D0A640D-3BC5-4564-9088-072A5AF9EABE}">
      <text>
        <r>
          <rPr>
            <b/>
            <sz val="9"/>
            <color indexed="81"/>
            <rFont val="Tahoma"/>
            <family val="2"/>
          </rPr>
          <t xml:space="preserve"> &lt;[[TCDeals] - [Associated DEV Deal (Seq: 1)] - [Deal Property (Seq: 1)] Total Units - Send]&gt;</t>
        </r>
      </text>
    </comment>
    <comment ref="D267" authorId="0" shapeId="0" xr:uid="{F8A7AF7A-4BF3-4590-A92A-BD2D242F7565}">
      <text>
        <r>
          <rPr>
            <b/>
            <sz val="9"/>
            <color indexed="81"/>
            <rFont val="Tahoma"/>
            <family val="2"/>
          </rPr>
          <t xml:space="preserve"> &lt;[[TCDeals] - [TC Property Current Stage (Seq: 1)] - [Units (Seq: 5)] TC Unit Type - Send]&gt;</t>
        </r>
      </text>
    </comment>
    <comment ref="E267" authorId="0" shapeId="0" xr:uid="{A65FCD2A-83B9-4912-BBAC-5FC581F43F0B}">
      <text>
        <r>
          <rPr>
            <b/>
            <sz val="9"/>
            <color indexed="81"/>
            <rFont val="Tahoma"/>
            <family val="2"/>
          </rPr>
          <t xml:space="preserve"> &lt;[[TCDeals] - [TC Property Current Stage (Seq: 1)] - [Units (Seq: 5)] Num TC Units - Send]&gt;</t>
        </r>
      </text>
    </comment>
    <comment ref="F267" authorId="0" shapeId="0" xr:uid="{0AF483A7-3DA8-4FBE-A13E-BEB2ED52B1CF}">
      <text>
        <r>
          <rPr>
            <b/>
            <sz val="9"/>
            <color indexed="81"/>
            <rFont val="Tahoma"/>
            <family val="2"/>
          </rPr>
          <t xml:space="preserve"> &lt;[[TCDeals] - [TC Property Current Stage (Seq: 1)] - [Units (Seq: 5)] Average Sq Feet - Send]&gt;</t>
        </r>
      </text>
    </comment>
    <comment ref="L267" authorId="0" shapeId="0" xr:uid="{80E93AC8-BF04-4A4C-B8CF-555DC73469C1}">
      <text>
        <r>
          <rPr>
            <b/>
            <sz val="9"/>
            <color indexed="81"/>
            <rFont val="Tahoma"/>
            <family val="2"/>
          </rPr>
          <t xml:space="preserve"> &lt;[[TCDeals] - [TC Property Current Stage (Seq: 1)] - [Units (Seq: 5)] Total Rental Units - Send]&gt;</t>
        </r>
      </text>
    </comment>
    <comment ref="Z267" authorId="0" shapeId="0" xr:uid="{19170A2F-8932-44C0-AB2C-D071B2FA338B}">
      <text>
        <r>
          <rPr>
            <b/>
            <sz val="9"/>
            <color indexed="81"/>
            <rFont val="Tahoma"/>
            <family val="2"/>
          </rPr>
          <t xml:space="preserve"> &lt;[[TCDeals] - [Associated DEV Deal (Seq: 1)] - [Deal Property (Seq: 1)] Total Low Income Units - Send]&gt;</t>
        </r>
      </text>
    </comment>
    <comment ref="D268" authorId="0" shapeId="0" xr:uid="{F9DCA7FD-7657-48E1-AFCF-85793B89BA2D}">
      <text>
        <r>
          <rPr>
            <b/>
            <sz val="9"/>
            <color indexed="81"/>
            <rFont val="Tahoma"/>
            <family val="2"/>
          </rPr>
          <t xml:space="preserve"> &lt;[[TCDeals] - [TC Property Current Stage (Seq: 1)] - [Units (Seq: 6)] TC Unit Type - Send]&gt;</t>
        </r>
      </text>
    </comment>
    <comment ref="E268" authorId="0" shapeId="0" xr:uid="{4B85CDAF-11A6-41D3-9EAC-FBDD20B03960}">
      <text>
        <r>
          <rPr>
            <b/>
            <sz val="9"/>
            <color indexed="81"/>
            <rFont val="Tahoma"/>
            <family val="2"/>
          </rPr>
          <t xml:space="preserve"> &lt;[[TCDeals] - [TC Property Current Stage (Seq: 1)] - [Units (Seq: 6)] Num TC Units - Send]&gt;</t>
        </r>
      </text>
    </comment>
    <comment ref="F268" authorId="0" shapeId="0" xr:uid="{67218AE5-B546-4B7E-AFC4-6E7E32A7D36C}">
      <text>
        <r>
          <rPr>
            <b/>
            <sz val="9"/>
            <color indexed="81"/>
            <rFont val="Tahoma"/>
            <family val="2"/>
          </rPr>
          <t xml:space="preserve"> &lt;[[TCDeals] - [TC Property Current Stage (Seq: 1)] - [Units (Seq: 6)] Average Sq Feet - Send]&gt;</t>
        </r>
      </text>
    </comment>
    <comment ref="L268" authorId="0" shapeId="0" xr:uid="{7F1F9A34-4DEE-41B3-A411-FD03CC21441B}">
      <text>
        <r>
          <rPr>
            <b/>
            <sz val="9"/>
            <color indexed="81"/>
            <rFont val="Tahoma"/>
            <family val="2"/>
          </rPr>
          <t xml:space="preserve"> &lt;[[TCDeals] - [TC Property Current Stage (Seq: 1)] - [Units (Seq: 6)] Total Rental Units - Send]&gt;</t>
        </r>
      </text>
    </comment>
    <comment ref="Z268" authorId="0" shapeId="0" xr:uid="{510A3A8B-EA84-4B2D-AD7E-2108D4BCAAAB}">
      <text>
        <r>
          <rPr>
            <b/>
            <sz val="9"/>
            <color indexed="81"/>
            <rFont val="Tahoma"/>
            <family val="2"/>
          </rPr>
          <t xml:space="preserve"> &lt;[[TCDeals] - [Associated DEV Deal (Seq: 1)] - [Deal Property (Seq: 1)] Total Employee Exempt Units - Send]&gt;</t>
        </r>
      </text>
    </comment>
    <comment ref="C271" authorId="0" shapeId="0" xr:uid="{AB62AF3A-964D-4871-82E9-CBEDD60A414C}">
      <text>
        <r>
          <rPr>
            <b/>
            <sz val="9"/>
            <color indexed="81"/>
            <rFont val="Tahoma"/>
            <family val="2"/>
          </rPr>
          <t xml:space="preserve"> &lt;[[TCDeals] - [TC Property Current Stage (Seq: 1)] Total Bedrooms - Send]&gt;</t>
        </r>
      </text>
    </comment>
    <comment ref="F271" authorId="0" shapeId="0" xr:uid="{C83477AF-F873-4051-9B14-CACFA4E166FA}">
      <text>
        <r>
          <rPr>
            <b/>
            <sz val="9"/>
            <color indexed="81"/>
            <rFont val="Tahoma"/>
            <family val="2"/>
          </rPr>
          <t xml:space="preserve"> &lt;[[TCDeals] - [TC Property Current Stage (Seq: 1)] TC Net Rentable SF - Send]&gt;</t>
        </r>
      </text>
    </comment>
    <comment ref="C272" authorId="0" shapeId="0" xr:uid="{3A200399-E633-4726-9E58-DA28BEE2B8B5}">
      <text>
        <r>
          <rPr>
            <b/>
            <sz val="9"/>
            <color indexed="81"/>
            <rFont val="Tahoma"/>
            <family val="2"/>
          </rPr>
          <t xml:space="preserve"> &lt;[[TCDeals] - [TC Property Current Stage (Seq: 1)] Total Floor Sq Ft - Send]&gt;</t>
        </r>
      </text>
    </comment>
    <comment ref="F272" authorId="0" shapeId="0" xr:uid="{3F9EE65D-4CF8-4804-9172-042F9F4D9BE9}">
      <text>
        <r>
          <rPr>
            <b/>
            <sz val="9"/>
            <color indexed="81"/>
            <rFont val="Tahoma"/>
            <family val="2"/>
          </rPr>
          <t xml:space="preserve"> &lt;[[TCDeals] - [TC Property Current Stage (Seq: 1)] Mkt Net Rentable SF - Send]&gt;</t>
        </r>
      </text>
    </comment>
    <comment ref="C273" authorId="0" shapeId="0" xr:uid="{A8273D84-6665-4ABE-A297-E1128224392A}">
      <text>
        <r>
          <rPr>
            <b/>
            <sz val="9"/>
            <color indexed="81"/>
            <rFont val="Tahoma"/>
            <family val="2"/>
          </rPr>
          <t xml:space="preserve"> &lt;[[TCDeals] - [TC Property Current Stage (Seq: 1)] Total Units - Send]&gt;</t>
        </r>
      </text>
    </comment>
    <comment ref="F273" authorId="0" shapeId="0" xr:uid="{491554E8-3C4D-4C18-AF42-5B9CC97AB4C6}">
      <text>
        <r>
          <rPr>
            <b/>
            <sz val="9"/>
            <color indexed="81"/>
            <rFont val="Tahoma"/>
            <family val="2"/>
          </rPr>
          <t xml:space="preserve"> &lt;[[TCDeals] - [TC Property Current Stage (Seq: 1)] Total Employee Exempt Units - Send]&gt;</t>
        </r>
      </text>
    </comment>
    <comment ref="C274" authorId="0" shapeId="0" xr:uid="{C72A75A9-895F-479F-B328-05CF98808C0D}">
      <text>
        <r>
          <rPr>
            <b/>
            <sz val="9"/>
            <color indexed="81"/>
            <rFont val="Tahoma"/>
            <family val="2"/>
          </rPr>
          <t xml:space="preserve"> &lt;[[TCDeals] - [TC Property Current Stage (Seq: 1)] Total Low Income Units - Send]&gt;</t>
        </r>
      </text>
    </comment>
    <comment ref="C275" authorId="0" shapeId="0" xr:uid="{87AA161A-0EE7-4180-8ADF-F69CB929540E}">
      <text>
        <r>
          <rPr>
            <b/>
            <sz val="9"/>
            <color indexed="81"/>
            <rFont val="Tahoma"/>
            <family val="2"/>
          </rPr>
          <t xml:space="preserve"> &lt;[[TCDeals] - [TC Property Current Stage (Seq: 1)] Total Low Income Bedrooms - Send]&gt;</t>
        </r>
      </text>
    </comment>
    <comment ref="F275" authorId="0" shapeId="0" xr:uid="{DB1B9BD7-62B9-473E-9693-EF044138B129}">
      <text>
        <r>
          <rPr>
            <b/>
            <sz val="9"/>
            <color indexed="81"/>
            <rFont val="Tahoma"/>
            <family val="2"/>
          </rPr>
          <t xml:space="preserve"> &lt;[[TCDeals] - [TC Property Current Stage (Seq: 1)] Total Residential Heated Sq Ft - Send]&gt;</t>
        </r>
      </text>
    </comment>
    <comment ref="C276" authorId="0" shapeId="0" xr:uid="{802415E5-F513-4375-BCAC-9675A352FF2E}">
      <text>
        <r>
          <rPr>
            <b/>
            <sz val="9"/>
            <color indexed="81"/>
            <rFont val="Tahoma"/>
            <family val="2"/>
          </rPr>
          <t xml:space="preserve"> &lt;[[TCDeals] - [TC Property Current Stage (Seq: 1)] Total Rental Units - Send]&gt;</t>
        </r>
      </text>
    </comment>
    <comment ref="F276" authorId="0" shapeId="0" xr:uid="{4C7ADA01-5573-46FF-AC45-76BF512014B8}">
      <text>
        <r>
          <rPr>
            <b/>
            <sz val="9"/>
            <color indexed="81"/>
            <rFont val="Tahoma"/>
            <family val="2"/>
          </rPr>
          <t xml:space="preserve"> &lt;[[TCDeals] - [TC Property Current Stage (Seq: 1)] Commercial Sq Ft - Send]&gt;</t>
        </r>
      </text>
    </comment>
    <comment ref="C277" authorId="0" shapeId="0" xr:uid="{61D7252B-F06F-4EBB-BFB0-42AA4139AA7E}">
      <text>
        <r>
          <rPr>
            <b/>
            <sz val="9"/>
            <color indexed="81"/>
            <rFont val="Tahoma"/>
            <family val="2"/>
          </rPr>
          <t xml:space="preserve"> &lt;[[TCDeals] - [TC Property Current Stage (Seq: 1)] Total Rental Bedrooms - Send]&gt;</t>
        </r>
      </text>
    </comment>
    <comment ref="C280" authorId="0" shapeId="0" xr:uid="{220FF335-3233-40BA-9939-B6B38EC95DCC}">
      <text>
        <r>
          <rPr>
            <b/>
            <sz val="9"/>
            <color indexed="81"/>
            <rFont val="Tahoma"/>
            <family val="2"/>
          </rPr>
          <t xml:space="preserve"> &lt;[[TCDeals] - [TC Property Current Stage (Seq: 1)] - [Property Financing - Permanent (Seq: 1)] Source Name - Send]&gt;</t>
        </r>
      </text>
    </comment>
    <comment ref="E280" authorId="0" shapeId="0" xr:uid="{E34EA3B1-2EA5-4633-9C76-79FAE93568CB}">
      <text>
        <r>
          <rPr>
            <b/>
            <sz val="9"/>
            <color indexed="81"/>
            <rFont val="Tahoma"/>
            <family val="2"/>
          </rPr>
          <t xml:space="preserve"> &lt;[[TCDeals] - [TC Property Current Stage (Seq: 1)] - [Property Financing - Permanent (Seq: 1)] Financing Type - Send]&gt;</t>
        </r>
      </text>
    </comment>
    <comment ref="G280" authorId="0" shapeId="0" xr:uid="{8927DB01-08E2-425E-98D2-8C43FDBD9921}">
      <text>
        <r>
          <rPr>
            <b/>
            <sz val="9"/>
            <color indexed="81"/>
            <rFont val="Tahoma"/>
            <family val="2"/>
          </rPr>
          <t xml:space="preserve"> &lt;[[TCDeals] - [TC Property Current Stage (Seq: 1)] - [Property Financing - Permanent (Seq: 1)] Amount - Send]&gt;</t>
        </r>
      </text>
    </comment>
    <comment ref="I280" authorId="0" shapeId="0" xr:uid="{A51A8ED3-8E14-4C73-9E0E-F3EFBBC59D3E}">
      <text>
        <r>
          <rPr>
            <b/>
            <sz val="9"/>
            <color indexed="81"/>
            <rFont val="Tahoma"/>
            <family val="2"/>
          </rPr>
          <t xml:space="preserve"> &lt;[[TCDeals] - [TC Property Current Stage (Seq: 1)] - [Property Financing - Permanent (Seq: 1)] Interest Rate - Send]&gt;</t>
        </r>
      </text>
    </comment>
    <comment ref="K280" authorId="0" shapeId="0" xr:uid="{1D49E3C8-DF31-4171-ACD5-14AE75995996}">
      <text>
        <r>
          <rPr>
            <b/>
            <sz val="9"/>
            <color indexed="81"/>
            <rFont val="Tahoma"/>
            <family val="2"/>
          </rPr>
          <t xml:space="preserve"> &lt;[[TCDeals] - [TC Property Current Stage (Seq: 1)] - [Property Financing - Permanent (Seq: 1)] Loan Term - Send]&gt;</t>
        </r>
      </text>
    </comment>
    <comment ref="M280" authorId="0" shapeId="0" xr:uid="{605DE276-15BE-4E4D-BD40-117E7DCA1248}">
      <text>
        <r>
          <rPr>
            <b/>
            <sz val="9"/>
            <color indexed="81"/>
            <rFont val="Tahoma"/>
            <family val="2"/>
          </rPr>
          <t xml:space="preserve"> &lt;[[TCDeals] - [TC Property Current Stage (Seq: 1)] - [Property Financing - Permanent (Seq: 1)] Annual Debt Svc Cost - Send]&gt;</t>
        </r>
      </text>
    </comment>
    <comment ref="AF280" authorId="0" shapeId="0" xr:uid="{B669215C-43D6-4DEB-93FA-55319C74DAB3}">
      <text>
        <r>
          <rPr>
            <b/>
            <sz val="9"/>
            <color indexed="81"/>
            <rFont val="Tahoma"/>
            <family val="2"/>
          </rPr>
          <t xml:space="preserve"> &lt;[[TCDeals] - [Associated DEV Deal (Seq: 1)] - [Funding (Seq: 1)] DEV Funding Source - Send]&gt;</t>
        </r>
      </text>
    </comment>
    <comment ref="AH280" authorId="0" shapeId="0" xr:uid="{F306383A-0C6B-48B8-B0F1-5872ABBA9C05}">
      <text>
        <r>
          <rPr>
            <b/>
            <sz val="9"/>
            <color indexed="81"/>
            <rFont val="Tahoma"/>
            <family val="2"/>
          </rPr>
          <t xml:space="preserve"> &lt;[[TCDeals] - [Associated DEV Deal (Seq: 1)] - [Funding (Seq: 1)] Program Type - Send]&gt;</t>
        </r>
      </text>
    </comment>
    <comment ref="AJ280" authorId="0" shapeId="0" xr:uid="{4C19EDF7-BFAD-4C04-8E13-C1FB80CB3FDC}">
      <text>
        <r>
          <rPr>
            <b/>
            <sz val="9"/>
            <color indexed="81"/>
            <rFont val="Tahoma"/>
            <family val="2"/>
          </rPr>
          <t xml:space="preserve"> &lt;[[TCDeals] - [Associated DEV Deal (Seq: 1)] - [Funding (Seq: 1)] Loan Product Type - Send]&gt;</t>
        </r>
      </text>
    </comment>
    <comment ref="AL280" authorId="0" shapeId="0" xr:uid="{03471CD3-494C-4305-B81B-B966D8DD834E}">
      <text>
        <r>
          <rPr>
            <b/>
            <sz val="9"/>
            <color indexed="81"/>
            <rFont val="Tahoma"/>
            <family val="2"/>
          </rPr>
          <t xml:space="preserve"> &lt;[[TCDeals] - [Associated DEV Deal (Seq: 1)] - [Funding (Seq: 1)] Term - Send]&gt;</t>
        </r>
      </text>
    </comment>
    <comment ref="AN280" authorId="0" shapeId="0" xr:uid="{B5AD8260-F2A4-4032-A718-D8D8F2EAC9EE}">
      <text>
        <r>
          <rPr>
            <b/>
            <sz val="9"/>
            <color indexed="81"/>
            <rFont val="Tahoma"/>
            <family val="2"/>
          </rPr>
          <t xml:space="preserve"> &lt;[[TCDeals] - [Associated DEV Deal (Seq: 1)] - [Funding (Seq: 1)] Amount - Send]&gt;</t>
        </r>
      </text>
    </comment>
    <comment ref="AP280" authorId="0" shapeId="0" xr:uid="{F601ABED-14A4-47DE-A77A-05233920F3E2}">
      <text>
        <r>
          <rPr>
            <b/>
            <sz val="9"/>
            <color indexed="81"/>
            <rFont val="Tahoma"/>
            <family val="2"/>
          </rPr>
          <t xml:space="preserve"> &lt;[[TCDeals] - [Associated DEV Deal (Seq: 1)] - [Funding (Seq: 1)] Rate - Send]&gt;</t>
        </r>
      </text>
    </comment>
    <comment ref="AR280" authorId="0" shapeId="0" xr:uid="{7BBFDDED-ECF7-4623-B01A-923F1F50A738}">
      <text>
        <r>
          <rPr>
            <b/>
            <sz val="9"/>
            <color indexed="81"/>
            <rFont val="Tahoma"/>
            <family val="2"/>
          </rPr>
          <t xml:space="preserve"> &lt;[[TCDeals] - [Associated DEV Deal (Seq: 1)] - [Funding (Seq: 1)] Debt Service - Send]&gt;</t>
        </r>
      </text>
    </comment>
    <comment ref="C281" authorId="0" shapeId="0" xr:uid="{1DB8C83E-9E98-49CF-B838-0B9A22FABB09}">
      <text>
        <r>
          <rPr>
            <b/>
            <sz val="9"/>
            <color indexed="81"/>
            <rFont val="Tahoma"/>
            <family val="2"/>
          </rPr>
          <t xml:space="preserve"> &lt;[[TCDeals] - [TC Property Current Stage (Seq: 1)] - [Property Financing - Permanent (Seq: 2)] Source Name - Send]&gt;</t>
        </r>
      </text>
    </comment>
    <comment ref="E281" authorId="0" shapeId="0" xr:uid="{70C1A1DF-827A-4AE2-8E44-D09C00EAEACE}">
      <text>
        <r>
          <rPr>
            <b/>
            <sz val="9"/>
            <color indexed="81"/>
            <rFont val="Tahoma"/>
            <family val="2"/>
          </rPr>
          <t xml:space="preserve"> &lt;[[TCDeals] - [TC Property Current Stage (Seq: 1)] - [Property Financing - Permanent (Seq: 2)] Financing Type - Send]&gt;</t>
        </r>
      </text>
    </comment>
    <comment ref="G281" authorId="0" shapeId="0" xr:uid="{7AB1B436-B8FD-4279-855A-838D8D22CA3D}">
      <text>
        <r>
          <rPr>
            <b/>
            <sz val="9"/>
            <color indexed="81"/>
            <rFont val="Tahoma"/>
            <family val="2"/>
          </rPr>
          <t xml:space="preserve"> &lt;[[TCDeals] - [TC Property Current Stage (Seq: 1)] - [Property Financing - Permanent (Seq: 2)] Amount - Send]&gt;</t>
        </r>
      </text>
    </comment>
    <comment ref="I281" authorId="0" shapeId="0" xr:uid="{509F2706-C13E-4703-A8C4-84763F662B93}">
      <text>
        <r>
          <rPr>
            <b/>
            <sz val="9"/>
            <color indexed="81"/>
            <rFont val="Tahoma"/>
            <family val="2"/>
          </rPr>
          <t xml:space="preserve"> &lt;[[TCDeals] - [TC Property Current Stage (Seq: 1)] - [Property Financing - Permanent (Seq: 2)] Interest Rate - Send]&gt;</t>
        </r>
      </text>
    </comment>
    <comment ref="K281" authorId="0" shapeId="0" xr:uid="{9AD1F32B-A5F8-4DDB-BEA1-353E87C29C72}">
      <text>
        <r>
          <rPr>
            <b/>
            <sz val="9"/>
            <color indexed="81"/>
            <rFont val="Tahoma"/>
            <family val="2"/>
          </rPr>
          <t xml:space="preserve"> &lt;[[TCDeals] - [TC Property Current Stage (Seq: 1)] - [Property Financing - Permanent (Seq: 2)] Loan Term - Send]&gt;</t>
        </r>
      </text>
    </comment>
    <comment ref="M281" authorId="0" shapeId="0" xr:uid="{D7E09D95-0B50-4F2D-8248-48169B1B3D36}">
      <text>
        <r>
          <rPr>
            <b/>
            <sz val="9"/>
            <color indexed="81"/>
            <rFont val="Tahoma"/>
            <family val="2"/>
          </rPr>
          <t xml:space="preserve"> &lt;[[TCDeals] - [TC Property Current Stage (Seq: 1)] - [Property Financing - Permanent (Seq: 2)] Annual Debt Svc Cost - Send]&gt;</t>
        </r>
      </text>
    </comment>
    <comment ref="AF281" authorId="0" shapeId="0" xr:uid="{B60CF73F-7D43-4E46-9CDA-7B4B9BF254DF}">
      <text>
        <r>
          <rPr>
            <b/>
            <sz val="9"/>
            <color indexed="81"/>
            <rFont val="Tahoma"/>
            <family val="2"/>
          </rPr>
          <t xml:space="preserve"> &lt;[[TCDeals] - [Associated DEV Deal (Seq: 1)] - [Funding (Seq: 2)] DEV Funding Source - Send]&gt;</t>
        </r>
      </text>
    </comment>
    <comment ref="AH281" authorId="0" shapeId="0" xr:uid="{5487E7AD-34ED-4A2E-9207-F24CC55CE250}">
      <text>
        <r>
          <rPr>
            <b/>
            <sz val="9"/>
            <color indexed="81"/>
            <rFont val="Tahoma"/>
            <family val="2"/>
          </rPr>
          <t xml:space="preserve"> &lt;[[TCDeals] - [Associated DEV Deal (Seq: 1)] - [Funding (Seq: 2)] Program Type - Send]&gt;</t>
        </r>
      </text>
    </comment>
    <comment ref="AJ281" authorId="0" shapeId="0" xr:uid="{AEAA07DA-9C8F-4076-AD77-E877ECC40D89}">
      <text>
        <r>
          <rPr>
            <b/>
            <sz val="9"/>
            <color indexed="81"/>
            <rFont val="Tahoma"/>
            <family val="2"/>
          </rPr>
          <t xml:space="preserve"> &lt;[[TCDeals] - [Associated DEV Deal (Seq: 1)] - [Funding (Seq: 2)] Loan Product Type - Send]&gt;</t>
        </r>
      </text>
    </comment>
    <comment ref="AL281" authorId="0" shapeId="0" xr:uid="{08C7F62B-3FDA-46A7-B4E8-741D099F0468}">
      <text>
        <r>
          <rPr>
            <b/>
            <sz val="9"/>
            <color indexed="81"/>
            <rFont val="Tahoma"/>
            <family val="2"/>
          </rPr>
          <t xml:space="preserve"> &lt;[[TCDeals] - [Associated DEV Deal (Seq: 1)] - [Funding (Seq: 2)] Term - Send]&gt;</t>
        </r>
      </text>
    </comment>
    <comment ref="AN281" authorId="0" shapeId="0" xr:uid="{0BBB8181-2A44-4848-A9C2-949BC950D2B4}">
      <text>
        <r>
          <rPr>
            <b/>
            <sz val="9"/>
            <color indexed="81"/>
            <rFont val="Tahoma"/>
            <family val="2"/>
          </rPr>
          <t xml:space="preserve"> &lt;[[TCDeals] - [Associated DEV Deal (Seq: 1)] - [Funding (Seq: 2)] Amount - Send]&gt;</t>
        </r>
      </text>
    </comment>
    <comment ref="AP281" authorId="0" shapeId="0" xr:uid="{62D1EBB8-3AFA-4DD2-A80A-DA46220449BA}">
      <text>
        <r>
          <rPr>
            <b/>
            <sz val="9"/>
            <color indexed="81"/>
            <rFont val="Tahoma"/>
            <family val="2"/>
          </rPr>
          <t xml:space="preserve"> &lt;[[TCDeals] - [Associated DEV Deal (Seq: 1)] - [Funding (Seq: 2)] Rate - Send]&gt;</t>
        </r>
      </text>
    </comment>
    <comment ref="AR281" authorId="0" shapeId="0" xr:uid="{433100A3-38BA-4F0C-947C-12CFFF59FF59}">
      <text>
        <r>
          <rPr>
            <b/>
            <sz val="9"/>
            <color indexed="81"/>
            <rFont val="Tahoma"/>
            <family val="2"/>
          </rPr>
          <t xml:space="preserve"> &lt;[[TCDeals] - [Associated DEV Deal (Seq: 1)] - [Funding (Seq: 2)] Debt Service - Send]&gt;</t>
        </r>
      </text>
    </comment>
    <comment ref="C282" authorId="0" shapeId="0" xr:uid="{0906BE17-6AFA-4A13-A590-A7F4D5B943B9}">
      <text>
        <r>
          <rPr>
            <b/>
            <sz val="9"/>
            <color indexed="81"/>
            <rFont val="Tahoma"/>
            <family val="2"/>
          </rPr>
          <t xml:space="preserve"> &lt;[[TCDeals] - [TC Property Current Stage (Seq: 1)] - [Property Financing - Permanent (Seq: 3)] Source Name - Send]&gt;</t>
        </r>
      </text>
    </comment>
    <comment ref="E282" authorId="0" shapeId="0" xr:uid="{54761D1E-7BAB-4361-A3DF-905BED2E575A}">
      <text>
        <r>
          <rPr>
            <b/>
            <sz val="9"/>
            <color indexed="81"/>
            <rFont val="Tahoma"/>
            <family val="2"/>
          </rPr>
          <t xml:space="preserve"> &lt;[[TCDeals] - [TC Property Current Stage (Seq: 1)] - [Property Financing - Permanent (Seq: 3)] Financing Type - Send]&gt;</t>
        </r>
      </text>
    </comment>
    <comment ref="G282" authorId="0" shapeId="0" xr:uid="{639C9B85-4D23-4364-9521-7BFEE1D5E80E}">
      <text>
        <r>
          <rPr>
            <b/>
            <sz val="9"/>
            <color indexed="81"/>
            <rFont val="Tahoma"/>
            <family val="2"/>
          </rPr>
          <t xml:space="preserve"> &lt;[[TCDeals] - [TC Property Current Stage (Seq: 1)] - [Property Financing - Permanent (Seq: 3)] Amount - Send]&gt;</t>
        </r>
      </text>
    </comment>
    <comment ref="I282" authorId="0" shapeId="0" xr:uid="{A74D97E0-6436-4E2C-BAE2-26E0E0FEB1ED}">
      <text>
        <r>
          <rPr>
            <b/>
            <sz val="9"/>
            <color indexed="81"/>
            <rFont val="Tahoma"/>
            <family val="2"/>
          </rPr>
          <t xml:space="preserve"> &lt;[[TCDeals] - [TC Property Current Stage (Seq: 1)] - [Property Financing - Permanent (Seq: 3)] Interest Rate - Send]&gt;</t>
        </r>
      </text>
    </comment>
    <comment ref="K282" authorId="0" shapeId="0" xr:uid="{0BE262FD-3EBB-48AE-BD47-598CA565935D}">
      <text>
        <r>
          <rPr>
            <b/>
            <sz val="9"/>
            <color indexed="81"/>
            <rFont val="Tahoma"/>
            <family val="2"/>
          </rPr>
          <t xml:space="preserve"> &lt;[[TCDeals] - [TC Property Current Stage (Seq: 1)] - [Property Financing - Permanent (Seq: 3)] Loan Term - Send]&gt;</t>
        </r>
      </text>
    </comment>
    <comment ref="M282" authorId="0" shapeId="0" xr:uid="{57FCDDC2-D48A-4BF5-ACC8-ED25095938C5}">
      <text>
        <r>
          <rPr>
            <b/>
            <sz val="9"/>
            <color indexed="81"/>
            <rFont val="Tahoma"/>
            <family val="2"/>
          </rPr>
          <t xml:space="preserve"> &lt;[[TCDeals] - [TC Property Current Stage (Seq: 1)] - [Property Financing - Permanent (Seq: 3)] Annual Debt Svc Cost - Send]&gt;</t>
        </r>
      </text>
    </comment>
    <comment ref="AF282" authorId="0" shapeId="0" xr:uid="{B2A84919-9C0C-4EC0-9ED6-CB954BA94F20}">
      <text>
        <r>
          <rPr>
            <b/>
            <sz val="9"/>
            <color indexed="81"/>
            <rFont val="Tahoma"/>
            <family val="2"/>
          </rPr>
          <t xml:space="preserve"> &lt;[[TCDeals] - [Associated DEV Deal (Seq: 1)] - [Funding (Seq: 3)] DEV Funding Source - Send]&gt;</t>
        </r>
      </text>
    </comment>
    <comment ref="AH282" authorId="0" shapeId="0" xr:uid="{7BD69928-F0A3-40ED-89DA-C03A6BAA1965}">
      <text>
        <r>
          <rPr>
            <b/>
            <sz val="9"/>
            <color indexed="81"/>
            <rFont val="Tahoma"/>
            <family val="2"/>
          </rPr>
          <t xml:space="preserve"> &lt;[[TCDeals] - [Associated DEV Deal (Seq: 1)] - [Funding (Seq: 3)] Program Type - Send]&gt;</t>
        </r>
      </text>
    </comment>
    <comment ref="AJ282" authorId="0" shapeId="0" xr:uid="{3F3CC006-CB48-4FFB-B359-7AA552CDEC61}">
      <text>
        <r>
          <rPr>
            <b/>
            <sz val="9"/>
            <color indexed="81"/>
            <rFont val="Tahoma"/>
            <family val="2"/>
          </rPr>
          <t xml:space="preserve"> &lt;[[TCDeals] - [Associated DEV Deal (Seq: 1)] - [Funding (Seq: 3)] Loan Product Type - Send]&gt;</t>
        </r>
      </text>
    </comment>
    <comment ref="AL282" authorId="0" shapeId="0" xr:uid="{F429EC6A-CD8D-4423-AF5B-8FD128821C64}">
      <text>
        <r>
          <rPr>
            <b/>
            <sz val="9"/>
            <color indexed="81"/>
            <rFont val="Tahoma"/>
            <family val="2"/>
          </rPr>
          <t xml:space="preserve"> &lt;[[TCDeals] - [Associated DEV Deal (Seq: 1)] - [Funding (Seq: 3)] Term - Send]&gt;</t>
        </r>
      </text>
    </comment>
    <comment ref="AN282" authorId="0" shapeId="0" xr:uid="{08746E36-DBFA-45F1-8F87-8B4CCEE0402C}">
      <text>
        <r>
          <rPr>
            <b/>
            <sz val="9"/>
            <color indexed="81"/>
            <rFont val="Tahoma"/>
            <family val="2"/>
          </rPr>
          <t xml:space="preserve"> &lt;[[TCDeals] - [Associated DEV Deal (Seq: 1)] - [Funding (Seq: 3)] Amount - Send]&gt;</t>
        </r>
      </text>
    </comment>
    <comment ref="AP282" authorId="0" shapeId="0" xr:uid="{7A3BD982-4755-4F74-A7B4-D3D7DC6DE343}">
      <text>
        <r>
          <rPr>
            <b/>
            <sz val="9"/>
            <color indexed="81"/>
            <rFont val="Tahoma"/>
            <family val="2"/>
          </rPr>
          <t xml:space="preserve"> &lt;[[TCDeals] - [Associated DEV Deal (Seq: 1)] - [Funding (Seq: 3)] Rate - Send]&gt;</t>
        </r>
      </text>
    </comment>
    <comment ref="AR282" authorId="0" shapeId="0" xr:uid="{ACB29012-2093-48BC-9546-CB78D26F8211}">
      <text>
        <r>
          <rPr>
            <b/>
            <sz val="9"/>
            <color indexed="81"/>
            <rFont val="Tahoma"/>
            <family val="2"/>
          </rPr>
          <t xml:space="preserve"> &lt;[[TCDeals] - [Associated DEV Deal (Seq: 1)] - [Funding (Seq: 3)] Debt Service - Send]&gt;</t>
        </r>
      </text>
    </comment>
    <comment ref="C283" authorId="0" shapeId="0" xr:uid="{61812BFD-C93A-4443-9E5D-AC408F69E1F6}">
      <text>
        <r>
          <rPr>
            <b/>
            <sz val="9"/>
            <color indexed="81"/>
            <rFont val="Tahoma"/>
            <family val="2"/>
          </rPr>
          <t xml:space="preserve"> &lt;[[TCDeals] - [TC Property Current Stage (Seq: 1)] - [Property Financing - Permanent (Seq: 4)] Source Name - Send]&gt;</t>
        </r>
      </text>
    </comment>
    <comment ref="E283" authorId="0" shapeId="0" xr:uid="{CF7D3504-247D-41F9-92A4-4448F59A0A4B}">
      <text>
        <r>
          <rPr>
            <b/>
            <sz val="9"/>
            <color indexed="81"/>
            <rFont val="Tahoma"/>
            <family val="2"/>
          </rPr>
          <t xml:space="preserve"> &lt;[[TCDeals] - [TC Property Current Stage (Seq: 1)] - [Property Financing - Permanent (Seq: 4)] Financing Type - Send]&gt;</t>
        </r>
      </text>
    </comment>
    <comment ref="G283" authorId="0" shapeId="0" xr:uid="{1CE2322F-FBB0-469A-91BB-A5C6C8972648}">
      <text>
        <r>
          <rPr>
            <b/>
            <sz val="9"/>
            <color indexed="81"/>
            <rFont val="Tahoma"/>
            <family val="2"/>
          </rPr>
          <t xml:space="preserve"> &lt;[[TCDeals] - [TC Property Current Stage (Seq: 1)] - [Property Financing - Permanent (Seq: 4)] Amount - Send]&gt;</t>
        </r>
      </text>
    </comment>
    <comment ref="I283" authorId="0" shapeId="0" xr:uid="{76B776B1-3029-4F48-81B9-D93B510C373A}">
      <text>
        <r>
          <rPr>
            <b/>
            <sz val="9"/>
            <color indexed="81"/>
            <rFont val="Tahoma"/>
            <family val="2"/>
          </rPr>
          <t xml:space="preserve"> &lt;[[TCDeals] - [TC Property Current Stage (Seq: 1)] - [Property Financing - Permanent (Seq: 4)] Interest Rate - Send]&gt;</t>
        </r>
      </text>
    </comment>
    <comment ref="K283" authorId="0" shapeId="0" xr:uid="{13622BB1-B27A-4FC3-9451-0EEBB912CC2B}">
      <text>
        <r>
          <rPr>
            <b/>
            <sz val="9"/>
            <color indexed="81"/>
            <rFont val="Tahoma"/>
            <family val="2"/>
          </rPr>
          <t xml:space="preserve"> &lt;[[TCDeals] - [TC Property Current Stage (Seq: 1)] - [Property Financing - Permanent (Seq: 4)] Loan Term - Send]&gt;</t>
        </r>
      </text>
    </comment>
    <comment ref="M283" authorId="0" shapeId="0" xr:uid="{69797443-7792-41F5-8DA2-EBCC75D769A5}">
      <text>
        <r>
          <rPr>
            <b/>
            <sz val="9"/>
            <color indexed="81"/>
            <rFont val="Tahoma"/>
            <family val="2"/>
          </rPr>
          <t xml:space="preserve"> &lt;[[TCDeals] - [TC Property Current Stage (Seq: 1)] - [Property Financing - Permanent (Seq: 4)] Annual Debt Svc Cost - Send]&gt;</t>
        </r>
      </text>
    </comment>
    <comment ref="AF283" authorId="0" shapeId="0" xr:uid="{2DF4B9C1-F5C4-4970-BDD1-15B816F80A88}">
      <text>
        <r>
          <rPr>
            <b/>
            <sz val="9"/>
            <color indexed="81"/>
            <rFont val="Tahoma"/>
            <family val="2"/>
          </rPr>
          <t xml:space="preserve"> &lt;[[TCDeals] - [Associated DEV Deal (Seq: 1)] - [Funding (Seq: 4)] DEV Funding Source - Send]&gt;</t>
        </r>
      </text>
    </comment>
    <comment ref="AH283" authorId="0" shapeId="0" xr:uid="{08799A20-D79D-4ECE-9C58-9D5578F735BF}">
      <text>
        <r>
          <rPr>
            <b/>
            <sz val="9"/>
            <color indexed="81"/>
            <rFont val="Tahoma"/>
            <family val="2"/>
          </rPr>
          <t xml:space="preserve"> &lt;[[TCDeals] - [Associated DEV Deal (Seq: 1)] - [Funding (Seq: 4)] Program Type - Send]&gt;</t>
        </r>
      </text>
    </comment>
    <comment ref="AJ283" authorId="0" shapeId="0" xr:uid="{9FB876D8-FA2B-4409-84D0-7771B8A7A7DF}">
      <text>
        <r>
          <rPr>
            <b/>
            <sz val="9"/>
            <color indexed="81"/>
            <rFont val="Tahoma"/>
            <family val="2"/>
          </rPr>
          <t xml:space="preserve"> &lt;[[TCDeals] - [Associated DEV Deal (Seq: 1)] - [Funding (Seq: 4)] Loan Product Type - Send]&gt;</t>
        </r>
      </text>
    </comment>
    <comment ref="AL283" authorId="0" shapeId="0" xr:uid="{96EBD60A-57AD-4733-8287-97C9BF9329EA}">
      <text>
        <r>
          <rPr>
            <b/>
            <sz val="9"/>
            <color indexed="81"/>
            <rFont val="Tahoma"/>
            <family val="2"/>
          </rPr>
          <t xml:space="preserve"> &lt;[[TCDeals] - [Associated DEV Deal (Seq: 1)] - [Funding (Seq: 4)] Term - Send]&gt;</t>
        </r>
      </text>
    </comment>
    <comment ref="AN283" authorId="0" shapeId="0" xr:uid="{EB35A025-AE16-4072-884A-76A55671FDF9}">
      <text>
        <r>
          <rPr>
            <b/>
            <sz val="9"/>
            <color indexed="81"/>
            <rFont val="Tahoma"/>
            <family val="2"/>
          </rPr>
          <t xml:space="preserve"> &lt;[[TCDeals] - [Associated DEV Deal (Seq: 1)] - [Funding (Seq: 4)] Amount - Send]&gt;</t>
        </r>
      </text>
    </comment>
    <comment ref="AP283" authorId="0" shapeId="0" xr:uid="{9B59B1CE-0633-48A2-8504-886CF22F2B74}">
      <text>
        <r>
          <rPr>
            <b/>
            <sz val="9"/>
            <color indexed="81"/>
            <rFont val="Tahoma"/>
            <family val="2"/>
          </rPr>
          <t xml:space="preserve"> &lt;[[TCDeals] - [Associated DEV Deal (Seq: 1)] - [Funding (Seq: 4)] Rate - Send]&gt;</t>
        </r>
      </text>
    </comment>
    <comment ref="AR283" authorId="0" shapeId="0" xr:uid="{A95ADEB5-C190-4672-9C85-165C380DB3F5}">
      <text>
        <r>
          <rPr>
            <b/>
            <sz val="9"/>
            <color indexed="81"/>
            <rFont val="Tahoma"/>
            <family val="2"/>
          </rPr>
          <t xml:space="preserve"> &lt;[[TCDeals] - [Associated DEV Deal (Seq: 1)] - [Funding (Seq: 4)] Debt Service - Send]&gt;</t>
        </r>
      </text>
    </comment>
    <comment ref="C284" authorId="0" shapeId="0" xr:uid="{996C4FCF-D02D-489A-BEA3-4F759842BD34}">
      <text>
        <r>
          <rPr>
            <b/>
            <sz val="9"/>
            <color indexed="81"/>
            <rFont val="Tahoma"/>
            <family val="2"/>
          </rPr>
          <t xml:space="preserve"> &lt;[[TCDeals] - [TC Property Current Stage (Seq: 1)] - [Property Financing - Permanent (Seq: 5)] Source Name - Send]&gt;</t>
        </r>
      </text>
    </comment>
    <comment ref="E284" authorId="0" shapeId="0" xr:uid="{5112C86A-3A9D-4DF3-B404-72B0811383BC}">
      <text>
        <r>
          <rPr>
            <b/>
            <sz val="9"/>
            <color indexed="81"/>
            <rFont val="Tahoma"/>
            <family val="2"/>
          </rPr>
          <t xml:space="preserve"> &lt;[[TCDeals] - [TC Property Current Stage (Seq: 1)] - [Property Financing - Permanent (Seq: 5)] Financing Type - Send]&gt;</t>
        </r>
      </text>
    </comment>
    <comment ref="G284" authorId="0" shapeId="0" xr:uid="{47A48A3C-DB3C-4146-93D5-95704CE075D3}">
      <text>
        <r>
          <rPr>
            <b/>
            <sz val="9"/>
            <color indexed="81"/>
            <rFont val="Tahoma"/>
            <family val="2"/>
          </rPr>
          <t xml:space="preserve"> &lt;[[TCDeals] - [TC Property Current Stage (Seq: 1)] - [Property Financing - Permanent (Seq: 5)] Amount - Send]&gt;</t>
        </r>
      </text>
    </comment>
    <comment ref="I284" authorId="0" shapeId="0" xr:uid="{55F929B2-520C-43B4-B68A-5503B0F6A18C}">
      <text>
        <r>
          <rPr>
            <b/>
            <sz val="9"/>
            <color indexed="81"/>
            <rFont val="Tahoma"/>
            <family val="2"/>
          </rPr>
          <t xml:space="preserve"> &lt;[[TCDeals] - [TC Property Current Stage (Seq: 1)] - [Property Financing - Permanent (Seq: 5)] Interest Rate - Send]&gt;</t>
        </r>
      </text>
    </comment>
    <comment ref="K284" authorId="0" shapeId="0" xr:uid="{E5707EDE-5A92-4617-881C-9AC8560D9806}">
      <text>
        <r>
          <rPr>
            <b/>
            <sz val="9"/>
            <color indexed="81"/>
            <rFont val="Tahoma"/>
            <family val="2"/>
          </rPr>
          <t xml:space="preserve"> &lt;[[TCDeals] - [TC Property Current Stage (Seq: 1)] - [Property Financing - Permanent (Seq: 5)] Loan Term - Send]&gt;</t>
        </r>
      </text>
    </comment>
    <comment ref="M284" authorId="0" shapeId="0" xr:uid="{20CD7698-AC44-43A8-8D0F-C52E5FB953A9}">
      <text>
        <r>
          <rPr>
            <b/>
            <sz val="9"/>
            <color indexed="81"/>
            <rFont val="Tahoma"/>
            <family val="2"/>
          </rPr>
          <t xml:space="preserve"> &lt;[[TCDeals] - [TC Property Current Stage (Seq: 1)] - [Property Financing - Permanent (Seq: 5)] Annual Debt Svc Cost - Send]&gt;</t>
        </r>
      </text>
    </comment>
    <comment ref="AF284" authorId="0" shapeId="0" xr:uid="{D292941F-A254-4C30-A652-24FDB65D01D2}">
      <text>
        <r>
          <rPr>
            <b/>
            <sz val="9"/>
            <color indexed="81"/>
            <rFont val="Tahoma"/>
            <family val="2"/>
          </rPr>
          <t xml:space="preserve"> &lt;[[TCDeals] - [Associated DEV Deal (Seq: 1)] - [Funding (Seq: 5)] DEV Funding Source - Send]&gt;</t>
        </r>
      </text>
    </comment>
    <comment ref="AH284" authorId="0" shapeId="0" xr:uid="{2A7E8C58-CC64-4445-9EE3-E9CB6A00F2A3}">
      <text>
        <r>
          <rPr>
            <b/>
            <sz val="9"/>
            <color indexed="81"/>
            <rFont val="Tahoma"/>
            <family val="2"/>
          </rPr>
          <t xml:space="preserve"> &lt;[[TCDeals] - [Associated DEV Deal (Seq: 1)] - [Funding (Seq: 5)] Program Type - Send]&gt;</t>
        </r>
      </text>
    </comment>
    <comment ref="AJ284" authorId="0" shapeId="0" xr:uid="{863C3CD9-A4AD-484C-AE58-87319571A93B}">
      <text>
        <r>
          <rPr>
            <b/>
            <sz val="9"/>
            <color indexed="81"/>
            <rFont val="Tahoma"/>
            <family val="2"/>
          </rPr>
          <t xml:space="preserve"> &lt;[[TCDeals] - [Associated DEV Deal (Seq: 1)] - [Funding (Seq: 5)] Loan Product Type - Send]&gt;</t>
        </r>
      </text>
    </comment>
    <comment ref="AL284" authorId="0" shapeId="0" xr:uid="{878E3812-B65B-4CC2-9C1B-D25F4A8BB298}">
      <text>
        <r>
          <rPr>
            <b/>
            <sz val="9"/>
            <color indexed="81"/>
            <rFont val="Tahoma"/>
            <family val="2"/>
          </rPr>
          <t xml:space="preserve"> &lt;[[TCDeals] - [Associated DEV Deal (Seq: 1)] - [Funding (Seq: 5)] Term - Send]&gt;</t>
        </r>
      </text>
    </comment>
    <comment ref="AN284" authorId="0" shapeId="0" xr:uid="{209FAF61-91B2-4A25-8799-6B6A9D5A97E6}">
      <text>
        <r>
          <rPr>
            <b/>
            <sz val="9"/>
            <color indexed="81"/>
            <rFont val="Tahoma"/>
            <family val="2"/>
          </rPr>
          <t xml:space="preserve"> &lt;[[TCDeals] - [Associated DEV Deal (Seq: 1)] - [Funding (Seq: 5)] Amount - Send]&gt;</t>
        </r>
      </text>
    </comment>
    <comment ref="AP284" authorId="0" shapeId="0" xr:uid="{58522D30-BFD1-4FB8-BB9D-221C53D85EAE}">
      <text>
        <r>
          <rPr>
            <b/>
            <sz val="9"/>
            <color indexed="81"/>
            <rFont val="Tahoma"/>
            <family val="2"/>
          </rPr>
          <t xml:space="preserve"> &lt;[[TCDeals] - [Associated DEV Deal (Seq: 1)] - [Funding (Seq: 5)] Rate - Send]&gt;</t>
        </r>
      </text>
    </comment>
    <comment ref="AR284" authorId="0" shapeId="0" xr:uid="{9A088D02-8BD5-41E2-98A2-90208F34403D}">
      <text>
        <r>
          <rPr>
            <b/>
            <sz val="9"/>
            <color indexed="81"/>
            <rFont val="Tahoma"/>
            <family val="2"/>
          </rPr>
          <t xml:space="preserve"> &lt;[[TCDeals] - [Associated DEV Deal (Seq: 1)] - [Funding (Seq: 5)] Debt Service - Send]&gt;</t>
        </r>
      </text>
    </comment>
    <comment ref="C285" authorId="0" shapeId="0" xr:uid="{0A144E57-54C9-4CD8-B270-E110BBFBF8B6}">
      <text>
        <r>
          <rPr>
            <b/>
            <sz val="9"/>
            <color indexed="81"/>
            <rFont val="Tahoma"/>
            <family val="2"/>
          </rPr>
          <t xml:space="preserve"> &lt;[[TCDeals] - [TC Property Current Stage (Seq: 1)] - [Property Financing - Permanent (Seq: 6)] Source Name - Send]&gt;</t>
        </r>
      </text>
    </comment>
    <comment ref="E285" authorId="0" shapeId="0" xr:uid="{88E4054F-0A65-4348-A464-4DEC364ADDDE}">
      <text>
        <r>
          <rPr>
            <b/>
            <sz val="9"/>
            <color indexed="81"/>
            <rFont val="Tahoma"/>
            <family val="2"/>
          </rPr>
          <t xml:space="preserve"> &lt;[[TCDeals] - [TC Property Current Stage (Seq: 1)] - [Property Financing - Permanent (Seq: 6)] Financing Type - Send]&gt;</t>
        </r>
      </text>
    </comment>
    <comment ref="G285" authorId="0" shapeId="0" xr:uid="{856B9C04-10F2-4FA4-9BAC-DBD8AFEAEDB6}">
      <text>
        <r>
          <rPr>
            <b/>
            <sz val="9"/>
            <color indexed="81"/>
            <rFont val="Tahoma"/>
            <family val="2"/>
          </rPr>
          <t xml:space="preserve"> &lt;[[TCDeals] - [TC Property Current Stage (Seq: 1)] - [Property Financing - Permanent (Seq: 6)] Amount - Send]&gt;</t>
        </r>
      </text>
    </comment>
    <comment ref="I285" authorId="0" shapeId="0" xr:uid="{D7C5F8F2-1E8F-4FDC-A269-5A5267EDDB78}">
      <text>
        <r>
          <rPr>
            <b/>
            <sz val="9"/>
            <color indexed="81"/>
            <rFont val="Tahoma"/>
            <family val="2"/>
          </rPr>
          <t xml:space="preserve"> &lt;[[TCDeals] - [TC Property Current Stage (Seq: 1)] - [Property Financing - Permanent (Seq: 6)] Interest Rate - Send]&gt;</t>
        </r>
      </text>
    </comment>
    <comment ref="K285" authorId="0" shapeId="0" xr:uid="{1A4B3738-BB6B-4131-A25A-A4752965AE3A}">
      <text>
        <r>
          <rPr>
            <b/>
            <sz val="9"/>
            <color indexed="81"/>
            <rFont val="Tahoma"/>
            <family val="2"/>
          </rPr>
          <t xml:space="preserve"> &lt;[[TCDeals] - [TC Property Current Stage (Seq: 1)] - [Property Financing - Permanent (Seq: 6)] Loan Term - Send]&gt;</t>
        </r>
      </text>
    </comment>
    <comment ref="M285" authorId="0" shapeId="0" xr:uid="{1EDDD2E7-A882-4944-B4BF-9C295D01D3E5}">
      <text>
        <r>
          <rPr>
            <b/>
            <sz val="9"/>
            <color indexed="81"/>
            <rFont val="Tahoma"/>
            <family val="2"/>
          </rPr>
          <t xml:space="preserve"> &lt;[[TCDeals] - [TC Property Current Stage (Seq: 1)] - [Property Financing - Permanent (Seq: 6)] Annual Debt Svc Cost - Send]&gt;</t>
        </r>
      </text>
    </comment>
    <comment ref="AF285" authorId="0" shapeId="0" xr:uid="{20566608-6035-4EB2-96FA-3E0BC899B599}">
      <text>
        <r>
          <rPr>
            <b/>
            <sz val="9"/>
            <color indexed="81"/>
            <rFont val="Tahoma"/>
            <family val="2"/>
          </rPr>
          <t xml:space="preserve"> &lt;[[TCDeals] - [Associated DEV Deal (Seq: 1)] - [Funding (Seq: 6)] DEV Funding Source - Send]&gt;</t>
        </r>
      </text>
    </comment>
    <comment ref="AH285" authorId="0" shapeId="0" xr:uid="{BD6816BB-864C-4CE7-86AA-28B45D3C214E}">
      <text>
        <r>
          <rPr>
            <b/>
            <sz val="9"/>
            <color indexed="81"/>
            <rFont val="Tahoma"/>
            <family val="2"/>
          </rPr>
          <t xml:space="preserve"> &lt;[[TCDeals] - [Associated DEV Deal (Seq: 1)] - [Funding (Seq: 6)] Program Type - Send]&gt;</t>
        </r>
      </text>
    </comment>
    <comment ref="AJ285" authorId="0" shapeId="0" xr:uid="{1CEA4152-9DCB-4373-B093-4767775319C2}">
      <text>
        <r>
          <rPr>
            <b/>
            <sz val="9"/>
            <color indexed="81"/>
            <rFont val="Tahoma"/>
            <family val="2"/>
          </rPr>
          <t xml:space="preserve"> &lt;[[TCDeals] - [Associated DEV Deal (Seq: 1)] - [Funding (Seq: 6)] Loan Product Type - Send]&gt;</t>
        </r>
      </text>
    </comment>
    <comment ref="AL285" authorId="0" shapeId="0" xr:uid="{351AC0A1-4B64-4778-A916-1E42F17D88BF}">
      <text>
        <r>
          <rPr>
            <b/>
            <sz val="9"/>
            <color indexed="81"/>
            <rFont val="Tahoma"/>
            <family val="2"/>
          </rPr>
          <t xml:space="preserve"> &lt;[[TCDeals] - [Associated DEV Deal (Seq: 1)] - [Funding (Seq: 6)] Term - Send]&gt;</t>
        </r>
      </text>
    </comment>
    <comment ref="AN285" authorId="0" shapeId="0" xr:uid="{778233F2-584C-4DEA-A276-DF5D49A9A95C}">
      <text>
        <r>
          <rPr>
            <b/>
            <sz val="9"/>
            <color indexed="81"/>
            <rFont val="Tahoma"/>
            <family val="2"/>
          </rPr>
          <t xml:space="preserve"> &lt;[[TCDeals] - [Associated DEV Deal (Seq: 1)] - [Funding (Seq: 6)] Amount - Send]&gt;</t>
        </r>
      </text>
    </comment>
    <comment ref="AP285" authorId="0" shapeId="0" xr:uid="{5566B371-7F22-4244-BFC4-998AF01C3A15}">
      <text>
        <r>
          <rPr>
            <b/>
            <sz val="9"/>
            <color indexed="81"/>
            <rFont val="Tahoma"/>
            <family val="2"/>
          </rPr>
          <t xml:space="preserve"> &lt;[[TCDeals] - [Associated DEV Deal (Seq: 1)] - [Funding (Seq: 6)] Rate - Send]&gt;</t>
        </r>
      </text>
    </comment>
    <comment ref="AR285" authorId="0" shapeId="0" xr:uid="{EE3B77B2-4F5B-465F-B348-B7338071D428}">
      <text>
        <r>
          <rPr>
            <b/>
            <sz val="9"/>
            <color indexed="81"/>
            <rFont val="Tahoma"/>
            <family val="2"/>
          </rPr>
          <t xml:space="preserve"> &lt;[[TCDeals] - [Associated DEV Deal (Seq: 1)] - [Funding (Seq: 6)] Debt Service - Send]&gt;</t>
        </r>
      </text>
    </comment>
    <comment ref="C286" authorId="0" shapeId="0" xr:uid="{89929ABE-3C11-4AB2-B230-EA1542DF7E93}">
      <text>
        <r>
          <rPr>
            <b/>
            <sz val="9"/>
            <color indexed="81"/>
            <rFont val="Tahoma"/>
            <family val="2"/>
          </rPr>
          <t xml:space="preserve"> &lt;[[TCDeals] - [TC Property Current Stage (Seq: 1)] - [Property Financing - Permanent (Seq: 7)] Source Name - Send]&gt;</t>
        </r>
      </text>
    </comment>
    <comment ref="E286" authorId="0" shapeId="0" xr:uid="{7CD46201-7D45-4401-9F2A-2C75F8E2ED16}">
      <text>
        <r>
          <rPr>
            <b/>
            <sz val="9"/>
            <color indexed="81"/>
            <rFont val="Tahoma"/>
            <family val="2"/>
          </rPr>
          <t xml:space="preserve"> &lt;[[TCDeals] - [TC Property Current Stage (Seq: 1)] - [Property Financing - Permanent (Seq: 7)] Financing Type - Send]&gt;</t>
        </r>
      </text>
    </comment>
    <comment ref="G286" authorId="0" shapeId="0" xr:uid="{34F39256-A846-4CED-B5CD-7E6DF1257D4B}">
      <text>
        <r>
          <rPr>
            <b/>
            <sz val="9"/>
            <color indexed="81"/>
            <rFont val="Tahoma"/>
            <family val="2"/>
          </rPr>
          <t xml:space="preserve"> &lt;[[TCDeals] - [TC Property Current Stage (Seq: 1)] - [Property Financing - Permanent (Seq: 7)] Amount - Send]&gt;</t>
        </r>
      </text>
    </comment>
    <comment ref="I286" authorId="0" shapeId="0" xr:uid="{B1605CEF-B003-4B91-853A-414B4BDFC590}">
      <text>
        <r>
          <rPr>
            <b/>
            <sz val="9"/>
            <color indexed="81"/>
            <rFont val="Tahoma"/>
            <family val="2"/>
          </rPr>
          <t xml:space="preserve"> &lt;[[TCDeals] - [TC Property Current Stage (Seq: 1)] - [Property Financing - Permanent (Seq: 7)] Interest Rate - Send]&gt;</t>
        </r>
      </text>
    </comment>
    <comment ref="K286" authorId="0" shapeId="0" xr:uid="{F4B616C3-9EE0-4BFC-8133-9CAFCF4DB1A7}">
      <text>
        <r>
          <rPr>
            <b/>
            <sz val="9"/>
            <color indexed="81"/>
            <rFont val="Tahoma"/>
            <family val="2"/>
          </rPr>
          <t xml:space="preserve"> &lt;[[TCDeals] - [TC Property Current Stage (Seq: 1)] - [Property Financing - Permanent (Seq: 7)] Loan Term - Send]&gt;</t>
        </r>
      </text>
    </comment>
    <comment ref="M286" authorId="0" shapeId="0" xr:uid="{27B2F544-0B41-4E8C-8343-0C9093E03193}">
      <text>
        <r>
          <rPr>
            <b/>
            <sz val="9"/>
            <color indexed="81"/>
            <rFont val="Tahoma"/>
            <family val="2"/>
          </rPr>
          <t xml:space="preserve"> &lt;[[TCDeals] - [TC Property Current Stage (Seq: 1)] - [Property Financing - Permanent (Seq: 7)] Annual Debt Svc Cost - Send]&gt;</t>
        </r>
      </text>
    </comment>
    <comment ref="AF286" authorId="0" shapeId="0" xr:uid="{70DCF196-D5D6-46A8-8881-F4CF1C6B8882}">
      <text>
        <r>
          <rPr>
            <b/>
            <sz val="9"/>
            <color indexed="81"/>
            <rFont val="Tahoma"/>
            <family val="2"/>
          </rPr>
          <t xml:space="preserve"> &lt;[[TCDeals] - [Associated DEV Deal (Seq: 1)] - [Funding (Seq: 7)] DEV Funding Source - Send]&gt;</t>
        </r>
      </text>
    </comment>
    <comment ref="AH286" authorId="0" shapeId="0" xr:uid="{58B3C364-6312-454A-8CF5-C94EB9F3A216}">
      <text>
        <r>
          <rPr>
            <b/>
            <sz val="9"/>
            <color indexed="81"/>
            <rFont val="Tahoma"/>
            <family val="2"/>
          </rPr>
          <t xml:space="preserve"> &lt;[[TCDeals] - [Associated DEV Deal (Seq: 1)] - [Funding (Seq: 7)] Program Type - Send]&gt;</t>
        </r>
      </text>
    </comment>
    <comment ref="AJ286" authorId="0" shapeId="0" xr:uid="{C4FB271A-2A1A-454C-87BA-91C4FCC169C7}">
      <text>
        <r>
          <rPr>
            <b/>
            <sz val="9"/>
            <color indexed="81"/>
            <rFont val="Tahoma"/>
            <family val="2"/>
          </rPr>
          <t xml:space="preserve"> &lt;[[TCDeals] - [Associated DEV Deal (Seq: 1)] - [Funding (Seq: 7)] Loan Product Type - Send]&gt;</t>
        </r>
      </text>
    </comment>
    <comment ref="AL286" authorId="0" shapeId="0" xr:uid="{7A924D67-40C9-4EB9-B2EB-2540C2AAFBB4}">
      <text>
        <r>
          <rPr>
            <b/>
            <sz val="9"/>
            <color indexed="81"/>
            <rFont val="Tahoma"/>
            <family val="2"/>
          </rPr>
          <t xml:space="preserve"> &lt;[[TCDeals] - [Associated DEV Deal (Seq: 1)] - [Funding (Seq: 7)] Term - Send]&gt;</t>
        </r>
      </text>
    </comment>
    <comment ref="AN286" authorId="0" shapeId="0" xr:uid="{7BA19E55-7901-49B2-AE30-9CDED9645FC1}">
      <text>
        <r>
          <rPr>
            <b/>
            <sz val="9"/>
            <color indexed="81"/>
            <rFont val="Tahoma"/>
            <family val="2"/>
          </rPr>
          <t xml:space="preserve"> &lt;[[TCDeals] - [Associated DEV Deal (Seq: 1)] - [Funding (Seq: 7)] Amount - Send]&gt;</t>
        </r>
      </text>
    </comment>
    <comment ref="AP286" authorId="0" shapeId="0" xr:uid="{9C574B76-E7BC-4166-8EB1-A949F8FDF96D}">
      <text>
        <r>
          <rPr>
            <b/>
            <sz val="9"/>
            <color indexed="81"/>
            <rFont val="Tahoma"/>
            <family val="2"/>
          </rPr>
          <t xml:space="preserve"> &lt;[[TCDeals] - [Associated DEV Deal (Seq: 1)] - [Funding (Seq: 7)] Rate - Send]&gt;</t>
        </r>
      </text>
    </comment>
    <comment ref="AR286" authorId="0" shapeId="0" xr:uid="{DC9E43D0-B7D5-43F2-A4E9-DCD7E171D920}">
      <text>
        <r>
          <rPr>
            <b/>
            <sz val="9"/>
            <color indexed="81"/>
            <rFont val="Tahoma"/>
            <family val="2"/>
          </rPr>
          <t xml:space="preserve"> &lt;[[TCDeals] - [Associated DEV Deal (Seq: 1)] - [Funding (Seq: 7)] Debt Service - Send]&gt;</t>
        </r>
      </text>
    </comment>
    <comment ref="C287" authorId="0" shapeId="0" xr:uid="{B9151129-7EFF-4FA7-B421-25CA6C38B3CE}">
      <text>
        <r>
          <rPr>
            <b/>
            <sz val="9"/>
            <color indexed="81"/>
            <rFont val="Tahoma"/>
            <family val="2"/>
          </rPr>
          <t xml:space="preserve"> &lt;[[TCDeals] - [TC Property Current Stage (Seq: 1)] - [Property Financing - Permanent (Seq: 8)] Source Name - Send]&gt;</t>
        </r>
      </text>
    </comment>
    <comment ref="E287" authorId="0" shapeId="0" xr:uid="{6AF3AA6C-7A62-482F-BE19-F349B1111BAE}">
      <text>
        <r>
          <rPr>
            <b/>
            <sz val="9"/>
            <color indexed="81"/>
            <rFont val="Tahoma"/>
            <family val="2"/>
          </rPr>
          <t xml:space="preserve"> &lt;[[TCDeals] - [TC Property Current Stage (Seq: 1)] - [Property Financing - Permanent (Seq: 8)] Financing Type - Send]&gt;</t>
        </r>
      </text>
    </comment>
    <comment ref="G287" authorId="0" shapeId="0" xr:uid="{1F82696E-D8AD-4CE3-B653-69259603294F}">
      <text>
        <r>
          <rPr>
            <b/>
            <sz val="9"/>
            <color indexed="81"/>
            <rFont val="Tahoma"/>
            <family val="2"/>
          </rPr>
          <t xml:space="preserve"> &lt;[[TCDeals] - [TC Property Current Stage (Seq: 1)] - [Property Financing - Permanent (Seq: 8)] Amount - Send]&gt;</t>
        </r>
      </text>
    </comment>
    <comment ref="I287" authorId="0" shapeId="0" xr:uid="{9095EE26-A80B-41B3-BAB1-14C8D917C7E9}">
      <text>
        <r>
          <rPr>
            <b/>
            <sz val="9"/>
            <color indexed="81"/>
            <rFont val="Tahoma"/>
            <family val="2"/>
          </rPr>
          <t xml:space="preserve"> &lt;[[TCDeals] - [TC Property Current Stage (Seq: 1)] - [Property Financing - Permanent (Seq: 8)] Interest Rate - Send]&gt;</t>
        </r>
      </text>
    </comment>
    <comment ref="K287" authorId="0" shapeId="0" xr:uid="{2896679D-3690-4A53-A4A2-72FAC6DF776C}">
      <text>
        <r>
          <rPr>
            <b/>
            <sz val="9"/>
            <color indexed="81"/>
            <rFont val="Tahoma"/>
            <family val="2"/>
          </rPr>
          <t xml:space="preserve"> &lt;[[TCDeals] - [TC Property Current Stage (Seq: 1)] - [Property Financing - Permanent (Seq: 8)] Loan Term - Send]&gt;</t>
        </r>
      </text>
    </comment>
    <comment ref="M287" authorId="0" shapeId="0" xr:uid="{549B5695-173A-4271-A99D-AA546693E164}">
      <text>
        <r>
          <rPr>
            <b/>
            <sz val="9"/>
            <color indexed="81"/>
            <rFont val="Tahoma"/>
            <family val="2"/>
          </rPr>
          <t xml:space="preserve"> &lt;[[TCDeals] - [TC Property Current Stage (Seq: 1)] - [Property Financing - Permanent (Seq: 8)] Annual Debt Svc Cost - Send]&gt;</t>
        </r>
      </text>
    </comment>
    <comment ref="AF287" authorId="0" shapeId="0" xr:uid="{312B1597-1E42-475D-9F00-43396C4ECBAB}">
      <text>
        <r>
          <rPr>
            <b/>
            <sz val="9"/>
            <color indexed="81"/>
            <rFont val="Tahoma"/>
            <family val="2"/>
          </rPr>
          <t xml:space="preserve"> &lt;[[TCDeals] - [Associated DEV Deal (Seq: 1)] - [Funding (Seq: 8)] DEV Funding Source - Send]&gt;</t>
        </r>
      </text>
    </comment>
    <comment ref="AH287" authorId="0" shapeId="0" xr:uid="{4FDD99F2-70DC-4517-917D-84A0BD15F993}">
      <text>
        <r>
          <rPr>
            <b/>
            <sz val="9"/>
            <color indexed="81"/>
            <rFont val="Tahoma"/>
            <family val="2"/>
          </rPr>
          <t xml:space="preserve"> &lt;[[TCDeals] - [Associated DEV Deal (Seq: 1)] - [Funding (Seq: 8)] Program Type - Send]&gt;</t>
        </r>
      </text>
    </comment>
    <comment ref="AJ287" authorId="0" shapeId="0" xr:uid="{D763E427-3C9A-4791-9A73-39DBC440B8BB}">
      <text>
        <r>
          <rPr>
            <b/>
            <sz val="9"/>
            <color indexed="81"/>
            <rFont val="Tahoma"/>
            <family val="2"/>
          </rPr>
          <t xml:space="preserve"> &lt;[[TCDeals] - [Associated DEV Deal (Seq: 1)] - [Funding (Seq: 8)] Loan Product Type - Send]&gt;</t>
        </r>
      </text>
    </comment>
    <comment ref="AL287" authorId="0" shapeId="0" xr:uid="{89CF230C-E93F-453B-9220-EEECA8463FC3}">
      <text>
        <r>
          <rPr>
            <b/>
            <sz val="9"/>
            <color indexed="81"/>
            <rFont val="Tahoma"/>
            <family val="2"/>
          </rPr>
          <t xml:space="preserve"> &lt;[[TCDeals] - [Associated DEV Deal (Seq: 1)] - [Funding (Seq: 8)] Term - Send]&gt;</t>
        </r>
      </text>
    </comment>
    <comment ref="AN287" authorId="0" shapeId="0" xr:uid="{044D63C4-F3BE-4D2A-8D42-7AB544FCA206}">
      <text>
        <r>
          <rPr>
            <b/>
            <sz val="9"/>
            <color indexed="81"/>
            <rFont val="Tahoma"/>
            <family val="2"/>
          </rPr>
          <t xml:space="preserve"> &lt;[[TCDeals] - [Associated DEV Deal (Seq: 1)] - [Funding (Seq: 8)] Amount - Send]&gt;</t>
        </r>
      </text>
    </comment>
    <comment ref="AP287" authorId="0" shapeId="0" xr:uid="{8AF6641D-0285-4B4C-AF94-7BF655D8816B}">
      <text>
        <r>
          <rPr>
            <b/>
            <sz val="9"/>
            <color indexed="81"/>
            <rFont val="Tahoma"/>
            <family val="2"/>
          </rPr>
          <t xml:space="preserve"> &lt;[[TCDeals] - [Associated DEV Deal (Seq: 1)] - [Funding (Seq: 8)] Rate - Send]&gt;</t>
        </r>
      </text>
    </comment>
    <comment ref="AR287" authorId="0" shapeId="0" xr:uid="{47EBDF66-A558-43D0-8D65-0FE689E6FCBE}">
      <text>
        <r>
          <rPr>
            <b/>
            <sz val="9"/>
            <color indexed="81"/>
            <rFont val="Tahoma"/>
            <family val="2"/>
          </rPr>
          <t xml:space="preserve"> &lt;[[TCDeals] - [Associated DEV Deal (Seq: 1)] - [Funding (Seq: 8)] Debt Service - Send]&gt;</t>
        </r>
      </text>
    </comment>
    <comment ref="C288" authorId="0" shapeId="0" xr:uid="{953C5BE5-9D1D-458A-94CA-84AF5C6701EA}">
      <text>
        <r>
          <rPr>
            <b/>
            <sz val="9"/>
            <color indexed="81"/>
            <rFont val="Tahoma"/>
            <family val="2"/>
          </rPr>
          <t xml:space="preserve"> &lt;[[TCDeals] - [TC Property Current Stage (Seq: 1)] - [Property Financing - Permanent (Seq: 9)] Source Name - Send]&gt;</t>
        </r>
      </text>
    </comment>
    <comment ref="E288" authorId="0" shapeId="0" xr:uid="{D9965F2F-25ED-4E9D-AB1A-EAE1BB29B66E}">
      <text>
        <r>
          <rPr>
            <b/>
            <sz val="9"/>
            <color indexed="81"/>
            <rFont val="Tahoma"/>
            <family val="2"/>
          </rPr>
          <t xml:space="preserve"> &lt;[[TCDeals] - [TC Property Current Stage (Seq: 1)] - [Property Financing - Permanent (Seq: 9)] Financing Type - Send]&gt;</t>
        </r>
      </text>
    </comment>
    <comment ref="G288" authorId="0" shapeId="0" xr:uid="{2B64E8AC-CB2E-44DB-9F01-50BFECC36598}">
      <text>
        <r>
          <rPr>
            <b/>
            <sz val="9"/>
            <color indexed="81"/>
            <rFont val="Tahoma"/>
            <family val="2"/>
          </rPr>
          <t xml:space="preserve"> &lt;[[TCDeals] - [TC Property Current Stage (Seq: 1)] - [Property Financing - Permanent (Seq: 9)] Amount - Send]&gt;</t>
        </r>
      </text>
    </comment>
    <comment ref="I288" authorId="0" shapeId="0" xr:uid="{F483F3D9-E061-4894-8522-68C6364A141D}">
      <text>
        <r>
          <rPr>
            <b/>
            <sz val="9"/>
            <color indexed="81"/>
            <rFont val="Tahoma"/>
            <family val="2"/>
          </rPr>
          <t xml:space="preserve"> &lt;[[TCDeals] - [TC Property Current Stage (Seq: 1)] - [Property Financing - Permanent (Seq: 9)] Interest Rate - Send]&gt;</t>
        </r>
      </text>
    </comment>
    <comment ref="K288" authorId="0" shapeId="0" xr:uid="{319821DD-1B83-400E-938C-A21A3E85521B}">
      <text>
        <r>
          <rPr>
            <b/>
            <sz val="9"/>
            <color indexed="81"/>
            <rFont val="Tahoma"/>
            <family val="2"/>
          </rPr>
          <t xml:space="preserve"> &lt;[[TCDeals] - [TC Property Current Stage (Seq: 1)] - [Property Financing - Permanent (Seq: 9)] Loan Term - Send]&gt;</t>
        </r>
      </text>
    </comment>
    <comment ref="M288" authorId="0" shapeId="0" xr:uid="{601B765C-48B9-449F-A2A6-8AF80208AE38}">
      <text>
        <r>
          <rPr>
            <b/>
            <sz val="9"/>
            <color indexed="81"/>
            <rFont val="Tahoma"/>
            <family val="2"/>
          </rPr>
          <t xml:space="preserve"> &lt;[[TCDeals] - [TC Property Current Stage (Seq: 1)] - [Property Financing - Permanent (Seq: 9)] Annual Debt Svc Cost - Send]&gt;</t>
        </r>
      </text>
    </comment>
    <comment ref="AF288" authorId="0" shapeId="0" xr:uid="{2313492C-00B3-49A7-85C6-2F2ECF980F5B}">
      <text>
        <r>
          <rPr>
            <b/>
            <sz val="9"/>
            <color indexed="81"/>
            <rFont val="Tahoma"/>
            <family val="2"/>
          </rPr>
          <t xml:space="preserve"> &lt;[[TCDeals] - [Associated DEV Deal (Seq: 1)] - [Funding (Seq: 9)] DEV Funding Source - Send]&gt;</t>
        </r>
      </text>
    </comment>
    <comment ref="AH288" authorId="0" shapeId="0" xr:uid="{FD82BDBD-69C2-419D-9E6A-EEFC85B2CDAB}">
      <text>
        <r>
          <rPr>
            <b/>
            <sz val="9"/>
            <color indexed="81"/>
            <rFont val="Tahoma"/>
            <family val="2"/>
          </rPr>
          <t xml:space="preserve"> &lt;[[TCDeals] - [Associated DEV Deal (Seq: 1)] - [Funding (Seq: 9)] Program Type - Send]&gt;</t>
        </r>
      </text>
    </comment>
    <comment ref="AJ288" authorId="0" shapeId="0" xr:uid="{A549D248-C7B0-40C7-A156-0417B3A7E20D}">
      <text>
        <r>
          <rPr>
            <b/>
            <sz val="9"/>
            <color indexed="81"/>
            <rFont val="Tahoma"/>
            <family val="2"/>
          </rPr>
          <t xml:space="preserve"> &lt;[[TCDeals] - [Associated DEV Deal (Seq: 1)] - [Funding (Seq: 9)] Loan Product Type - Send]&gt;</t>
        </r>
      </text>
    </comment>
    <comment ref="AL288" authorId="0" shapeId="0" xr:uid="{1704484F-9780-4272-82DD-E14B87BCCF5B}">
      <text>
        <r>
          <rPr>
            <b/>
            <sz val="9"/>
            <color indexed="81"/>
            <rFont val="Tahoma"/>
            <family val="2"/>
          </rPr>
          <t xml:space="preserve"> &lt;[[TCDeals] - [Associated DEV Deal (Seq: 1)] - [Funding (Seq: 9)] Term - Send]&gt;</t>
        </r>
      </text>
    </comment>
    <comment ref="AN288" authorId="0" shapeId="0" xr:uid="{06A36E76-C428-4A11-9A2C-B32D97466B91}">
      <text>
        <r>
          <rPr>
            <b/>
            <sz val="9"/>
            <color indexed="81"/>
            <rFont val="Tahoma"/>
            <family val="2"/>
          </rPr>
          <t xml:space="preserve"> &lt;[[TCDeals] - [Associated DEV Deal (Seq: 1)] - [Funding (Seq: 9)] Amount - Send]&gt;</t>
        </r>
      </text>
    </comment>
    <comment ref="AP288" authorId="0" shapeId="0" xr:uid="{936F406B-A7E3-4968-8845-2C13F9176B33}">
      <text>
        <r>
          <rPr>
            <b/>
            <sz val="9"/>
            <color indexed="81"/>
            <rFont val="Tahoma"/>
            <family val="2"/>
          </rPr>
          <t xml:space="preserve"> &lt;[[TCDeals] - [Associated DEV Deal (Seq: 1)] - [Funding (Seq: 9)] Rate - Send]&gt;</t>
        </r>
      </text>
    </comment>
    <comment ref="AR288" authorId="0" shapeId="0" xr:uid="{F27D74DB-532D-4F52-89B1-30F6B3208BC8}">
      <text>
        <r>
          <rPr>
            <b/>
            <sz val="9"/>
            <color indexed="81"/>
            <rFont val="Tahoma"/>
            <family val="2"/>
          </rPr>
          <t xml:space="preserve"> &lt;[[TCDeals] - [Associated DEV Deal (Seq: 1)] - [Funding (Seq: 9)] Debt Service - Send]&gt;</t>
        </r>
      </text>
    </comment>
    <comment ref="C289" authorId="0" shapeId="0" xr:uid="{E08FE122-32D3-4637-B77D-F06469F13AF1}">
      <text>
        <r>
          <rPr>
            <b/>
            <sz val="9"/>
            <color indexed="81"/>
            <rFont val="Tahoma"/>
            <family val="2"/>
          </rPr>
          <t xml:space="preserve"> &lt;[[TCDeals] - [TC Property Current Stage (Seq: 1)] - [Property Financing - Permanent (Seq: 10)] Source Name - Send]&gt;</t>
        </r>
      </text>
    </comment>
    <comment ref="E289" authorId="0" shapeId="0" xr:uid="{138FEF8D-E9AE-403C-9F28-F06D311D7680}">
      <text>
        <r>
          <rPr>
            <b/>
            <sz val="9"/>
            <color indexed="81"/>
            <rFont val="Tahoma"/>
            <family val="2"/>
          </rPr>
          <t xml:space="preserve"> &lt;[[TCDeals] - [TC Property Current Stage (Seq: 1)] - [Property Financing - Permanent (Seq: 10)] Financing Type - Send]&gt;</t>
        </r>
      </text>
    </comment>
    <comment ref="G289" authorId="0" shapeId="0" xr:uid="{F6A00A5E-DE29-4861-A811-30879B19015F}">
      <text>
        <r>
          <rPr>
            <b/>
            <sz val="9"/>
            <color indexed="81"/>
            <rFont val="Tahoma"/>
            <family val="2"/>
          </rPr>
          <t xml:space="preserve"> &lt;[[TCDeals] - [TC Property Current Stage (Seq: 1)] - [Property Financing - Permanent (Seq: 10)] Amount - Send]&gt;</t>
        </r>
      </text>
    </comment>
    <comment ref="I289" authorId="0" shapeId="0" xr:uid="{297FDBEB-8EE7-4A01-8EBB-CB6C49FC57D3}">
      <text>
        <r>
          <rPr>
            <b/>
            <sz val="9"/>
            <color indexed="81"/>
            <rFont val="Tahoma"/>
            <family val="2"/>
          </rPr>
          <t xml:space="preserve"> &lt;[[TCDeals] - [TC Property Current Stage (Seq: 1)] - [Property Financing - Permanent (Seq: 10)] Interest Rate - Send]&gt;</t>
        </r>
      </text>
    </comment>
    <comment ref="K289" authorId="0" shapeId="0" xr:uid="{A81FD189-501D-4EA4-9D41-58957E4C2FB1}">
      <text>
        <r>
          <rPr>
            <b/>
            <sz val="9"/>
            <color indexed="81"/>
            <rFont val="Tahoma"/>
            <family val="2"/>
          </rPr>
          <t xml:space="preserve"> &lt;[[TCDeals] - [TC Property Current Stage (Seq: 1)] - [Property Financing - Permanent (Seq: 10)] Loan Term - Send]&gt;</t>
        </r>
      </text>
    </comment>
    <comment ref="M289" authorId="0" shapeId="0" xr:uid="{8F01276F-2891-4926-8577-488D5B1BC7A5}">
      <text>
        <r>
          <rPr>
            <b/>
            <sz val="9"/>
            <color indexed="81"/>
            <rFont val="Tahoma"/>
            <family val="2"/>
          </rPr>
          <t xml:space="preserve"> &lt;[[TCDeals] - [TC Property Current Stage (Seq: 1)] - [Property Financing - Permanent (Seq: 10)] Annual Debt Svc Cost - Send]&gt;</t>
        </r>
      </text>
    </comment>
    <comment ref="AF289" authorId="0" shapeId="0" xr:uid="{3F7380F8-3C9E-4B5A-BCB1-892B01F1B3CF}">
      <text>
        <r>
          <rPr>
            <b/>
            <sz val="9"/>
            <color indexed="81"/>
            <rFont val="Tahoma"/>
            <family val="2"/>
          </rPr>
          <t xml:space="preserve"> &lt;[[TCDeals] - [Associated DEV Deal (Seq: 1)] - [Funding (Seq: 10)] DEV Funding Source - Send]&gt;</t>
        </r>
      </text>
    </comment>
    <comment ref="AH289" authorId="0" shapeId="0" xr:uid="{F099F2CF-0E01-41B8-A645-519C83D948E6}">
      <text>
        <r>
          <rPr>
            <b/>
            <sz val="9"/>
            <color indexed="81"/>
            <rFont val="Tahoma"/>
            <family val="2"/>
          </rPr>
          <t xml:space="preserve"> &lt;[[TCDeals] - [Associated DEV Deal (Seq: 1)] - [Funding (Seq: 10)] Program Type - Send]&gt;</t>
        </r>
      </text>
    </comment>
    <comment ref="AJ289" authorId="0" shapeId="0" xr:uid="{AD32BD4F-D5DD-477B-902F-3AB24B98616D}">
      <text>
        <r>
          <rPr>
            <b/>
            <sz val="9"/>
            <color indexed="81"/>
            <rFont val="Tahoma"/>
            <family val="2"/>
          </rPr>
          <t xml:space="preserve"> &lt;[[TCDeals] - [Associated DEV Deal (Seq: 1)] - [Funding (Seq: 10)] Loan Product Type - Send]&gt;</t>
        </r>
      </text>
    </comment>
    <comment ref="AL289" authorId="0" shapeId="0" xr:uid="{6C8B7CEB-4B60-41FC-B579-757EE500796F}">
      <text>
        <r>
          <rPr>
            <b/>
            <sz val="9"/>
            <color indexed="81"/>
            <rFont val="Tahoma"/>
            <family val="2"/>
          </rPr>
          <t xml:space="preserve"> &lt;[[TCDeals] - [Associated DEV Deal (Seq: 1)] - [Funding (Seq: 10)] Term - Send]&gt;</t>
        </r>
      </text>
    </comment>
    <comment ref="AN289" authorId="0" shapeId="0" xr:uid="{E9C65947-D1F4-4312-8BF3-7883AF91A992}">
      <text>
        <r>
          <rPr>
            <b/>
            <sz val="9"/>
            <color indexed="81"/>
            <rFont val="Tahoma"/>
            <family val="2"/>
          </rPr>
          <t xml:space="preserve"> &lt;[[TCDeals] - [Associated DEV Deal (Seq: 1)] - [Funding (Seq: 10)] Amount - Send]&gt;</t>
        </r>
      </text>
    </comment>
    <comment ref="AP289" authorId="0" shapeId="0" xr:uid="{8966964B-C203-4A55-AD28-1BDFC4155B15}">
      <text>
        <r>
          <rPr>
            <b/>
            <sz val="9"/>
            <color indexed="81"/>
            <rFont val="Tahoma"/>
            <family val="2"/>
          </rPr>
          <t xml:space="preserve"> &lt;[[TCDeals] - [Associated DEV Deal (Seq: 1)] - [Funding (Seq: 10)] Rate - Send]&gt;</t>
        </r>
      </text>
    </comment>
    <comment ref="AR289" authorId="0" shapeId="0" xr:uid="{7EA1FD08-B849-455B-AFE6-CE706DB179E8}">
      <text>
        <r>
          <rPr>
            <b/>
            <sz val="9"/>
            <color indexed="81"/>
            <rFont val="Tahoma"/>
            <family val="2"/>
          </rPr>
          <t xml:space="preserve"> &lt;[[TCDeals] - [Associated DEV Deal (Seq: 1)] - [Funding (Seq: 10)] Debt Service - Send]&gt;</t>
        </r>
      </text>
    </comment>
    <comment ref="C290" authorId="0" shapeId="0" xr:uid="{63A663D7-8C25-4E3E-B859-983DB1FE2F85}">
      <text>
        <r>
          <rPr>
            <b/>
            <sz val="9"/>
            <color indexed="81"/>
            <rFont val="Tahoma"/>
            <family val="2"/>
          </rPr>
          <t xml:space="preserve"> &lt;[[TCDeals] - [TC Property Current Stage (Seq: 1)] - [Property Financing - Permanent (Seq: 11)] Source Name - Send]&gt;</t>
        </r>
      </text>
    </comment>
    <comment ref="E290" authorId="0" shapeId="0" xr:uid="{04855D7E-4EA2-4362-ABA3-921A83E55AEA}">
      <text>
        <r>
          <rPr>
            <b/>
            <sz val="9"/>
            <color indexed="81"/>
            <rFont val="Tahoma"/>
            <family val="2"/>
          </rPr>
          <t xml:space="preserve"> &lt;[[TCDeals] - [TC Property Current Stage (Seq: 1)] - [Property Financing - Permanent (Seq: 11)] Financing Type - Send]&gt;</t>
        </r>
      </text>
    </comment>
    <comment ref="G290" authorId="0" shapeId="0" xr:uid="{2975DDC7-DB68-4343-A4D5-110E3DC450F4}">
      <text>
        <r>
          <rPr>
            <b/>
            <sz val="9"/>
            <color indexed="81"/>
            <rFont val="Tahoma"/>
            <family val="2"/>
          </rPr>
          <t xml:space="preserve"> &lt;[[TCDeals] - [TC Property Current Stage (Seq: 1)] - [Property Financing - Permanent (Seq: 11)] Amount - Send]&gt;</t>
        </r>
      </text>
    </comment>
    <comment ref="I290" authorId="0" shapeId="0" xr:uid="{10303FEC-506B-4CBE-8C50-F6F628514D68}">
      <text>
        <r>
          <rPr>
            <b/>
            <sz val="9"/>
            <color indexed="81"/>
            <rFont val="Tahoma"/>
            <family val="2"/>
          </rPr>
          <t xml:space="preserve"> &lt;[[TCDeals] - [TC Property Current Stage (Seq: 1)] - [Property Financing - Permanent (Seq: 11)] Interest Rate - Send]&gt;</t>
        </r>
      </text>
    </comment>
    <comment ref="K290" authorId="0" shapeId="0" xr:uid="{52D11043-A324-4EC6-83BF-F1A7B220E4DC}">
      <text>
        <r>
          <rPr>
            <b/>
            <sz val="9"/>
            <color indexed="81"/>
            <rFont val="Tahoma"/>
            <family val="2"/>
          </rPr>
          <t xml:space="preserve"> &lt;[[TCDeals] - [TC Property Current Stage (Seq: 1)] - [Property Financing - Permanent (Seq: 11)] Loan Term - Send]&gt;</t>
        </r>
      </text>
    </comment>
    <comment ref="M290" authorId="0" shapeId="0" xr:uid="{98D315C8-781A-4B8F-B121-EF2A80D2B609}">
      <text>
        <r>
          <rPr>
            <b/>
            <sz val="9"/>
            <color indexed="81"/>
            <rFont val="Tahoma"/>
            <family val="2"/>
          </rPr>
          <t xml:space="preserve"> &lt;[[TCDeals] - [TC Property Current Stage (Seq: 1)] - [Property Financing - Permanent (Seq: 11)] Annual Debt Svc Cost - Send]&gt;</t>
        </r>
      </text>
    </comment>
    <comment ref="C291" authorId="0" shapeId="0" xr:uid="{CB029196-F499-4465-B7A0-E787169376D6}">
      <text>
        <r>
          <rPr>
            <b/>
            <sz val="9"/>
            <color indexed="81"/>
            <rFont val="Tahoma"/>
            <family val="2"/>
          </rPr>
          <t xml:space="preserve"> &lt;[[TCDeals] - [TC Property Current Stage (Seq: 1)] - [Property Financing - Permanent (Seq: 12)] Source Name - Send]&gt;</t>
        </r>
      </text>
    </comment>
    <comment ref="E291" authorId="0" shapeId="0" xr:uid="{02D4D8E4-0486-4746-BE9F-F02920CD599C}">
      <text>
        <r>
          <rPr>
            <b/>
            <sz val="9"/>
            <color indexed="81"/>
            <rFont val="Tahoma"/>
            <family val="2"/>
          </rPr>
          <t xml:space="preserve"> &lt;[[TCDeals] - [TC Property Current Stage (Seq: 1)] - [Property Financing - Permanent (Seq: 12)] Financing Type - Send]&gt;</t>
        </r>
      </text>
    </comment>
    <comment ref="G291" authorId="0" shapeId="0" xr:uid="{CE9EA7A8-DDDB-4B92-B11A-EC6A961F7DC2}">
      <text>
        <r>
          <rPr>
            <b/>
            <sz val="9"/>
            <color indexed="81"/>
            <rFont val="Tahoma"/>
            <family val="2"/>
          </rPr>
          <t xml:space="preserve"> &lt;[[TCDeals] - [TC Property Current Stage (Seq: 1)] - [Property Financing - Permanent (Seq: 12)] Amount - Send]&gt;</t>
        </r>
      </text>
    </comment>
    <comment ref="I291" authorId="0" shapeId="0" xr:uid="{7AB1164A-84BB-4E83-90C5-B14B978AC555}">
      <text>
        <r>
          <rPr>
            <b/>
            <sz val="9"/>
            <color indexed="81"/>
            <rFont val="Tahoma"/>
            <family val="2"/>
          </rPr>
          <t xml:space="preserve"> &lt;[[TCDeals] - [TC Property Current Stage (Seq: 1)] - [Property Financing - Permanent (Seq: 12)] Interest Rate - Send]&gt;</t>
        </r>
      </text>
    </comment>
    <comment ref="K291" authorId="0" shapeId="0" xr:uid="{47C57D22-293D-48F3-8DD9-6C48B10F7B13}">
      <text>
        <r>
          <rPr>
            <b/>
            <sz val="9"/>
            <color indexed="81"/>
            <rFont val="Tahoma"/>
            <family val="2"/>
          </rPr>
          <t xml:space="preserve"> &lt;[[TCDeals] - [TC Property Current Stage (Seq: 1)] - [Property Financing - Permanent (Seq: 12)] Loan Term - Send]&gt;</t>
        </r>
      </text>
    </comment>
    <comment ref="M291" authorId="0" shapeId="0" xr:uid="{49D2C5D1-007D-4363-A5B6-EE6BBDCA9880}">
      <text>
        <r>
          <rPr>
            <b/>
            <sz val="9"/>
            <color indexed="81"/>
            <rFont val="Tahoma"/>
            <family val="2"/>
          </rPr>
          <t xml:space="preserve"> &lt;[[TCDeals] - [TC Property Current Stage (Seq: 1)] - [Property Financing - Permanent (Seq: 12)] Annual Debt Svc Cost - Send]&gt;</t>
        </r>
      </text>
    </comment>
    <comment ref="C292" authorId="0" shapeId="0" xr:uid="{D400D7C7-AA84-4279-A838-8137D33665BE}">
      <text>
        <r>
          <rPr>
            <b/>
            <sz val="9"/>
            <color indexed="81"/>
            <rFont val="Tahoma"/>
            <family val="2"/>
          </rPr>
          <t xml:space="preserve"> &lt;[[TCDeals] - [TC Property Current Stage (Seq: 1)] - [Property Financing - Permanent (Seq: 13)] Source Name - Send]&gt;</t>
        </r>
      </text>
    </comment>
    <comment ref="E292" authorId="0" shapeId="0" xr:uid="{7A9F418E-66D8-4FAB-AE99-C0060DE3D065}">
      <text>
        <r>
          <rPr>
            <b/>
            <sz val="9"/>
            <color indexed="81"/>
            <rFont val="Tahoma"/>
            <family val="2"/>
          </rPr>
          <t xml:space="preserve"> &lt;[[TCDeals] - [TC Property Current Stage (Seq: 1)] - [Property Financing - Permanent (Seq: 13)] Financing Type - Send]&gt;</t>
        </r>
      </text>
    </comment>
    <comment ref="G292" authorId="0" shapeId="0" xr:uid="{D495436F-9C5A-43E6-AC9F-32289822AA36}">
      <text>
        <r>
          <rPr>
            <b/>
            <sz val="9"/>
            <color indexed="81"/>
            <rFont val="Tahoma"/>
            <family val="2"/>
          </rPr>
          <t xml:space="preserve"> &lt;[[TCDeals] - [TC Property Current Stage (Seq: 1)] - [Property Financing - Permanent (Seq: 13)] Amount - Send]&gt;</t>
        </r>
      </text>
    </comment>
    <comment ref="I292" authorId="0" shapeId="0" xr:uid="{0E340A47-6BBB-4320-90CC-45DF2F9BD2B1}">
      <text>
        <r>
          <rPr>
            <b/>
            <sz val="9"/>
            <color indexed="81"/>
            <rFont val="Tahoma"/>
            <family val="2"/>
          </rPr>
          <t xml:space="preserve"> &lt;[[TCDeals] - [TC Property Current Stage (Seq: 1)] - [Property Financing - Permanent (Seq: 13)] Interest Rate - Send]&gt;</t>
        </r>
      </text>
    </comment>
    <comment ref="K292" authorId="0" shapeId="0" xr:uid="{88F3D474-AD2A-4537-ABA6-C12B24C65911}">
      <text>
        <r>
          <rPr>
            <b/>
            <sz val="9"/>
            <color indexed="81"/>
            <rFont val="Tahoma"/>
            <family val="2"/>
          </rPr>
          <t xml:space="preserve"> &lt;[[TCDeals] - [TC Property Current Stage (Seq: 1)] - [Property Financing - Permanent (Seq: 13)] Loan Term - Send]&gt;</t>
        </r>
      </text>
    </comment>
    <comment ref="M292" authorId="0" shapeId="0" xr:uid="{198D67ED-B420-4C8E-BFAF-3C88EADC0D04}">
      <text>
        <r>
          <rPr>
            <b/>
            <sz val="9"/>
            <color indexed="81"/>
            <rFont val="Tahoma"/>
            <family val="2"/>
          </rPr>
          <t xml:space="preserve"> &lt;[[TCDeals] - [TC Property Current Stage (Seq: 1)] - [Property Financing - Permanent (Seq: 13)] Annual Debt Svc Cost - Send]&gt;</t>
        </r>
      </text>
    </comment>
    <comment ref="C295" authorId="0" shapeId="0" xr:uid="{8E1E5257-B01D-44BA-8B9F-BB77D21E67F8}">
      <text>
        <r>
          <rPr>
            <b/>
            <sz val="9"/>
            <color indexed="81"/>
            <rFont val="Tahoma"/>
            <family val="2"/>
          </rPr>
          <t xml:space="preserve"> &lt;[[TCDeals] - [TC Property Current Stage (Seq: 1)] - [Property Financing - Grant (Seq: 1)] Source Name - Send]&gt;</t>
        </r>
      </text>
    </comment>
    <comment ref="E295" authorId="0" shapeId="0" xr:uid="{936442A2-BD9E-4640-B1D4-DD0717C99847}">
      <text>
        <r>
          <rPr>
            <b/>
            <sz val="9"/>
            <color indexed="81"/>
            <rFont val="Tahoma"/>
            <family val="2"/>
          </rPr>
          <t xml:space="preserve"> &lt;[[TCDeals] - [TC Property Current Stage (Seq: 1)] - [Property Financing - Grant (Seq: 1)] Financing Type - Send]&gt;</t>
        </r>
      </text>
    </comment>
    <comment ref="G295" authorId="0" shapeId="0" xr:uid="{AD1B5685-DF30-4E2A-8F4F-C944EB75F2F9}">
      <text>
        <r>
          <rPr>
            <b/>
            <sz val="9"/>
            <color indexed="81"/>
            <rFont val="Tahoma"/>
            <family val="2"/>
          </rPr>
          <t xml:space="preserve"> &lt;[[TCDeals] - [TC Property Current Stage (Seq: 1)] - [Property Financing - Grant (Seq: 1)] Amount - Send]&gt;</t>
        </r>
      </text>
    </comment>
    <comment ref="Z295" authorId="0" shapeId="0" xr:uid="{1F8EDDB5-86FD-42D5-881B-439B5BC09862}">
      <text>
        <r>
          <rPr>
            <b/>
            <sz val="9"/>
            <color indexed="81"/>
            <rFont val="Tahoma"/>
            <family val="2"/>
          </rPr>
          <t xml:space="preserve"> &lt;[[TCDeals] - [Associated DEV Deal (Seq: 1)] - [Funding (Seq: 11)] DEV Funding Source - Send]&gt;</t>
        </r>
      </text>
    </comment>
    <comment ref="AB295" authorId="0" shapeId="0" xr:uid="{D2C41CD6-E044-47D4-9A59-4D29FE39577A}">
      <text>
        <r>
          <rPr>
            <b/>
            <sz val="9"/>
            <color indexed="81"/>
            <rFont val="Tahoma"/>
            <family val="2"/>
          </rPr>
          <t xml:space="preserve"> &lt;[[TCDeals] - [Associated DEV Deal (Seq: 1)] - [Funding (Seq: 11)] Program Type - Send]&gt;</t>
        </r>
      </text>
    </comment>
    <comment ref="AD295" authorId="0" shapeId="0" xr:uid="{3A02BBFF-9CD9-4451-A665-36A68BFAF52A}">
      <text>
        <r>
          <rPr>
            <b/>
            <sz val="9"/>
            <color indexed="81"/>
            <rFont val="Tahoma"/>
            <family val="2"/>
          </rPr>
          <t xml:space="preserve"> &lt;[[TCDeals] - [Associated DEV Deal (Seq: 1)] - [Funding (Seq: 11)] Loan Product Type - Send]&gt;</t>
        </r>
      </text>
    </comment>
    <comment ref="AF295" authorId="0" shapeId="0" xr:uid="{AAD5EA54-8235-4EC6-968A-69C8630E5DA7}">
      <text>
        <r>
          <rPr>
            <b/>
            <sz val="9"/>
            <color indexed="81"/>
            <rFont val="Tahoma"/>
            <family val="2"/>
          </rPr>
          <t xml:space="preserve"> &lt;[[TCDeals] - [Associated DEV Deal (Seq: 1)] - [Funding (Seq: 11)] Term - Send]&gt;</t>
        </r>
      </text>
    </comment>
    <comment ref="AH295" authorId="0" shapeId="0" xr:uid="{32B210B7-4ABA-4E16-B138-19536BD7101F}">
      <text>
        <r>
          <rPr>
            <b/>
            <sz val="9"/>
            <color indexed="81"/>
            <rFont val="Tahoma"/>
            <family val="2"/>
          </rPr>
          <t xml:space="preserve"> &lt;[[TCDeals] - [Associated DEV Deal (Seq: 1)] - [Funding (Seq: 11)] Amount - Send]&gt;</t>
        </r>
      </text>
    </comment>
    <comment ref="AJ295" authorId="0" shapeId="0" xr:uid="{3FF6241F-3124-4C36-B8E0-27E02EC7EAB1}">
      <text>
        <r>
          <rPr>
            <b/>
            <sz val="9"/>
            <color indexed="81"/>
            <rFont val="Tahoma"/>
            <family val="2"/>
          </rPr>
          <t xml:space="preserve"> &lt;[[TCDeals] - [Associated DEV Deal (Seq: 1)] - [Funding (Seq: 11)] Rate - Send]&gt;</t>
        </r>
      </text>
    </comment>
    <comment ref="AL295" authorId="0" shapeId="0" xr:uid="{D5AB682D-589E-4B97-9536-4106E5AF47D8}">
      <text>
        <r>
          <rPr>
            <b/>
            <sz val="9"/>
            <color indexed="81"/>
            <rFont val="Tahoma"/>
            <family val="2"/>
          </rPr>
          <t xml:space="preserve"> &lt;[[TCDeals] - [Associated DEV Deal (Seq: 1)] - [Funding (Seq: 11)] Debt Service - Send]&gt;</t>
        </r>
      </text>
    </comment>
    <comment ref="C296" authorId="0" shapeId="0" xr:uid="{DEAE6815-F16D-4EE2-B1BA-D5C541AD772E}">
      <text>
        <r>
          <rPr>
            <b/>
            <sz val="9"/>
            <color indexed="81"/>
            <rFont val="Tahoma"/>
            <family val="2"/>
          </rPr>
          <t xml:space="preserve"> &lt;[[TCDeals] - [TC Property Current Stage (Seq: 1)] - [Property Financing - Grant (Seq: 2)] Source Name - Send]&gt;</t>
        </r>
      </text>
    </comment>
    <comment ref="E296" authorId="0" shapeId="0" xr:uid="{EA49BF1E-0707-4221-8545-DA85E08E1659}">
      <text>
        <r>
          <rPr>
            <b/>
            <sz val="9"/>
            <color indexed="81"/>
            <rFont val="Tahoma"/>
            <family val="2"/>
          </rPr>
          <t xml:space="preserve"> &lt;[[TCDeals] - [TC Property Current Stage (Seq: 1)] - [Property Financing - Grant (Seq: 2)] Financing Type - Send]&gt;</t>
        </r>
      </text>
    </comment>
    <comment ref="G296" authorId="0" shapeId="0" xr:uid="{23A9D4DD-43CB-44A4-94DD-E8FEBFEC553F}">
      <text>
        <r>
          <rPr>
            <b/>
            <sz val="9"/>
            <color indexed="81"/>
            <rFont val="Tahoma"/>
            <family val="2"/>
          </rPr>
          <t xml:space="preserve"> &lt;[[TCDeals] - [TC Property Current Stage (Seq: 1)] - [Property Financing - Grant (Seq: 2)] Amount - Send]&gt;</t>
        </r>
      </text>
    </comment>
    <comment ref="Z296" authorId="0" shapeId="0" xr:uid="{3315F84E-F363-47AC-BDC1-6DD4F61DF8EF}">
      <text>
        <r>
          <rPr>
            <b/>
            <sz val="9"/>
            <color indexed="81"/>
            <rFont val="Tahoma"/>
            <family val="2"/>
          </rPr>
          <t xml:space="preserve"> &lt;[[TCDeals] - [Associated DEV Deal (Seq: 1)] - [Funding (Seq: 12)] DEV Funding Source - Send]&gt;</t>
        </r>
      </text>
    </comment>
    <comment ref="AB296" authorId="0" shapeId="0" xr:uid="{985DBE59-4069-4C36-A97F-65AF41892DCB}">
      <text>
        <r>
          <rPr>
            <b/>
            <sz val="9"/>
            <color indexed="81"/>
            <rFont val="Tahoma"/>
            <family val="2"/>
          </rPr>
          <t xml:space="preserve"> &lt;[[TCDeals] - [Associated DEV Deal (Seq: 1)] - [Funding (Seq: 12)] Program Type - Send]&gt;</t>
        </r>
      </text>
    </comment>
    <comment ref="AD296" authorId="0" shapeId="0" xr:uid="{9C7E3F5F-414E-4FCF-9409-72DC42563207}">
      <text>
        <r>
          <rPr>
            <b/>
            <sz val="9"/>
            <color indexed="81"/>
            <rFont val="Tahoma"/>
            <family val="2"/>
          </rPr>
          <t xml:space="preserve"> &lt;[[TCDeals] - [Associated DEV Deal (Seq: 1)] - [Funding (Seq: 12)] Loan Product Type - Send]&gt;</t>
        </r>
      </text>
    </comment>
    <comment ref="AF296" authorId="0" shapeId="0" xr:uid="{FFD2B235-A62F-4106-9192-170D204EB6A7}">
      <text>
        <r>
          <rPr>
            <b/>
            <sz val="9"/>
            <color indexed="81"/>
            <rFont val="Tahoma"/>
            <family val="2"/>
          </rPr>
          <t xml:space="preserve"> &lt;[[TCDeals] - [Associated DEV Deal (Seq: 1)] - [Funding (Seq: 12)] Term - Send]&gt;</t>
        </r>
      </text>
    </comment>
    <comment ref="AH296" authorId="0" shapeId="0" xr:uid="{DCFEE480-8A52-48C7-BE88-14745D3C5347}">
      <text>
        <r>
          <rPr>
            <b/>
            <sz val="9"/>
            <color indexed="81"/>
            <rFont val="Tahoma"/>
            <family val="2"/>
          </rPr>
          <t xml:space="preserve"> &lt;[[TCDeals] - [Associated DEV Deal (Seq: 1)] - [Funding (Seq: 12)] Amount - Send]&gt;</t>
        </r>
      </text>
    </comment>
    <comment ref="AJ296" authorId="0" shapeId="0" xr:uid="{ADD69A54-D0B4-4771-A73B-4343397A2812}">
      <text>
        <r>
          <rPr>
            <b/>
            <sz val="9"/>
            <color indexed="81"/>
            <rFont val="Tahoma"/>
            <family val="2"/>
          </rPr>
          <t xml:space="preserve"> &lt;[[TCDeals] - [Associated DEV Deal (Seq: 1)] - [Funding (Seq: 12)] Rate - Send]&gt;</t>
        </r>
      </text>
    </comment>
    <comment ref="AL296" authorId="0" shapeId="0" xr:uid="{9BB23E82-5CC1-44F8-B512-499830FED539}">
      <text>
        <r>
          <rPr>
            <b/>
            <sz val="9"/>
            <color indexed="81"/>
            <rFont val="Tahoma"/>
            <family val="2"/>
          </rPr>
          <t xml:space="preserve"> &lt;[[TCDeals] - [Associated DEV Deal (Seq: 1)] - [Funding (Seq: 12)] Debt Service - Send]&gt;</t>
        </r>
      </text>
    </comment>
    <comment ref="C297" authorId="0" shapeId="0" xr:uid="{C427E6CE-D467-4D22-A94C-62E32692BB5A}">
      <text>
        <r>
          <rPr>
            <b/>
            <sz val="9"/>
            <color indexed="81"/>
            <rFont val="Tahoma"/>
            <family val="2"/>
          </rPr>
          <t xml:space="preserve"> &lt;[[TCDeals] - [TC Property Current Stage (Seq: 1)] - [Property Financing - Grant (Seq: 3)] Source Name - Send]&gt;</t>
        </r>
      </text>
    </comment>
    <comment ref="E297" authorId="0" shapeId="0" xr:uid="{A77EDE38-8414-43F8-9C6E-97E6D87381D8}">
      <text>
        <r>
          <rPr>
            <b/>
            <sz val="9"/>
            <color indexed="81"/>
            <rFont val="Tahoma"/>
            <family val="2"/>
          </rPr>
          <t xml:space="preserve"> &lt;[[TCDeals] - [TC Property Current Stage (Seq: 1)] - [Property Financing - Grant (Seq: 3)] Financing Type - Send]&gt;</t>
        </r>
      </text>
    </comment>
    <comment ref="G297" authorId="0" shapeId="0" xr:uid="{74261E70-7CA0-4987-A765-136B9D7652E6}">
      <text>
        <r>
          <rPr>
            <b/>
            <sz val="9"/>
            <color indexed="81"/>
            <rFont val="Tahoma"/>
            <family val="2"/>
          </rPr>
          <t xml:space="preserve"> &lt;[[TCDeals] - [TC Property Current Stage (Seq: 1)] - [Property Financing - Grant (Seq: 3)] Amount - Send]&gt;</t>
        </r>
      </text>
    </comment>
    <comment ref="Z297" authorId="0" shapeId="0" xr:uid="{56FDE157-E239-45D3-8E85-079EB08F7409}">
      <text>
        <r>
          <rPr>
            <b/>
            <sz val="9"/>
            <color indexed="81"/>
            <rFont val="Tahoma"/>
            <family val="2"/>
          </rPr>
          <t xml:space="preserve"> &lt;[[TCDeals] - [Associated DEV Deal (Seq: 1)] - [Funding (Seq: 13)] DEV Funding Source - Send]&gt;</t>
        </r>
      </text>
    </comment>
    <comment ref="AB297" authorId="0" shapeId="0" xr:uid="{BF68E151-B1D4-4E35-8E93-CD1542495810}">
      <text>
        <r>
          <rPr>
            <b/>
            <sz val="9"/>
            <color indexed="81"/>
            <rFont val="Tahoma"/>
            <family val="2"/>
          </rPr>
          <t xml:space="preserve"> &lt;[[TCDeals] - [Associated DEV Deal (Seq: 1)] - [Funding (Seq: 13)] Program Type - Send]&gt;</t>
        </r>
      </text>
    </comment>
    <comment ref="AD297" authorId="0" shapeId="0" xr:uid="{CBB88CB0-E323-4EDD-ABD6-29F5D75E0C20}">
      <text>
        <r>
          <rPr>
            <b/>
            <sz val="9"/>
            <color indexed="81"/>
            <rFont val="Tahoma"/>
            <family val="2"/>
          </rPr>
          <t xml:space="preserve"> &lt;[[TCDeals] - [Associated DEV Deal (Seq: 1)] - [Funding (Seq: 13)] Loan Product Type - Send]&gt;</t>
        </r>
      </text>
    </comment>
    <comment ref="AF297" authorId="0" shapeId="0" xr:uid="{56A777DE-84E2-46E8-A103-6915D2E53858}">
      <text>
        <r>
          <rPr>
            <b/>
            <sz val="9"/>
            <color indexed="81"/>
            <rFont val="Tahoma"/>
            <family val="2"/>
          </rPr>
          <t xml:space="preserve"> &lt;[[TCDeals] - [Associated DEV Deal (Seq: 1)] - [Funding (Seq: 13)] Term - Send]&gt;</t>
        </r>
      </text>
    </comment>
    <comment ref="AH297" authorId="0" shapeId="0" xr:uid="{3B102A70-5021-415F-8479-D20DF077DC33}">
      <text>
        <r>
          <rPr>
            <b/>
            <sz val="9"/>
            <color indexed="81"/>
            <rFont val="Tahoma"/>
            <family val="2"/>
          </rPr>
          <t xml:space="preserve"> &lt;[[TCDeals] - [Associated DEV Deal (Seq: 1)] - [Funding (Seq: 13)] Amount - Send]&gt;</t>
        </r>
      </text>
    </comment>
    <comment ref="AJ297" authorId="0" shapeId="0" xr:uid="{F4C23AEA-062F-420A-ABB9-96FA520C466A}">
      <text>
        <r>
          <rPr>
            <b/>
            <sz val="9"/>
            <color indexed="81"/>
            <rFont val="Tahoma"/>
            <family val="2"/>
          </rPr>
          <t xml:space="preserve"> &lt;[[TCDeals] - [Associated DEV Deal (Seq: 1)] - [Funding (Seq: 13)] Rate - Send]&gt;</t>
        </r>
      </text>
    </comment>
    <comment ref="AL297" authorId="0" shapeId="0" xr:uid="{19BFE4ED-6F61-4AE6-9E8A-50DCACE9DB61}">
      <text>
        <r>
          <rPr>
            <b/>
            <sz val="9"/>
            <color indexed="81"/>
            <rFont val="Tahoma"/>
            <family val="2"/>
          </rPr>
          <t xml:space="preserve"> &lt;[[TCDeals] - [Associated DEV Deal (Seq: 1)] - [Funding (Seq: 13)] Debt Service - Send]&gt;</t>
        </r>
      </text>
    </comment>
    <comment ref="C298" authorId="0" shapeId="0" xr:uid="{73AF7308-508D-4EC3-A60B-3A56EBB081F8}">
      <text>
        <r>
          <rPr>
            <b/>
            <sz val="9"/>
            <color indexed="81"/>
            <rFont val="Tahoma"/>
            <family val="2"/>
          </rPr>
          <t xml:space="preserve"> &lt;[[TCDeals] - [TC Property Current Stage (Seq: 1)] - [Property Financing - Grant (Seq: 4)] Source Name - Send]&gt;</t>
        </r>
      </text>
    </comment>
    <comment ref="E298" authorId="0" shapeId="0" xr:uid="{380BAB7D-0306-41BE-9EEE-AECD0CB23B61}">
      <text>
        <r>
          <rPr>
            <b/>
            <sz val="9"/>
            <color indexed="81"/>
            <rFont val="Tahoma"/>
            <family val="2"/>
          </rPr>
          <t xml:space="preserve"> &lt;[[TCDeals] - [TC Property Current Stage (Seq: 1)] - [Property Financing - Grant (Seq: 4)] Financing Type - Send]&gt;</t>
        </r>
      </text>
    </comment>
    <comment ref="G298" authorId="0" shapeId="0" xr:uid="{14EFDF82-AA68-42F5-93A9-47224FEA0BC5}">
      <text>
        <r>
          <rPr>
            <b/>
            <sz val="9"/>
            <color indexed="81"/>
            <rFont val="Tahoma"/>
            <family val="2"/>
          </rPr>
          <t xml:space="preserve"> &lt;[[TCDeals] - [TC Property Current Stage (Seq: 1)] - [Property Financing - Grant (Seq: 4)] Amount - Send]&gt;</t>
        </r>
      </text>
    </comment>
    <comment ref="Z298" authorId="0" shapeId="0" xr:uid="{1D36DAFC-511E-49E6-A03D-88A56154DE6C}">
      <text>
        <r>
          <rPr>
            <b/>
            <sz val="9"/>
            <color indexed="81"/>
            <rFont val="Tahoma"/>
            <family val="2"/>
          </rPr>
          <t xml:space="preserve"> &lt;[[TCDeals] - [Associated DEV Deal (Seq: 1)] - [Funding (Seq: 14)] DEV Funding Source - Send]&gt;</t>
        </r>
      </text>
    </comment>
    <comment ref="AB298" authorId="0" shapeId="0" xr:uid="{D8B18E18-CE01-463D-B32A-D929B3BC7CDC}">
      <text>
        <r>
          <rPr>
            <b/>
            <sz val="9"/>
            <color indexed="81"/>
            <rFont val="Tahoma"/>
            <family val="2"/>
          </rPr>
          <t xml:space="preserve"> &lt;[[TCDeals] - [Associated DEV Deal (Seq: 1)] - [Funding (Seq: 14)] Program Type - Send]&gt;</t>
        </r>
      </text>
    </comment>
    <comment ref="AD298" authorId="0" shapeId="0" xr:uid="{D2583CEB-C76C-4620-99EC-5A34FBDD7D74}">
      <text>
        <r>
          <rPr>
            <b/>
            <sz val="9"/>
            <color indexed="81"/>
            <rFont val="Tahoma"/>
            <family val="2"/>
          </rPr>
          <t xml:space="preserve"> &lt;[[TCDeals] - [Associated DEV Deal (Seq: 1)] - [Funding (Seq: 14)] Loan Product Type - Send]&gt;</t>
        </r>
      </text>
    </comment>
    <comment ref="AF298" authorId="0" shapeId="0" xr:uid="{67AE5517-31D6-4215-8E31-7A9459C2E38C}">
      <text>
        <r>
          <rPr>
            <b/>
            <sz val="9"/>
            <color indexed="81"/>
            <rFont val="Tahoma"/>
            <family val="2"/>
          </rPr>
          <t xml:space="preserve"> &lt;[[TCDeals] - [Associated DEV Deal (Seq: 1)] - [Funding (Seq: 14)] Term - Send]&gt;</t>
        </r>
      </text>
    </comment>
    <comment ref="AH298" authorId="0" shapeId="0" xr:uid="{B28C4B78-C522-45F5-8530-A030E6F7269C}">
      <text>
        <r>
          <rPr>
            <b/>
            <sz val="9"/>
            <color indexed="81"/>
            <rFont val="Tahoma"/>
            <family val="2"/>
          </rPr>
          <t xml:space="preserve"> &lt;[[TCDeals] - [Associated DEV Deal (Seq: 1)] - [Funding (Seq: 14)] Amount - Send]&gt;</t>
        </r>
      </text>
    </comment>
    <comment ref="AJ298" authorId="0" shapeId="0" xr:uid="{D0B718DF-EF2D-4726-8AFB-7002D5D39C58}">
      <text>
        <r>
          <rPr>
            <b/>
            <sz val="9"/>
            <color indexed="81"/>
            <rFont val="Tahoma"/>
            <family val="2"/>
          </rPr>
          <t xml:space="preserve"> &lt;[[TCDeals] - [Associated DEV Deal (Seq: 1)] - [Funding (Seq: 14)] Rate - Send]&gt;</t>
        </r>
      </text>
    </comment>
    <comment ref="AL298" authorId="0" shapeId="0" xr:uid="{4BE992EB-45FD-4260-8B53-175362E2665E}">
      <text>
        <r>
          <rPr>
            <b/>
            <sz val="9"/>
            <color indexed="81"/>
            <rFont val="Tahoma"/>
            <family val="2"/>
          </rPr>
          <t xml:space="preserve"> &lt;[[TCDeals] - [Associated DEV Deal (Seq: 1)] - [Funding (Seq: 14)] Debt Service - Send]&gt;</t>
        </r>
      </text>
    </comment>
    <comment ref="C299" authorId="0" shapeId="0" xr:uid="{4471DC7D-25F3-4A8B-B5A4-37233A4C4BD9}">
      <text>
        <r>
          <rPr>
            <b/>
            <sz val="9"/>
            <color indexed="81"/>
            <rFont val="Tahoma"/>
            <family val="2"/>
          </rPr>
          <t xml:space="preserve"> &lt;[[TCDeals] - [TC Property Current Stage (Seq: 1)] - [Property Financing - Grant (Seq: 5)] Source Name - Send]&gt;</t>
        </r>
      </text>
    </comment>
    <comment ref="E299" authorId="0" shapeId="0" xr:uid="{9DCDEC98-F756-48B4-86C1-574469B47BAC}">
      <text>
        <r>
          <rPr>
            <b/>
            <sz val="9"/>
            <color indexed="81"/>
            <rFont val="Tahoma"/>
            <family val="2"/>
          </rPr>
          <t xml:space="preserve"> &lt;[[TCDeals] - [TC Property Current Stage (Seq: 1)] - [Property Financing - Grant (Seq: 5)] Financing Type - Send]&gt;</t>
        </r>
      </text>
    </comment>
    <comment ref="G299" authorId="0" shapeId="0" xr:uid="{CF7E7830-55B1-4FD2-8E51-6043AF8FF58E}">
      <text>
        <r>
          <rPr>
            <b/>
            <sz val="9"/>
            <color indexed="81"/>
            <rFont val="Tahoma"/>
            <family val="2"/>
          </rPr>
          <t xml:space="preserve"> &lt;[[TCDeals] - [TC Property Current Stage (Seq: 1)] - [Property Financing - Grant (Seq: 5)] Amount - Send]&gt;</t>
        </r>
      </text>
    </comment>
    <comment ref="Z299" authorId="0" shapeId="0" xr:uid="{4347787B-EA7B-4931-94F3-5047326731F4}">
      <text>
        <r>
          <rPr>
            <b/>
            <sz val="9"/>
            <color indexed="81"/>
            <rFont val="Tahoma"/>
            <family val="2"/>
          </rPr>
          <t xml:space="preserve"> &lt;[[TCDeals] - [Associated DEV Deal (Seq: 1)] - [Funding (Seq: 15)] DEV Funding Source - Send]&gt;</t>
        </r>
      </text>
    </comment>
    <comment ref="AB299" authorId="0" shapeId="0" xr:uid="{D3D16A95-23FC-45C9-B5A3-D9EBCBC5E8D7}">
      <text>
        <r>
          <rPr>
            <b/>
            <sz val="9"/>
            <color indexed="81"/>
            <rFont val="Tahoma"/>
            <family val="2"/>
          </rPr>
          <t xml:space="preserve"> &lt;[[TCDeals] - [Associated DEV Deal (Seq: 1)] - [Funding (Seq: 15)] Program Type - Send]&gt;</t>
        </r>
      </text>
    </comment>
    <comment ref="AD299" authorId="0" shapeId="0" xr:uid="{9B3C8EB3-E60F-4FA4-B76B-C0927E64C6B2}">
      <text>
        <r>
          <rPr>
            <b/>
            <sz val="9"/>
            <color indexed="81"/>
            <rFont val="Tahoma"/>
            <family val="2"/>
          </rPr>
          <t xml:space="preserve"> &lt;[[TCDeals] - [Associated DEV Deal (Seq: 1)] - [Funding (Seq: 15)] Loan Product Type - Send]&gt;</t>
        </r>
      </text>
    </comment>
    <comment ref="AF299" authorId="0" shapeId="0" xr:uid="{1D9AF069-6FC6-464A-A13F-804DCC3F324D}">
      <text>
        <r>
          <rPr>
            <b/>
            <sz val="9"/>
            <color indexed="81"/>
            <rFont val="Tahoma"/>
            <family val="2"/>
          </rPr>
          <t xml:space="preserve"> &lt;[[TCDeals] - [Associated DEV Deal (Seq: 1)] - [Funding (Seq: 15)] Term - Send]&gt;</t>
        </r>
      </text>
    </comment>
    <comment ref="AH299" authorId="0" shapeId="0" xr:uid="{A355F659-7AA6-4E40-A8FB-24C9DE1CA0DE}">
      <text>
        <r>
          <rPr>
            <b/>
            <sz val="9"/>
            <color indexed="81"/>
            <rFont val="Tahoma"/>
            <family val="2"/>
          </rPr>
          <t xml:space="preserve"> &lt;[[TCDeals] - [Associated DEV Deal (Seq: 1)] - [Funding (Seq: 15)] Amount - Send]&gt;</t>
        </r>
      </text>
    </comment>
    <comment ref="AJ299" authorId="0" shapeId="0" xr:uid="{96A749C6-3FAC-492C-AE65-7FDE1397C36F}">
      <text>
        <r>
          <rPr>
            <b/>
            <sz val="9"/>
            <color indexed="81"/>
            <rFont val="Tahoma"/>
            <family val="2"/>
          </rPr>
          <t xml:space="preserve"> &lt;[[TCDeals] - [Associated DEV Deal (Seq: 1)] - [Funding (Seq: 15)] Rate - Send]&gt;</t>
        </r>
      </text>
    </comment>
    <comment ref="AL299" authorId="0" shapeId="0" xr:uid="{1944FA79-4EA5-4860-8441-59742AFA8806}">
      <text>
        <r>
          <rPr>
            <b/>
            <sz val="9"/>
            <color indexed="81"/>
            <rFont val="Tahoma"/>
            <family val="2"/>
          </rPr>
          <t xml:space="preserve"> &lt;[[TCDeals] - [Associated DEV Deal (Seq: 1)] - [Funding (Seq: 15)] Debt Service - Send]&gt;</t>
        </r>
      </text>
    </comment>
    <comment ref="C300" authorId="0" shapeId="0" xr:uid="{4F6821C0-B5A3-422D-A231-A60ADD27C9DD}">
      <text>
        <r>
          <rPr>
            <b/>
            <sz val="9"/>
            <color indexed="81"/>
            <rFont val="Tahoma"/>
            <family val="2"/>
          </rPr>
          <t xml:space="preserve"> &lt;[[TCDeals] - [TC Property Current Stage (Seq: 1)] - [Property Financing - Grant (Seq: 6)] Source Name - Send]&gt;</t>
        </r>
      </text>
    </comment>
    <comment ref="E300" authorId="0" shapeId="0" xr:uid="{C35B25FA-D19F-4A46-8C51-CBE57B5D02FC}">
      <text>
        <r>
          <rPr>
            <b/>
            <sz val="9"/>
            <color indexed="81"/>
            <rFont val="Tahoma"/>
            <family val="2"/>
          </rPr>
          <t xml:space="preserve"> &lt;[[TCDeals] - [TC Property Current Stage (Seq: 1)] - [Property Financing - Grant (Seq: 6)] Financing Type - Send]&gt;</t>
        </r>
      </text>
    </comment>
    <comment ref="G300" authorId="0" shapeId="0" xr:uid="{28323FC1-E288-493F-9717-F9B83DCAD507}">
      <text>
        <r>
          <rPr>
            <b/>
            <sz val="9"/>
            <color indexed="81"/>
            <rFont val="Tahoma"/>
            <family val="2"/>
          </rPr>
          <t xml:space="preserve"> &lt;[[TCDeals] - [TC Property Current Stage (Seq: 1)] - [Property Financing - Grant (Seq: 6)] Amount - Send]&gt;</t>
        </r>
      </text>
    </comment>
    <comment ref="C301" authorId="0" shapeId="0" xr:uid="{F3F2B60B-D136-485C-8944-1714222A89C8}">
      <text>
        <r>
          <rPr>
            <b/>
            <sz val="9"/>
            <color indexed="81"/>
            <rFont val="Tahoma"/>
            <family val="2"/>
          </rPr>
          <t xml:space="preserve"> &lt;[[TCDeals] - [TC Property Current Stage (Seq: 1)] - [Property Financing - Grant (Seq: 7)] Source Name - Send]&gt;</t>
        </r>
      </text>
    </comment>
    <comment ref="E301" authorId="0" shapeId="0" xr:uid="{07C68F3F-710B-4428-8300-FF6DF0108711}">
      <text>
        <r>
          <rPr>
            <b/>
            <sz val="9"/>
            <color indexed="81"/>
            <rFont val="Tahoma"/>
            <family val="2"/>
          </rPr>
          <t xml:space="preserve"> &lt;[[TCDeals] - [TC Property Current Stage (Seq: 1)] - [Property Financing - Grant (Seq: 7)] Financing Type - Send]&gt;</t>
        </r>
      </text>
    </comment>
    <comment ref="G301" authorId="0" shapeId="0" xr:uid="{8E4A8184-F5B1-472B-9EFB-B971D2A12776}">
      <text>
        <r>
          <rPr>
            <b/>
            <sz val="9"/>
            <color indexed="81"/>
            <rFont val="Tahoma"/>
            <family val="2"/>
          </rPr>
          <t xml:space="preserve"> &lt;[[TCDeals] - [TC Property Current Stage (Seq: 1)] - [Property Financing - Grant (Seq: 7)] Amount - Send]&gt;</t>
        </r>
      </text>
    </comment>
    <comment ref="C302" authorId="0" shapeId="0" xr:uid="{E43CB6CF-65D0-4EF5-B998-934CF5A4F64E}">
      <text>
        <r>
          <rPr>
            <b/>
            <sz val="9"/>
            <color indexed="81"/>
            <rFont val="Tahoma"/>
            <family val="2"/>
          </rPr>
          <t xml:space="preserve"> &lt;[[TCDeals] - [TC Property Current Stage (Seq: 1)] - [Property Financing - Grant (Seq: 8)] Source Name - Send]&gt;</t>
        </r>
      </text>
    </comment>
    <comment ref="E302" authorId="0" shapeId="0" xr:uid="{B7873F41-7A1C-468B-BD27-C8B792203B9B}">
      <text>
        <r>
          <rPr>
            <b/>
            <sz val="9"/>
            <color indexed="81"/>
            <rFont val="Tahoma"/>
            <family val="2"/>
          </rPr>
          <t xml:space="preserve"> &lt;[[TCDeals] - [TC Property Current Stage (Seq: 1)] - [Property Financing - Grant (Seq: 8)] Financing Type - Send]&gt;</t>
        </r>
      </text>
    </comment>
    <comment ref="G302" authorId="0" shapeId="0" xr:uid="{D16179AF-62CA-47DB-908E-B17B5C87D8AC}">
      <text>
        <r>
          <rPr>
            <b/>
            <sz val="9"/>
            <color indexed="81"/>
            <rFont val="Tahoma"/>
            <family val="2"/>
          </rPr>
          <t xml:space="preserve"> &lt;[[TCDeals] - [TC Property Current Stage (Seq: 1)] - [Property Financing - Grant (Seq: 8)] Amount - Send]&gt;</t>
        </r>
      </text>
    </comment>
    <comment ref="C303" authorId="0" shapeId="0" xr:uid="{EC2F01B5-211C-4706-A78E-7770C4A048E7}">
      <text>
        <r>
          <rPr>
            <b/>
            <sz val="9"/>
            <color indexed="81"/>
            <rFont val="Tahoma"/>
            <family val="2"/>
          </rPr>
          <t xml:space="preserve"> &lt;[[TCDeals] - [TC Property Current Stage (Seq: 1)] - [Property Financing - Grant (Seq: 9)] Source Name - Send]&gt;</t>
        </r>
      </text>
    </comment>
    <comment ref="E303" authorId="0" shapeId="0" xr:uid="{D0951B36-F67D-4A65-8D58-2D9EA282E6F3}">
      <text>
        <r>
          <rPr>
            <b/>
            <sz val="9"/>
            <color indexed="81"/>
            <rFont val="Tahoma"/>
            <family val="2"/>
          </rPr>
          <t xml:space="preserve"> &lt;[[TCDeals] - [TC Property Current Stage (Seq: 1)] - [Property Financing - Grant (Seq: 9)] Financing Type - Send]&gt;</t>
        </r>
      </text>
    </comment>
    <comment ref="G303" authorId="0" shapeId="0" xr:uid="{B4D8E624-4723-4EE5-A062-8750A591EA97}">
      <text>
        <r>
          <rPr>
            <b/>
            <sz val="9"/>
            <color indexed="81"/>
            <rFont val="Tahoma"/>
            <family val="2"/>
          </rPr>
          <t xml:space="preserve"> &lt;[[TCDeals] - [TC Property Current Stage (Seq: 1)] - [Property Financing - Grant (Seq: 9)] Amount - Send]&gt;</t>
        </r>
      </text>
    </comment>
    <comment ref="C304" authorId="0" shapeId="0" xr:uid="{BDDA22A6-3E6D-4752-8EB3-FEF87663E92B}">
      <text>
        <r>
          <rPr>
            <b/>
            <sz val="9"/>
            <color indexed="81"/>
            <rFont val="Tahoma"/>
            <family val="2"/>
          </rPr>
          <t xml:space="preserve"> &lt;[[TCDeals] - [TC Property Current Stage (Seq: 1)] - [Property Financing - Grant (Seq: 10)] Source Name - Send]&gt;</t>
        </r>
      </text>
    </comment>
    <comment ref="E304" authorId="0" shapeId="0" xr:uid="{BA7267C5-B0AA-4E9C-A8BB-FB032DE34A33}">
      <text>
        <r>
          <rPr>
            <b/>
            <sz val="9"/>
            <color indexed="81"/>
            <rFont val="Tahoma"/>
            <family val="2"/>
          </rPr>
          <t xml:space="preserve"> &lt;[[TCDeals] - [TC Property Current Stage (Seq: 1)] - [Property Financing - Grant (Seq: 10)] Financing Type - Send]&gt;</t>
        </r>
      </text>
    </comment>
    <comment ref="G304" authorId="0" shapeId="0" xr:uid="{CA504137-ECFC-4B24-8FDD-3D7820B60DBD}">
      <text>
        <r>
          <rPr>
            <b/>
            <sz val="9"/>
            <color indexed="81"/>
            <rFont val="Tahoma"/>
            <family val="2"/>
          </rPr>
          <t xml:space="preserve"> &lt;[[TCDeals] - [TC Property Current Stage (Seq: 1)] - [Property Financing - Grant (Seq: 10)] Amount - Send]&gt;</t>
        </r>
      </text>
    </comment>
    <comment ref="C305" authorId="0" shapeId="0" xr:uid="{B00EAD7A-B63B-4F90-8998-DA7F8E04F944}">
      <text>
        <r>
          <rPr>
            <b/>
            <sz val="9"/>
            <color indexed="81"/>
            <rFont val="Tahoma"/>
            <family val="2"/>
          </rPr>
          <t xml:space="preserve"> &lt;[[TCDeals] - [TC Property Current Stage (Seq: 1)] - [Property Financing - Grant (Seq: 11)] Source Name - Send]&gt;</t>
        </r>
      </text>
    </comment>
    <comment ref="E305" authorId="0" shapeId="0" xr:uid="{AC0CF0F1-437A-49AE-BABC-E3ECD1387597}">
      <text>
        <r>
          <rPr>
            <b/>
            <sz val="9"/>
            <color indexed="81"/>
            <rFont val="Tahoma"/>
            <family val="2"/>
          </rPr>
          <t xml:space="preserve"> &lt;[[TCDeals] - [TC Property Current Stage (Seq: 1)] - [Property Financing - Grant (Seq: 11)] Financing Type - Send]&gt;</t>
        </r>
      </text>
    </comment>
    <comment ref="G305" authorId="0" shapeId="0" xr:uid="{412E78D8-9579-4B41-A825-F0B94C1BC634}">
      <text>
        <r>
          <rPr>
            <b/>
            <sz val="9"/>
            <color indexed="81"/>
            <rFont val="Tahoma"/>
            <family val="2"/>
          </rPr>
          <t xml:space="preserve"> &lt;[[TCDeals] - [TC Property Current Stage (Seq: 1)] - [Property Financing - Grant (Seq: 11)] Amount - Send]&gt;</t>
        </r>
      </text>
    </comment>
    <comment ref="C308" authorId="0" shapeId="0" xr:uid="{03441A40-F635-4D9F-AEA5-A868A839D1FA}">
      <text>
        <r>
          <rPr>
            <b/>
            <sz val="9"/>
            <color indexed="81"/>
            <rFont val="Tahoma"/>
            <family val="2"/>
          </rPr>
          <t xml:space="preserve"> &lt;[[TCDeals] - [TC Property Current Stage (Seq: 1)] - [Property Financing - Subsidized Funding (Seq: 1)] Source Name - Send]&gt;</t>
        </r>
      </text>
    </comment>
    <comment ref="E308" authorId="0" shapeId="0" xr:uid="{0D5572D8-B8D4-4EFF-98D5-9DDC48250875}">
      <text>
        <r>
          <rPr>
            <b/>
            <sz val="9"/>
            <color indexed="81"/>
            <rFont val="Tahoma"/>
            <family val="2"/>
          </rPr>
          <t xml:space="preserve"> &lt;[[TCDeals] - [TC Property Current Stage (Seq: 1)] - [Property Financing - Subsidized Funding (Seq: 1)] Financing Type - Send]&gt;</t>
        </r>
      </text>
    </comment>
    <comment ref="G308" authorId="0" shapeId="0" xr:uid="{40278038-4C5E-4B1C-AA78-B876528D7AF5}">
      <text>
        <r>
          <rPr>
            <b/>
            <sz val="9"/>
            <color indexed="81"/>
            <rFont val="Tahoma"/>
            <family val="2"/>
          </rPr>
          <t xml:space="preserve"> &lt;[[TCDeals] - [TC Property Current Stage (Seq: 1)] - [Property Financing - Subsidized Funding (Seq: 1)] Amount - Send]&gt;</t>
        </r>
      </text>
    </comment>
    <comment ref="I308" authorId="0" shapeId="0" xr:uid="{994EFFAA-B405-4AA7-8ABB-20C677F3882F}">
      <text>
        <r>
          <rPr>
            <b/>
            <sz val="9"/>
            <color indexed="81"/>
            <rFont val="Tahoma"/>
            <family val="2"/>
          </rPr>
          <t xml:space="preserve"> &lt;[[TCDeals] - [TC Property Current Stage (Seq: 1)] - [Property Financing - Subsidized Funding (Seq: 1)] Interest Rate - Send]&gt;</t>
        </r>
      </text>
    </comment>
    <comment ref="K308" authorId="0" shapeId="0" xr:uid="{0208BF1D-80D8-4710-A73C-D83398DEF688}">
      <text>
        <r>
          <rPr>
            <b/>
            <sz val="9"/>
            <color indexed="81"/>
            <rFont val="Tahoma"/>
            <family val="2"/>
          </rPr>
          <t xml:space="preserve"> &lt;[[TCDeals] - [TC Property Current Stage (Seq: 1)] - [Property Financing - Subsidized Funding (Seq: 1)] Loan Term - Send]&gt;</t>
        </r>
      </text>
    </comment>
    <comment ref="C309" authorId="0" shapeId="0" xr:uid="{91796229-6F02-4ADC-98E1-E54E3ACDA9BB}">
      <text>
        <r>
          <rPr>
            <b/>
            <sz val="9"/>
            <color indexed="81"/>
            <rFont val="Tahoma"/>
            <family val="2"/>
          </rPr>
          <t xml:space="preserve"> &lt;[[TCDeals] - [TC Property Current Stage (Seq: 1)] - [Property Financing - Subsidized Funding (Seq: 2)] Source Name - Send]&gt;</t>
        </r>
      </text>
    </comment>
    <comment ref="E309" authorId="0" shapeId="0" xr:uid="{A860B7AA-9640-47BA-9DE0-FEBD5B7CC8AF}">
      <text>
        <r>
          <rPr>
            <b/>
            <sz val="9"/>
            <color indexed="81"/>
            <rFont val="Tahoma"/>
            <family val="2"/>
          </rPr>
          <t xml:space="preserve"> &lt;[[TCDeals] - [TC Property Current Stage (Seq: 1)] - [Property Financing - Subsidized Funding (Seq: 2)] Financing Type - Send]&gt;</t>
        </r>
      </text>
    </comment>
    <comment ref="G309" authorId="0" shapeId="0" xr:uid="{3AEE8037-8C68-462F-8298-8FC487DC7376}">
      <text>
        <r>
          <rPr>
            <b/>
            <sz val="9"/>
            <color indexed="81"/>
            <rFont val="Tahoma"/>
            <family val="2"/>
          </rPr>
          <t xml:space="preserve"> &lt;[[TCDeals] - [TC Property Current Stage (Seq: 1)] - [Property Financing - Subsidized Funding (Seq: 2)] Amount - Send]&gt;</t>
        </r>
      </text>
    </comment>
    <comment ref="I309" authorId="0" shapeId="0" xr:uid="{BB963CC1-3CA7-465A-85E6-B49CF7E2BC84}">
      <text>
        <r>
          <rPr>
            <b/>
            <sz val="9"/>
            <color indexed="81"/>
            <rFont val="Tahoma"/>
            <family val="2"/>
          </rPr>
          <t xml:space="preserve"> &lt;[[TCDeals] - [TC Property Current Stage (Seq: 1)] - [Property Financing - Subsidized Funding (Seq: 2)] Interest Rate - Send]&gt;</t>
        </r>
      </text>
    </comment>
    <comment ref="K309" authorId="0" shapeId="0" xr:uid="{1CDE69E6-5A95-481F-BCF8-65038EE17AAA}">
      <text>
        <r>
          <rPr>
            <b/>
            <sz val="9"/>
            <color indexed="81"/>
            <rFont val="Tahoma"/>
            <family val="2"/>
          </rPr>
          <t xml:space="preserve"> &lt;[[TCDeals] - [TC Property Current Stage (Seq: 1)] - [Property Financing - Subsidized Funding (Seq: 2)] Loan Term - Send]&gt;</t>
        </r>
      </text>
    </comment>
    <comment ref="C310" authorId="0" shapeId="0" xr:uid="{A396D67B-E3DC-4483-8059-9648A6A3D32F}">
      <text>
        <r>
          <rPr>
            <b/>
            <sz val="9"/>
            <color indexed="81"/>
            <rFont val="Tahoma"/>
            <family val="2"/>
          </rPr>
          <t xml:space="preserve"> &lt;[[TCDeals] - [TC Property Current Stage (Seq: 1)] - [Property Financing - Subsidized Funding (Seq: 3)] Source Name - Send]&gt;</t>
        </r>
      </text>
    </comment>
    <comment ref="E310" authorId="0" shapeId="0" xr:uid="{E2AC0AF9-060E-45F8-811E-337F167BA6F7}">
      <text>
        <r>
          <rPr>
            <b/>
            <sz val="9"/>
            <color indexed="81"/>
            <rFont val="Tahoma"/>
            <family val="2"/>
          </rPr>
          <t xml:space="preserve"> &lt;[[TCDeals] - [TC Property Current Stage (Seq: 1)] - [Property Financing - Subsidized Funding (Seq: 3)] Financing Type - Send]&gt;</t>
        </r>
      </text>
    </comment>
    <comment ref="G310" authorId="0" shapeId="0" xr:uid="{CE9CF05F-DCED-47AC-A5DF-B28EC64B7791}">
      <text>
        <r>
          <rPr>
            <b/>
            <sz val="9"/>
            <color indexed="81"/>
            <rFont val="Tahoma"/>
            <family val="2"/>
          </rPr>
          <t xml:space="preserve"> &lt;[[TCDeals] - [TC Property Current Stage (Seq: 1)] - [Property Financing - Subsidized Funding (Seq: 3)] Amount - Send]&gt;</t>
        </r>
      </text>
    </comment>
    <comment ref="I310" authorId="0" shapeId="0" xr:uid="{FB2FED67-6921-4D36-8486-F4F68FD7E56D}">
      <text>
        <r>
          <rPr>
            <b/>
            <sz val="9"/>
            <color indexed="81"/>
            <rFont val="Tahoma"/>
            <family val="2"/>
          </rPr>
          <t xml:space="preserve"> &lt;[[TCDeals] - [TC Property Current Stage (Seq: 1)] - [Property Financing - Subsidized Funding (Seq: 3)] Interest Rate - Send]&gt;</t>
        </r>
      </text>
    </comment>
    <comment ref="K310" authorId="0" shapeId="0" xr:uid="{1B6EA259-249C-4778-86EC-B19385D89DDD}">
      <text>
        <r>
          <rPr>
            <b/>
            <sz val="9"/>
            <color indexed="81"/>
            <rFont val="Tahoma"/>
            <family val="2"/>
          </rPr>
          <t xml:space="preserve"> &lt;[[TCDeals] - [TC Property Current Stage (Seq: 1)] - [Property Financing - Subsidized Funding (Seq: 3)] Loan Term - Send]&gt;</t>
        </r>
      </text>
    </comment>
    <comment ref="C311" authorId="0" shapeId="0" xr:uid="{4F3C732F-AABC-43E6-B886-D1F1CF4A637B}">
      <text>
        <r>
          <rPr>
            <b/>
            <sz val="9"/>
            <color indexed="81"/>
            <rFont val="Tahoma"/>
            <family val="2"/>
          </rPr>
          <t xml:space="preserve"> &lt;[[TCDeals] - [TC Property Current Stage (Seq: 1)] - [Property Financing - Subsidized Funding (Seq: 4)] Source Name - Send]&gt;</t>
        </r>
      </text>
    </comment>
    <comment ref="E311" authorId="0" shapeId="0" xr:uid="{E00FFBC7-E10F-43D8-A152-268FC1395E72}">
      <text>
        <r>
          <rPr>
            <b/>
            <sz val="9"/>
            <color indexed="81"/>
            <rFont val="Tahoma"/>
            <family val="2"/>
          </rPr>
          <t xml:space="preserve"> &lt;[[TCDeals] - [TC Property Current Stage (Seq: 1)] - [Property Financing - Subsidized Funding (Seq: 4)] Financing Type - Send]&gt;</t>
        </r>
      </text>
    </comment>
    <comment ref="G311" authorId="0" shapeId="0" xr:uid="{74321F61-C3F9-4C37-84A5-8D2DD075A7E0}">
      <text>
        <r>
          <rPr>
            <b/>
            <sz val="9"/>
            <color indexed="81"/>
            <rFont val="Tahoma"/>
            <family val="2"/>
          </rPr>
          <t xml:space="preserve"> &lt;[[TCDeals] - [TC Property Current Stage (Seq: 1)] - [Property Financing - Subsidized Funding (Seq: 4)] Amount - Send]&gt;</t>
        </r>
      </text>
    </comment>
    <comment ref="I311" authorId="0" shapeId="0" xr:uid="{BD486FAA-6B4F-4FB7-84BA-E312BBD5E281}">
      <text>
        <r>
          <rPr>
            <b/>
            <sz val="9"/>
            <color indexed="81"/>
            <rFont val="Tahoma"/>
            <family val="2"/>
          </rPr>
          <t xml:space="preserve"> &lt;[[TCDeals] - [TC Property Current Stage (Seq: 1)] - [Property Financing - Subsidized Funding (Seq: 4)] Interest Rate - Send]&gt;</t>
        </r>
      </text>
    </comment>
    <comment ref="K311" authorId="0" shapeId="0" xr:uid="{EB025D37-2B0A-45A4-BB87-1BA4C8A80E5C}">
      <text>
        <r>
          <rPr>
            <b/>
            <sz val="9"/>
            <color indexed="81"/>
            <rFont val="Tahoma"/>
            <family val="2"/>
          </rPr>
          <t xml:space="preserve"> &lt;[[TCDeals] - [TC Property Current Stage (Seq: 1)] - [Property Financing - Subsidized Funding (Seq: 4)] Loan Term - Send]&gt;</t>
        </r>
      </text>
    </comment>
    <comment ref="C312" authorId="0" shapeId="0" xr:uid="{F4B119AC-FDD9-43FF-B13F-F0472FF01625}">
      <text>
        <r>
          <rPr>
            <b/>
            <sz val="9"/>
            <color indexed="81"/>
            <rFont val="Tahoma"/>
            <family val="2"/>
          </rPr>
          <t xml:space="preserve"> &lt;[[TCDeals] - [TC Property Current Stage (Seq: 1)] - [Property Financing - Subsidized Funding (Seq: 5)] Source Name - Send]&gt;</t>
        </r>
      </text>
    </comment>
    <comment ref="E312" authorId="0" shapeId="0" xr:uid="{B127813E-0913-47BE-B68C-D45DAC45B543}">
      <text>
        <r>
          <rPr>
            <b/>
            <sz val="9"/>
            <color indexed="81"/>
            <rFont val="Tahoma"/>
            <family val="2"/>
          </rPr>
          <t xml:space="preserve"> &lt;[[TCDeals] - [TC Property Current Stage (Seq: 1)] - [Property Financing - Subsidized Funding (Seq: 5)] Financing Type - Send]&gt;</t>
        </r>
      </text>
    </comment>
    <comment ref="G312" authorId="0" shapeId="0" xr:uid="{286BCBCC-9C8F-4E61-B652-C9D6E2C4D342}">
      <text>
        <r>
          <rPr>
            <b/>
            <sz val="9"/>
            <color indexed="81"/>
            <rFont val="Tahoma"/>
            <family val="2"/>
          </rPr>
          <t xml:space="preserve"> &lt;[[TCDeals] - [TC Property Current Stage (Seq: 1)] - [Property Financing - Subsidized Funding (Seq: 5)] Amount - Send]&gt;</t>
        </r>
      </text>
    </comment>
    <comment ref="I312" authorId="0" shapeId="0" xr:uid="{72A3990B-1B46-4F2C-A046-3AD661533AA2}">
      <text>
        <r>
          <rPr>
            <b/>
            <sz val="9"/>
            <color indexed="81"/>
            <rFont val="Tahoma"/>
            <family val="2"/>
          </rPr>
          <t xml:space="preserve"> &lt;[[TCDeals] - [TC Property Current Stage (Seq: 1)] - [Property Financing - Subsidized Funding (Seq: 5)] Interest Rate - Send]&gt;</t>
        </r>
      </text>
    </comment>
    <comment ref="K312" authorId="0" shapeId="0" xr:uid="{8F2350E2-5D14-4EDF-80C8-0B535A6E56BC}">
      <text>
        <r>
          <rPr>
            <b/>
            <sz val="9"/>
            <color indexed="81"/>
            <rFont val="Tahoma"/>
            <family val="2"/>
          </rPr>
          <t xml:space="preserve"> &lt;[[TCDeals] - [TC Property Current Stage (Seq: 1)] - [Property Financing - Subsidized Funding (Seq: 5)] Loan Term - Send]&gt;</t>
        </r>
      </text>
    </comment>
    <comment ref="C313" authorId="0" shapeId="0" xr:uid="{AE9C1AAE-DBDF-4CA6-BBEF-F46B772737A0}">
      <text>
        <r>
          <rPr>
            <b/>
            <sz val="9"/>
            <color indexed="81"/>
            <rFont val="Tahoma"/>
            <family val="2"/>
          </rPr>
          <t xml:space="preserve"> &lt;[[TCDeals] - [TC Property Current Stage (Seq: 1)] - [Property Financing - Subsidized Funding (Seq: 6)] Source Name - Send]&gt;</t>
        </r>
      </text>
    </comment>
    <comment ref="E313" authorId="0" shapeId="0" xr:uid="{9B86B35A-3CDD-4A4D-8D6C-103DC5307BAB}">
      <text>
        <r>
          <rPr>
            <b/>
            <sz val="9"/>
            <color indexed="81"/>
            <rFont val="Tahoma"/>
            <family val="2"/>
          </rPr>
          <t xml:space="preserve"> &lt;[[TCDeals] - [TC Property Current Stage (Seq: 1)] - [Property Financing - Subsidized Funding (Seq: 6)] Financing Type - Send]&gt;</t>
        </r>
      </text>
    </comment>
    <comment ref="G313" authorId="0" shapeId="0" xr:uid="{2461E854-E3A3-4FC5-B3FC-89D0360EF07E}">
      <text>
        <r>
          <rPr>
            <b/>
            <sz val="9"/>
            <color indexed="81"/>
            <rFont val="Tahoma"/>
            <family val="2"/>
          </rPr>
          <t xml:space="preserve"> &lt;[[TCDeals] - [TC Property Current Stage (Seq: 1)] - [Property Financing - Subsidized Funding (Seq: 6)] Amount - Send]&gt;</t>
        </r>
      </text>
    </comment>
    <comment ref="I313" authorId="0" shapeId="0" xr:uid="{FCEA5CF0-FF9D-4D4C-8B40-BCCF733E63F3}">
      <text>
        <r>
          <rPr>
            <b/>
            <sz val="9"/>
            <color indexed="81"/>
            <rFont val="Tahoma"/>
            <family val="2"/>
          </rPr>
          <t xml:space="preserve"> &lt;[[TCDeals] - [TC Property Current Stage (Seq: 1)] - [Property Financing - Subsidized Funding (Seq: 6)] Interest Rate - Send]&gt;</t>
        </r>
      </text>
    </comment>
    <comment ref="K313" authorId="0" shapeId="0" xr:uid="{EF83FDF2-0D75-437D-8660-02CA114D6C0D}">
      <text>
        <r>
          <rPr>
            <b/>
            <sz val="9"/>
            <color indexed="81"/>
            <rFont val="Tahoma"/>
            <family val="2"/>
          </rPr>
          <t xml:space="preserve"> &lt;[[TCDeals] - [TC Property Current Stage (Seq: 1)] - [Property Financing - Subsidized Funding (Seq: 6)] Loan Term - Send]&gt;</t>
        </r>
      </text>
    </comment>
    <comment ref="C314" authorId="0" shapeId="0" xr:uid="{8C2DDC67-5C2B-439A-87F7-1CF8B7AA87D1}">
      <text>
        <r>
          <rPr>
            <b/>
            <sz val="9"/>
            <color indexed="81"/>
            <rFont val="Tahoma"/>
            <family val="2"/>
          </rPr>
          <t xml:space="preserve"> &lt;[[TCDeals] - [TC Property Current Stage (Seq: 1)] - [Property Financing - Subsidized Funding (Seq: 7)] Source Name - Send]&gt;</t>
        </r>
      </text>
    </comment>
    <comment ref="E314" authorId="0" shapeId="0" xr:uid="{3823CCC6-B5B6-48BD-A16E-1FB0B8ACA431}">
      <text>
        <r>
          <rPr>
            <b/>
            <sz val="9"/>
            <color indexed="81"/>
            <rFont val="Tahoma"/>
            <family val="2"/>
          </rPr>
          <t xml:space="preserve"> &lt;[[TCDeals] - [TC Property Current Stage (Seq: 1)] - [Property Financing - Subsidized Funding (Seq: 7)] Financing Type - Send]&gt;</t>
        </r>
      </text>
    </comment>
    <comment ref="G314" authorId="0" shapeId="0" xr:uid="{96FBCAE3-A826-436B-A07C-95B92220A703}">
      <text>
        <r>
          <rPr>
            <b/>
            <sz val="9"/>
            <color indexed="81"/>
            <rFont val="Tahoma"/>
            <family val="2"/>
          </rPr>
          <t xml:space="preserve"> &lt;[[TCDeals] - [TC Property Current Stage (Seq: 1)] - [Property Financing - Subsidized Funding (Seq: 7)] Amount - Send]&gt;</t>
        </r>
      </text>
    </comment>
    <comment ref="I314" authorId="0" shapeId="0" xr:uid="{E1202FB4-D051-4638-9E87-DD8ECCB42DDD}">
      <text>
        <r>
          <rPr>
            <b/>
            <sz val="9"/>
            <color indexed="81"/>
            <rFont val="Tahoma"/>
            <family val="2"/>
          </rPr>
          <t xml:space="preserve"> &lt;[[TCDeals] - [TC Property Current Stage (Seq: 1)] - [Property Financing - Subsidized Funding (Seq: 7)] Interest Rate - Send]&gt;</t>
        </r>
      </text>
    </comment>
    <comment ref="K314" authorId="0" shapeId="0" xr:uid="{EEA53399-6756-44EE-A7A5-6F8FB8956915}">
      <text>
        <r>
          <rPr>
            <b/>
            <sz val="9"/>
            <color indexed="81"/>
            <rFont val="Tahoma"/>
            <family val="2"/>
          </rPr>
          <t xml:space="preserve"> &lt;[[TCDeals] - [TC Property Current Stage (Seq: 1)] - [Property Financing - Subsidized Funding (Seq: 7)] Loan Term - Send]&gt;</t>
        </r>
      </text>
    </comment>
    <comment ref="C315" authorId="0" shapeId="0" xr:uid="{7F82AF5A-EEEC-419B-83D7-8699E68FC87A}">
      <text>
        <r>
          <rPr>
            <b/>
            <sz val="9"/>
            <color indexed="81"/>
            <rFont val="Tahoma"/>
            <family val="2"/>
          </rPr>
          <t xml:space="preserve"> &lt;[[TCDeals] - [TC Property Current Stage (Seq: 1)] - [Property Financing - Subsidized Funding (Seq: 8)] Source Name - Send]&gt;</t>
        </r>
      </text>
    </comment>
    <comment ref="E315" authorId="0" shapeId="0" xr:uid="{8D960376-A341-4A2E-8219-5A64AE62718B}">
      <text>
        <r>
          <rPr>
            <b/>
            <sz val="9"/>
            <color indexed="81"/>
            <rFont val="Tahoma"/>
            <family val="2"/>
          </rPr>
          <t xml:space="preserve"> &lt;[[TCDeals] - [TC Property Current Stage (Seq: 1)] - [Property Financing - Subsidized Funding (Seq: 8)] Financing Type - Send]&gt;</t>
        </r>
      </text>
    </comment>
    <comment ref="G315" authorId="0" shapeId="0" xr:uid="{28EC1724-D646-488D-9493-B3F1B38BCA88}">
      <text>
        <r>
          <rPr>
            <b/>
            <sz val="9"/>
            <color indexed="81"/>
            <rFont val="Tahoma"/>
            <family val="2"/>
          </rPr>
          <t xml:space="preserve"> &lt;[[TCDeals] - [TC Property Current Stage (Seq: 1)] - [Property Financing - Subsidized Funding (Seq: 8)] Amount - Send]&gt;</t>
        </r>
      </text>
    </comment>
    <comment ref="I315" authorId="0" shapeId="0" xr:uid="{6AAA7029-454D-4C29-A694-5C9F3BAFA552}">
      <text>
        <r>
          <rPr>
            <b/>
            <sz val="9"/>
            <color indexed="81"/>
            <rFont val="Tahoma"/>
            <family val="2"/>
          </rPr>
          <t xml:space="preserve"> &lt;[[TCDeals] - [TC Property Current Stage (Seq: 1)] - [Property Financing - Subsidized Funding (Seq: 8)] Interest Rate - Send]&gt;</t>
        </r>
      </text>
    </comment>
    <comment ref="K315" authorId="0" shapeId="0" xr:uid="{8EE1080B-AB10-4DDB-8D41-3E58073B39C0}">
      <text>
        <r>
          <rPr>
            <b/>
            <sz val="9"/>
            <color indexed="81"/>
            <rFont val="Tahoma"/>
            <family val="2"/>
          </rPr>
          <t xml:space="preserve"> &lt;[[TCDeals] - [TC Property Current Stage (Seq: 1)] - [Property Financing - Subsidized Funding (Seq: 8)] Loan Term - Send]&gt;</t>
        </r>
      </text>
    </comment>
    <comment ref="C316" authorId="0" shapeId="0" xr:uid="{624C6F7C-AA57-4715-B454-432132F6BFE9}">
      <text>
        <r>
          <rPr>
            <b/>
            <sz val="9"/>
            <color indexed="81"/>
            <rFont val="Tahoma"/>
            <family val="2"/>
          </rPr>
          <t xml:space="preserve"> &lt;[[TCDeals] - [TC Property Current Stage (Seq: 1)] - [Property Financing - Subsidized Funding (Seq: 9)] Source Name - Send]&gt;</t>
        </r>
      </text>
    </comment>
    <comment ref="E316" authorId="0" shapeId="0" xr:uid="{595EF100-56DA-486A-8DBD-6776F918C6E3}">
      <text>
        <r>
          <rPr>
            <b/>
            <sz val="9"/>
            <color indexed="81"/>
            <rFont val="Tahoma"/>
            <family val="2"/>
          </rPr>
          <t xml:space="preserve"> &lt;[[TCDeals] - [TC Property Current Stage (Seq: 1)] - [Property Financing - Subsidized Funding (Seq: 9)] Financing Type - Send]&gt;</t>
        </r>
      </text>
    </comment>
    <comment ref="G316" authorId="0" shapeId="0" xr:uid="{41E2CCE8-0FD8-494A-B50C-6E54951CA1D0}">
      <text>
        <r>
          <rPr>
            <b/>
            <sz val="9"/>
            <color indexed="81"/>
            <rFont val="Tahoma"/>
            <family val="2"/>
          </rPr>
          <t xml:space="preserve"> &lt;[[TCDeals] - [TC Property Current Stage (Seq: 1)] - [Property Financing - Subsidized Funding (Seq: 9)] Amount - Send]&gt;</t>
        </r>
      </text>
    </comment>
    <comment ref="I316" authorId="0" shapeId="0" xr:uid="{A0C7D466-07A7-4D2F-A851-9CED65FCB3F3}">
      <text>
        <r>
          <rPr>
            <b/>
            <sz val="9"/>
            <color indexed="81"/>
            <rFont val="Tahoma"/>
            <family val="2"/>
          </rPr>
          <t xml:space="preserve"> &lt;[[TCDeals] - [TC Property Current Stage (Seq: 1)] - [Property Financing - Subsidized Funding (Seq: 9)] Interest Rate - Send]&gt;</t>
        </r>
      </text>
    </comment>
    <comment ref="K316" authorId="0" shapeId="0" xr:uid="{CC33D293-164F-4165-9384-168FA93EA22C}">
      <text>
        <r>
          <rPr>
            <b/>
            <sz val="9"/>
            <color indexed="81"/>
            <rFont val="Tahoma"/>
            <family val="2"/>
          </rPr>
          <t xml:space="preserve"> &lt;[[TCDeals] - [TC Property Current Stage (Seq: 1)] - [Property Financing - Subsidized Funding (Seq: 9)] Loan Term - Send]&gt;</t>
        </r>
      </text>
    </comment>
    <comment ref="C317" authorId="0" shapeId="0" xr:uid="{28CA57C4-AE03-4638-B067-4D9ED20BF302}">
      <text>
        <r>
          <rPr>
            <b/>
            <sz val="9"/>
            <color indexed="81"/>
            <rFont val="Tahoma"/>
            <family val="2"/>
          </rPr>
          <t xml:space="preserve"> &lt;[[TCDeals] - [TC Property Current Stage (Seq: 1)] - [Property Financing - Subsidized Funding (Seq: 10)] Source Name - Send]&gt;</t>
        </r>
      </text>
    </comment>
    <comment ref="E317" authorId="0" shapeId="0" xr:uid="{39A7C80E-30EA-4B70-8D2C-58CF9C4DF816}">
      <text>
        <r>
          <rPr>
            <b/>
            <sz val="9"/>
            <color indexed="81"/>
            <rFont val="Tahoma"/>
            <family val="2"/>
          </rPr>
          <t xml:space="preserve"> &lt;[[TCDeals] - [TC Property Current Stage (Seq: 1)] - [Property Financing - Subsidized Funding (Seq: 10)] Financing Type - Send]&gt;</t>
        </r>
      </text>
    </comment>
    <comment ref="G317" authorId="0" shapeId="0" xr:uid="{2C5E002A-2168-4AD9-A894-C105AE2A88FC}">
      <text>
        <r>
          <rPr>
            <b/>
            <sz val="9"/>
            <color indexed="81"/>
            <rFont val="Tahoma"/>
            <family val="2"/>
          </rPr>
          <t xml:space="preserve"> &lt;[[TCDeals] - [TC Property Current Stage (Seq: 1)] - [Property Financing - Subsidized Funding (Seq: 10)] Amount - Send]&gt;</t>
        </r>
      </text>
    </comment>
    <comment ref="I317" authorId="0" shapeId="0" xr:uid="{E2E93564-6BBE-4F76-A6DF-466F3830EC41}">
      <text>
        <r>
          <rPr>
            <b/>
            <sz val="9"/>
            <color indexed="81"/>
            <rFont val="Tahoma"/>
            <family val="2"/>
          </rPr>
          <t xml:space="preserve"> &lt;[[TCDeals] - [TC Property Current Stage (Seq: 1)] - [Property Financing - Subsidized Funding (Seq: 10)] Interest Rate - Send]&gt;</t>
        </r>
      </text>
    </comment>
    <comment ref="K317" authorId="0" shapeId="0" xr:uid="{25125A6D-E084-4E0A-B908-14931CD39782}">
      <text>
        <r>
          <rPr>
            <b/>
            <sz val="9"/>
            <color indexed="81"/>
            <rFont val="Tahoma"/>
            <family val="2"/>
          </rPr>
          <t xml:space="preserve"> &lt;[[TCDeals] - [TC Property Current Stage (Seq: 1)] - [Property Financing - Subsidized Funding (Seq: 10)] Loan Term - Send]&gt;</t>
        </r>
      </text>
    </comment>
    <comment ref="C318" authorId="0" shapeId="0" xr:uid="{FD163D78-38F0-4F67-AD20-9E27A331891C}">
      <text>
        <r>
          <rPr>
            <b/>
            <sz val="9"/>
            <color indexed="81"/>
            <rFont val="Tahoma"/>
            <family val="2"/>
          </rPr>
          <t xml:space="preserve"> &lt;[[TCDeals] - [TC Property Current Stage (Seq: 1)] - [Property Financing - Subsidized Funding (Seq: 11)] Source Name - Send]&gt;</t>
        </r>
      </text>
    </comment>
    <comment ref="E318" authorId="0" shapeId="0" xr:uid="{B9735AB7-A696-46DE-86F4-412553AADD69}">
      <text>
        <r>
          <rPr>
            <b/>
            <sz val="9"/>
            <color indexed="81"/>
            <rFont val="Tahoma"/>
            <family val="2"/>
          </rPr>
          <t xml:space="preserve"> &lt;[[TCDeals] - [TC Property Current Stage (Seq: 1)] - [Property Financing - Subsidized Funding (Seq: 11)] Financing Type - Send]&gt;</t>
        </r>
      </text>
    </comment>
    <comment ref="G318" authorId="0" shapeId="0" xr:uid="{89E3E1D3-DB66-47CC-A4BB-49ED7EBB1734}">
      <text>
        <r>
          <rPr>
            <b/>
            <sz val="9"/>
            <color indexed="81"/>
            <rFont val="Tahoma"/>
            <family val="2"/>
          </rPr>
          <t xml:space="preserve"> &lt;[[TCDeals] - [TC Property Current Stage (Seq: 1)] - [Property Financing - Subsidized Funding (Seq: 11)] Amount - Send]&gt;</t>
        </r>
      </text>
    </comment>
    <comment ref="I318" authorId="0" shapeId="0" xr:uid="{6DD84B01-533C-4F92-838E-828DB148CFF6}">
      <text>
        <r>
          <rPr>
            <b/>
            <sz val="9"/>
            <color indexed="81"/>
            <rFont val="Tahoma"/>
            <family val="2"/>
          </rPr>
          <t xml:space="preserve"> &lt;[[TCDeals] - [TC Property Current Stage (Seq: 1)] - [Property Financing - Subsidized Funding (Seq: 11)] Interest Rate - Send]&gt;</t>
        </r>
      </text>
    </comment>
    <comment ref="K318" authorId="0" shapeId="0" xr:uid="{DC27A956-88AC-4828-89E1-318CE2F55C56}">
      <text>
        <r>
          <rPr>
            <b/>
            <sz val="9"/>
            <color indexed="81"/>
            <rFont val="Tahoma"/>
            <family val="2"/>
          </rPr>
          <t xml:space="preserve"> &lt;[[TCDeals] - [TC Property Current Stage (Seq: 1)] - [Property Financing - Subsidized Funding (Seq: 11)] Loan Term - Send]&gt;</t>
        </r>
      </text>
    </comment>
    <comment ref="C319" authorId="0" shapeId="0" xr:uid="{8C64BB2A-A426-4D68-AA57-1003E7E5BECC}">
      <text>
        <r>
          <rPr>
            <b/>
            <sz val="9"/>
            <color indexed="81"/>
            <rFont val="Tahoma"/>
            <family val="2"/>
          </rPr>
          <t xml:space="preserve"> &lt;[[TCDeals] - [TC Property Current Stage (Seq: 1)] - [Property Financing - Subsidized Funding (Seq: 12)] Source Name - Send]&gt;</t>
        </r>
      </text>
    </comment>
    <comment ref="E319" authorId="0" shapeId="0" xr:uid="{C5727071-2E87-4843-AEA2-ABE8D3249714}">
      <text>
        <r>
          <rPr>
            <b/>
            <sz val="9"/>
            <color indexed="81"/>
            <rFont val="Tahoma"/>
            <family val="2"/>
          </rPr>
          <t xml:space="preserve"> &lt;[[TCDeals] - [TC Property Current Stage (Seq: 1)] - [Property Financing - Subsidized Funding (Seq: 12)] Financing Type - Send]&gt;</t>
        </r>
      </text>
    </comment>
    <comment ref="G319" authorId="0" shapeId="0" xr:uid="{1A93ED34-4675-4CFC-A692-9A4CA17F2925}">
      <text>
        <r>
          <rPr>
            <b/>
            <sz val="9"/>
            <color indexed="81"/>
            <rFont val="Tahoma"/>
            <family val="2"/>
          </rPr>
          <t xml:space="preserve"> &lt;[[TCDeals] - [TC Property Current Stage (Seq: 1)] - [Property Financing - Subsidized Funding (Seq: 12)] Amount - Send]&gt;</t>
        </r>
      </text>
    </comment>
    <comment ref="I319" authorId="0" shapeId="0" xr:uid="{8BAEC02B-A08E-4A2F-8E70-63A480B7DEA9}">
      <text>
        <r>
          <rPr>
            <b/>
            <sz val="9"/>
            <color indexed="81"/>
            <rFont val="Tahoma"/>
            <family val="2"/>
          </rPr>
          <t xml:space="preserve"> &lt;[[TCDeals] - [TC Property Current Stage (Seq: 1)] - [Property Financing - Subsidized Funding (Seq: 12)] Interest Rate - Send]&gt;</t>
        </r>
      </text>
    </comment>
    <comment ref="K319" authorId="0" shapeId="0" xr:uid="{7022154B-51ED-4236-ABEB-0054EEFFF341}">
      <text>
        <r>
          <rPr>
            <b/>
            <sz val="9"/>
            <color indexed="81"/>
            <rFont val="Tahoma"/>
            <family val="2"/>
          </rPr>
          <t xml:space="preserve"> &lt;[[TCDeals] - [TC Property Current Stage (Seq: 1)] - [Property Financing - Subsidized Funding (Seq: 12)] Loan Term - Send]&gt;</t>
        </r>
      </text>
    </comment>
    <comment ref="AC324" authorId="0" shapeId="0" xr:uid="{71133FDA-9FAB-47C8-BF55-B87037F2C4CB}">
      <text>
        <r>
          <rPr>
            <b/>
            <sz val="9"/>
            <color indexed="81"/>
            <rFont val="Tahoma"/>
            <family val="2"/>
          </rPr>
          <t xml:space="preserve"> &lt;[[TCDeals] - [Associated DEV Deal (Seq: 1)] - [Budget Initial (Seq: 1)] SC - Land Acquisition - Send]&gt;</t>
        </r>
      </text>
    </comment>
    <comment ref="C325" authorId="0" shapeId="0" xr:uid="{2FE4E58B-CD67-4370-8F38-F3B0FA87ED46}">
      <text>
        <r>
          <rPr>
            <b/>
            <sz val="9"/>
            <color indexed="81"/>
            <rFont val="Tahoma"/>
            <family val="2"/>
          </rPr>
          <t xml:space="preserve"> &lt;[[TCDeals] - [TC Property Current Stage (Seq: 1)] - [Actual Costs (Seq: 1)] Land Acq Cost - Send]&gt;</t>
        </r>
      </text>
    </comment>
    <comment ref="D325" authorId="0" shapeId="0" xr:uid="{A3F6204A-1694-4250-94CA-96EDDEF19B2B}">
      <text>
        <r>
          <rPr>
            <b/>
            <sz val="9"/>
            <color indexed="81"/>
            <rFont val="Tahoma"/>
            <family val="2"/>
          </rPr>
          <t xml:space="preserve"> &lt;[[TCDeals] - [TC Property Current Stage (Seq: 1)] - [4% Construction Costs (Seq: 1)] Land Acq Cost - Send]&gt;</t>
        </r>
      </text>
    </comment>
    <comment ref="E325" authorId="0" shapeId="0" xr:uid="{3BB85AF6-01EE-4F88-BD40-9BA88F828149}">
      <text>
        <r>
          <rPr>
            <b/>
            <sz val="9"/>
            <color indexed="81"/>
            <rFont val="Tahoma"/>
            <family val="2"/>
          </rPr>
          <t xml:space="preserve"> &lt;[[TCDeals] - [TC Property Current Stage (Seq: 1)] - [9% Construction Costs (Seq: 1)] Land Acq Cost - Send]&gt;</t>
        </r>
      </text>
    </comment>
    <comment ref="F325" authorId="0" shapeId="0" xr:uid="{5808ACA5-42CF-4183-88A5-B32AD41B45EF}">
      <text>
        <r>
          <rPr>
            <b/>
            <sz val="9"/>
            <color indexed="81"/>
            <rFont val="Tahoma"/>
            <family val="2"/>
          </rPr>
          <t xml:space="preserve"> &lt;[[TCDeals] - [TC Property Current Stage (Seq: 1)] - [State LIHTC Property Costs (Seq: 1)] Land Acq Cost - Send]&gt;</t>
        </r>
      </text>
    </comment>
    <comment ref="AC325" authorId="0" shapeId="0" xr:uid="{204B4C03-C64A-4D66-B862-725988CC34CE}">
      <text>
        <r>
          <rPr>
            <b/>
            <sz val="9"/>
            <color indexed="81"/>
            <rFont val="Tahoma"/>
            <family val="2"/>
          </rPr>
          <t xml:space="preserve"> &lt;[[TCDeals] - [Associated DEV Deal (Seq: 1)] - [Budget Initial (Seq: 1)] SC - Acquisition - Send]&gt;</t>
        </r>
      </text>
    </comment>
    <comment ref="C326" authorId="0" shapeId="0" xr:uid="{662A7836-BC2E-4FA2-BA7C-AF3D76CED7C9}">
      <text>
        <r>
          <rPr>
            <b/>
            <sz val="9"/>
            <color indexed="81"/>
            <rFont val="Tahoma"/>
            <family val="2"/>
          </rPr>
          <t xml:space="preserve"> &lt;[[TCDeals] - [TC Property Current Stage (Seq: 1)] - [Actual Costs (Seq: 1)] Existing Improvements Cost - Send]&gt;</t>
        </r>
      </text>
    </comment>
    <comment ref="D326" authorId="0" shapeId="0" xr:uid="{EABA4217-54B7-41EA-9D00-37D10F8D5A61}">
      <text>
        <r>
          <rPr>
            <b/>
            <sz val="9"/>
            <color indexed="81"/>
            <rFont val="Tahoma"/>
            <family val="2"/>
          </rPr>
          <t xml:space="preserve"> &lt;[[TCDeals] - [TC Property Current Stage (Seq: 1)] - [4% Construction Costs (Seq: 1)] Existing Improvements Cost - Send]&gt;</t>
        </r>
      </text>
    </comment>
    <comment ref="E326" authorId="0" shapeId="0" xr:uid="{D6A625DF-BD66-4A53-BA7F-611F535E718F}">
      <text>
        <r>
          <rPr>
            <b/>
            <sz val="9"/>
            <color indexed="81"/>
            <rFont val="Tahoma"/>
            <family val="2"/>
          </rPr>
          <t xml:space="preserve"> &lt;[[TCDeals] - [TC Property Current Stage (Seq: 1)] - [9% Construction Costs (Seq: 1)] Existing Improvements Cost - Send]&gt;</t>
        </r>
      </text>
    </comment>
    <comment ref="F326" authorId="0" shapeId="0" xr:uid="{AF45B350-F810-48F7-97FA-BA3364B9E03F}">
      <text>
        <r>
          <rPr>
            <b/>
            <sz val="9"/>
            <color indexed="81"/>
            <rFont val="Tahoma"/>
            <family val="2"/>
          </rPr>
          <t xml:space="preserve"> &lt;[[TCDeals] - [TC Property Current Stage (Seq: 1)] - [State LIHTC Property Costs (Seq: 1)] Existing Improvements Cost - Send]&gt;</t>
        </r>
      </text>
    </comment>
    <comment ref="C327" authorId="0" shapeId="0" xr:uid="{51E48B16-7D06-4508-80CC-2F128BBE791F}">
      <text>
        <r>
          <rPr>
            <b/>
            <sz val="9"/>
            <color indexed="81"/>
            <rFont val="Tahoma"/>
            <family val="2"/>
          </rPr>
          <t xml:space="preserve"> &lt;[[TCDeals] - [TC Property Current Stage (Seq: 1)] - [Actual Costs (Seq: 1)] Actual Addl Cost 1 - Send]&gt;</t>
        </r>
      </text>
    </comment>
    <comment ref="D327" authorId="0" shapeId="0" xr:uid="{D20FAB7D-2175-4085-A042-E91FB9F3DEE0}">
      <text>
        <r>
          <rPr>
            <b/>
            <sz val="9"/>
            <color indexed="81"/>
            <rFont val="Tahoma"/>
            <family val="2"/>
          </rPr>
          <t xml:space="preserve"> &lt;[[TCDeals] - [TC Property Current Stage (Seq: 1)] - [4% Construction Costs (Seq: 1)] Rehab Addl Cost 1 - Send]&gt;</t>
        </r>
      </text>
    </comment>
    <comment ref="E327" authorId="0" shapeId="0" xr:uid="{8E5AF655-E6DC-4579-8037-7B035EF17720}">
      <text>
        <r>
          <rPr>
            <b/>
            <sz val="9"/>
            <color indexed="81"/>
            <rFont val="Tahoma"/>
            <family val="2"/>
          </rPr>
          <t xml:space="preserve"> &lt;[[TCDeals] - [TC Property Current Stage (Seq: 1)] - [9% Construction Costs (Seq: 1)] PVC Addl Cost 1 - Send]&gt;</t>
        </r>
      </text>
    </comment>
    <comment ref="F327" authorId="0" shapeId="0" xr:uid="{13074601-D415-497B-A41F-D48F8CB9ABBA}">
      <text>
        <r>
          <rPr>
            <b/>
            <sz val="9"/>
            <color indexed="81"/>
            <rFont val="Tahoma"/>
            <family val="2"/>
          </rPr>
          <t xml:space="preserve"> &lt;[[TCDeals] - [TC Property Current Stage (Seq: 1)] - [State LIHTC Property Costs (Seq: 1)] Additional Costs1 - Send]&gt;</t>
        </r>
      </text>
    </comment>
    <comment ref="AC328" authorId="0" shapeId="0" xr:uid="{0DCF1DD2-F61A-4561-8014-BADC7F245194}">
      <text>
        <r>
          <rPr>
            <b/>
            <sz val="9"/>
            <color indexed="81"/>
            <rFont val="Tahoma"/>
            <family val="2"/>
          </rPr>
          <t xml:space="preserve"> &lt;[[TCDeals] - [Associated DEV Deal (Seq: 1)] - [Budget Initial (Seq: 1)] HC - Structures - Send]&gt;</t>
        </r>
      </text>
    </comment>
    <comment ref="AC330" authorId="0" shapeId="0" xr:uid="{BE95AAE4-F8D6-4440-97DE-F9437D912EF3}">
      <text>
        <r>
          <rPr>
            <b/>
            <sz val="9"/>
            <color indexed="81"/>
            <rFont val="Tahoma"/>
            <family val="2"/>
          </rPr>
          <t xml:space="preserve"> &lt;[[TCDeals] - [Associated DEV Deal (Seq: 1)] - [Budget Initial (Seq: 1)] HC - Accessory Structures - Send]&gt;</t>
        </r>
      </text>
    </comment>
    <comment ref="AC331" authorId="0" shapeId="0" xr:uid="{4AECD42B-B6A7-4529-85A5-B8D48B4DA767}">
      <text>
        <r>
          <rPr>
            <b/>
            <sz val="9"/>
            <color indexed="81"/>
            <rFont val="Tahoma"/>
            <family val="2"/>
          </rPr>
          <t xml:space="preserve"> &lt;[[TCDeals] - [Associated DEV Deal (Seq: 1)] - [Budget Initial (Seq: 1)] HC - Other1 - Send]&gt;</t>
        </r>
      </text>
    </comment>
    <comment ref="AE331" authorId="0" shapeId="0" xr:uid="{70852882-EABC-4342-B4A2-B39E757F9C5B}">
      <text>
        <r>
          <rPr>
            <b/>
            <sz val="9"/>
            <color indexed="81"/>
            <rFont val="Tahoma"/>
            <family val="2"/>
          </rPr>
          <t xml:space="preserve"> &lt;[[TCDeals] - [Associated DEV Deal (Seq: 1)] - [Budget Initial (Seq: 1)] HC - Other1 Comments - Send]&gt;</t>
        </r>
      </text>
    </comment>
    <comment ref="C332" authorId="0" shapeId="0" xr:uid="{7411A2D7-FF2A-4270-B5DB-4397FD5AE945}">
      <text>
        <r>
          <rPr>
            <b/>
            <sz val="9"/>
            <color indexed="81"/>
            <rFont val="Tahoma"/>
            <family val="2"/>
          </rPr>
          <t xml:space="preserve"> &lt;[[TCDeals] - [TC Property Current Stage (Seq: 1)] - [Actual Costs (Seq: 1)] Unit Structures New - Send]&gt;</t>
        </r>
      </text>
    </comment>
    <comment ref="D332" authorId="0" shapeId="0" xr:uid="{9764290C-2CD4-4CEE-AE1D-715F75C607D2}">
      <text>
        <r>
          <rPr>
            <b/>
            <sz val="9"/>
            <color indexed="81"/>
            <rFont val="Tahoma"/>
            <family val="2"/>
          </rPr>
          <t xml:space="preserve"> &lt;[[TCDeals] - [TC Property Current Stage (Seq: 1)] - [4% Construction Costs (Seq: 1)] Unit Structures New - Send]&gt;</t>
        </r>
      </text>
    </comment>
    <comment ref="E332" authorId="0" shapeId="0" xr:uid="{AADC7CB3-4E82-4484-88BB-EC11E0EDD5B9}">
      <text>
        <r>
          <rPr>
            <b/>
            <sz val="9"/>
            <color indexed="81"/>
            <rFont val="Tahoma"/>
            <family val="2"/>
          </rPr>
          <t xml:space="preserve"> &lt;[[TCDeals] - [TC Property Current Stage (Seq: 1)] - [9% Construction Costs (Seq: 1)] Unit Structures New - Send]&gt;</t>
        </r>
      </text>
    </comment>
    <comment ref="F332" authorId="0" shapeId="0" xr:uid="{AB9B42C8-0889-4D4C-997D-0A6D18229F3C}">
      <text>
        <r>
          <rPr>
            <b/>
            <sz val="9"/>
            <color indexed="81"/>
            <rFont val="Tahoma"/>
            <family val="2"/>
          </rPr>
          <t xml:space="preserve"> &lt;[[TCDeals] - [TC Property Current Stage (Seq: 1)] - [State LIHTC Property Costs (Seq: 1)] Unit Structures New - Send]&gt;</t>
        </r>
      </text>
    </comment>
    <comment ref="AC332" authorId="0" shapeId="0" xr:uid="{C5EFFF62-86D7-4B18-B6C9-FD116E2E1D15}">
      <text>
        <r>
          <rPr>
            <b/>
            <sz val="9"/>
            <color indexed="81"/>
            <rFont val="Tahoma"/>
            <family val="2"/>
          </rPr>
          <t xml:space="preserve"> &lt;[[TCDeals] - [Associated DEV Deal (Seq: 1)] - [Budget Initial (Seq: 1)] HC - Other2 - Send]&gt;</t>
        </r>
      </text>
    </comment>
    <comment ref="AE332" authorId="0" shapeId="0" xr:uid="{3CFDDE0B-EE89-46C8-AD20-B7E722B29C16}">
      <text>
        <r>
          <rPr>
            <b/>
            <sz val="9"/>
            <color indexed="81"/>
            <rFont val="Tahoma"/>
            <family val="2"/>
          </rPr>
          <t xml:space="preserve"> &lt;[[TCDeals] - [Associated DEV Deal (Seq: 1)] - [Budget Initial (Seq: 1)] HC - Other2 Comments - Send]&gt;</t>
        </r>
      </text>
    </comment>
    <comment ref="C333" authorId="0" shapeId="0" xr:uid="{8045DC12-1AF7-4844-B0BE-D39E6C383998}">
      <text>
        <r>
          <rPr>
            <b/>
            <sz val="9"/>
            <color indexed="81"/>
            <rFont val="Tahoma"/>
            <family val="2"/>
          </rPr>
          <t xml:space="preserve"> &lt;[[TCDeals] - [TC Property Current Stage (Seq: 1)] - [Actual Costs (Seq: 1)] Unit Structures Rehab - Send]&gt;</t>
        </r>
      </text>
    </comment>
    <comment ref="D333" authorId="0" shapeId="0" xr:uid="{ADE380CB-7B13-4677-B527-61B9486421BF}">
      <text>
        <r>
          <rPr>
            <b/>
            <sz val="9"/>
            <color indexed="81"/>
            <rFont val="Tahoma"/>
            <family val="2"/>
          </rPr>
          <t xml:space="preserve"> &lt;[[TCDeals] - [TC Property Current Stage (Seq: 1)] - [4% Construction Costs (Seq: 1)] Unit Structures Rehab - Send]&gt;</t>
        </r>
      </text>
    </comment>
    <comment ref="E333" authorId="0" shapeId="0" xr:uid="{F0149669-9728-4894-9D51-50D2BA63F9AF}">
      <text>
        <r>
          <rPr>
            <b/>
            <sz val="9"/>
            <color indexed="81"/>
            <rFont val="Tahoma"/>
            <family val="2"/>
          </rPr>
          <t xml:space="preserve"> &lt;[[TCDeals] - [TC Property Current Stage (Seq: 1)] - [9% Construction Costs (Seq: 1)] Unit Structures Rehab - Send]&gt;</t>
        </r>
      </text>
    </comment>
    <comment ref="F333" authorId="0" shapeId="0" xr:uid="{FD2B2FFE-204F-4CDC-A0C6-659FD7B5B105}">
      <text>
        <r>
          <rPr>
            <b/>
            <sz val="9"/>
            <color indexed="81"/>
            <rFont val="Tahoma"/>
            <family val="2"/>
          </rPr>
          <t xml:space="preserve"> &lt;[[TCDeals] - [TC Property Current Stage (Seq: 1)] - [State LIHTC Property Costs (Seq: 1)] Unit Structures Rehab - Send]&gt;</t>
        </r>
      </text>
    </comment>
    <comment ref="C334" authorId="0" shapeId="0" xr:uid="{A9E4E277-4282-414B-8FCA-44160AE9FF87}">
      <text>
        <r>
          <rPr>
            <b/>
            <sz val="9"/>
            <color indexed="81"/>
            <rFont val="Tahoma"/>
            <family val="2"/>
          </rPr>
          <t xml:space="preserve"> &lt;[[TCDeals] - [TC Property Current Stage (Seq: 1)] - [Actual Costs (Seq: 1)] Accessory Buildings - Send]&gt;</t>
        </r>
      </text>
    </comment>
    <comment ref="D334" authorId="0" shapeId="0" xr:uid="{75DE96B5-E5D7-47CC-B5A6-2B298E2A567A}">
      <text>
        <r>
          <rPr>
            <b/>
            <sz val="9"/>
            <color indexed="81"/>
            <rFont val="Tahoma"/>
            <family val="2"/>
          </rPr>
          <t xml:space="preserve"> &lt;[[TCDeals] - [TC Property Current Stage (Seq: 1)] - [4% Construction Costs (Seq: 1)] Accessory Buildings - Send]&gt;</t>
        </r>
      </text>
    </comment>
    <comment ref="E334" authorId="0" shapeId="0" xr:uid="{17E3C34E-FD6F-450B-AE80-1F461C11241A}">
      <text>
        <r>
          <rPr>
            <b/>
            <sz val="9"/>
            <color indexed="81"/>
            <rFont val="Tahoma"/>
            <family val="2"/>
          </rPr>
          <t xml:space="preserve"> &lt;[[TCDeals] - [TC Property Current Stage (Seq: 1)] - [9% Construction Costs (Seq: 1)] Accessory Buildings - Send]&gt;</t>
        </r>
      </text>
    </comment>
    <comment ref="F334" authorId="0" shapeId="0" xr:uid="{0BEFAB5A-C126-47D5-9BA8-95BF4527A13E}">
      <text>
        <r>
          <rPr>
            <b/>
            <sz val="9"/>
            <color indexed="81"/>
            <rFont val="Tahoma"/>
            <family val="2"/>
          </rPr>
          <t xml:space="preserve"> &lt;[[TCDeals] - [TC Property Current Stage (Seq: 1)] - [State LIHTC Property Costs (Seq: 1)] Accessory Buildings - Send]&gt;</t>
        </r>
      </text>
    </comment>
    <comment ref="AC334" authorId="0" shapeId="0" xr:uid="{17CA7F3C-7618-4208-AA63-3D6973E7DCB9}">
      <text>
        <r>
          <rPr>
            <b/>
            <sz val="9"/>
            <color indexed="81"/>
            <rFont val="Tahoma"/>
            <family val="2"/>
          </rPr>
          <t xml:space="preserve"> &lt;[[TCDeals] - [Associated DEV Deal (Seq: 1)] - [Budget Initial (Seq: 1)] HC - Off Site Improvment - Send]&gt;</t>
        </r>
      </text>
    </comment>
    <comment ref="C335" authorId="0" shapeId="0" xr:uid="{6F170903-3754-49BF-ACFB-91F80B60B606}">
      <text>
        <r>
          <rPr>
            <b/>
            <sz val="9"/>
            <color indexed="81"/>
            <rFont val="Tahoma"/>
            <family val="2"/>
          </rPr>
          <t xml:space="preserve"> &lt;[[TCDeals] - [TC Property Current Stage (Seq: 1)] - [Actual Costs (Seq: 1)] Other Costs - Send]&gt;</t>
        </r>
      </text>
    </comment>
    <comment ref="D335" authorId="0" shapeId="0" xr:uid="{9F488C21-DCB8-4DED-B7C1-6D5AD2432DAC}">
      <text>
        <r>
          <rPr>
            <b/>
            <sz val="9"/>
            <color indexed="81"/>
            <rFont val="Tahoma"/>
            <family val="2"/>
          </rPr>
          <t xml:space="preserve"> &lt;[[TCDeals] - [TC Property Current Stage (Seq: 1)] - [4% Construction Costs (Seq: 1)] Other Costs - Send]&gt;</t>
        </r>
      </text>
    </comment>
    <comment ref="E335" authorId="0" shapeId="0" xr:uid="{08A8A405-6B70-4C1F-BCEE-392C1A70F46A}">
      <text>
        <r>
          <rPr>
            <b/>
            <sz val="9"/>
            <color indexed="81"/>
            <rFont val="Tahoma"/>
            <family val="2"/>
          </rPr>
          <t xml:space="preserve"> &lt;[[TCDeals] - [TC Property Current Stage (Seq: 1)] - [9% Construction Costs (Seq: 1)] Other Costs - Send]&gt;</t>
        </r>
      </text>
    </comment>
    <comment ref="F335" authorId="0" shapeId="0" xr:uid="{A34C29C3-1BF6-4CEC-9E5F-16DB9A61FAF8}">
      <text>
        <r>
          <rPr>
            <b/>
            <sz val="9"/>
            <color indexed="81"/>
            <rFont val="Tahoma"/>
            <family val="2"/>
          </rPr>
          <t xml:space="preserve"> &lt;[[TCDeals] - [TC Property Current Stage (Seq: 1)] - [State LIHTC Property Costs (Seq: 1)] Other Costs - Send]&gt;</t>
        </r>
      </text>
    </comment>
    <comment ref="C336" authorId="0" shapeId="0" xr:uid="{0AE54056-0157-4B32-BD22-D461951C7B46}">
      <text>
        <r>
          <rPr>
            <b/>
            <sz val="9"/>
            <color indexed="81"/>
            <rFont val="Tahoma"/>
            <family val="2"/>
          </rPr>
          <t xml:space="preserve"> &lt;[[TCDeals] - [TC Property Current Stage (Seq: 1)] - [Actual Costs (Seq: 1)] Actual Addl Cost 2 - Send]&gt;</t>
        </r>
      </text>
    </comment>
    <comment ref="D336" authorId="0" shapeId="0" xr:uid="{C1A53021-3004-49DD-86CA-72B1B33EDF2C}">
      <text>
        <r>
          <rPr>
            <b/>
            <sz val="9"/>
            <color indexed="81"/>
            <rFont val="Tahoma"/>
            <family val="2"/>
          </rPr>
          <t xml:space="preserve"> &lt;[[TCDeals] - [TC Property Current Stage (Seq: 1)] - [4% Construction Costs (Seq: 1)] Rehab Addl Cost 2 - Send]&gt;</t>
        </r>
      </text>
    </comment>
    <comment ref="E336" authorId="0" shapeId="0" xr:uid="{7089915E-4B60-4202-A1C3-865DD27E2920}">
      <text>
        <r>
          <rPr>
            <b/>
            <sz val="9"/>
            <color indexed="81"/>
            <rFont val="Tahoma"/>
            <family val="2"/>
          </rPr>
          <t xml:space="preserve"> &lt;[[TCDeals] - [TC Property Current Stage (Seq: 1)] - [9% Construction Costs (Seq: 1)] PVC Addl Cost 2 - Send]&gt;</t>
        </r>
      </text>
    </comment>
    <comment ref="F336" authorId="0" shapeId="0" xr:uid="{78AFF7E9-197E-4DB8-A8D9-1F9B7A85FA61}">
      <text>
        <r>
          <rPr>
            <b/>
            <sz val="9"/>
            <color indexed="81"/>
            <rFont val="Tahoma"/>
            <family val="2"/>
          </rPr>
          <t xml:space="preserve"> &lt;[[TCDeals] - [TC Property Current Stage (Seq: 1)] - [State LIHTC Property Costs (Seq: 1)] Additional Costs2 - Send]&gt;</t>
        </r>
      </text>
    </comment>
    <comment ref="AC336" authorId="0" shapeId="0" xr:uid="{2DEE932B-A883-4607-ADEB-1994F3739215}">
      <text>
        <r>
          <rPr>
            <b/>
            <sz val="9"/>
            <color indexed="81"/>
            <rFont val="Tahoma"/>
            <family val="2"/>
          </rPr>
          <t xml:space="preserve"> &lt;[[TCDeals] - [Associated DEV Deal (Seq: 1)] - [Budget Initial (Seq: 1)] HC - Demolition - Send]&gt;</t>
        </r>
      </text>
    </comment>
    <comment ref="AC337" authorId="0" shapeId="0" xr:uid="{CDC6B7AB-DF81-4ED3-9F1D-D2AA71F7C5CF}">
      <text>
        <r>
          <rPr>
            <b/>
            <sz val="9"/>
            <color indexed="81"/>
            <rFont val="Tahoma"/>
            <family val="2"/>
          </rPr>
          <t xml:space="preserve"> &lt;[[TCDeals] - [Associated DEV Deal (Seq: 1)] - [Budget Initial (Seq: 1)] HC - Site Improvments - Send]&gt;</t>
        </r>
      </text>
    </comment>
    <comment ref="AC338" authorId="0" shapeId="0" xr:uid="{A45792FD-6679-4BAE-85DD-A7227345C389}">
      <text>
        <r>
          <rPr>
            <b/>
            <sz val="9"/>
            <color indexed="81"/>
            <rFont val="Tahoma"/>
            <family val="2"/>
          </rPr>
          <t xml:space="preserve"> &lt;[[TCDeals] - [Associated DEV Deal (Seq: 1)] - [Budget Initial (Seq: 1)] HC - Lawns - Send]&gt;</t>
        </r>
      </text>
    </comment>
    <comment ref="AC339" authorId="0" shapeId="0" xr:uid="{282A3CB0-D03E-4B08-8651-9C5667DD1ECF}">
      <text>
        <r>
          <rPr>
            <b/>
            <sz val="9"/>
            <color indexed="81"/>
            <rFont val="Tahoma"/>
            <family val="2"/>
          </rPr>
          <t xml:space="preserve"> &lt;[[TCDeals] - [Associated DEV Deal (Seq: 1)] - [Budget Initial (Seq: 1)] SC - Furn Fixt Equip - Send]&gt;</t>
        </r>
      </text>
    </comment>
    <comment ref="AC340" authorId="0" shapeId="0" xr:uid="{84B0381F-9B80-4551-B813-BDB31D24EA6C}">
      <text>
        <r>
          <rPr>
            <b/>
            <sz val="9"/>
            <color indexed="81"/>
            <rFont val="Tahoma"/>
            <family val="2"/>
          </rPr>
          <t xml:space="preserve"> &lt;[[TCDeals] - [Associated DEV Deal (Seq: 1)] - [Budget Initial (Seq: 1)] HC - Other Work - Send]&gt;</t>
        </r>
      </text>
    </comment>
    <comment ref="AC342" authorId="0" shapeId="0" xr:uid="{E44C4A43-A0B5-4B4C-A255-AF4B27B5F980}">
      <text>
        <r>
          <rPr>
            <b/>
            <sz val="9"/>
            <color indexed="81"/>
            <rFont val="Tahoma"/>
            <family val="2"/>
          </rPr>
          <t xml:space="preserve"> &lt;[[TCDeals] - [Associated DEV Deal (Seq: 1)] - [Budget Initial (Seq: 1)] HC - General Req - Send]&gt;</t>
        </r>
      </text>
    </comment>
    <comment ref="AC343" authorId="0" shapeId="0" xr:uid="{BFD0ED04-8C86-4BE4-9F5A-513566A724E1}">
      <text>
        <r>
          <rPr>
            <b/>
            <sz val="9"/>
            <color indexed="81"/>
            <rFont val="Tahoma"/>
            <family val="2"/>
          </rPr>
          <t xml:space="preserve"> &lt;[[TCDeals] - [Associated DEV Deal (Seq: 1)] - [Budget Initial (Seq: 1)] HC - Overhead - Send]&gt;</t>
        </r>
      </text>
    </comment>
    <comment ref="AC344" authorId="0" shapeId="0" xr:uid="{A3FF86F2-124C-4EA1-B14F-AA2D9EF7E1A1}">
      <text>
        <r>
          <rPr>
            <b/>
            <sz val="9"/>
            <color indexed="81"/>
            <rFont val="Tahoma"/>
            <family val="2"/>
          </rPr>
          <t xml:space="preserve"> &lt;[[TCDeals] - [Associated DEV Deal (Seq: 1)] - [Budget Initial (Seq: 1)] HC - Profit - Send]&gt;</t>
        </r>
      </text>
    </comment>
    <comment ref="C345" authorId="0" shapeId="0" xr:uid="{8077B221-1FCB-493B-BF0A-28367FC7D70E}">
      <text>
        <r>
          <rPr>
            <b/>
            <sz val="9"/>
            <color indexed="81"/>
            <rFont val="Tahoma"/>
            <family val="2"/>
          </rPr>
          <t xml:space="preserve"> &lt;[[TCDeals] - [TC Property Current Stage (Seq: 1)] - [Actual Costs (Seq: 1)] Off Site Improvements - Send]&gt;</t>
        </r>
      </text>
    </comment>
    <comment ref="D345" authorId="0" shapeId="0" xr:uid="{6E839B61-9775-4BCA-BEA3-1B756AB28C97}">
      <text>
        <r>
          <rPr>
            <b/>
            <sz val="9"/>
            <color indexed="81"/>
            <rFont val="Tahoma"/>
            <family val="2"/>
          </rPr>
          <t xml:space="preserve"> &lt;[[TCDeals] - [TC Property Current Stage (Seq: 1)] - [4% Construction Costs (Seq: 1)] Off Site Improvements - Send]&gt;</t>
        </r>
      </text>
    </comment>
    <comment ref="E345" authorId="0" shapeId="0" xr:uid="{D1E9FF04-C22F-4E68-B265-FB59AA3FC011}">
      <text>
        <r>
          <rPr>
            <b/>
            <sz val="9"/>
            <color indexed="81"/>
            <rFont val="Tahoma"/>
            <family val="2"/>
          </rPr>
          <t xml:space="preserve"> &lt;[[TCDeals] - [TC Property Current Stage (Seq: 1)] - [9% Construction Costs (Seq: 1)] Off Site Improvements - Send]&gt;</t>
        </r>
      </text>
    </comment>
    <comment ref="F345" authorId="0" shapeId="0" xr:uid="{D1E33CA5-76A7-4B3B-9C4F-07BBDABC2664}">
      <text>
        <r>
          <rPr>
            <b/>
            <sz val="9"/>
            <color indexed="81"/>
            <rFont val="Tahoma"/>
            <family val="2"/>
          </rPr>
          <t xml:space="preserve"> &lt;[[TCDeals] - [TC Property Current Stage (Seq: 1)] - [State LIHTC Property Costs (Seq: 1)] Off Site Improvements - Send]&gt;</t>
        </r>
      </text>
    </comment>
    <comment ref="AC345" authorId="0" shapeId="0" xr:uid="{C48B81E0-20D2-43E9-83BB-EB7C294155B1}">
      <text>
        <r>
          <rPr>
            <b/>
            <sz val="9"/>
            <color indexed="81"/>
            <rFont val="Tahoma"/>
            <family val="2"/>
          </rPr>
          <t xml:space="preserve"> &lt;[[TCDeals] - [Associated DEV Deal (Seq: 1)] - [Budget Initial (Seq: 1)] HC - Other3 - Send]&gt;</t>
        </r>
      </text>
    </comment>
    <comment ref="AE345" authorId="0" shapeId="0" xr:uid="{2CDB9C86-1818-4C41-92AF-3EDF582FC13E}">
      <text>
        <r>
          <rPr>
            <b/>
            <sz val="9"/>
            <color indexed="81"/>
            <rFont val="Tahoma"/>
            <family val="2"/>
          </rPr>
          <t xml:space="preserve"> &lt;[[TCDeals] - [Associated DEV Deal (Seq: 1)] - [Budget Initial (Seq: 1)] HC - Other3 Comments - Send]&gt;</t>
        </r>
      </text>
    </comment>
    <comment ref="C347" authorId="0" shapeId="0" xr:uid="{F7D22824-15A5-47E5-974F-82E0B6BE320C}">
      <text>
        <r>
          <rPr>
            <b/>
            <sz val="9"/>
            <color indexed="81"/>
            <rFont val="Tahoma"/>
            <family val="2"/>
          </rPr>
          <t xml:space="preserve"> &lt;[[TCDeals] - [TC Property Current Stage (Seq: 1)] - [Actual Costs (Seq: 1)] Demolition - Send]&gt;</t>
        </r>
      </text>
    </comment>
    <comment ref="D347" authorId="0" shapeId="0" xr:uid="{C31E2E2D-7A1D-45FB-89A1-44CF66F5D506}">
      <text>
        <r>
          <rPr>
            <b/>
            <sz val="9"/>
            <color indexed="81"/>
            <rFont val="Tahoma"/>
            <family val="2"/>
          </rPr>
          <t xml:space="preserve"> &lt;[[TCDeals] - [TC Property Current Stage (Seq: 1)] - [4% Construction Costs (Seq: 1)] Demolition - Send]&gt;</t>
        </r>
      </text>
    </comment>
    <comment ref="E347" authorId="0" shapeId="0" xr:uid="{11B53A06-32AC-4F83-A9FC-D430369039BB}">
      <text>
        <r>
          <rPr>
            <b/>
            <sz val="9"/>
            <color indexed="81"/>
            <rFont val="Tahoma"/>
            <family val="2"/>
          </rPr>
          <t xml:space="preserve"> &lt;[[TCDeals] - [TC Property Current Stage (Seq: 1)] - [9% Construction Costs (Seq: 1)] Demolition - Send]&gt;</t>
        </r>
      </text>
    </comment>
    <comment ref="F347" authorId="0" shapeId="0" xr:uid="{F751B245-9364-4CBD-BCFF-A76EF6284ADB}">
      <text>
        <r>
          <rPr>
            <b/>
            <sz val="9"/>
            <color indexed="81"/>
            <rFont val="Tahoma"/>
            <family val="2"/>
          </rPr>
          <t xml:space="preserve"> &lt;[[TCDeals] - [TC Property Current Stage (Seq: 1)] - [State LIHTC Property Costs (Seq: 1)] Demolition - Send]&gt;</t>
        </r>
      </text>
    </comment>
    <comment ref="AC347" authorId="0" shapeId="0" xr:uid="{8B7979E6-188C-4C07-B8E7-E455194004EF}">
      <text>
        <r>
          <rPr>
            <b/>
            <sz val="9"/>
            <color indexed="81"/>
            <rFont val="Tahoma"/>
            <family val="2"/>
          </rPr>
          <t xml:space="preserve"> &lt;[[TCDeals] - [Associated DEV Deal (Seq: 1)] - [Budget Initial (Seq: 1)] HC - Contingency - Send]&gt;</t>
        </r>
      </text>
    </comment>
    <comment ref="C348" authorId="0" shapeId="0" xr:uid="{B1BEC93B-47A7-47DA-A306-514C0F3C498B}">
      <text>
        <r>
          <rPr>
            <b/>
            <sz val="9"/>
            <color indexed="81"/>
            <rFont val="Tahoma"/>
            <family val="2"/>
          </rPr>
          <t xml:space="preserve"> &lt;[[TCDeals] - [TC Property Current Stage (Seq: 1)] - [Actual Costs (Seq: 1)] Site Work - Send]&gt;</t>
        </r>
      </text>
    </comment>
    <comment ref="D348" authorId="0" shapeId="0" xr:uid="{C4538217-2F1F-438B-A852-C5F97751DCF0}">
      <text>
        <r>
          <rPr>
            <b/>
            <sz val="9"/>
            <color indexed="81"/>
            <rFont val="Tahoma"/>
            <family val="2"/>
          </rPr>
          <t xml:space="preserve"> &lt;[[TCDeals] - [TC Property Current Stage (Seq: 1)] - [4% Construction Costs (Seq: 1)] Site Work - Send]&gt;</t>
        </r>
      </text>
    </comment>
    <comment ref="E348" authorId="0" shapeId="0" xr:uid="{F98AC3C5-7C00-446A-A913-D95B10753829}">
      <text>
        <r>
          <rPr>
            <b/>
            <sz val="9"/>
            <color indexed="81"/>
            <rFont val="Tahoma"/>
            <family val="2"/>
          </rPr>
          <t xml:space="preserve"> &lt;[[TCDeals] - [TC Property Current Stage (Seq: 1)] - [9% Construction Costs (Seq: 1)] Site Work - Send]&gt;</t>
        </r>
      </text>
    </comment>
    <comment ref="F348" authorId="0" shapeId="0" xr:uid="{D866D1E6-DDCD-4471-9781-522E00BA2C80}">
      <text>
        <r>
          <rPr>
            <b/>
            <sz val="9"/>
            <color indexed="81"/>
            <rFont val="Tahoma"/>
            <family val="2"/>
          </rPr>
          <t xml:space="preserve"> &lt;[[TCDeals] - [TC Property Current Stage (Seq: 1)] - [State LIHTC Property Costs (Seq: 1)] Site Work - Send]&gt;</t>
        </r>
      </text>
    </comment>
    <comment ref="AC348" authorId="0" shapeId="0" xr:uid="{DB5054FF-DBD8-4E14-9B95-C4A9CB772C79}">
      <text>
        <r>
          <rPr>
            <b/>
            <sz val="9"/>
            <color indexed="81"/>
            <rFont val="Tahoma"/>
            <family val="2"/>
          </rPr>
          <t xml:space="preserve"> &lt;[[TCDeals] - [Associated DEV Deal (Seq: 1)] - [Budget Initial (Seq: 1)] SC - Contingency - Send]&gt;</t>
        </r>
      </text>
    </comment>
    <comment ref="AC350" authorId="0" shapeId="0" xr:uid="{50AD8438-744E-4261-9E38-7F4FA8A37647}">
      <text>
        <r>
          <rPr>
            <b/>
            <sz val="9"/>
            <color indexed="81"/>
            <rFont val="Tahoma"/>
            <family val="2"/>
          </rPr>
          <t xml:space="preserve"> &lt;[[TCDeals] - [Associated DEV Deal (Seq: 1)] - [Budget Initial (Seq: 1)] SC -HFA Finance Fee - Send]&gt;</t>
        </r>
      </text>
    </comment>
    <comment ref="C351" authorId="0" shapeId="0" xr:uid="{8CA5DB23-8173-440E-BA06-ED6D72EB0C72}">
      <text>
        <r>
          <rPr>
            <b/>
            <sz val="9"/>
            <color indexed="81"/>
            <rFont val="Tahoma"/>
            <family val="2"/>
          </rPr>
          <t xml:space="preserve"> &lt;[[TCDeals] - [TC Property Current Stage (Seq: 1)] - [Actual Costs (Seq: 1)] Lawns - Send]&gt;</t>
        </r>
      </text>
    </comment>
    <comment ref="D351" authorId="0" shapeId="0" xr:uid="{1727B7B5-EDD4-4FAF-9518-FD261DDAE69C}">
      <text>
        <r>
          <rPr>
            <b/>
            <sz val="9"/>
            <color indexed="81"/>
            <rFont val="Tahoma"/>
            <family val="2"/>
          </rPr>
          <t xml:space="preserve"> &lt;[[TCDeals] - [TC Property Current Stage (Seq: 1)] - [4% Construction Costs (Seq: 1)] Lawns - Send]&gt;</t>
        </r>
      </text>
    </comment>
    <comment ref="E351" authorId="0" shapeId="0" xr:uid="{2287C82D-7C1A-4ADD-8936-0F5703A25B10}">
      <text>
        <r>
          <rPr>
            <b/>
            <sz val="9"/>
            <color indexed="81"/>
            <rFont val="Tahoma"/>
            <family val="2"/>
          </rPr>
          <t xml:space="preserve"> &lt;[[TCDeals] - [TC Property Current Stage (Seq: 1)] - [9% Construction Costs (Seq: 1)] Lawns - Send]&gt;</t>
        </r>
      </text>
    </comment>
    <comment ref="F351" authorId="0" shapeId="0" xr:uid="{60D1823F-D267-4523-B956-2FA9F645372C}">
      <text>
        <r>
          <rPr>
            <b/>
            <sz val="9"/>
            <color indexed="81"/>
            <rFont val="Tahoma"/>
            <family val="2"/>
          </rPr>
          <t xml:space="preserve"> &lt;[[TCDeals] - [TC Property Current Stage (Seq: 1)] - [State LIHTC Property Costs (Seq: 1)] Lawns - Send]&gt;</t>
        </r>
      </text>
    </comment>
    <comment ref="AC351" authorId="0" shapeId="0" xr:uid="{5FACA49A-C0DF-4E3F-80FD-3A25281CD99C}">
      <text>
        <r>
          <rPr>
            <b/>
            <sz val="9"/>
            <color indexed="81"/>
            <rFont val="Tahoma"/>
            <family val="2"/>
          </rPr>
          <t xml:space="preserve"> &lt;[[TCDeals] - [Associated DEV Deal (Seq: 1)] - [Budget Initial (Seq: 1)] SC - Other1 - Send]&gt;</t>
        </r>
      </text>
    </comment>
    <comment ref="AE351" authorId="0" shapeId="0" xr:uid="{2CDDA867-C1FA-45C5-9C46-8CE0EC3054B1}">
      <text>
        <r>
          <rPr>
            <b/>
            <sz val="9"/>
            <color indexed="81"/>
            <rFont val="Tahoma"/>
            <family val="2"/>
          </rPr>
          <t xml:space="preserve"> &lt;[[TCDeals] - [Associated DEV Deal (Seq: 1)] - [Budget Initial (Seq: 1)] SC - Other1 Comments - Send]&gt;</t>
        </r>
      </text>
    </comment>
    <comment ref="C354" authorId="0" shapeId="0" xr:uid="{DCE6FD2C-3ADD-4333-955C-DF6295B5E652}">
      <text>
        <r>
          <rPr>
            <b/>
            <sz val="9"/>
            <color indexed="81"/>
            <rFont val="Tahoma"/>
            <family val="2"/>
          </rPr>
          <t xml:space="preserve"> &lt;[[TCDeals] - [TC Property Current Stage (Seq: 1)] - [Actual Costs (Seq: 1)] Other Site Work - Send]&gt;</t>
        </r>
      </text>
    </comment>
    <comment ref="D354" authorId="0" shapeId="0" xr:uid="{ADBD045D-8626-42B1-A999-1F7EF5AB1D9A}">
      <text>
        <r>
          <rPr>
            <b/>
            <sz val="9"/>
            <color indexed="81"/>
            <rFont val="Tahoma"/>
            <family val="2"/>
          </rPr>
          <t xml:space="preserve"> &lt;[[TCDeals] - [TC Property Current Stage (Seq: 1)] - [4% Construction Costs (Seq: 1)] Other Site Work - Send]&gt;</t>
        </r>
      </text>
    </comment>
    <comment ref="E354" authorId="0" shapeId="0" xr:uid="{A601F820-637C-4BEB-BBE2-3BDE2E91D667}">
      <text>
        <r>
          <rPr>
            <b/>
            <sz val="9"/>
            <color indexed="81"/>
            <rFont val="Tahoma"/>
            <family val="2"/>
          </rPr>
          <t xml:space="preserve"> &lt;[[TCDeals] - [TC Property Current Stage (Seq: 1)] - [9% Construction Costs (Seq: 1)] Other Site Work - Send]&gt;</t>
        </r>
      </text>
    </comment>
    <comment ref="F354" authorId="0" shapeId="0" xr:uid="{0CA130B9-6E12-44B2-90E0-EDA69F741F69}">
      <text>
        <r>
          <rPr>
            <b/>
            <sz val="9"/>
            <color indexed="81"/>
            <rFont val="Tahoma"/>
            <family val="2"/>
          </rPr>
          <t xml:space="preserve"> &lt;[[TCDeals] - [TC Property Current Stage (Seq: 1)] - [State LIHTC Property Costs (Seq: 1)] Other Work - Send]&gt;</t>
        </r>
      </text>
    </comment>
    <comment ref="AC355" authorId="0" shapeId="0" xr:uid="{4FE86B9F-D2FD-42D4-AF02-B3AD8D084103}">
      <text>
        <r>
          <rPr>
            <b/>
            <sz val="9"/>
            <color indexed="81"/>
            <rFont val="Tahoma"/>
            <family val="2"/>
          </rPr>
          <t xml:space="preserve"> &lt;[[TCDeals] - [Associated DEV Deal (Seq: 1)] - [Budget Initial (Seq: 1)] SC - Other2 - Send]&gt;</t>
        </r>
      </text>
    </comment>
    <comment ref="AE355" authorId="0" shapeId="0" xr:uid="{C19618C0-A0EC-43C2-B0B4-E535051D20DE}">
      <text>
        <r>
          <rPr>
            <b/>
            <sz val="9"/>
            <color indexed="81"/>
            <rFont val="Tahoma"/>
            <family val="2"/>
          </rPr>
          <t xml:space="preserve"> &lt;[[TCDeals] - [Associated DEV Deal (Seq: 1)] - [Budget Initial (Seq: 1)] SC - Other2 Comments - Send]&gt;</t>
        </r>
      </text>
    </comment>
    <comment ref="AC356" authorId="0" shapeId="0" xr:uid="{F84C6B50-75E6-4C68-9553-3564BA8E7236}">
      <text>
        <r>
          <rPr>
            <b/>
            <sz val="9"/>
            <color indexed="81"/>
            <rFont val="Tahoma"/>
            <family val="2"/>
          </rPr>
          <t xml:space="preserve"> &lt;[[TCDeals] - [Associated DEV Deal (Seq: 1)] - [Budget Initial (Seq: 1)] SC - Contruction Interest - Send]&gt;</t>
        </r>
      </text>
    </comment>
    <comment ref="C357" authorId="0" shapeId="0" xr:uid="{8BAC9379-12AA-46D1-A7E1-683E56D3C6FD}">
      <text>
        <r>
          <rPr>
            <b/>
            <sz val="9"/>
            <color indexed="81"/>
            <rFont val="Tahoma"/>
            <family val="2"/>
          </rPr>
          <t xml:space="preserve"> &lt;[[TCDeals] - [TC Property Current Stage (Seq: 1)] - [Actual Costs (Seq: 1)] General Requirements - Send]&gt;</t>
        </r>
      </text>
    </comment>
    <comment ref="D357" authorId="0" shapeId="0" xr:uid="{01552202-0013-4A66-8EA0-A3B3335462F8}">
      <text>
        <r>
          <rPr>
            <b/>
            <sz val="9"/>
            <color indexed="81"/>
            <rFont val="Tahoma"/>
            <family val="2"/>
          </rPr>
          <t xml:space="preserve"> &lt;[[TCDeals] - [TC Property Current Stage (Seq: 1)] - [4% Construction Costs (Seq: 1)] General Requirements - Send]&gt;</t>
        </r>
      </text>
    </comment>
    <comment ref="E357" authorId="0" shapeId="0" xr:uid="{6AEEDD9E-ADB0-41CD-A6C3-9245616B0274}">
      <text>
        <r>
          <rPr>
            <b/>
            <sz val="9"/>
            <color indexed="81"/>
            <rFont val="Tahoma"/>
            <family val="2"/>
          </rPr>
          <t xml:space="preserve"> &lt;[[TCDeals] - [TC Property Current Stage (Seq: 1)] - [9% Construction Costs (Seq: 1)] General Requirements - Send]&gt;</t>
        </r>
      </text>
    </comment>
    <comment ref="F357" authorId="0" shapeId="0" xr:uid="{8AD1D8D7-5657-46E4-8496-130EEFEFA362}">
      <text>
        <r>
          <rPr>
            <b/>
            <sz val="9"/>
            <color indexed="81"/>
            <rFont val="Tahoma"/>
            <family val="2"/>
          </rPr>
          <t xml:space="preserve"> &lt;[[TCDeals] - [TC Property Current Stage (Seq: 1)] - [State LIHTC Property Costs (Seq: 1)] General Requirements - Send]&gt;</t>
        </r>
      </text>
    </comment>
    <comment ref="C358" authorId="0" shapeId="0" xr:uid="{CB5EB11C-A9B9-494B-80DB-1B00612C6B77}">
      <text>
        <r>
          <rPr>
            <b/>
            <sz val="9"/>
            <color indexed="81"/>
            <rFont val="Tahoma"/>
            <family val="2"/>
          </rPr>
          <t xml:space="preserve"> &lt;[[TCDeals] - [TC Property Current Stage (Seq: 1)] - [Actual Costs (Seq: 1)] Builders Overhead - Send]&gt;</t>
        </r>
      </text>
    </comment>
    <comment ref="D358" authorId="0" shapeId="0" xr:uid="{28F547AC-558F-4A9D-B4E5-80E078A6F542}">
      <text>
        <r>
          <rPr>
            <b/>
            <sz val="9"/>
            <color indexed="81"/>
            <rFont val="Tahoma"/>
            <family val="2"/>
          </rPr>
          <t xml:space="preserve"> &lt;[[TCDeals] - [TC Property Current Stage (Seq: 1)] - [4% Construction Costs (Seq: 1)] Builders Overhead - Send]&gt;</t>
        </r>
      </text>
    </comment>
    <comment ref="E358" authorId="0" shapeId="0" xr:uid="{9DC3D2AF-7EAE-4C30-B773-615923E1AA60}">
      <text>
        <r>
          <rPr>
            <b/>
            <sz val="9"/>
            <color indexed="81"/>
            <rFont val="Tahoma"/>
            <family val="2"/>
          </rPr>
          <t xml:space="preserve"> &lt;[[TCDeals] - [TC Property Current Stage (Seq: 1)] - [9% Construction Costs (Seq: 1)] Builders Overhead - Send]&gt;</t>
        </r>
      </text>
    </comment>
    <comment ref="F358" authorId="0" shapeId="0" xr:uid="{E3E1FB28-5BF5-4786-82AE-42A0488B59AA}">
      <text>
        <r>
          <rPr>
            <b/>
            <sz val="9"/>
            <color indexed="81"/>
            <rFont val="Tahoma"/>
            <family val="2"/>
          </rPr>
          <t xml:space="preserve"> &lt;[[TCDeals] - [TC Property Current Stage (Seq: 1)] - [State LIHTC Property Costs (Seq: 1)] Builders Overhead - Send]&gt;</t>
        </r>
      </text>
    </comment>
    <comment ref="AC358" authorId="0" shapeId="0" xr:uid="{00117B38-6075-4275-855F-5DECEC8ADA0C}">
      <text>
        <r>
          <rPr>
            <b/>
            <sz val="9"/>
            <color indexed="81"/>
            <rFont val="Tahoma"/>
            <family val="2"/>
          </rPr>
          <t xml:space="preserve"> &lt;[[TCDeals] - [Associated DEV Deal (Seq: 1)] - [Budget Initial (Seq: 1)] SC - Other3 - Send]&gt;</t>
        </r>
      </text>
    </comment>
    <comment ref="AE358" authorId="0" shapeId="0" xr:uid="{756B9239-5800-4834-9BD6-C5DE836C54D3}">
      <text>
        <r>
          <rPr>
            <b/>
            <sz val="9"/>
            <color indexed="81"/>
            <rFont val="Tahoma"/>
            <family val="2"/>
          </rPr>
          <t xml:space="preserve"> &lt;[[TCDeals] - [Associated DEV Deal (Seq: 1)] - [Budget Initial (Seq: 1)] SC - Other3 Comments - Send]&gt;</t>
        </r>
      </text>
    </comment>
    <comment ref="C359" authorId="0" shapeId="0" xr:uid="{8E7134C8-FFEA-4A8E-BF52-085EE9A10A25}">
      <text>
        <r>
          <rPr>
            <b/>
            <sz val="9"/>
            <color indexed="81"/>
            <rFont val="Tahoma"/>
            <family val="2"/>
          </rPr>
          <t xml:space="preserve"> &lt;[[TCDeals] - [TC Property Current Stage (Seq: 1)] - [Actual Costs (Seq: 1)] Builders Profit - Send]&gt;</t>
        </r>
      </text>
    </comment>
    <comment ref="D359" authorId="0" shapeId="0" xr:uid="{3830BE9F-AEBB-4FC4-8392-B389A07DEB2C}">
      <text>
        <r>
          <rPr>
            <b/>
            <sz val="9"/>
            <color indexed="81"/>
            <rFont val="Tahoma"/>
            <family val="2"/>
          </rPr>
          <t xml:space="preserve"> &lt;[[TCDeals] - [TC Property Current Stage (Seq: 1)] - [4% Construction Costs (Seq: 1)] Builders Profit - Send]&gt;</t>
        </r>
      </text>
    </comment>
    <comment ref="E359" authorId="0" shapeId="0" xr:uid="{A4619FBA-38D7-4BA0-A61C-CBCA2346FE65}">
      <text>
        <r>
          <rPr>
            <b/>
            <sz val="9"/>
            <color indexed="81"/>
            <rFont val="Tahoma"/>
            <family val="2"/>
          </rPr>
          <t xml:space="preserve"> &lt;[[TCDeals] - [TC Property Current Stage (Seq: 1)] - [9% Construction Costs (Seq: 1)] Builders Profit - Send]&gt;</t>
        </r>
      </text>
    </comment>
    <comment ref="F359" authorId="0" shapeId="0" xr:uid="{5FFBD769-DA8D-407B-8197-A410C8A88B9F}">
      <text>
        <r>
          <rPr>
            <b/>
            <sz val="9"/>
            <color indexed="81"/>
            <rFont val="Tahoma"/>
            <family val="2"/>
          </rPr>
          <t xml:space="preserve"> &lt;[[TCDeals] - [TC Property Current Stage (Seq: 1)] - [State LIHTC Property Costs (Seq: 1)] Builders Profit - Send]&gt;</t>
        </r>
      </text>
    </comment>
    <comment ref="C360" authorId="0" shapeId="0" xr:uid="{024E857D-A71B-41C3-B46C-9AECC1830198}">
      <text>
        <r>
          <rPr>
            <b/>
            <sz val="9"/>
            <color indexed="81"/>
            <rFont val="Tahoma"/>
            <family val="2"/>
          </rPr>
          <t xml:space="preserve"> &lt;[[TCDeals] - [TC Property Current Stage (Seq: 1)] - [Actual Costs (Seq: 1)] Other Construction1 - Send]&gt;</t>
        </r>
      </text>
    </comment>
    <comment ref="D360" authorId="0" shapeId="0" xr:uid="{6899473B-F5C6-4CBB-9C66-CFB14A53B36C}">
      <text>
        <r>
          <rPr>
            <b/>
            <sz val="9"/>
            <color indexed="81"/>
            <rFont val="Tahoma"/>
            <family val="2"/>
          </rPr>
          <t xml:space="preserve"> &lt;[[TCDeals] - [TC Property Current Stage (Seq: 1)] - [4% Construction Costs (Seq: 1)] Other Construction1 - Send]&gt;</t>
        </r>
      </text>
    </comment>
    <comment ref="E360" authorId="0" shapeId="0" xr:uid="{A289306B-105F-4B65-9CB5-1BB089A8AE46}">
      <text>
        <r>
          <rPr>
            <b/>
            <sz val="9"/>
            <color indexed="81"/>
            <rFont val="Tahoma"/>
            <family val="2"/>
          </rPr>
          <t xml:space="preserve"> &lt;[[TCDeals] - [TC Property Current Stage (Seq: 1)] - [9% Construction Costs (Seq: 1)] Other Construction1 - Send]&gt;</t>
        </r>
      </text>
    </comment>
    <comment ref="F360" authorId="0" shapeId="0" xr:uid="{7C99F093-2533-49F6-AB16-2685703D9426}">
      <text>
        <r>
          <rPr>
            <b/>
            <sz val="9"/>
            <color indexed="81"/>
            <rFont val="Tahoma"/>
            <family val="2"/>
          </rPr>
          <t xml:space="preserve"> &lt;[[TCDeals] - [TC Property Current Stage (Seq: 1)] - [State LIHTC Property Costs (Seq: 1)] Other Construction1 - Send]&gt;</t>
        </r>
      </text>
    </comment>
    <comment ref="AC360" authorId="0" shapeId="0" xr:uid="{6BBFD446-5D4E-4793-B6F7-BE28CE983B87}">
      <text>
        <r>
          <rPr>
            <b/>
            <sz val="9"/>
            <color indexed="81"/>
            <rFont val="Tahoma"/>
            <family val="2"/>
          </rPr>
          <t xml:space="preserve"> &lt;[[TCDeals] - [Associated DEV Deal (Seq: 1)] - [Budget Initial (Seq: 1)] SC - Letter Of Credit - Send]&gt;</t>
        </r>
      </text>
    </comment>
    <comment ref="AC361" authorId="0" shapeId="0" xr:uid="{60607D5F-F67A-4ECF-B3E3-E94A888EB08B}">
      <text>
        <r>
          <rPr>
            <b/>
            <sz val="9"/>
            <color indexed="81"/>
            <rFont val="Tahoma"/>
            <family val="2"/>
          </rPr>
          <t xml:space="preserve"> &lt;[[TCDeals] - [Associated DEV Deal (Seq: 1)] - [Budget Initial (Seq: 1)] SC - Taxes During Const - Send]&gt;</t>
        </r>
      </text>
    </comment>
    <comment ref="AC362" authorId="0" shapeId="0" xr:uid="{3DFCDD0D-6BDB-4A39-A994-F7AB698DD610}">
      <text>
        <r>
          <rPr>
            <b/>
            <sz val="9"/>
            <color indexed="81"/>
            <rFont val="Tahoma"/>
            <family val="2"/>
          </rPr>
          <t xml:space="preserve"> &lt;[[TCDeals] - [Associated DEV Deal (Seq: 1)] - [Budget Initial (Seq: 1)] SC - Title Recording - Send]&gt;</t>
        </r>
      </text>
    </comment>
    <comment ref="AC363" authorId="0" shapeId="0" xr:uid="{F3390488-A9DE-4AAB-BFEE-5FC5718866E0}">
      <text>
        <r>
          <rPr>
            <b/>
            <sz val="9"/>
            <color indexed="81"/>
            <rFont val="Tahoma"/>
            <family val="2"/>
          </rPr>
          <t xml:space="preserve"> &lt;[[TCDeals] - [Associated DEV Deal (Seq: 1)] - [Budget Initial (Seq: 1)] SC - Insurance - Send]&gt;</t>
        </r>
      </text>
    </comment>
    <comment ref="AC364" authorId="0" shapeId="0" xr:uid="{8EA2E93C-338F-4584-838A-D4725C83896D}">
      <text>
        <r>
          <rPr>
            <b/>
            <sz val="9"/>
            <color indexed="81"/>
            <rFont val="Tahoma"/>
            <family val="2"/>
          </rPr>
          <t xml:space="preserve"> &lt;[[TCDeals] - [Associated DEV Deal (Seq: 1)] - [Budget Initial (Seq: 1)] SC - Tenant Relocation - Send]&gt;</t>
        </r>
      </text>
    </comment>
    <comment ref="C366" authorId="0" shapeId="0" xr:uid="{26652C42-67D8-464B-B2D7-90B2D46BE12B}">
      <text>
        <r>
          <rPr>
            <b/>
            <sz val="9"/>
            <color indexed="81"/>
            <rFont val="Tahoma"/>
            <family val="2"/>
          </rPr>
          <t xml:space="preserve"> &lt;[[TCDeals] - [TC Property Current Stage (Seq: 1)] - [Actual Costs (Seq: 1)] Other Construction3 - Send]&gt;</t>
        </r>
      </text>
    </comment>
    <comment ref="D366" authorId="0" shapeId="0" xr:uid="{82F3C45E-DC88-47D9-AAF0-E35E7E12FCC3}">
      <text>
        <r>
          <rPr>
            <b/>
            <sz val="9"/>
            <color indexed="81"/>
            <rFont val="Tahoma"/>
            <family val="2"/>
          </rPr>
          <t xml:space="preserve"> &lt;[[TCDeals] - [TC Property Current Stage (Seq: 1)] - [4% Construction Costs (Seq: 1)] Other Construction3 - Send]&gt;</t>
        </r>
      </text>
    </comment>
    <comment ref="E366" authorId="0" shapeId="0" xr:uid="{678C766A-C787-4B1D-BE72-2292E1887016}">
      <text>
        <r>
          <rPr>
            <b/>
            <sz val="9"/>
            <color indexed="81"/>
            <rFont val="Tahoma"/>
            <family val="2"/>
          </rPr>
          <t xml:space="preserve"> &lt;[[TCDeals] - [TC Property Current Stage (Seq: 1)] - [9% Construction Costs (Seq: 1)] Other Construction3 - Send]&gt;</t>
        </r>
      </text>
    </comment>
    <comment ref="F366" authorId="0" shapeId="0" xr:uid="{E1D18BE6-A479-4A72-9E42-60A6CEFF9F19}">
      <text>
        <r>
          <rPr>
            <b/>
            <sz val="9"/>
            <color indexed="81"/>
            <rFont val="Tahoma"/>
            <family val="2"/>
          </rPr>
          <t xml:space="preserve"> &lt;[[TCDeals] - [TC Property Current Stage (Seq: 1)] - [State LIHTC Property Costs (Seq: 1)] Other Construction3 - Send]&gt;</t>
        </r>
      </text>
    </comment>
    <comment ref="AC366" authorId="0" shapeId="0" xr:uid="{17609437-90EA-4F5A-9E36-451CC0053897}">
      <text>
        <r>
          <rPr>
            <b/>
            <sz val="9"/>
            <color indexed="81"/>
            <rFont val="Tahoma"/>
            <family val="2"/>
          </rPr>
          <t xml:space="preserve"> &lt;[[TCDeals] - [Associated DEV Deal (Seq: 1)] - [Budget Initial (Seq: 1)] SC - Other4 - Send]&gt;</t>
        </r>
      </text>
    </comment>
    <comment ref="AE366" authorId="0" shapeId="0" xr:uid="{FD3A7A5C-EA28-4106-9FD0-55AA28EB6D81}">
      <text>
        <r>
          <rPr>
            <b/>
            <sz val="9"/>
            <color indexed="81"/>
            <rFont val="Tahoma"/>
            <family val="2"/>
          </rPr>
          <t xml:space="preserve"> &lt;[[TCDeals] - [Associated DEV Deal (Seq: 1)] - [Budget Initial (Seq: 1)] HC - Other4 Comments - Send]&gt;</t>
        </r>
      </text>
    </comment>
    <comment ref="C367" authorId="0" shapeId="0" xr:uid="{BCEF29BC-EEAA-4828-9F2C-5F3744A0190E}">
      <text>
        <r>
          <rPr>
            <b/>
            <sz val="9"/>
            <color indexed="81"/>
            <rFont val="Tahoma"/>
            <family val="2"/>
          </rPr>
          <t xml:space="preserve"> &lt;[[TCDeals] - [TC Property Current Stage (Seq: 1)] - [Actual Costs (Seq: 1)] Other Contingency Total - Send]&gt;</t>
        </r>
      </text>
    </comment>
    <comment ref="D367" authorId="0" shapeId="0" xr:uid="{59606EA6-3FB8-467F-B58A-6623E12FF3D2}">
      <text>
        <r>
          <rPr>
            <b/>
            <sz val="9"/>
            <color indexed="81"/>
            <rFont val="Tahoma"/>
            <family val="2"/>
          </rPr>
          <t xml:space="preserve"> &lt;[[TCDeals] - [TC Property Current Stage (Seq: 1)] - [4% Construction Costs (Seq: 1)] Other Contingency Total - Send]&gt;</t>
        </r>
      </text>
    </comment>
    <comment ref="E367" authorId="0" shapeId="0" xr:uid="{D069B758-20BD-4F4B-AA88-2DB32FB2510C}">
      <text>
        <r>
          <rPr>
            <b/>
            <sz val="9"/>
            <color indexed="81"/>
            <rFont val="Tahoma"/>
            <family val="2"/>
          </rPr>
          <t xml:space="preserve"> &lt;[[TCDeals] - [TC Property Current Stage (Seq: 1)] - [9% Construction Costs (Seq: 1)] Other Contingency Total - Send]&gt;</t>
        </r>
      </text>
    </comment>
    <comment ref="F367" authorId="0" shapeId="0" xr:uid="{60487E64-9AEE-4B3D-97CE-D98E18765C0A}">
      <text>
        <r>
          <rPr>
            <b/>
            <sz val="9"/>
            <color indexed="81"/>
            <rFont val="Tahoma"/>
            <family val="2"/>
          </rPr>
          <t xml:space="preserve"> &lt;[[TCDeals] - [TC Property Current Stage (Seq: 1)] - [State LIHTC Property Costs (Seq: 1)] Other Contingency Total - Send]&gt;</t>
        </r>
      </text>
    </comment>
    <comment ref="AC368" authorId="0" shapeId="0" xr:uid="{2A232CE9-BFA7-4A04-9DDE-CE5C0B71D360}">
      <text>
        <r>
          <rPr>
            <b/>
            <sz val="9"/>
            <color indexed="81"/>
            <rFont val="Tahoma"/>
            <family val="2"/>
          </rPr>
          <t xml:space="preserve"> &lt;[[TCDeals] - [Associated DEV Deal (Seq: 1)] - [Budget Initial (Seq: 1)] SC - Other5 - Send]&gt;</t>
        </r>
      </text>
    </comment>
    <comment ref="AE368" authorId="0" shapeId="0" xr:uid="{D0A94E18-BECE-41E3-A57A-F89143C75B17}">
      <text>
        <r>
          <rPr>
            <b/>
            <sz val="9"/>
            <color indexed="81"/>
            <rFont val="Tahoma"/>
            <family val="2"/>
          </rPr>
          <t xml:space="preserve"> &lt;[[TCDeals] - [Associated DEV Deal (Seq: 1)] - [Budget Initial (Seq: 1)] SC - Other5 Comments - Send]&gt;</t>
        </r>
      </text>
    </comment>
    <comment ref="AC370" authorId="0" shapeId="0" xr:uid="{570E5FF4-5D52-4746-B730-0A2F157F8F39}">
      <text>
        <r>
          <rPr>
            <b/>
            <sz val="9"/>
            <color indexed="81"/>
            <rFont val="Tahoma"/>
            <family val="2"/>
          </rPr>
          <t xml:space="preserve"> &lt;[[TCDeals] - [Associated DEV Deal (Seq: 1)] - [Budget Initial (Seq: 1)] SC - Mortgage Banker - Send]&gt;</t>
        </r>
      </text>
    </comment>
    <comment ref="AC371" authorId="0" shapeId="0" xr:uid="{E5531C38-01EC-445F-BFCE-BE07F9338239}">
      <text>
        <r>
          <rPr>
            <b/>
            <sz val="9"/>
            <color indexed="81"/>
            <rFont val="Tahoma"/>
            <family val="2"/>
          </rPr>
          <t xml:space="preserve"> &lt;[[TCDeals] - [Associated DEV Deal (Seq: 1)] - [Budget Initial (Seq: 1)] SC - Legal - Send]&gt;</t>
        </r>
      </text>
    </comment>
    <comment ref="AC372" authorId="0" shapeId="0" xr:uid="{F807C6A4-7E87-4396-9A61-B52A32530D8D}">
      <text>
        <r>
          <rPr>
            <b/>
            <sz val="9"/>
            <color indexed="81"/>
            <rFont val="Tahoma"/>
            <family val="2"/>
          </rPr>
          <t xml:space="preserve"> &lt;[[TCDeals] - [Associated DEV Deal (Seq: 1)] - [Budget Initial (Seq: 1)] SC - Other6 - Send]&gt;</t>
        </r>
      </text>
    </comment>
    <comment ref="AE372" authorId="0" shapeId="0" xr:uid="{AD416D85-C37E-49D9-A8E5-D1B66F2E64A5}">
      <text>
        <r>
          <rPr>
            <b/>
            <sz val="9"/>
            <color indexed="81"/>
            <rFont val="Tahoma"/>
            <family val="2"/>
          </rPr>
          <t xml:space="preserve"> &lt;[[TCDeals] - [Associated DEV Deal (Seq: 1)] - [Budget Initial (Seq: 1)] SC - Other6 Comments - Send]&gt;</t>
        </r>
      </text>
    </comment>
    <comment ref="C373" authorId="0" shapeId="0" xr:uid="{DD05491A-84CD-417A-A322-BA19AA8150A3}">
      <text>
        <r>
          <rPr>
            <b/>
            <sz val="9"/>
            <color indexed="81"/>
            <rFont val="Tahoma"/>
            <family val="2"/>
          </rPr>
          <t xml:space="preserve"> &lt;[[TCDeals] - [TC Property Current Stage (Seq: 1)] - [Actual Costs (Seq: 1)] Actual Addl Cost 4 - Send]&gt;</t>
        </r>
      </text>
    </comment>
    <comment ref="D373" authorId="0" shapeId="0" xr:uid="{A6A27DAE-26EF-481B-82CC-A2AE60FBE8B4}">
      <text>
        <r>
          <rPr>
            <b/>
            <sz val="9"/>
            <color indexed="81"/>
            <rFont val="Tahoma"/>
            <family val="2"/>
          </rPr>
          <t xml:space="preserve"> &lt;[[TCDeals] - [TC Property Current Stage (Seq: 1)] - [4% Construction Costs (Seq: 1)] Rehab Addl Cost 4 - Send]&gt;</t>
        </r>
      </text>
    </comment>
    <comment ref="E373" authorId="0" shapeId="0" xr:uid="{5C18BFC7-961C-46CB-8961-E5B339A68958}">
      <text>
        <r>
          <rPr>
            <b/>
            <sz val="9"/>
            <color indexed="81"/>
            <rFont val="Tahoma"/>
            <family val="2"/>
          </rPr>
          <t xml:space="preserve"> &lt;[[TCDeals] - [TC Property Current Stage (Seq: 1)] - [9% Construction Costs (Seq: 1)] PVC Addl Cost 4 - Send]&gt;</t>
        </r>
      </text>
    </comment>
    <comment ref="F373" authorId="0" shapeId="0" xr:uid="{6809354D-0C96-48C4-A623-8F8AF3542BBD}">
      <text>
        <r>
          <rPr>
            <b/>
            <sz val="9"/>
            <color indexed="81"/>
            <rFont val="Tahoma"/>
            <family val="2"/>
          </rPr>
          <t xml:space="preserve"> &lt;[[TCDeals] - [TC Property Current Stage (Seq: 1)] - [State LIHTC Property Costs (Seq: 1)] Additional Costs4 - Send]&gt;</t>
        </r>
      </text>
    </comment>
    <comment ref="C374" authorId="0" shapeId="0" xr:uid="{51FF3C08-57F0-477D-AB55-3A04976A0FF1}">
      <text>
        <r>
          <rPr>
            <b/>
            <sz val="9"/>
            <color indexed="81"/>
            <rFont val="Tahoma"/>
            <family val="2"/>
          </rPr>
          <t xml:space="preserve"> &lt;[[TCDeals] - [TC Property Current Stage (Seq: 1)] - [Actual Costs (Seq: 1)] Constr Loan Orig Fee - Send]&gt;</t>
        </r>
      </text>
    </comment>
    <comment ref="D374" authorId="0" shapeId="0" xr:uid="{CD34DFE9-B957-43AC-B956-94B1ECB0F3CC}">
      <text>
        <r>
          <rPr>
            <b/>
            <sz val="9"/>
            <color indexed="81"/>
            <rFont val="Tahoma"/>
            <family val="2"/>
          </rPr>
          <t xml:space="preserve"> &lt;[[TCDeals] - [TC Property Current Stage (Seq: 1)] - [4% Construction Costs (Seq: 1)] Constr Loan Orig Fee - Send]&gt;</t>
        </r>
      </text>
    </comment>
    <comment ref="E374" authorId="0" shapeId="0" xr:uid="{E5084760-5D8D-4D6D-B8C0-C18211DD272F}">
      <text>
        <r>
          <rPr>
            <b/>
            <sz val="9"/>
            <color indexed="81"/>
            <rFont val="Tahoma"/>
            <family val="2"/>
          </rPr>
          <t xml:space="preserve"> &lt;[[TCDeals] - [TC Property Current Stage (Seq: 1)] - [9% Construction Costs (Seq: 1)] Constr Loan Orig Fee - Send]&gt;</t>
        </r>
      </text>
    </comment>
    <comment ref="F374" authorId="0" shapeId="0" xr:uid="{9C5C6ED2-26BF-4D56-AF4A-1B9A313E6EE0}">
      <text>
        <r>
          <rPr>
            <b/>
            <sz val="9"/>
            <color indexed="81"/>
            <rFont val="Tahoma"/>
            <family val="2"/>
          </rPr>
          <t xml:space="preserve"> &lt;[[TCDeals] - [TC Property Current Stage (Seq: 1)] - [State LIHTC Property Costs (Seq: 1)] Constr Loan Orig Fee - Send]&gt;</t>
        </r>
      </text>
    </comment>
    <comment ref="AC374" authorId="0" shapeId="0" xr:uid="{B607BDDC-C6F6-4226-A2AC-B3A0818C7DD4}">
      <text>
        <r>
          <rPr>
            <b/>
            <sz val="9"/>
            <color indexed="81"/>
            <rFont val="Tahoma"/>
            <family val="2"/>
          </rPr>
          <t xml:space="preserve"> &lt;[[TCDeals] - [Associated DEV Deal (Seq: 1)] - [Budget Initial (Seq: 1)] SC - Design Architect - Send]&gt;</t>
        </r>
      </text>
    </comment>
    <comment ref="AC375" authorId="0" shapeId="0" xr:uid="{D4999551-3FD8-4BF4-92F4-EE7771096E2E}">
      <text>
        <r>
          <rPr>
            <b/>
            <sz val="9"/>
            <color indexed="81"/>
            <rFont val="Tahoma"/>
            <family val="2"/>
          </rPr>
          <t xml:space="preserve"> &lt;[[TCDeals] - [Associated DEV Deal (Seq: 1)] - [Budget Initial (Seq: 1)] SC - Architect Supervision - Send]&gt;</t>
        </r>
      </text>
    </comment>
    <comment ref="AC376" authorId="0" shapeId="0" xr:uid="{5B834C99-4E90-42B6-B39C-8E519A866BD7}">
      <text>
        <r>
          <rPr>
            <b/>
            <sz val="9"/>
            <color indexed="81"/>
            <rFont val="Tahoma"/>
            <family val="2"/>
          </rPr>
          <t xml:space="preserve"> &lt;[[TCDeals] - [Associated DEV Deal (Seq: 1)] - [Budget Initial (Seq: 1)] SC - Design Engineering - Send]&gt;</t>
        </r>
      </text>
    </comment>
    <comment ref="AC377" authorId="0" shapeId="0" xr:uid="{E7471D8A-79FF-454F-A60C-5031D5988441}">
      <text>
        <r>
          <rPr>
            <b/>
            <sz val="9"/>
            <color indexed="81"/>
            <rFont val="Tahoma"/>
            <family val="2"/>
          </rPr>
          <t xml:space="preserve"> &lt;[[TCDeals] - [Associated DEV Deal (Seq: 1)] - [Budget Initial (Seq: 1)] SC - Survey - Send]&gt;</t>
        </r>
      </text>
    </comment>
    <comment ref="AC378" authorId="0" shapeId="0" xr:uid="{5DBDE8F7-B5CA-41CB-B3BD-A2EDB2688B31}">
      <text>
        <r>
          <rPr>
            <b/>
            <sz val="9"/>
            <color indexed="81"/>
            <rFont val="Tahoma"/>
            <family val="2"/>
          </rPr>
          <t xml:space="preserve"> &lt;[[TCDeals] - [Associated DEV Deal (Seq: 1)] - [Budget Initial (Seq: 1)] SC - Other7 - Send]&gt;</t>
        </r>
      </text>
    </comment>
    <comment ref="AE378" authorId="0" shapeId="0" xr:uid="{E9081D83-BC5C-4094-9EA2-34AD5659B0E0}">
      <text>
        <r>
          <rPr>
            <b/>
            <sz val="9"/>
            <color indexed="81"/>
            <rFont val="Tahoma"/>
            <family val="2"/>
          </rPr>
          <t xml:space="preserve"> &lt;[[TCDeals] - [Associated DEV Deal (Seq: 1)] - [Budget Initial (Seq: 1)] SC - Other7 Comments - Send]&gt;</t>
        </r>
      </text>
    </comment>
    <comment ref="C380" authorId="0" shapeId="0" xr:uid="{BC64FDC7-5EE9-4F9C-AF9C-DFEEB584DAB9}">
      <text>
        <r>
          <rPr>
            <b/>
            <sz val="9"/>
            <color indexed="81"/>
            <rFont val="Tahoma"/>
            <family val="2"/>
          </rPr>
          <t xml:space="preserve"> &lt;[[TCDeals] - [TC Property Current Stage (Seq: 1)] - [Actual Costs (Seq: 1)] Actual Addl Cost 6 - Send]&gt;</t>
        </r>
      </text>
    </comment>
    <comment ref="D380" authorId="0" shapeId="0" xr:uid="{ECD538E7-F3A1-423B-B142-C21447CE44A7}">
      <text>
        <r>
          <rPr>
            <b/>
            <sz val="9"/>
            <color indexed="81"/>
            <rFont val="Tahoma"/>
            <family val="2"/>
          </rPr>
          <t xml:space="preserve"> &lt;[[TCDeals] - [TC Property Current Stage (Seq: 1)] - [4% Construction Costs (Seq: 1)] Rehab Addl Cost 6 - Send]&gt;</t>
        </r>
      </text>
    </comment>
    <comment ref="E380" authorId="0" shapeId="0" xr:uid="{7A3D35CF-2521-42FE-9065-86E13B0248C3}">
      <text>
        <r>
          <rPr>
            <b/>
            <sz val="9"/>
            <color indexed="81"/>
            <rFont val="Tahoma"/>
            <family val="2"/>
          </rPr>
          <t xml:space="preserve"> &lt;[[TCDeals] - [TC Property Current Stage (Seq: 1)] - [9% Construction Costs (Seq: 1)] PVC Addl Cost 6 - Send]&gt;</t>
        </r>
      </text>
    </comment>
    <comment ref="F380" authorId="0" shapeId="0" xr:uid="{8BADAC82-0A05-4F91-8596-7F9A67ABA536}">
      <text>
        <r>
          <rPr>
            <b/>
            <sz val="9"/>
            <color indexed="81"/>
            <rFont val="Tahoma"/>
            <family val="2"/>
          </rPr>
          <t xml:space="preserve"> &lt;[[TCDeals] - [TC Property Current Stage (Seq: 1)] - [State LIHTC Property Costs (Seq: 1)] Additional Costs6 - Send]&gt;</t>
        </r>
      </text>
    </comment>
    <comment ref="AC380" authorId="0" shapeId="0" xr:uid="{B08C2C00-76A2-4D36-8AD3-F388FE29AF16}">
      <text>
        <r>
          <rPr>
            <b/>
            <sz val="9"/>
            <color indexed="81"/>
            <rFont val="Tahoma"/>
            <family val="2"/>
          </rPr>
          <t xml:space="preserve"> &lt;[[TCDeals] - [Associated DEV Deal (Seq: 1)] - [Budget Initial (Seq: 1)] SC - Org Costs - Send]&gt;</t>
        </r>
      </text>
    </comment>
    <comment ref="AC381" authorId="0" shapeId="0" xr:uid="{C615274E-4175-4A66-BB34-E0FAD1420327}">
      <text>
        <r>
          <rPr>
            <b/>
            <sz val="9"/>
            <color indexed="81"/>
            <rFont val="Tahoma"/>
            <family val="2"/>
          </rPr>
          <t xml:space="preserve"> &lt;[[TCDeals] - [Associated DEV Deal (Seq: 1)] - [Budget Initial (Seq: 1)] SC - Equity Financed - Send]&gt;</t>
        </r>
      </text>
    </comment>
    <comment ref="C383" authorId="0" shapeId="0" xr:uid="{F3552048-B948-4CAA-939A-752900B3FB31}">
      <text>
        <r>
          <rPr>
            <b/>
            <sz val="9"/>
            <color indexed="81"/>
            <rFont val="Tahoma"/>
            <family val="2"/>
          </rPr>
          <t xml:space="preserve"> &lt;[[TCDeals] - [TC Property Current Stage (Seq: 1)] - [Actual Costs (Seq: 1)] Actual Addl Cost 16 - Send]&gt;</t>
        </r>
      </text>
    </comment>
    <comment ref="D383" authorId="0" shapeId="0" xr:uid="{C4DF10F0-76C9-4E0B-B1FD-11219030A304}">
      <text>
        <r>
          <rPr>
            <b/>
            <sz val="9"/>
            <color indexed="81"/>
            <rFont val="Tahoma"/>
            <family val="2"/>
          </rPr>
          <t xml:space="preserve"> &lt;[[TCDeals] - [TC Property Current Stage (Seq: 1)] - [4% Construction Costs (Seq: 1)] Rehab Addl Cost 16 - Send]&gt;</t>
        </r>
      </text>
    </comment>
    <comment ref="E383" authorId="0" shapeId="0" xr:uid="{8230F8BC-4001-4783-BD99-000DE1D03F0F}">
      <text>
        <r>
          <rPr>
            <b/>
            <sz val="9"/>
            <color indexed="81"/>
            <rFont val="Tahoma"/>
            <family val="2"/>
          </rPr>
          <t xml:space="preserve"> &lt;[[TCDeals] - [TC Property Current Stage (Seq: 1)] - [9% Construction Costs (Seq: 1)] PVC Addl Cost 16 - Send]&gt;</t>
        </r>
      </text>
    </comment>
    <comment ref="F383" authorId="0" shapeId="0" xr:uid="{C8477F52-FDCF-46DC-9049-7FE978DD54EC}">
      <text>
        <r>
          <rPr>
            <b/>
            <sz val="9"/>
            <color indexed="81"/>
            <rFont val="Tahoma"/>
            <family val="2"/>
          </rPr>
          <t xml:space="preserve"> &lt;[[TCDeals] - [TC Property Current Stage (Seq: 1)] - [State LIHTC Property Costs (Seq: 1)] Additional Costs16 - Send]&gt;</t>
        </r>
      </text>
    </comment>
    <comment ref="AC384" authorId="0" shapeId="0" xr:uid="{E525F0E5-5F66-4BE8-97D9-B275F5790C80}">
      <text>
        <r>
          <rPr>
            <b/>
            <sz val="9"/>
            <color indexed="81"/>
            <rFont val="Tahoma"/>
            <family val="2"/>
          </rPr>
          <t xml:space="preserve"> &lt;[[TCDeals] - [Associated DEV Deal (Seq: 1)] - [Budget Initial (Seq: 1)] SC - Reserves - Send]&gt;</t>
        </r>
      </text>
    </comment>
    <comment ref="AC385" authorId="0" shapeId="0" xr:uid="{624B358D-6EB0-4417-A6F9-B5ADFA9AA130}">
      <text>
        <r>
          <rPr>
            <b/>
            <sz val="9"/>
            <color indexed="81"/>
            <rFont val="Tahoma"/>
            <family val="2"/>
          </rPr>
          <t xml:space="preserve"> &lt;[[TCDeals] - [Associated DEV Deal (Seq: 1)] - [Budget Initial (Seq: 1)] SC -RR Funding - Send]&gt;</t>
        </r>
      </text>
    </comment>
    <comment ref="AC386" authorId="0" shapeId="0" xr:uid="{E4362761-7390-4A9B-A684-47A46A645F40}">
      <text>
        <r>
          <rPr>
            <b/>
            <sz val="9"/>
            <color indexed="81"/>
            <rFont val="Tahoma"/>
            <family val="2"/>
          </rPr>
          <t xml:space="preserve"> &lt;[[TCDeals] - [Associated DEV Deal (Seq: 1)] - [Budget Initial (Seq: 1)] SC - Monitoring Lease Up Res - Send]&gt;</t>
        </r>
      </text>
    </comment>
    <comment ref="C387" authorId="0" shapeId="0" xr:uid="{DD12406B-3AC5-4B46-A6D2-FC024239D19A}">
      <text>
        <r>
          <rPr>
            <b/>
            <sz val="9"/>
            <color indexed="81"/>
            <rFont val="Tahoma"/>
            <family val="2"/>
          </rPr>
          <t xml:space="preserve"> &lt;[[TCDeals] - [TC Property Current Stage (Seq: 1)] - [Actual Costs (Seq: 1)] Constr Interest - Send]&gt;</t>
        </r>
      </text>
    </comment>
    <comment ref="D387" authorId="0" shapeId="0" xr:uid="{9C428F87-C31E-4D77-9015-786089B0C83A}">
      <text>
        <r>
          <rPr>
            <b/>
            <sz val="9"/>
            <color indexed="81"/>
            <rFont val="Tahoma"/>
            <family val="2"/>
          </rPr>
          <t xml:space="preserve"> &lt;[[TCDeals] - [TC Property Current Stage (Seq: 1)] - [4% Construction Costs (Seq: 1)] Constr Interest - Send]&gt;</t>
        </r>
      </text>
    </comment>
    <comment ref="E387" authorId="0" shapeId="0" xr:uid="{D6CC41A2-F2DD-40B1-85EA-3F0D2466E9F6}">
      <text>
        <r>
          <rPr>
            <b/>
            <sz val="9"/>
            <color indexed="81"/>
            <rFont val="Tahoma"/>
            <family val="2"/>
          </rPr>
          <t xml:space="preserve"> &lt;[[TCDeals] - [TC Property Current Stage (Seq: 1)] - [9% Construction Costs (Seq: 1)] Constr Interest - Send]&gt;</t>
        </r>
      </text>
    </comment>
    <comment ref="F387" authorId="0" shapeId="0" xr:uid="{305EE6E7-8CE8-42CB-8F3E-084D38E5B7B5}">
      <text>
        <r>
          <rPr>
            <b/>
            <sz val="9"/>
            <color indexed="81"/>
            <rFont val="Tahoma"/>
            <family val="2"/>
          </rPr>
          <t xml:space="preserve"> &lt;[[TCDeals] - [TC Property Current Stage (Seq: 1)] - [State LIHTC Property Costs (Seq: 1)] Constr Interest - Send]&gt;</t>
        </r>
      </text>
    </comment>
    <comment ref="C390" authorId="0" shapeId="0" xr:uid="{E02BE5C5-851F-4A42-B04B-346D0CC935E8}">
      <text>
        <r>
          <rPr>
            <b/>
            <sz val="9"/>
            <color indexed="81"/>
            <rFont val="Tahoma"/>
            <family val="2"/>
          </rPr>
          <t xml:space="preserve"> &lt;[[TCDeals] - [TC Property Current Stage (Seq: 1)] - [Actual Costs (Seq: 1)] Closing Legal Fees - Send]&gt;</t>
        </r>
      </text>
    </comment>
    <comment ref="D390" authorId="0" shapeId="0" xr:uid="{F354D0D2-8C34-4F88-88FE-406AC7B15453}">
      <text>
        <r>
          <rPr>
            <b/>
            <sz val="9"/>
            <color indexed="81"/>
            <rFont val="Tahoma"/>
            <family val="2"/>
          </rPr>
          <t xml:space="preserve"> &lt;[[TCDeals] - [TC Property Current Stage (Seq: 1)] - [4% Construction Costs (Seq: 1)] Closing Legal Fees - Send]&gt;</t>
        </r>
      </text>
    </comment>
    <comment ref="E390" authorId="0" shapeId="0" xr:uid="{38224022-BF95-4EFF-AE4C-32B444DDDFF8}">
      <text>
        <r>
          <rPr>
            <b/>
            <sz val="9"/>
            <color indexed="81"/>
            <rFont val="Tahoma"/>
            <family val="2"/>
          </rPr>
          <t xml:space="preserve"> &lt;[[TCDeals] - [TC Property Current Stage (Seq: 1)] - [9% Construction Costs (Seq: 1)] Closing Legal Fees - Send]&gt;</t>
        </r>
      </text>
    </comment>
    <comment ref="F390" authorId="0" shapeId="0" xr:uid="{A173B638-D629-4F29-965F-DA51EE13552F}">
      <text>
        <r>
          <rPr>
            <b/>
            <sz val="9"/>
            <color indexed="81"/>
            <rFont val="Tahoma"/>
            <family val="2"/>
          </rPr>
          <t xml:space="preserve"> &lt;[[TCDeals] - [TC Property Current Stage (Seq: 1)] - [State LIHTC Property Costs (Seq: 1)] Closing Legal Fees - Send]&gt;</t>
        </r>
      </text>
    </comment>
    <comment ref="AC392" authorId="0" shapeId="0" xr:uid="{5AC30604-543A-40BB-84C2-375FD9EE5320}">
      <text>
        <r>
          <rPr>
            <b/>
            <sz val="9"/>
            <color indexed="81"/>
            <rFont val="Tahoma"/>
            <family val="2"/>
          </rPr>
          <t xml:space="preserve"> &lt;[[TCDeals] - [Associated DEV Deal (Seq: 1)] - [Budget Initial (Seq: 1)] SC - Appraisal - Send]&gt;</t>
        </r>
      </text>
    </comment>
    <comment ref="C393" authorId="0" shapeId="0" xr:uid="{0CA7C2C0-5A7F-4A97-B3FD-4F72E8DC16F2}">
      <text>
        <r>
          <rPr>
            <b/>
            <sz val="9"/>
            <color indexed="81"/>
            <rFont val="Tahoma"/>
            <family val="2"/>
          </rPr>
          <t xml:space="preserve"> &lt;[[TCDeals] - [TC Property Current Stage (Seq: 1)] - [Actual Costs (Seq: 1)] Credit Enhancement - Send]&gt;</t>
        </r>
      </text>
    </comment>
    <comment ref="D393" authorId="0" shapeId="0" xr:uid="{E091A124-2801-4F18-96E0-F0CE6D5E864B}">
      <text>
        <r>
          <rPr>
            <b/>
            <sz val="9"/>
            <color indexed="81"/>
            <rFont val="Tahoma"/>
            <family val="2"/>
          </rPr>
          <t xml:space="preserve"> &lt;[[TCDeals] - [TC Property Current Stage (Seq: 1)] - [4% Construction Costs (Seq: 1)] Credit Enhancement - Send]&gt;</t>
        </r>
      </text>
    </comment>
    <comment ref="E393" authorId="0" shapeId="0" xr:uid="{7E62C6A6-91B5-4C68-B1A9-F2A69AB8511D}">
      <text>
        <r>
          <rPr>
            <b/>
            <sz val="9"/>
            <color indexed="81"/>
            <rFont val="Tahoma"/>
            <family val="2"/>
          </rPr>
          <t xml:space="preserve"> &lt;[[TCDeals] - [TC Property Current Stage (Seq: 1)] - [9% Construction Costs (Seq: 1)] Credit Enhancement - Send]&gt;</t>
        </r>
      </text>
    </comment>
    <comment ref="F393" authorId="0" shapeId="0" xr:uid="{4D7222CD-5FD8-4765-8228-B0C54A3DEC7A}">
      <text>
        <r>
          <rPr>
            <b/>
            <sz val="9"/>
            <color indexed="81"/>
            <rFont val="Tahoma"/>
            <family val="2"/>
          </rPr>
          <t xml:space="preserve"> &lt;[[TCDeals] - [TC Property Current Stage (Seq: 1)] - [State LIHTC Property Costs (Seq: 1)] Credit Enhancement - Send]&gt;</t>
        </r>
      </text>
    </comment>
    <comment ref="AC393" authorId="0" shapeId="0" xr:uid="{28F41BD2-887E-4B94-B9CC-C2F105A1ED35}">
      <text>
        <r>
          <rPr>
            <b/>
            <sz val="9"/>
            <color indexed="81"/>
            <rFont val="Tahoma"/>
            <family val="2"/>
          </rPr>
          <t xml:space="preserve"> &lt;[[TCDeals] - [Associated DEV Deal (Seq: 1)] - [Budget Initial (Seq: 1)] SC - Market Study - Send]&gt;</t>
        </r>
      </text>
    </comment>
    <comment ref="C394" authorId="0" shapeId="0" xr:uid="{2AA3902E-A759-4092-B368-ECFBF1356FD2}">
      <text>
        <r>
          <rPr>
            <b/>
            <sz val="9"/>
            <color indexed="81"/>
            <rFont val="Tahoma"/>
            <family val="2"/>
          </rPr>
          <t xml:space="preserve"> &lt;[[TCDeals] - [TC Property Current Stage (Seq: 1)] - [Actual Costs (Seq: 1)] Taxes Construction - Send]&gt;</t>
        </r>
      </text>
    </comment>
    <comment ref="D394" authorId="0" shapeId="0" xr:uid="{312224D9-068E-41F2-B93A-01C8CDE24824}">
      <text>
        <r>
          <rPr>
            <b/>
            <sz val="9"/>
            <color indexed="81"/>
            <rFont val="Tahoma"/>
            <family val="2"/>
          </rPr>
          <t xml:space="preserve"> &lt;[[TCDeals] - [TC Property Current Stage (Seq: 1)] - [4% Construction Costs (Seq: 1)] Taxes Construction - Send]&gt;</t>
        </r>
      </text>
    </comment>
    <comment ref="E394" authorId="0" shapeId="0" xr:uid="{E000C4A1-113D-4C8E-8DC2-47B54AFD7585}">
      <text>
        <r>
          <rPr>
            <b/>
            <sz val="9"/>
            <color indexed="81"/>
            <rFont val="Tahoma"/>
            <family val="2"/>
          </rPr>
          <t xml:space="preserve"> &lt;[[TCDeals] - [TC Property Current Stage (Seq: 1)] - [9% Construction Costs (Seq: 1)] Taxes Construction - Send]&gt;</t>
        </r>
      </text>
    </comment>
    <comment ref="F394" authorId="0" shapeId="0" xr:uid="{BB97D66C-875C-40AA-949F-DA0F51A2305B}">
      <text>
        <r>
          <rPr>
            <b/>
            <sz val="9"/>
            <color indexed="81"/>
            <rFont val="Tahoma"/>
            <family val="2"/>
          </rPr>
          <t xml:space="preserve"> &lt;[[TCDeals] - [TC Property Current Stage (Seq: 1)] - [State LIHTC Property Costs (Seq: 1)] Taxesduring Constr - Send]&gt;</t>
        </r>
      </text>
    </comment>
    <comment ref="AC394" authorId="0" shapeId="0" xr:uid="{1605F701-CECE-47B9-B4D2-E56875777365}">
      <text>
        <r>
          <rPr>
            <b/>
            <sz val="9"/>
            <color indexed="81"/>
            <rFont val="Tahoma"/>
            <family val="2"/>
          </rPr>
          <t xml:space="preserve"> &lt;[[TCDeals] - [Associated DEV Deal (Seq: 1)] - [Budget Initial (Seq: 1)] SC - Property Reports - Send]&gt;</t>
        </r>
      </text>
    </comment>
    <comment ref="C395" authorId="0" shapeId="0" xr:uid="{74515FCE-0D6A-4875-8159-D7DCA2952BD3}">
      <text>
        <r>
          <rPr>
            <b/>
            <sz val="9"/>
            <color indexed="81"/>
            <rFont val="Tahoma"/>
            <family val="2"/>
          </rPr>
          <t xml:space="preserve"> &lt;[[TCDeals] - [TC Property Current Stage (Seq: 1)] - [Actual Costs (Seq: 1)] Title And Recording - Send]&gt;</t>
        </r>
      </text>
    </comment>
    <comment ref="D395" authorId="0" shapeId="0" xr:uid="{9E3976FC-EB2B-4DBC-9DBF-18DA21EE009F}">
      <text>
        <r>
          <rPr>
            <b/>
            <sz val="9"/>
            <color indexed="81"/>
            <rFont val="Tahoma"/>
            <family val="2"/>
          </rPr>
          <t xml:space="preserve"> &lt;[[TCDeals] - [TC Property Current Stage (Seq: 1)] - [4% Construction Costs (Seq: 1)] Title And Recording - Send]&gt;</t>
        </r>
      </text>
    </comment>
    <comment ref="E395" authorId="0" shapeId="0" xr:uid="{2538A60B-1D8A-493D-AEE8-21FAA3D4B7FE}">
      <text>
        <r>
          <rPr>
            <b/>
            <sz val="9"/>
            <color indexed="81"/>
            <rFont val="Tahoma"/>
            <family val="2"/>
          </rPr>
          <t xml:space="preserve"> &lt;[[TCDeals] - [TC Property Current Stage (Seq: 1)] - [9% Construction Costs (Seq: 1)] Title And Recording - Send]&gt;</t>
        </r>
      </text>
    </comment>
    <comment ref="F395" authorId="0" shapeId="0" xr:uid="{83A7860D-EE8C-4B12-9870-97105CD37704}">
      <text>
        <r>
          <rPr>
            <b/>
            <sz val="9"/>
            <color indexed="81"/>
            <rFont val="Tahoma"/>
            <family val="2"/>
          </rPr>
          <t xml:space="preserve"> &lt;[[TCDeals] - [TC Property Current Stage (Seq: 1)] - [State LIHTC Property Costs (Seq: 1)] Title And Recording - Send]&gt;</t>
        </r>
      </text>
    </comment>
    <comment ref="AC395" authorId="0" shapeId="0" xr:uid="{E625760C-ADBD-4A99-8841-B796761CDC5D}">
      <text>
        <r>
          <rPr>
            <b/>
            <sz val="9"/>
            <color indexed="81"/>
            <rFont val="Tahoma"/>
            <family val="2"/>
          </rPr>
          <t xml:space="preserve"> &lt;[[TCDeals] - [Associated DEV Deal (Seq: 1)] - [Budget Initial (Seq: 1)] SC - Environmental - Send]&gt;</t>
        </r>
      </text>
    </comment>
    <comment ref="C397" authorId="0" shapeId="0" xr:uid="{05F45386-10AB-48AE-9A89-B8BD817E5AA4}">
      <text>
        <r>
          <rPr>
            <b/>
            <sz val="9"/>
            <color indexed="81"/>
            <rFont val="Tahoma"/>
            <family val="2"/>
          </rPr>
          <t xml:space="preserve"> &lt;[[TCDeals] - [TC Property Current Stage (Seq: 1)] - [Actual Costs (Seq: 1)] Insurance Construction - Send]&gt;</t>
        </r>
      </text>
    </comment>
    <comment ref="D397" authorId="0" shapeId="0" xr:uid="{B85BFD42-D2DB-4DAF-A278-91679A27B404}">
      <text>
        <r>
          <rPr>
            <b/>
            <sz val="9"/>
            <color indexed="81"/>
            <rFont val="Tahoma"/>
            <family val="2"/>
          </rPr>
          <t xml:space="preserve"> &lt;[[TCDeals] - [TC Property Current Stage (Seq: 1)] - [4% Construction Costs (Seq: 1)] Insurance Construction - Send]&gt;</t>
        </r>
      </text>
    </comment>
    <comment ref="E397" authorId="0" shapeId="0" xr:uid="{BFE5040E-DFA1-4928-8716-BE14738B1AD7}">
      <text>
        <r>
          <rPr>
            <b/>
            <sz val="9"/>
            <color indexed="81"/>
            <rFont val="Tahoma"/>
            <family val="2"/>
          </rPr>
          <t xml:space="preserve"> &lt;[[TCDeals] - [TC Property Current Stage (Seq: 1)] - [9% Construction Costs (Seq: 1)] Insurance Construction - Send]&gt;</t>
        </r>
      </text>
    </comment>
    <comment ref="F397" authorId="0" shapeId="0" xr:uid="{B735306C-05AE-4990-96E6-3E0CC6238005}">
      <text>
        <r>
          <rPr>
            <b/>
            <sz val="9"/>
            <color indexed="81"/>
            <rFont val="Tahoma"/>
            <family val="2"/>
          </rPr>
          <t xml:space="preserve"> &lt;[[TCDeals] - [TC Property Current Stage (Seq: 1)] - [State LIHTC Property Costs (Seq: 1)] Insuranceduring Constr - Send]&gt;</t>
        </r>
      </text>
    </comment>
    <comment ref="AC397" authorId="0" shapeId="0" xr:uid="{6A596890-22F8-4B9A-857D-9070F97EAC09}">
      <text>
        <r>
          <rPr>
            <b/>
            <sz val="9"/>
            <color indexed="81"/>
            <rFont val="Tahoma"/>
            <family val="2"/>
          </rPr>
          <t xml:space="preserve"> &lt;[[TCDeals] - [Associated DEV Deal (Seq: 1)] - [Budget Initial (Seq: 1)] SC - Tax Credit Fee - Send]&gt;</t>
        </r>
      </text>
    </comment>
    <comment ref="C400" authorId="0" shapeId="0" xr:uid="{8C3DA650-BCD6-4B91-B7F2-C200A601ECFA}">
      <text>
        <r>
          <rPr>
            <b/>
            <sz val="9"/>
            <color indexed="81"/>
            <rFont val="Tahoma"/>
            <family val="2"/>
          </rPr>
          <t xml:space="preserve"> &lt;[[TCDeals] - [TC Property Current Stage (Seq: 1)] - [Actual Costs (Seq: 1)] Actual Addl Cost 12 - Send]&gt;</t>
        </r>
      </text>
    </comment>
    <comment ref="D400" authorId="0" shapeId="0" xr:uid="{64605091-D28A-4292-B330-6B39889A5060}">
      <text>
        <r>
          <rPr>
            <b/>
            <sz val="9"/>
            <color indexed="81"/>
            <rFont val="Tahoma"/>
            <family val="2"/>
          </rPr>
          <t xml:space="preserve"> &lt;[[TCDeals] - [TC Property Current Stage (Seq: 1)] - [4% Construction Costs (Seq: 1)] Rehab Addl Cost 12 - Send]&gt;</t>
        </r>
      </text>
    </comment>
    <comment ref="E400" authorId="0" shapeId="0" xr:uid="{E9FD4955-BCCC-4391-966F-21AD3AE1FC0E}">
      <text>
        <r>
          <rPr>
            <b/>
            <sz val="9"/>
            <color indexed="81"/>
            <rFont val="Tahoma"/>
            <family val="2"/>
          </rPr>
          <t xml:space="preserve"> &lt;[[TCDeals] - [TC Property Current Stage (Seq: 1)] - [9% Construction Costs (Seq: 1)] PVC Addl Cost 12 - Send]&gt;</t>
        </r>
      </text>
    </comment>
    <comment ref="F400" authorId="0" shapeId="0" xr:uid="{010AB0D3-23A3-4346-8D35-4FADC465DFA7}">
      <text>
        <r>
          <rPr>
            <b/>
            <sz val="9"/>
            <color indexed="81"/>
            <rFont val="Tahoma"/>
            <family val="2"/>
          </rPr>
          <t xml:space="preserve"> &lt;[[TCDeals] - [TC Property Current Stage (Seq: 1)] - [State LIHTC Property Costs (Seq: 1)] Additional Costs12 - Send]&gt;</t>
        </r>
      </text>
    </comment>
    <comment ref="AC400" authorId="0" shapeId="0" xr:uid="{41524A84-4722-4A50-827A-8DC477F66D45}">
      <text>
        <r>
          <rPr>
            <b/>
            <sz val="9"/>
            <color indexed="81"/>
            <rFont val="Tahoma"/>
            <family val="2"/>
          </rPr>
          <t xml:space="preserve"> &lt;[[TCDeals] - [Associated DEV Deal (Seq: 1)] - [Budget Initial (Seq: 1)] SC - Tap Fees - Send]&gt;</t>
        </r>
      </text>
    </comment>
    <comment ref="C401" authorId="0" shapeId="0" xr:uid="{0C8CAA91-5AE5-4B64-BF62-9D627922B85A}">
      <text>
        <r>
          <rPr>
            <b/>
            <sz val="9"/>
            <color indexed="81"/>
            <rFont val="Tahoma"/>
            <family val="2"/>
          </rPr>
          <t xml:space="preserve"> &lt;[[TCDeals] - [TC Property Current Stage (Seq: 1)] - [Actual Costs (Seq: 1)] Actual Addl Cost 11 - Send]&gt;</t>
        </r>
      </text>
    </comment>
    <comment ref="D401" authorId="0" shapeId="0" xr:uid="{C7761E1F-23A2-4ECA-A5E7-04961E26E086}">
      <text>
        <r>
          <rPr>
            <b/>
            <sz val="9"/>
            <color indexed="81"/>
            <rFont val="Tahoma"/>
            <family val="2"/>
          </rPr>
          <t xml:space="preserve"> &lt;[[TCDeals] - [TC Property Current Stage (Seq: 1)] - [4% Construction Costs (Seq: 1)] Rehab Addl Cost 11 - Send]&gt;</t>
        </r>
      </text>
    </comment>
    <comment ref="E401" authorId="0" shapeId="0" xr:uid="{FE4B9E10-D8C7-4BE5-83B9-02EA537EC601}">
      <text>
        <r>
          <rPr>
            <b/>
            <sz val="9"/>
            <color indexed="81"/>
            <rFont val="Tahoma"/>
            <family val="2"/>
          </rPr>
          <t xml:space="preserve"> &lt;[[TCDeals] - [TC Property Current Stage (Seq: 1)] - [9% Construction Costs (Seq: 1)] PVC Addl Cost 11 - Send]&gt;</t>
        </r>
      </text>
    </comment>
    <comment ref="F401" authorId="0" shapeId="0" xr:uid="{D6EE5D2F-1119-489A-9B04-89978AB41089}">
      <text>
        <r>
          <rPr>
            <b/>
            <sz val="9"/>
            <color indexed="81"/>
            <rFont val="Tahoma"/>
            <family val="2"/>
          </rPr>
          <t xml:space="preserve"> &lt;[[TCDeals] - [TC Property Current Stage (Seq: 1)] - [State LIHTC Property Costs (Seq: 1)] Additional Costs11 - Send]&gt;</t>
        </r>
      </text>
    </comment>
    <comment ref="AC401" authorId="0" shapeId="0" xr:uid="{048E3FC9-F90D-4776-BF89-19B68D5C81E7}">
      <text>
        <r>
          <rPr>
            <b/>
            <sz val="9"/>
            <color indexed="81"/>
            <rFont val="Tahoma"/>
            <family val="2"/>
          </rPr>
          <t xml:space="preserve"> &lt;[[TCDeals] - [Associated DEV Deal (Seq: 1)] - [Budget Initial (Seq: 1)] SC - Certification - Send]&gt;</t>
        </r>
      </text>
    </comment>
    <comment ref="C402" authorId="0" shapeId="0" xr:uid="{4E0763C9-D308-4A11-B664-E94431325564}">
      <text>
        <r>
          <rPr>
            <b/>
            <sz val="9"/>
            <color indexed="81"/>
            <rFont val="Tahoma"/>
            <family val="2"/>
          </rPr>
          <t xml:space="preserve"> &lt;[[TCDeals] - [TC Property Current Stage (Seq: 1)] - [Actual Costs (Seq: 1)] Other Construction2 - Send]&gt;</t>
        </r>
      </text>
    </comment>
    <comment ref="D402" authorId="0" shapeId="0" xr:uid="{84FA0E56-4808-406E-80D9-69E9D20D3780}">
      <text>
        <r>
          <rPr>
            <b/>
            <sz val="9"/>
            <color indexed="81"/>
            <rFont val="Tahoma"/>
            <family val="2"/>
          </rPr>
          <t xml:space="preserve"> &lt;[[TCDeals] - [TC Property Current Stage (Seq: 1)] - [4% Construction Costs (Seq: 1)] Other Construction2 - Send]&gt;</t>
        </r>
      </text>
    </comment>
    <comment ref="E402" authorId="0" shapeId="0" xr:uid="{44FC0653-9C3E-4E97-9F8B-29D20CF0D43D}">
      <text>
        <r>
          <rPr>
            <b/>
            <sz val="9"/>
            <color indexed="81"/>
            <rFont val="Tahoma"/>
            <family val="2"/>
          </rPr>
          <t xml:space="preserve"> &lt;[[TCDeals] - [TC Property Current Stage (Seq: 1)] - [9% Construction Costs (Seq: 1)] Other Construction2 - Send]&gt;</t>
        </r>
      </text>
    </comment>
    <comment ref="F402" authorId="0" shapeId="0" xr:uid="{A185526D-E15F-418E-8DEA-EBBBE5ABDBC4}">
      <text>
        <r>
          <rPr>
            <b/>
            <sz val="9"/>
            <color indexed="81"/>
            <rFont val="Tahoma"/>
            <family val="2"/>
          </rPr>
          <t xml:space="preserve"> &lt;[[TCDeals] - [TC Property Current Stage (Seq: 1)] - [State LIHTC Property Costs (Seq: 1)] Other Construction2 - Send]&gt;</t>
        </r>
      </text>
    </comment>
    <comment ref="AC402" authorId="0" shapeId="0" xr:uid="{696F3274-88C5-46C6-9A4D-1407235BE931}">
      <text>
        <r>
          <rPr>
            <b/>
            <sz val="9"/>
            <color indexed="81"/>
            <rFont val="Tahoma"/>
            <family val="2"/>
          </rPr>
          <t xml:space="preserve"> &lt;[[TCDeals] - [Associated DEV Deal (Seq: 1)] - [Budget Initial (Seq: 1)] SC - Mrkt Gen Lease Up - Send]&gt;</t>
        </r>
      </text>
    </comment>
    <comment ref="AC403" authorId="0" shapeId="0" xr:uid="{994049D4-FA6D-47B9-B0C2-7E3272A76039}">
      <text>
        <r>
          <rPr>
            <b/>
            <sz val="9"/>
            <color indexed="81"/>
            <rFont val="Tahoma"/>
            <family val="2"/>
          </rPr>
          <t xml:space="preserve"> &lt;[[TCDeals] - [Associated DEV Deal (Seq: 1)] - [Budget Initial (Seq: 1)] SC - Other8 - Send]&gt;</t>
        </r>
      </text>
    </comment>
    <comment ref="AE403" authorId="0" shapeId="0" xr:uid="{D1F41513-A346-4950-8430-B676DAA76341}">
      <text>
        <r>
          <rPr>
            <b/>
            <sz val="9"/>
            <color indexed="81"/>
            <rFont val="Tahoma"/>
            <family val="2"/>
          </rPr>
          <t xml:space="preserve"> &lt;[[TCDeals] - [Associated DEV Deal (Seq: 1)] - [Budget Initial (Seq: 1)] SC - Other8 Comments - Send]&gt;</t>
        </r>
      </text>
    </comment>
    <comment ref="AC404" authorId="0" shapeId="0" xr:uid="{22DBA266-629F-4880-AC82-34652BCABF41}">
      <text>
        <r>
          <rPr>
            <b/>
            <sz val="9"/>
            <color indexed="81"/>
            <rFont val="Tahoma"/>
            <family val="2"/>
          </rPr>
          <t xml:space="preserve"> &lt;[[TCDeals] - [Associated DEV Deal (Seq: 1)] - [Budget Initial (Seq: 1)] SC - Miscellaneous - Send]&gt;</t>
        </r>
      </text>
    </comment>
    <comment ref="AC406" authorId="0" shapeId="0" xr:uid="{010E0FA2-B74A-4493-9FA8-136FD18E9E05}">
      <text>
        <r>
          <rPr>
            <b/>
            <sz val="9"/>
            <color indexed="81"/>
            <rFont val="Tahoma"/>
            <family val="2"/>
          </rPr>
          <t xml:space="preserve"> &lt;[[TCDeals] - [Associated DEV Deal (Seq: 1)] - [Budget Initial (Seq: 1)] SC - Development Mgt - Send]&gt;</t>
        </r>
      </text>
    </comment>
    <comment ref="C407" authorId="0" shapeId="0" xr:uid="{304247E2-3053-4B2C-BDD5-CB377D5C5D01}">
      <text>
        <r>
          <rPr>
            <b/>
            <sz val="9"/>
            <color indexed="81"/>
            <rFont val="Tahoma"/>
            <family val="2"/>
          </rPr>
          <t xml:space="preserve"> &lt;[[TCDeals] - [TC Property Current Stage (Seq: 1)] - [Actual Costs (Seq: 1)] Perm Loan Fee - Send]&gt;</t>
        </r>
      </text>
    </comment>
    <comment ref="AC407" authorId="0" shapeId="0" xr:uid="{D6D349F4-8619-4813-B5EF-5342A0F944B8}">
      <text>
        <r>
          <rPr>
            <b/>
            <sz val="9"/>
            <color indexed="81"/>
            <rFont val="Tahoma"/>
            <family val="2"/>
          </rPr>
          <t xml:space="preserve"> &lt;[[TCDeals] - [Associated DEV Deal (Seq: 1)] - [Budget Initial (Seq: 1)] SC - Other9 - Send]&gt;</t>
        </r>
      </text>
    </comment>
    <comment ref="AE407" authorId="0" shapeId="0" xr:uid="{498019A2-DF72-43F5-B316-A627A9B210AD}">
      <text>
        <r>
          <rPr>
            <b/>
            <sz val="9"/>
            <color indexed="81"/>
            <rFont val="Tahoma"/>
            <family val="2"/>
          </rPr>
          <t xml:space="preserve"> &lt;[[TCDeals] - [Associated DEV Deal (Seq: 1)] - [Budget Initial (Seq: 1)] SC - Other9 Comments - Send]&gt;</t>
        </r>
      </text>
    </comment>
    <comment ref="C408" authorId="0" shapeId="0" xr:uid="{57AEE7CA-F6B5-421C-BAF0-8E0FB141CE5A}">
      <text>
        <r>
          <rPr>
            <b/>
            <sz val="9"/>
            <color indexed="81"/>
            <rFont val="Tahoma"/>
            <family val="2"/>
          </rPr>
          <t xml:space="preserve"> &lt;[[TCDeals] - [TC Property Current Stage (Seq: 1)] - [Actual Costs (Seq: 1)] Actual Addl Cost 7 - Send]&gt;</t>
        </r>
      </text>
    </comment>
    <comment ref="AC409" authorId="0" shapeId="0" xr:uid="{02FC4EEC-253D-49B2-9917-145B8298BBFB}">
      <text>
        <r>
          <rPr>
            <b/>
            <sz val="9"/>
            <color indexed="81"/>
            <rFont val="Tahoma"/>
            <family val="2"/>
          </rPr>
          <t xml:space="preserve"> &lt;[[TCDeals] - [Associated DEV Deal (Seq: 1)] - [Budget Initial (Seq: 1)] SC - Consultants - Send]&gt;</t>
        </r>
      </text>
    </comment>
    <comment ref="C411" authorId="0" shapeId="0" xr:uid="{FEF7564F-41B6-4BA4-AEA1-05D247BE531B}">
      <text>
        <r>
          <rPr>
            <b/>
            <sz val="9"/>
            <color indexed="81"/>
            <rFont val="Tahoma"/>
            <family val="2"/>
          </rPr>
          <t xml:space="preserve"> &lt;[[TCDeals] - [TC Property Current Stage (Seq: 1)] - [Actual Costs (Seq: 1)] Other Perm Loan Fees - Send]&gt;</t>
        </r>
      </text>
    </comment>
    <comment ref="C414" authorId="0" shapeId="0" xr:uid="{13012536-347D-4492-ADA1-395D1F005CC2}">
      <text>
        <r>
          <rPr>
            <b/>
            <sz val="9"/>
            <color indexed="81"/>
            <rFont val="Tahoma"/>
            <family val="2"/>
          </rPr>
          <t xml:space="preserve"> &lt;[[TCDeals] - [TC Property Current Stage (Seq: 1)] - [Actual Costs (Seq: 1)] Actual Addl Cost 14 - Send]&gt;</t>
        </r>
      </text>
    </comment>
    <comment ref="D414" authorId="0" shapeId="0" xr:uid="{199AFA5F-4501-472A-A129-3292D535987A}">
      <text>
        <r>
          <rPr>
            <b/>
            <sz val="9"/>
            <color indexed="81"/>
            <rFont val="Tahoma"/>
            <family val="2"/>
          </rPr>
          <t xml:space="preserve"> &lt;[[TCDeals] - [TC Property Current Stage (Seq: 1)] - [4% Construction Costs (Seq: 1)] Rehab Addl Cost 14 - Send]&gt;</t>
        </r>
      </text>
    </comment>
    <comment ref="E414" authorId="0" shapeId="0" xr:uid="{69186C20-8014-4046-B32D-2981B772689C}">
      <text>
        <r>
          <rPr>
            <b/>
            <sz val="9"/>
            <color indexed="81"/>
            <rFont val="Tahoma"/>
            <family val="2"/>
          </rPr>
          <t xml:space="preserve"> &lt;[[TCDeals] - [TC Property Current Stage (Seq: 1)] - [9% Construction Costs (Seq: 1)] PVC Addl Cost 14 - Send]&gt;</t>
        </r>
      </text>
    </comment>
    <comment ref="F414" authorId="0" shapeId="0" xr:uid="{E2BCB662-7A53-4469-AD09-4638FE6BCB84}">
      <text>
        <r>
          <rPr>
            <b/>
            <sz val="9"/>
            <color indexed="81"/>
            <rFont val="Tahoma"/>
            <family val="2"/>
          </rPr>
          <t xml:space="preserve"> &lt;[[TCDeals] - [TC Property Current Stage (Seq: 1)] - [State LIHTC Property Costs (Seq: 1)] Additional Costs14 - Send]&gt;</t>
        </r>
      </text>
    </comment>
    <comment ref="C415" authorId="0" shapeId="0" xr:uid="{BA9F2215-6D04-4C4E-9F25-53237BF638C1}">
      <text>
        <r>
          <rPr>
            <b/>
            <sz val="9"/>
            <color indexed="81"/>
            <rFont val="Tahoma"/>
            <family val="2"/>
          </rPr>
          <t xml:space="preserve"> &lt;[[TCDeals] - [TC Property Current Stage (Seq: 1)] - [Actual Costs (Seq: 1)] Actual Addl Cost 8 - Send]&gt;</t>
        </r>
      </text>
    </comment>
    <comment ref="D415" authorId="0" shapeId="0" xr:uid="{79EBF650-BCAB-4F59-99B6-FC8E1777963E}">
      <text>
        <r>
          <rPr>
            <b/>
            <sz val="9"/>
            <color indexed="81"/>
            <rFont val="Tahoma"/>
            <family val="2"/>
          </rPr>
          <t xml:space="preserve"> &lt;[[TCDeals] - [TC Property Current Stage (Seq: 1)] - [4% Construction Costs (Seq: 1)] Rehab Addl Cost 8 - Send]&gt;</t>
        </r>
      </text>
    </comment>
    <comment ref="E415" authorId="0" shapeId="0" xr:uid="{0D625DA4-C507-46EF-8B42-125DF48B12F9}">
      <text>
        <r>
          <rPr>
            <b/>
            <sz val="9"/>
            <color indexed="81"/>
            <rFont val="Tahoma"/>
            <family val="2"/>
          </rPr>
          <t xml:space="preserve"> &lt;[[TCDeals] - [TC Property Current Stage (Seq: 1)] - [9% Construction Costs (Seq: 1)] PVC Addl Cost 8 - Send]&gt;</t>
        </r>
      </text>
    </comment>
    <comment ref="F415" authorId="0" shapeId="0" xr:uid="{3E53F69D-A3DE-4FE4-AF4A-EC2C87A96BBA}">
      <text>
        <r>
          <rPr>
            <b/>
            <sz val="9"/>
            <color indexed="81"/>
            <rFont val="Tahoma"/>
            <family val="2"/>
          </rPr>
          <t xml:space="preserve"> &lt;[[TCDeals] - [TC Property Current Stage (Seq: 1)] - [State LIHTC Property Costs (Seq: 1)] Additional Costs8 - Send]&gt;</t>
        </r>
      </text>
    </comment>
    <comment ref="C418" authorId="0" shapeId="0" xr:uid="{7F2EEAA9-0B83-4C3C-9643-3CAEAD07910A}">
      <text>
        <r>
          <rPr>
            <b/>
            <sz val="9"/>
            <color indexed="81"/>
            <rFont val="Tahoma"/>
            <family val="2"/>
          </rPr>
          <t xml:space="preserve"> &lt;[[TCDeals] - [TC Property Current Stage (Seq: 1)] - [Actual Costs (Seq: 1)] Arch Engin Design Fee - Send]&gt;</t>
        </r>
      </text>
    </comment>
    <comment ref="D418" authorId="0" shapeId="0" xr:uid="{C8ADD652-EE95-438E-A547-BE6F229F8ACC}">
      <text>
        <r>
          <rPr>
            <b/>
            <sz val="9"/>
            <color indexed="81"/>
            <rFont val="Tahoma"/>
            <family val="2"/>
          </rPr>
          <t xml:space="preserve"> &lt;[[TCDeals] - [TC Property Current Stage (Seq: 1)] - [4% Construction Costs (Seq: 1)] Arch Engin Design Fee - Send]&gt;</t>
        </r>
      </text>
    </comment>
    <comment ref="E418" authorId="0" shapeId="0" xr:uid="{0E20F4D8-A685-4284-9F12-5D258080ABE5}">
      <text>
        <r>
          <rPr>
            <b/>
            <sz val="9"/>
            <color indexed="81"/>
            <rFont val="Tahoma"/>
            <family val="2"/>
          </rPr>
          <t xml:space="preserve"> &lt;[[TCDeals] - [TC Property Current Stage (Seq: 1)] - [9% Construction Costs (Seq: 1)] Arch Engin Design Fee - Send]&gt;</t>
        </r>
      </text>
    </comment>
    <comment ref="F418" authorId="0" shapeId="0" xr:uid="{B4DE6C09-8729-4F5D-9216-7CE7D7990FFE}">
      <text>
        <r>
          <rPr>
            <b/>
            <sz val="9"/>
            <color indexed="81"/>
            <rFont val="Tahoma"/>
            <family val="2"/>
          </rPr>
          <t xml:space="preserve"> &lt;[[TCDeals] - [TC Property Current Stage (Seq: 1)] - [State LIHTC Property Costs (Seq: 1)] Arch Engin Design Fee - Send]&gt;</t>
        </r>
      </text>
    </comment>
    <comment ref="C419" authorId="0" shapeId="0" xr:uid="{F67F9755-BB81-491C-A5F9-11C213C13A1B}">
      <text>
        <r>
          <rPr>
            <b/>
            <sz val="9"/>
            <color indexed="81"/>
            <rFont val="Tahoma"/>
            <family val="2"/>
          </rPr>
          <t xml:space="preserve"> &lt;[[TCDeals] - [TC Property Current Stage (Seq: 1)] - [Actual Costs (Seq: 1)] Arch Supervision Fee - Send]&gt;</t>
        </r>
      </text>
    </comment>
    <comment ref="D419" authorId="0" shapeId="0" xr:uid="{298C8E02-B134-4DBA-A49B-B9DD62E45ED0}">
      <text>
        <r>
          <rPr>
            <b/>
            <sz val="9"/>
            <color indexed="81"/>
            <rFont val="Tahoma"/>
            <family val="2"/>
          </rPr>
          <t xml:space="preserve"> &lt;[[TCDeals] - [TC Property Current Stage (Seq: 1)] - [4% Construction Costs (Seq: 1)] Arch Supervision Fee - Send]&gt;</t>
        </r>
      </text>
    </comment>
    <comment ref="E419" authorId="0" shapeId="0" xr:uid="{BB1D0B03-8E87-4FE6-BD21-B270C2D9C187}">
      <text>
        <r>
          <rPr>
            <b/>
            <sz val="9"/>
            <color indexed="81"/>
            <rFont val="Tahoma"/>
            <family val="2"/>
          </rPr>
          <t xml:space="preserve"> &lt;[[TCDeals] - [TC Property Current Stage (Seq: 1)] - [9% Construction Costs (Seq: 1)] Arch Supervision Fee - Send]&gt;</t>
        </r>
      </text>
    </comment>
    <comment ref="F419" authorId="0" shapeId="0" xr:uid="{FD2BAD0D-1D75-4E32-A3D3-7A585E572EBD}">
      <text>
        <r>
          <rPr>
            <b/>
            <sz val="9"/>
            <color indexed="81"/>
            <rFont val="Tahoma"/>
            <family val="2"/>
          </rPr>
          <t xml:space="preserve"> &lt;[[TCDeals] - [TC Property Current Stage (Seq: 1)] - [State LIHTC Property Costs (Seq: 1)] Arch Supervision Fee - Send]&gt;</t>
        </r>
      </text>
    </comment>
    <comment ref="C420" authorId="0" shapeId="0" xr:uid="{6F6E3DD7-0F73-45CE-B53E-CAF8FC71AFB5}">
      <text>
        <r>
          <rPr>
            <b/>
            <sz val="9"/>
            <color indexed="81"/>
            <rFont val="Tahoma"/>
            <family val="2"/>
          </rPr>
          <t xml:space="preserve"> &lt;[[TCDeals] - [TC Property Current Stage (Seq: 1)] - [Actual Costs (Seq: 1)] Engineering - Send]&gt;</t>
        </r>
      </text>
    </comment>
    <comment ref="D420" authorId="0" shapeId="0" xr:uid="{C5C154AD-28DC-4503-BDC7-247C0D14FF78}">
      <text>
        <r>
          <rPr>
            <b/>
            <sz val="9"/>
            <color indexed="81"/>
            <rFont val="Tahoma"/>
            <family val="2"/>
          </rPr>
          <t xml:space="preserve"> &lt;[[TCDeals] - [TC Property Current Stage (Seq: 1)] - [4% Construction Costs (Seq: 1)] Engineering - Send]&gt;</t>
        </r>
      </text>
    </comment>
    <comment ref="E420" authorId="0" shapeId="0" xr:uid="{9C7C05C4-116A-42CA-B47D-A8E31CFB5F3F}">
      <text>
        <r>
          <rPr>
            <b/>
            <sz val="9"/>
            <color indexed="81"/>
            <rFont val="Tahoma"/>
            <family val="2"/>
          </rPr>
          <t xml:space="preserve"> &lt;[[TCDeals] - [TC Property Current Stage (Seq: 1)] - [9% Construction Costs (Seq: 1)] Engineering - Send]&gt;</t>
        </r>
      </text>
    </comment>
    <comment ref="F420" authorId="0" shapeId="0" xr:uid="{080EC1FF-F301-423A-8960-FE7D629F95EB}">
      <text>
        <r>
          <rPr>
            <b/>
            <sz val="9"/>
            <color indexed="81"/>
            <rFont val="Tahoma"/>
            <family val="2"/>
          </rPr>
          <t xml:space="preserve"> &lt;[[TCDeals] - [TC Property Current Stage (Seq: 1)] - [State LIHTC Property Costs (Seq: 1)] Engineering - Send]&gt;</t>
        </r>
      </text>
    </comment>
    <comment ref="C421" authorId="0" shapeId="0" xr:uid="{FE589F11-2323-4501-B1BE-B0DB17F99967}">
      <text>
        <r>
          <rPr>
            <b/>
            <sz val="9"/>
            <color indexed="81"/>
            <rFont val="Tahoma"/>
            <family val="2"/>
          </rPr>
          <t xml:space="preserve"> &lt;[[TCDeals] - [TC Property Current Stage (Seq: 1)] - [Actual Costs (Seq: 1)] Actual Addl Cost 9 - Send]&gt;</t>
        </r>
      </text>
    </comment>
    <comment ref="D421" authorId="0" shapeId="0" xr:uid="{60F79CFC-6691-40B6-9287-F2CDB9FB6047}">
      <text>
        <r>
          <rPr>
            <b/>
            <sz val="9"/>
            <color indexed="81"/>
            <rFont val="Tahoma"/>
            <family val="2"/>
          </rPr>
          <t xml:space="preserve"> &lt;[[TCDeals] - [TC Property Current Stage (Seq: 1)] - [4% Construction Costs (Seq: 1)] Rehab Addl Cost 9 - Send]&gt;</t>
        </r>
      </text>
    </comment>
    <comment ref="E421" authorId="0" shapeId="0" xr:uid="{AA5E7D14-D9B2-4BE1-B238-E62E93678E9A}">
      <text>
        <r>
          <rPr>
            <b/>
            <sz val="9"/>
            <color indexed="81"/>
            <rFont val="Tahoma"/>
            <family val="2"/>
          </rPr>
          <t xml:space="preserve"> &lt;[[TCDeals] - [TC Property Current Stage (Seq: 1)] - [9% Construction Costs (Seq: 1)] PVC Addl Cost 9 - Send]&gt;</t>
        </r>
      </text>
    </comment>
    <comment ref="F421" authorId="0" shapeId="0" xr:uid="{EFB5193C-1D08-4351-8543-29AB39C0F6BA}">
      <text>
        <r>
          <rPr>
            <b/>
            <sz val="9"/>
            <color indexed="81"/>
            <rFont val="Tahoma"/>
            <family val="2"/>
          </rPr>
          <t xml:space="preserve"> &lt;[[TCDeals] - [TC Property Current Stage (Seq: 1)] - [State LIHTC Property Costs (Seq: 1)] Additional Costs9 - Send]&gt;</t>
        </r>
      </text>
    </comment>
    <comment ref="C422" authorId="0" shapeId="0" xr:uid="{6651EDA9-C8D1-4F40-A670-4BAF9B089D63}">
      <text>
        <r>
          <rPr>
            <b/>
            <sz val="9"/>
            <color indexed="81"/>
            <rFont val="Tahoma"/>
            <family val="2"/>
          </rPr>
          <t xml:space="preserve"> &lt;[[TCDeals] - [TC Property Current Stage (Seq: 1)] - [Actual Costs (Seq: 1)] Actual Addl Cost 3 - Send]&gt;</t>
        </r>
      </text>
    </comment>
    <comment ref="D422" authorId="0" shapeId="0" xr:uid="{D5A2B9A4-EBD7-4F51-9DDD-3B5334179E3F}">
      <text>
        <r>
          <rPr>
            <b/>
            <sz val="9"/>
            <color indexed="81"/>
            <rFont val="Tahoma"/>
            <family val="2"/>
          </rPr>
          <t xml:space="preserve"> &lt;[[TCDeals] - [TC Property Current Stage (Seq: 1)] - [4% Construction Costs (Seq: 1)] Rehab Addl Cost 3 - Send]&gt;</t>
        </r>
      </text>
    </comment>
    <comment ref="E422" authorId="0" shapeId="0" xr:uid="{DA5B72B7-79B2-4565-B775-1CB70AA37826}">
      <text>
        <r>
          <rPr>
            <b/>
            <sz val="9"/>
            <color indexed="81"/>
            <rFont val="Tahoma"/>
            <family val="2"/>
          </rPr>
          <t xml:space="preserve"> &lt;[[TCDeals] - [TC Property Current Stage (Seq: 1)] - [9% Construction Costs (Seq: 1)] PVC Addl Cost 3 - Send]&gt;</t>
        </r>
      </text>
    </comment>
    <comment ref="F422" authorId="0" shapeId="0" xr:uid="{7C1CD6E1-4774-4200-82CC-A101CDC9DA91}">
      <text>
        <r>
          <rPr>
            <b/>
            <sz val="9"/>
            <color indexed="81"/>
            <rFont val="Tahoma"/>
            <family val="2"/>
          </rPr>
          <t xml:space="preserve"> &lt;[[TCDeals] - [TC Property Current Stage (Seq: 1)] - [State LIHTC Property Costs (Seq: 1)] Additional Costs3 - Send]&gt;</t>
        </r>
      </text>
    </comment>
    <comment ref="C429" authorId="0" shapeId="0" xr:uid="{C9AAC15D-4B62-436D-9954-D8E2F3F7E987}">
      <text>
        <r>
          <rPr>
            <b/>
            <sz val="9"/>
            <color indexed="81"/>
            <rFont val="Tahoma"/>
            <family val="2"/>
          </rPr>
          <t xml:space="preserve"> &lt;[[TCDeals] - [TC Property Current Stage (Seq: 1)] - [Actual Costs (Seq: 1)] Actual Addl Cost 5 - Send]&gt;</t>
        </r>
      </text>
    </comment>
    <comment ref="C431" authorId="0" shapeId="0" xr:uid="{59B83D2F-6B5A-42BA-BE63-F6FC350F5C64}">
      <text>
        <r>
          <rPr>
            <b/>
            <sz val="9"/>
            <color indexed="81"/>
            <rFont val="Tahoma"/>
            <family val="2"/>
          </rPr>
          <t xml:space="preserve"> &lt;[[TCDeals] - [TC Property Current Stage (Seq: 1)] - [Actual Costs (Seq: 1)] Oper Reserve - Send]&gt;</t>
        </r>
      </text>
    </comment>
    <comment ref="D431" authorId="0" shapeId="0" xr:uid="{82D04139-7553-425F-B58F-D8699F519202}">
      <text>
        <r>
          <rPr>
            <b/>
            <sz val="9"/>
            <color indexed="81"/>
            <rFont val="Tahoma"/>
            <family val="2"/>
          </rPr>
          <t xml:space="preserve"> &lt;[[TCDeals] - [TC Property Current Stage (Seq: 1)] - [4% Construction Costs (Seq: 1)] Oper Reserve - Send]&gt;</t>
        </r>
      </text>
    </comment>
    <comment ref="E431" authorId="0" shapeId="0" xr:uid="{07724848-0B05-4592-B707-C0997E5AC968}">
      <text>
        <r>
          <rPr>
            <b/>
            <sz val="9"/>
            <color indexed="81"/>
            <rFont val="Tahoma"/>
            <family val="2"/>
          </rPr>
          <t xml:space="preserve"> &lt;[[TCDeals] - [TC Property Current Stage (Seq: 1)] - [9% Construction Costs (Seq: 1)] Oper Reserve - Send]&gt;</t>
        </r>
      </text>
    </comment>
    <comment ref="F431" authorId="0" shapeId="0" xr:uid="{EF3A7170-3215-48F0-A7F8-EA3F8A8E6307}">
      <text>
        <r>
          <rPr>
            <b/>
            <sz val="9"/>
            <color indexed="81"/>
            <rFont val="Tahoma"/>
            <family val="2"/>
          </rPr>
          <t xml:space="preserve"> &lt;[[TCDeals] - [TC Property Current Stage (Seq: 1)] - [State LIHTC Property Costs (Seq: 1)] Oper Reserve - Send]&gt;</t>
        </r>
      </text>
    </comment>
    <comment ref="C432" authorId="0" shapeId="0" xr:uid="{B9BF4FFC-FE88-4CA7-A63D-833E28DFEF7A}">
      <text>
        <r>
          <rPr>
            <b/>
            <sz val="9"/>
            <color indexed="81"/>
            <rFont val="Tahoma"/>
            <family val="2"/>
          </rPr>
          <t xml:space="preserve"> &lt;[[TCDeals] - [TC Property Current Stage (Seq: 1)] - [Actual Costs (Seq: 1)] Actual Addl Cost 19 - Send]&gt;</t>
        </r>
      </text>
    </comment>
    <comment ref="D432" authorId="0" shapeId="0" xr:uid="{29DFD9B9-A162-4F17-A77B-25B09555A619}">
      <text>
        <r>
          <rPr>
            <b/>
            <sz val="9"/>
            <color indexed="81"/>
            <rFont val="Tahoma"/>
            <family val="2"/>
          </rPr>
          <t xml:space="preserve"> &lt;[[TCDeals] - [TC Property Current Stage (Seq: 1)] - [4% Construction Costs (Seq: 1)] Rehab Addl Cost 19 - Send]&gt;</t>
        </r>
      </text>
    </comment>
    <comment ref="E432" authorId="0" shapeId="0" xr:uid="{840F7A1F-DC9E-40EC-B43D-4E9A4B655BFA}">
      <text>
        <r>
          <rPr>
            <b/>
            <sz val="9"/>
            <color indexed="81"/>
            <rFont val="Tahoma"/>
            <family val="2"/>
          </rPr>
          <t xml:space="preserve"> &lt;[[TCDeals] - [TC Property Current Stage (Seq: 1)] - [9% Construction Costs (Seq: 1)] PVC Addl Cost 19 - Send]&gt;</t>
        </r>
      </text>
    </comment>
    <comment ref="F432" authorId="0" shapeId="0" xr:uid="{C6D5EC19-8A36-486F-B60E-2C6D4F0441DF}">
      <text>
        <r>
          <rPr>
            <b/>
            <sz val="9"/>
            <color indexed="81"/>
            <rFont val="Tahoma"/>
            <family val="2"/>
          </rPr>
          <t xml:space="preserve"> &lt;[[TCDeals] - [TC Property Current Stage (Seq: 1)] - [State LIHTC Property Costs (Seq: 1)] Additional Costs19 - Send]&gt;</t>
        </r>
      </text>
    </comment>
    <comment ref="C433" authorId="0" shapeId="0" xr:uid="{A7836AD6-B6E8-4B7F-9BE5-A353A4448095}">
      <text>
        <r>
          <rPr>
            <b/>
            <sz val="9"/>
            <color indexed="81"/>
            <rFont val="Tahoma"/>
            <family val="2"/>
          </rPr>
          <t xml:space="preserve"> &lt;[[TCDeals] - [TC Property Current Stage (Seq: 1)] - [Actual Costs (Seq: 1)] Actual Addl Cost 20 - Send]&gt;</t>
        </r>
      </text>
    </comment>
    <comment ref="D433" authorId="0" shapeId="0" xr:uid="{BEC68AF7-8E27-4887-9A2C-E4FDD279C35C}">
      <text>
        <r>
          <rPr>
            <b/>
            <sz val="9"/>
            <color indexed="81"/>
            <rFont val="Tahoma"/>
            <family val="2"/>
          </rPr>
          <t xml:space="preserve"> &lt;[[TCDeals] - [TC Property Current Stage (Seq: 1)] - [4% Construction Costs (Seq: 1)] Rehab Addl Cost 20 - Send]&gt;</t>
        </r>
      </text>
    </comment>
    <comment ref="E433" authorId="0" shapeId="0" xr:uid="{41DBB858-B390-4141-A55D-88C48C77EA11}">
      <text>
        <r>
          <rPr>
            <b/>
            <sz val="9"/>
            <color indexed="81"/>
            <rFont val="Tahoma"/>
            <family val="2"/>
          </rPr>
          <t xml:space="preserve"> &lt;[[TCDeals] - [TC Property Current Stage (Seq: 1)] - [9% Construction Costs (Seq: 1)] PVC Addl Cost 20 - Send]&gt;</t>
        </r>
      </text>
    </comment>
    <comment ref="F433" authorId="0" shapeId="0" xr:uid="{C3290CCC-3FD5-481A-98E6-CF0F407416E6}">
      <text>
        <r>
          <rPr>
            <b/>
            <sz val="9"/>
            <color indexed="81"/>
            <rFont val="Tahoma"/>
            <family val="2"/>
          </rPr>
          <t xml:space="preserve"> &lt;[[TCDeals] - [TC Property Current Stage (Seq: 1)] - [State LIHTC Property Costs (Seq: 1)] Additional Costs20 - Send]&gt;</t>
        </r>
      </text>
    </comment>
    <comment ref="C442" authorId="0" shapeId="0" xr:uid="{DF60045F-A4D9-48C2-BCEE-EB25717C2282}">
      <text>
        <r>
          <rPr>
            <b/>
            <sz val="9"/>
            <color indexed="81"/>
            <rFont val="Tahoma"/>
            <family val="2"/>
          </rPr>
          <t xml:space="preserve"> &lt;[[TCDeals] - [TC Property Current Stage (Seq: 1)] - [Actual Costs (Seq: 1)] Appraisal Fee - Send]&gt;</t>
        </r>
      </text>
    </comment>
    <comment ref="D442" authorId="0" shapeId="0" xr:uid="{5B21DD2C-18D8-4465-B126-5A5689B5CB8D}">
      <text>
        <r>
          <rPr>
            <b/>
            <sz val="9"/>
            <color indexed="81"/>
            <rFont val="Tahoma"/>
            <family val="2"/>
          </rPr>
          <t xml:space="preserve"> &lt;[[TCDeals] - [TC Property Current Stage (Seq: 1)] - [4% Construction Costs (Seq: 1)] Appraisal Fee - Send]&gt;</t>
        </r>
      </text>
    </comment>
    <comment ref="E442" authorId="0" shapeId="0" xr:uid="{28FD9AB3-0396-4B04-99FA-356DC48C103B}">
      <text>
        <r>
          <rPr>
            <b/>
            <sz val="9"/>
            <color indexed="81"/>
            <rFont val="Tahoma"/>
            <family val="2"/>
          </rPr>
          <t xml:space="preserve"> &lt;[[TCDeals] - [TC Property Current Stage (Seq: 1)] - [9% Construction Costs (Seq: 1)] Appraisal Fee - Send]&gt;</t>
        </r>
      </text>
    </comment>
    <comment ref="F442" authorId="0" shapeId="0" xr:uid="{40E26913-F038-4E75-ABE4-0A31AC48BA73}">
      <text>
        <r>
          <rPr>
            <b/>
            <sz val="9"/>
            <color indexed="81"/>
            <rFont val="Tahoma"/>
            <family val="2"/>
          </rPr>
          <t xml:space="preserve"> &lt;[[TCDeals] - [TC Property Current Stage (Seq: 1)] - [State LIHTC Property Costs (Seq: 1)] Appraisal Fee - Send]&gt;</t>
        </r>
      </text>
    </comment>
    <comment ref="C443" authorId="0" shapeId="0" xr:uid="{08B0ABDC-18DC-43A3-B4AB-FF06C31CE8B3}">
      <text>
        <r>
          <rPr>
            <b/>
            <sz val="9"/>
            <color indexed="81"/>
            <rFont val="Tahoma"/>
            <family val="2"/>
          </rPr>
          <t xml:space="preserve"> &lt;[[TCDeals] - [TC Property Current Stage (Seq: 1)] - [Actual Costs (Seq: 1)] Market Study - Send]&gt;</t>
        </r>
      </text>
    </comment>
    <comment ref="D443" authorId="0" shapeId="0" xr:uid="{234891D8-28FF-4300-9372-6B8B417D6A79}">
      <text>
        <r>
          <rPr>
            <b/>
            <sz val="9"/>
            <color indexed="81"/>
            <rFont val="Tahoma"/>
            <family val="2"/>
          </rPr>
          <t xml:space="preserve"> &lt;[[TCDeals] - [TC Property Current Stage (Seq: 1)] - [4% Construction Costs (Seq: 1)] Market Study - Send]&gt;</t>
        </r>
      </text>
    </comment>
    <comment ref="E443" authorId="0" shapeId="0" xr:uid="{BFA37FD7-3BAB-4E77-A075-EAFF16992089}">
      <text>
        <r>
          <rPr>
            <b/>
            <sz val="9"/>
            <color indexed="81"/>
            <rFont val="Tahoma"/>
            <family val="2"/>
          </rPr>
          <t xml:space="preserve"> &lt;[[TCDeals] - [TC Property Current Stage (Seq: 1)] - [9% Construction Costs (Seq: 1)] Market Study - Send]&gt;</t>
        </r>
      </text>
    </comment>
    <comment ref="F443" authorId="0" shapeId="0" xr:uid="{B49804F0-0F3A-4A24-9A8E-9B192E202148}">
      <text>
        <r>
          <rPr>
            <b/>
            <sz val="9"/>
            <color indexed="81"/>
            <rFont val="Tahoma"/>
            <family val="2"/>
          </rPr>
          <t xml:space="preserve"> &lt;[[TCDeals] - [TC Property Current Stage (Seq: 1)] - [State LIHTC Property Costs (Seq: 1)] Market Study - Send]&gt;</t>
        </r>
      </text>
    </comment>
    <comment ref="C444" authorId="0" shapeId="0" xr:uid="{377A7D2F-4AF4-4C26-99B2-6513D1987C37}">
      <text>
        <r>
          <rPr>
            <b/>
            <sz val="9"/>
            <color indexed="81"/>
            <rFont val="Tahoma"/>
            <family val="2"/>
          </rPr>
          <t xml:space="preserve"> &lt;[[TCDeals] - [TC Property Current Stage (Seq: 1)] - [Actual Costs (Seq: 1)] Actual Addl Cost 13 - Send]&gt;</t>
        </r>
      </text>
    </comment>
    <comment ref="D444" authorId="0" shapeId="0" xr:uid="{65E33AF1-D5EA-43B7-BF58-ADE724DE6D4C}">
      <text>
        <r>
          <rPr>
            <b/>
            <sz val="9"/>
            <color indexed="81"/>
            <rFont val="Tahoma"/>
            <family val="2"/>
          </rPr>
          <t xml:space="preserve"> &lt;[[TCDeals] - [TC Property Current Stage (Seq: 1)] - [4% Construction Costs (Seq: 1)] Rehab Addl Cost 13 - Send]&gt;</t>
        </r>
      </text>
    </comment>
    <comment ref="E444" authorId="0" shapeId="0" xr:uid="{BD31DC62-6AE5-4B66-8376-5CDDB9CA8331}">
      <text>
        <r>
          <rPr>
            <b/>
            <sz val="9"/>
            <color indexed="81"/>
            <rFont val="Tahoma"/>
            <family val="2"/>
          </rPr>
          <t xml:space="preserve"> &lt;[[TCDeals] - [TC Property Current Stage (Seq: 1)] - [9% Construction Costs (Seq: 1)] PVC Addl Cost 13 - Send]&gt;</t>
        </r>
      </text>
    </comment>
    <comment ref="F444" authorId="0" shapeId="0" xr:uid="{51C09CD9-5569-4A2E-858E-4CC5572B981B}">
      <text>
        <r>
          <rPr>
            <b/>
            <sz val="9"/>
            <color indexed="81"/>
            <rFont val="Tahoma"/>
            <family val="2"/>
          </rPr>
          <t xml:space="preserve"> &lt;[[TCDeals] - [TC Property Current Stage (Seq: 1)] - [State LIHTC Property Costs (Seq: 1)] Additional Costs13 - Send]&gt;</t>
        </r>
      </text>
    </comment>
    <comment ref="C445" authorId="0" shapeId="0" xr:uid="{3182F2AD-BA4F-479E-A59C-5FA679807FD9}">
      <text>
        <r>
          <rPr>
            <b/>
            <sz val="9"/>
            <color indexed="81"/>
            <rFont val="Tahoma"/>
            <family val="2"/>
          </rPr>
          <t xml:space="preserve"> &lt;[[TCDeals] - [TC Property Current Stage (Seq: 1)] - [Actual Costs (Seq: 1)] Enviro Study - Send]&gt;</t>
        </r>
      </text>
    </comment>
    <comment ref="D445" authorId="0" shapeId="0" xr:uid="{81166381-7174-4A54-BA38-5E7D99824CD6}">
      <text>
        <r>
          <rPr>
            <b/>
            <sz val="9"/>
            <color indexed="81"/>
            <rFont val="Tahoma"/>
            <family val="2"/>
          </rPr>
          <t xml:space="preserve"> &lt;[[TCDeals] - [TC Property Current Stage (Seq: 1)] - [4% Construction Costs (Seq: 1)] Enviro Study - Send]&gt;</t>
        </r>
      </text>
    </comment>
    <comment ref="E445" authorId="0" shapeId="0" xr:uid="{1D9357F8-432D-4B4C-B3E9-1133303F2251}">
      <text>
        <r>
          <rPr>
            <b/>
            <sz val="9"/>
            <color indexed="81"/>
            <rFont val="Tahoma"/>
            <family val="2"/>
          </rPr>
          <t xml:space="preserve"> &lt;[[TCDeals] - [TC Property Current Stage (Seq: 1)] - [9% Construction Costs (Seq: 1)] Enviro Study - Send]&gt;</t>
        </r>
      </text>
    </comment>
    <comment ref="F445" authorId="0" shapeId="0" xr:uid="{355B27C6-598F-4561-B778-B5435363ED36}">
      <text>
        <r>
          <rPr>
            <b/>
            <sz val="9"/>
            <color indexed="81"/>
            <rFont val="Tahoma"/>
            <family val="2"/>
          </rPr>
          <t xml:space="preserve"> &lt;[[TCDeals] - [TC Property Current Stage (Seq: 1)] - [State LIHTC Property Costs (Seq: 1)] Enviro Study - Send]&gt;</t>
        </r>
      </text>
    </comment>
    <comment ref="C458" authorId="0" shapeId="0" xr:uid="{59C590A0-6420-4201-9FD5-3E58DF7559AC}">
      <text>
        <r>
          <rPr>
            <b/>
            <sz val="9"/>
            <color indexed="81"/>
            <rFont val="Tahoma"/>
            <family val="2"/>
          </rPr>
          <t xml:space="preserve"> &lt;[[TCDeals] - [TC Property Current Stage (Seq: 1)] - [Actual Costs (Seq: 1)] Tax Credit Fee - Send]&gt;</t>
        </r>
      </text>
    </comment>
    <comment ref="D458" authorId="0" shapeId="0" xr:uid="{3E3F8CF4-6A89-4699-891D-3573BC89FF60}">
      <text>
        <r>
          <rPr>
            <b/>
            <sz val="9"/>
            <color indexed="81"/>
            <rFont val="Tahoma"/>
            <family val="2"/>
          </rPr>
          <t xml:space="preserve"> &lt;[[TCDeals] - [TC Property Current Stage (Seq: 1)] - [4% Construction Costs (Seq: 1)] Tax Credit Fee - Send]&gt;</t>
        </r>
      </text>
    </comment>
    <comment ref="E458" authorId="0" shapeId="0" xr:uid="{558C7D10-8934-45D4-8DA7-82CE3221B2C1}">
      <text>
        <r>
          <rPr>
            <b/>
            <sz val="9"/>
            <color indexed="81"/>
            <rFont val="Tahoma"/>
            <family val="2"/>
          </rPr>
          <t xml:space="preserve"> &lt;[[TCDeals] - [TC Property Current Stage (Seq: 1)] - [9% Construction Costs (Seq: 1)] Tax Credit Fee - Send]&gt;</t>
        </r>
      </text>
    </comment>
    <comment ref="F458" authorId="0" shapeId="0" xr:uid="{27BB1AB2-7683-4EF9-8143-F96D2BDAF9EE}">
      <text>
        <r>
          <rPr>
            <b/>
            <sz val="9"/>
            <color indexed="81"/>
            <rFont val="Tahoma"/>
            <family val="2"/>
          </rPr>
          <t xml:space="preserve"> &lt;[[TCDeals] - [TC Property Current Stage (Seq: 1)] - [State LIHTC Property Costs (Seq: 1)] Tax Credit Fee - Send]&gt;</t>
        </r>
      </text>
    </comment>
    <comment ref="C462" authorId="0" shapeId="0" xr:uid="{2D88D703-AFE4-4095-822D-BBE05C8CBE69}">
      <text>
        <r>
          <rPr>
            <b/>
            <sz val="9"/>
            <color indexed="81"/>
            <rFont val="Tahoma"/>
            <family val="2"/>
          </rPr>
          <t xml:space="preserve"> &lt;[[TCDeals] - [TC Property Current Stage (Seq: 1)] - [Actual Costs (Seq: 1)] Tap Fees - Send]&gt;</t>
        </r>
      </text>
    </comment>
    <comment ref="D462" authorId="0" shapeId="0" xr:uid="{D04A398F-A158-418C-94F5-8A312E98063A}">
      <text>
        <r>
          <rPr>
            <b/>
            <sz val="9"/>
            <color indexed="81"/>
            <rFont val="Tahoma"/>
            <family val="2"/>
          </rPr>
          <t xml:space="preserve"> &lt;[[TCDeals] - [TC Property Current Stage (Seq: 1)] - [4% Construction Costs (Seq: 1)] Tap Fees - Send]&gt;</t>
        </r>
      </text>
    </comment>
    <comment ref="E462" authorId="0" shapeId="0" xr:uid="{FA7070F7-105C-4857-8FBD-6E5C8A2D3C81}">
      <text>
        <r>
          <rPr>
            <b/>
            <sz val="9"/>
            <color indexed="81"/>
            <rFont val="Tahoma"/>
            <family val="2"/>
          </rPr>
          <t xml:space="preserve"> &lt;[[TCDeals] - [TC Property Current Stage (Seq: 1)] - [9% Construction Costs (Seq: 1)] Tap Fees - Send]&gt;</t>
        </r>
      </text>
    </comment>
    <comment ref="F462" authorId="0" shapeId="0" xr:uid="{13DB8B44-1C32-4BA8-9578-11A13AF97DC7}">
      <text>
        <r>
          <rPr>
            <b/>
            <sz val="9"/>
            <color indexed="81"/>
            <rFont val="Tahoma"/>
            <family val="2"/>
          </rPr>
          <t xml:space="preserve"> &lt;[[TCDeals] - [TC Property Current Stage (Seq: 1)] - [State LIHTC Property Costs (Seq: 1)] Tap Fees - Send]&gt;</t>
        </r>
      </text>
    </comment>
    <comment ref="C465" authorId="0" shapeId="0" xr:uid="{DFAD13E4-B168-43FC-B23E-C6C34EF50871}">
      <text>
        <r>
          <rPr>
            <b/>
            <sz val="9"/>
            <color indexed="81"/>
            <rFont val="Tahoma"/>
            <family val="2"/>
          </rPr>
          <t xml:space="preserve"> &lt;[[TCDeals] - [TC Property Current Stage (Seq: 1)] - [Actual Costs (Seq: 1)] Cost Cert Fee - Send]&gt;</t>
        </r>
      </text>
    </comment>
    <comment ref="D465" authorId="0" shapeId="0" xr:uid="{D7D253EF-416C-437D-B620-1CBBAA17F901}">
      <text>
        <r>
          <rPr>
            <b/>
            <sz val="9"/>
            <color indexed="81"/>
            <rFont val="Tahoma"/>
            <family val="2"/>
          </rPr>
          <t xml:space="preserve"> &lt;[[TCDeals] - [TC Property Current Stage (Seq: 1)] - [4% Construction Costs (Seq: 1)] Cost Cert Fee - Send]&gt;</t>
        </r>
      </text>
    </comment>
    <comment ref="E465" authorId="0" shapeId="0" xr:uid="{DFA89D58-B34D-4B2B-9A3B-B8F1455BCF3C}">
      <text>
        <r>
          <rPr>
            <b/>
            <sz val="9"/>
            <color indexed="81"/>
            <rFont val="Tahoma"/>
            <family val="2"/>
          </rPr>
          <t xml:space="preserve"> &lt;[[TCDeals] - [TC Property Current Stage (Seq: 1)] - [9% Construction Costs (Seq: 1)] Cost Cert Fee - Send]&gt;</t>
        </r>
      </text>
    </comment>
    <comment ref="F465" authorId="0" shapeId="0" xr:uid="{15128DAA-2CD1-42B1-A73A-441F455BDE76}">
      <text>
        <r>
          <rPr>
            <b/>
            <sz val="9"/>
            <color indexed="81"/>
            <rFont val="Tahoma"/>
            <family val="2"/>
          </rPr>
          <t xml:space="preserve"> &lt;[[TCDeals] - [TC Property Current Stage (Seq: 1)] - [State LIHTC Property Costs (Seq: 1)] Cost Cert Fee - Send]&gt;</t>
        </r>
      </text>
    </comment>
    <comment ref="C466" authorId="0" shapeId="0" xr:uid="{7B55A798-3106-49A9-843D-AF731CFD6D3D}">
      <text>
        <r>
          <rPr>
            <b/>
            <sz val="9"/>
            <color indexed="81"/>
            <rFont val="Tahoma"/>
            <family val="2"/>
          </rPr>
          <t xml:space="preserve"> &lt;[[TCDeals] - [TC Property Current Stage (Seq: 1)] - [Actual Costs (Seq: 1)] Actual Addl Cost 10 - Send]&gt;</t>
        </r>
      </text>
    </comment>
    <comment ref="D466" authorId="0" shapeId="0" xr:uid="{60C6CC28-9124-41F7-B143-A7E800821C2A}">
      <text>
        <r>
          <rPr>
            <b/>
            <sz val="9"/>
            <color indexed="81"/>
            <rFont val="Tahoma"/>
            <family val="2"/>
          </rPr>
          <t xml:space="preserve"> &lt;[[TCDeals] - [TC Property Current Stage (Seq: 1)] - [4% Construction Costs (Seq: 1)] Rehab Addl Cost 10 - Send]&gt;</t>
        </r>
      </text>
    </comment>
    <comment ref="E466" authorId="0" shapeId="0" xr:uid="{78A8C413-20E9-4278-B054-D50476D5CA0F}">
      <text>
        <r>
          <rPr>
            <b/>
            <sz val="9"/>
            <color indexed="81"/>
            <rFont val="Tahoma"/>
            <family val="2"/>
          </rPr>
          <t xml:space="preserve"> &lt;[[TCDeals] - [TC Property Current Stage (Seq: 1)] - [9% Construction Costs (Seq: 1)] PVC Addl Cost 10 - Send]&gt;</t>
        </r>
      </text>
    </comment>
    <comment ref="F466" authorId="0" shapeId="0" xr:uid="{47210E6B-F579-4030-BC8C-CCF7168E3BA2}">
      <text>
        <r>
          <rPr>
            <b/>
            <sz val="9"/>
            <color indexed="81"/>
            <rFont val="Tahoma"/>
            <family val="2"/>
          </rPr>
          <t xml:space="preserve"> &lt;[[TCDeals] - [TC Property Current Stage (Seq: 1)] - [State LIHTC Property Costs (Seq: 1)] Additional Costs10 - Send]&gt;</t>
        </r>
      </text>
    </comment>
    <comment ref="C469" authorId="0" shapeId="0" xr:uid="{B2590F4B-ED89-40F3-81E3-25F8841EE02D}">
      <text>
        <r>
          <rPr>
            <b/>
            <sz val="9"/>
            <color indexed="81"/>
            <rFont val="Tahoma"/>
            <family val="2"/>
          </rPr>
          <t xml:space="preserve"> &lt;[[TCDeals] - [TC Property Current Stage (Seq: 1)] - [Actual Costs (Seq: 1)] Actual Addl Cost 15 - Send]&gt;</t>
        </r>
      </text>
    </comment>
    <comment ref="D469" authorId="0" shapeId="0" xr:uid="{9FFDFC40-F15A-46DD-9C17-78EA9F58F9A7}">
      <text>
        <r>
          <rPr>
            <b/>
            <sz val="9"/>
            <color indexed="81"/>
            <rFont val="Tahoma"/>
            <family val="2"/>
          </rPr>
          <t xml:space="preserve"> &lt;[[TCDeals] - [TC Property Current Stage (Seq: 1)] - [4% Construction Costs (Seq: 1)] Rehab Addl Cost 15 - Send]&gt;</t>
        </r>
      </text>
    </comment>
    <comment ref="E469" authorId="0" shapeId="0" xr:uid="{F3DFF29B-4F67-4A7A-83F9-92BE552B4F25}">
      <text>
        <r>
          <rPr>
            <b/>
            <sz val="9"/>
            <color indexed="81"/>
            <rFont val="Tahoma"/>
            <family val="2"/>
          </rPr>
          <t xml:space="preserve"> &lt;[[TCDeals] - [TC Property Current Stage (Seq: 1)] - [9% Construction Costs (Seq: 1)] PVC Addl Cost 15 - Send]&gt;</t>
        </r>
      </text>
    </comment>
    <comment ref="F469" authorId="0" shapeId="0" xr:uid="{EB89322F-751E-41A3-B98C-DD2553411E20}">
      <text>
        <r>
          <rPr>
            <b/>
            <sz val="9"/>
            <color indexed="81"/>
            <rFont val="Tahoma"/>
            <family val="2"/>
          </rPr>
          <t xml:space="preserve"> &lt;[[TCDeals] - [TC Property Current Stage (Seq: 1)] - [State LIHTC Property Costs (Seq: 1)] Additional Costs15 - Send]&gt;</t>
        </r>
      </text>
    </comment>
    <comment ref="C473" authorId="0" shapeId="0" xr:uid="{B2982659-1B20-4955-91A4-2AF8467DC02B}">
      <text>
        <r>
          <rPr>
            <b/>
            <sz val="9"/>
            <color indexed="81"/>
            <rFont val="Tahoma"/>
            <family val="2"/>
          </rPr>
          <t xml:space="preserve"> &lt;[[TCDeals] - [TC Property Current Stage (Seq: 1)] - [Actual Costs (Seq: 1)] Developer Fees - Send]&gt;</t>
        </r>
      </text>
    </comment>
    <comment ref="D473" authorId="0" shapeId="0" xr:uid="{8D968C80-1A36-4F54-9629-80F9DB3E477C}">
      <text>
        <r>
          <rPr>
            <b/>
            <sz val="9"/>
            <color indexed="81"/>
            <rFont val="Tahoma"/>
            <family val="2"/>
          </rPr>
          <t xml:space="preserve"> &lt;[[TCDeals] - [TC Property Current Stage (Seq: 1)] - [4% Construction Costs (Seq: 1)] Developer Fees - Send]&gt;</t>
        </r>
      </text>
    </comment>
    <comment ref="E473" authorId="0" shapeId="0" xr:uid="{D437D8F7-F538-4246-A358-193EE6326126}">
      <text>
        <r>
          <rPr>
            <b/>
            <sz val="9"/>
            <color indexed="81"/>
            <rFont val="Tahoma"/>
            <family val="2"/>
          </rPr>
          <t xml:space="preserve"> &lt;[[TCDeals] - [TC Property Current Stage (Seq: 1)] - [9% Construction Costs (Seq: 1)] Developer Fees - Send]&gt;</t>
        </r>
      </text>
    </comment>
    <comment ref="F473" authorId="0" shapeId="0" xr:uid="{08CC2DFF-E2D5-439D-8648-328DF7886CE6}">
      <text>
        <r>
          <rPr>
            <b/>
            <sz val="9"/>
            <color indexed="81"/>
            <rFont val="Tahoma"/>
            <family val="2"/>
          </rPr>
          <t xml:space="preserve"> &lt;[[TCDeals] - [TC Property Current Stage (Seq: 1)] - [State LIHTC Property Costs (Seq: 1)] Developer Fees - Send]&gt;</t>
        </r>
      </text>
    </comment>
    <comment ref="C474" authorId="0" shapeId="0" xr:uid="{215E96D6-FD5E-4036-A361-D315A6A8AD4F}">
      <text>
        <r>
          <rPr>
            <b/>
            <sz val="9"/>
            <color indexed="81"/>
            <rFont val="Tahoma"/>
            <family val="2"/>
          </rPr>
          <t xml:space="preserve"> &lt;[[TCDeals] - [TC Property Current Stage (Seq: 1)] - [Actual Costs (Seq: 1)] Actual Addl Cost 17 - Send]&gt;</t>
        </r>
      </text>
    </comment>
    <comment ref="D474" authorId="0" shapeId="0" xr:uid="{A1F02C79-E2FC-4CFB-A38C-7B74D0F36811}">
      <text>
        <r>
          <rPr>
            <b/>
            <sz val="9"/>
            <color indexed="81"/>
            <rFont val="Tahoma"/>
            <family val="2"/>
          </rPr>
          <t xml:space="preserve"> &lt;[[TCDeals] - [TC Property Current Stage (Seq: 1)] - [4% Construction Costs (Seq: 1)] Rehab Addl Cost 17 - Send]&gt;</t>
        </r>
      </text>
    </comment>
    <comment ref="E474" authorId="0" shapeId="0" xr:uid="{EED9DBEB-604D-4EFE-8386-3F3B05DBB31E}">
      <text>
        <r>
          <rPr>
            <b/>
            <sz val="9"/>
            <color indexed="81"/>
            <rFont val="Tahoma"/>
            <family val="2"/>
          </rPr>
          <t xml:space="preserve"> &lt;[[TCDeals] - [TC Property Current Stage (Seq: 1)] - [9% Construction Costs (Seq: 1)] PVC Addl Cost 17 - Send]&gt;</t>
        </r>
      </text>
    </comment>
    <comment ref="F474" authorId="0" shapeId="0" xr:uid="{B7C05A0B-E1E7-4E7B-82B4-48141301B08D}">
      <text>
        <r>
          <rPr>
            <b/>
            <sz val="9"/>
            <color indexed="81"/>
            <rFont val="Tahoma"/>
            <family val="2"/>
          </rPr>
          <t xml:space="preserve"> &lt;[[TCDeals] - [TC Property Current Stage (Seq: 1)] - [State LIHTC Property Costs (Seq: 1)] Additional Costs17 - Send]&gt;</t>
        </r>
      </text>
    </comment>
    <comment ref="C476" authorId="0" shapeId="0" xr:uid="{4E663E33-ED98-4CA5-92AC-2C4A43142EC3}">
      <text>
        <r>
          <rPr>
            <b/>
            <sz val="9"/>
            <color indexed="81"/>
            <rFont val="Tahoma"/>
            <family val="2"/>
          </rPr>
          <t xml:space="preserve"> &lt;[[TCDeals] - [TC Property Current Stage (Seq: 1)] - [Actual Costs (Seq: 1)] Actual Addl Cost 18 - Send]&gt;</t>
        </r>
      </text>
    </comment>
    <comment ref="D476" authorId="0" shapeId="0" xr:uid="{99528A39-C278-4FFB-BB97-560D01205D8B}">
      <text>
        <r>
          <rPr>
            <b/>
            <sz val="9"/>
            <color indexed="81"/>
            <rFont val="Tahoma"/>
            <family val="2"/>
          </rPr>
          <t xml:space="preserve"> &lt;[[TCDeals] - [TC Property Current Stage (Seq: 1)] - [4% Construction Costs (Seq: 1)] Rehab Addl Cost 18 - Send]&gt;</t>
        </r>
      </text>
    </comment>
    <comment ref="E476" authorId="0" shapeId="0" xr:uid="{124E9478-70AE-4D05-BE1C-094ACE3ED071}">
      <text>
        <r>
          <rPr>
            <b/>
            <sz val="9"/>
            <color indexed="81"/>
            <rFont val="Tahoma"/>
            <family val="2"/>
          </rPr>
          <t xml:space="preserve"> &lt;[[TCDeals] - [TC Property Current Stage (Seq: 1)] - [9% Construction Costs (Seq: 1)] PVC Addl Cost 18 - Send]&gt;</t>
        </r>
      </text>
    </comment>
    <comment ref="F476" authorId="0" shapeId="0" xr:uid="{DC83C2E6-8460-4CD1-85F2-AB64A3D50F4A}">
      <text>
        <r>
          <rPr>
            <b/>
            <sz val="9"/>
            <color indexed="81"/>
            <rFont val="Tahoma"/>
            <family val="2"/>
          </rPr>
          <t xml:space="preserve"> &lt;[[TCDeals] - [TC Property Current Stage (Seq: 1)] - [State LIHTC Property Costs (Seq: 1)] Additional Costs18 - Send]&gt;</t>
        </r>
      </text>
    </comment>
    <comment ref="C494" authorId="0" shapeId="0" xr:uid="{49E45FBD-002A-487F-8CBA-A0AE02488FA6}">
      <text>
        <r>
          <rPr>
            <b/>
            <sz val="9"/>
            <color indexed="81"/>
            <rFont val="Tahoma"/>
            <family val="2"/>
          </rPr>
          <t xml:space="preserve"> &lt;[[TCDeals] - [TC Property Current Stage (Seq: 1)] - [Actual Costs (Seq: 1)] Applicable Fraction - Send]&gt;</t>
        </r>
      </text>
    </comment>
    <comment ref="D494" authorId="0" shapeId="0" xr:uid="{297D1B8B-40E8-4478-BDFF-F56B9841AE55}">
      <text>
        <r>
          <rPr>
            <b/>
            <sz val="9"/>
            <color indexed="81"/>
            <rFont val="Tahoma"/>
            <family val="2"/>
          </rPr>
          <t xml:space="preserve"> &lt;[[TCDeals] - [TC Property Current Stage (Seq: 1)] - [4% Construction Costs (Seq: 1)] Applicable Fraction - Send]&gt;</t>
        </r>
      </text>
    </comment>
    <comment ref="E494" authorId="0" shapeId="0" xr:uid="{63BEEF91-A175-41AC-8C32-9DF2835A1C11}">
      <text>
        <r>
          <rPr>
            <b/>
            <sz val="9"/>
            <color indexed="81"/>
            <rFont val="Tahoma"/>
            <family val="2"/>
          </rPr>
          <t xml:space="preserve"> &lt;[[TCDeals] - [TC Property Current Stage (Seq: 1)] - [9% Construction Costs (Seq: 1)] Applicable Fraction - Send]&gt;</t>
        </r>
      </text>
    </comment>
    <comment ref="F494" authorId="0" shapeId="0" xr:uid="{F33906E0-9DDD-4D79-9C26-530659FCE73F}">
      <text>
        <r>
          <rPr>
            <b/>
            <sz val="9"/>
            <color indexed="81"/>
            <rFont val="Tahoma"/>
            <family val="2"/>
          </rPr>
          <t xml:space="preserve"> &lt;[[TCDeals] - [TC Property Current Stage (Seq: 1)] - [State LIHTC Property Costs (Seq: 1)] Applicable Fraction - Send]&gt;</t>
        </r>
      </text>
    </comment>
    <comment ref="C496" authorId="0" shapeId="0" xr:uid="{0DFFDA8E-5651-4840-A55F-92A16EEF98D4}">
      <text>
        <r>
          <rPr>
            <b/>
            <sz val="9"/>
            <color indexed="81"/>
            <rFont val="Tahoma"/>
            <family val="2"/>
          </rPr>
          <t xml:space="preserve"> &lt;[[TCDeals] - [TC Property Current Stage (Seq: 1)] - [Actual Costs (Seq: 1)] Applicabale Percentage - Send]&gt;</t>
        </r>
      </text>
    </comment>
    <comment ref="D496" authorId="0" shapeId="0" xr:uid="{E01A8F97-5818-436C-A908-84212E757FC1}">
      <text>
        <r>
          <rPr>
            <b/>
            <sz val="9"/>
            <color indexed="81"/>
            <rFont val="Tahoma"/>
            <family val="2"/>
          </rPr>
          <t xml:space="preserve"> &lt;[[TCDeals] - [TC Property Current Stage (Seq: 1)] - [4% Construction Costs (Seq: 1)] Applicabale Percentage - Send]&gt;</t>
        </r>
      </text>
    </comment>
    <comment ref="E496" authorId="0" shapeId="0" xr:uid="{CE0E5D24-E858-4E77-B69C-B7205EF474C9}">
      <text>
        <r>
          <rPr>
            <b/>
            <sz val="9"/>
            <color indexed="81"/>
            <rFont val="Tahoma"/>
            <family val="2"/>
          </rPr>
          <t xml:space="preserve"> &lt;[[TCDeals] - [TC Property Current Stage (Seq: 1)] - [9% Construction Costs (Seq: 1)] Applicabale Percentage - Send]&gt;</t>
        </r>
      </text>
    </comment>
    <comment ref="F496" authorId="0" shapeId="0" xr:uid="{88BE467A-CBA8-4309-9736-8AF574BB3F70}">
      <text>
        <r>
          <rPr>
            <b/>
            <sz val="9"/>
            <color indexed="81"/>
            <rFont val="Tahoma"/>
            <family val="2"/>
          </rPr>
          <t xml:space="preserve"> &lt;[[TCDeals] - [TC Property Current Stage (Seq: 1)] - [State LIHTC Property Costs (Seq: 1)] Applicabale Percentage - Send]&gt;</t>
        </r>
      </text>
    </comment>
    <comment ref="C504" authorId="0" shapeId="0" xr:uid="{E8B5804A-0D89-47CD-B96D-D78AE961E1D7}">
      <text>
        <r>
          <rPr>
            <b/>
            <sz val="9"/>
            <color indexed="81"/>
            <rFont val="Tahoma"/>
            <family val="2"/>
          </rPr>
          <t xml:space="preserve"> &lt;[[TCDeals] - [TC Property Current Stage (Seq: 1)] - [Actual Costs (Seq: 1)] Non Qual Financing - Send]&gt;</t>
        </r>
      </text>
    </comment>
    <comment ref="D504" authorId="0" shapeId="0" xr:uid="{05130D69-B9EF-42A5-BBD2-6E61C3741F50}">
      <text>
        <r>
          <rPr>
            <b/>
            <sz val="9"/>
            <color indexed="81"/>
            <rFont val="Tahoma"/>
            <family val="2"/>
          </rPr>
          <t xml:space="preserve"> &lt;[[TCDeals] - [TC Property Current Stage (Seq: 1)] - [4% Construction Costs (Seq: 1)] Non Qual Financing - Send]&gt;</t>
        </r>
      </text>
    </comment>
    <comment ref="E504" authorId="0" shapeId="0" xr:uid="{E60AC6FB-E04D-485B-ADFD-E84E1F66D815}">
      <text>
        <r>
          <rPr>
            <b/>
            <sz val="9"/>
            <color indexed="81"/>
            <rFont val="Tahoma"/>
            <family val="2"/>
          </rPr>
          <t xml:space="preserve"> &lt;[[TCDeals] - [TC Property Current Stage (Seq: 1)] - [9% Construction Costs (Seq: 1)] Non Qual Financing - Send]&gt;</t>
        </r>
      </text>
    </comment>
    <comment ref="F504" authorId="0" shapeId="0" xr:uid="{F6F3104D-C7C6-4544-A6A8-0D660A05B01D}">
      <text>
        <r>
          <rPr>
            <b/>
            <sz val="9"/>
            <color indexed="81"/>
            <rFont val="Tahoma"/>
            <family val="2"/>
          </rPr>
          <t xml:space="preserve"> &lt;[[TCDeals] - [TC Property Current Stage (Seq: 1)] - [State LIHTC Property Costs (Seq: 1)] Non Qual Financing - Send]&gt;</t>
        </r>
      </text>
    </comment>
    <comment ref="C505" authorId="0" shapeId="0" xr:uid="{90D3600E-5B03-4656-8D62-68419423ACAB}">
      <text>
        <r>
          <rPr>
            <b/>
            <sz val="9"/>
            <color indexed="81"/>
            <rFont val="Tahoma"/>
            <family val="2"/>
          </rPr>
          <t xml:space="preserve"> &lt;[[TCDeals] - [TC Property Current Stage (Seq: 1)] - [Actual Costs (Seq: 1)] Fed Grant Financing - Send]&gt;</t>
        </r>
      </text>
    </comment>
    <comment ref="D505" authorId="0" shapeId="0" xr:uid="{C790A5C6-0701-44D2-BAA4-28D73D32B841}">
      <text>
        <r>
          <rPr>
            <b/>
            <sz val="9"/>
            <color indexed="81"/>
            <rFont val="Tahoma"/>
            <family val="2"/>
          </rPr>
          <t xml:space="preserve"> &lt;[[TCDeals] - [TC Property Current Stage (Seq: 1)] - [4% Construction Costs (Seq: 1)] Fed Grant Financing - Send]&gt;</t>
        </r>
      </text>
    </comment>
    <comment ref="E505" authorId="0" shapeId="0" xr:uid="{9569ABE4-A1D1-4C9A-9BBF-FBB0216630C2}">
      <text>
        <r>
          <rPr>
            <b/>
            <sz val="9"/>
            <color indexed="81"/>
            <rFont val="Tahoma"/>
            <family val="2"/>
          </rPr>
          <t xml:space="preserve"> &lt;[[TCDeals] - [TC Property Current Stage (Seq: 1)] - [9% Construction Costs (Seq: 1)] Fed Grant Financing - Send]&gt;</t>
        </r>
      </text>
    </comment>
    <comment ref="F505" authorId="0" shapeId="0" xr:uid="{861B1201-E79E-4A31-B80F-24C435774B7A}">
      <text>
        <r>
          <rPr>
            <b/>
            <sz val="9"/>
            <color indexed="81"/>
            <rFont val="Tahoma"/>
            <family val="2"/>
          </rPr>
          <t xml:space="preserve"> &lt;[[TCDeals] - [TC Property Current Stage (Seq: 1)] - [State LIHTC Property Costs (Seq: 1)] Fed Grant Financing - Send]&gt;</t>
        </r>
      </text>
    </comment>
    <comment ref="C506" authorId="0" shapeId="0" xr:uid="{9B55BC2A-7481-421C-B4E9-468CE39C4757}">
      <text>
        <r>
          <rPr>
            <b/>
            <sz val="9"/>
            <color indexed="81"/>
            <rFont val="Tahoma"/>
            <family val="2"/>
          </rPr>
          <t xml:space="preserve"> &lt;[[TCDeals] - [TC Property Current Stage (Seq: 1)] - [Actual Costs (Seq: 1)] Historic TC Residential - Send]&gt;</t>
        </r>
      </text>
    </comment>
    <comment ref="D506" authorId="0" shapeId="0" xr:uid="{CA190373-1773-4B17-8657-ACDA23918AF7}">
      <text>
        <r>
          <rPr>
            <b/>
            <sz val="9"/>
            <color indexed="81"/>
            <rFont val="Tahoma"/>
            <family val="2"/>
          </rPr>
          <t xml:space="preserve"> &lt;[[TCDeals] - [TC Property Current Stage (Seq: 1)] - [4% Construction Costs (Seq: 1)] Historic TC Residential - Send]&gt;</t>
        </r>
      </text>
    </comment>
    <comment ref="E506" authorId="0" shapeId="0" xr:uid="{64CCD686-B21C-4529-B7A4-DA8E676DA33D}">
      <text>
        <r>
          <rPr>
            <b/>
            <sz val="9"/>
            <color indexed="81"/>
            <rFont val="Tahoma"/>
            <family val="2"/>
          </rPr>
          <t xml:space="preserve"> &lt;[[TCDeals] - [TC Property Current Stage (Seq: 1)] - [9% Construction Costs (Seq: 1)] Historic TC Residential - Send]&gt;</t>
        </r>
      </text>
    </comment>
    <comment ref="F506" authorId="0" shapeId="0" xr:uid="{CAA12E5B-13EA-46A3-AF3C-081621B52DB2}">
      <text>
        <r>
          <rPr>
            <b/>
            <sz val="9"/>
            <color indexed="81"/>
            <rFont val="Tahoma"/>
            <family val="2"/>
          </rPr>
          <t xml:space="preserve"> &lt;[[TCDeals] - [TC Property Current Stage (Seq: 1)] - [State LIHTC Property Costs (Seq: 1)] Historic TC Residential - Send]&gt;</t>
        </r>
      </text>
    </comment>
    <comment ref="C507" authorId="0" shapeId="0" xr:uid="{EE3624A6-EC7C-456B-9C29-A8C0C6F2C38D}">
      <text>
        <r>
          <rPr>
            <b/>
            <sz val="9"/>
            <color indexed="81"/>
            <rFont val="Tahoma"/>
            <family val="2"/>
          </rPr>
          <t xml:space="preserve"> &lt;[[TCDeals] - [TC Property Current Stage (Seq: 1)] - [Actual Costs (Seq: 1)] Costs of Non Qual Units - Send]&gt;</t>
        </r>
      </text>
    </comment>
    <comment ref="D507" authorId="0" shapeId="0" xr:uid="{3867AC91-18DA-4262-BB6F-D6681C25C54B}">
      <text>
        <r>
          <rPr>
            <b/>
            <sz val="9"/>
            <color indexed="81"/>
            <rFont val="Tahoma"/>
            <family val="2"/>
          </rPr>
          <t xml:space="preserve"> &lt;[[TCDeals] - [TC Property Current Stage (Seq: 1)] - [4% Construction Costs (Seq: 1)] Costs of Non Qual Units - Send]&gt;</t>
        </r>
      </text>
    </comment>
    <comment ref="E507" authorId="0" shapeId="0" xr:uid="{BB1848D2-D69D-48C3-BE6A-1E81797860C8}">
      <text>
        <r>
          <rPr>
            <b/>
            <sz val="9"/>
            <color indexed="81"/>
            <rFont val="Tahoma"/>
            <family val="2"/>
          </rPr>
          <t xml:space="preserve"> &lt;[[TCDeals] - [TC Property Current Stage (Seq: 1)] - [9% Construction Costs (Seq: 1)] Costs of Non Qual Units - Send]&gt;</t>
        </r>
      </text>
    </comment>
    <comment ref="F507" authorId="0" shapeId="0" xr:uid="{212B4F21-6864-46F3-AACB-AF4A47441127}">
      <text>
        <r>
          <rPr>
            <b/>
            <sz val="9"/>
            <color indexed="81"/>
            <rFont val="Tahoma"/>
            <family val="2"/>
          </rPr>
          <t xml:space="preserve"> &lt;[[TCDeals] - [TC Property Current Stage (Seq: 1)] - [State LIHTC Property Costs (Seq: 1)] Costsof Non Qual Units - Send]&gt;</t>
        </r>
      </text>
    </comment>
    <comment ref="B509" authorId="0" shapeId="0" xr:uid="{919E2F05-61FE-458E-ACD6-174EA950DB4D}">
      <text>
        <r>
          <rPr>
            <b/>
            <sz val="9"/>
            <color indexed="81"/>
            <rFont val="Tahoma"/>
            <family val="2"/>
          </rPr>
          <t xml:space="preserve"> &lt;[[TCDeals] - [TC Property Current Stage (Seq: 1)] Equity Gap - Send]&gt;</t>
        </r>
      </text>
    </comment>
    <comment ref="C516" authorId="0" shapeId="0" xr:uid="{943BB7E9-C010-4FBB-98BC-B0B964A6C347}">
      <text>
        <r>
          <rPr>
            <b/>
            <sz val="9"/>
            <color indexed="81"/>
            <rFont val="Tahoma"/>
            <family val="2"/>
          </rPr>
          <t xml:space="preserve"> &lt;[[TCDeals] - [TC Property Current Stage (Seq: 1)] Total Annual Credit Amount Request - Send]&gt;</t>
        </r>
      </text>
    </comment>
    <comment ref="G524" authorId="0" shapeId="0" xr:uid="{8922EFD9-4659-4543-98D1-06FB50D0178C}">
      <text>
        <r>
          <rPr>
            <b/>
            <sz val="9"/>
            <color indexed="81"/>
            <rFont val="Tahoma"/>
            <family val="2"/>
          </rPr>
          <t xml:space="preserve"> &lt;[[TCDeals] - [TC Property Current Stage (Seq: 1)] - [TC Property Current Stage - User Defined Field Values (Seq: 1)] Multi Family Application - Subtotal: Rent Expenses - Send]&gt;</t>
        </r>
      </text>
    </comment>
    <comment ref="G525" authorId="0" shapeId="0" xr:uid="{53680DC6-037C-4C62-8DB6-5536EC08958F}">
      <text>
        <r>
          <rPr>
            <b/>
            <sz val="9"/>
            <color indexed="81"/>
            <rFont val="Tahoma"/>
            <family val="2"/>
          </rPr>
          <t xml:space="preserve"> &lt;[[TCDeals] - [TC Property Current Stage (Seq: 1)] - [TC Property Current Stage - User Defined Field Values (Seq: 1)] Multi Family Application - Subtotal: Administrative Expenses - Send]&gt;</t>
        </r>
      </text>
    </comment>
    <comment ref="D526" authorId="0" shapeId="0" xr:uid="{AEF98A54-84FB-46E9-832E-1DBACA478DF6}">
      <text>
        <r>
          <rPr>
            <b/>
            <sz val="9"/>
            <color indexed="81"/>
            <rFont val="Tahoma"/>
            <family val="2"/>
          </rPr>
          <t xml:space="preserve"> &lt;[[TCDeals] - [TC Property Current Stage (Seq: 1)] Admin Adv Mrktg - Send]&gt;</t>
        </r>
      </text>
    </comment>
    <comment ref="G526" authorId="0" shapeId="0" xr:uid="{DCF8AD15-DA62-4798-826A-D57AAFC42F94}">
      <text>
        <r>
          <rPr>
            <b/>
            <sz val="9"/>
            <color indexed="81"/>
            <rFont val="Tahoma"/>
            <family val="2"/>
          </rPr>
          <t xml:space="preserve"> &lt;[[TCDeals] - [TC Property Current Stage (Seq: 1)] - [TC Property Current Stage - User Defined Field Values (Seq: 1)] Multi Family Application - Subtotal: Utilities Expenses - Send]&gt;</t>
        </r>
      </text>
    </comment>
    <comment ref="C527" authorId="0" shapeId="0" xr:uid="{A2309BAB-72C8-4BD0-B586-891593DF2851}">
      <text>
        <r>
          <rPr>
            <b/>
            <sz val="9"/>
            <color indexed="81"/>
            <rFont val="Tahoma"/>
            <family val="2"/>
          </rPr>
          <t xml:space="preserve"> &lt;[[TCDeals] - [TC Property Current Stage (Seq: 1)] Admin Telephone Answering Svc - Send]&gt;</t>
        </r>
      </text>
    </comment>
    <comment ref="G527" authorId="0" shapeId="0" xr:uid="{B3148CAE-D889-4B17-A373-F7E297ED99C5}">
      <text>
        <r>
          <rPr>
            <b/>
            <sz val="9"/>
            <color indexed="81"/>
            <rFont val="Tahoma"/>
            <family val="2"/>
          </rPr>
          <t xml:space="preserve"> &lt;[[TCDeals] - [TC Property Current Stage (Seq: 1)] - [TC Property Current Stage - User Defined Field Values (Seq: 1)] Multi Family Application - Subtotal: Operating &amp; Maintenance Expenses - Send]&gt;</t>
        </r>
      </text>
    </comment>
    <comment ref="G528" authorId="0" shapeId="0" xr:uid="{01B31265-6E88-4200-9687-AC136DCA3F7A}">
      <text>
        <r>
          <rPr>
            <b/>
            <sz val="9"/>
            <color indexed="81"/>
            <rFont val="Tahoma"/>
            <family val="2"/>
          </rPr>
          <t xml:space="preserve"> &lt;[[TCDeals] - [TC Property Current Stage (Seq: 1)] - [TC Property Current Stage - User Defined Field Values (Seq: 1)] Multi Family Application - Subtotal: Tax &amp; Insurance Expenses - Send]&gt;</t>
        </r>
      </text>
    </comment>
    <comment ref="G529" authorId="0" shapeId="0" xr:uid="{46E1B8A2-275D-40F5-8B92-82F27E4192F6}">
      <text>
        <r>
          <rPr>
            <b/>
            <sz val="9"/>
            <color indexed="81"/>
            <rFont val="Tahoma"/>
            <family val="2"/>
          </rPr>
          <t xml:space="preserve"> &lt;[[TCDeals] - [TC Property Current Stage (Seq: 1)] - [TC Property Current Stage - User Defined Field Values (Seq: 1)] Multi Family Application - Subtotal: Service Expense - Send]&gt;</t>
        </r>
      </text>
    </comment>
    <comment ref="C530" authorId="0" shapeId="0" xr:uid="{7A647BE9-D257-4F9B-8C3F-E7BCEB48EB29}">
      <text>
        <r>
          <rPr>
            <b/>
            <sz val="9"/>
            <color indexed="81"/>
            <rFont val="Tahoma"/>
            <family val="2"/>
          </rPr>
          <t xml:space="preserve"> &lt;[[TCDeals] - [TC Property Current Stage (Seq: 1)] Admin Office Salaries - Send]&gt;</t>
        </r>
      </text>
    </comment>
    <comment ref="G530" authorId="0" shapeId="0" xr:uid="{6F7AB7FB-AD73-4E90-BD75-A43E216C4C2B}">
      <text>
        <r>
          <rPr>
            <b/>
            <sz val="9"/>
            <color indexed="81"/>
            <rFont val="Tahoma"/>
            <family val="2"/>
          </rPr>
          <t xml:space="preserve"> &lt;[[TCDeals] - [TC Property Current Stage (Seq: 1)] - [TC Property Current Stage - User Defined Field Values (Seq: 1)] Multi Family Application - Total Operating Expenses - Send]&gt;</t>
        </r>
      </text>
    </comment>
    <comment ref="C531" authorId="0" shapeId="0" xr:uid="{EDA0A8CB-98F0-47A5-B99A-CC3F07DB49F5}">
      <text>
        <r>
          <rPr>
            <b/>
            <sz val="9"/>
            <color indexed="81"/>
            <rFont val="Tahoma"/>
            <family val="2"/>
          </rPr>
          <t xml:space="preserve"> &lt;[[TCDeals] - [TC Property Current Stage (Seq: 1)] Admin Office Supplies - Send]&gt;</t>
        </r>
      </text>
    </comment>
    <comment ref="G531" authorId="0" shapeId="0" xr:uid="{547A76B5-C904-4AB0-AD73-C69A7FD7F32E}">
      <text>
        <r>
          <rPr>
            <b/>
            <sz val="9"/>
            <color indexed="81"/>
            <rFont val="Tahoma"/>
            <family val="2"/>
          </rPr>
          <t xml:space="preserve"> &lt;[[TCDeals] - [TC Property Current Stage (Seq: 1)] - [TC Property Current Stage - User Defined Field Values (Seq: 1)] Multi Family Application - Per Unit Per Month Expenses - Send]&gt;</t>
        </r>
      </text>
    </comment>
    <comment ref="C532" authorId="0" shapeId="0" xr:uid="{351B3A7E-B543-44BB-A886-5D4B88A503E3}">
      <text>
        <r>
          <rPr>
            <b/>
            <sz val="9"/>
            <color indexed="81"/>
            <rFont val="Tahoma"/>
            <family val="2"/>
          </rPr>
          <t xml:space="preserve"> &lt;[[TCDeals] - [TC Property Current Stage (Seq: 1)] Admin Office Model Apt - Send]&gt;</t>
        </r>
      </text>
    </comment>
    <comment ref="D535" authorId="0" shapeId="0" xr:uid="{0FEEA66C-242C-4265-8D38-4668D0476265}">
      <text>
        <r>
          <rPr>
            <b/>
            <sz val="9"/>
            <color indexed="81"/>
            <rFont val="Tahoma"/>
            <family val="2"/>
          </rPr>
          <t xml:space="preserve"> &lt;[[TCDeals] - [TC Property Current Stage (Seq: 1)] Admin Mgt Fee - Send]&gt;</t>
        </r>
      </text>
    </comment>
    <comment ref="C536" authorId="0" shapeId="0" xr:uid="{77A4789E-9C12-443E-904F-40C63F3257EC}">
      <text>
        <r>
          <rPr>
            <b/>
            <sz val="9"/>
            <color indexed="81"/>
            <rFont val="Tahoma"/>
            <family val="2"/>
          </rPr>
          <t xml:space="preserve"> &lt;[[TCDeals] - [TC Property Current Stage (Seq: 1)] Admin Mgt Salaries - Send]&gt;</t>
        </r>
      </text>
    </comment>
    <comment ref="C537" authorId="0" shapeId="0" xr:uid="{3C79F36B-B711-4E2F-91FC-0BFB3F742BFC}">
      <text>
        <r>
          <rPr>
            <b/>
            <sz val="9"/>
            <color indexed="81"/>
            <rFont val="Tahoma"/>
            <family val="2"/>
          </rPr>
          <t xml:space="preserve"> &lt;[[TCDeals] - [TC Property Current Stage (Seq: 1)] Admin Staff Unit - Send]&gt;</t>
        </r>
      </text>
    </comment>
    <comment ref="C538" authorId="0" shapeId="0" xr:uid="{7282CB1B-6897-4136-ADE0-762A8CA8986B}">
      <text>
        <r>
          <rPr>
            <b/>
            <sz val="9"/>
            <color indexed="81"/>
            <rFont val="Tahoma"/>
            <family val="2"/>
          </rPr>
          <t xml:space="preserve"> &lt;[[TCDeals] - [TC Property Current Stage (Seq: 1)] Admin Legal - Send]&gt;</t>
        </r>
      </text>
    </comment>
    <comment ref="C539" authorId="0" shapeId="0" xr:uid="{A66394F8-A388-46E3-B2D7-0FCA14B0F505}">
      <text>
        <r>
          <rPr>
            <b/>
            <sz val="9"/>
            <color indexed="81"/>
            <rFont val="Tahoma"/>
            <family val="2"/>
          </rPr>
          <t xml:space="preserve"> &lt;[[TCDeals] - [TC Property Current Stage (Seq: 1)] Admin Auditing - Send]&gt;</t>
        </r>
      </text>
    </comment>
    <comment ref="C540" authorId="0" shapeId="0" xr:uid="{B199241C-0408-4CAF-A6D2-0A9CCA7F2BE9}">
      <text>
        <r>
          <rPr>
            <b/>
            <sz val="9"/>
            <color indexed="81"/>
            <rFont val="Tahoma"/>
            <family val="2"/>
          </rPr>
          <t xml:space="preserve"> &lt;[[TCDeals] - [TC Property Current Stage (Seq: 1)] Admin Bookkeeping Fees - Send]&gt;</t>
        </r>
      </text>
    </comment>
    <comment ref="C541" authorId="0" shapeId="0" xr:uid="{311DFFFC-8E08-43DF-A5EB-81A27B6AACE0}">
      <text>
        <r>
          <rPr>
            <b/>
            <sz val="9"/>
            <color indexed="81"/>
            <rFont val="Tahoma"/>
            <family val="2"/>
          </rPr>
          <t xml:space="preserve"> &lt;[[TCDeals] - [TC Property Current Stage (Seq: 1)] Admin Tax Credit Monitoring Fee - Send]&gt;</t>
        </r>
      </text>
    </comment>
    <comment ref="D543" authorId="0" shapeId="0" xr:uid="{A52847B3-D24A-4A77-A73D-C6536AA1D508}">
      <text>
        <r>
          <rPr>
            <b/>
            <sz val="9"/>
            <color indexed="81"/>
            <rFont val="Tahoma"/>
            <family val="2"/>
          </rPr>
          <t xml:space="preserve"> &lt;[[TCDeals] - [TC Property Current Stage (Seq: 1)] Admin Misc - Send]&gt;</t>
        </r>
      </text>
    </comment>
    <comment ref="C546" authorId="0" shapeId="0" xr:uid="{1222B9D8-63F1-485C-8218-BDD3C5073662}">
      <text>
        <r>
          <rPr>
            <b/>
            <sz val="9"/>
            <color indexed="81"/>
            <rFont val="Tahoma"/>
            <family val="2"/>
          </rPr>
          <t xml:space="preserve"> &lt;[[TCDeals] - [TC Property Current Stage (Seq: 1)] Utilities Fuel Oil - Send]&gt;</t>
        </r>
      </text>
    </comment>
    <comment ref="C547" authorId="0" shapeId="0" xr:uid="{09342CA3-70F9-4300-B18E-A99EE46CF8CF}">
      <text>
        <r>
          <rPr>
            <b/>
            <sz val="9"/>
            <color indexed="81"/>
            <rFont val="Tahoma"/>
            <family val="2"/>
          </rPr>
          <t xml:space="preserve"> &lt;[[TCDeals] - [TC Property Current Stage (Seq: 1)] Utilities Electricity - Send]&gt;</t>
        </r>
      </text>
    </comment>
    <comment ref="C548" authorId="0" shapeId="0" xr:uid="{A9D1D465-1552-4A8F-8D65-BED588356A2A}">
      <text>
        <r>
          <rPr>
            <b/>
            <sz val="9"/>
            <color indexed="81"/>
            <rFont val="Tahoma"/>
            <family val="2"/>
          </rPr>
          <t xml:space="preserve"> &lt;[[TCDeals] - [TC Property Current Stage (Seq: 1)] Utilities Water - Send]&gt;</t>
        </r>
      </text>
    </comment>
    <comment ref="C549" authorId="0" shapeId="0" xr:uid="{B7CB2E7F-D7D9-4517-8B23-26DC5A8B313F}">
      <text>
        <r>
          <rPr>
            <b/>
            <sz val="9"/>
            <color indexed="81"/>
            <rFont val="Tahoma"/>
            <family val="2"/>
          </rPr>
          <t xml:space="preserve"> &lt;[[TCDeals] - [TC Property Current Stage (Seq: 1)] Utilities Gas - Send]&gt;</t>
        </r>
      </text>
    </comment>
    <comment ref="C550" authorId="0" shapeId="0" xr:uid="{32E19FB5-7487-4C5D-8A69-7E641179AFB4}">
      <text>
        <r>
          <rPr>
            <b/>
            <sz val="9"/>
            <color indexed="81"/>
            <rFont val="Tahoma"/>
            <family val="2"/>
          </rPr>
          <t xml:space="preserve"> &lt;[[TCDeals] - [TC Property Current Stage (Seq: 1)] Utilities Sewer - Send]&gt;</t>
        </r>
      </text>
    </comment>
    <comment ref="C554" authorId="0" shapeId="0" xr:uid="{32F8EC82-CF6C-41A1-A6CA-B910E355EC29}">
      <text>
        <r>
          <rPr>
            <b/>
            <sz val="9"/>
            <color indexed="81"/>
            <rFont val="Tahoma"/>
            <family val="2"/>
          </rPr>
          <t xml:space="preserve"> &lt;[[TCDeals] - [TC Property Current Stage (Seq: 1)] Oper Maint Repair Payroll - Send]&gt;</t>
        </r>
      </text>
    </comment>
    <comment ref="C555" authorId="0" shapeId="0" xr:uid="{5C45E61B-692C-485A-9FBD-EC4ACA785AC9}">
      <text>
        <r>
          <rPr>
            <b/>
            <sz val="9"/>
            <color indexed="81"/>
            <rFont val="Tahoma"/>
            <family val="2"/>
          </rPr>
          <t xml:space="preserve"> &lt;[[TCDeals] - [TC Property Current Stage (Seq: 1)] Oper Grounds Supplies - Send]&gt;</t>
        </r>
      </text>
    </comment>
    <comment ref="C556" authorId="0" shapeId="0" xr:uid="{2C9A21F2-81C5-44C6-8628-6146CAC446DF}">
      <text>
        <r>
          <rPr>
            <b/>
            <sz val="9"/>
            <color indexed="81"/>
            <rFont val="Tahoma"/>
            <family val="2"/>
          </rPr>
          <t xml:space="preserve"> &lt;[[TCDeals] - [TC Property Current Stage (Seq: 1)] Oper Grounds Contract - Send]&gt;</t>
        </r>
      </text>
    </comment>
    <comment ref="C558" authorId="0" shapeId="0" xr:uid="{7893328C-9C3B-4AB1-AD70-EACA9695B0DE}">
      <text>
        <r>
          <rPr>
            <b/>
            <sz val="9"/>
            <color indexed="81"/>
            <rFont val="Tahoma"/>
            <family val="2"/>
          </rPr>
          <t xml:space="preserve"> &lt;[[TCDeals] - [TC Property Current Stage (Seq: 1)] Oper Trash Removal - Send]&gt;</t>
        </r>
      </text>
    </comment>
    <comment ref="C559" authorId="0" shapeId="0" xr:uid="{FF8D341F-7E11-4C96-BE13-D59CCB9B257D}">
      <text>
        <r>
          <rPr>
            <b/>
            <sz val="9"/>
            <color indexed="81"/>
            <rFont val="Tahoma"/>
            <family val="2"/>
          </rPr>
          <t xml:space="preserve"> &lt;[[TCDeals] - [TC Property Current Stage (Seq: 1)] Oper Security Payroll - Send]&gt;</t>
        </r>
      </text>
    </comment>
    <comment ref="C561" authorId="0" shapeId="0" xr:uid="{3FDCF247-2394-4434-84B2-7F2200FCE309}">
      <text>
        <r>
          <rPr>
            <b/>
            <sz val="9"/>
            <color indexed="81"/>
            <rFont val="Tahoma"/>
            <family val="2"/>
          </rPr>
          <t xml:space="preserve"> &lt;[[TCDeals] - [TC Property Current Stage (Seq: 1)] Oper Heat Cool Maint Repair - Send]&gt;</t>
        </r>
      </text>
    </comment>
    <comment ref="C562" authorId="0" shapeId="0" xr:uid="{24D7520F-EA54-4527-BD48-703EFA1DF72B}">
      <text>
        <r>
          <rPr>
            <b/>
            <sz val="9"/>
            <color indexed="81"/>
            <rFont val="Tahoma"/>
            <family val="2"/>
          </rPr>
          <t xml:space="preserve"> &lt;[[TCDeals] - [TC Property Current Stage (Seq: 1)] Oper Snow Removal - Send]&gt;</t>
        </r>
      </text>
    </comment>
    <comment ref="C567" authorId="0" shapeId="0" xr:uid="{4854251C-4454-490C-B106-6B80C72C3010}">
      <text>
        <r>
          <rPr>
            <b/>
            <sz val="9"/>
            <color indexed="81"/>
            <rFont val="Tahoma"/>
            <family val="2"/>
          </rPr>
          <t xml:space="preserve"> &lt;[[TCDeals] - [TC Property Current Stage (Seq: 1)] TI Real Estate Taxes - Send]&gt;</t>
        </r>
      </text>
    </comment>
    <comment ref="C568" authorId="0" shapeId="0" xr:uid="{6B312975-B273-46EC-9B32-99FF79351441}">
      <text>
        <r>
          <rPr>
            <b/>
            <sz val="9"/>
            <color indexed="81"/>
            <rFont val="Tahoma"/>
            <family val="2"/>
          </rPr>
          <t xml:space="preserve"> &lt;[[TCDeals] - [TC Property Current Stage (Seq: 1)] TI Prop Liability Insurance - Send]&gt;</t>
        </r>
      </text>
    </comment>
    <comment ref="C569" authorId="0" shapeId="0" xr:uid="{0CE70702-40DC-4A6D-A174-B31A9FAFE185}">
      <text>
        <r>
          <rPr>
            <b/>
            <sz val="9"/>
            <color indexed="81"/>
            <rFont val="Tahoma"/>
            <family val="2"/>
          </rPr>
          <t xml:space="preserve"> &lt;[[TCDeals] - [TC Property Current Stage (Seq: 1)] TI Misc - Send]&gt;</t>
        </r>
      </text>
    </comment>
    <comment ref="C570" authorId="0" shapeId="0" xr:uid="{B69D5D0E-812F-42B5-91C9-6EFDEFDE1068}">
      <text>
        <r>
          <rPr>
            <b/>
            <sz val="9"/>
            <color indexed="81"/>
            <rFont val="Tahoma"/>
            <family val="2"/>
          </rPr>
          <t xml:space="preserve"> &lt;[[TCDeals] - [TC Property Current Stage (Seq: 1)] TI Payroll Taxes - Send]&gt;</t>
        </r>
      </text>
    </comment>
    <comment ref="C571" authorId="0" shapeId="0" xr:uid="{684457D6-56CA-46E1-A4BE-1EB33C75F49B}">
      <text>
        <r>
          <rPr>
            <b/>
            <sz val="9"/>
            <color indexed="81"/>
            <rFont val="Tahoma"/>
            <family val="2"/>
          </rPr>
          <t xml:space="preserve"> &lt;[[TCDeals] - [TC Property Current Stage (Seq: 1)] TI Fidelity Bond - Send]&gt;</t>
        </r>
      </text>
    </comment>
    <comment ref="C572" authorId="0" shapeId="0" xr:uid="{09962409-F4E5-4B54-9989-418F9D0EDD8E}">
      <text>
        <r>
          <rPr>
            <b/>
            <sz val="9"/>
            <color indexed="81"/>
            <rFont val="Tahoma"/>
            <family val="2"/>
          </rPr>
          <t xml:space="preserve"> &lt;[[TCDeals] - [TC Property Current Stage (Seq: 1)] TI Workmans Comp - Send]&gt;</t>
        </r>
      </text>
    </comment>
    <comment ref="C573" authorId="0" shapeId="0" xr:uid="{46AF9A10-35AA-41B9-8E34-4BDBA1DB4147}">
      <text>
        <r>
          <rPr>
            <b/>
            <sz val="9"/>
            <color indexed="81"/>
            <rFont val="Tahoma"/>
            <family val="2"/>
          </rPr>
          <t xml:space="preserve"> &lt;[[TCDeals] - [TC Property Current Stage (Seq: 1)] TI Health Ins - Send]&gt;</t>
        </r>
      </text>
    </comment>
    <comment ref="C574" authorId="0" shapeId="0" xr:uid="{E97D57A3-3DC2-49E1-AA8F-59C1ADA2C920}">
      <text>
        <r>
          <rPr>
            <b/>
            <sz val="9"/>
            <color indexed="81"/>
            <rFont val="Tahoma"/>
            <family val="2"/>
          </rPr>
          <t xml:space="preserve"> &lt;[[TCDeals] - [TC Property Current Stage (Seq: 1)] TI Other Insurance - Send]&gt;</t>
        </r>
      </text>
    </comment>
    <comment ref="D602" authorId="0" shapeId="0" xr:uid="{389AEA6D-5A81-4462-9F22-77BBAA9FA518}">
      <text>
        <r>
          <rPr>
            <b/>
            <sz val="9"/>
            <color indexed="81"/>
            <rFont val="Tahoma"/>
            <family val="2"/>
          </rPr>
          <t xml:space="preserve"> &lt;[[TCDeals] - [TC Property Current Stage (Seq: 1)] Oper Misc - Send]&gt;</t>
        </r>
      </text>
    </comment>
    <comment ref="C604" authorId="0" shapeId="0" xr:uid="{ACD89304-CC13-4874-952F-FCC54857187B}">
      <text>
        <r>
          <rPr>
            <b/>
            <sz val="9"/>
            <color indexed="81"/>
            <rFont val="Tahoma"/>
            <family val="2"/>
          </rPr>
          <t xml:space="preserve"> &lt;[[TCDeals] - [TC Property Current Stage (Seq: 1)] Annual EGI Low Income Units - Send]&gt;</t>
        </r>
      </text>
    </comment>
    <comment ref="C605" authorId="0" shapeId="0" xr:uid="{7CC03E58-A5D7-4157-A16F-92C175E56B19}">
      <text>
        <r>
          <rPr>
            <b/>
            <sz val="9"/>
            <color indexed="81"/>
            <rFont val="Tahoma"/>
            <family val="2"/>
          </rPr>
          <t xml:space="preserve"> &lt;[[TCDeals] - [TC Property Current Stage (Seq: 1)] Annual EGI Market Units - Send]&gt;</t>
        </r>
      </text>
    </comment>
    <comment ref="C611" authorId="0" shapeId="0" xr:uid="{CFA01A17-620F-49A3-9FE7-6F62C428FE5F}">
      <text>
        <r>
          <rPr>
            <b/>
            <sz val="9"/>
            <color indexed="81"/>
            <rFont val="Tahoma"/>
            <family val="2"/>
          </rPr>
          <t xml:space="preserve"> &lt;[[TCDeals] - [TC Property Current Stage (Seq: 1)] - [Property Score (Seq: 1)] Housing Needs A - Send]&gt;</t>
        </r>
      </text>
    </comment>
    <comment ref="C612" authorId="0" shapeId="0" xr:uid="{B2E1EDD1-0718-477E-9BD4-1462F53222F5}">
      <text>
        <r>
          <rPr>
            <b/>
            <sz val="9"/>
            <color indexed="81"/>
            <rFont val="Tahoma"/>
            <family val="2"/>
          </rPr>
          <t xml:space="preserve"> &lt;[[TCDeals] - [TC Property Current Stage (Seq: 1)] - [Property Score (Seq: 1)] Dev Char A - Send]&gt;</t>
        </r>
      </text>
    </comment>
    <comment ref="C613" authorId="0" shapeId="0" xr:uid="{ED787E50-C5E1-4E75-A742-EF0D498C07A5}">
      <text>
        <r>
          <rPr>
            <b/>
            <sz val="9"/>
            <color indexed="81"/>
            <rFont val="Tahoma"/>
            <family val="2"/>
          </rPr>
          <t xml:space="preserve"> &lt;[[TCDeals] - [TC Property Current Stage (Seq: 1)] - [Property Score (Seq: 1)] Tenant Char A - Send]&gt;</t>
        </r>
      </text>
    </comment>
    <comment ref="C614" authorId="0" shapeId="0" xr:uid="{020FF356-D495-4192-8DF8-CFD92F41940D}">
      <text>
        <r>
          <rPr>
            <b/>
            <sz val="9"/>
            <color indexed="81"/>
            <rFont val="Tahoma"/>
            <family val="2"/>
          </rPr>
          <t xml:space="preserve"> &lt;[[TCDeals] - [TC Property Current Stage (Seq: 1)] - [Property Score (Seq: 1)] Tenant Char B - Send]&gt;</t>
        </r>
      </text>
    </comment>
    <comment ref="C615" authorId="0" shapeId="0" xr:uid="{A8005483-4777-47AB-ADBB-2A1908F9A5BD}">
      <text>
        <r>
          <rPr>
            <b/>
            <sz val="9"/>
            <color indexed="81"/>
            <rFont val="Tahoma"/>
            <family val="2"/>
          </rPr>
          <t xml:space="preserve"> &lt;[[TCDeals] - [TC Property Current Stage (Seq: 1)] - [Property Score (Seq: 1)] Housing Needs B - Send]&gt;</t>
        </r>
      </text>
    </comment>
    <comment ref="C616" authorId="0" shapeId="0" xr:uid="{56B711DB-1B0C-434A-9C0E-842266F96A58}">
      <text>
        <r>
          <rPr>
            <b/>
            <sz val="9"/>
            <color indexed="81"/>
            <rFont val="Tahoma"/>
            <family val="2"/>
          </rPr>
          <t xml:space="preserve"> &lt;[[TCDeals] - [TC Property Current Stage (Seq: 1)] - [Property Score (Seq: 1)] Housing Needs C - Send]&gt;</t>
        </r>
      </text>
    </comment>
    <comment ref="C617" authorId="0" shapeId="0" xr:uid="{FB357CDC-D690-4E0D-A375-4450CB4E8A90}">
      <text>
        <r>
          <rPr>
            <b/>
            <sz val="9"/>
            <color indexed="81"/>
            <rFont val="Tahoma"/>
            <family val="2"/>
          </rPr>
          <t xml:space="preserve"> &lt;[[TCDeals] - [TC Property Current Stage (Seq: 1)] - [Property Score (Seq: 1)] Dev Char B - Send]&gt;</t>
        </r>
      </text>
    </comment>
    <comment ref="C618" authorId="0" shapeId="0" xr:uid="{59B84B3C-2B0C-4446-9825-E2BBBFF8621A}">
      <text>
        <r>
          <rPr>
            <b/>
            <sz val="9"/>
            <color indexed="81"/>
            <rFont val="Tahoma"/>
            <family val="2"/>
          </rPr>
          <t xml:space="preserve"> &lt;[[TCDeals] - [TC Property Current Stage (Seq: 1)] - [Property Score (Seq: 1)] Dev Char C - Send]&gt;</t>
        </r>
      </text>
    </comment>
    <comment ref="C619" authorId="0" shapeId="0" xr:uid="{EB9112B8-9A8C-47CD-A34E-A01BBCC9158C}">
      <text>
        <r>
          <rPr>
            <b/>
            <sz val="9"/>
            <color indexed="81"/>
            <rFont val="Tahoma"/>
            <family val="2"/>
          </rPr>
          <t xml:space="preserve"> &lt;[[TCDeals] - [TC Property Current Stage (Seq: 1)] - [Property Score (Seq: 1)] Efficient Use A - Send]&gt;</t>
        </r>
      </text>
    </comment>
    <comment ref="C620" authorId="0" shapeId="0" xr:uid="{EF6EC027-1C99-4F50-A77F-C0F1E76A3594}">
      <text>
        <r>
          <rPr>
            <b/>
            <sz val="9"/>
            <color indexed="81"/>
            <rFont val="Tahoma"/>
            <family val="2"/>
          </rPr>
          <t xml:space="preserve"> &lt;[[TCDeals] - [TC Property Current Stage (Seq: 1)] - [Property Score (Seq: 1)] Tenant Char C - Send]&gt;</t>
        </r>
      </text>
    </comment>
    <comment ref="C621" authorId="0" shapeId="0" xr:uid="{F61EAEB7-8BBD-4739-BDBD-A129D24FF15F}">
      <text>
        <r>
          <rPr>
            <b/>
            <sz val="9"/>
            <color indexed="81"/>
            <rFont val="Tahoma"/>
            <family val="2"/>
          </rPr>
          <t xml:space="preserve"> &lt;[[TCDeals] - [TC Property Current Stage (Seq: 1)] - [Property Score (Seq: 1)] Dev Char D - Send]&gt;</t>
        </r>
      </text>
    </comment>
    <comment ref="C622" authorId="0" shapeId="0" xr:uid="{1340B3F4-949E-46EF-8D3E-64A0EB7BE641}">
      <text>
        <r>
          <rPr>
            <b/>
            <sz val="9"/>
            <color indexed="81"/>
            <rFont val="Tahoma"/>
            <family val="2"/>
          </rPr>
          <t xml:space="preserve"> &lt;[[TCDeals] - [TC Property Current Stage (Seq: 1)] - [Property Score (Seq: 1)] Readiness A - Send]&gt;</t>
        </r>
      </text>
    </comment>
    <comment ref="C623" authorId="0" shapeId="0" xr:uid="{C6DD0854-1D04-4B39-82AC-EC4E0211095C}">
      <text>
        <r>
          <rPr>
            <b/>
            <sz val="9"/>
            <color indexed="81"/>
            <rFont val="Tahoma"/>
            <family val="2"/>
          </rPr>
          <t xml:space="preserve"> &lt;[[TCDeals] - [TC Property Current Stage (Seq: 1)] - [Property Score (Seq: 1)] Housing Needs D - Send]&gt;</t>
        </r>
      </text>
    </comment>
    <comment ref="C624" authorId="0" shapeId="0" xr:uid="{2BC08329-5798-4133-B3D0-80B322DFC1D8}">
      <text>
        <r>
          <rPr>
            <b/>
            <sz val="9"/>
            <color indexed="81"/>
            <rFont val="Tahoma"/>
            <family val="2"/>
          </rPr>
          <t xml:space="preserve"> &lt;[[TCDeals] - [TC Property Current Stage (Seq: 1)] - [Property Score (Seq: 1)] Housing Needs E - Send]&gt;</t>
        </r>
      </text>
    </comment>
    <comment ref="C625" authorId="0" shapeId="0" xr:uid="{8A1D6E9B-DFE5-48F0-9DCA-668861280E65}">
      <text>
        <r>
          <rPr>
            <b/>
            <sz val="9"/>
            <color indexed="81"/>
            <rFont val="Tahoma"/>
            <family val="2"/>
          </rPr>
          <t xml:space="preserve"> &lt;[[TCDeals] - [TC Property Current Stage (Seq: 1)] - [Property Score (Seq: 1)] Housing Needs F - Send]&gt;</t>
        </r>
      </text>
    </comment>
    <comment ref="C626" authorId="0" shapeId="0" xr:uid="{93D17A71-5A43-40C6-B78B-BCEA74C48066}">
      <text>
        <r>
          <rPr>
            <b/>
            <sz val="9"/>
            <color indexed="81"/>
            <rFont val="Tahoma"/>
            <family val="2"/>
          </rPr>
          <t xml:space="preserve"> &lt;[[TCDeals] - [TC Property Current Stage (Seq: 1)] - [Property Score (Seq: 1)] Dev Char E - Send]&gt;</t>
        </r>
      </text>
    </comment>
    <comment ref="C627" authorId="0" shapeId="0" xr:uid="{B40C59A3-D816-4FEA-9531-44950711C27D}">
      <text>
        <r>
          <rPr>
            <b/>
            <sz val="9"/>
            <color indexed="81"/>
            <rFont val="Tahoma"/>
            <family val="2"/>
          </rPr>
          <t xml:space="preserve"> &lt;[[TCDeals] - [TC Property Current Stage (Seq: 1)] Total Score - Send]&gt;</t>
        </r>
      </text>
    </comment>
    <comment ref="C648" authorId="0" shapeId="0" xr:uid="{F1919964-4004-48A5-8F44-266C9838D3E5}">
      <text>
        <r>
          <rPr>
            <b/>
            <sz val="9"/>
            <color indexed="81"/>
            <rFont val="Tahoma"/>
            <family val="2"/>
          </rPr>
          <t xml:space="preserve"> &lt;[[TCDeals] - [TC Property Current Stage (Seq: 1)] Extended Use Agreement - Send]&gt;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J3" authorId="0" shapeId="0" xr:uid="{E06907A8-9D48-4879-B533-54CC984B31D7}">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 ref="K3" authorId="0" shapeId="0" xr:uid="{A9BF2301-E1C8-4D6A-9CDC-4A95564F602E}">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Sawyer</author>
  </authors>
  <commentList>
    <comment ref="G43" authorId="0" shapeId="0" xr:uid="{95883797-7F8B-46EE-94BC-36EDAE45C80B}">
      <text>
        <r>
          <rPr>
            <b/>
            <sz val="9"/>
            <color indexed="81"/>
            <rFont val="Tahoma"/>
            <family val="2"/>
          </rPr>
          <t>Michael Sawyer:</t>
        </r>
        <r>
          <rPr>
            <sz val="9"/>
            <color indexed="81"/>
            <rFont val="Tahoma"/>
            <family val="2"/>
          </rPr>
          <t xml:space="preserve">
Red &amp; Bold indicates that the annual State TC Award exceeds the allowed limit of $1.4 million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mpope</author>
    <author>David Ginger</author>
  </authors>
  <commentList>
    <comment ref="D85" authorId="0" shapeId="0" xr:uid="{E315FB29-1704-4CEE-AA9C-A119F8FF2FF4}">
      <text>
        <r>
          <rPr>
            <sz val="8"/>
            <color indexed="81"/>
            <rFont val="Tahoma"/>
            <family val="2"/>
          </rPr>
          <t>Specify</t>
        </r>
      </text>
    </comment>
    <comment ref="L95" authorId="1" shapeId="0" xr:uid="{72C663A4-A4FE-4A3E-895C-7E664CA67C87}">
      <text>
        <r>
          <rPr>
            <b/>
            <sz val="9"/>
            <color indexed="81"/>
            <rFont val="Tahoma"/>
            <family val="2"/>
          </rPr>
          <t>WHEDA:</t>
        </r>
        <r>
          <rPr>
            <sz val="9"/>
            <color indexed="81"/>
            <rFont val="Tahoma"/>
            <family val="2"/>
          </rPr>
          <t xml:space="preserve">
For 30%, 40%, 50% and 60% CMI units, please use the rent limits found on https://www.wheda.com/LIHTC/Monitoring/.  
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t>
        </r>
      </text>
    </comment>
    <comment ref="I103" authorId="1" shapeId="0" xr:uid="{5030A846-57CC-47D8-81B2-CD2BB801018E}">
      <text>
        <r>
          <rPr>
            <b/>
            <sz val="9"/>
            <color indexed="81"/>
            <rFont val="Tahoma"/>
            <family val="2"/>
          </rPr>
          <t xml:space="preserve">WHEDA:
</t>
        </r>
        <r>
          <rPr>
            <sz val="9"/>
            <color indexed="81"/>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2" authorId="0" shapeId="0" xr:uid="{F3D0E8DF-2E48-4B6D-93A7-728BF0A3D7A2}">
      <text>
        <r>
          <rPr>
            <sz val="9"/>
            <color rgb="FF000000"/>
            <rFont val="Tahoma"/>
            <family val="2"/>
          </rPr>
          <t xml:space="preserve">Lesser of Land Cost or Value;  inclusive of title work, recording fees and legal fees. </t>
        </r>
      </text>
    </comment>
    <comment ref="C14" authorId="0" shapeId="0" xr:uid="{590B883F-B555-4D26-8832-82215BAA834B}">
      <text>
        <r>
          <rPr>
            <sz val="9"/>
            <color indexed="81"/>
            <rFont val="Tahoma"/>
            <family val="2"/>
          </rPr>
          <t>Includes any Transfer Taxes</t>
        </r>
      </text>
    </comment>
    <comment ref="C118" authorId="0" shapeId="0" xr:uid="{C44259CC-EF79-46E1-95C4-EF590AF5ACBF}">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32" authorId="0" shapeId="0" xr:uid="{3E75C050-068D-4E4F-BBBE-AA0D1B17E1C7}">
      <text>
        <r>
          <rPr>
            <sz val="9"/>
            <color indexed="81"/>
            <rFont val="Tahoma"/>
            <family val="2"/>
          </rPr>
          <t xml:space="preserve">i.e.., Net Worth Reserve Account; Turn-Over Reserve; etc. </t>
        </r>
      </text>
    </comment>
    <comment ref="D156" authorId="0" shapeId="0" xr:uid="{503C975E-7C02-4298-9D6E-998D77C4E428}">
      <text>
        <r>
          <rPr>
            <sz val="9"/>
            <color indexed="81"/>
            <rFont val="Tahoma"/>
            <family val="2"/>
          </rPr>
          <t>FIF = Facility Investment Fees that include potable water and wastewater</t>
        </r>
      </text>
    </comment>
    <comment ref="C157" authorId="0" shapeId="0" xr:uid="{1949F761-BD0F-4826-AFF9-C4397B0920ED}">
      <text>
        <r>
          <rPr>
            <sz val="9"/>
            <color indexed="81"/>
            <rFont val="Tahoma"/>
            <family val="2"/>
          </rPr>
          <t>Impact Fees include3 libraries, Public Safety, Law Enforcement, Parks and Natural Resources, Schools, Multi-modal Transportation and the administration ser charge</t>
        </r>
      </text>
    </comment>
    <comment ref="D167" authorId="0" shapeId="0" xr:uid="{21125B6C-32A0-45A6-87F2-13D39605CB7F}">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 ref="J172" authorId="0" shapeId="0" xr:uid="{D0FBD435-36D6-46C6-BDDB-9A546EDB8881}">
      <text>
        <r>
          <rPr>
            <sz val="8"/>
            <color indexed="8"/>
            <rFont val="Tahoma"/>
            <family val="2"/>
          </rPr>
          <t>This is the amount limited by state program limits on developer fee.</t>
        </r>
      </text>
    </comment>
    <comment ref="K172" authorId="0" shapeId="0" xr:uid="{C24EB769-96B0-4687-A9F4-9DEF13CBC01A}">
      <text>
        <r>
          <rPr>
            <sz val="8"/>
            <color indexed="8"/>
            <rFont val="Tahoma"/>
            <family val="2"/>
          </rPr>
          <t>This is the amount limited by state program limits on developer fee.</t>
        </r>
      </text>
    </comment>
    <comment ref="L172" authorId="0" shapeId="0" xr:uid="{DE7DEB16-8E4B-4253-82B3-84FE6521DDBD}">
      <text>
        <r>
          <rPr>
            <sz val="8"/>
            <color indexed="8"/>
            <rFont val="Tahoma"/>
            <family val="2"/>
          </rPr>
          <t>This is the amount limited by state program limits on developer fee.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5" authorId="0" shapeId="0" xr:uid="{ED37084E-7B18-4BCD-A99C-4EDD4FF29FEE}">
      <text>
        <r>
          <rPr>
            <sz val="9"/>
            <color indexed="81"/>
            <rFont val="Tahoma"/>
            <family val="2"/>
          </rPr>
          <t xml:space="preserve">Lesser of Land Cost or Value;  inclusive of title work, recording fees and legal fees. </t>
        </r>
      </text>
    </comment>
    <comment ref="C115" authorId="0" shapeId="0" xr:uid="{6CA4A550-3FEF-4537-8547-BEC795D2EF47}">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64" authorId="0" shapeId="0" xr:uid="{3A699038-EAFB-4495-9320-24036A6EECD2}">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Zachary Benson</author>
  </authors>
  <commentList>
    <comment ref="A2" authorId="0" shapeId="0" xr:uid="{7E014BC9-438E-46C1-B6DB-346E24A96D24}">
      <text>
        <r>
          <rPr>
            <b/>
            <sz val="9"/>
            <color indexed="81"/>
            <rFont val="Tahoma"/>
            <family val="2"/>
          </rPr>
          <t>Zachary Benson:</t>
        </r>
        <r>
          <rPr>
            <sz val="9"/>
            <color indexed="81"/>
            <rFont val="Tahoma"/>
            <family val="2"/>
          </rPr>
          <t xml:space="preserve">
Change this to "Year xxxx" based on what year the current rent limits are from.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<sst xmlns="http://schemas.openxmlformats.org/spreadsheetml/2006/main" count="14249" uniqueCount="7459">
  <si>
    <t>QAP Year</t>
  </si>
  <si>
    <t>Version</t>
  </si>
  <si>
    <t>Previous Version</t>
  </si>
  <si>
    <t>Major Revision?</t>
  </si>
  <si>
    <t>Date</t>
  </si>
  <si>
    <t>ID#</t>
  </si>
  <si>
    <t>Tab</t>
  </si>
  <si>
    <t>Change(s) Made</t>
  </si>
  <si>
    <t>Requested By:</t>
  </si>
  <si>
    <t>Approved By:</t>
  </si>
  <si>
    <t>Made By:</t>
  </si>
  <si>
    <t>QC'd By:</t>
  </si>
  <si>
    <t>2020.1.1</t>
  </si>
  <si>
    <t>No</t>
  </si>
  <si>
    <t>Created the Change Log, adopted a new version number schema: YYYY-XX-XX (Year-Major Version-Minor Version)</t>
  </si>
  <si>
    <t>Mike Sawyer</t>
  </si>
  <si>
    <t>Jamie Chavez</t>
  </si>
  <si>
    <t>N/A</t>
  </si>
  <si>
    <t>2020.2.1</t>
  </si>
  <si>
    <t>Yes</t>
  </si>
  <si>
    <t>Changed Tab 14, cell F90 to "=IF(F89=0,0, ROUNDDOWN(F88/F89/12,0))" Previously used ROUND() instead of ROUNDDOWN)</t>
  </si>
  <si>
    <t>Rebecca Giroux</t>
  </si>
  <si>
    <t>NA</t>
  </si>
  <si>
    <t>2020.2.2</t>
  </si>
  <si>
    <t>13. Project Costs and Credit Calc</t>
  </si>
  <si>
    <t>Changed Tab 13, Row 186 "Tax Credit Percentage Rate" to Ownership % from Tab 12
This will auto calculate this field based on the owner percent entered on Tab 8</t>
  </si>
  <si>
    <t>Sam Haile</t>
  </si>
  <si>
    <t>2020.2.3</t>
  </si>
  <si>
    <t>11. Unit Mix</t>
  </si>
  <si>
    <t>Change Z8 in Tab 11 to report exact matches only for County lookup. This is a bug fix discovered by testing the Scattered Sites Addendum</t>
  </si>
  <si>
    <t>Chandler O'Connor</t>
  </si>
  <si>
    <t>2020.3.1</t>
  </si>
  <si>
    <t>Fixed the income limits for 80% CMI values (changed multiplier from 1.4 to 1.6)</t>
  </si>
  <si>
    <t>2020.4.1</t>
  </si>
  <si>
    <t>Fixed income limits for 50% National Non-Metropolitan</t>
  </si>
  <si>
    <t>2020.5.1</t>
  </si>
  <si>
    <t>Fixed the tax credit percentage field back to user enterable, changed ROUNDDOWN to ROUND on the eligible basic credit calculation</t>
  </si>
  <si>
    <t>2020.6.1</t>
  </si>
  <si>
    <t>Fixed the eligible basis calculation for 9% Acquisition/Rehab projects. Cells changed in in Tab 13:
E193:E206
D208
E208:E210</t>
  </si>
  <si>
    <t>Fausto Rivera</t>
  </si>
  <si>
    <t>2020.7.1</t>
  </si>
  <si>
    <t>Changed Rural Scoring Category from 5 points to 8.</t>
  </si>
  <si>
    <t>Matt Childress</t>
  </si>
  <si>
    <t>2020.8.1</t>
  </si>
  <si>
    <t>Added the following smartdox fields:
Actual Addl Cost 12-20, Applicable Fraction, Adj to Elig Basis, Other Site Work, Accessory Buildings, Demolition, Lawns, Credit Enhancement, Oper Reserve, Tax Credit Fee, Cost Cert Fee, Developer Fees, Non Qual Financing, Fed Grant Financing, Historic TC Residential, Costs of Non Qual Units, Land Acq Cost, Unit Structures New, Unit Structures Rehab, Title And Recording, Other Perm Loan Fees, Existing Improvements Cost</t>
  </si>
  <si>
    <t>Stephanie Cartier</t>
  </si>
  <si>
    <t>2020.9.1</t>
  </si>
  <si>
    <t>Made changes to the TC Property Costs (used in ProlinkHFA to track eligible basis) and corrected the links in Dev Deal Budget Mapping</t>
  </si>
  <si>
    <t>2020.9.2</t>
  </si>
  <si>
    <t>Made vacancy allowance assumptions user edittable</t>
  </si>
  <si>
    <t>Shreedhar Ranabhat</t>
  </si>
  <si>
    <t>2020.10.1</t>
  </si>
  <si>
    <t>Made a helper function to allow a dynamic mix of LI units and market rate units in Unit Mix</t>
  </si>
  <si>
    <t>2020.10.2</t>
  </si>
  <si>
    <t>Changed "Nonprofit Set-Aside" to "Non-Profit Set-Aside"</t>
  </si>
  <si>
    <t>Emily Francis</t>
  </si>
  <si>
    <t>2020.11.1</t>
  </si>
  <si>
    <t>Tab 5: Conditional format E28&amp;E29 only green if E19 is "Yes"
Tab 11: Hide row 141
Tab 12: Hide rows: 59-61
Tab 13:
Formula for D10: =IF(SUM('11. Unit Mix'!G142:G143)=0, 0,'11. Unit Mix'!G142/SUM('11. Unit Mix'!G142:G143))
Formula for D11: =IF(SUM('11. Unit Mix'!G142:G143)=0, 0,'11. Unit Mix'!G143/SUM('11. Unit Mix'!G142:G143))
Delete contents of E10
Tab 15:
D63: "Management Fees"
D64: "Other Adminstrative Exp (Less Mgmt Fee)
F63: =SUM('14. Projected Operating Costs'!D18:D20)
F64: =Subtotal__Administrative_Expenses-F63
Tab 18:  Row 232: use this formula: =SUM($G227:G227)*$E232/12
Tab 29:
G18: "State 4% Rural Setaside projects 0.210, for State 4% Small Urban SetAside projects 0.180, all remaining projects use 0.115"
F18: unlock, change to white, set data validation to "0.210,0.180,0.115"
Tab 33: There should be 8 points available on tab 33. Rural Areas w_o TC
Threshold Checklist: 
C30: add: "• Historic tax credit equity - letter of intent from the syndicator/investor, written evidence that historic designation (Part I) has been applied for, or that the building is already deemed historic, and detailed calculation of the credit and equity amounts."</t>
  </si>
  <si>
    <t>External Partners</t>
  </si>
  <si>
    <t>2020.11.2</t>
  </si>
  <si>
    <t>Updated Mixed income tab to indicate that Scattered Sites are not elible for points</t>
  </si>
  <si>
    <t>2020.12.1</t>
  </si>
  <si>
    <t>Bug fixes to logic in Tab 13 and 15.</t>
  </si>
  <si>
    <t>2020.12.2</t>
  </si>
  <si>
    <t>Replaced Switch() to nested If() for backward compatibility</t>
  </si>
  <si>
    <t>2020.13.1</t>
  </si>
  <si>
    <t>Mapped the Equity Gap to ProlinkHFA</t>
  </si>
  <si>
    <t>2020.14.1</t>
  </si>
  <si>
    <t>1.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2.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3.	Tab 25. Supportive Housing there was supposed to be a note on the top of the category that reads: "WHEDA will require that an affidavit be executed and filed by the property manager in the property files attesting that the supportive housing unit was marketed in accordance with the 30 day marketing period requirement."
4.	I’ve had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t>
  </si>
  <si>
    <t>2020.15.1</t>
  </si>
  <si>
    <t>See MFA Change Request date 11/4/2020. Summary:
"Sec C Language cleanup - omit word 'recent'.
Development Team Members (Max of 2 points) - modify language as: 
'Two points will be awarded for applications that include an organization, acting as lead Developer and an Owner, that has participated in fewer than 4 HTC properties as a lead developer 
or and owner. The points will only be applied to the organization, acting lead Developer and Owner, that has participated in fewer than 4 HTC properties as lead developer and owner"
Change text were it states 20 points for this section.   It should be 15.  
Change text were it stated score of 150 or more to read score of 200.
Picklist includes High Impact Project Reserve (HIPR) included in the picklist.  This should not be an option.  Please fix
There should be a note on the top of the category that reads:                                                                                                                                                                                                                                                                                                                                                                                                                             WHEDA will require that an affidavit be executed and filed by the property manager in the property files attesting that the supportive housing unit was marketed in accordance with the 30 day marketing period requirement.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
Change equity gap model for app #2 and app #3.  Matt C. created a template to follow.  a logic statement will need to be created whereare as if the project is app #1, then use the existing equity gap calculation, all other apps use the updated model created by Matt C.
On her  Garden Homes Neighborhood Initiative MF App SmartDoct, the Gross Rental Income is not pulling from Tab 11. Unit Mix cell G128
The MF App SmartDoc on her Garden Homes Neighborhood Initiative project needs to be converted to be compatible with the 2016 version of excel. 
On her Garden Homes Neighborhood Initiative MF App SmartDoc, the total permanent LIHTC equity amount is not properly showing.
Rename Proforma and Completion as year 1 and year 2 and changing all the other years accordingly.  End the Cash Flow at Year 15 and remove years in line 49.
"1. Construciton finaning source reflected twice (const. and perm).
2. Construction interest is currently being calculated from Draw 1 – Draw 30. This does not take into account the construction loan being paid for less than 30 month const. period. "
Other1-10 – In Comments list out exactly what items are baked into specific line item – for instance Other comment reads Total Developer Costs, but what are those? List out each individually, will be a tremendous help to keep in order and certainly when we have never people join the team.”
on his Bergamot MF App SmartDoc, the Gross Rental Income is not pulling from Tab 11. Unit Mix cell G128.
Change min DCR for 9% TC to 1.175.</t>
  </si>
  <si>
    <t>2020.16.1</t>
  </si>
  <si>
    <t>Tab 18. Construction Draw</t>
  </si>
  <si>
    <t>Set Tab 18 to show a zero balance for paid off constructions loans (helper functions added to check for draws, payoffs, and non-positive balance)</t>
  </si>
  <si>
    <t>2020.17.1</t>
  </si>
  <si>
    <t>Re-mapped the Dev Budget Line Items</t>
  </si>
  <si>
    <t>Mike Sawyer/Fenando</t>
  </si>
  <si>
    <t>2020.18.1</t>
  </si>
  <si>
    <t>Multiple</t>
  </si>
  <si>
    <t>Minor changes to formulas and formatting on Tab 18, Updated scoring category 21, removed old DCR requirements from Tab15, Updated Tab 12 to dynamically resize Fed 4% TC on App2/3 given a State TC Award inputted on Tab3.</t>
  </si>
  <si>
    <t>2020.19.0</t>
  </si>
  <si>
    <t>New Set-Aside Innovative Housing Set-Aside.
- Added new tabs: 36. Serves Special Needs Population, 37. Catalyst for Revitalization, 38. Health and the Built Environment, 39. Innovative Housing Narrative, 40. Nonprofit/Community Ownership.
- Updated Navigation Links.</t>
  </si>
  <si>
    <t>Matt Case</t>
  </si>
  <si>
    <t>2021.1.2</t>
  </si>
  <si>
    <t>2021.1.1</t>
  </si>
  <si>
    <t>Income Limits</t>
  </si>
  <si>
    <t>Added 2021 Income Limits, available on https://www.wheda.com/developers-and-property-managers/tax-credits/htc/monitoring/</t>
  </si>
  <si>
    <t>Commercial Lending</t>
  </si>
  <si>
    <t>15. Cash Flow</t>
  </si>
  <si>
    <t>"Other Income Source (e.g, TIF Rebate) doesn’t flow into line 59 which it should". 
Previous Formula: =F50(Effective Gross Income) - F57 (Total Vacancy)
New Formula: =F50(Effective Gross Income) - F57 (Total Vacancy) +F58 (Other Income Source (e.g. TIF Rebate)</t>
  </si>
  <si>
    <t>Tab 2. Project Name &amp; Location</t>
  </si>
  <si>
    <t>Allow .us email addresses.</t>
  </si>
  <si>
    <t>Tab 6. Site Control</t>
  </si>
  <si>
    <t>Removed Employee Units from the Applicable Fraction calculation cell H184 (The applicable Fraction calculation.</t>
  </si>
  <si>
    <t>Matt and Trish</t>
  </si>
  <si>
    <t>26. Veterans Housing</t>
  </si>
  <si>
    <t xml:space="preserve"> - Cell F25, changed label text from "Total Units" to "Low Income Units"
 - Cell G25, changed formula ref from Tab11UnitMix_F128_TotalUnits to F124_LowIncomeUnits.</t>
  </si>
  <si>
    <t>12. Funding Sources.</t>
  </si>
  <si>
    <t>Remove rates (0.95 and $0.65) and ownership percentages</t>
  </si>
  <si>
    <t>Lock the Deferred Dev Fee and pull from Tab 13. E165</t>
  </si>
  <si>
    <t>11 . Unit Mix
27.Rehab Neighborhood Stabil</t>
  </si>
  <si>
    <t>11. Unit Mix, column BC: Changed the Unit Mix Helper function from "sgl" to "Single Family" 
27.Rehab Neighborhood Stabil, Line 22: Changed the cell to point to UnitMix Total Units (F128)</t>
  </si>
  <si>
    <t>18. Construction Draw</t>
  </si>
  <si>
    <t>Changed line E120 from "Other Syndication Costs" to "Tax Opinion". "Other Syndication Costs" had been listed twice.</t>
  </si>
  <si>
    <t>23. Serves Large Families</t>
  </si>
  <si>
    <t>Cell J24 Three bedroom or lorger Low Income Units.
Changed rule to include either of the following:
- 3 or more bedrooms, and Low Income, and 20%, 30%, 40%, or 50% CMI
- 3 or more bedrooms, and Voucher, and 60% CMI</t>
  </si>
  <si>
    <t>2. Project Name and Location
33. Rural Areas</t>
  </si>
  <si>
    <t>Tab 2. Changed county picklist value from "Saint Croix" to "St. Croix" to match ProLink and HTC Income and Rent Limits. This value is also used in tab 11. Unit Mix though no changes were made to that tab.
Tab 33. Changed county name from "Saint Croix" to "St. Croix"  to match this impacts the scoring result.</t>
  </si>
  <si>
    <t>64
69</t>
  </si>
  <si>
    <t>29. Financial Leverage</t>
  </si>
  <si>
    <t>- Changed F14 (Annual Housing Tax Credits Requested Subtotal) to use the the sum of all Credit Amount values (Line 212 on tab 13. Project Costs and credit Calc), regardless of the credit requested.
- Changed the rounddown function on the PCT calculation to 1 decimal instead of 3 decimals (to match the table)
- The Rural table scoring formulas were referencing a blank cell; changed to reference the PCT calculation
- Changed the formulas to determine table scores to be consistent with each other
- Added labels to formulas, cleaned up the formulas used to reach the final scoring</t>
  </si>
  <si>
    <t>Change Log, Dropdown Lists, ProLink Mapping</t>
  </si>
  <si>
    <t>Renamed FOR WHEDA USE ONLY tab to "Dropdown Lists"
Moved Change Log, Dropdown Lists, and ProLink Mapping tabs to the far left.</t>
  </si>
  <si>
    <t>Walked through the Baker Tilly Glen Grove apps. Many of the rounding issues had been previously fixed.
 - Removed rounding from Annual Credit Award E206 (Federal 9%)
 - Left rounding on Credit Amount cells E12 (Federal 9%), F212 (Federal 4%), and G212 (State)</t>
  </si>
  <si>
    <t>15. Project Cash Flow</t>
  </si>
  <si>
    <t>Proposed Annual Debt Service-3rd Mortgage, Year 1
Changed the formula to to point to the 3rd Mortgage =IF(B86,'12. Funding Sources'!M18, 0). It was using M20.</t>
  </si>
  <si>
    <t>Changed '% Max Market Rent' (column Q) to not include the Utility Allowance.
 - Old Formula: (Monthly_Net_Rent + Utility_Allowance) / Estimated_Market_Rent
 - New Formula: Monthly_Net_Rent / Estimated_Market_Rent</t>
  </si>
  <si>
    <t>15. Projected Cash Flow</t>
  </si>
  <si>
    <t>Updated the Debt Service formulas for the mortgages to calculate only to the mortgage term.</t>
  </si>
  <si>
    <t>2022.2.1</t>
  </si>
  <si>
    <t>All tabs with Applicant Notes</t>
  </si>
  <si>
    <t>Increased the Applicant Notes text box height from 4 lines to 8 lines.</t>
  </si>
  <si>
    <t>33. Rural Areas wo Recent</t>
  </si>
  <si>
    <r>
      <t xml:space="preserve">QAP: Changed language to include "Tribal Nations". </t>
    </r>
    <r>
      <rPr>
        <sz val="11"/>
        <color rgb="FFFF0000"/>
        <rFont val="Calibri"/>
        <family val="2"/>
        <scheme val="minor"/>
      </rPr>
      <t>Check with Emily.</t>
    </r>
  </si>
  <si>
    <t>19. Instructions Scoring Summ</t>
  </si>
  <si>
    <t>Changed text to "Reminder: In the General, Preservation and Supportive Housing set-asides, the credit limit will be $1,200,000 per application." Was previously "...$1,400,000 per application." Updated amount on related formula.</t>
  </si>
  <si>
    <t>ProLink Mapping</t>
  </si>
  <si>
    <r>
      <t>Changed to formula in E144 to =IF(C144="","","</t>
    </r>
    <r>
      <rPr>
        <b/>
        <sz val="11"/>
        <color theme="1"/>
        <rFont val="Calibri"/>
        <family val="2"/>
        <scheme val="minor"/>
      </rPr>
      <t>Attorney</t>
    </r>
    <r>
      <rPr>
        <sz val="11"/>
        <color theme="1"/>
        <rFont val="Calibri"/>
        <family val="2"/>
        <scheme val="minor"/>
      </rPr>
      <t>") instead of "Law Firm". Attorney matches other references within the MFA (ProLink Mapping columns B and AC) and the PL_DealEntityRoles picklist in ProLink.</t>
    </r>
  </si>
  <si>
    <t>State HTC Gap</t>
  </si>
  <si>
    <r>
      <t xml:space="preserve">Incorporate Addendum. Added the State HTC Gap Addendum as it's own tab. This tab is will be hidden / read-only.
</t>
    </r>
    <r>
      <rPr>
        <sz val="11"/>
        <color rgb="FFFF0000"/>
        <rFont val="Calibri"/>
        <family val="2"/>
        <scheme val="minor"/>
      </rPr>
      <t>The State Weight Multiplier is based on the Set-Aside chosen on Tab 3. Project Description. We need to plug in corresponding Multiplier values.</t>
    </r>
    <r>
      <rPr>
        <sz val="11"/>
        <color theme="1"/>
        <rFont val="Calibri"/>
        <family val="2"/>
        <scheme val="minor"/>
      </rPr>
      <t xml:space="preserve"> Check with Emily. Also the Mulitplier on 29. Financial Leverage.</t>
    </r>
  </si>
  <si>
    <t>27 . Rehab Neighborhood</t>
  </si>
  <si>
    <t>Incorporated Addendum and corrected formula fields.</t>
  </si>
  <si>
    <t>Incorporated Addendum. This was completed as part of item 52.</t>
  </si>
  <si>
    <t>All Application Tabs</t>
  </si>
  <si>
    <t>Updated Navigation Hyperlinks. Removed "2021" from "Application Submission Checklist - Submit with Initial Application Only" and from "Self-Scoring Checklist - Submit with Initial Application Only" in order to make it easier to maintain.</t>
  </si>
  <si>
    <t>Construction Draw Schedule</t>
  </si>
  <si>
    <t>Incremented Draw Schedule dates by one year (e.g. Jan-2021 became Jan-2022).</t>
  </si>
  <si>
    <t>2022.2.2</t>
  </si>
  <si>
    <t>13. Project Costs &amp; Credit</t>
  </si>
  <si>
    <t>Paragraphs are misalligned when zoomed and less then 100% (e.g., 85% zoom)</t>
  </si>
  <si>
    <t>Kari Maguire</t>
  </si>
  <si>
    <t>2022.2.3</t>
  </si>
  <si>
    <t>Rounding issue on Tax Credits Percentage of Adjsted Development Costs. Field was rounding down to the nearest 10%. So 69.1% would become 60%. Updated formula to round to the nearest 0.1 %.</t>
  </si>
  <si>
    <t>Formula typo for Total Points caluclation. Would give you a #NAME# error ofr Non-Rural Set-Aside Projects. It was using MAC() instead of MAX().</t>
  </si>
  <si>
    <t>Lock cell E43</t>
  </si>
  <si>
    <t>2022.3.1</t>
  </si>
  <si>
    <t>Incorporated State Housing Equity Gap calculation
 - State HTC Line 43 Federal and State feeds into Tab 13. Annual Credit Award (line 206)
 - Added State HTC Multiplier to Project Description tab (Line 56).</t>
  </si>
  <si>
    <t>Updated Developer Fee Limit to from 1,400,000 to 1,200,000 on the State HTC tab.</t>
  </si>
  <si>
    <t>Reverted change on tab 29. Changed call contents to include old percentages and language.</t>
  </si>
  <si>
    <t>N146 ProLink Mapping</t>
  </si>
  <si>
    <t>AC145 ProLink Mapping</t>
  </si>
  <si>
    <t>2022.3.2</t>
  </si>
  <si>
    <t>Veteran's Housing</t>
  </si>
  <si>
    <t>Changed to Pull Total Units, instead of Low Income Units
Changed Label to Total units
- Changed cell to pull from Total Units on Unit Mix tab.</t>
  </si>
  <si>
    <t>2022.3.3</t>
  </si>
  <si>
    <t>State HTC Credit Calc</t>
  </si>
  <si>
    <t>Added logic for State HTC to work correctly. T Tab 13 should use normal calculations unless Set Aside type is Rural and Application type is State 4 plus Federal.</t>
  </si>
  <si>
    <t>2022.3.4</t>
  </si>
  <si>
    <t>Replaced "Other" Deal Entity Roles with valid roles, or changed them to map nothing since the field is not required.</t>
  </si>
  <si>
    <t>Rural Areas</t>
  </si>
  <si>
    <t>Language changes to include Tribal Housing and eligible / ineligible areas.</t>
  </si>
  <si>
    <t>2022.4.0</t>
  </si>
  <si>
    <t>All</t>
  </si>
  <si>
    <t>Hide Innovative Housing Set-Aside (IHSA) tabs. Format IHSA navigation links to be invisible. Confirm that formulas are hidden, fillable fields are blank or reset, each page is top left justified.</t>
  </si>
  <si>
    <t>Removed Employee Units from the Applicable Fraction calculation cell H185 (The applicable Fraction calculation). This was overlooked from change ID 46. Help Desk Ticket #41667.</t>
  </si>
  <si>
    <t>2023.0.02</t>
  </si>
  <si>
    <t>Ticket 44384</t>
  </si>
  <si>
    <t>Issue: The Credit Calc was not showing for Oakwood application. Cause: The Fed Credit Calc was using the State Investor ownership %, and not the Federal Ownershi[p %) Fix: Updated the formula on cell X201 from "='12. Funding Sources'!H41 to "='12. Funding Sources'!H39".</t>
  </si>
  <si>
    <t>Jin Park-Higbee</t>
  </si>
  <si>
    <t>2023.0.03</t>
  </si>
  <si>
    <t>Dan Beres</t>
  </si>
  <si>
    <t>2023.09.16</t>
  </si>
  <si>
    <t>See S:\projects\MFA Annual QAP Process\2024\</t>
  </si>
  <si>
    <t>n/a</t>
  </si>
  <si>
    <t>Project Team</t>
  </si>
  <si>
    <t>2023.09.27</t>
  </si>
  <si>
    <t>2023.09.28</t>
  </si>
  <si>
    <t>2024.1.0</t>
  </si>
  <si>
    <t>2024.1.1</t>
  </si>
  <si>
    <t>Dev Score, Expected project cost numbers.</t>
  </si>
  <si>
    <t>2024.1.5</t>
  </si>
  <si>
    <t>ProLink</t>
  </si>
  <si>
    <t>Fixed Mapping for Mixed Income Incentive WHEDA and Federal Pricing Per Credit.</t>
  </si>
  <si>
    <t>25.0.1</t>
  </si>
  <si>
    <t>Unit Mix</t>
  </si>
  <si>
    <t>1.	Added to Unit Mix tab Cell V17 "Multiple Story Unit" (empty space, did not want to right click-insert in case it messed up downstream impacts).
2.	Formatted cells V18-V67 as white background with outline. Added data validation: List "Yes, No"</t>
  </si>
  <si>
    <t>Chris Sterr</t>
  </si>
  <si>
    <t>TBD</t>
  </si>
  <si>
    <t>Areas of Economic Opp</t>
  </si>
  <si>
    <t>1. On the Areas of Economic Opp tab, Named cell G8 "isClaimingPtsAreaofEconomicOpp" to clarify what the field was for the formula's readibility. Same with "isQualifiedSenior" for cell E62.
2. On the Areas of Economic Opp tab, Updated E67-E73's formula to include a check for a non-blank tribal name, and that the criteria is 4 miles. Before and after formulas is in the HTC Tech Update project as "M056 Before and after formulas.xksx"
3. Formatted the cells to follow yellow with  black outline.</t>
  </si>
  <si>
    <t>Tom Derr</t>
  </si>
  <si>
    <t>Projected Cash Flow</t>
  </si>
  <si>
    <t>On the Projected Cash Flow tab, unhid row 10 in the "Year One" table under "Inflation Rate".: "Commercial Income"</t>
  </si>
  <si>
    <t>Erin Libecki</t>
  </si>
  <si>
    <t>Project Costs</t>
  </si>
  <si>
    <t>On the Project Costs tab, unhid row 49 in the Site Work Costs section.</t>
  </si>
  <si>
    <t>Backlog changes</t>
  </si>
  <si>
    <t>HTC Tech Update Requirements List.xlsx (Sharepoint). Copy to be saved to 2025 Project folder.</t>
  </si>
  <si>
    <t>Emily Francis, Jonathan Shadeberg</t>
  </si>
  <si>
    <t>Annual QAP Changes</t>
  </si>
  <si>
    <t>2025.1.10</t>
  </si>
  <si>
    <t>21. Location Score</t>
  </si>
  <si>
    <t>Issue: School District Score was not populating in cell C20; was pointing to empty cell Q20. Fix: Updated cell S20 with the school district (Tab 3 Project Location &gt; Schoool District (D15). Updated the C20 VLOOKUP to use S20. Tested and it is working.</t>
  </si>
  <si>
    <t>15. Credit Calculation</t>
  </si>
  <si>
    <t>Issue: State credit calc (P50) was not using the min amount, since it was in the FALSE clause when checking if the credit percentage was populating. I updated the formula to use to place the MIN function in the TRUE clause.
Previous: =ROUNDDOWN(IF(VALUE(P26)&gt;0%, P28+P12, MIN(P44+P12, P28+P12, P48)) + P46, 0)
New: =ROUNDDOWN(IF(VALUE(P26)&gt;0%, MIN(P44+P12, P28+P12, P48)+P46, 0),0)</t>
  </si>
  <si>
    <t xml:space="preserve">Updated "UtilityApplianceType" range from ='Dropdown Lists'!$R$2:$R$12 to ='Dropdown Lists'!$R$2:$R$10 to stop users from manually entering value from dropdown list </t>
  </si>
  <si>
    <t>Mat Murn</t>
  </si>
  <si>
    <t>Updated formula in cell F464 from =21. Location Score'!C50 to =IF('21. Location Score'!C50="N/A", 0, '21. Location Score'!C50) to handle N/A value being set in cell C50 and set score to 0</t>
  </si>
  <si>
    <t>5. Applicant Information</t>
  </si>
  <si>
    <t>Added data validation list for state in cell F11</t>
  </si>
  <si>
    <t>Mapping tabs</t>
  </si>
  <si>
    <t>Updated org, contact name, address, city fields to uppercase to better align to USPS standards. Completed on ProLink tab and ProLink Mapping tab. Search in formulas for "UPPER(".</t>
  </si>
  <si>
    <t>14. Project Costs</t>
  </si>
  <si>
    <t>Construction Contingency % (E60) was always calculating at 0% and should calculate F60.F58. 
Previous: =IFERROR(PC_CNT_Res_HC_Contingency_Total/(F57,PC_CST_Site_Subtotal_Total,PC_CST_Other_New_Construction_Total,PC_CST_Accessory_Building_Total,F27,F25,F24,PC_CST_Building_Total),0)
New:
=IFERROR(PC_CNT_Res_HC_Contingency_Total/F58,0)</t>
  </si>
  <si>
    <t>Red text was visible in columns  R and S. I updated the Text color to white.</t>
  </si>
  <si>
    <t>18. Max Cost Model</t>
  </si>
  <si>
    <t>Formula was always calcuating 0% and needs to be updated to use $25,000 fee per unit amount.
Previous:
=IF(Set_aside=9%,0,IF(PC_DEV_Developer_Costs_Subtotal_Total-21000*Total_Units&gt;0,PC_DEV_Developer_Costs_Subtotal_Total-21000*Total_Units,0))
New:
=IF(Credit_percentage_applied_for="9%",0,IF(PC_DEV_Developer_Costs_Subtotal_Total-25000*Total_Units&gt;0,PC_DEV_Developer_Costs_Subtotal_Total-25000*Total_Units,0))</t>
  </si>
  <si>
    <t>12. Funding Sources</t>
  </si>
  <si>
    <t>Updated formatting for cells H69:H72 to match cells H61:H65 (e.g. 50.000%).</t>
  </si>
  <si>
    <t>Constant Name</t>
  </si>
  <si>
    <t>Value</t>
  </si>
  <si>
    <t>Data Type</t>
  </si>
  <si>
    <t>Tax Credit Year</t>
  </si>
  <si>
    <t>Numeric</t>
  </si>
  <si>
    <t>Yes/No</t>
  </si>
  <si>
    <t>0/1/2</t>
  </si>
  <si>
    <t>Counties</t>
  </si>
  <si>
    <t>Project Type</t>
  </si>
  <si>
    <t>Minimum Set-Aside
Requirements</t>
  </si>
  <si>
    <t>Set-Asides</t>
  </si>
  <si>
    <t>Credit Percentage</t>
  </si>
  <si>
    <t xml:space="preserve">Type
(Unit Mix) </t>
  </si>
  <si>
    <t>CMI% (Unit Mix)</t>
  </si>
  <si>
    <t>Voucher CMI%</t>
  </si>
  <si>
    <t>Subsidy Source 
(Project Desc)</t>
  </si>
  <si>
    <t>Federal Financing Type (Project Description)</t>
  </si>
  <si>
    <t>Type of Control
(site control/Buildings)</t>
  </si>
  <si>
    <t>Entity Type
(ownership entity)</t>
  </si>
  <si>
    <t>Entity Status (ownership entity)</t>
  </si>
  <si>
    <t xml:space="preserve">Entity/Principal Function (ownership entity) </t>
  </si>
  <si>
    <t>Utility</t>
  </si>
  <si>
    <t>Utility Appliance</t>
  </si>
  <si>
    <t xml:space="preserve">Bedrooms </t>
  </si>
  <si>
    <t>Bathrooms</t>
  </si>
  <si>
    <t>State</t>
  </si>
  <si>
    <t xml:space="preserve">Source of Utility Allowance Assumptions </t>
  </si>
  <si>
    <t>Unit Types</t>
  </si>
  <si>
    <t>Non-Voucher Unit Types</t>
  </si>
  <si>
    <t>Encluded or N/A</t>
  </si>
  <si>
    <t>Financing Type</t>
  </si>
  <si>
    <t>Tenancy Type</t>
  </si>
  <si>
    <t>Metro Counties</t>
  </si>
  <si>
    <t>Tribal Nations</t>
  </si>
  <si>
    <t>Wisconsin
Assembly
Districts</t>
  </si>
  <si>
    <t>Wisconsin
Senate
District</t>
  </si>
  <si>
    <t>US Congress District</t>
  </si>
  <si>
    <t>Utility Payment</t>
  </si>
  <si>
    <t>Lender Name Bond Issuer</t>
  </si>
  <si>
    <t>Building Type</t>
  </si>
  <si>
    <t>Cooling</t>
  </si>
  <si>
    <t>Cooking</t>
  </si>
  <si>
    <t>Hot Water</t>
  </si>
  <si>
    <t>Adams</t>
  </si>
  <si>
    <t>New Construction</t>
  </si>
  <si>
    <t>20%/50%</t>
  </si>
  <si>
    <t>General Set-Aside</t>
  </si>
  <si>
    <t>9%</t>
  </si>
  <si>
    <t>Apartment</t>
  </si>
  <si>
    <t>HUD</t>
  </si>
  <si>
    <t>CHDO</t>
  </si>
  <si>
    <t>Ownership</t>
  </si>
  <si>
    <t>Limited Liability Company</t>
  </si>
  <si>
    <t>To Be Formed</t>
  </si>
  <si>
    <t>Principal</t>
  </si>
  <si>
    <t>Gas</t>
  </si>
  <si>
    <t>Electric Baseboard</t>
  </si>
  <si>
    <t>Local PHA</t>
  </si>
  <si>
    <t>Low Income</t>
  </si>
  <si>
    <t>Enc</t>
  </si>
  <si>
    <t>Tax Exempt Bond Financing - Permanent</t>
  </si>
  <si>
    <t>Family</t>
  </si>
  <si>
    <t>Brown</t>
  </si>
  <si>
    <t>Bad River Band of Lake Superior Chippewa</t>
  </si>
  <si>
    <t>Owner</t>
  </si>
  <si>
    <t>WHEDA</t>
  </si>
  <si>
    <t>New Constr - Fed Sub</t>
  </si>
  <si>
    <t>Central Air</t>
  </si>
  <si>
    <t>Electric</t>
  </si>
  <si>
    <t>Ashland</t>
  </si>
  <si>
    <t>Acquisition/Rehab</t>
  </si>
  <si>
    <t>40%/60%</t>
  </si>
  <si>
    <t>Rural Set-Aside</t>
  </si>
  <si>
    <t>4%</t>
  </si>
  <si>
    <t>Duplex</t>
  </si>
  <si>
    <t>RD</t>
  </si>
  <si>
    <t>Federal HOME</t>
  </si>
  <si>
    <t>Purchase Contract</t>
  </si>
  <si>
    <t>Limited Liability Partnership</t>
  </si>
  <si>
    <t>Already Formed</t>
  </si>
  <si>
    <t>Managing Member</t>
  </si>
  <si>
    <t>Electric Forced Air</t>
  </si>
  <si>
    <t>AK</t>
  </si>
  <si>
    <t>LIHTC Permit Calcs</t>
  </si>
  <si>
    <t>Voucher</t>
  </si>
  <si>
    <t>Home</t>
  </si>
  <si>
    <t>Stand-Alone Bond Financing</t>
  </si>
  <si>
    <t>Age Restricted</t>
  </si>
  <si>
    <t>Calumet</t>
  </si>
  <si>
    <t>Forest County Potawatomi</t>
  </si>
  <si>
    <t>Tenant</t>
  </si>
  <si>
    <t>Conduit</t>
  </si>
  <si>
    <t>New Constr - Not Fed Sub</t>
  </si>
  <si>
    <t>Central Chiller</t>
  </si>
  <si>
    <t>Barron</t>
  </si>
  <si>
    <t>Adaptive Reuse</t>
  </si>
  <si>
    <t>Income Averaging</t>
  </si>
  <si>
    <t>Small Urban Set-Aside</t>
  </si>
  <si>
    <t>State + Fed 4%</t>
  </si>
  <si>
    <t>Single Family</t>
  </si>
  <si>
    <t>HUD Sect 202</t>
  </si>
  <si>
    <t>Option</t>
  </si>
  <si>
    <t>C Corporation</t>
  </si>
  <si>
    <t>Managing General Partner</t>
  </si>
  <si>
    <t>Propane</t>
  </si>
  <si>
    <t>Solar</t>
  </si>
  <si>
    <t>AL</t>
  </si>
  <si>
    <t>HOME</t>
  </si>
  <si>
    <t>Employee</t>
  </si>
  <si>
    <t>Preservation Revolving Loan Fund</t>
  </si>
  <si>
    <t>Chippewa</t>
  </si>
  <si>
    <t>Ho-Chunk Nation</t>
  </si>
  <si>
    <t xml:space="preserve">Local Issuance </t>
  </si>
  <si>
    <t>Existing Building</t>
  </si>
  <si>
    <t>Through Wall</t>
  </si>
  <si>
    <t>Combo</t>
  </si>
  <si>
    <t>Oil Fired</t>
  </si>
  <si>
    <t>Bayfield</t>
  </si>
  <si>
    <t>Adaptive Reuse/New Construction</t>
  </si>
  <si>
    <t>Townhouses</t>
  </si>
  <si>
    <t>HUD Sect 236</t>
  </si>
  <si>
    <t>S Corporation</t>
  </si>
  <si>
    <t>Other - please note in comment box</t>
  </si>
  <si>
    <t>Gas Radiant</t>
  </si>
  <si>
    <t>AR</t>
  </si>
  <si>
    <t>USDA</t>
  </si>
  <si>
    <t>Tax Credit Development Financing</t>
  </si>
  <si>
    <t>Columbia</t>
  </si>
  <si>
    <t>Lac Courte Oreille Band of Lake Superior Chippewa</t>
  </si>
  <si>
    <t>Single Placement</t>
  </si>
  <si>
    <t>Rehab Expend - Fed Sub</t>
  </si>
  <si>
    <t>Window Unit</t>
  </si>
  <si>
    <t>Equity Take out</t>
  </si>
  <si>
    <t>RD 515</t>
  </si>
  <si>
    <t>Limited Partnership</t>
  </si>
  <si>
    <t>Gas Forced Air</t>
  </si>
  <si>
    <t>AZ</t>
  </si>
  <si>
    <t>Utiity Company</t>
  </si>
  <si>
    <t>Rental Housing Accessibility Loan</t>
  </si>
  <si>
    <t>Dane</t>
  </si>
  <si>
    <t>Lac du Flambeau Band of Lake Superior Chippewa</t>
  </si>
  <si>
    <t>Pooled Bonds</t>
  </si>
  <si>
    <t>Rehab Expend - Not Fed Sub</t>
  </si>
  <si>
    <t>Buffalo</t>
  </si>
  <si>
    <t xml:space="preserve">Refinance </t>
  </si>
  <si>
    <t>Tax-Exempt Bond</t>
  </si>
  <si>
    <t>Other</t>
  </si>
  <si>
    <t>Heat Pump</t>
  </si>
  <si>
    <t>CA</t>
  </si>
  <si>
    <t>Tax Incremental Financing (TIF)</t>
  </si>
  <si>
    <t>Douglas</t>
  </si>
  <si>
    <t>Menominee Indian Tribe of Wisconsin</t>
  </si>
  <si>
    <t>Burnett</t>
  </si>
  <si>
    <t>Acquisition/New Construction</t>
  </si>
  <si>
    <t>Oil Forced Air</t>
  </si>
  <si>
    <t>CO</t>
  </si>
  <si>
    <t>Subordinate Debt Financing</t>
  </si>
  <si>
    <t>Eau Claire</t>
  </si>
  <si>
    <t>Mole Lake (Sokaogon Chippewa Community) Band of Lake Superior Chippewa</t>
  </si>
  <si>
    <t>Oil Radiant</t>
  </si>
  <si>
    <t>CT</t>
  </si>
  <si>
    <t>Infrastructure Access</t>
  </si>
  <si>
    <t>Fond du Lac</t>
  </si>
  <si>
    <t>Oneida Nation</t>
  </si>
  <si>
    <t>DC</t>
  </si>
  <si>
    <t>Restore Main Street</t>
  </si>
  <si>
    <t>Green</t>
  </si>
  <si>
    <t>Red Cliff Band of Lake Superior Chippewa</t>
  </si>
  <si>
    <t>Clark</t>
  </si>
  <si>
    <t>DE</t>
  </si>
  <si>
    <t>Vacancy-to-Vitality</t>
  </si>
  <si>
    <t>Iowa</t>
  </si>
  <si>
    <t>Saint Croix Chippewa Indians of Wisconsin</t>
  </si>
  <si>
    <t>FL</t>
  </si>
  <si>
    <t>Kenosha</t>
  </si>
  <si>
    <t>Stockbridge-Munsee Community Band of Mohican Indians</t>
  </si>
  <si>
    <t>Crawford</t>
  </si>
  <si>
    <t>GA</t>
  </si>
  <si>
    <t>La Crosse</t>
  </si>
  <si>
    <t>HI</t>
  </si>
  <si>
    <t>Marathon</t>
  </si>
  <si>
    <t>Dodge</t>
  </si>
  <si>
    <t>IA</t>
  </si>
  <si>
    <t>Milwaukee</t>
  </si>
  <si>
    <t>Door</t>
  </si>
  <si>
    <t>ID</t>
  </si>
  <si>
    <t>Oconto</t>
  </si>
  <si>
    <t>IL</t>
  </si>
  <si>
    <t>Outagamie</t>
  </si>
  <si>
    <t>Dunn</t>
  </si>
  <si>
    <t>IN</t>
  </si>
  <si>
    <t>Ozaukee</t>
  </si>
  <si>
    <t>KS</t>
  </si>
  <si>
    <t>Pierce</t>
  </si>
  <si>
    <t>Florence</t>
  </si>
  <si>
    <t>KY</t>
  </si>
  <si>
    <t>Racine</t>
  </si>
  <si>
    <t>LA</t>
  </si>
  <si>
    <t>Rock</t>
  </si>
  <si>
    <t>Forest</t>
  </si>
  <si>
    <t>MA</t>
  </si>
  <si>
    <t>Sheboygan</t>
  </si>
  <si>
    <t>Grant</t>
  </si>
  <si>
    <t>MD</t>
  </si>
  <si>
    <t>St. Croix</t>
  </si>
  <si>
    <t>ME</t>
  </si>
  <si>
    <t>Washington</t>
  </si>
  <si>
    <t>Green Lake</t>
  </si>
  <si>
    <t>MI</t>
  </si>
  <si>
    <t>Waukesha</t>
  </si>
  <si>
    <t>MN</t>
  </si>
  <si>
    <t>Winnebago</t>
  </si>
  <si>
    <t>Iron</t>
  </si>
  <si>
    <t>MO</t>
  </si>
  <si>
    <t>Jackson</t>
  </si>
  <si>
    <t>MS</t>
  </si>
  <si>
    <t>Jefferson</t>
  </si>
  <si>
    <t>MT</t>
  </si>
  <si>
    <t>Juneau</t>
  </si>
  <si>
    <t>NC</t>
  </si>
  <si>
    <t>ND</t>
  </si>
  <si>
    <t>Kewaunee</t>
  </si>
  <si>
    <t>NE</t>
  </si>
  <si>
    <t>NH</t>
  </si>
  <si>
    <t>Lafayette</t>
  </si>
  <si>
    <t>NJ</t>
  </si>
  <si>
    <t>Langlade</t>
  </si>
  <si>
    <t>NM</t>
  </si>
  <si>
    <t>Lincoln</t>
  </si>
  <si>
    <t>NV</t>
  </si>
  <si>
    <t>Manitowoc</t>
  </si>
  <si>
    <t>NY</t>
  </si>
  <si>
    <t>OH</t>
  </si>
  <si>
    <t>Marinette</t>
  </si>
  <si>
    <t>OK</t>
  </si>
  <si>
    <t>Marquette</t>
  </si>
  <si>
    <t>OR</t>
  </si>
  <si>
    <t>Menominee</t>
  </si>
  <si>
    <t>PA</t>
  </si>
  <si>
    <t>RI</t>
  </si>
  <si>
    <t>Monroe</t>
  </si>
  <si>
    <t>SC</t>
  </si>
  <si>
    <t>SD</t>
  </si>
  <si>
    <t>Oneida</t>
  </si>
  <si>
    <t>TN</t>
  </si>
  <si>
    <t>TX</t>
  </si>
  <si>
    <t>UT</t>
  </si>
  <si>
    <t>Pepin</t>
  </si>
  <si>
    <t>VA</t>
  </si>
  <si>
    <t>VT</t>
  </si>
  <si>
    <t>Polk</t>
  </si>
  <si>
    <t>WA</t>
  </si>
  <si>
    <t>Portage</t>
  </si>
  <si>
    <t>WI</t>
  </si>
  <si>
    <t>Price</t>
  </si>
  <si>
    <t>WV</t>
  </si>
  <si>
    <t>WY</t>
  </si>
  <si>
    <t>Richland</t>
  </si>
  <si>
    <t>Rusk</t>
  </si>
  <si>
    <t>Sauk</t>
  </si>
  <si>
    <t>Sawyer</t>
  </si>
  <si>
    <t>Shawano</t>
  </si>
  <si>
    <t>Taylor</t>
  </si>
  <si>
    <t>Trempealeau</t>
  </si>
  <si>
    <t>Vernon</t>
  </si>
  <si>
    <t>Vilas</t>
  </si>
  <si>
    <t>Walworth</t>
  </si>
  <si>
    <t>Washburn</t>
  </si>
  <si>
    <t>Waupaca</t>
  </si>
  <si>
    <t>Waushara</t>
  </si>
  <si>
    <t>Wood</t>
  </si>
  <si>
    <t>MFA Field Name</t>
  </si>
  <si>
    <t>TCA Screen</t>
  </si>
  <si>
    <t>TCA Screen Label</t>
  </si>
  <si>
    <t>Field Name</t>
  </si>
  <si>
    <t>Send/Get</t>
  </si>
  <si>
    <t>Comment</t>
  </si>
  <si>
    <t>WHEDA COMMERCIAL LOAN</t>
  </si>
  <si>
    <t>Date of Application</t>
  </si>
  <si>
    <t>Edit TCA Deal</t>
  </si>
  <si>
    <t>Reservation Application Received - Received Date</t>
  </si>
  <si>
    <t>Reservation Application Received Received Date</t>
  </si>
  <si>
    <t>Get</t>
  </si>
  <si>
    <t>Tax Credit #</t>
  </si>
  <si>
    <t>Deal Number</t>
  </si>
  <si>
    <t>Tax Credit Stage</t>
  </si>
  <si>
    <t>Current Stage</t>
  </si>
  <si>
    <t>TC Property Stage Name</t>
  </si>
  <si>
    <t>Tax Credit Status</t>
  </si>
  <si>
    <t>Status</t>
  </si>
  <si>
    <t>TC Deal Status Name</t>
  </si>
  <si>
    <t>Development Deal #</t>
  </si>
  <si>
    <t>Associated Dev Deal</t>
  </si>
  <si>
    <t>Dev Deal ID</t>
  </si>
  <si>
    <t>Development Deal Status</t>
  </si>
  <si>
    <r>
      <t xml:space="preserve">Associated Dev Deal </t>
    </r>
    <r>
      <rPr>
        <b/>
        <sz val="11"/>
        <color rgb="FFFF0000"/>
        <rFont val="Calibri"/>
        <family val="2"/>
        <scheme val="minor"/>
      </rPr>
      <t>?</t>
    </r>
  </si>
  <si>
    <t>Dev Deal Stage Status</t>
  </si>
  <si>
    <t>2. PROJECT NAME AND LOCATION</t>
  </si>
  <si>
    <t>Project Name and Location</t>
  </si>
  <si>
    <t>Project Name</t>
  </si>
  <si>
    <t>Deal Property Name</t>
  </si>
  <si>
    <t>Is Project a Scattered Site?</t>
  </si>
  <si>
    <t>Project Name and Location &gt; Is project a Scattered Site?</t>
  </si>
  <si>
    <t>Site #</t>
  </si>
  <si>
    <t>Street Address</t>
  </si>
  <si>
    <t>TCA Current Stage</t>
  </si>
  <si>
    <t>Address</t>
  </si>
  <si>
    <t>Property Address</t>
  </si>
  <si>
    <t>Send</t>
  </si>
  <si>
    <t>City</t>
  </si>
  <si>
    <t>County</t>
  </si>
  <si>
    <t>Jurisdiction</t>
  </si>
  <si>
    <t>ZIP Code</t>
  </si>
  <si>
    <t>Zip Code</t>
  </si>
  <si>
    <t>Property Zip Code</t>
  </si>
  <si>
    <t>Is project in a Qualified Census Tract?</t>
  </si>
  <si>
    <t>QCT?</t>
  </si>
  <si>
    <t>Is QCT?</t>
  </si>
  <si>
    <t>Is QCT</t>
  </si>
  <si>
    <t>TCA Current Stage / QCT?</t>
  </si>
  <si>
    <t>Census Tract</t>
  </si>
  <si>
    <t>Not sure where this is in ProLink.</t>
  </si>
  <si>
    <t>Is Project in a Difficult Development Area?</t>
  </si>
  <si>
    <t>DDA?</t>
  </si>
  <si>
    <t>Is DDA?</t>
  </si>
  <si>
    <t>Is DDA</t>
  </si>
  <si>
    <t>TCA Current Stage / DDA?</t>
  </si>
  <si>
    <t>Difficult Development Area Number</t>
  </si>
  <si>
    <t>Does a Community Revitalization Plan Exist?</t>
  </si>
  <si>
    <t>Revitalization Area?</t>
  </si>
  <si>
    <t>Is in Revitalization Area?</t>
  </si>
  <si>
    <t>Political Jurisdiction</t>
  </si>
  <si>
    <t>Edit Deal &gt; Custom Fields</t>
  </si>
  <si>
    <t>Jurisdiction CEO First Name</t>
  </si>
  <si>
    <t>Jurisdiction CEO Last Name</t>
  </si>
  <si>
    <t>Jurisdiction CEO Title</t>
  </si>
  <si>
    <t>Jurisdiction Title</t>
  </si>
  <si>
    <t>Jurisdiction Street Address</t>
  </si>
  <si>
    <t>Jurisdiction City</t>
  </si>
  <si>
    <t>Jurisdiction Zip Code</t>
  </si>
  <si>
    <t>Jurisdiction Phone</t>
  </si>
  <si>
    <t>Jurisdiction Email</t>
  </si>
  <si>
    <t>Jurisdiction Email Address</t>
  </si>
  <si>
    <t>Wisconsin Assembly District</t>
  </si>
  <si>
    <t>Deal Overview</t>
  </si>
  <si>
    <t>State House/Assembly District</t>
  </si>
  <si>
    <t>Wisconsin Senate District</t>
  </si>
  <si>
    <t>State Senate District</t>
  </si>
  <si>
    <t>US Congressional District</t>
  </si>
  <si>
    <t>Congressional District</t>
  </si>
  <si>
    <t>3. PROJECT DESCRIPTION</t>
  </si>
  <si>
    <t>Project Description</t>
  </si>
  <si>
    <t>Building Allocation Type</t>
  </si>
  <si>
    <t>Bldg Alloc Type</t>
  </si>
  <si>
    <t>Allocation Is? (used for IRS Tax Form 8609, Schedule A)</t>
  </si>
  <si>
    <t>Multi Year Tracking Carryover &gt; Allocation Tracking</t>
  </si>
  <si>
    <t>Project Based</t>
  </si>
  <si>
    <t>Always Project Based</t>
  </si>
  <si>
    <t>New Construction Units</t>
  </si>
  <si>
    <t># of New Units</t>
  </si>
  <si>
    <t>Total New Units</t>
  </si>
  <si>
    <t>Acquisition Rehab Units</t>
  </si>
  <si>
    <t># of Rehab  Units</t>
  </si>
  <si>
    <t>Total Rehab Units</t>
  </si>
  <si>
    <t>Adaptive Reuse Units</t>
  </si>
  <si>
    <t># of Adaptive Reuse Units</t>
  </si>
  <si>
    <t>Total Reuse Units</t>
  </si>
  <si>
    <t>Equity Takeout/Refinance Units</t>
  </si>
  <si>
    <t>Not currently mapped.</t>
  </si>
  <si>
    <t>Will this project be utilizing federal assistance?</t>
  </si>
  <si>
    <t>Will this project be receiving project based federal rental assistance?</t>
  </si>
  <si>
    <t>Has Rental Assistance</t>
  </si>
  <si>
    <t>If yes, provide the subsidy source</t>
  </si>
  <si>
    <t>TCA Current Stage &gt; Custom Fields</t>
  </si>
  <si>
    <t>Name of Subsidy Source if receiving project based federal assistance</t>
  </si>
  <si>
    <t>And Number of Units</t>
  </si>
  <si>
    <t># of Units with Assistance</t>
  </si>
  <si>
    <t>Num of Units with Assistance</t>
  </si>
  <si>
    <t>HUD RAD</t>
  </si>
  <si>
    <t xml:space="preserve">HUD RAD       </t>
  </si>
  <si>
    <t>Number of Units (HUD RAD)</t>
  </si>
  <si>
    <t>HUD RAD - Number of Units</t>
  </si>
  <si>
    <t>RD/Rental Assistance</t>
  </si>
  <si>
    <t>RD515</t>
  </si>
  <si>
    <t>Has RD 515 Assistance</t>
  </si>
  <si>
    <t>Number of Units (RD)</t>
  </si>
  <si>
    <t>RD/Rental Assistance - Number of Units</t>
  </si>
  <si>
    <t>Section 221(d)(3) BMIR</t>
  </si>
  <si>
    <t>Is Mkt Section 221d3</t>
  </si>
  <si>
    <t>Number of Units (Section 221(d)(3) BMIR)</t>
  </si>
  <si>
    <t>Section 221(d)(3) BMR - Number of Units</t>
  </si>
  <si>
    <t>Section 236</t>
  </si>
  <si>
    <t>Is Mkt Section 236</t>
  </si>
  <si>
    <t>Number of Units (Section 236)</t>
  </si>
  <si>
    <t>Section 236 - Number of Units</t>
  </si>
  <si>
    <t>Section 8 Rent Supplemental or Rental Assistance Payment</t>
  </si>
  <si>
    <t>Total Rent Supplemental or Rental Assistance Payment</t>
  </si>
  <si>
    <t>Number of Units (Section 8 Rent)</t>
  </si>
  <si>
    <t>Section 8 or Rental Assistance Number of Units</t>
  </si>
  <si>
    <t>Total of Units Section Rent</t>
  </si>
  <si>
    <t>Section 8 Housing Assistance Payment Contract</t>
  </si>
  <si>
    <t xml:space="preserve">Section 8 Contract      </t>
  </si>
  <si>
    <t>Total Housing Assistance Payment Contract</t>
  </si>
  <si>
    <t>Uses Yes/No vs. True/False</t>
  </si>
  <si>
    <t>Number of Units (Section 8 HAP)</t>
  </si>
  <si>
    <t>Section 8 Contract - Number of Units</t>
  </si>
  <si>
    <t>Total of Units Section HAP</t>
  </si>
  <si>
    <t>Other:</t>
  </si>
  <si>
    <t>Number of Units (Other)</t>
  </si>
  <si>
    <t>Other - Number of Units</t>
  </si>
  <si>
    <t>Total of Units Other</t>
  </si>
  <si>
    <t>Is HUD approval for transfer of physical asset required?</t>
  </si>
  <si>
    <t>Is HUD Approval Required</t>
  </si>
  <si>
    <t>Cannot locate on screen</t>
  </si>
  <si>
    <t>Is RD approval for transfer of physical asset required?</t>
  </si>
  <si>
    <t>Is RD Approval required</t>
  </si>
  <si>
    <t>Total RD approval for transfer of physical asset required</t>
  </si>
  <si>
    <t xml:space="preserve"> Is WHEDA approval for transfer of physical asset required?</t>
  </si>
  <si>
    <t>Is WHEDA Approval Required</t>
  </si>
  <si>
    <t>Total WHEDA approval for transfer of physical asset required</t>
  </si>
  <si>
    <t>Any existing LURA?</t>
  </si>
  <si>
    <t>Are existing LURA</t>
  </si>
  <si>
    <t>Total existing LURA</t>
  </si>
  <si>
    <t>If yes please provide project number:</t>
  </si>
  <si>
    <t>Existing LURA - Project Number</t>
  </si>
  <si>
    <t>Total yes please provide project number</t>
  </si>
  <si>
    <t>Targeting of Units</t>
  </si>
  <si>
    <t>Family - Number of Units</t>
  </si>
  <si>
    <t>Multi Family Application - Family - Number of Units</t>
  </si>
  <si>
    <t>Elderly</t>
  </si>
  <si>
    <t>Elderly - Number of Units</t>
  </si>
  <si>
    <t>Multi Family Application - Elderly - Number of Units</t>
  </si>
  <si>
    <t>Homeless</t>
  </si>
  <si>
    <t>Homeless - Number of Units</t>
  </si>
  <si>
    <t>Multi Family Application - Homeless - Number of Units</t>
  </si>
  <si>
    <t>Supportive Housing</t>
  </si>
  <si>
    <t>Supportive Housing  - Number of Units</t>
  </si>
  <si>
    <t>Supportive Housing - Number of Units</t>
  </si>
  <si>
    <t>Multi Family Application - Supportive Housing - Number of Units</t>
  </si>
  <si>
    <t>Single Room Occupancy</t>
  </si>
  <si>
    <t>Single Room Occupancy - Number of Units</t>
  </si>
  <si>
    <t>CBRF</t>
  </si>
  <si>
    <t>CBRF - Number of Units</t>
  </si>
  <si>
    <t>RCAC</t>
  </si>
  <si>
    <t>RCAC - Number of Units</t>
  </si>
  <si>
    <t>Tageting of Units (not on MFA)</t>
  </si>
  <si>
    <t>Target Type</t>
  </si>
  <si>
    <t>Only sends one type (e.g. if Family and Elderly are targeted, sends Famly only).</t>
  </si>
  <si>
    <t>Credit Request</t>
  </si>
  <si>
    <t>Is this an application for additional credit?</t>
  </si>
  <si>
    <t>Credit Request - Application for additional credit?</t>
  </si>
  <si>
    <t>Application for additional credit?</t>
  </si>
  <si>
    <t>Name of project and WHEDA application number</t>
  </si>
  <si>
    <t>Credit Request - Additional Credit - If yes, Project Name and Application Number</t>
  </si>
  <si>
    <t>If Yes, Project Name and Application Number</t>
  </si>
  <si>
    <t>Is this a credit application for a property that has completed its HTC compliance period</t>
  </si>
  <si>
    <t>Credit Request - Is this a credit application for a property that has completed its HTC compliance period?</t>
  </si>
  <si>
    <t>Is this a credit application for a property that has completed its HTC compliance period?</t>
  </si>
  <si>
    <t>Credit Request - HTC Compliance - If yes, Project Name and Application Number</t>
  </si>
  <si>
    <t>HTC Compliance - If yes, Project Name and Application Number</t>
  </si>
  <si>
    <t>Annual State TC award amount</t>
  </si>
  <si>
    <t>Set-Aside</t>
  </si>
  <si>
    <t>Credit Request - Set-Aside</t>
  </si>
  <si>
    <t>Credit percentage applied for</t>
  </si>
  <si>
    <t>Credit Request - Credit Percentage Applied For</t>
  </si>
  <si>
    <t>Credit Percentage Applied For</t>
  </si>
  <si>
    <t>Federal Financing</t>
  </si>
  <si>
    <t>Type of Federal Financing</t>
  </si>
  <si>
    <t>Minimum Set-Aside Requirements</t>
  </si>
  <si>
    <t>Credit Request - Minimum Set-Aside Requirement</t>
  </si>
  <si>
    <t>Minimum Set-Aside Requirement</t>
  </si>
  <si>
    <t>Apartment Type</t>
  </si>
  <si>
    <t>Elevator Building</t>
  </si>
  <si>
    <t>Custom Amenities</t>
  </si>
  <si>
    <t>Elevator</t>
  </si>
  <si>
    <t>Elevator Building - Number of Stories</t>
  </si>
  <si>
    <t>TCA Current Stage - Structures/Utilities/Amenities</t>
  </si>
  <si>
    <t>Number of Stories</t>
  </si>
  <si>
    <t>Num Stories</t>
  </si>
  <si>
    <t>Non Elevator Building</t>
  </si>
  <si>
    <t>Non Elevator Building - Number of Stories</t>
  </si>
  <si>
    <t>Row House/Town House</t>
  </si>
  <si>
    <t>Detached Single-Family</t>
  </si>
  <si>
    <t>Detached Two-Family (Duplex)</t>
  </si>
  <si>
    <t>Other (Please describe)</t>
  </si>
  <si>
    <t>Descriptive Building Type</t>
  </si>
  <si>
    <t>Still points to mapping tab.</t>
  </si>
  <si>
    <t>Construction Type</t>
  </si>
  <si>
    <t>Slab on grade</t>
  </si>
  <si>
    <t>Crawl Space</t>
  </si>
  <si>
    <t>Partial Basement</t>
  </si>
  <si>
    <t>Full Basement</t>
  </si>
  <si>
    <t>Ownership Type</t>
  </si>
  <si>
    <t>Rental</t>
  </si>
  <si>
    <t>TCA Current Stage - Ownership Type</t>
  </si>
  <si>
    <t>Rental Targeted For Eventual Resident Ownership</t>
  </si>
  <si>
    <t>Devlopment Timeline</t>
  </si>
  <si>
    <t>Construction Loan Closing</t>
  </si>
  <si>
    <t>Construction Start Date</t>
  </si>
  <si>
    <t>Construction Control</t>
  </si>
  <si>
    <t>Construction Begin Date</t>
  </si>
  <si>
    <t>Construction Complete</t>
  </si>
  <si>
    <t>Anticipated Completion Date</t>
  </si>
  <si>
    <t>Date first building to be placed in service</t>
  </si>
  <si>
    <t>Multi Family Application</t>
  </si>
  <si>
    <t>Development Timeline</t>
  </si>
  <si>
    <t>Anticipated Placed In Service Date</t>
  </si>
  <si>
    <t>Date last building to be placed in service</t>
  </si>
  <si>
    <t>Lease Up Period From</t>
  </si>
  <si>
    <t>Lease Up Period To</t>
  </si>
  <si>
    <t>50% Occupancy Projection</t>
  </si>
  <si>
    <t>Stabilized Occupancy Projection</t>
  </si>
  <si>
    <t>Conversion-Permanent Closing</t>
  </si>
  <si>
    <t>4. Applicant Information</t>
  </si>
  <si>
    <t>Primary Applicant Developer</t>
  </si>
  <si>
    <t>Developer Name</t>
  </si>
  <si>
    <t>Developer</t>
  </si>
  <si>
    <t>Developer First Name and Last Name</t>
  </si>
  <si>
    <t>Developer Primary Contact</t>
  </si>
  <si>
    <t>Telephone Number</t>
  </si>
  <si>
    <t>Developer Phone</t>
  </si>
  <si>
    <t xml:space="preserve">Do any unsatisfied judgements exist against the applicant(s)/ developer(s), its principals, or any related party? </t>
  </si>
  <si>
    <t>Edit Deal - Custom Fields</t>
  </si>
  <si>
    <t>Unsatisfied judgements against applicant?</t>
  </si>
  <si>
    <t xml:space="preserve">Has any party related to this application been party to any litigation, including real estate foreclosure or bankruptcy within the past 7 years? </t>
  </si>
  <si>
    <t>Has any party related to this application been party to any litigation,</t>
  </si>
  <si>
    <t xml:space="preserve">Do any environmental issues or administrative proceedings exist that would adversely affect the ability to timely proceed? </t>
  </si>
  <si>
    <t>Environmental Issues or administrative proceedings?</t>
  </si>
  <si>
    <t>Explanation (if the answer to any of the three previous questions was yes). If necessary, attach additional documentation.</t>
  </si>
  <si>
    <t>Explanations</t>
  </si>
  <si>
    <t>Additional fields are unmapped.</t>
  </si>
  <si>
    <t>5. Site Description</t>
  </si>
  <si>
    <t>Site Description</t>
  </si>
  <si>
    <t>Total Site Acreage</t>
  </si>
  <si>
    <t>Total Buildable Acreage</t>
  </si>
  <si>
    <t>TCA Current Stage - Custom Fields</t>
  </si>
  <si>
    <t xml:space="preserve">Send   </t>
  </si>
  <si>
    <t xml:space="preserve">Is the demolition of any buildings required or planned </t>
  </si>
  <si>
    <t>Demolition required</t>
  </si>
  <si>
    <t>Demolition Required?</t>
  </si>
  <si>
    <t>Are existing buildings on the site currently occupied</t>
  </si>
  <si>
    <t>Existing buildings currently occupied</t>
  </si>
  <si>
    <t>Existing Buildings Occupied</t>
  </si>
  <si>
    <t>Will tenant displacement be temporary</t>
  </si>
  <si>
    <t>Will tenant be temporarily displaced</t>
  </si>
  <si>
    <t>Temporary displacement</t>
  </si>
  <si>
    <t xml:space="preserve">Send </t>
  </si>
  <si>
    <t>Will tenant displacement be permanent</t>
  </si>
  <si>
    <t>Will tenant be permanently displaced</t>
  </si>
  <si>
    <t>Permanent displacement</t>
  </si>
  <si>
    <t>Is any part of the site, regardless of where actual building is, will be in a flood zone</t>
  </si>
  <si>
    <t>Any part of site located in flood zone</t>
  </si>
  <si>
    <t>Flood zone</t>
  </si>
  <si>
    <t>Nearest Linkages and Services</t>
  </si>
  <si>
    <t>To be documented later.</t>
  </si>
  <si>
    <t>6. Site Control</t>
  </si>
  <si>
    <t>Site Control</t>
  </si>
  <si>
    <t>7. Zoning</t>
  </si>
  <si>
    <t>Zoning</t>
  </si>
  <si>
    <t>8. Ownership Entity</t>
  </si>
  <si>
    <t>Ownership Entity</t>
  </si>
  <si>
    <t>Owner Name</t>
  </si>
  <si>
    <t xml:space="preserve">TCA Deal Overview </t>
  </si>
  <si>
    <t>Contact Name</t>
  </si>
  <si>
    <t>Contact First Name</t>
  </si>
  <si>
    <t>Contact Last Name</t>
  </si>
  <si>
    <t>TCA Deal Overview</t>
  </si>
  <si>
    <t>Owner City</t>
  </si>
  <si>
    <t xml:space="preserve">State, Zip </t>
  </si>
  <si>
    <t>Owner State</t>
  </si>
  <si>
    <t xml:space="preserve">Zip </t>
  </si>
  <si>
    <t>State, Zip</t>
  </si>
  <si>
    <t xml:space="preserve">Owner Zip </t>
  </si>
  <si>
    <t xml:space="preserve">Send  </t>
  </si>
  <si>
    <t>9. Project Team</t>
  </si>
  <si>
    <t>10. Project &amp; Unit Amenities</t>
  </si>
  <si>
    <t>Community Service Facility</t>
  </si>
  <si>
    <t>Laundry Cost</t>
  </si>
  <si>
    <t>Laundry Cost Per Unit</t>
  </si>
  <si>
    <t>Federal Housing Tax Credit Equity / Price Per Credit</t>
  </si>
  <si>
    <t>Multi Family Application / Funding Sources</t>
  </si>
  <si>
    <t>Federal Price per Credit</t>
  </si>
  <si>
    <t>&lt;[[TCDeals] - [TCDeals - User Defined Field Values (Seq: 1)] Multi Family Application - Federal Price Per Credit</t>
  </si>
  <si>
    <t>State  Housing Tax Credit Equity / Price Per Credit</t>
  </si>
  <si>
    <t>State Price per Credit</t>
  </si>
  <si>
    <t>&lt;[[TCDeals] - [TCDeals - User Defined Field Values (Seq: 1)] Multi Family Application - State Price Per Credit</t>
  </si>
  <si>
    <t>Tax Exempt Bond Amount</t>
  </si>
  <si>
    <t>Percent of Eligible Basis</t>
  </si>
  <si>
    <t>16. Project Costs</t>
  </si>
  <si>
    <t>Cost Certification/Accounting Fees Commercial Building Costs</t>
  </si>
  <si>
    <t xml:space="preserve">Edit Deal - Custom Fields </t>
  </si>
  <si>
    <t>Commercial Building Costs Accounting Fees</t>
  </si>
  <si>
    <t>Cost Certification/Accounting Fees Cost/Sqft</t>
  </si>
  <si>
    <t>Cost/Sqft Accounting Fees</t>
  </si>
  <si>
    <t>Cost Certification/Accounting Fees Cost/Unit</t>
  </si>
  <si>
    <t>Cost/Unit Accounting Fees</t>
  </si>
  <si>
    <t>Cost Certification/Accounting Fees Eligible Basis Costs</t>
  </si>
  <si>
    <t>Eligible Basis Costs Accounting Fees</t>
  </si>
  <si>
    <t>Cost Certification/Accounting Fees New Construction &amp; Adaptive Reuse</t>
  </si>
  <si>
    <t>New Construction &amp; Adaptive Reuse Accounting Fees</t>
  </si>
  <si>
    <t>New Construction &amp; Adaptive Reuse</t>
  </si>
  <si>
    <t>Cost Certification/Accounting Fees Total Costs</t>
  </si>
  <si>
    <t>Total Costs Accounting Fees</t>
  </si>
  <si>
    <t>17. Credit Calc</t>
  </si>
  <si>
    <t>Acquisition</t>
  </si>
  <si>
    <t>Acquisition Price - Federal</t>
  </si>
  <si>
    <t>Edit Deal - Custom Fields - Credit</t>
  </si>
  <si>
    <t>Acquisition Price - State</t>
  </si>
  <si>
    <t>Applicable Fraction - Federal</t>
  </si>
  <si>
    <t>Applicable Fraction - State</t>
  </si>
  <si>
    <t>Qualified Basis - Federal</t>
  </si>
  <si>
    <t>Qualified Basis - State</t>
  </si>
  <si>
    <t>Potential Acquisition Credit - Federal</t>
  </si>
  <si>
    <t>Potential Acquisition Credit - State</t>
  </si>
  <si>
    <t>Eligible Basis</t>
  </si>
  <si>
    <t>Initial Eligible Basis - Federal</t>
  </si>
  <si>
    <t>Initial Eligible Basis - State</t>
  </si>
  <si>
    <t>Less Building Acquisition - Federal</t>
  </si>
  <si>
    <t>Less Building Acquisition - State</t>
  </si>
  <si>
    <t>Less Other Credits - Federal</t>
  </si>
  <si>
    <t>Less Other Credits - State</t>
  </si>
  <si>
    <t>Less Historic Tax Basis - Federal</t>
  </si>
  <si>
    <t>Less Historic Tax Basis - State</t>
  </si>
  <si>
    <t>Less Grants - Federal</t>
  </si>
  <si>
    <t>Less Grants - State</t>
  </si>
  <si>
    <t>Adjusted Eligible Building Basis - Federal</t>
  </si>
  <si>
    <t>Adjusted Eligible Building Basis - State</t>
  </si>
  <si>
    <t>QCT/DDA Boost - Federal</t>
  </si>
  <si>
    <t>QCT/DDA Boost - State</t>
  </si>
  <si>
    <t>HFA Boost - Federal</t>
  </si>
  <si>
    <t>HFA Boost - State</t>
  </si>
  <si>
    <t>Eligible Basis - Federal</t>
  </si>
  <si>
    <t>Eligible Basis - State</t>
  </si>
  <si>
    <t>Applicable Fraction - Federal Eligible Basis</t>
  </si>
  <si>
    <t>Applicable Fraction - State Eligible Basis</t>
  </si>
  <si>
    <t>Qualified Basis - Federal Eligible Basis</t>
  </si>
  <si>
    <t>Qualified Basis - State Eligible Basis</t>
  </si>
  <si>
    <t>Credit Percentage - Federal Eligible Basis</t>
  </si>
  <si>
    <t>Credit Percentage - State Eligible Basis</t>
  </si>
  <si>
    <t>Previous Year's Allocation - Federal</t>
  </si>
  <si>
    <t>Previous Year's Allocation - State</t>
  </si>
  <si>
    <t>Potential Eligible Basis Credit - Federal</t>
  </si>
  <si>
    <t>Potential Eligible Basis Credit - State</t>
  </si>
  <si>
    <t>Equity Gap</t>
  </si>
  <si>
    <t>Total Residential Project Costs - Federal</t>
  </si>
  <si>
    <t>Total Residential Project Costs - State</t>
  </si>
  <si>
    <t>Less Loans - Federal</t>
  </si>
  <si>
    <t>Less Loans - State</t>
  </si>
  <si>
    <t>Less Grants - Federal Equity Gap</t>
  </si>
  <si>
    <t>Less Grants - State Equity Gap</t>
  </si>
  <si>
    <t>Less Historic Rehab Credits Equity - Federal</t>
  </si>
  <si>
    <t>Less Historic Rehab Credits Equity - State</t>
  </si>
  <si>
    <t>Less Other - Federal</t>
  </si>
  <si>
    <t>Less Other - State</t>
  </si>
  <si>
    <t>Less Acq Credits Equity - Federal</t>
  </si>
  <si>
    <t>Less Acq Credits Equity - State</t>
  </si>
  <si>
    <t>Total Equity Gap - Federal</t>
  </si>
  <si>
    <t>Total Equity Gap - State</t>
  </si>
  <si>
    <t>Years Credits are Claimed - Federal</t>
  </si>
  <si>
    <t>Years Credits are Claimed - State</t>
  </si>
  <si>
    <t>Gap Divided by Years - Federal</t>
  </si>
  <si>
    <t>Gap Divided by Years - State</t>
  </si>
  <si>
    <t>Pricing per Credit - Federal</t>
  </si>
  <si>
    <t>Pricing per Credit - State</t>
  </si>
  <si>
    <t>Gap Divided by Equity Pricing - Federal</t>
  </si>
  <si>
    <t>Gap Divided by Equity Pricing - State</t>
  </si>
  <si>
    <t>Investor Ownership Interest - Federal</t>
  </si>
  <si>
    <t>Investor Ownership Interest - State</t>
  </si>
  <si>
    <t>Equity Gap Calculation - Federal</t>
  </si>
  <si>
    <t>Equity Gap Calculation - State</t>
  </si>
  <si>
    <t>zCredit Calculation</t>
  </si>
  <si>
    <t>Other Adjustments - Federal</t>
  </si>
  <si>
    <t>Other Adjustments - State</t>
  </si>
  <si>
    <t>Maximum Annual Credits (9% only) - Federal</t>
  </si>
  <si>
    <t>Maximum Annual Credits (9% only) - State</t>
  </si>
  <si>
    <t>Credits used for Leverage Score - Federal</t>
  </si>
  <si>
    <t>DELETE - unmapped for 2025.</t>
  </si>
  <si>
    <t>Credits used for Leverage Score - State</t>
  </si>
  <si>
    <t>Bonus Credits for Energy Efficiency - Federal</t>
  </si>
  <si>
    <t>Bonus Credits for Energy Efficiency - State</t>
  </si>
  <si>
    <t>Bonus Credits for Additional 30% Units - Federal</t>
  </si>
  <si>
    <t>Bonus Credits for Additional 30% Units - State</t>
  </si>
  <si>
    <t>Annual Credit Award - Federal</t>
  </si>
  <si>
    <t>Annual Credit Award - State</t>
  </si>
  <si>
    <t>Federal Acquisition Credit Qualified Basis</t>
  </si>
  <si>
    <t>Federal Construction/Rehab Credit Qualified Basis</t>
  </si>
  <si>
    <t>Federal Construction/Rehab Qualified Basis</t>
  </si>
  <si>
    <t>State Acquisition Credit Qualified Basis</t>
  </si>
  <si>
    <t>State Construction/Rehab Credit Qualified Basis</t>
  </si>
  <si>
    <t>Annual Credit Award Federal</t>
  </si>
  <si>
    <t>Annual Credit Award State</t>
  </si>
  <si>
    <t>18. Projected Cash Flow &amp; Reserves</t>
  </si>
  <si>
    <t>20-Year Cash Flow</t>
  </si>
  <si>
    <t>Effective Gross Income</t>
  </si>
  <si>
    <t>TCA Current Stage &gt; Feasibility</t>
  </si>
  <si>
    <t>23. Instructions Scoring Sum</t>
  </si>
  <si>
    <t>Self-Scoring Exhibit</t>
  </si>
  <si>
    <t>1.  Lower Income Areas | Applicant Score</t>
  </si>
  <si>
    <t>Edit Deal &gt; Custom Fields &gt; Scoring</t>
  </si>
  <si>
    <t>01.  Lower Income Areas - Applicant</t>
  </si>
  <si>
    <t>Scoring - 1. Lower Income Areas - Applicant</t>
  </si>
  <si>
    <t>1.  Lower Income Areas | WHEDA Score</t>
  </si>
  <si>
    <t>Lower Income Areas - WHEDA</t>
  </si>
  <si>
    <t>Scoring - Lower Income Areas - WHEDA</t>
  </si>
  <si>
    <t>2.  Energy Efficiency and Sustainabiliity | Applicant Score</t>
  </si>
  <si>
    <t>02.  Energy Efficiency and Sustainabiliity - Applicant</t>
  </si>
  <si>
    <t>Scoring - 2. Energy Efficiency and Sustainabiliity - Applicant</t>
  </si>
  <si>
    <t>2.  Energy Efficiency and Sustainabiliity | WHEDA Score</t>
  </si>
  <si>
    <t>Energy Efficiency and Sustainabiliity - WHEDA</t>
  </si>
  <si>
    <t>Scoring - Energy Efficiency and Sustainabiliity - WHEDA</t>
  </si>
  <si>
    <t>3.  Mixed-Income Incentive | Applicant Score</t>
  </si>
  <si>
    <t>03.  Mixed-Income Incentive - Applicant</t>
  </si>
  <si>
    <t>Scoring - 3. Mixed-Income Incentive - Applicant</t>
  </si>
  <si>
    <t>Mapping removed for initial 2025 send</t>
  </si>
  <si>
    <t>3.  Mixed-Income Incentive | WHEDA Score</t>
  </si>
  <si>
    <t>Mixed-Income Incentive - WHEDA</t>
  </si>
  <si>
    <t>Scoring - Mixed-Income Incentive - WHEDA</t>
  </si>
  <si>
    <t>4.  Serves Large Families | Applicant Score</t>
  </si>
  <si>
    <t>04.  Serves Large Families - Applicant</t>
  </si>
  <si>
    <t>Scoring - 4. Serves Large Families - Applicant</t>
  </si>
  <si>
    <t>4.  Serves Large Families | WHEDA Score</t>
  </si>
  <si>
    <t>Serves Large Families - WHEDA</t>
  </si>
  <si>
    <t>Scoring - Serves Large Families - WHEDA</t>
  </si>
  <si>
    <t>5.  Serves Lowest-Income Residents | Applicant Score</t>
  </si>
  <si>
    <t>05.  Serves Lowest-Income Residents - Applicant</t>
  </si>
  <si>
    <t>Scoring - 5. Serves Lowest Income Residents - Applicant</t>
  </si>
  <si>
    <t>5.  Serves Lowest-Income Residents | WHEDA Score</t>
  </si>
  <si>
    <t>Serves Lowest-Income Residents - WHEDA</t>
  </si>
  <si>
    <t>Scoring - Serves Lowest Income Residents - WHEDA</t>
  </si>
  <si>
    <t>6.  Supportive Housing | Applicant Score</t>
  </si>
  <si>
    <t>06.  Supportive Housing - Applicant</t>
  </si>
  <si>
    <t>Scoring - 6. Supportive Housing - Applicant</t>
  </si>
  <si>
    <t>6.  Supportive Housing | WHEDA Score</t>
  </si>
  <si>
    <t>Supportive Housing - WHEDA</t>
  </si>
  <si>
    <t>Scoring - Supportive Housing - WHEDA</t>
  </si>
  <si>
    <t>7.  Veterans Housing | Applicant Score</t>
  </si>
  <si>
    <t>07.  Veterans Housing - Applicant</t>
  </si>
  <si>
    <t>Scoring - 7. Veterans Housing - Applicant</t>
  </si>
  <si>
    <t>7.  Veterans Housing | WHEDA Score</t>
  </si>
  <si>
    <t>Veterans Housing - WHEDA</t>
  </si>
  <si>
    <t>Scoring - Veterans Housing - WHEDA</t>
  </si>
  <si>
    <t>8.  Rehab/Neighborhood Stabilization | Applicant Score</t>
  </si>
  <si>
    <t>08.  Rehab/Neighborhood Stabilization - Applicant</t>
  </si>
  <si>
    <t>Scoring - 8. Rehab/Neighborhood Stabilization - Applicant</t>
  </si>
  <si>
    <t>8.  Rehab/Neighborhood Stabilization | WHEDA Score</t>
  </si>
  <si>
    <t>Rehab/Neighborhood Stabilization - WHEDA</t>
  </si>
  <si>
    <t>Scoring - Rehab/Neighborhood Stabilization - WHEDA</t>
  </si>
  <si>
    <t>9.  Universal Design | Applicant Score</t>
  </si>
  <si>
    <t>09.  Universal Design - Applicant</t>
  </si>
  <si>
    <t>Scoring - 9. Universal Design - Applicant</t>
  </si>
  <si>
    <t>9.  Universal Design | WHEDA Score</t>
  </si>
  <si>
    <t>Universal Design - WHEDA</t>
  </si>
  <si>
    <t>Scoring - Universal Design - WHEDA</t>
  </si>
  <si>
    <t>10. Financial Leverage | Applicant Score</t>
  </si>
  <si>
    <t>10. Financial Leverage - Applicant</t>
  </si>
  <si>
    <t>Scoring - 10. Financial Leverage - Applicant</t>
  </si>
  <si>
    <t>10. Financial Leverage | WHEDA Score</t>
  </si>
  <si>
    <t>Financial Leverage - WHEDA</t>
  </si>
  <si>
    <t>Scoring - Financial Leverage - WHEDA</t>
  </si>
  <si>
    <t>11. Eventual Tenant Ownership | Applicant Score</t>
  </si>
  <si>
    <t>11. Eventual Tenant Ownership - Applicant</t>
  </si>
  <si>
    <t>Scoring - 11. Eventual Tenant Ownership - Applicant</t>
  </si>
  <si>
    <t>11. Eventual Tenant Ownership | WHEDA Score</t>
  </si>
  <si>
    <t>Eventual Tenant Ownership - WHEDA</t>
  </si>
  <si>
    <t>Scoring - Eventual Tenant Ownership - WHEDA</t>
  </si>
  <si>
    <t>12. Development Team | Applicant Score</t>
  </si>
  <si>
    <t>12. Development Team - Applicant</t>
  </si>
  <si>
    <t>Scoring - 12. Development Team - Applicant</t>
  </si>
  <si>
    <t>Not scored; hardcoded as zero.</t>
  </si>
  <si>
    <t>12. Development Team | WHEDA Score</t>
  </si>
  <si>
    <t>Development Team - WHEDA</t>
  </si>
  <si>
    <t>Scoring - Development Team - WHEDA</t>
  </si>
  <si>
    <t>13. Areas of Economic Opportunity | Applicant Score</t>
  </si>
  <si>
    <t>13. Areas of Economic Opportunity - Applicant</t>
  </si>
  <si>
    <t>Scoring - 13. Areas of Economic Opportunity - Applicant</t>
  </si>
  <si>
    <t>13. Areas of Economic Opportunity | WHEDA Score</t>
  </si>
  <si>
    <t>Areas of Economic Opportunity - WHEDA</t>
  </si>
  <si>
    <t>Scoring - Areas of Economic Opportunity - WHEDA</t>
  </si>
  <si>
    <t>14. Rural Areas without Recent Tax Credit Awards | Applicant Score</t>
  </si>
  <si>
    <t>14. Rural Areas without Recent Tax Credit Awards - Applicant</t>
  </si>
  <si>
    <t>Scoring - 14. Rural Areas - Applicant</t>
  </si>
  <si>
    <t>14. Rural Areas without Recent Tax Credit Awards | WHEDA Score</t>
  </si>
  <si>
    <t>Rural Areas without Recent Tax Credit Awards - WHEDA</t>
  </si>
  <si>
    <t>Scoring - Rural Areas - WHEDA</t>
  </si>
  <si>
    <t>15. Workforce Housing Communities | Applicant Score</t>
  </si>
  <si>
    <t>15. Workforce Housing Communities - Applicant</t>
  </si>
  <si>
    <t>Scoring - 15. Workforce Housing Communities - Applicant</t>
  </si>
  <si>
    <t>15. Workforce Housing Communities | WHEDA Score</t>
  </si>
  <si>
    <t>Workforce Housing Communities - WHEDA</t>
  </si>
  <si>
    <t>Scoring - Workforce Housing Communities - WHEDA</t>
  </si>
  <si>
    <t>16. Community Service Facilities | Applicant Score</t>
  </si>
  <si>
    <t>16. Community Service Facilities - Applicant</t>
  </si>
  <si>
    <t>Scoring - 16. Community Service Facilities - Applicant</t>
  </si>
  <si>
    <t>16. Community Service Facilities | WHEDA Score</t>
  </si>
  <si>
    <t>Community Service Facilities - WHEDA</t>
  </si>
  <si>
    <t>Scoring - Community Service Facilities - WHEDA</t>
  </si>
  <si>
    <t>Scoring Total - Applicant</t>
  </si>
  <si>
    <t>Scoring Total - WHEDA</t>
  </si>
  <si>
    <t>20. Instructions Scoring Sum | Applicant Score</t>
  </si>
  <si>
    <t>A. Location Score - Applicant</t>
  </si>
  <si>
    <t>Scoring - Scoring Summary</t>
  </si>
  <si>
    <t>NEW: 2025 MFA</t>
  </si>
  <si>
    <t>20. Instructions Scoring Sum | WHEDA Score</t>
  </si>
  <si>
    <t>A. Location Score - WHEDA</t>
  </si>
  <si>
    <t>B. Tenants Served Score - Applicant</t>
  </si>
  <si>
    <t>B. Tenants Served Score - WHEDA</t>
  </si>
  <si>
    <t>C. Building Design Score - Applicant</t>
  </si>
  <si>
    <t>C. Building Design Score - WHEDA</t>
  </si>
  <si>
    <t>D. Development Process Score - Applicant</t>
  </si>
  <si>
    <t>D. Development Process Score - WHEDA</t>
  </si>
  <si>
    <t>C.5. Additional Amenities Score - Applicant</t>
  </si>
  <si>
    <t>C.5. Additional Amenities Score - WHEDA</t>
  </si>
  <si>
    <t>D.1. Credit Efficiency - Applicant</t>
  </si>
  <si>
    <t>D.1. Credit Efficiency - WHEDA</t>
  </si>
  <si>
    <t>D.3. Site Characteristics - Applicant</t>
  </si>
  <si>
    <t>D.3. Site Characteristics - WHEDA</t>
  </si>
  <si>
    <t>25. Lower-Income Areas</t>
  </si>
  <si>
    <t>1. Lower Income Areas</t>
  </si>
  <si>
    <t>Claim Points Y/N</t>
  </si>
  <si>
    <t>01 Lower Income Areas</t>
  </si>
  <si>
    <t>Scoring - Is Claim Points Y/N - Lower Income Areas</t>
  </si>
  <si>
    <t>Hardcoded FALSE for 2025</t>
  </si>
  <si>
    <t>Total Applicant Score</t>
  </si>
  <si>
    <t>Scoring - Total Applicant Score - Lower Income Areas (Max 5)</t>
  </si>
  <si>
    <t>Yes/No | QCT with CCRP on Tribal</t>
  </si>
  <si>
    <t>Scoring - Is QCT with CCRP on Tribal Land - Y/N</t>
  </si>
  <si>
    <t>Points  | QCT with CCRP on Tribal</t>
  </si>
  <si>
    <t>Scoring - QCT with CCRP on Tribal Land - Points</t>
  </si>
  <si>
    <t>Yes/No | QCT with CCRP only</t>
  </si>
  <si>
    <t>Scoring - Is QCT with CCRP - Y/N</t>
  </si>
  <si>
    <t>Points  | QCT with CCRP only</t>
  </si>
  <si>
    <t>Scoring - QCT with CCRP - Points</t>
  </si>
  <si>
    <t>WHEDA Score</t>
  </si>
  <si>
    <t>Scoring - WHEDA Score - Lower Income Areas</t>
  </si>
  <si>
    <t>WHEDA Comments</t>
  </si>
  <si>
    <t>Scoring - Underwriter Notes - Lower Incomer Areas</t>
  </si>
  <si>
    <t>Applicant Notes</t>
  </si>
  <si>
    <t>A2 Lower Income Areas</t>
  </si>
  <si>
    <t>Scoring - Applicant Notes - Lower-Income Areas</t>
  </si>
  <si>
    <t>Peer Review Comments</t>
  </si>
  <si>
    <t>Scoring - Peer Review Comments - Lower-Income Areas</t>
  </si>
  <si>
    <t>25. Energy Eff and Sustainablilty</t>
  </si>
  <si>
    <t>2. Energy Efficiency and Sustainablilty</t>
  </si>
  <si>
    <t>C1 Energy Efficiency and Sustainability</t>
  </si>
  <si>
    <t>Scoring - Is Claim Points Y/N - Energy Efficiency</t>
  </si>
  <si>
    <t>Scoring - Total Applicant Score - Energy Efficiency (Max 20)</t>
  </si>
  <si>
    <t>Yes/No | Sustainable Design</t>
  </si>
  <si>
    <t>Scoring - Is Sustainable Design - Y/N</t>
  </si>
  <si>
    <t>DELETE row - unmapped.</t>
  </si>
  <si>
    <t>Points | Sustainable Design</t>
  </si>
  <si>
    <t>Scoring - Sustainable Design - Points</t>
  </si>
  <si>
    <t>Update category for 2025</t>
  </si>
  <si>
    <t>Geothermal HVAC (Y/N)</t>
  </si>
  <si>
    <t>Scoring - Geothermal HVAC (Y/N) - Energy Efficiency and Sustainability</t>
  </si>
  <si>
    <t>Geothermal HVAC (Points)</t>
  </si>
  <si>
    <t>Scoring - Geothermal HVAC (Points) - Energy Efficiency and Sustainability</t>
  </si>
  <si>
    <t>Solar Offset (Y/N)</t>
  </si>
  <si>
    <t>Scoring - Solar Offset (Y/N) - Energy Efficiency and Sustainability</t>
  </si>
  <si>
    <t>Solar Offset (Points)</t>
  </si>
  <si>
    <t>Scoring - Solar Offset (Points) - Energy Efficiency and Sustainability</t>
  </si>
  <si>
    <t>Centeralized Geothermal HVAC w/ Solar Offset (Y/N)</t>
  </si>
  <si>
    <t>Scoring - Centeralized Geothermal HVAC w/ Solar Offset (Y/N) - Energy Efficiency and Sustainability</t>
  </si>
  <si>
    <t>Centeralized Geothermal HVAC w/ Solar Offset (Points)</t>
  </si>
  <si>
    <t>Scoring - Centeralized Geothermal HVAC w/ Solar Offset (Points) - Energy Efficiency and Sustainability</t>
  </si>
  <si>
    <t>Rehab Projects - Energy Efficiency Program (Points)</t>
  </si>
  <si>
    <t>Scoring - Rehab Projects - Energy Efficiency Program (Points) - Energy Efficiency and Sustainability</t>
  </si>
  <si>
    <t>Yes/No | Public Transportation</t>
  </si>
  <si>
    <t>Scoring - Is Public Transportation - Y/N</t>
  </si>
  <si>
    <t>Points | Public Transportation</t>
  </si>
  <si>
    <t>Scoring - Public Transportation - Points</t>
  </si>
  <si>
    <t>Yes/No | Green or LEED Certification</t>
  </si>
  <si>
    <t>Scoring - Yes/No | Green or LEED Certification - Energy Efficiency and Sustainability</t>
  </si>
  <si>
    <t>Points | Green or LEED Certification</t>
  </si>
  <si>
    <t>Scoring - Points | Green or LEED Certification - Energy Efficiency and Sustainability</t>
  </si>
  <si>
    <t>Scoring - WHEDA Score - Energy Efficiency</t>
  </si>
  <si>
    <t>Scoring - Underwriter Notes - Energy Efficiency</t>
  </si>
  <si>
    <t>Applicant Notes - Energy Efficiency and Sustainability</t>
  </si>
  <si>
    <t>Scoring - Applicant Notes - Energy Efficiency and Sustainability - Energy Efficiency and Sustainability</t>
  </si>
  <si>
    <t>Peer Review Comments - Energey Efficiency and Sustainabililty</t>
  </si>
  <si>
    <t>Scoring - Peer Review Comments - Energey Efficiency and Sustainabililty - Energy Efficiency and Sustainability</t>
  </si>
  <si>
    <t>26. Mixed Income Incentive</t>
  </si>
  <si>
    <t>3. Mixed Income Incentive</t>
  </si>
  <si>
    <t>03 Mixed Income Incentive</t>
  </si>
  <si>
    <t>Scoring - Is Claim Points Y/N - Mixed Income Incentive</t>
  </si>
  <si>
    <t>Scoring - Total Applicant Score - Mixed Income Incentive (Max 12)</t>
  </si>
  <si>
    <t>Category removed for 2025</t>
  </si>
  <si>
    <t>Scoring - WHEDA Score - Mixed Income Incentive</t>
  </si>
  <si>
    <t>Scoring - Underwriter Notes - Mixed Income Incentive</t>
  </si>
  <si>
    <t>27. Serves Large Families</t>
  </si>
  <si>
    <t>4. Serves Large Families</t>
  </si>
  <si>
    <t>04 Serves Large Families</t>
  </si>
  <si>
    <t>Scoring - Is Claim Points Y/N - Serves Large Families</t>
  </si>
  <si>
    <t>3BR+ LI Units (# of Units)</t>
  </si>
  <si>
    <t>B1 Serves Large Families or Seniors</t>
  </si>
  <si>
    <t>Scoring - 3BR+ LI Units - Serves Large Families or Seniors</t>
  </si>
  <si>
    <t>Total LI Units (# of Units)</t>
  </si>
  <si>
    <t>Scoring - Total LI Units - Serves Large Families or Seniors</t>
  </si>
  <si>
    <t>Percentage Serves Large Famililes (% of Units)</t>
  </si>
  <si>
    <t>Scoring - Percentage Serves Large Families - Serves Large Families or Seniors</t>
  </si>
  <si>
    <t>Serves Large Families (Points)</t>
  </si>
  <si>
    <t>Scoring - Serves Large Families (Points)es - Serves Large Families or Seniors</t>
  </si>
  <si>
    <t>Serves Seniors (Y/N)</t>
  </si>
  <si>
    <t>Scoring - Serves Large Families (Y/N)es - Serves Large Families or Seniors</t>
  </si>
  <si>
    <t>Age-Restricted Units (# of Units)</t>
  </si>
  <si>
    <t>Scoring - Serves Large Familts)</t>
  </si>
  <si>
    <t>Percent Serves Seniors (% of Units)</t>
  </si>
  <si>
    <t>Serves Seniors (Points)</t>
  </si>
  <si>
    <t>Scoring - Total Applicant Score - Serves Large Families (Max 5)</t>
  </si>
  <si>
    <t>Scoring - WHEDA Score - Serves Large Families</t>
  </si>
  <si>
    <t>Scoring - Underwriter Notes - Serves Large Families</t>
  </si>
  <si>
    <t>Applicant Notes - Large Families or Seniors</t>
  </si>
  <si>
    <t>Scoring - Applicant Notes - Serves Large Familes or Seniors</t>
  </si>
  <si>
    <t>Peer Review Comments - Large Families or Seniors</t>
  </si>
  <si>
    <t>Scoring - Peer Review - Serves Large Familamilies or Seniors</t>
  </si>
  <si>
    <t>28. Serves Lowest Income Residents</t>
  </si>
  <si>
    <t>5. Serves Lowest Income Residents</t>
  </si>
  <si>
    <t>B2 Serves Lowest Income Residents</t>
  </si>
  <si>
    <t>Scoring - Is Claim Points Y/N - Serves Lowest Income</t>
  </si>
  <si>
    <t>Number of Units 50% CMI</t>
  </si>
  <si>
    <t>Scoring - Number of Units 50% CMI - Serves Lowest Income Residents</t>
  </si>
  <si>
    <t>Percentage of Total Units 50% CMI</t>
  </si>
  <si>
    <t>Scoring - Percentage of Total Units 50% CMI - Serves Lowest Income Residents</t>
  </si>
  <si>
    <t>Total Points 50% CMI</t>
  </si>
  <si>
    <t>Scoring - Total Points 50% CMI - Serves Lowest Income Residents</t>
  </si>
  <si>
    <t>Number of Units 40% CMI</t>
  </si>
  <si>
    <t>Scoring - Number of Units 40% CMI - Serves Lowest Income Residents</t>
  </si>
  <si>
    <t>Percentage of Total Units 40% CMI</t>
  </si>
  <si>
    <t>Scoring - Percentage of Total Units 40% CMI - Serves Lowest Income Residents</t>
  </si>
  <si>
    <t>Total Points 40% CMI</t>
  </si>
  <si>
    <t>Scoring - Total Points 40% CMI - Serves Lowest Income Residents</t>
  </si>
  <si>
    <t>Number of Units 30% CMI</t>
  </si>
  <si>
    <t>Scoring - Number of Units 30% CMI - Serves Lowest Income Residents</t>
  </si>
  <si>
    <t>Percentage of Total Units 30% CMI</t>
  </si>
  <si>
    <t>Scoring - Percentage of Total Units 30% CMI - Serves Lowest Income Residents</t>
  </si>
  <si>
    <t>Total Points 30% CMI</t>
  </si>
  <si>
    <t>Scoring - Total Points 30% CMI - Serves Lowest Income Residents</t>
  </si>
  <si>
    <t>Scoring - Total Applicant Score - Serves Lowest Income (Max 63)</t>
  </si>
  <si>
    <t>Scoring - WHEDA Score - Serves Lowest Income</t>
  </si>
  <si>
    <t>Scoring - Underwriter Notes - Serves Lowest Income</t>
  </si>
  <si>
    <t>Applicant Notes - Serves Lowest Income Residents</t>
  </si>
  <si>
    <t>Scoring - Applicant Notes - Serves Lowest Income Residents - Serves Lowest Income Residents</t>
  </si>
  <si>
    <t>Peer Review Comments - Serves Lowest Income Residents</t>
  </si>
  <si>
    <t>Scoring - Peer Review Comments - Serves Lowest Income Residents - Serves Lowest Income Residents</t>
  </si>
  <si>
    <t>29. Supportive Housing</t>
  </si>
  <si>
    <t>6. Supportive Housing</t>
  </si>
  <si>
    <t>Supportive Housing Set Aside Units</t>
  </si>
  <si>
    <t>B3 Supportive Housing</t>
  </si>
  <si>
    <t>Scoring - Is Claim Points Y/N - Supportive Housing</t>
  </si>
  <si>
    <t>Number of Supportive Units</t>
  </si>
  <si>
    <t>Scoring - Number of Supportive Units - Supportive Housing</t>
  </si>
  <si>
    <t>Total Supportive Units</t>
  </si>
  <si>
    <t>Scoring - Total Supportive Units - Supportive Housing</t>
  </si>
  <si>
    <t>Percentage of Supportive Housing</t>
  </si>
  <si>
    <t>Scoring - Percentage of Supportive Housing - Supportive Housing</t>
  </si>
  <si>
    <t>Supportive Housing Points</t>
  </si>
  <si>
    <t>Scoring - Supportive Housing Points - Housing Housing</t>
  </si>
  <si>
    <t>Scoring - Total Applicant Score - Supportive Housing (Max 15)</t>
  </si>
  <si>
    <t>Scoring - WHEDA Score - Supportive Housing</t>
  </si>
  <si>
    <t>Scoring - Underwriter Notes - Supportive Housing</t>
  </si>
  <si>
    <t>Applicant Notes - Supportive Housing</t>
  </si>
  <si>
    <t>Scoring - Applicant Notes - Supportive Housing - Notes - Supportive Housing</t>
  </si>
  <si>
    <t>Peer Review Comments - Supportive Housing</t>
  </si>
  <si>
    <t>Scoring - Peer Review Comments - Supportive Housing - Review Comments - Supportive - Comments Housing</t>
  </si>
  <si>
    <t>30. Veterans Housing</t>
  </si>
  <si>
    <t>7. Veterans Housing</t>
  </si>
  <si>
    <t>Veterans Set Aside Units</t>
  </si>
  <si>
    <t>B4 Veterans Housing</t>
  </si>
  <si>
    <t>Scoring - Is Claim Points Y/N - Veterans Housing</t>
  </si>
  <si>
    <t>Veterans Units (# of Units)</t>
  </si>
  <si>
    <t>Scoring - Veterans Units (# of Units) - Veterans Housing</t>
  </si>
  <si>
    <t>Total Units (# of Units)</t>
  </si>
  <si>
    <t>Scoring - T) - Total Housing</t>
  </si>
  <si>
    <t>Percentage of Units (% of Units)</t>
  </si>
  <si>
    <t>Scoring -Percentage of Units (% ) - Percentage Housing</t>
  </si>
  <si>
    <t>Scoring - Total Applicant Score - Veterans Housing (Max 5)</t>
  </si>
  <si>
    <t>Scoring - WHEDA Score - Veterans Housing</t>
  </si>
  <si>
    <t>Scoring - Underwriter Notes - Veterans Housing</t>
  </si>
  <si>
    <t>Applicant Notes - Veterans Housing</t>
  </si>
  <si>
    <t>Scoring -Applicant Notes - V) - Applicant Housing</t>
  </si>
  <si>
    <t>Peer Reivew Comments - Veterans Housing</t>
  </si>
  <si>
    <t>Scoring -Peer Reivew Comments - V) - Peer Housing</t>
  </si>
  <si>
    <t>31. Rehab Neighborhood Stabilization</t>
  </si>
  <si>
    <t>8. Rehab and Neigborhood Stabilization</t>
  </si>
  <si>
    <t>08 Rehab Neighborhood Stabilization</t>
  </si>
  <si>
    <t>Scoring - Is Claim Points Y/N - Rehab Neighborhood Stabilization</t>
  </si>
  <si>
    <t>Scoring - Total Applicant Score - Rehab Neighborhood Stabilization (Max 25)</t>
  </si>
  <si>
    <t>Scoring - WHEDA Score - Rehab Neighborhood Stabilization</t>
  </si>
  <si>
    <t>Scoring - Underwriter Notes - Rehab Neighborhood Stabilization</t>
  </si>
  <si>
    <t>Applicant Notes - Rehab Neighborhood Stabilization</t>
  </si>
  <si>
    <t>A4 Rehhab Neighborhood Stabilization</t>
  </si>
  <si>
    <t>Scoring - Applicant Notes - Rehab Neighborhood Stabilization</t>
  </si>
  <si>
    <t>Peer Review Comments - Rehab Neighborhood Stabilization</t>
  </si>
  <si>
    <t>Scoring - Peer Review Comments - Rehab Neighborhood Stabilization</t>
  </si>
  <si>
    <t>32. Universal Design</t>
  </si>
  <si>
    <t>9. Universal Design</t>
  </si>
  <si>
    <t>Claim Points Y/N - Universal Design</t>
  </si>
  <si>
    <t>C2 Universal Design</t>
  </si>
  <si>
    <t>Scoring - Is Claim Points Y/N - Universal Design</t>
  </si>
  <si>
    <t>Sum of Items Checked - Universal Design</t>
  </si>
  <si>
    <t>Scoring - Sum of Items Checked - Universal Design</t>
  </si>
  <si>
    <t>Total Applicant Score - Universal Design (Max 18)</t>
  </si>
  <si>
    <t>Scoring - Total Applicant Score - Universal Design (Max 18)</t>
  </si>
  <si>
    <t>WHEDA Score - Universal Design</t>
  </si>
  <si>
    <t>Scoring - WHEDA Score - Universal Design</t>
  </si>
  <si>
    <t>Applicant Notes - Universal Design</t>
  </si>
  <si>
    <t>Scoring - Applicant Notes - Universal Design</t>
  </si>
  <si>
    <t>Peer Review Comments - Universal Design</t>
  </si>
  <si>
    <t>Scoring - Peer Review Comments - Universal Design</t>
  </si>
  <si>
    <t>Underwriter Notes - Universal Design</t>
  </si>
  <si>
    <t>Scoring - Underwriter Notes - Universal Design</t>
  </si>
  <si>
    <t>Handrails on Hallway Sides (Elderly only, Sections 505.4 through 505.9) - Y/N</t>
  </si>
  <si>
    <t>C2a Universal Design Common Area</t>
  </si>
  <si>
    <t>Scoring - Is Handrails in Hallways (Sections 505.4 through 505.9) - Y/N</t>
  </si>
  <si>
    <t>Handrails - Points</t>
  </si>
  <si>
    <t>Scoring - Handrails - Points</t>
  </si>
  <si>
    <t>Automatic Door Openers at Main Entrances (Section 404.3) - Y/N</t>
  </si>
  <si>
    <t>Scoring - Is Automatic Door Openers at Main Entrances (Section 404.3) - Y/N</t>
  </si>
  <si>
    <t>Automatic Door Openers - Points</t>
  </si>
  <si>
    <t>Scoring - Automatic Door Openers - Points</t>
  </si>
  <si>
    <t>Accessible Signage at 60" (Section 703.2 and 703.4) - Y/N</t>
  </si>
  <si>
    <t>Scoring - Is Accessible Signage - Y/N</t>
  </si>
  <si>
    <t>Accessible Signage - Points</t>
  </si>
  <si>
    <t>Scoring - Accessible Signage - Points</t>
  </si>
  <si>
    <t>Accessible Public Bathroom Adjacent (Section 603) - Y/N</t>
  </si>
  <si>
    <t>Scoring - Is Accessible Public Bathroom Adjacent (Section 603) - Y/N</t>
  </si>
  <si>
    <t>Accessible Public Bathroom - Points</t>
  </si>
  <si>
    <t>Scoring - Accessible Public Bathroom - Points</t>
  </si>
  <si>
    <t>Accessible Kitchen and Bathroom (Sections 304, 603.2.3, 1103.12.4) - Y/N</t>
  </si>
  <si>
    <t>C2b Universal Design 20 Pct of Units</t>
  </si>
  <si>
    <t>Scoring - Is Accessible Kitchen and Bathroom (Sections 304, 603.2.3, 1103.12.4) - Y/N</t>
  </si>
  <si>
    <t>Accessible Kitchen and Bathroom - Points</t>
  </si>
  <si>
    <t>Scoring - Accessible Kitchen and Bathroom - Points</t>
  </si>
  <si>
    <t>Roll-In Shower 2" Max Curb Height (Section 608.2.2, Min 5% of Units) - Y/N</t>
  </si>
  <si>
    <t>Scoring - Is Roll-In Shower (Section 608.2.2) - Y/N</t>
  </si>
  <si>
    <t>Roll-In Shower - Points</t>
  </si>
  <si>
    <t>Scoring - Roll-In Shower - Points</t>
  </si>
  <si>
    <t>Closet Door Clearance - Y/N</t>
  </si>
  <si>
    <t>Scoring - Is Closet Door Clearance - Y/N</t>
  </si>
  <si>
    <t>Closet Door Clearance - Points</t>
  </si>
  <si>
    <t>Scoring - Closet Door Clearance - Points</t>
  </si>
  <si>
    <t>Mirror Height - Y/N</t>
  </si>
  <si>
    <t>Scoring - Is Mirror Height - Y/N</t>
  </si>
  <si>
    <t>Mirror Height - Points</t>
  </si>
  <si>
    <t>Scoring - Mirror Height - Points</t>
  </si>
  <si>
    <t>Interior Door Passage (Section 1103.5 and 404) - Y/N</t>
  </si>
  <si>
    <t>Scoring - Is Interior Door Passage (Section 1103.5 and 404) - Y/N</t>
  </si>
  <si>
    <t>Interior Door Passage - Points</t>
  </si>
  <si>
    <t>Scoring - Interior Door Passage - Points</t>
  </si>
  <si>
    <t>Kitchen Counter Electrical Appliances (Sections 308 and 309) - Y/N</t>
  </si>
  <si>
    <t>Scoring - Is Kitchen Counter Electrical Appliances (Sections 308 and 309) - Y/N</t>
  </si>
  <si>
    <t>Kitchen Counter Electrical Appliances - Points</t>
  </si>
  <si>
    <t>Scoring - Kitchen Counter Electrical Appliances - Points</t>
  </si>
  <si>
    <t>Accessible Kitchen Work Surface (Sections 308 and 309) - Y/N</t>
  </si>
  <si>
    <t>Scoring - Is Accessible Kitchen Work Surface (Sections 308 and 309) - Y/N</t>
  </si>
  <si>
    <t>Accessible Kitchen Work Surface - Points</t>
  </si>
  <si>
    <t>Scoring - Accessible Kitchen Work Surface - Points</t>
  </si>
  <si>
    <t>Entrance doors (Section 404) - Y/N</t>
  </si>
  <si>
    <t>Scoring - Is Entrance doors (Section 404) - Y/N</t>
  </si>
  <si>
    <t>Entrance doors (Section 404) - Points</t>
  </si>
  <si>
    <t>Scoring - Entrance doors - Points</t>
  </si>
  <si>
    <t>Windows (Section 309, Min 10% of Units) - Y/N</t>
  </si>
  <si>
    <t>Scoring - Is Windows (Section 309) - Y/N</t>
  </si>
  <si>
    <t>Windows (Section 309) - Points</t>
  </si>
  <si>
    <t>Scoring - Windows - Points</t>
  </si>
  <si>
    <t>Carpet Pile (Section 302.2) - Y/N</t>
  </si>
  <si>
    <t>Scoring - Is Carpeting (Section 302.2) - Y/N</t>
  </si>
  <si>
    <t>Carpet Pile (Section 302.2) - Points</t>
  </si>
  <si>
    <t>Scoring - Carpet - Points</t>
  </si>
  <si>
    <t>Rocker Light Switches - Y/N</t>
  </si>
  <si>
    <t>Scoring - Is Rocker Light Switches - Y/N</t>
  </si>
  <si>
    <t>Rocker Light Switches - Points</t>
  </si>
  <si>
    <t>Scoring - Rocker Light Switches - Points</t>
  </si>
  <si>
    <t>Bath and Shower Controls - Y/N</t>
  </si>
  <si>
    <t>C2c Universal Design Acq Rehab Pres Units</t>
  </si>
  <si>
    <t>Scoring - Is Bath and Shower Controls - Y/N</t>
  </si>
  <si>
    <t>Bath and Shower Controls - Points</t>
  </si>
  <si>
    <t>Scoring - Bath and Shower Controls - Points</t>
  </si>
  <si>
    <t>Electrical Outlets 18" Min Height - Y/N</t>
  </si>
  <si>
    <t>Scoring - Is Electrical Outlets - Y/N</t>
  </si>
  <si>
    <t>Electrical Outlets 18" Min Height - Points</t>
  </si>
  <si>
    <t>Scoring - Electrical Outlets - Points</t>
  </si>
  <si>
    <t>Thermostats 48" Min Height - Y/N</t>
  </si>
  <si>
    <t>Scoring - Is Thermostats - Y/N</t>
  </si>
  <si>
    <t>Thermostats 48" Min Height - Points</t>
  </si>
  <si>
    <t>Scoring - Thermostats - Points</t>
  </si>
  <si>
    <t>Parking Accessibility (Sections 402, 404, and 1104.11) - Y/N</t>
  </si>
  <si>
    <t>Scoring - Is Parking Accessibility (Sections 402, 404, and 1104.11) - Y/N</t>
  </si>
  <si>
    <t>Parking Accessibility - Points</t>
  </si>
  <si>
    <t>Scoring - Parking Accessibility - Points</t>
  </si>
  <si>
    <t>Toilet Clearance of 56"D x 48"W (Section 1104.11.3.1.2) - Y/N</t>
  </si>
  <si>
    <t>Scoring - Is Toilet Clearance (Section 1104.11.3.1.2) - Y/N</t>
  </si>
  <si>
    <t>Toilet Clearance - Points</t>
  </si>
  <si>
    <t>Scoring - Toilet Clearance - Points</t>
  </si>
  <si>
    <t>Low-Profile Thresholds (Sections 303.2 and 303.3) - Y/N</t>
  </si>
  <si>
    <t>Scoring - Is Low-Profile Thresholds (Sections 303.2 and 303.3) - Y/N</t>
  </si>
  <si>
    <t>Low-Profile Thresholds - Points</t>
  </si>
  <si>
    <t>Scoring - Low-Profile Thresholds - Points</t>
  </si>
  <si>
    <t>Reinforcement for Grab Bars (Section 103.11.1) - Y/N</t>
  </si>
  <si>
    <t>Scoring - Is Reinforcement for Grab Bars (Section 103.11.1) - Y/N</t>
  </si>
  <si>
    <t>Reinforcement for Grab Bars - Points</t>
  </si>
  <si>
    <t>Scoring - Reinforcement for Grab Bars - Points</t>
  </si>
  <si>
    <t>Permanently Non-Skid Bathroom Shower 75% - Y/N</t>
  </si>
  <si>
    <t>Scoring - Is Permanently Non-Skid Bathroom Shower - Y/N</t>
  </si>
  <si>
    <t>Permanently Non-Skid Bathroom Shower 75% - Points</t>
  </si>
  <si>
    <t>Scoring - Permanently Non-Skid Bathroom Shower - Points</t>
  </si>
  <si>
    <t>24. Dev Process Score</t>
  </si>
  <si>
    <t>Credit Efficiency</t>
  </si>
  <si>
    <t>Claim Points Y/N - Financial Leverage</t>
  </si>
  <si>
    <t>10 Financial Leverage</t>
  </si>
  <si>
    <t>Scoring - Is Claim Points Y/N - Financial Leverage</t>
  </si>
  <si>
    <t>Total Applicant Score - Financial Leverage (Max 36)</t>
  </si>
  <si>
    <t>Scoring - Total Applicant Score - Financial Leverage (Max 36)</t>
  </si>
  <si>
    <t>WHEDA Score - Financial Leverage</t>
  </si>
  <si>
    <t>Scoring - WHEDA Score - Financial Leverage</t>
  </si>
  <si>
    <t>=INDEX(RANGE,1,1,1)</t>
  </si>
  <si>
    <t>Underwriter Notes - Financial Leverage</t>
  </si>
  <si>
    <t>Scoring - Underwriter Notes - Financial Leverage</t>
  </si>
  <si>
    <t>=IF(INDEX(RANGE,1,1,1)…)</t>
  </si>
  <si>
    <t>23. Building Design Score</t>
  </si>
  <si>
    <t>Eventual Tenant Ownership</t>
  </si>
  <si>
    <t>Claim Points Y/N - Eventual Tenant Ownership</t>
  </si>
  <si>
    <t>C3 Eventual Tenant Ownership</t>
  </si>
  <si>
    <t>Scoring - Is Claim Points Y/N - Eventual Tenant Ownership</t>
  </si>
  <si>
    <t>Total Applicant Score - Eventual Tenant Ownership (Max 36)</t>
  </si>
  <si>
    <t>Scoring - Total Applicant Score - Eventual Tenant Ownership (Max 3)</t>
  </si>
  <si>
    <t>WHEDA Score - Eventual Tenant Ownership</t>
  </si>
  <si>
    <t>Scoring - WHEDA Score - Eventual Tenant Ownership</t>
  </si>
  <si>
    <t>Underwriter Notes - Eventual Tenant Ownership</t>
  </si>
  <si>
    <t>Scoring - Underwriter Notes - Eventual Tenant Ownership</t>
  </si>
  <si>
    <t>Applicant Notes - Eventual Tenant Ownership</t>
  </si>
  <si>
    <t>Scoring - Applicant Notes - Eventual Tenant Ownership</t>
  </si>
  <si>
    <t>Peer Review Comments - Eventual Tenant Ownership</t>
  </si>
  <si>
    <t>Scoring - Peer Review Comments - Eventual Tenant Ownership</t>
  </si>
  <si>
    <t>12. Development Team</t>
  </si>
  <si>
    <t>Claim Points Y/N - Development Team</t>
  </si>
  <si>
    <t>D2 Development Team</t>
  </si>
  <si>
    <t>Scoring - Is Claim Points Y/N - Development Team</t>
  </si>
  <si>
    <t>Total Applicant Score - Development Team (Max 12)</t>
  </si>
  <si>
    <t>Scoring - Total Applicant Score - Development Team (Max 12)</t>
  </si>
  <si>
    <t>Primary - Emerging Developers Points</t>
  </si>
  <si>
    <t>Scoring - Primary - Emerging Developers Points</t>
  </si>
  <si>
    <t>Primary - WHEDA Capacity Points</t>
  </si>
  <si>
    <t>Scoring - Primary - WHEDA Capacity Points</t>
  </si>
  <si>
    <t>Not entered for 2025</t>
  </si>
  <si>
    <t>Primary - Nonprofit Developers Points</t>
  </si>
  <si>
    <t>Scoring - Primary - Nonprofit Developers Points</t>
  </si>
  <si>
    <t>Primary - Subtotal Points</t>
  </si>
  <si>
    <t>Scoring - Primary - Subtotal Points</t>
  </si>
  <si>
    <t>Co-Developer - Emerging Developers Points</t>
  </si>
  <si>
    <t>Scoring - Co-Developer - Emerging Developers Points</t>
  </si>
  <si>
    <t>Co-Developer - WHEDA Capacity Points</t>
  </si>
  <si>
    <t>Scoring - Co-Developer - WHEDA Capacity Points</t>
  </si>
  <si>
    <t>Co-Developer - Nonprofit Developers Points</t>
  </si>
  <si>
    <t>Scoring - Co-Developer - Nonprofit Developers Points</t>
  </si>
  <si>
    <t>Co-Developer - Subtotal Points</t>
  </si>
  <si>
    <t>Scoring - Co-Developer - Subtotal Points</t>
  </si>
  <si>
    <t>2nd Co-Developer - Emerging Developers Points</t>
  </si>
  <si>
    <t>Scoring - 2nd Co-Developer - Emerging Developers Points</t>
  </si>
  <si>
    <t>2nd Co-Developer - WHEDA Capacity Points</t>
  </si>
  <si>
    <t>Scoring - 2nd Co-Developer - WHEDA Capacity Points</t>
  </si>
  <si>
    <t>2nd Co-Developer - Nonprofit Developers Points</t>
  </si>
  <si>
    <t>Scoring - 2nd Co-Developer - Nonprofit Developers Points</t>
  </si>
  <si>
    <t>2nd Co-Developer - Subtotal Points</t>
  </si>
  <si>
    <t>Scoring - 2nd Co-Developer - Subtotal Points</t>
  </si>
  <si>
    <t>Scoring - WHEDA Score - Development Team</t>
  </si>
  <si>
    <t>Underwriter Notes - Development Team</t>
  </si>
  <si>
    <t>Scoring - Underwriter Notes - Development Team</t>
  </si>
  <si>
    <t>Applicant Notes - Development Team</t>
  </si>
  <si>
    <t>Scoring - Applicant Notes - Development Team</t>
  </si>
  <si>
    <t>Peer Review Comments - Development Team</t>
  </si>
  <si>
    <t>Scoring - Peer Review Comments - Development Team</t>
  </si>
  <si>
    <t xml:space="preserve"> Areas of Economic Activity</t>
  </si>
  <si>
    <t>Claim Points Y/N - Areas of Economic Activity</t>
  </si>
  <si>
    <t>13 Areas of Economic Activity</t>
  </si>
  <si>
    <t>Scoring - Is Claim Points Y/N - Areas of Economic Opportunity</t>
  </si>
  <si>
    <t>Total Applicant Score - Areas of Economic Activity (Max 28)</t>
  </si>
  <si>
    <t>Scoring - Total Applicant Score - Areas of Economic Opportunity (Max 28)</t>
  </si>
  <si>
    <t>Median Income Points</t>
  </si>
  <si>
    <t>Scoring - Median Income Points</t>
  </si>
  <si>
    <t>School District Points</t>
  </si>
  <si>
    <t>Scoring - School District Points</t>
  </si>
  <si>
    <t>Rent Burden Points</t>
  </si>
  <si>
    <t>Scoring - Rent Burden Points</t>
  </si>
  <si>
    <t>Federally Designated Tribal Lands Points</t>
  </si>
  <si>
    <t>Scoring - Federally Designated Tribal Lands Points</t>
  </si>
  <si>
    <t>Full Service Grocery Points</t>
  </si>
  <si>
    <t>Scoring - Full Service Grocery Points</t>
  </si>
  <si>
    <t>Public School Points</t>
  </si>
  <si>
    <t>Scoring - Public School Points</t>
  </si>
  <si>
    <t>Senior Center Points</t>
  </si>
  <si>
    <t>Scoring - Senior Center Points</t>
  </si>
  <si>
    <t>Full Service Medical Clinic or Hospital Points</t>
  </si>
  <si>
    <t>Scoring - Full Service Medical Clinic or Hospital Points</t>
  </si>
  <si>
    <t>Library Points</t>
  </si>
  <si>
    <t>Scoring - Library Points</t>
  </si>
  <si>
    <t>Public Park Points</t>
  </si>
  <si>
    <t>Scoring - Public Park Points</t>
  </si>
  <si>
    <t>Job Training or Education Points</t>
  </si>
  <si>
    <t>Scoring - Job Training or Education Points</t>
  </si>
  <si>
    <t>In Unit Internet No Cost Points</t>
  </si>
  <si>
    <t>Scoring - In Unit Internet No Cost Points</t>
  </si>
  <si>
    <t>On Site Community Room Points</t>
  </si>
  <si>
    <t>Scoring - On Site Community Room Points</t>
  </si>
  <si>
    <t>WHEDA Score - Areas of Economic Activity</t>
  </si>
  <si>
    <t>Scoring - WHEDA Score - Areas of Economic Opportunity</t>
  </si>
  <si>
    <t>Underwriter Notes - Areas of Econ Activity</t>
  </si>
  <si>
    <t>Scoring - Underwriter Notes - Areas of Economic Opportunity</t>
  </si>
  <si>
    <t>Applicant Notes - Areas of Econ Activity</t>
  </si>
  <si>
    <t>A1 Area of Econamic Opportunity</t>
  </si>
  <si>
    <t>Scoring - Applicant Notes - Areas of Econ Opp</t>
  </si>
  <si>
    <t>Peer Review Comments - Areas of Econ Activity</t>
  </si>
  <si>
    <t>Scoring - Peer Review Comments - Areas of Econ Opp</t>
  </si>
  <si>
    <t>37. Rural Areas without Recent Tax Credit Awards</t>
  </si>
  <si>
    <t>14. Rural Areas without Recent Tax Credit Awards</t>
  </si>
  <si>
    <t>Claim Points Y/N - Rural and Tribal Areas</t>
  </si>
  <si>
    <t>14 Rural Areas without Recent Tax Credit Awards</t>
  </si>
  <si>
    <t>Scoring - Is Claim Points Y/N - Rural Areas without Recent Tax Credit Awards</t>
  </si>
  <si>
    <t>Total Applicant Score - Rural and Tribal Areas (Max 8)</t>
  </si>
  <si>
    <t>Scoring - Total Applicant Score - Rural Areas without Recent Tax Credit Awards (Max 8)</t>
  </si>
  <si>
    <t>Not mapped for 2025</t>
  </si>
  <si>
    <t>WHEDA Score - Rural and Tribal Areas</t>
  </si>
  <si>
    <t>Scoring - WHEDA Score - Rural Areas without Recent Tax Credit Awards</t>
  </si>
  <si>
    <t>Underwriter Notes - Rural and Tribal Areas</t>
  </si>
  <si>
    <t>Scoring - Underwriter Notes - Rural Areas without Recent Tax Credit Awards</t>
  </si>
  <si>
    <t>37. Workforce Housing Communities</t>
  </si>
  <si>
    <t>15. Workforce Housing Communities</t>
  </si>
  <si>
    <t>Claim Points Y/N - Workforce Housing</t>
  </si>
  <si>
    <t>15 Workforce Housing Communities</t>
  </si>
  <si>
    <t>Scoring - Is Claim Points Y/N - Workforce Housing</t>
  </si>
  <si>
    <t>Total Applicant Score - Workforce Housing (Max 12)</t>
  </si>
  <si>
    <t>Scoring - Total Applicant Score - Workforce Housing (Max 12)</t>
  </si>
  <si>
    <t>Job Center Points</t>
  </si>
  <si>
    <t>Scoring - Job Center Points</t>
  </si>
  <si>
    <t>Net Job Growth Points</t>
  </si>
  <si>
    <t>Scoring - Net Job Growth Points</t>
  </si>
  <si>
    <t>Individual Employer Growth Points</t>
  </si>
  <si>
    <t>Scoring - Individual Employer Growth Points</t>
  </si>
  <si>
    <t xml:space="preserve">WHEDA Score - Workforce Housing </t>
  </si>
  <si>
    <t>Scoring - WHEDA Score - Workforce Housing</t>
  </si>
  <si>
    <t xml:space="preserve">Underwriter Notes - Workforce Housing </t>
  </si>
  <si>
    <t>Scoring - Underwriter Notes - Workforce Housing</t>
  </si>
  <si>
    <t>Applicant Notes - Workforce Housing</t>
  </si>
  <si>
    <t>Scoring - Applicant Notes - Workforce Housing</t>
  </si>
  <si>
    <t>Peer Review Comments - Workforce Housing</t>
  </si>
  <si>
    <t>Scoring - Peer Review Comments - Workforce Housing</t>
  </si>
  <si>
    <t>38. Community Service Facilities</t>
  </si>
  <si>
    <t>16. Community Service Facilities</t>
  </si>
  <si>
    <t>Claim Points Y/N - Community Service Facilities</t>
  </si>
  <si>
    <t>C4 Community Service Facilities</t>
  </si>
  <si>
    <t>Scoring - Is Claim Points Y/N - Community Service Facilities</t>
  </si>
  <si>
    <t>Total Applicant Score - Community Service Facilities (Max 12)</t>
  </si>
  <si>
    <t>Scoring - Total Applicant Score - Community Service Facilities (Max 5)</t>
  </si>
  <si>
    <t>WHEDA Score - Community Service Facilities</t>
  </si>
  <si>
    <t>Scoring - WHEDA Score - Community Service Facilities</t>
  </si>
  <si>
    <t>Underwriter Notes - Community Service Facilities</t>
  </si>
  <si>
    <t>Scoring - Underwriter Notes - Community Service Facilities</t>
  </si>
  <si>
    <t>Applicant Notes - Community Service Facilities</t>
  </si>
  <si>
    <t>Scoring - Applicant Notes - Community Service Facilities</t>
  </si>
  <si>
    <t>Peer Review Comments - Community Service Facilities</t>
  </si>
  <si>
    <t>Scoring - Peer Review Comments - Community Service Facilities</t>
  </si>
  <si>
    <t>C5 Additional Amenities Score</t>
  </si>
  <si>
    <t>In-Unit Internet (Y/N)</t>
  </si>
  <si>
    <t>Scoring - In-Unit Internet (Y/N) - Additional Amenities Score</t>
  </si>
  <si>
    <t>In-Unit Internet (Points)</t>
  </si>
  <si>
    <t>Scoring- In-Unit Unit Internet (Points/Points) - Additional Amenities Score</t>
  </si>
  <si>
    <t>On-site Community Room (Y/N)</t>
  </si>
  <si>
    <t>Scoring  - On-site Room (Y/N) - Additional Amenities Score</t>
  </si>
  <si>
    <t>On-site Community Room (Points)</t>
  </si>
  <si>
    <t>Scoring - On-site Community Room (Room/Points) - Additional Amenities Score</t>
  </si>
  <si>
    <t>Applicant score - Additional Amenities (Points)</t>
  </si>
  <si>
    <t>Scoring -   Applicant score Additional Amenities (Amenities/Points) - Additional Amenities Score</t>
  </si>
  <si>
    <t>WHEDA Score - Additional Amenities (Points)</t>
  </si>
  <si>
    <t>Scoring -   WHEDA Score Additional Amenities (Amenities/Points) - Additional Amenities Score</t>
  </si>
  <si>
    <t>Applicant Notes - Additional Amenities</t>
  </si>
  <si>
    <t>Scoring  Applicant Notes Notes (Additional/Amenities) - Additional Amenities Score</t>
  </si>
  <si>
    <t>Underwriter Notes - Additional Amenities</t>
  </si>
  <si>
    <t>Scoring  Underwriter Notes Notes (Additional/Amenities) - Additional Amenities Score</t>
  </si>
  <si>
    <t>Peer Review Comments - Additional Amenities</t>
  </si>
  <si>
    <t>Scoring  Peer Review Comments (Additional/Amenities) - Additional Amenities Score</t>
  </si>
  <si>
    <t>D1 Credit Efficiency</t>
  </si>
  <si>
    <t>Credit Type</t>
  </si>
  <si>
    <t>Scoring - Credit Type - Credit Efficiency</t>
  </si>
  <si>
    <t>Construction Type Ranges Used</t>
  </si>
  <si>
    <t>Scoring - Construction Type Ranges Used - Construction Efficiency</t>
  </si>
  <si>
    <t>Annual Federal Request</t>
  </si>
  <si>
    <t>Scoring - Annual Federal Request - Annual Efficiency</t>
  </si>
  <si>
    <t>Total LI Units</t>
  </si>
  <si>
    <t>Scoring - Total LI Units - Total Efficiency</t>
  </si>
  <si>
    <t>Total Weighted Units</t>
  </si>
  <si>
    <t>Scoring - Total Weighted Units - Total Efficiency</t>
  </si>
  <si>
    <t>Credit Leverage</t>
  </si>
  <si>
    <t>Scoring - Credit Leverage - Credit Efficiency</t>
  </si>
  <si>
    <t>Rural Set-Aside (Y/N)</t>
  </si>
  <si>
    <t>Scoring - Rural Set Aside Y N - Rural Efficiency</t>
  </si>
  <si>
    <t>Voucher Unit Count</t>
  </si>
  <si>
    <t>Scoring - Voucher Unit Count - Voucher Efficiency</t>
  </si>
  <si>
    <t>Voucher Weighted Units</t>
  </si>
  <si>
    <t>Scoring - Voucher Weighted Units - Voucher Efficiency</t>
  </si>
  <si>
    <t>30% CMI Unit Count</t>
  </si>
  <si>
    <t>Scoring - CMI Unit Count - 30% CMI Efficiency</t>
  </si>
  <si>
    <t>30% Weighted Units</t>
  </si>
  <si>
    <t>Scoring - Weighted Units - 30% Weighted Efficiency</t>
  </si>
  <si>
    <t>40% CMI Unit Count</t>
  </si>
  <si>
    <t>Scoring - CMI Unit Count - 40% CMI Efficiency</t>
  </si>
  <si>
    <t>40% Weighted Units</t>
  </si>
  <si>
    <t>Scoring - Weighted Units - 40% Weighted Efficiency</t>
  </si>
  <si>
    <t>50% CMI Unit Count</t>
  </si>
  <si>
    <t>Scoring - CMI Unit Count - 50% CMI Efficiency</t>
  </si>
  <si>
    <t>50% Weighted Units</t>
  </si>
  <si>
    <t>Scoring - Weighted Units - 50% Weighted Efficiency</t>
  </si>
  <si>
    <t>60% CMI Unit Count</t>
  </si>
  <si>
    <t>Scoring - CMI Unit Count - 60% CMI Efficiency</t>
  </si>
  <si>
    <t>60% Weighted Units</t>
  </si>
  <si>
    <t>Scoring - Weighted Units - 60% Weighted Efficiency</t>
  </si>
  <si>
    <t>70% CMI Unit Count</t>
  </si>
  <si>
    <t>Scoring - CMI Unit Count - 70% CMI Efficiency</t>
  </si>
  <si>
    <t>70% Weighted Units</t>
  </si>
  <si>
    <t>Scoring - Weighted Units - 70% Weighted Efficiency</t>
  </si>
  <si>
    <t>80% CMI Unit Count</t>
  </si>
  <si>
    <t>Scoring - CMI Unit Count - 80% CMI Efficiency</t>
  </si>
  <si>
    <t>80% Weighted Units</t>
  </si>
  <si>
    <t>Scoring - Weighted Units - 80% Weighted Efficiency</t>
  </si>
  <si>
    <t>Credits Per Unit - 36 (Y/N)</t>
  </si>
  <si>
    <t>Scoring - Credits Per Unit Y N - Credits Efficiency</t>
  </si>
  <si>
    <t>Not Mapping for 2025</t>
  </si>
  <si>
    <t>Credits Per Unit - 36 (Points)</t>
  </si>
  <si>
    <t>Scoring - Credits Per Unit Points - Credits Efficiency</t>
  </si>
  <si>
    <t>Credits Per Unit - 34 (Y/N)</t>
  </si>
  <si>
    <t>Credits Per Unit - 34 (Points)</t>
  </si>
  <si>
    <t>Credits Per Unit - 32 (Y/N)</t>
  </si>
  <si>
    <t>Credits Per Unit - 32 (Points)</t>
  </si>
  <si>
    <t>Credits Per Unit - 30 (Y/N)</t>
  </si>
  <si>
    <t>Credits Per Unit - 30 (Points)</t>
  </si>
  <si>
    <t>Credits Per Unit - 28 (Y/N)</t>
  </si>
  <si>
    <t>Credits Per Unit - 28 (Points)</t>
  </si>
  <si>
    <t>Credits Per Unit - 26 (Y/N)</t>
  </si>
  <si>
    <t>Credits Per Unit - 26 (Points)</t>
  </si>
  <si>
    <t>Credits Per Unit - 0 (Y/N)</t>
  </si>
  <si>
    <t>Credits Per Unit - 0 (Points)</t>
  </si>
  <si>
    <t>Applicant Score - Credit Efficiency</t>
  </si>
  <si>
    <t>Scoring - Applicant Score Credit Efficiency - Applicant Efficiency</t>
  </si>
  <si>
    <t>WHEDA Score - Credit Efficiency</t>
  </si>
  <si>
    <t>Scoring - WHEDA Score Credit Efficiency - WHEDA Efficiency</t>
  </si>
  <si>
    <t>Applicant Notes - Credit Efficiency</t>
  </si>
  <si>
    <t>Scoring - Applicant Notes Credit Efficiency - Applicant Efficiency</t>
  </si>
  <si>
    <t>Underwriter Notes - Credit Efficiency</t>
  </si>
  <si>
    <t>Scoring - Underwriter Notes Credit Efficiency - Underwriter Efficiency</t>
  </si>
  <si>
    <t>Peer Review Comments - Credit Efficency</t>
  </si>
  <si>
    <t>Scoring - Peer Review Comments Credit Efficency - Peer Efficiency</t>
  </si>
  <si>
    <t>D3 Site Characteristics</t>
  </si>
  <si>
    <t>Claim Points (Y/N) - Site Characteristics</t>
  </si>
  <si>
    <t>Scoring - Claim Points (Y/N) - Site Characteristics</t>
  </si>
  <si>
    <t>Applicant Score - Site Characteristics</t>
  </si>
  <si>
    <t>Scoring - Applicant Score - Site Characteristics</t>
  </si>
  <si>
    <t>WHEDA Score - Site Characteristics</t>
  </si>
  <si>
    <t>Scoring - WHEDA Score - Site Characteristics</t>
  </si>
  <si>
    <t>Applicant Notes - Site Characteristics</t>
  </si>
  <si>
    <t>Scoring - Applicant Notes - Site Characteristics</t>
  </si>
  <si>
    <t>Underwriter Notes - Site Characteristics</t>
  </si>
  <si>
    <t>Scoring - Underwriter Notes - Site Characteristics</t>
  </si>
  <si>
    <t>Peer Review Comments - Site Characteristics</t>
  </si>
  <si>
    <t>Scoring - Peer Review Comments - Site Characteristics</t>
  </si>
  <si>
    <t xml:space="preserve">TCA Deal </t>
  </si>
  <si>
    <t>Dev Deal</t>
  </si>
  <si>
    <t>Field</t>
  </si>
  <si>
    <t>Development Name</t>
  </si>
  <si>
    <t>Project Name &amp; Location</t>
  </si>
  <si>
    <t>Mapped</t>
  </si>
  <si>
    <t>map as Get on tab</t>
  </si>
  <si>
    <t>Zip</t>
  </si>
  <si>
    <t>Additional Credits</t>
  </si>
  <si>
    <t>WHEDA App &amp; #</t>
  </si>
  <si>
    <t>HTC Compliance Period</t>
  </si>
  <si>
    <t>Set Aside</t>
  </si>
  <si>
    <t>Minimum Set Aside</t>
  </si>
  <si>
    <t>LURA</t>
  </si>
  <si>
    <t>If Yes, Project #</t>
  </si>
  <si>
    <t>Rental Targeted</t>
  </si>
  <si>
    <t>Single Room Occ</t>
  </si>
  <si>
    <t>Target Population 1 Type</t>
  </si>
  <si>
    <t>Target Population 1 Subtype</t>
  </si>
  <si>
    <t>Target Population 2 Type</t>
  </si>
  <si>
    <t>Target Population 2 SubType</t>
  </si>
  <si>
    <t>Construction Compete</t>
  </si>
  <si>
    <t>Federal Assistance</t>
  </si>
  <si>
    <t>KEEP</t>
  </si>
  <si>
    <t>Apartments</t>
  </si>
  <si>
    <t>Townhome/Row</t>
  </si>
  <si>
    <t>Single Family House</t>
  </si>
  <si>
    <t>Other-Mixed</t>
  </si>
  <si>
    <t>Applicant Information</t>
  </si>
  <si>
    <t>Developer Contact</t>
  </si>
  <si>
    <t>Judgements</t>
  </si>
  <si>
    <t>Litigations</t>
  </si>
  <si>
    <t>Environmental Issues</t>
  </si>
  <si>
    <t>Explanation</t>
  </si>
  <si>
    <t>Site Acreage</t>
  </si>
  <si>
    <t>Year Built</t>
  </si>
  <si>
    <t>Total Building Acreage</t>
  </si>
  <si>
    <t>Demolition</t>
  </si>
  <si>
    <t>Exisitng Buildings Occupied</t>
  </si>
  <si>
    <t>Flood Zone</t>
  </si>
  <si>
    <t>Building Address 1</t>
  </si>
  <si>
    <t>Building City 1</t>
  </si>
  <si>
    <t>Building State 1</t>
  </si>
  <si>
    <t>Building Zip Code 1</t>
  </si>
  <si>
    <t>Mkt Units 1</t>
  </si>
  <si>
    <t>TC  Units 1</t>
  </si>
  <si>
    <t>Building Address 2</t>
  </si>
  <si>
    <t>Building City 2</t>
  </si>
  <si>
    <t>Building State 2</t>
  </si>
  <si>
    <t>Building Zip Code 2</t>
  </si>
  <si>
    <t>Mkt Units 2</t>
  </si>
  <si>
    <t>TC  Units 2</t>
  </si>
  <si>
    <t>Building Address 3</t>
  </si>
  <si>
    <t>Building City 3</t>
  </si>
  <si>
    <t>Building State 3</t>
  </si>
  <si>
    <t>Building Zip Code 3</t>
  </si>
  <si>
    <t>Mkt Units 3</t>
  </si>
  <si>
    <t>TC  Units 3</t>
  </si>
  <si>
    <t>Building Address 4</t>
  </si>
  <si>
    <t>Building City 4</t>
  </si>
  <si>
    <t>Building State 4</t>
  </si>
  <si>
    <t>Building Zip Code 4</t>
  </si>
  <si>
    <t>Mkt Units 4</t>
  </si>
  <si>
    <t>TC  Units 4</t>
  </si>
  <si>
    <t>Building Address 5</t>
  </si>
  <si>
    <t>Building City 5</t>
  </si>
  <si>
    <t>Building State 5</t>
  </si>
  <si>
    <t>Building Zip Code 5</t>
  </si>
  <si>
    <t>Mkt Units 5</t>
  </si>
  <si>
    <t>TC  Units 5</t>
  </si>
  <si>
    <t>Building Address 6</t>
  </si>
  <si>
    <t>Building City 6</t>
  </si>
  <si>
    <t>Building State 6</t>
  </si>
  <si>
    <t>Building Zip Code 6</t>
  </si>
  <si>
    <t>Mkt Units 6</t>
  </si>
  <si>
    <t>TC  Units 6</t>
  </si>
  <si>
    <t>Building Address 7</t>
  </si>
  <si>
    <t>Building City 7</t>
  </si>
  <si>
    <t>Building State 7</t>
  </si>
  <si>
    <t>Building Zip Code 7</t>
  </si>
  <si>
    <t>Mkt Units 7</t>
  </si>
  <si>
    <t>TC  Units 7</t>
  </si>
  <si>
    <t>Building Address 8</t>
  </si>
  <si>
    <t>Building City 8</t>
  </si>
  <si>
    <t>Building State 8</t>
  </si>
  <si>
    <t>Building Zip Code 8</t>
  </si>
  <si>
    <t>Mkt Units 8</t>
  </si>
  <si>
    <t>TC  Units 8</t>
  </si>
  <si>
    <t>Building Address 9</t>
  </si>
  <si>
    <t>Building City 9</t>
  </si>
  <si>
    <t>Building State 9</t>
  </si>
  <si>
    <t>Building Zip Code 9</t>
  </si>
  <si>
    <t>Mkt Units 9</t>
  </si>
  <si>
    <t>TC  Units 9</t>
  </si>
  <si>
    <t>Building Address 10</t>
  </si>
  <si>
    <t>Building City 10</t>
  </si>
  <si>
    <t>Building State 10</t>
  </si>
  <si>
    <t>Building Zip Code 10</t>
  </si>
  <si>
    <t>Mkt Units 10</t>
  </si>
  <si>
    <t>TC  Units 10</t>
  </si>
  <si>
    <t>Building Address 11</t>
  </si>
  <si>
    <t>Building City 11</t>
  </si>
  <si>
    <t>Building State 11</t>
  </si>
  <si>
    <t>Building Zip Code 11</t>
  </si>
  <si>
    <t>Mkt Units 11</t>
  </si>
  <si>
    <t>TC  Units 11</t>
  </si>
  <si>
    <t>Building Address 12</t>
  </si>
  <si>
    <t>Building City 12</t>
  </si>
  <si>
    <t>Building State 12</t>
  </si>
  <si>
    <t>Building Zip Code 12</t>
  </si>
  <si>
    <t>Mkt Units 12</t>
  </si>
  <si>
    <t>TC  Units 12</t>
  </si>
  <si>
    <t>Building Address 13</t>
  </si>
  <si>
    <t>Building City 13</t>
  </si>
  <si>
    <t>Building State 13</t>
  </si>
  <si>
    <t>Building Zip Code 13</t>
  </si>
  <si>
    <t>Mkt Units 13</t>
  </si>
  <si>
    <t>TC  Units 13</t>
  </si>
  <si>
    <t>Building Address 14</t>
  </si>
  <si>
    <t>Building City 14</t>
  </si>
  <si>
    <t>Building State 14</t>
  </si>
  <si>
    <t>Building Zip Code 14</t>
  </si>
  <si>
    <t>Mkt Units 14</t>
  </si>
  <si>
    <t>TC  Units 14</t>
  </si>
  <si>
    <t>Building Address 15</t>
  </si>
  <si>
    <t>Building City 15</t>
  </si>
  <si>
    <t>Building State 15</t>
  </si>
  <si>
    <t>Building Zip Code 15</t>
  </si>
  <si>
    <t>Mkt Units 15</t>
  </si>
  <si>
    <t>TC  Units 15</t>
  </si>
  <si>
    <t>Building Address 16</t>
  </si>
  <si>
    <t>Building City 16</t>
  </si>
  <si>
    <t>Building State 16</t>
  </si>
  <si>
    <t>Building Zip Code 16</t>
  </si>
  <si>
    <t>Mkt Units 16</t>
  </si>
  <si>
    <t>TC  Units 16</t>
  </si>
  <si>
    <t>Building Address 17</t>
  </si>
  <si>
    <t>Building City 17</t>
  </si>
  <si>
    <t>Building State 17</t>
  </si>
  <si>
    <t>Building Zip Code 17</t>
  </si>
  <si>
    <t>Mkt Units 17</t>
  </si>
  <si>
    <t>TC  Units 17</t>
  </si>
  <si>
    <t>Building Address 18</t>
  </si>
  <si>
    <t>Building City 18</t>
  </si>
  <si>
    <t>Building State 18</t>
  </si>
  <si>
    <t>Building Zip Code 18</t>
  </si>
  <si>
    <t>Mkt Units 18</t>
  </si>
  <si>
    <t>TC  Units 18</t>
  </si>
  <si>
    <t>Building Address 19</t>
  </si>
  <si>
    <t>Building City 19</t>
  </si>
  <si>
    <t>Building State 19</t>
  </si>
  <si>
    <t>Building Zip Code 19</t>
  </si>
  <si>
    <t>Mkt Units 19</t>
  </si>
  <si>
    <t>TC  Units 19</t>
  </si>
  <si>
    <t>Building Address 20</t>
  </si>
  <si>
    <t>Building City 20</t>
  </si>
  <si>
    <t>Building State 20</t>
  </si>
  <si>
    <t>Building Zip Code 20</t>
  </si>
  <si>
    <t>Mkt Units 20</t>
  </si>
  <si>
    <t>TC  Units 20</t>
  </si>
  <si>
    <t>Building Address 21</t>
  </si>
  <si>
    <t>Building City 21</t>
  </si>
  <si>
    <t>Building State 21</t>
  </si>
  <si>
    <t>Building Zip Code 21</t>
  </si>
  <si>
    <t>Mkt Units 21</t>
  </si>
  <si>
    <t>TC  Units 21</t>
  </si>
  <si>
    <t>Building Address 22</t>
  </si>
  <si>
    <t>Building City 22</t>
  </si>
  <si>
    <t>Building State 22</t>
  </si>
  <si>
    <t>Building Zip Code 22</t>
  </si>
  <si>
    <t>Mkt Units 22</t>
  </si>
  <si>
    <t>TC  Units 22</t>
  </si>
  <si>
    <t>Building Address 23</t>
  </si>
  <si>
    <t>Building City 23</t>
  </si>
  <si>
    <t>Building State 23</t>
  </si>
  <si>
    <t>Building Zip Code 23</t>
  </si>
  <si>
    <t>Mkt Units 23</t>
  </si>
  <si>
    <t>TC  Units 23</t>
  </si>
  <si>
    <t>Building Address 24</t>
  </si>
  <si>
    <t>Building City 24</t>
  </si>
  <si>
    <t>Building State 24</t>
  </si>
  <si>
    <t>Building Zip Code 24</t>
  </si>
  <si>
    <t>Mkt Units 24</t>
  </si>
  <si>
    <t>TC  Units 24</t>
  </si>
  <si>
    <t>Building Address 25</t>
  </si>
  <si>
    <t>Building City 25</t>
  </si>
  <si>
    <t>Building State 25</t>
  </si>
  <si>
    <t>Building Zip Code 25</t>
  </si>
  <si>
    <t>Mkt Units 25</t>
  </si>
  <si>
    <t>TC  Units 25</t>
  </si>
  <si>
    <t>Building Address 26</t>
  </si>
  <si>
    <t>Building City 26</t>
  </si>
  <si>
    <t>Building State 26</t>
  </si>
  <si>
    <t>Building Zip Code 26</t>
  </si>
  <si>
    <t>Mkt Units 26</t>
  </si>
  <si>
    <t>TC  Units 26</t>
  </si>
  <si>
    <t>Building Address 27</t>
  </si>
  <si>
    <t>Building City 27</t>
  </si>
  <si>
    <t>Building State 27</t>
  </si>
  <si>
    <t>Building Zip Code 27</t>
  </si>
  <si>
    <t>Mkt Units 27</t>
  </si>
  <si>
    <t>TC  Units 27</t>
  </si>
  <si>
    <t>Building Address 28</t>
  </si>
  <si>
    <t>Building City 28</t>
  </si>
  <si>
    <t>Building State 28</t>
  </si>
  <si>
    <t>Building Zip Code 28</t>
  </si>
  <si>
    <t>Mkt Units 28</t>
  </si>
  <si>
    <t>TC  Units 28</t>
  </si>
  <si>
    <t>Building Address 29</t>
  </si>
  <si>
    <t>Building City 29</t>
  </si>
  <si>
    <t>Building State 29</t>
  </si>
  <si>
    <t>Building Zip Code 29</t>
  </si>
  <si>
    <t>Mkt Units 29</t>
  </si>
  <si>
    <t>TC  Units 29</t>
  </si>
  <si>
    <t>Building Address 30</t>
  </si>
  <si>
    <t>Building City 30</t>
  </si>
  <si>
    <t>Building State 30</t>
  </si>
  <si>
    <t>Building Zip Code 30</t>
  </si>
  <si>
    <t>Mkt Units 30</t>
  </si>
  <si>
    <t>TC  Units 30</t>
  </si>
  <si>
    <t>Building Address 31</t>
  </si>
  <si>
    <t>Building City 31</t>
  </si>
  <si>
    <t>Building State 31</t>
  </si>
  <si>
    <t>Building Zip Code 31</t>
  </si>
  <si>
    <t>Mkt Units 31</t>
  </si>
  <si>
    <t>TC  Units 31</t>
  </si>
  <si>
    <t>Building Address 32</t>
  </si>
  <si>
    <t>Building City 32</t>
  </si>
  <si>
    <t>Building State 32</t>
  </si>
  <si>
    <t>Building Zip Code 32</t>
  </si>
  <si>
    <t>Mkt Units 32</t>
  </si>
  <si>
    <t>TC  Units 32</t>
  </si>
  <si>
    <t>Building Address 33</t>
  </si>
  <si>
    <t>Building City 33</t>
  </si>
  <si>
    <t>Building State 33</t>
  </si>
  <si>
    <t>Building Zip Code 33</t>
  </si>
  <si>
    <t>Mkt Units 33</t>
  </si>
  <si>
    <t>TC  Units 33</t>
  </si>
  <si>
    <t>Building Address 34</t>
  </si>
  <si>
    <t>Building City 34</t>
  </si>
  <si>
    <t>Building State 34</t>
  </si>
  <si>
    <t>Building Zip Code 34</t>
  </si>
  <si>
    <t>Mkt Units 34</t>
  </si>
  <si>
    <t>TC  Units 34</t>
  </si>
  <si>
    <t>Number of Buildngs</t>
  </si>
  <si>
    <t>Does an Identity of Ownership exist between owner and principal?</t>
  </si>
  <si>
    <t>Rehab expenditures allocable to low-income units</t>
  </si>
  <si>
    <t>Adjusted building basis</t>
  </si>
  <si>
    <t>OwnerShip Entity</t>
  </si>
  <si>
    <t>TIN</t>
  </si>
  <si>
    <t>Type</t>
  </si>
  <si>
    <t>align values</t>
  </si>
  <si>
    <t>NAME</t>
  </si>
  <si>
    <t>Management Agent Firm</t>
  </si>
  <si>
    <t>Contact</t>
  </si>
  <si>
    <t>Consultant Firm</t>
  </si>
  <si>
    <t>Contractor Firm</t>
  </si>
  <si>
    <t>Syndicator</t>
  </si>
  <si>
    <t>Architect</t>
  </si>
  <si>
    <t>Architect Contact</t>
  </si>
  <si>
    <t>Accountant</t>
  </si>
  <si>
    <t>Proxy Entities</t>
  </si>
  <si>
    <t>Company/Ind</t>
  </si>
  <si>
    <t>Role</t>
  </si>
  <si>
    <t>Email</t>
  </si>
  <si>
    <t>ADDRESS</t>
  </si>
  <si>
    <t>CITY</t>
  </si>
  <si>
    <t>Phone Number</t>
  </si>
  <si>
    <t>Name</t>
  </si>
  <si>
    <t>Doing Business</t>
  </si>
  <si>
    <t>First Name</t>
  </si>
  <si>
    <t>Last Name</t>
  </si>
  <si>
    <t>Doing Business As</t>
  </si>
  <si>
    <t xml:space="preserve">First Name </t>
  </si>
  <si>
    <t>Entity - Developer</t>
  </si>
  <si>
    <t>Entity - Owner</t>
  </si>
  <si>
    <t>Entity - Principal 1</t>
  </si>
  <si>
    <t>Entity - Principal 2</t>
  </si>
  <si>
    <t>Entity - Principal 3</t>
  </si>
  <si>
    <t>Entity - Management Agent</t>
  </si>
  <si>
    <t>Entity - Consultant</t>
  </si>
  <si>
    <t>Entity - Contractor</t>
  </si>
  <si>
    <t>Entity - Syndicator</t>
  </si>
  <si>
    <t>Entity - Architect</t>
  </si>
  <si>
    <t>Entity - Design Architect</t>
  </si>
  <si>
    <t>Entity - Attorney</t>
  </si>
  <si>
    <t>Entity - Accountant</t>
  </si>
  <si>
    <t>Entity - Developer 2</t>
  </si>
  <si>
    <t>Entity - Developer 3</t>
  </si>
  <si>
    <t>Entity - Developer 4</t>
  </si>
  <si>
    <t>Contact - Dev</t>
  </si>
  <si>
    <t>Contact - Dev 2</t>
  </si>
  <si>
    <t>Contact - Dev 3</t>
  </si>
  <si>
    <t>Contact - Dev 4</t>
  </si>
  <si>
    <t>Contact - Management Co</t>
  </si>
  <si>
    <t>Contact - Consultant</t>
  </si>
  <si>
    <t>Contact - Contractor</t>
  </si>
  <si>
    <t>Contact - Syndicator</t>
  </si>
  <si>
    <t>Contact - Design Architect</t>
  </si>
  <si>
    <t>Contact - Architect</t>
  </si>
  <si>
    <t>Contact - Accountant</t>
  </si>
  <si>
    <t>Contact Principal 1</t>
  </si>
  <si>
    <t>Contact Principal 2</t>
  </si>
  <si>
    <t>Contact Principal 3</t>
  </si>
  <si>
    <t>Management Agent - Identity of Interest</t>
  </si>
  <si>
    <t>Consultant - Identity of Interest</t>
  </si>
  <si>
    <t>General Contractor - Identity of Interest</t>
  </si>
  <si>
    <t>Syndicator - Identity of Interest</t>
  </si>
  <si>
    <t>Design Architect - Identity of Interest</t>
  </si>
  <si>
    <t>Supervisory Architect - Identity of Interest</t>
  </si>
  <si>
    <t>Attorney - Identity of Interest</t>
  </si>
  <si>
    <t>Accountant - Identity of Interest</t>
  </si>
  <si>
    <t>Project &amp; Unit Amenities</t>
  </si>
  <si>
    <t>Community Building</t>
  </si>
  <si>
    <t>Screened Porch</t>
  </si>
  <si>
    <t>Onsite Office</t>
  </si>
  <si>
    <t>Community Room Sq Ft</t>
  </si>
  <si>
    <t>Community Room</t>
  </si>
  <si>
    <t>Game Room</t>
  </si>
  <si>
    <t>Walking Trails</t>
  </si>
  <si>
    <t>Surface Parking #</t>
  </si>
  <si>
    <t xml:space="preserve">Heating </t>
  </si>
  <si>
    <t>Garages</t>
  </si>
  <si>
    <t>Media Center</t>
  </si>
  <si>
    <t>Therapetic Whirlpool</t>
  </si>
  <si>
    <t>Underground &amp; Garage Parking #</t>
  </si>
  <si>
    <t>Surface Parking</t>
  </si>
  <si>
    <t>Chapel</t>
  </si>
  <si>
    <t>Communit Patio</t>
  </si>
  <si>
    <t>Surface Parking Rent</t>
  </si>
  <si>
    <t>Underground Parking</t>
  </si>
  <si>
    <t>Covered Drive Through</t>
  </si>
  <si>
    <t>Num Parking</t>
  </si>
  <si>
    <t>Underground and Garage Rent</t>
  </si>
  <si>
    <t>Lanudry Room</t>
  </si>
  <si>
    <t>Playground</t>
  </si>
  <si>
    <t>Resident Computer Center</t>
  </si>
  <si>
    <t>Gazebos</t>
  </si>
  <si>
    <t>Reading Room</t>
  </si>
  <si>
    <t>Community Dining Room</t>
  </si>
  <si>
    <t>Guest Lodging</t>
  </si>
  <si>
    <t>Trash Disposal</t>
  </si>
  <si>
    <t>Garden Plots</t>
  </si>
  <si>
    <t>Exam Room</t>
  </si>
  <si>
    <t>Car Care Center</t>
  </si>
  <si>
    <t>Exercise Room</t>
  </si>
  <si>
    <t>Describe difference in low-income &amp; market-rate unit amenities</t>
  </si>
  <si>
    <t>Storage Units</t>
  </si>
  <si>
    <t>Beauty Salon</t>
  </si>
  <si>
    <t>Is Heat Landlord Paid</t>
  </si>
  <si>
    <t>Proposed Number of Buildings</t>
  </si>
  <si>
    <t>Security Locked Building</t>
  </si>
  <si>
    <t>Picnic Area</t>
  </si>
  <si>
    <t>Is AC Landlord Paid</t>
  </si>
  <si>
    <t>24 Hr Resident Manager</t>
  </si>
  <si>
    <t>Pool</t>
  </si>
  <si>
    <t>Is Cooking Landlord Paid</t>
  </si>
  <si>
    <t>Is Electric Landlord Paid</t>
  </si>
  <si>
    <t>Heating Type</t>
  </si>
  <si>
    <t>Cooking Type</t>
  </si>
  <si>
    <t>Is Hot Water Landlord Paid</t>
  </si>
  <si>
    <t>Air Conditioning Type</t>
  </si>
  <si>
    <t>Hot Water Type</t>
  </si>
  <si>
    <t>Is Sewer Landlord Paid</t>
  </si>
  <si>
    <t>Internet Access</t>
  </si>
  <si>
    <t>Is Trash Landlord Paid</t>
  </si>
  <si>
    <t>Is Cable Landlord Paid</t>
  </si>
  <si>
    <t>Is Water Landlord Paid</t>
  </si>
  <si>
    <t># Bedrooms 1</t>
  </si>
  <si>
    <t>Bathrooms 1</t>
  </si>
  <si>
    <t>Unit Type 1</t>
  </si>
  <si>
    <t>Net SF 1</t>
  </si>
  <si>
    <t>#  of Units 1</t>
  </si>
  <si>
    <t>Monthly Rent 1</t>
  </si>
  <si>
    <t>CMI 1</t>
  </si>
  <si>
    <t>Subtotal SQFT 1</t>
  </si>
  <si>
    <t>Apartment Type 1</t>
  </si>
  <si>
    <t>Base Rent 1</t>
  </si>
  <si>
    <t>Sq Ft 1</t>
  </si>
  <si>
    <t># Units 1</t>
  </si>
  <si>
    <t>Utility Allowance 1</t>
  </si>
  <si>
    <t>AMI 1</t>
  </si>
  <si>
    <t># Bedrooms 2</t>
  </si>
  <si>
    <t>Bathrooms 2</t>
  </si>
  <si>
    <t>Unit Type 2</t>
  </si>
  <si>
    <t>Net SF 2</t>
  </si>
  <si>
    <t>#  of Units 2</t>
  </si>
  <si>
    <t>Monthly Rent 2</t>
  </si>
  <si>
    <t>CMI 2</t>
  </si>
  <si>
    <t>Subtotal SQFT 2</t>
  </si>
  <si>
    <t>Apartment Type 2</t>
  </si>
  <si>
    <t>Base Rent 2</t>
  </si>
  <si>
    <t>Sq Ft 2</t>
  </si>
  <si>
    <t># Units 2</t>
  </si>
  <si>
    <t>Utility Allowance 2</t>
  </si>
  <si>
    <t>AMI 2</t>
  </si>
  <si>
    <t># Bedrooms 3</t>
  </si>
  <si>
    <t>Bathrooms 3</t>
  </si>
  <si>
    <t>Unit Type 3</t>
  </si>
  <si>
    <t>Net SF 3</t>
  </si>
  <si>
    <t>#  of Units 3</t>
  </si>
  <si>
    <t>Monthly Rent 3</t>
  </si>
  <si>
    <t>CMI 3</t>
  </si>
  <si>
    <t>Subtotal SQFT 3</t>
  </si>
  <si>
    <t>Apartment Type 3</t>
  </si>
  <si>
    <t>Base Rent 3</t>
  </si>
  <si>
    <t>Sq Ft 3</t>
  </si>
  <si>
    <t># Units 3</t>
  </si>
  <si>
    <t>Utility Allowance 3</t>
  </si>
  <si>
    <t>AMI 3</t>
  </si>
  <si>
    <t># Bedrooms 4</t>
  </si>
  <si>
    <t>Bathrooms 4</t>
  </si>
  <si>
    <t>Unit Type 4</t>
  </si>
  <si>
    <t>Net SF 4</t>
  </si>
  <si>
    <t>#  of Units 4</t>
  </si>
  <si>
    <t>Monthly Rent 4</t>
  </si>
  <si>
    <t>CMI 4</t>
  </si>
  <si>
    <t>Subtotal SQFT 4</t>
  </si>
  <si>
    <t>Apartment Type 4</t>
  </si>
  <si>
    <t>Base Rent 4</t>
  </si>
  <si>
    <t>Sq Ft 4</t>
  </si>
  <si>
    <t># Units 4</t>
  </si>
  <si>
    <t>Utility Allowance 4</t>
  </si>
  <si>
    <t>AMI 4</t>
  </si>
  <si>
    <t># Bedrooms 5</t>
  </si>
  <si>
    <t>Bathrooms 5</t>
  </si>
  <si>
    <t>Unit Type 5</t>
  </si>
  <si>
    <t>Net SF 5</t>
  </si>
  <si>
    <t>#  of Units 5</t>
  </si>
  <si>
    <t>Monthly Rent 5</t>
  </si>
  <si>
    <t>CMI 5</t>
  </si>
  <si>
    <t>Subtotal SQFT 5</t>
  </si>
  <si>
    <t>Apartment Type 5</t>
  </si>
  <si>
    <t>Base Rent 5</t>
  </si>
  <si>
    <t>Sq Ft 5</t>
  </si>
  <si>
    <t># Units 5</t>
  </si>
  <si>
    <t>Utility Allowance 5</t>
  </si>
  <si>
    <t>AMI 5</t>
  </si>
  <si>
    <t># Bedrooms 6</t>
  </si>
  <si>
    <t>Bathrooms 6</t>
  </si>
  <si>
    <t>Unit Type 6</t>
  </si>
  <si>
    <t>Net SF 6</t>
  </si>
  <si>
    <t>#  of Units 6</t>
  </si>
  <si>
    <t>Monthly Rent 6</t>
  </si>
  <si>
    <t>CMI 6</t>
  </si>
  <si>
    <t>Subtotal SQFT 6</t>
  </si>
  <si>
    <t>Apartment Type 6</t>
  </si>
  <si>
    <t>Base Rent 6</t>
  </si>
  <si>
    <t>Sq Ft 6</t>
  </si>
  <si>
    <t># Units 6</t>
  </si>
  <si>
    <t>Utility Allowance 6</t>
  </si>
  <si>
    <t>AMI 6</t>
  </si>
  <si>
    <t># Bedrooms 7</t>
  </si>
  <si>
    <t>Bathrooms 7</t>
  </si>
  <si>
    <t>Unit Type 7</t>
  </si>
  <si>
    <t>Net SF 7</t>
  </si>
  <si>
    <t>#  of Units 7</t>
  </si>
  <si>
    <t>Monthly Rent 7</t>
  </si>
  <si>
    <t>CMI 7</t>
  </si>
  <si>
    <t>Subtotal SQFT 7</t>
  </si>
  <si>
    <t>Apartment Type 7</t>
  </si>
  <si>
    <t>Base Rent 7</t>
  </si>
  <si>
    <t>Sq Ft 7</t>
  </si>
  <si>
    <t># Units 7</t>
  </si>
  <si>
    <t>Utility Allowance 7</t>
  </si>
  <si>
    <t>AMI 7</t>
  </si>
  <si>
    <t># Bedrooms 8</t>
  </si>
  <si>
    <t>Bathrooms 8</t>
  </si>
  <si>
    <t>Unit Type 8</t>
  </si>
  <si>
    <t>Net SF 8</t>
  </si>
  <si>
    <t>#  of Units 8</t>
  </si>
  <si>
    <t>Monthly Rent 8</t>
  </si>
  <si>
    <t>CMI 8</t>
  </si>
  <si>
    <t>Subtotal SQFT 8</t>
  </si>
  <si>
    <t>Apartment Type 8</t>
  </si>
  <si>
    <t>Base Rent 8</t>
  </si>
  <si>
    <t>Sq Ft 8</t>
  </si>
  <si>
    <t># Units 8</t>
  </si>
  <si>
    <t>Utility Allowance 8</t>
  </si>
  <si>
    <t>AMI 8</t>
  </si>
  <si>
    <t># Bedrooms 9</t>
  </si>
  <si>
    <t>Bathrooms 9</t>
  </si>
  <si>
    <t>Unit Type 9</t>
  </si>
  <si>
    <t>Net SF 9</t>
  </si>
  <si>
    <t>#  of Units 9</t>
  </si>
  <si>
    <t>Monthly Rent 9</t>
  </si>
  <si>
    <t>CMI 9</t>
  </si>
  <si>
    <t>Subtotal SQFT 9</t>
  </si>
  <si>
    <t>Apartment Type 9</t>
  </si>
  <si>
    <t>Base Rent 9</t>
  </si>
  <si>
    <t>Sq Ft 9</t>
  </si>
  <si>
    <t># Units 9</t>
  </si>
  <si>
    <t>Utility Allowance 9</t>
  </si>
  <si>
    <t>AMI 9</t>
  </si>
  <si>
    <t># Bedrooms 10</t>
  </si>
  <si>
    <t>Bathrooms 10</t>
  </si>
  <si>
    <t>Unit Type 10</t>
  </si>
  <si>
    <t>Net SF 10</t>
  </si>
  <si>
    <t>#  of Units 10</t>
  </si>
  <si>
    <t>Monthly Rent 10</t>
  </si>
  <si>
    <t>CMI 10</t>
  </si>
  <si>
    <t>Subtotal SQFT 10</t>
  </si>
  <si>
    <t>Apartment Type 10</t>
  </si>
  <si>
    <t>Base Rent 10</t>
  </si>
  <si>
    <t>Sq Ft 10</t>
  </si>
  <si>
    <t># Units 10</t>
  </si>
  <si>
    <t>Utility Allowance 10</t>
  </si>
  <si>
    <t>AMI 10</t>
  </si>
  <si>
    <t># Bedrooms 11</t>
  </si>
  <si>
    <t>Bathrooms 11</t>
  </si>
  <si>
    <t>Unit Type 11</t>
  </si>
  <si>
    <t>Net SF 11</t>
  </si>
  <si>
    <t>#  of Units 11</t>
  </si>
  <si>
    <t>Monthly Rent 11</t>
  </si>
  <si>
    <t>CMI 11</t>
  </si>
  <si>
    <t>Subtotal SQFT 11</t>
  </si>
  <si>
    <t>Apartment Type 11</t>
  </si>
  <si>
    <t>Base Rent 11</t>
  </si>
  <si>
    <t>Sq Ft 11</t>
  </si>
  <si>
    <t># Units 11</t>
  </si>
  <si>
    <t>Utility Allowance 11</t>
  </si>
  <si>
    <t>AMI 11</t>
  </si>
  <si>
    <t># Bedrooms 12</t>
  </si>
  <si>
    <t>Bathrooms 12</t>
  </si>
  <si>
    <t>Unit Type 12</t>
  </si>
  <si>
    <t>Net SF 12</t>
  </si>
  <si>
    <t>#  of Units 12</t>
  </si>
  <si>
    <t>Monthly Rent 12</t>
  </si>
  <si>
    <t>CMI 12</t>
  </si>
  <si>
    <t>Subtotal SQFT 12</t>
  </si>
  <si>
    <t>Apartment Type 12</t>
  </si>
  <si>
    <t>Base Rent 12</t>
  </si>
  <si>
    <t>Sq Ft 12</t>
  </si>
  <si>
    <t># Units 12</t>
  </si>
  <si>
    <t>Utility Allowance 12</t>
  </si>
  <si>
    <t>AMI 12</t>
  </si>
  <si>
    <t># Bedrooms 13</t>
  </si>
  <si>
    <t>Bathrooms 13</t>
  </si>
  <si>
    <t>Unit Type 13</t>
  </si>
  <si>
    <t>Net SF 13</t>
  </si>
  <si>
    <t>#  of Units 13</t>
  </si>
  <si>
    <t>Monthly Rent 13</t>
  </si>
  <si>
    <t>CMI 13</t>
  </si>
  <si>
    <t>Subtotal SQFT 13</t>
  </si>
  <si>
    <t>Apartment Type 13</t>
  </si>
  <si>
    <t>Base Rent 13</t>
  </si>
  <si>
    <t>Sq Ft 13</t>
  </si>
  <si>
    <t># Units 13</t>
  </si>
  <si>
    <t>Utility Allowance 13</t>
  </si>
  <si>
    <t>AMI 13</t>
  </si>
  <si>
    <t># Bedrooms 14</t>
  </si>
  <si>
    <t>Bathrooms 14</t>
  </si>
  <si>
    <t>Unit Type 14</t>
  </si>
  <si>
    <t>Net SF 14</t>
  </si>
  <si>
    <t>#  of Units 14</t>
  </si>
  <si>
    <t>Monthly Rent 14</t>
  </si>
  <si>
    <t>CMI 14</t>
  </si>
  <si>
    <t>Subtotal SQFT 14</t>
  </si>
  <si>
    <t>Apartment Type 14</t>
  </si>
  <si>
    <t>Base Rent 14</t>
  </si>
  <si>
    <t>Sq Ft 14</t>
  </si>
  <si>
    <t># Units 14</t>
  </si>
  <si>
    <t>Utility Allowance 14</t>
  </si>
  <si>
    <t>AMI 14</t>
  </si>
  <si>
    <t># Bedrooms 15</t>
  </si>
  <si>
    <t>Bathrooms 15</t>
  </si>
  <si>
    <t>Unit Type 15</t>
  </si>
  <si>
    <t>Net SF 15</t>
  </si>
  <si>
    <t>#  of Units 15</t>
  </si>
  <si>
    <t>Monthly Rent 15</t>
  </si>
  <si>
    <t>CMI 15</t>
  </si>
  <si>
    <t>Subtotal SQFT 15</t>
  </si>
  <si>
    <t>Apartment Type 15</t>
  </si>
  <si>
    <t>Base Rent 15</t>
  </si>
  <si>
    <t>Sq Ft 15</t>
  </si>
  <si>
    <t># Units 15</t>
  </si>
  <si>
    <t>Utility Allowance 15</t>
  </si>
  <si>
    <t>AMI 15</t>
  </si>
  <si>
    <t># Bedrooms 16</t>
  </si>
  <si>
    <t>Bathrooms 16</t>
  </si>
  <si>
    <t>Unit Type 16</t>
  </si>
  <si>
    <t>Net SF 16</t>
  </si>
  <si>
    <t>#  of Units 16</t>
  </si>
  <si>
    <t>Monthly Rent 16</t>
  </si>
  <si>
    <t>CMI 16</t>
  </si>
  <si>
    <t>Subtotal SQFT 16</t>
  </si>
  <si>
    <t>Apartment Type 16</t>
  </si>
  <si>
    <t>Base Rent 16</t>
  </si>
  <si>
    <t>Sq Ft 16</t>
  </si>
  <si>
    <t># Units 16</t>
  </si>
  <si>
    <t>Utility Allowance 16</t>
  </si>
  <si>
    <t>AMI 16</t>
  </si>
  <si>
    <t># Bedrooms 17</t>
  </si>
  <si>
    <t>Bathrooms 17</t>
  </si>
  <si>
    <t>Unit Type 17</t>
  </si>
  <si>
    <t>Net SF 17</t>
  </si>
  <si>
    <t>#  of Units 17</t>
  </si>
  <si>
    <t>Monthly Rent 17</t>
  </si>
  <si>
    <t>CMI 17</t>
  </si>
  <si>
    <t>Subtotal SQFT 17</t>
  </si>
  <si>
    <t>Apartment Type 17</t>
  </si>
  <si>
    <t>Base Rent 17</t>
  </si>
  <si>
    <t>Sq Ft 17</t>
  </si>
  <si>
    <t># Units 17</t>
  </si>
  <si>
    <t>Utility Allowance 17</t>
  </si>
  <si>
    <t>AMI 17</t>
  </si>
  <si>
    <t># Bedrooms 18</t>
  </si>
  <si>
    <t>Bathrooms 18</t>
  </si>
  <si>
    <t>Unit Type 18</t>
  </si>
  <si>
    <t>Net SF 18</t>
  </si>
  <si>
    <t>#  of Units 18</t>
  </si>
  <si>
    <t>Monthly Rent 18</t>
  </si>
  <si>
    <t>CMI 18</t>
  </si>
  <si>
    <t>Subtotal SQFT 18</t>
  </si>
  <si>
    <t>Apartment Type 18</t>
  </si>
  <si>
    <t>Base Rent 18</t>
  </si>
  <si>
    <t>Sq Ft 18</t>
  </si>
  <si>
    <t># Units 18</t>
  </si>
  <si>
    <t>Utility Allowance 18</t>
  </si>
  <si>
    <t>AMI 18</t>
  </si>
  <si>
    <t># Bedrooms 19</t>
  </si>
  <si>
    <t>Bathrooms 19</t>
  </si>
  <si>
    <t>Unit Type 19</t>
  </si>
  <si>
    <t>Net SF 19</t>
  </si>
  <si>
    <t>#  of Units 19</t>
  </si>
  <si>
    <t>Monthly Rent 19</t>
  </si>
  <si>
    <t>CMI 19</t>
  </si>
  <si>
    <t>Subtotal SQFT 19</t>
  </si>
  <si>
    <t>Apartment Type 19</t>
  </si>
  <si>
    <t>Base Rent 19</t>
  </si>
  <si>
    <t>Sq Ft 19</t>
  </si>
  <si>
    <t># Units 19</t>
  </si>
  <si>
    <t>Utility Allowance 19</t>
  </si>
  <si>
    <t>AMI 19</t>
  </si>
  <si>
    <t># Bedrooms 20</t>
  </si>
  <si>
    <t>Bathrooms 20</t>
  </si>
  <si>
    <t>Unit Type 20</t>
  </si>
  <si>
    <t>Net SF 20</t>
  </si>
  <si>
    <t>#  of Units 20</t>
  </si>
  <si>
    <t>Monthly Rent 20</t>
  </si>
  <si>
    <t>CMI 20</t>
  </si>
  <si>
    <t>Subtotal SQFT 20</t>
  </si>
  <si>
    <t>Apartment Type 20</t>
  </si>
  <si>
    <t>Base Rent 20</t>
  </si>
  <si>
    <t>Sq Ft 20</t>
  </si>
  <si>
    <t># Units 20</t>
  </si>
  <si>
    <t>Utility Allowance 20</t>
  </si>
  <si>
    <t>AMI 20</t>
  </si>
  <si>
    <t># Bedrooms 21</t>
  </si>
  <si>
    <t>Bathrooms 21</t>
  </si>
  <si>
    <t>Unit Type 21</t>
  </si>
  <si>
    <t>Net SF 21</t>
  </si>
  <si>
    <t>#  of Units 21</t>
  </si>
  <si>
    <t>Monthly Rent 21</t>
  </si>
  <si>
    <t>CMI 21</t>
  </si>
  <si>
    <t>Subtotal SQFT 21</t>
  </si>
  <si>
    <t>Apartment Type 21</t>
  </si>
  <si>
    <t>Base Rent 21</t>
  </si>
  <si>
    <t>Sq Ft 21</t>
  </si>
  <si>
    <t># Units 21</t>
  </si>
  <si>
    <t>Utility Allowance 21</t>
  </si>
  <si>
    <t>AMI 21</t>
  </si>
  <si>
    <t># Bedrooms 22</t>
  </si>
  <si>
    <t>Bathrooms 22</t>
  </si>
  <si>
    <t>Unit Type 22</t>
  </si>
  <si>
    <t>Net SF 22</t>
  </si>
  <si>
    <t>#  of Units 22</t>
  </si>
  <si>
    <t>Monthly Rent 22</t>
  </si>
  <si>
    <t>CMI 22</t>
  </si>
  <si>
    <t>Subtotal SQFT 22</t>
  </si>
  <si>
    <t>Apartment Type 22</t>
  </si>
  <si>
    <t>Base Rent 22</t>
  </si>
  <si>
    <t>Sq Ft 22</t>
  </si>
  <si>
    <t># Units 22</t>
  </si>
  <si>
    <t>Utility Allowance 22</t>
  </si>
  <si>
    <t>AMI 22</t>
  </si>
  <si>
    <t># Bedrooms 23</t>
  </si>
  <si>
    <t>Bathrooms 23</t>
  </si>
  <si>
    <t>Unit Type 23</t>
  </si>
  <si>
    <t>Net SF 23</t>
  </si>
  <si>
    <t>#  of Units 23</t>
  </si>
  <si>
    <t>Monthly Rent 23</t>
  </si>
  <si>
    <t>CMI 23</t>
  </si>
  <si>
    <t>Subtotal SQFT 23</t>
  </si>
  <si>
    <t>Apartment Type 23</t>
  </si>
  <si>
    <t>Base Rent 23</t>
  </si>
  <si>
    <t>Sq Ft 23</t>
  </si>
  <si>
    <t># Units 23</t>
  </si>
  <si>
    <t>Utility Allowance 23</t>
  </si>
  <si>
    <t>AMI 23</t>
  </si>
  <si>
    <t># Bedrooms 24</t>
  </si>
  <si>
    <t>Bathrooms 24</t>
  </si>
  <si>
    <t>Unit Type 24</t>
  </si>
  <si>
    <t>Net SF 24</t>
  </si>
  <si>
    <t>#  of Units 24</t>
  </si>
  <si>
    <t>Monthly Rent 24</t>
  </si>
  <si>
    <t>CMI 24</t>
  </si>
  <si>
    <t>Subtotal SQFT 24</t>
  </si>
  <si>
    <t>Apartment Type 24</t>
  </si>
  <si>
    <t>Base Rent 24</t>
  </si>
  <si>
    <t>Sq Ft 24</t>
  </si>
  <si>
    <t># Units 24</t>
  </si>
  <si>
    <t>Utility Allowance 24</t>
  </si>
  <si>
    <t>AMI 24</t>
  </si>
  <si>
    <t># Bedrooms 25</t>
  </si>
  <si>
    <t>Bathrooms 25</t>
  </si>
  <si>
    <t>Unit Type 25</t>
  </si>
  <si>
    <t>Net SF 25</t>
  </si>
  <si>
    <t>#  of Units 25</t>
  </si>
  <si>
    <t>Monthly Rent 25</t>
  </si>
  <si>
    <t>CMI 25</t>
  </si>
  <si>
    <t>Subtotal SQFT 25</t>
  </si>
  <si>
    <t>Apartment Type 25</t>
  </si>
  <si>
    <t>Base Rent 25</t>
  </si>
  <si>
    <t>Sq Ft 25</t>
  </si>
  <si>
    <t># Units 25</t>
  </si>
  <si>
    <t>Utility Allowance 25</t>
  </si>
  <si>
    <t>AMI 25</t>
  </si>
  <si>
    <t># Bedrooms 26</t>
  </si>
  <si>
    <t>Bathrooms 26</t>
  </si>
  <si>
    <t>Unit Type 26</t>
  </si>
  <si>
    <t>Net SF 26</t>
  </si>
  <si>
    <t>#  of Units 26</t>
  </si>
  <si>
    <t>Monthly Rent 26</t>
  </si>
  <si>
    <t>CMI 26</t>
  </si>
  <si>
    <t>Subtotal SQFT 26</t>
  </si>
  <si>
    <t>Apartment Type 26</t>
  </si>
  <si>
    <t>Base Rent 26</t>
  </si>
  <si>
    <t>Sq Ft 26</t>
  </si>
  <si>
    <t># Units 26</t>
  </si>
  <si>
    <t>Utility Allowance 26</t>
  </si>
  <si>
    <t>AMI 26</t>
  </si>
  <si>
    <t># Bedrooms 27</t>
  </si>
  <si>
    <t>Bathrooms 27</t>
  </si>
  <si>
    <t>Unit Type 27</t>
  </si>
  <si>
    <t>Net SF 27</t>
  </si>
  <si>
    <t>#  of Units 27</t>
  </si>
  <si>
    <t>Monthly Rent 27</t>
  </si>
  <si>
    <t>CMI 27</t>
  </si>
  <si>
    <t>Subtotal SQFT 27</t>
  </si>
  <si>
    <t>Apartment Type 27</t>
  </si>
  <si>
    <t>Base Rent 27</t>
  </si>
  <si>
    <t>Sq Ft 27</t>
  </si>
  <si>
    <t># Units 27</t>
  </si>
  <si>
    <t>Utility Allowance 27</t>
  </si>
  <si>
    <t>AMI 27</t>
  </si>
  <si>
    <t># Bedrooms 28</t>
  </si>
  <si>
    <t>Bathrooms 28</t>
  </si>
  <si>
    <t>Unit Type 28</t>
  </si>
  <si>
    <t>Net SF 28</t>
  </si>
  <si>
    <t>#  of Units 28</t>
  </si>
  <si>
    <t>Monthly Rent 28</t>
  </si>
  <si>
    <t>CMI 28</t>
  </si>
  <si>
    <t>Subtotal SQFT 28</t>
  </si>
  <si>
    <t>Apartment Type 28</t>
  </si>
  <si>
    <t>Base Rent 28</t>
  </si>
  <si>
    <t>Sq Ft 28</t>
  </si>
  <si>
    <t># Units 28</t>
  </si>
  <si>
    <t>Utility Allowance 28</t>
  </si>
  <si>
    <t>AMI 28</t>
  </si>
  <si>
    <t># Bedrooms 29</t>
  </si>
  <si>
    <t>Bathrooms 29</t>
  </si>
  <si>
    <t>Unit Type 29</t>
  </si>
  <si>
    <t>Net SF 29</t>
  </si>
  <si>
    <t>#  of Units 29</t>
  </si>
  <si>
    <t>Monthly Rent 29</t>
  </si>
  <si>
    <t>CMI 29</t>
  </si>
  <si>
    <t>Subtotal SQFT 29</t>
  </si>
  <si>
    <t>Apartment Type 29</t>
  </si>
  <si>
    <t>Base Rent 29</t>
  </si>
  <si>
    <t>Sq Ft 29</t>
  </si>
  <si>
    <t># Units 29</t>
  </si>
  <si>
    <t>Utility Allowance 29</t>
  </si>
  <si>
    <t>AMI 29</t>
  </si>
  <si>
    <t># Bedrooms 30</t>
  </si>
  <si>
    <t>Bathrooms 30</t>
  </si>
  <si>
    <t>Unit Type 30</t>
  </si>
  <si>
    <t>Net SF 30</t>
  </si>
  <si>
    <t>#  of Units 30</t>
  </si>
  <si>
    <t>Monthly Rent 30</t>
  </si>
  <si>
    <t>CMI 30</t>
  </si>
  <si>
    <t>Subtotal SQFT 30</t>
  </si>
  <si>
    <t>Apartment Type 30</t>
  </si>
  <si>
    <t>Base Rent 30</t>
  </si>
  <si>
    <t>Sq Ft 30</t>
  </si>
  <si>
    <t># Units 30</t>
  </si>
  <si>
    <t>Utility Allowance 30</t>
  </si>
  <si>
    <t>AMI 30</t>
  </si>
  <si>
    <t># Bedrooms 31</t>
  </si>
  <si>
    <t>Bathrooms 31</t>
  </si>
  <si>
    <t>Unit Type 31</t>
  </si>
  <si>
    <t>Net SF 31</t>
  </si>
  <si>
    <t>#  of Units 31</t>
  </si>
  <si>
    <t>Monthly Rent 31</t>
  </si>
  <si>
    <t>CMI 31</t>
  </si>
  <si>
    <t>Subtotal SQFT 31</t>
  </si>
  <si>
    <t>Apartment Type 31</t>
  </si>
  <si>
    <t>Base Rent 31</t>
  </si>
  <si>
    <t>Sq Ft 31</t>
  </si>
  <si>
    <t># Units 31</t>
  </si>
  <si>
    <t>Utility Allowance 31</t>
  </si>
  <si>
    <t>AMI 31</t>
  </si>
  <si>
    <t># Bedrooms 32</t>
  </si>
  <si>
    <t>Bathrooms 32</t>
  </si>
  <si>
    <t>Unit Type 32</t>
  </si>
  <si>
    <t>Net SF 32</t>
  </si>
  <si>
    <t>#  of Units 32</t>
  </si>
  <si>
    <t>Monthly Rent 32</t>
  </si>
  <si>
    <t>CMI 32</t>
  </si>
  <si>
    <t>Subtotal SQFT 32</t>
  </si>
  <si>
    <t>Apartment Type 32</t>
  </si>
  <si>
    <t>Base Rent 32</t>
  </si>
  <si>
    <t>Sq Ft 32</t>
  </si>
  <si>
    <t># Units 32</t>
  </si>
  <si>
    <t>Utility Allowance 32</t>
  </si>
  <si>
    <t>AMI 32</t>
  </si>
  <si>
    <t># Bedrooms 33</t>
  </si>
  <si>
    <t>Bathrooms 33</t>
  </si>
  <si>
    <t>Unit Type 33</t>
  </si>
  <si>
    <t>Net SF 33</t>
  </si>
  <si>
    <t>#  of Units 33</t>
  </si>
  <si>
    <t>Monthly Rent 33</t>
  </si>
  <si>
    <t>CMI 33</t>
  </si>
  <si>
    <t>Subtotal SQFT 33</t>
  </si>
  <si>
    <t>Apartment Type 33</t>
  </si>
  <si>
    <t>Base Rent 33</t>
  </si>
  <si>
    <t>Sq Ft 33</t>
  </si>
  <si>
    <t># Units 33</t>
  </si>
  <si>
    <t>Utility Allowance 33</t>
  </si>
  <si>
    <t>AMI 33</t>
  </si>
  <si>
    <t># Bedrooms 34</t>
  </si>
  <si>
    <t>Bathrooms 34</t>
  </si>
  <si>
    <t>Unit Type 34</t>
  </si>
  <si>
    <t>Net SF 34</t>
  </si>
  <si>
    <t>#  of Units 34</t>
  </si>
  <si>
    <t>Monthly Rent 34</t>
  </si>
  <si>
    <t>CMI 34</t>
  </si>
  <si>
    <t>Subtotal SQFT 34</t>
  </si>
  <si>
    <t>Apartment Type 34</t>
  </si>
  <si>
    <t>Base Rent 34</t>
  </si>
  <si>
    <t>Sq Ft 34</t>
  </si>
  <si>
    <t># Units 34</t>
  </si>
  <si>
    <t>Utility Allowance 34</t>
  </si>
  <si>
    <t>AMI 34</t>
  </si>
  <si>
    <t># Bedrooms 35</t>
  </si>
  <si>
    <t>Bathrooms 35</t>
  </si>
  <si>
    <t>Unit Type 35</t>
  </si>
  <si>
    <t>Net SF 35</t>
  </si>
  <si>
    <t>#  of Units 35</t>
  </si>
  <si>
    <t>Monthly Rent 35</t>
  </si>
  <si>
    <t>CMI 35</t>
  </si>
  <si>
    <t>Subtotal SQFT 35</t>
  </si>
  <si>
    <t>Apartment Type 35</t>
  </si>
  <si>
    <t>Base Rent 35</t>
  </si>
  <si>
    <t>Sq Ft 35</t>
  </si>
  <si>
    <t># Units 35</t>
  </si>
  <si>
    <t>Utility Allowance 35</t>
  </si>
  <si>
    <t>AMI 35</t>
  </si>
  <si>
    <t># Bedrooms 36</t>
  </si>
  <si>
    <t>Bathrooms 36</t>
  </si>
  <si>
    <t>Unit Type 36</t>
  </si>
  <si>
    <t>Net SF 36</t>
  </si>
  <si>
    <t>#  of Units 36</t>
  </si>
  <si>
    <t>Monthly Rent 36</t>
  </si>
  <si>
    <t>CMI 36</t>
  </si>
  <si>
    <t>Subtotal SQFT 36</t>
  </si>
  <si>
    <t>Apartment Type 36</t>
  </si>
  <si>
    <t>Base Rent 36</t>
  </si>
  <si>
    <t>Sq Ft 36</t>
  </si>
  <si>
    <t># Units 36</t>
  </si>
  <si>
    <t>Utility Allowance 36</t>
  </si>
  <si>
    <t>AMI 36</t>
  </si>
  <si>
    <t># Bedrooms 37</t>
  </si>
  <si>
    <t>Bathrooms 37</t>
  </si>
  <si>
    <t>Unit Type 37</t>
  </si>
  <si>
    <t>Net SF 37</t>
  </si>
  <si>
    <t>#  of Units 37</t>
  </si>
  <si>
    <t>Monthly Rent 37</t>
  </si>
  <si>
    <t>CMI 37</t>
  </si>
  <si>
    <t>Subtotal SQFT 37</t>
  </si>
  <si>
    <t>Apartment Type 37</t>
  </si>
  <si>
    <t>Base Rent 37</t>
  </si>
  <si>
    <t>Sq Ft 37</t>
  </si>
  <si>
    <t># Units 37</t>
  </si>
  <si>
    <t>Utility Allowance 37</t>
  </si>
  <si>
    <t>AMI 37</t>
  </si>
  <si>
    <t># Bedrooms 38</t>
  </si>
  <si>
    <t>Bathrooms 38</t>
  </si>
  <si>
    <t>Unit Type 38</t>
  </si>
  <si>
    <t>Net SF 38</t>
  </si>
  <si>
    <t>#  of Units 38</t>
  </si>
  <si>
    <t>Monthly Rent 38</t>
  </si>
  <si>
    <t>CMI 38</t>
  </si>
  <si>
    <t>Subtotal SQFT 38</t>
  </si>
  <si>
    <t>Apartment Type 38</t>
  </si>
  <si>
    <t>Base Rent 38</t>
  </si>
  <si>
    <t>Sq Ft 38</t>
  </si>
  <si>
    <t># Units 38</t>
  </si>
  <si>
    <t>Utility Allowance 38</t>
  </si>
  <si>
    <t>AMI 38</t>
  </si>
  <si>
    <t># Bedrooms 39</t>
  </si>
  <si>
    <t>Bathrooms 39</t>
  </si>
  <si>
    <t>Unit Type 39</t>
  </si>
  <si>
    <t>Net SF 39</t>
  </si>
  <si>
    <t>#  of Units 39</t>
  </si>
  <si>
    <t>Monthly Rent 39</t>
  </si>
  <si>
    <t>CMI 39</t>
  </si>
  <si>
    <t>Subtotal SQFT 39</t>
  </si>
  <si>
    <t>Apartment Type 39</t>
  </si>
  <si>
    <t>Base Rent 39</t>
  </si>
  <si>
    <t>Sq Ft 39</t>
  </si>
  <si>
    <t># Units 39</t>
  </si>
  <si>
    <t>Utility Allowance 39</t>
  </si>
  <si>
    <t>AMI 39</t>
  </si>
  <si>
    <t># Bedrooms 40</t>
  </si>
  <si>
    <t>Bathrooms 40</t>
  </si>
  <si>
    <t>Unit Type 40</t>
  </si>
  <si>
    <t>Net SF 40</t>
  </si>
  <si>
    <t>#  of Units 40</t>
  </si>
  <si>
    <t>Monthly Rent 40</t>
  </si>
  <si>
    <t>CMI 40</t>
  </si>
  <si>
    <t>Subtotal SQFT 40</t>
  </si>
  <si>
    <t>Apartment Type 40</t>
  </si>
  <si>
    <t>Base Rent 40</t>
  </si>
  <si>
    <t>Sq Ft 40</t>
  </si>
  <si>
    <t># Units 40</t>
  </si>
  <si>
    <t>Utility Allowance 40</t>
  </si>
  <si>
    <t>AMI 40</t>
  </si>
  <si>
    <t># Bedrooms 41</t>
  </si>
  <si>
    <t>Bathrooms 41</t>
  </si>
  <si>
    <t>Unit Type 41</t>
  </si>
  <si>
    <t>Net SF 41</t>
  </si>
  <si>
    <t>#  of Units 41</t>
  </si>
  <si>
    <t>Monthly Rent 41</t>
  </si>
  <si>
    <t>CMI 41</t>
  </si>
  <si>
    <t>Subtotal SQFT 41</t>
  </si>
  <si>
    <t>Apartment Type 41</t>
  </si>
  <si>
    <t>Base Rent 41</t>
  </si>
  <si>
    <t>Sq Ft 41</t>
  </si>
  <si>
    <t># Units 41</t>
  </si>
  <si>
    <t>Utility Allowance 41</t>
  </si>
  <si>
    <t>AMI 41</t>
  </si>
  <si>
    <t># Bedrooms 42</t>
  </si>
  <si>
    <t>Bathrooms 42</t>
  </si>
  <si>
    <t>Unit Type 42</t>
  </si>
  <si>
    <t>Net SF 42</t>
  </si>
  <si>
    <t>#  of Units 42</t>
  </si>
  <si>
    <t>Monthly Rent 42</t>
  </si>
  <si>
    <t>CMI 42</t>
  </si>
  <si>
    <t>Subtotal SQFT 42</t>
  </si>
  <si>
    <t>Apartment Type 42</t>
  </si>
  <si>
    <t>Base Rent 42</t>
  </si>
  <si>
    <t>Sq Ft 42</t>
  </si>
  <si>
    <t># Units 42</t>
  </si>
  <si>
    <t>Utility Allowance 42</t>
  </si>
  <si>
    <t>AMI 42</t>
  </si>
  <si>
    <t># Bedrooms 43</t>
  </si>
  <si>
    <t>Bathrooms 43</t>
  </si>
  <si>
    <t>Unit Type 43</t>
  </si>
  <si>
    <t>Net SF 43</t>
  </si>
  <si>
    <t>#  of Units 43</t>
  </si>
  <si>
    <t>Monthly Rent 43</t>
  </si>
  <si>
    <t>CMI 43</t>
  </si>
  <si>
    <t>Subtotal SQFT 43</t>
  </si>
  <si>
    <t>Apartment Type 43</t>
  </si>
  <si>
    <t>Base Rent 43</t>
  </si>
  <si>
    <t>Sq Ft 43</t>
  </si>
  <si>
    <t># Units 43</t>
  </si>
  <si>
    <t>Utility Allowance 43</t>
  </si>
  <si>
    <t>AMI 43</t>
  </si>
  <si>
    <t># Bedrooms 44</t>
  </si>
  <si>
    <t>Bathrooms 44</t>
  </si>
  <si>
    <t>Unit Type 44</t>
  </si>
  <si>
    <t>Net SF 44</t>
  </si>
  <si>
    <t>#  of Units 44</t>
  </si>
  <si>
    <t>Monthly Rent 44</t>
  </si>
  <si>
    <t>CMI 44</t>
  </si>
  <si>
    <t>Subtotal SQFT 44</t>
  </si>
  <si>
    <t>Apartment Type 44</t>
  </si>
  <si>
    <t>Base Rent 44</t>
  </si>
  <si>
    <t>Sq Ft 44</t>
  </si>
  <si>
    <t># Units 44</t>
  </si>
  <si>
    <t>Utility Allowance 44</t>
  </si>
  <si>
    <t>AMI 44</t>
  </si>
  <si>
    <t># Bedrooms 45</t>
  </si>
  <si>
    <t>Bathrooms 45</t>
  </si>
  <si>
    <t>Unit Type 45</t>
  </si>
  <si>
    <t>Net SF 45</t>
  </si>
  <si>
    <t>#  of Units 45</t>
  </si>
  <si>
    <t>Monthly Rent 45</t>
  </si>
  <si>
    <t>CMI 45</t>
  </si>
  <si>
    <t>Subtotal SQFT 45</t>
  </si>
  <si>
    <t>Apartment Type 45</t>
  </si>
  <si>
    <t>Base Rent 45</t>
  </si>
  <si>
    <t>Sq Ft 45</t>
  </si>
  <si>
    <t># Units 45</t>
  </si>
  <si>
    <t>Utility Allowance 45</t>
  </si>
  <si>
    <t>AMI 45</t>
  </si>
  <si>
    <t># Bedrooms 46</t>
  </si>
  <si>
    <t>Bathrooms 46</t>
  </si>
  <si>
    <t>Unit Type 46</t>
  </si>
  <si>
    <t>Net SF 46</t>
  </si>
  <si>
    <t>#  of Units 46</t>
  </si>
  <si>
    <t>Monthly Rent 46</t>
  </si>
  <si>
    <t>CMI 46</t>
  </si>
  <si>
    <t>Subtotal SQFT 46</t>
  </si>
  <si>
    <t>Apartment Type 46</t>
  </si>
  <si>
    <t>Base Rent 46</t>
  </si>
  <si>
    <t>Sq Ft 46</t>
  </si>
  <si>
    <t># Units 46</t>
  </si>
  <si>
    <t>Utility Allowance 46</t>
  </si>
  <si>
    <t>AMI 46</t>
  </si>
  <si>
    <t># Bedrooms 47</t>
  </si>
  <si>
    <t>Bathrooms 47</t>
  </si>
  <si>
    <t>Unit Type 47</t>
  </si>
  <si>
    <t>Net SF 47</t>
  </si>
  <si>
    <t>#  of Units 47</t>
  </si>
  <si>
    <t>Monthly Rent 47</t>
  </si>
  <si>
    <t>CMI 47</t>
  </si>
  <si>
    <t>Subtotal SQFT 47</t>
  </si>
  <si>
    <t>Apartment Type 47</t>
  </si>
  <si>
    <t>Base Rent 47</t>
  </si>
  <si>
    <t>Sq Ft 47</t>
  </si>
  <si>
    <t># Units 47</t>
  </si>
  <si>
    <t>Utility Allowance 47</t>
  </si>
  <si>
    <t>AMI 47</t>
  </si>
  <si>
    <t># Bedrooms 48</t>
  </si>
  <si>
    <t>Bathrooms 48</t>
  </si>
  <si>
    <t>Unit Type 48</t>
  </si>
  <si>
    <t>Net SF 48</t>
  </si>
  <si>
    <t>#  of Units 48</t>
  </si>
  <si>
    <t>Monthly Rent 48</t>
  </si>
  <si>
    <t>CMI 48</t>
  </si>
  <si>
    <t>Subtotal SQFT 48</t>
  </si>
  <si>
    <t>Apartment Type 48</t>
  </si>
  <si>
    <t>Base Rent 48</t>
  </si>
  <si>
    <t>Sq Ft 48</t>
  </si>
  <si>
    <t># Units 48</t>
  </si>
  <si>
    <t>Utility Allowance 48</t>
  </si>
  <si>
    <t>AMI 48</t>
  </si>
  <si>
    <t># Bedrooms 49</t>
  </si>
  <si>
    <t>Bathrooms 49</t>
  </si>
  <si>
    <t>Unit Type 49</t>
  </si>
  <si>
    <t>Net SF 49</t>
  </si>
  <si>
    <t>#  of Units 49</t>
  </si>
  <si>
    <t>Monthly Rent 49</t>
  </si>
  <si>
    <t>CMI 49</t>
  </si>
  <si>
    <t>Subtotal SQFT 49</t>
  </si>
  <si>
    <t>Apartment Type 49</t>
  </si>
  <si>
    <t>Base Rent 49</t>
  </si>
  <si>
    <t>Sq Ft 49</t>
  </si>
  <si>
    <t># Units 49</t>
  </si>
  <si>
    <t>Utility Allowance 49</t>
  </si>
  <si>
    <t>AMI 49</t>
  </si>
  <si>
    <t># Bedrooms 50</t>
  </si>
  <si>
    <t>Bathrooms 50</t>
  </si>
  <si>
    <t>Unit Type 50</t>
  </si>
  <si>
    <t>Net SF 50</t>
  </si>
  <si>
    <t>#  of Units 50</t>
  </si>
  <si>
    <t>Monthly Rent 50</t>
  </si>
  <si>
    <t>CMI 50</t>
  </si>
  <si>
    <t>Subtotal SQFT 50</t>
  </si>
  <si>
    <t>Apartment Type 50</t>
  </si>
  <si>
    <t>Base Rent 50</t>
  </si>
  <si>
    <t>Sq Ft 50</t>
  </si>
  <si>
    <t># Units 50</t>
  </si>
  <si>
    <t>Utility Allowance 50</t>
  </si>
  <si>
    <t>AMI 50</t>
  </si>
  <si>
    <t># Bedrooms 54</t>
  </si>
  <si>
    <t>Market Rate Bathrooms 1</t>
  </si>
  <si>
    <t>Market Rate Unit Type 1</t>
  </si>
  <si>
    <t>Market Rate Net SF 1</t>
  </si>
  <si>
    <t>Market Rate #  of Units 1</t>
  </si>
  <si>
    <t>Market Rate Monthly Rent 1</t>
  </si>
  <si>
    <t>Market Rate Subtotal SQFT 1</t>
  </si>
  <si>
    <t>Unit Type 51</t>
  </si>
  <si>
    <t>Apartment Type 51</t>
  </si>
  <si>
    <t>Base Rent 51</t>
  </si>
  <si>
    <t>Sq Ft 51</t>
  </si>
  <si>
    <t># Units 51</t>
  </si>
  <si>
    <t>Utility Allowance 51</t>
  </si>
  <si>
    <t>AMI 51</t>
  </si>
  <si>
    <t># Bedrooms 55</t>
  </si>
  <si>
    <t>Market Rate Bathrooms 2</t>
  </si>
  <si>
    <t>Market Rate Unit Type 2</t>
  </si>
  <si>
    <t>Market Rate Net SF 2</t>
  </si>
  <si>
    <t>Market Rate #  of Units 2</t>
  </si>
  <si>
    <t>Market Rate Monthly Rent 2</t>
  </si>
  <si>
    <t>Market Rate Subtotal SQFT 2</t>
  </si>
  <si>
    <t>Unit Type 52</t>
  </si>
  <si>
    <t>Apartment Type 52</t>
  </si>
  <si>
    <t>Base Rent 52</t>
  </si>
  <si>
    <t>Sq Ft 52</t>
  </si>
  <si>
    <t># Units 52</t>
  </si>
  <si>
    <t>Utility Allowance 52</t>
  </si>
  <si>
    <t>AMI 52</t>
  </si>
  <si>
    <t># Bedrooms 56</t>
  </si>
  <si>
    <t>Market Rate Bathrooms 3</t>
  </si>
  <si>
    <t>Market Rate Unit Type 3</t>
  </si>
  <si>
    <t>Market Rate Net SF 3</t>
  </si>
  <si>
    <t>Market Rate #  of Units 3</t>
  </si>
  <si>
    <t>Market Rate Monthly Rent 3</t>
  </si>
  <si>
    <t>Market Rate Subtotal SQFT 3</t>
  </si>
  <si>
    <t>Unit Type 53</t>
  </si>
  <si>
    <t>Apartment Type 53</t>
  </si>
  <si>
    <t>Base Rent 53</t>
  </si>
  <si>
    <t>Sq Ft 53</t>
  </si>
  <si>
    <t># Units 53</t>
  </si>
  <si>
    <t>Utility Allowance 53</t>
  </si>
  <si>
    <t>AMI 53</t>
  </si>
  <si>
    <t># Bedrooms 57</t>
  </si>
  <si>
    <t>Market Rate Bathrooms 4</t>
  </si>
  <si>
    <t>Market Rate Unit Type 4</t>
  </si>
  <si>
    <t>Market Rate Net SF 4</t>
  </si>
  <si>
    <t>Market Rate #  of Units 4</t>
  </si>
  <si>
    <t>Market Rate Monthly Rent 4</t>
  </si>
  <si>
    <t>Market Rate Subtotal SQFT 4</t>
  </si>
  <si>
    <t>Unit Type 54</t>
  </si>
  <si>
    <t>Apartment Type 54</t>
  </si>
  <si>
    <t>Base Rent 54</t>
  </si>
  <si>
    <t>Sq Ft 54</t>
  </si>
  <si>
    <t># Units 54</t>
  </si>
  <si>
    <t>Utility Allowance 54</t>
  </si>
  <si>
    <t># Bedrooms 58</t>
  </si>
  <si>
    <t>Market Rate Bathrooms 5</t>
  </si>
  <si>
    <t>Market Rate Unit Type 5</t>
  </si>
  <si>
    <t>Market Rate Net SF 5</t>
  </si>
  <si>
    <t>Market Rate #  of Units 5</t>
  </si>
  <si>
    <t>Market Rate Monthly Rent 5</t>
  </si>
  <si>
    <t>Market Rate Subtotal SQFT 5</t>
  </si>
  <si>
    <t>Unit Type 55</t>
  </si>
  <si>
    <t>Apartment Type 55</t>
  </si>
  <si>
    <t>Base Rent 55</t>
  </si>
  <si>
    <t>Sq Ft 55</t>
  </si>
  <si>
    <t># Units 55</t>
  </si>
  <si>
    <t>Utility Allowance 55</t>
  </si>
  <si>
    <t># Bedrooms 59</t>
  </si>
  <si>
    <t>Market Rate Bathrooms 6</t>
  </si>
  <si>
    <t>Market Rate Unit Type 6</t>
  </si>
  <si>
    <t>Market Rate Net SF 6</t>
  </si>
  <si>
    <t>Market Rate #  of Units 6</t>
  </si>
  <si>
    <t>Market Rate Monthly Rent 6</t>
  </si>
  <si>
    <t>Market Rate Subtotal SQFT 6</t>
  </si>
  <si>
    <t>Unit Type 56</t>
  </si>
  <si>
    <t>Apartment Type 56</t>
  </si>
  <si>
    <t>Base Rent 56</t>
  </si>
  <si>
    <t>Sq Ft 56</t>
  </si>
  <si>
    <t># Units 56</t>
  </si>
  <si>
    <t>Utility Allowance 56</t>
  </si>
  <si>
    <t># Bedrooms 60</t>
  </si>
  <si>
    <t>Market Rate Bathrooms 7</t>
  </si>
  <si>
    <t>Market Rate Unit Type 7</t>
  </si>
  <si>
    <t>Market Rate Net SF 7</t>
  </si>
  <si>
    <t>Market Rate #  of Units 7</t>
  </si>
  <si>
    <t>Market Rate Monthly Rent 7</t>
  </si>
  <si>
    <t>Market Rate Subtotal SQFT 7</t>
  </si>
  <si>
    <t>Unit Type 57</t>
  </si>
  <si>
    <t>Apartment Type 57</t>
  </si>
  <si>
    <t>Base Rent 57</t>
  </si>
  <si>
    <t>Sq Ft 57</t>
  </si>
  <si>
    <t># Units 57</t>
  </si>
  <si>
    <t>Utility Allowance 57</t>
  </si>
  <si>
    <t># Bedrooms 61</t>
  </si>
  <si>
    <t>Market Rate Bathrooms 8</t>
  </si>
  <si>
    <t>Market Rate Unit Type 8</t>
  </si>
  <si>
    <t>Market Rate Net SF 8</t>
  </si>
  <si>
    <t>Market Rate #  of Units 8</t>
  </si>
  <si>
    <t>Market Rate Monthly Rent 8</t>
  </si>
  <si>
    <t>Market Rate Subtotal SQFT 8</t>
  </si>
  <si>
    <t>Unit Type 58</t>
  </si>
  <si>
    <t>Apartment Type 58</t>
  </si>
  <si>
    <t>Base Rent 58</t>
  </si>
  <si>
    <t>Sq Ft 58</t>
  </si>
  <si>
    <t># Units 58</t>
  </si>
  <si>
    <t>Utility Allowance 58</t>
  </si>
  <si>
    <t># Bedrooms 62</t>
  </si>
  <si>
    <t>Market Rate Bathrooms 9</t>
  </si>
  <si>
    <t>Market Rate Unit Type 9</t>
  </si>
  <si>
    <t>Market Rate Net SF 9</t>
  </si>
  <si>
    <t>Market Rate #  of Units 9</t>
  </si>
  <si>
    <t>Market Rate Monthly Rent 9</t>
  </si>
  <si>
    <t>Market Rate Subtotal SQFT 9</t>
  </si>
  <si>
    <t>Unit Type 59</t>
  </si>
  <si>
    <t>Apartment Type 59</t>
  </si>
  <si>
    <t>Base Rent 59</t>
  </si>
  <si>
    <t>Sq Ft 59</t>
  </si>
  <si>
    <t># Units 59</t>
  </si>
  <si>
    <t>Utility Allowance 59</t>
  </si>
  <si>
    <t># Bedrooms 63</t>
  </si>
  <si>
    <t>Market Rate Bathrooms 10</t>
  </si>
  <si>
    <t>Market Rate Unit Type 10</t>
  </si>
  <si>
    <t>Market Rate Net SF 10</t>
  </si>
  <si>
    <t>Market Rate #  of Units 10</t>
  </si>
  <si>
    <t>Market Rate Monthly Rent 10</t>
  </si>
  <si>
    <t>Market Rate Subtotal SQFT 10</t>
  </si>
  <si>
    <t>Unit Type 60</t>
  </si>
  <si>
    <t>Apartment Type 60</t>
  </si>
  <si>
    <t>Base Rent 60</t>
  </si>
  <si>
    <t>Sq Ft 60</t>
  </si>
  <si>
    <t># Units 60</t>
  </si>
  <si>
    <t>Utility Allowance 60</t>
  </si>
  <si>
    <t># Bedrooms 51</t>
  </si>
  <si>
    <t>Employee Bathrooms 1</t>
  </si>
  <si>
    <t>Employee Unit Type 1</t>
  </si>
  <si>
    <t>Employee Net SF 1</t>
  </si>
  <si>
    <t>Employee #  of Units 1</t>
  </si>
  <si>
    <t>Employee Monthly Rent 1</t>
  </si>
  <si>
    <t>Employee Subtotal SQFT 1</t>
  </si>
  <si>
    <t>Unit Type 61</t>
  </si>
  <si>
    <t>Apartment Type 61</t>
  </si>
  <si>
    <t>Base Rent 61</t>
  </si>
  <si>
    <t>Sq Ft 61</t>
  </si>
  <si>
    <t># Units 61</t>
  </si>
  <si>
    <t>Utility Allowance 61</t>
  </si>
  <si>
    <t># Bedrooms 52</t>
  </si>
  <si>
    <t>Employee Bathrooms 2</t>
  </si>
  <si>
    <t>Employee Unit Type 2</t>
  </si>
  <si>
    <t>Employee Net SF 2</t>
  </si>
  <si>
    <t>Employee #  of Units 2</t>
  </si>
  <si>
    <t>Employee Monthly Rent 2</t>
  </si>
  <si>
    <t>Employee Subtotal SQFT 2</t>
  </si>
  <si>
    <t>Unit Type 62</t>
  </si>
  <si>
    <t>Apartment Type 62</t>
  </si>
  <si>
    <t>Base Rent 62</t>
  </si>
  <si>
    <t>Sq Ft 62</t>
  </si>
  <si>
    <t># Units 62</t>
  </si>
  <si>
    <t>Utility Allowance 62</t>
  </si>
  <si>
    <t># Bedrooms 53</t>
  </si>
  <si>
    <t>Employee Bathrooms 3</t>
  </si>
  <si>
    <t>Employee Unit Type 3</t>
  </si>
  <si>
    <t>Employee Net SF 3</t>
  </si>
  <si>
    <t>Employee #  of Units 3</t>
  </si>
  <si>
    <t>Employee Monthly Rent 3</t>
  </si>
  <si>
    <t>Employee Subtotal SQFT 3</t>
  </si>
  <si>
    <t>Unit Type 63</t>
  </si>
  <si>
    <t>Apartment Type 63</t>
  </si>
  <si>
    <t>Base Rent 63</t>
  </si>
  <si>
    <t>Sq Ft 63</t>
  </si>
  <si>
    <t># Units 63</t>
  </si>
  <si>
    <t>Utility Allowance 63</t>
  </si>
  <si>
    <t>Unit Summary</t>
  </si>
  <si>
    <t>Total Market Units</t>
  </si>
  <si>
    <t>Unit Type</t>
  </si>
  <si>
    <t># of TC Units</t>
  </si>
  <si>
    <t>Average Square Ft</t>
  </si>
  <si>
    <t>#MKT Units</t>
  </si>
  <si>
    <t>Total Rental Units</t>
  </si>
  <si>
    <t># LIHTC Units</t>
  </si>
  <si>
    <t>0 Bedrooms</t>
  </si>
  <si>
    <t>0 Bedroom</t>
  </si>
  <si>
    <t># LIHTC Beds</t>
  </si>
  <si>
    <t>1 Bedroom</t>
  </si>
  <si>
    <t>Total Square Feet</t>
  </si>
  <si>
    <t>2 Bedroom</t>
  </si>
  <si>
    <t>Totals Beds</t>
  </si>
  <si>
    <t>3 Bedroom</t>
  </si>
  <si>
    <t>Total Units</t>
  </si>
  <si>
    <t>4 Bedroom</t>
  </si>
  <si>
    <t>5 Bedroom</t>
  </si>
  <si>
    <t>Total Employee Units</t>
  </si>
  <si>
    <t>Total Bedrooms</t>
  </si>
  <si>
    <t>TC Net Rentable SF</t>
  </si>
  <si>
    <t>Total Floor SQ Ft</t>
  </si>
  <si>
    <t>Mkt Rental SF</t>
  </si>
  <si>
    <t>Total Low Income Units</t>
  </si>
  <si>
    <t>Total Low Income SQFT</t>
  </si>
  <si>
    <t>Total Low Income Bedrooms</t>
  </si>
  <si>
    <t>Residential Heated SQ FT</t>
  </si>
  <si>
    <t>Commercial SQFT</t>
  </si>
  <si>
    <t>Total Rental Bedrooms</t>
  </si>
  <si>
    <t>Funding Sources</t>
  </si>
  <si>
    <t>Permanent</t>
  </si>
  <si>
    <t>Permanent Funding Sources</t>
  </si>
  <si>
    <t>Type 1</t>
  </si>
  <si>
    <t>Total Amount 1</t>
  </si>
  <si>
    <t>Rate 1</t>
  </si>
  <si>
    <t>Term 1</t>
  </si>
  <si>
    <t>Ann DSC 1</t>
  </si>
  <si>
    <t>Source Type</t>
  </si>
  <si>
    <t>Source Name</t>
  </si>
  <si>
    <t>Is HFA Monies</t>
  </si>
  <si>
    <t>DEV Funding Source</t>
  </si>
  <si>
    <t>Program Type</t>
  </si>
  <si>
    <t>Loan Product Type</t>
  </si>
  <si>
    <t>Term</t>
  </si>
  <si>
    <t>Amount</t>
  </si>
  <si>
    <t>Rate</t>
  </si>
  <si>
    <t>Debt Service</t>
  </si>
  <si>
    <t>Type 2</t>
  </si>
  <si>
    <t>Total Amount 2</t>
  </si>
  <si>
    <t>Rate 2</t>
  </si>
  <si>
    <t>Term 2</t>
  </si>
  <si>
    <t>Ann DSC 2</t>
  </si>
  <si>
    <t>Type 3</t>
  </si>
  <si>
    <t>Total Amount 3</t>
  </si>
  <si>
    <t>Rate 3</t>
  </si>
  <si>
    <t>Term 3</t>
  </si>
  <si>
    <t>Ann DSC 3</t>
  </si>
  <si>
    <t>Type 4</t>
  </si>
  <si>
    <t>Total Amount 4</t>
  </si>
  <si>
    <t>Rate 4</t>
  </si>
  <si>
    <t>Term 4</t>
  </si>
  <si>
    <t>Ann DSC 4</t>
  </si>
  <si>
    <t>Type 5</t>
  </si>
  <si>
    <t>Total Amount 5</t>
  </si>
  <si>
    <t>Rate 5</t>
  </si>
  <si>
    <t>Term 5</t>
  </si>
  <si>
    <t>Ann DSC 5</t>
  </si>
  <si>
    <t>Type 6</t>
  </si>
  <si>
    <t>Total Amount 6</t>
  </si>
  <si>
    <t>Rate 6</t>
  </si>
  <si>
    <t>Term 6</t>
  </si>
  <si>
    <t>Ann DSC 6</t>
  </si>
  <si>
    <t>External</t>
  </si>
  <si>
    <t>Type 7</t>
  </si>
  <si>
    <t>Total Amount 7</t>
  </si>
  <si>
    <t>Rate 7</t>
  </si>
  <si>
    <t>Term 7</t>
  </si>
  <si>
    <t>Ann DSC 7</t>
  </si>
  <si>
    <t>Type 8</t>
  </si>
  <si>
    <t>Total Amount 8</t>
  </si>
  <si>
    <t>Rate 8</t>
  </si>
  <si>
    <t>Term 8</t>
  </si>
  <si>
    <t>Ann DSC 8</t>
  </si>
  <si>
    <t>Type 9</t>
  </si>
  <si>
    <t>Total Amount 9</t>
  </si>
  <si>
    <t>Rate 9</t>
  </si>
  <si>
    <t>Term 9</t>
  </si>
  <si>
    <t>Ann DSC 9</t>
  </si>
  <si>
    <t>Type 10</t>
  </si>
  <si>
    <t>Total Amount 10</t>
  </si>
  <si>
    <t>Rate 10</t>
  </si>
  <si>
    <t>Term 10</t>
  </si>
  <si>
    <t>Ann DSC 10</t>
  </si>
  <si>
    <t>Map &gt;</t>
  </si>
  <si>
    <t>Type 11</t>
  </si>
  <si>
    <t>Total Amount 11</t>
  </si>
  <si>
    <t>Rate 11</t>
  </si>
  <si>
    <t>Term 11</t>
  </si>
  <si>
    <t>Ann DSC 11</t>
  </si>
  <si>
    <t>Type 12</t>
  </si>
  <si>
    <t>Total Amount 12</t>
  </si>
  <si>
    <t>Rate 12</t>
  </si>
  <si>
    <t>Term 12</t>
  </si>
  <si>
    <t>Ann DSC 12</t>
  </si>
  <si>
    <t>Type 13</t>
  </si>
  <si>
    <t>Total Amount 13</t>
  </si>
  <si>
    <t>Rate 13</t>
  </si>
  <si>
    <t>Term 13</t>
  </si>
  <si>
    <t>Ann DSC 13</t>
  </si>
  <si>
    <t>Grants</t>
  </si>
  <si>
    <t>Construction Funding Sources</t>
  </si>
  <si>
    <t>Amount 1</t>
  </si>
  <si>
    <t>Amount 2</t>
  </si>
  <si>
    <t>Amount 3</t>
  </si>
  <si>
    <t>Amount 4</t>
  </si>
  <si>
    <t>Amount 5</t>
  </si>
  <si>
    <t>Amount 6</t>
  </si>
  <si>
    <t>Amount 7</t>
  </si>
  <si>
    <t>Amount 8</t>
  </si>
  <si>
    <t>Amount 9</t>
  </si>
  <si>
    <t>Amount 10</t>
  </si>
  <si>
    <t>Amount 11</t>
  </si>
  <si>
    <t>Construction</t>
  </si>
  <si>
    <t>Subsidized Funding</t>
  </si>
  <si>
    <t>New</t>
  </si>
  <si>
    <t>Amount 12</t>
  </si>
  <si>
    <t>Legend:</t>
  </si>
  <si>
    <t>Value Sent</t>
  </si>
  <si>
    <t>To Send to Dev Deal: Initial Budget</t>
  </si>
  <si>
    <t>Included in other L/I</t>
  </si>
  <si>
    <t>No Value to Send</t>
  </si>
  <si>
    <t>Line Item Number</t>
  </si>
  <si>
    <t>Dev Budget Mapping</t>
  </si>
  <si>
    <t>Note: don't forget to check $Z$2 = ""</t>
  </si>
  <si>
    <t>Project Costs &amp; Credit Calc</t>
  </si>
  <si>
    <t>Line Item Label</t>
  </si>
  <si>
    <t>Value from Tab 13</t>
  </si>
  <si>
    <t>Prolink Field Name</t>
  </si>
  <si>
    <t>Value to Send</t>
  </si>
  <si>
    <t>Prolink Other?</t>
  </si>
  <si>
    <t>Line Item</t>
  </si>
  <si>
    <t>Prolink Field</t>
  </si>
  <si>
    <t>Actual</t>
  </si>
  <si>
    <t>4% Credits (30% PV)</t>
  </si>
  <si>
    <t>9% Credits (70% PV)</t>
  </si>
  <si>
    <t>Section Updated - mgc?</t>
  </si>
  <si>
    <t>Old Name</t>
  </si>
  <si>
    <t>New Name</t>
  </si>
  <si>
    <t>SC - Land Acquisition</t>
  </si>
  <si>
    <t>Land</t>
  </si>
  <si>
    <t>Land Acq Cost</t>
  </si>
  <si>
    <t>None</t>
  </si>
  <si>
    <t>SC - Acquisition</t>
  </si>
  <si>
    <t>Purchase of Buildings</t>
  </si>
  <si>
    <t>Existing Improvements Cost</t>
  </si>
  <si>
    <t>Building_Acq_4 / 9</t>
  </si>
  <si>
    <t>PC_ACQ_BuildingAcq</t>
  </si>
  <si>
    <t>**Acquisition</t>
  </si>
  <si>
    <t>Other Purchase Bldgs &amp; Land</t>
  </si>
  <si>
    <t>Actual Addl Cost 1</t>
  </si>
  <si>
    <t>Other_Purchase_4 / 9</t>
  </si>
  <si>
    <t>PC_ACQ_OtherPurchase</t>
  </si>
  <si>
    <t>Other Acquisition</t>
  </si>
  <si>
    <t>HC - Structures</t>
  </si>
  <si>
    <t xml:space="preserve">Total Acquisition </t>
  </si>
  <si>
    <t>Removed for 2025</t>
  </si>
  <si>
    <t>**Structures</t>
  </si>
  <si>
    <t>CONSTRUCTION RELATED EXPENSES</t>
  </si>
  <si>
    <t>HC - Accessory Structures</t>
  </si>
  <si>
    <t>NEW CONSTRUCTION &amp; REHAB</t>
  </si>
  <si>
    <t>HC - Other1</t>
  </si>
  <si>
    <t>HC - Other1 Comments</t>
  </si>
  <si>
    <t>Construction of New Buildings</t>
  </si>
  <si>
    <t>Unit Structures New</t>
  </si>
  <si>
    <t>Building_4</t>
  </si>
  <si>
    <t>PC_CST_Building</t>
  </si>
  <si>
    <t>HC - Other2</t>
  </si>
  <si>
    <t>HC - Other2 Comments</t>
  </si>
  <si>
    <t>Rehabilitation</t>
  </si>
  <si>
    <t>Unit Structures Rehab</t>
  </si>
  <si>
    <t>Accessory Buildings (Garage, storage, etc)</t>
  </si>
  <si>
    <t>Accessory Buildings</t>
  </si>
  <si>
    <t>Accessory_Building_4</t>
  </si>
  <si>
    <t>PC_CST_Accessory_Building</t>
  </si>
  <si>
    <t>HC - Off Site Improvment</t>
  </si>
  <si>
    <t>Personal Property</t>
  </si>
  <si>
    <t>Other Costs</t>
  </si>
  <si>
    <t>Personal_Property_4</t>
  </si>
  <si>
    <t>PC_CST_Personal_Property</t>
  </si>
  <si>
    <t>Other New Construction/Rehabilitation</t>
  </si>
  <si>
    <t>Actual Addl Cost 2</t>
  </si>
  <si>
    <t>Double counts Furnishings and Equipment</t>
  </si>
  <si>
    <t>Other_New_Construction_4</t>
  </si>
  <si>
    <t>PC_CST_Other_New_Construction</t>
  </si>
  <si>
    <t>HC - Demolition</t>
  </si>
  <si>
    <t>Subtotal New Construction &amp; Rehab</t>
  </si>
  <si>
    <t>HC - Site Improvments</t>
  </si>
  <si>
    <t>OFF-SITE WORK COSTS</t>
  </si>
  <si>
    <t>HC - Lawns</t>
  </si>
  <si>
    <t>Off Site Work</t>
  </si>
  <si>
    <t>SC - Furn Fixt Equip</t>
  </si>
  <si>
    <t>Utilities</t>
  </si>
  <si>
    <t>HC - Other Work</t>
  </si>
  <si>
    <t>Lawns and Plantings</t>
  </si>
  <si>
    <t>Unusual Site Conditions</t>
  </si>
  <si>
    <t>HC - General Req</t>
  </si>
  <si>
    <t xml:space="preserve">Roads , Walks &amp; Paving </t>
  </si>
  <si>
    <t>HC - Overhead</t>
  </si>
  <si>
    <t>Other Off Site Work</t>
  </si>
  <si>
    <t>HC - Profit</t>
  </si>
  <si>
    <t xml:space="preserve">Subtotal Off-Site Costs </t>
  </si>
  <si>
    <t>Off Site Improvements</t>
  </si>
  <si>
    <t>OffSite_Subtotal_4</t>
  </si>
  <si>
    <t>PC_CST_OffSite_Subtotal</t>
  </si>
  <si>
    <t>HC - Other3</t>
  </si>
  <si>
    <t>HC - Other3 Comments</t>
  </si>
  <si>
    <t>SITE WORK COSTS</t>
  </si>
  <si>
    <t>Demolition_4</t>
  </si>
  <si>
    <t>PC_CST_Demolition</t>
  </si>
  <si>
    <t>HC - Contingency</t>
  </si>
  <si>
    <t>Site Work</t>
  </si>
  <si>
    <t>Earthwork_4</t>
  </si>
  <si>
    <t>PC_CST_Earthwork</t>
  </si>
  <si>
    <t>SC - Contingency</t>
  </si>
  <si>
    <t>Roads / Walks</t>
  </si>
  <si>
    <t>Site Utilities</t>
  </si>
  <si>
    <t>SC -HFA Finance Fee</t>
  </si>
  <si>
    <t>Landscaping</t>
  </si>
  <si>
    <t>Lawns</t>
  </si>
  <si>
    <t>Lawn_Planting_4</t>
  </si>
  <si>
    <t>PC_CST_Lawn_Planting</t>
  </si>
  <si>
    <t>SC - Other1</t>
  </si>
  <si>
    <t>SC - Other1 Comments</t>
  </si>
  <si>
    <t>Furnishing and Equipment</t>
  </si>
  <si>
    <t>Fixtures_Furn_4</t>
  </si>
  <si>
    <t>PC_CST_Fixtures_Furn</t>
  </si>
  <si>
    <t>**HFA Finance Fee</t>
  </si>
  <si>
    <t>Other Site Work</t>
  </si>
  <si>
    <t>Other_Site_Work_4</t>
  </si>
  <si>
    <t>PC_CST_Other_Site_Work</t>
  </si>
  <si>
    <t xml:space="preserve">Subtotal Site-Work Costs </t>
  </si>
  <si>
    <t>SC - Other2</t>
  </si>
  <si>
    <t>SC - Other2 Comments</t>
  </si>
  <si>
    <t>CONTRACTOR FEES</t>
  </si>
  <si>
    <t>SC - Contruction Interest</t>
  </si>
  <si>
    <t>General Requirements</t>
  </si>
  <si>
    <t>General_Requirements_4</t>
  </si>
  <si>
    <t>PC_CST_General_Requirements</t>
  </si>
  <si>
    <t>**Construction Interest</t>
  </si>
  <si>
    <t>Contractor Overhead</t>
  </si>
  <si>
    <t>Builders Overhead</t>
  </si>
  <si>
    <t>Builders_Overhead_4</t>
  </si>
  <si>
    <t>PC_CST_Builders_Overhead</t>
  </si>
  <si>
    <t>SC - Other3</t>
  </si>
  <si>
    <t>SC - Other3 Comments</t>
  </si>
  <si>
    <t>Contractor Profit</t>
  </si>
  <si>
    <t>Builders Profit</t>
  </si>
  <si>
    <t>Builders_Profit_4</t>
  </si>
  <si>
    <t>PC_CST_Builders_Profit</t>
  </si>
  <si>
    <t>Construction Supervision</t>
  </si>
  <si>
    <t>Other Construction1</t>
  </si>
  <si>
    <t>Constr_Mgmt_Fee_4</t>
  </si>
  <si>
    <t>PC_CST_Constr_Mgmt_Fee</t>
  </si>
  <si>
    <t>SC - Letter Of Credit</t>
  </si>
  <si>
    <t>Builder's Risk Insurance</t>
  </si>
  <si>
    <t>SC - Taxes During Const</t>
  </si>
  <si>
    <t>Other Contractor Fees</t>
  </si>
  <si>
    <t>SC - Title Recording</t>
  </si>
  <si>
    <t xml:space="preserve">Subtotal Contractor Fees </t>
  </si>
  <si>
    <t>SC - Insurance</t>
  </si>
  <si>
    <t xml:space="preserve">Total Construction Related </t>
  </si>
  <si>
    <t>SC - Tenant Relocation</t>
  </si>
  <si>
    <t>CONTINGENCY FUNDS</t>
  </si>
  <si>
    <t>**Tenant Relocation</t>
  </si>
  <si>
    <t>Construction Contingency</t>
  </si>
  <si>
    <t>Other Construction3</t>
  </si>
  <si>
    <t>Res_HC_Contingency_4</t>
  </si>
  <si>
    <t>PC_CNT_HC_Contingency</t>
  </si>
  <si>
    <t>SC - Other4</t>
  </si>
  <si>
    <t>HC - Other4 Comments</t>
  </si>
  <si>
    <t>Other Contingency</t>
  </si>
  <si>
    <t>Other Contingency Total</t>
  </si>
  <si>
    <t>Res_SC_Contingency_4</t>
  </si>
  <si>
    <t>PC_CNT_SC_Contingency</t>
  </si>
  <si>
    <t>Total Contingency Costs</t>
  </si>
  <si>
    <t>SC - Other5</t>
  </si>
  <si>
    <t>SC - Other5 Comments</t>
  </si>
  <si>
    <t>CONSTRUCTION PERIOD EXPENSES</t>
  </si>
  <si>
    <t>LOCAL OR STATE AGENCY - RESIDENTIAL RELATED FEES &amp; EXPENSES</t>
  </si>
  <si>
    <t>SC - Mortgage Banker</t>
  </si>
  <si>
    <t>WHEDA Application Fees (incl. T/E Ap Fee)</t>
  </si>
  <si>
    <t>SC - Legal</t>
  </si>
  <si>
    <t>T/E Bond Allocation/Reservation Fees</t>
  </si>
  <si>
    <t>SC - Other6</t>
  </si>
  <si>
    <t>SC - Other6 Comments</t>
  </si>
  <si>
    <t>Construction Loan Origination Fee - WHEDA</t>
  </si>
  <si>
    <t>Actual Addl Cost 4</t>
  </si>
  <si>
    <t>WHEDA_Constr_Loan_4</t>
  </si>
  <si>
    <t>PC_CSP_WHEDA_Constr_Loan</t>
  </si>
  <si>
    <t>Construction Loan Origination Fee - Non WHEDA</t>
  </si>
  <si>
    <t>Constr Loan Orig Fee</t>
  </si>
  <si>
    <t>WHEDA_Otehr_Finan_4</t>
  </si>
  <si>
    <t>PC_CSP_WHEDA_Other_Finan</t>
  </si>
  <si>
    <t>SC - Design Architect</t>
  </si>
  <si>
    <t>WHEDA Legal/Structuring Fees</t>
  </si>
  <si>
    <t>SC - Architect Supervision</t>
  </si>
  <si>
    <t>WHEDA Construction Inspection Fees</t>
  </si>
  <si>
    <t>SC - Design Engineering</t>
  </si>
  <si>
    <t>Other Fees and Expenses</t>
  </si>
  <si>
    <t>Credit Calculation using Equity Gap</t>
  </si>
  <si>
    <t>SC - Survey</t>
  </si>
  <si>
    <t>Subtotal WHEDA Fees &amp; Expenses</t>
  </si>
  <si>
    <t>SC - Other7</t>
  </si>
  <si>
    <t>SC - Other7 Comments</t>
  </si>
  <si>
    <t>BOND RELATED EXPENSES</t>
  </si>
  <si>
    <t>Cost of Bond Issuance</t>
  </si>
  <si>
    <t>Actual Addl Cost 6</t>
  </si>
  <si>
    <t>SC - Org Costs</t>
  </si>
  <si>
    <t xml:space="preserve">Subtotal Bond Related Fees </t>
  </si>
  <si>
    <t>SC - Equity Financed</t>
  </si>
  <si>
    <t>OTHER LENDER &amp; FINANCING RELATED EXPENSES</t>
  </si>
  <si>
    <t>**Equity Financed</t>
  </si>
  <si>
    <t>Bridge Loan Fees and Expenses</t>
  </si>
  <si>
    <t>Actual Addl Cost 16</t>
  </si>
  <si>
    <t>N/A CSP</t>
  </si>
  <si>
    <t>Predev./ Bridge Financing Fees</t>
  </si>
  <si>
    <t>SC - Reserves</t>
  </si>
  <si>
    <t>Predev / Bridge Origination Fees</t>
  </si>
  <si>
    <t>SC -RR Funding</t>
  </si>
  <si>
    <t>WHEDA Construction Loan Interest</t>
  </si>
  <si>
    <t>SC - Monitoring Lease Up Res</t>
  </si>
  <si>
    <t>Other Construction Loan Interest</t>
  </si>
  <si>
    <t>Const Interest</t>
  </si>
  <si>
    <t>LU_Period_Constr</t>
  </si>
  <si>
    <t>PC_CSP_Oth_Const_Loan_Int</t>
  </si>
  <si>
    <t>**Reserves</t>
  </si>
  <si>
    <t>Construction Lender Legal Fees</t>
  </si>
  <si>
    <t>Lender Inspection Fees</t>
  </si>
  <si>
    <t>Legal Fees - Miscellaneous</t>
  </si>
  <si>
    <t>Closing Legal Fees</t>
  </si>
  <si>
    <t>Other_Lender_Fees</t>
  </si>
  <si>
    <t>PC_CSP_Legal_Fees_Misc</t>
  </si>
  <si>
    <t>Subtotal Construction Lender &amp; Finance Fees</t>
  </si>
  <si>
    <t>OTHER CONSTRUCTION PERIOD SOFT COSTS</t>
  </si>
  <si>
    <t>SC - Appraisal</t>
  </si>
  <si>
    <t>Construction Loan Credit Enhancement/LOC</t>
  </si>
  <si>
    <t>Credit Enhancement</t>
  </si>
  <si>
    <t>Credit_Enhance_Fee_</t>
  </si>
  <si>
    <t>PC_CSP_Const_Loan_Credit</t>
  </si>
  <si>
    <t>SC - Market Study</t>
  </si>
  <si>
    <t>Construction Period Real Estate Taxes</t>
  </si>
  <si>
    <t>Taxes Construction</t>
  </si>
  <si>
    <t>Taxes_During_Constr</t>
  </si>
  <si>
    <t>PC_CSP_Const_Real_Est_Tax</t>
  </si>
  <si>
    <t>SC - Property Reports</t>
  </si>
  <si>
    <t>Title and Recording</t>
  </si>
  <si>
    <t>Title And Recording</t>
  </si>
  <si>
    <t>Title_Recording</t>
  </si>
  <si>
    <t>PC_CSP_Title_Recording</t>
  </si>
  <si>
    <t>SC - Environmental</t>
  </si>
  <si>
    <t>Green Building Cert/ Inspections</t>
  </si>
  <si>
    <t>Construction Insurance</t>
  </si>
  <si>
    <t>Insurance Construction</t>
  </si>
  <si>
    <t>Include line 96 Construction Liability Insurance.</t>
  </si>
  <si>
    <t>Constr_Hazard_insur</t>
  </si>
  <si>
    <t>PC_CSP_Const_Insurance</t>
  </si>
  <si>
    <t>SC - Tax Credit Fee</t>
  </si>
  <si>
    <t>Construction Liability Insurance</t>
  </si>
  <si>
    <t>**Tax Credit Fee</t>
  </si>
  <si>
    <t>Other Interim/Const Costs</t>
  </si>
  <si>
    <t>Temporary Relocation Expenses</t>
  </si>
  <si>
    <t>Actual Addl Cost 12</t>
  </si>
  <si>
    <t xml:space="preserve"> Temp_Reloocation_</t>
  </si>
  <si>
    <t>PC_CSP_Temp_Relocation</t>
  </si>
  <si>
    <t>SC - Tap Fees</t>
  </si>
  <si>
    <t>Permanent Relocation Expenses</t>
  </si>
  <si>
    <t>Actual Addl Cost 11</t>
  </si>
  <si>
    <t>SC - Certification</t>
  </si>
  <si>
    <t>Other Interim/Construction Costs</t>
  </si>
  <si>
    <t>Other Construction 2 (was Addl Cost 5)</t>
  </si>
  <si>
    <t>Other_Constr_Costs_</t>
  </si>
  <si>
    <t>SC - Mrkt Gen Lease Up</t>
  </si>
  <si>
    <t xml:space="preserve">Subtotal Contractor Related Fees </t>
  </si>
  <si>
    <t>SC - Other8</t>
  </si>
  <si>
    <t>SC - Other8 Comments</t>
  </si>
  <si>
    <t>Total Construction Period Expense</t>
  </si>
  <si>
    <t>SC - Miscellaneous</t>
  </si>
  <si>
    <t>PERMANENT FINANCING EXPENSES</t>
  </si>
  <si>
    <t>LENDER &amp; FINANCING RELATED EXPENSES</t>
  </si>
  <si>
    <t>SC - Development Mgt</t>
  </si>
  <si>
    <t>Permanent Loan Origination Fee - Non WHEDA</t>
  </si>
  <si>
    <t>Perm Loan Fee</t>
  </si>
  <si>
    <t>SC - Other9</t>
  </si>
  <si>
    <t>SC - Other9 Comments</t>
  </si>
  <si>
    <t>Permanent Loan Origination Fee - WHEDA</t>
  </si>
  <si>
    <t>Actual Addl Cost 7</t>
  </si>
  <si>
    <t>**Development Management</t>
  </si>
  <si>
    <t>Perm Lender Origination/Points</t>
  </si>
  <si>
    <t>SC - Consultants</t>
  </si>
  <si>
    <t>Perm Lender Legal Fees</t>
  </si>
  <si>
    <t>Permanent Loan Credit Enhancement</t>
  </si>
  <si>
    <t>Other Perm Loan Fees</t>
  </si>
  <si>
    <t>Perm Closing Title and Recording</t>
  </si>
  <si>
    <t xml:space="preserve">Perm Closing Property Taxes  </t>
  </si>
  <si>
    <t>Legal Fees - Real Estate</t>
  </si>
  <si>
    <t>Actual Addl Cost 14</t>
  </si>
  <si>
    <t>Other Financing Fees and Expenses</t>
  </si>
  <si>
    <t>Actual Addl Cost 8</t>
  </si>
  <si>
    <t>Total Permanent Financing</t>
  </si>
  <si>
    <t>ARCHITECTURAL &amp; ENGINEERING EXPENSES</t>
  </si>
  <si>
    <t>Architect's Fee - Design</t>
  </si>
  <si>
    <t>Arch Engin Design Fee</t>
  </si>
  <si>
    <t>Architect's Fee - Inspection/Supervision</t>
  </si>
  <si>
    <t>Arch Supervision Fee</t>
  </si>
  <si>
    <t>Engineering Costs</t>
  </si>
  <si>
    <t>Engineering</t>
  </si>
  <si>
    <t xml:space="preserve">Survey </t>
  </si>
  <si>
    <t>Actual Addl Cost 9</t>
  </si>
  <si>
    <t>Other Architect and Engineering</t>
  </si>
  <si>
    <t>Total Architectural &amp; Engineering</t>
  </si>
  <si>
    <t>SYNDICATION FEES &amp; EXPENSES</t>
  </si>
  <si>
    <t>Organizational (Partnership)</t>
  </si>
  <si>
    <t>Other Syndication Costs</t>
  </si>
  <si>
    <t>Tax Opinion</t>
  </si>
  <si>
    <t>Total Syndication Fees &amp; Expenses</t>
  </si>
  <si>
    <t>Addl Cost 5</t>
  </si>
  <si>
    <t>CAPITALIZED RESERVES</t>
  </si>
  <si>
    <t>Operating Reserve</t>
  </si>
  <si>
    <t>Oper Reserve</t>
  </si>
  <si>
    <t>Replacement Reserve</t>
  </si>
  <si>
    <t>Actual Addl Cost 19</t>
  </si>
  <si>
    <t>Lease-up Operating Deficit</t>
  </si>
  <si>
    <t>Actual Addl Cost 20</t>
  </si>
  <si>
    <t>Debt Service Reserve</t>
  </si>
  <si>
    <t>Capital Needs Reserve</t>
  </si>
  <si>
    <t>Other Reserves</t>
  </si>
  <si>
    <t>Escrows</t>
  </si>
  <si>
    <t>Other Capitalized Reserves</t>
  </si>
  <si>
    <t>Total Capitalized Reserves</t>
  </si>
  <si>
    <t>REPORTS, STUDIES &amp; RELATED WORK</t>
  </si>
  <si>
    <t>Reports &amp; Studies</t>
  </si>
  <si>
    <t>Appraisal(s)</t>
  </si>
  <si>
    <t>Appraisal Fee</t>
  </si>
  <si>
    <t>Market Study</t>
  </si>
  <si>
    <t>Capital Needs Assessment Report</t>
  </si>
  <si>
    <t>Actual Addl Cost 13</t>
  </si>
  <si>
    <t>Environmental Report</t>
  </si>
  <si>
    <t>Enviro Study</t>
  </si>
  <si>
    <t>Done^</t>
  </si>
  <si>
    <t>Subtotal Reports &amp; Studies</t>
  </si>
  <si>
    <t>Additional Reports &amp; Studies</t>
  </si>
  <si>
    <t>Environmental Review Fee (HOME/Risk Share)</t>
  </si>
  <si>
    <t xml:space="preserve">Soils GeoTech Report / Soil Borings Expense </t>
  </si>
  <si>
    <t>Boundary / Topo-Survey</t>
  </si>
  <si>
    <t>Third Party Review Fees</t>
  </si>
  <si>
    <t>Other Zoning Study</t>
  </si>
  <si>
    <t>Other Reports &amp; Studies</t>
  </si>
  <si>
    <t>Subtotal Additional Reports &amp; Studies</t>
  </si>
  <si>
    <t>Total Reports &amp; Studies</t>
  </si>
  <si>
    <t>OTHER SOFT COSTS</t>
  </si>
  <si>
    <t xml:space="preserve">Federal / Historic Tax Credit Fees </t>
  </si>
  <si>
    <t xml:space="preserve">Tax Credit Application Fee </t>
  </si>
  <si>
    <t>Tax Credit Fee</t>
  </si>
  <si>
    <t xml:space="preserve">Tax Credit Allocation Fee </t>
  </si>
  <si>
    <t>Tax Credit Compliance Fee</t>
  </si>
  <si>
    <t xml:space="preserve">Local / Building Permit Fees </t>
  </si>
  <si>
    <t>Water, Sewer and Impact Fees</t>
  </si>
  <si>
    <t>Net Local Development Impact Fees</t>
  </si>
  <si>
    <t>Commercial Costs - non-construction related)</t>
  </si>
  <si>
    <t>Cost Certification/Accounting Fees</t>
  </si>
  <si>
    <t>Cost Cert Fee</t>
  </si>
  <si>
    <t>Rent-Up Marketing Expense</t>
  </si>
  <si>
    <t>Actual Addl Cost 10</t>
  </si>
  <si>
    <t>Commercial Marketing &amp; Rent-Up Expenses</t>
  </si>
  <si>
    <t>Mortgage Payoff - N/A for Tax Credit Application</t>
  </si>
  <si>
    <t>Other Miscellaneous Costs</t>
  </si>
  <si>
    <t>Actual Addl Cost 15</t>
  </si>
  <si>
    <t>Total Other Costs</t>
  </si>
  <si>
    <t xml:space="preserve">SUBTOTAL </t>
  </si>
  <si>
    <t>DEVELOPER EARNED FEES &amp; EXPENSES</t>
  </si>
  <si>
    <t>Developer's Fee Received</t>
  </si>
  <si>
    <t>Developer Fees</t>
  </si>
  <si>
    <t>Developer's Fee - Deferred</t>
  </si>
  <si>
    <t>Actual Addl Cost 17</t>
  </si>
  <si>
    <t>Developer Overhead</t>
  </si>
  <si>
    <t>Consultants</t>
  </si>
  <si>
    <t>Actual Addl Cost 18</t>
  </si>
  <si>
    <t>Construction Oversight &amp; Mgmt.</t>
  </si>
  <si>
    <t>Other Developer's Fees</t>
  </si>
  <si>
    <t>Total Developer Costs</t>
  </si>
  <si>
    <t>TOTAL DEVELOPMENT COST</t>
  </si>
  <si>
    <t>Less Federal Financing</t>
  </si>
  <si>
    <t>Less Nonqualified Nonrecourse Financing</t>
  </si>
  <si>
    <t>Less Historic Tax Credit Residential</t>
  </si>
  <si>
    <t>Less other</t>
  </si>
  <si>
    <t>Describe:</t>
  </si>
  <si>
    <t>Total Eligible Basis</t>
  </si>
  <si>
    <t>Add Adjustment for QCT/DDA</t>
  </si>
  <si>
    <t>Deduction  from QCT/DDA Adjustment</t>
  </si>
  <si>
    <t>Add HFA Boost</t>
  </si>
  <si>
    <t>Deduction from HFA Boost</t>
  </si>
  <si>
    <t>Applicable Fraction</t>
  </si>
  <si>
    <t>Total Qualified Basis</t>
  </si>
  <si>
    <t>Tax Credit Percentage Rate</t>
  </si>
  <si>
    <t>Applicable Percentage</t>
  </si>
  <si>
    <t>Tax Credit Allocation Month</t>
  </si>
  <si>
    <t>Federal Tax Credits at Estimated Rate</t>
  </si>
  <si>
    <t>Total Federal Tax credits at Estimated Rate</t>
  </si>
  <si>
    <t>Previous Year's Allocation</t>
  </si>
  <si>
    <t>Tax Credits Requested</t>
  </si>
  <si>
    <t>Total Project Costs</t>
  </si>
  <si>
    <t>Less Loans</t>
  </si>
  <si>
    <t>Non Qual Financing</t>
  </si>
  <si>
    <t>Less Grants</t>
  </si>
  <si>
    <t>Fed Grant Financing</t>
  </si>
  <si>
    <t>Less Historic Rehab Credits</t>
  </si>
  <si>
    <t>Historic TC Residential</t>
  </si>
  <si>
    <t>Less - Other</t>
  </si>
  <si>
    <t>Costs of Non Qual Units</t>
  </si>
  <si>
    <t>Total Sources of Funds</t>
  </si>
  <si>
    <t>Total Equity Gap</t>
  </si>
  <si>
    <t>Weighted Equity Gap Allocation</t>
  </si>
  <si>
    <t>Number of Years the Credits are Claimed</t>
  </si>
  <si>
    <t>Divided by Years of Credit</t>
  </si>
  <si>
    <t>Pricing per Credit</t>
  </si>
  <si>
    <t xml:space="preserve">Divided by Equity Pricing </t>
  </si>
  <si>
    <t>Divided by Investor Ownership Interest</t>
  </si>
  <si>
    <t>Annual Credit Award</t>
  </si>
  <si>
    <t>Total Annual Credit Amount Request</t>
  </si>
  <si>
    <t>Projected Operating Costs</t>
  </si>
  <si>
    <t>I. Rent Expenses</t>
  </si>
  <si>
    <t>Convention and Meetings</t>
  </si>
  <si>
    <t>Subtotal: Rent</t>
  </si>
  <si>
    <t>Management Consultants</t>
  </si>
  <si>
    <t>Subtotal: Admin</t>
  </si>
  <si>
    <t>Advertising / Marketing Expense</t>
  </si>
  <si>
    <t>Subtotal: Utilities</t>
  </si>
  <si>
    <t xml:space="preserve">Other </t>
  </si>
  <si>
    <t>Subtotal: Oper &amp; Maint</t>
  </si>
  <si>
    <t>Subtotal: Taxes &amp; Insur</t>
  </si>
  <si>
    <t>II. Administrative Expenses</t>
  </si>
  <si>
    <t>Subtotal: Service Expense</t>
  </si>
  <si>
    <t>Office Salaries</t>
  </si>
  <si>
    <t>Total Operating Expenses</t>
  </si>
  <si>
    <t>Office Expenses</t>
  </si>
  <si>
    <t>Per Unit Per Month</t>
  </si>
  <si>
    <t>Office or Model Apartment Rent</t>
  </si>
  <si>
    <t>Management Fee - Residential Rents</t>
  </si>
  <si>
    <t>Management Fee - Commercial Rents</t>
  </si>
  <si>
    <t>Management Fee - Misc. Income</t>
  </si>
  <si>
    <t>Manager/Superintendent Salaries</t>
  </si>
  <si>
    <t>Administrative Rent - Free Unit</t>
  </si>
  <si>
    <t>Legal Expenses - Project Only</t>
  </si>
  <si>
    <t>Auditing Expenses - Project Only</t>
  </si>
  <si>
    <t>Bookkeeping Fees/Accounting Services</t>
  </si>
  <si>
    <t>Tax Credit Monitoring Fees</t>
  </si>
  <si>
    <t>Bad Debt Expense</t>
  </si>
  <si>
    <t>Other Administrative Expenses</t>
  </si>
  <si>
    <t>III. Utilities Expenses</t>
  </si>
  <si>
    <t>Fuel Oil</t>
  </si>
  <si>
    <t>Electricity</t>
  </si>
  <si>
    <t>Water</t>
  </si>
  <si>
    <t>Sewer</t>
  </si>
  <si>
    <t>Owner - Paid Amenities</t>
  </si>
  <si>
    <t>IV. Operating &amp; Maintenance Expenses</t>
  </si>
  <si>
    <t xml:space="preserve">Payroll   </t>
  </si>
  <si>
    <t xml:space="preserve">Supplies  </t>
  </si>
  <si>
    <t>Contracts</t>
  </si>
  <si>
    <t>Operating and Maintenance Rent Fee Unit</t>
  </si>
  <si>
    <t>Garbage and Trash Removal</t>
  </si>
  <si>
    <t>Security Payroll / Contract (incl taxes and benefits)</t>
  </si>
  <si>
    <t>Security Rent Free Unit</t>
  </si>
  <si>
    <t>Heating / Cooling Repairs Maintenance</t>
  </si>
  <si>
    <t>Snow Removal</t>
  </si>
  <si>
    <t>Vehicle / Maintenace Equipment Operation &amp; Repairs</t>
  </si>
  <si>
    <t>Misc. Operating &amp; Maintenance Expenses</t>
  </si>
  <si>
    <t>V. Taxes and Insurance</t>
  </si>
  <si>
    <t>Real Estate &amp; Personal Property  Taxes</t>
  </si>
  <si>
    <t>Property and Liability Insurance (Hazard)</t>
  </si>
  <si>
    <t>Miscellaneous Taxes, Licenses and Permits</t>
  </si>
  <si>
    <t>Payroll Taxes - Project Share</t>
  </si>
  <si>
    <t>Fidelity Bond Issuance</t>
  </si>
  <si>
    <t>Workmen's Compensation</t>
  </si>
  <si>
    <t>Health Insurance and Other Employee Benefits</t>
  </si>
  <si>
    <t>Misc. Taxes, Licenses, Permits, and Insurance</t>
  </si>
  <si>
    <t>VI. Total Service Expense</t>
  </si>
  <si>
    <t>Dietary Salaries</t>
  </si>
  <si>
    <t>Dietary Purchased Serv</t>
  </si>
  <si>
    <t>Food</t>
  </si>
  <si>
    <t>Registerd Nurse Salary</t>
  </si>
  <si>
    <t>Housekeeping Salary</t>
  </si>
  <si>
    <t>Housekeeping Supply</t>
  </si>
  <si>
    <t>Other Housekeeping</t>
  </si>
  <si>
    <t>Housekeeping Purchased Serv</t>
  </si>
  <si>
    <t>Medical Supplies</t>
  </si>
  <si>
    <t>Medical Purchased Serv</t>
  </si>
  <si>
    <t>Laundry/Linen</t>
  </si>
  <si>
    <t>Laundry Salaries</t>
  </si>
  <si>
    <t>Laundry Purchased Serv</t>
  </si>
  <si>
    <t>Laundry Supplies</t>
  </si>
  <si>
    <t>Medical Records Salary</t>
  </si>
  <si>
    <t>Medical Records Supply</t>
  </si>
  <si>
    <t>Med Records Purchased Srv</t>
  </si>
  <si>
    <t>Recreation/Rehab</t>
  </si>
  <si>
    <t>Activities Supplies</t>
  </si>
  <si>
    <t>Activities Purchased Serv</t>
  </si>
  <si>
    <t>Rehab Salaries</t>
  </si>
  <si>
    <t>Rehab Supplies</t>
  </si>
  <si>
    <t>Rehab Purchased Serv</t>
  </si>
  <si>
    <t>Other Support Serv</t>
  </si>
  <si>
    <t>Annual Replacement Reserve</t>
  </si>
  <si>
    <t>Map to Replacement Reserves  (Feasibility tab in ProLink).</t>
  </si>
  <si>
    <t>Subtotal Service Expense</t>
  </si>
  <si>
    <t>15. Feasibility</t>
  </si>
  <si>
    <t>EGI - LI (See to the right)</t>
  </si>
  <si>
    <t>Gross Income in ProLink is a calculation summing LIHTC rents and Market rents. As we include more items in our income/DCR calcs, I have this value set to "Net Rental and Other Income", and the Market set to 0. This ensures the total income amount in ProLink always matches the MFA</t>
  </si>
  <si>
    <t>EGI - Market</t>
  </si>
  <si>
    <t xml:space="preserve">16. Scoring </t>
  </si>
  <si>
    <t>1. Lower-Income Areas</t>
  </si>
  <si>
    <t xml:space="preserve">2. Energy Efficiency and Sustainability </t>
  </si>
  <si>
    <t xml:space="preserve">3. Mixed-Income Incentive </t>
  </si>
  <si>
    <t xml:space="preserve">4. Serves Large Families </t>
  </si>
  <si>
    <t xml:space="preserve">5. Serves Lowest-Income Residents </t>
  </si>
  <si>
    <t xml:space="preserve">6. Supportive Housing </t>
  </si>
  <si>
    <t>7. Rehab/Neighborhood Stabilization</t>
  </si>
  <si>
    <t xml:space="preserve">8. Universal Design </t>
  </si>
  <si>
    <t xml:space="preserve">9. Financial Leverage </t>
  </si>
  <si>
    <t>10. Eventual Tenant Ownership</t>
  </si>
  <si>
    <t xml:space="preserve">11. Development Team </t>
  </si>
  <si>
    <t xml:space="preserve">12. Readiness to Proceed </t>
  </si>
  <si>
    <t xml:space="preserve">13. Areas of Economic Opportunity </t>
  </si>
  <si>
    <t>14. Rural Areas without Recent Housing Tax Credit Awards (D.3. Site Characteristics)</t>
  </si>
  <si>
    <t>16. Community Services Facilities</t>
  </si>
  <si>
    <t>Total Score</t>
  </si>
  <si>
    <t>STATIC VALUES</t>
  </si>
  <si>
    <t>Exended Use Agreement</t>
  </si>
  <si>
    <t>15</t>
  </si>
  <si>
    <t>(Mapping all TCA Deals to 15 years)</t>
  </si>
  <si>
    <t>ACR Form</t>
  </si>
  <si>
    <t>Table of Contents</t>
  </si>
  <si>
    <r>
      <rPr>
        <b/>
        <sz val="11"/>
        <color theme="1"/>
        <rFont val="Calibri"/>
        <family val="2"/>
        <scheme val="minor"/>
      </rPr>
      <t>Instructions</t>
    </r>
    <r>
      <rPr>
        <sz val="11"/>
        <color theme="1"/>
        <rFont val="Calibri"/>
        <family val="2"/>
        <scheme val="minor"/>
      </rPr>
      <t>: Complete the WHEDA Multifamily Application for any WHEDA administered resources. For</t>
    </r>
  </si>
  <si>
    <t>Housing Tax Credits,  complete all tabs marked required for HTC. For WHEDA financed loans, complete</t>
  </si>
  <si>
    <t>Data Validation Settings:</t>
  </si>
  <si>
    <t>all tabs required for Financing.</t>
  </si>
  <si>
    <t>Apply to A1:Q:53</t>
  </si>
  <si>
    <t>Allow: Custom</t>
  </si>
  <si>
    <t xml:space="preserve">Required for </t>
  </si>
  <si>
    <t>Data: between (greyed out)</t>
  </si>
  <si>
    <t>HTC</t>
  </si>
  <si>
    <t>Financing</t>
  </si>
  <si>
    <t>Formula: &lt;0&gt;0</t>
  </si>
  <si>
    <t>ü</t>
  </si>
  <si>
    <t>908 East Main Street, Ste 501</t>
  </si>
  <si>
    <t>PO Box 1728</t>
  </si>
  <si>
    <t>Madison WI 53701-1728</t>
  </si>
  <si>
    <t>608-266-7884</t>
  </si>
  <si>
    <t>611 W National Ave, Ste 110</t>
  </si>
  <si>
    <t>Milwaukee WI 53204-1768</t>
  </si>
  <si>
    <t>414-227-4039</t>
  </si>
  <si>
    <t>Application Checklist - Submit with Initial Application Only</t>
  </si>
  <si>
    <t>Self-Scoring Checklist - Submit with Initial Application Only</t>
  </si>
  <si>
    <t>Project Summary</t>
  </si>
  <si>
    <t>Application</t>
  </si>
  <si>
    <t>Project Number</t>
  </si>
  <si>
    <t xml:space="preserve">Please provide a detailed description of the proposed project. Explain how this project fills the need of the intended community and any unique aspect about the site, development, or any other relevant information about this project. </t>
  </si>
  <si>
    <t>Deal Stage</t>
  </si>
  <si>
    <t>TC Deal Status</t>
  </si>
  <si>
    <t xml:space="preserve">Dev Deal </t>
  </si>
  <si>
    <t>Dev Deal Stage</t>
  </si>
  <si>
    <t>Project</t>
  </si>
  <si>
    <t>Scattered Site</t>
  </si>
  <si>
    <t>Development Team</t>
  </si>
  <si>
    <t>Co-Developer</t>
  </si>
  <si>
    <t>General Contractor</t>
  </si>
  <si>
    <t>Management Agent</t>
  </si>
  <si>
    <t>Housing Tax Credit Request</t>
  </si>
  <si>
    <t>9% Federal Credit</t>
  </si>
  <si>
    <t>4% Federal Credit</t>
  </si>
  <si>
    <t>4% State Credit</t>
  </si>
  <si>
    <t>Federal 10 YR Total</t>
  </si>
  <si>
    <t>State 6 YR Total</t>
  </si>
  <si>
    <t>Unit Mix Analysis</t>
  </si>
  <si>
    <t>Unit Mix Summary</t>
  </si>
  <si>
    <t>Unit Information</t>
  </si>
  <si>
    <t># Units</t>
  </si>
  <si>
    <t>CMI</t>
  </si>
  <si>
    <t>Total</t>
  </si>
  <si>
    <t>Total Subsidized Units</t>
  </si>
  <si>
    <t>Rural Development (RD)</t>
  </si>
  <si>
    <t>Project-Based - VASH</t>
  </si>
  <si>
    <t>Section 8 Rent Supplemental or RA Payment:</t>
  </si>
  <si>
    <t>HUD - Project Based Section 8 HAP</t>
  </si>
  <si>
    <t>HUD - RAD (PBRA - Project Based Voucher)</t>
  </si>
  <si>
    <t>HUD - 236</t>
  </si>
  <si>
    <t>Market</t>
  </si>
  <si>
    <t>Veterans Units</t>
  </si>
  <si>
    <t>Supportive Units</t>
  </si>
  <si>
    <t>Unit Mix Distribution Analysis</t>
  </si>
  <si>
    <t>All Units</t>
  </si>
  <si>
    <t>Financial Summary</t>
  </si>
  <si>
    <t>Operating Budget Highlights</t>
  </si>
  <si>
    <t>Financing Sources</t>
  </si>
  <si>
    <t>Budget Item</t>
  </si>
  <si>
    <t>Year One</t>
  </si>
  <si>
    <t>PUPM</t>
  </si>
  <si>
    <t>Loans</t>
  </si>
  <si>
    <t>Total Rent</t>
  </si>
  <si>
    <t>Permanent First Loan, Hard Debt (WHEDA Financed)</t>
  </si>
  <si>
    <t>Other Income</t>
  </si>
  <si>
    <t>Vacancy</t>
  </si>
  <si>
    <t>Operating Expenses</t>
  </si>
  <si>
    <t>Rent Expense</t>
  </si>
  <si>
    <t>Management Fee</t>
  </si>
  <si>
    <t xml:space="preserve">HOME </t>
  </si>
  <si>
    <t>Other Administrative Expense</t>
  </si>
  <si>
    <t>Utilities Expense</t>
  </si>
  <si>
    <t>Operating &amp; Maintenance Expenses</t>
  </si>
  <si>
    <t>Taxes and Insurance</t>
  </si>
  <si>
    <t>Service Expense</t>
  </si>
  <si>
    <t>Replacement Reserves</t>
  </si>
  <si>
    <t>Total Expenses</t>
  </si>
  <si>
    <t>Net Operating Income</t>
  </si>
  <si>
    <t>1st Mtg Y1 DCR</t>
  </si>
  <si>
    <t>1st Mtg Y15 DCR</t>
  </si>
  <si>
    <t>Equity/Owner Investment</t>
  </si>
  <si>
    <t>Federal Housing Tax Credit Equity</t>
  </si>
  <si>
    <t>State Housing Tax Credit Equity</t>
  </si>
  <si>
    <t>Hard / Construction 
Costs</t>
  </si>
  <si>
    <t>Historic Tax Credit Equity</t>
  </si>
  <si>
    <t>Developer Costs</t>
  </si>
  <si>
    <t>Deferred Developer Fee</t>
  </si>
  <si>
    <t>Soft Costs</t>
  </si>
  <si>
    <t>Reserves</t>
  </si>
  <si>
    <t>Total Sources</t>
  </si>
  <si>
    <t>Financial Feasibility</t>
  </si>
  <si>
    <t>WHEDA will evaluate the financial feasibility of all HTC Applications. Feasibility is determined by taking into account a variety of factors including: projected operating expenses, replacement reserves, rents and other income, vacancy assumptions, debt service and expected equity proceeds. 
Developments submitted with operating expenses, operating reserves, replacement reserves and/or a debt coverage ratio outside the prescribed ranges, without documentation, will be considered infeasible. At WHEDA's discretion, only acquisition/rehabilitation projects will be permitted to request a variance on the posted operating expense range(s). Provide a copy of last three (3) years P&amp;L (revenue &amp; expenses) statements for currently operating developments. Submit operating expense documentation to support the proposed operating expense assumption for the proposed project.</t>
  </si>
  <si>
    <t xml:space="preserve">PUPM Operating Expenses &amp; Replacement Reserves </t>
  </si>
  <si>
    <t>Expected Range</t>
  </si>
  <si>
    <t>Per Unit Month Note</t>
  </si>
  <si>
    <t>Single Family Homes/Duplex</t>
  </si>
  <si>
    <t>$625 to $750</t>
  </si>
  <si>
    <t>$550 to $675</t>
  </si>
  <si>
    <t>Family/Other</t>
  </si>
  <si>
    <t>$600 to $725</t>
  </si>
  <si>
    <t>*Submit operating expense documentation to support the proposed operating expense assumption for the proposed project.</t>
  </si>
  <si>
    <t>Debt Coverage Ratio: Primary "Must Pay" Debt</t>
  </si>
  <si>
    <t>Debt Ratio Note</t>
  </si>
  <si>
    <t>All Projects</t>
  </si>
  <si>
    <t>1.15 to 1.40</t>
  </si>
  <si>
    <t>Operating Reserve Months</t>
  </si>
  <si>
    <t>Expected Value</t>
  </si>
  <si>
    <t>Operating Reserve Note</t>
  </si>
  <si>
    <t>6 months or more</t>
  </si>
  <si>
    <t>Annual Per-Unit Replacement Reserves</t>
  </si>
  <si>
    <t>Annual Reserves Note</t>
  </si>
  <si>
    <t>New Construction, Age Restricted</t>
  </si>
  <si>
    <t>$250 or more</t>
  </si>
  <si>
    <t>New Construction, Family</t>
  </si>
  <si>
    <t>$300 or more</t>
  </si>
  <si>
    <t>$400 or more</t>
  </si>
  <si>
    <t>General Requirements Note</t>
  </si>
  <si>
    <t>5% or less</t>
  </si>
  <si>
    <t>Contractor Overhead Note</t>
  </si>
  <si>
    <t>2% or less</t>
  </si>
  <si>
    <t>Contractor Profit Note</t>
  </si>
  <si>
    <t>Deferred Developer Fee Repaid within 15 years</t>
  </si>
  <si>
    <t>Deferred Fee Repayment Note</t>
  </si>
  <si>
    <t>Repaid within 15 years</t>
  </si>
  <si>
    <t xml:space="preserve">Unit Mix Threshold </t>
  </si>
  <si>
    <t>Unit Mix Note</t>
  </si>
  <si>
    <t>Check for red shading on Unit Mix Distribution Analysis</t>
  </si>
  <si>
    <t>Project Location</t>
  </si>
  <si>
    <t xml:space="preserve">Project Name </t>
  </si>
  <si>
    <t xml:space="preserve">Is project a Scattered Site? </t>
  </si>
  <si>
    <t>Please complete building information section on the Site Control tab</t>
  </si>
  <si>
    <t xml:space="preserve">Street Address </t>
  </si>
  <si>
    <t>Input additional building and address information on Tab 7: Site Control</t>
  </si>
  <si>
    <t xml:space="preserve">City </t>
  </si>
  <si>
    <t xml:space="preserve">State </t>
  </si>
  <si>
    <t>Wisconsin</t>
  </si>
  <si>
    <t xml:space="preserve"> County </t>
  </si>
  <si>
    <t xml:space="preserve">Zip Code </t>
  </si>
  <si>
    <t xml:space="preserve">Is project in a Qualified Census Tract? </t>
  </si>
  <si>
    <t xml:space="preserve">Is project in a Difficult Development Area? </t>
  </si>
  <si>
    <t xml:space="preserve">Census Tract </t>
  </si>
  <si>
    <t xml:space="preserve">Difficult Development Area Number </t>
  </si>
  <si>
    <t xml:space="preserve">School District </t>
  </si>
  <si>
    <t xml:space="preserve">Did this Project win an RFP/RFQ? </t>
  </si>
  <si>
    <t xml:space="preserve">Does a community revitalization plan exist? </t>
  </si>
  <si>
    <t xml:space="preserve">Located on Federally Designated Tribal Land </t>
  </si>
  <si>
    <t>city</t>
  </si>
  <si>
    <t xml:space="preserve">Political Jurisdiction </t>
  </si>
  <si>
    <t>county</t>
  </si>
  <si>
    <t xml:space="preserve">Jurisdiction CEO First Name </t>
  </si>
  <si>
    <t xml:space="preserve">Last Name </t>
  </si>
  <si>
    <t xml:space="preserve">Title </t>
  </si>
  <si>
    <t>zip</t>
  </si>
  <si>
    <t xml:space="preserve">Jurisdiction Street Address </t>
  </si>
  <si>
    <t>census</t>
  </si>
  <si>
    <t xml:space="preserve">Jurisdiction City </t>
  </si>
  <si>
    <t xml:space="preserve">Jurisdiction Phone </t>
  </si>
  <si>
    <t xml:space="preserve">E-Mail Address </t>
  </si>
  <si>
    <t>qualified census tract</t>
  </si>
  <si>
    <t xml:space="preserve">Wisconsin Assembly District </t>
  </si>
  <si>
    <t>community revitalization plan</t>
  </si>
  <si>
    <t xml:space="preserve">Wisconsin Senate District </t>
  </si>
  <si>
    <t>difficult development area</t>
  </si>
  <si>
    <t xml:space="preserve">US Congressional District </t>
  </si>
  <si>
    <t>political jurisdiction</t>
  </si>
  <si>
    <t>last name</t>
  </si>
  <si>
    <t>title</t>
  </si>
  <si>
    <t>jurisdiction address</t>
  </si>
  <si>
    <t>phone</t>
  </si>
  <si>
    <t>email</t>
  </si>
  <si>
    <t>SUM</t>
  </si>
  <si>
    <t xml:space="preserve">Internal Use Only: </t>
  </si>
  <si>
    <t>Underwriter Notes</t>
  </si>
  <si>
    <t xml:space="preserve">Project Type </t>
  </si>
  <si>
    <t xml:space="preserve">New Construction Units </t>
  </si>
  <si>
    <t xml:space="preserve">Acquisition Rehab Units </t>
  </si>
  <si>
    <t xml:space="preserve">Adaptive Reuse Units </t>
  </si>
  <si>
    <t xml:space="preserve">Equity Takeout/Refinance Units </t>
  </si>
  <si>
    <t xml:space="preserve">Will this project be utilizing federal assistance? </t>
  </si>
  <si>
    <t xml:space="preserve">Will this project be receiving project based federal rental assistance? </t>
  </si>
  <si>
    <t xml:space="preserve">HUD RAD </t>
  </si>
  <si>
    <t xml:space="preserve">Number of Units </t>
  </si>
  <si>
    <t xml:space="preserve">RD/Rental Assistance </t>
  </si>
  <si>
    <t xml:space="preserve">Section 221(d)(3) BMIR </t>
  </si>
  <si>
    <t xml:space="preserve">Section 236 </t>
  </si>
  <si>
    <t xml:space="preserve">Section 8 Rent Supplemental or Rental Assistance Payment </t>
  </si>
  <si>
    <t xml:space="preserve">Section 8 Housing Assistance Payment Contract </t>
  </si>
  <si>
    <t xml:space="preserve">VASH Vouchers </t>
  </si>
  <si>
    <t xml:space="preserve">Section 811 Vouchers </t>
  </si>
  <si>
    <t xml:space="preserve">Is HUD approval for transfer of physical asset required? </t>
  </si>
  <si>
    <t xml:space="preserve">Is RD approval for transfer of physical asset required? </t>
  </si>
  <si>
    <t xml:space="preserve"> Is WHEDA approval for transfer of physical asset required? </t>
  </si>
  <si>
    <t xml:space="preserve">Any existing LURA? </t>
  </si>
  <si>
    <t xml:space="preserve">Has project previously submitted for credits? </t>
  </si>
  <si>
    <t>Please provide the previous project number:</t>
  </si>
  <si>
    <t>Family *</t>
  </si>
  <si>
    <t xml:space="preserve">* Number of Units </t>
  </si>
  <si>
    <t>isFamily</t>
  </si>
  <si>
    <t>Age Restricted *</t>
  </si>
  <si>
    <t>isAge Restricted</t>
  </si>
  <si>
    <t xml:space="preserve">Homeless </t>
  </si>
  <si>
    <t>isHomeless</t>
  </si>
  <si>
    <t xml:space="preserve">Supportive Housing </t>
  </si>
  <si>
    <t>isSupportiveHousing</t>
  </si>
  <si>
    <t xml:space="preserve">Single Room Occupancy </t>
  </si>
  <si>
    <t xml:space="preserve"> Number of Units </t>
  </si>
  <si>
    <t>isSingleRoomOccupancy</t>
  </si>
  <si>
    <t xml:space="preserve">CBRF </t>
  </si>
  <si>
    <t>isCBRF</t>
  </si>
  <si>
    <t xml:space="preserve">RCAC </t>
  </si>
  <si>
    <t>isRCAC</t>
  </si>
  <si>
    <t>* Auto-filled from tab 11. Unit Mix.</t>
  </si>
  <si>
    <t xml:space="preserve">Is this an application for additional credit? </t>
  </si>
  <si>
    <t xml:space="preserve">If yes, list name of project and WHEDA application number </t>
  </si>
  <si>
    <t xml:space="preserve">Is this a credit application for a property that has completed its HTC compliance period? </t>
  </si>
  <si>
    <t xml:space="preserve">For App 2 &amp; App 3, enter the annual State TC award amount </t>
  </si>
  <si>
    <t xml:space="preserve">Set-Aside </t>
  </si>
  <si>
    <t>Rural Set Aside?</t>
  </si>
  <si>
    <t xml:space="preserve">Credit percentage applied for </t>
  </si>
  <si>
    <t>State Credit?</t>
  </si>
  <si>
    <t>Credit Percentage Multiplier (State Rural Set-Aside Only, up to 2.00)</t>
  </si>
  <si>
    <t>Would like to remove, it doesn't serve a purpose with the various set-asides</t>
  </si>
  <si>
    <t>Use Multiplier?</t>
  </si>
  <si>
    <t xml:space="preserve">Federal Financing? </t>
  </si>
  <si>
    <t>Multiplier %</t>
  </si>
  <si>
    <t xml:space="preserve">Type of Federal Financing </t>
  </si>
  <si>
    <t xml:space="preserve">Minimum Set-Aside Requirements </t>
  </si>
  <si>
    <t xml:space="preserve">Elevator Building </t>
  </si>
  <si>
    <t xml:space="preserve">Number of Stories </t>
  </si>
  <si>
    <t xml:space="preserve">Non-elevator Building </t>
  </si>
  <si>
    <t xml:space="preserve">Row House/Town House </t>
  </si>
  <si>
    <t xml:space="preserve">Detached Single-Family </t>
  </si>
  <si>
    <t xml:space="preserve">Detached Two-Family (Duplex) </t>
  </si>
  <si>
    <t xml:space="preserve">Other (Please describe) </t>
  </si>
  <si>
    <t xml:space="preserve">Slab on Grade </t>
  </si>
  <si>
    <t xml:space="preserve">Crawl Space </t>
  </si>
  <si>
    <t xml:space="preserve">Partial Basement </t>
  </si>
  <si>
    <t xml:space="preserve">Full Basement </t>
  </si>
  <si>
    <t xml:space="preserve">Rental </t>
  </si>
  <si>
    <t>Rental Targeted For Eventual Tenant Ownership*</t>
  </si>
  <si>
    <t>*(A plan must be submitted incorporating an exit strategy including how units will be marketed and sold to the eventual resident owner as well as</t>
  </si>
  <si>
    <t xml:space="preserve">          detailing the provision of services including home ownership education, training and down payment assistance.)</t>
  </si>
  <si>
    <t>Projected schedule:</t>
  </si>
  <si>
    <t xml:space="preserve">Construction Loan Closing Date </t>
  </si>
  <si>
    <t xml:space="preserve">50% Occupancy Projection Date </t>
  </si>
  <si>
    <t xml:space="preserve">Construction Start Date </t>
  </si>
  <si>
    <t xml:space="preserve">Stabilized Occupancy Projection Date </t>
  </si>
  <si>
    <t xml:space="preserve">Construction Complete Date </t>
  </si>
  <si>
    <t xml:space="preserve">Conversion-Permanent Closing Date </t>
  </si>
  <si>
    <t xml:space="preserve">Expected First Building Placed in Service Date </t>
  </si>
  <si>
    <t xml:space="preserve">Expected Last Building Placed in Service Date </t>
  </si>
  <si>
    <t>Lease Up Period From Date</t>
  </si>
  <si>
    <t xml:space="preserve"> Lease up Period To Date </t>
  </si>
  <si>
    <t xml:space="preserve">Note: Both the Developer and Co-Developer must sign the application. Both the Developer and Co-Developer are expected to own an interest in the controlling entity (managing member or general partner) for the project, materially participate in the development of the project, and make financial guarantees to the investor. If these tests are not met, the entity should be listed as “consultant” under Project Team. </t>
  </si>
  <si>
    <t>Primary Applicant/Developer</t>
  </si>
  <si>
    <t xml:space="preserve">Name </t>
  </si>
  <si>
    <t>Primary Contact</t>
  </si>
  <si>
    <t xml:space="preserve">Telephone Number </t>
  </si>
  <si>
    <t xml:space="preserve">Alternate Number </t>
  </si>
  <si>
    <t xml:space="preserve">Fax </t>
  </si>
  <si>
    <t xml:space="preserve">Email Address </t>
  </si>
  <si>
    <t>Co-Applicant/Developer</t>
  </si>
  <si>
    <t>Is there a Co-Applicant?</t>
  </si>
  <si>
    <t>Additional Information</t>
  </si>
  <si>
    <t xml:space="preserve">Applicant Notes </t>
  </si>
  <si>
    <t xml:space="preserve">Internal Use Only:  </t>
  </si>
  <si>
    <t xml:space="preserve">Underwriter Notes </t>
  </si>
  <si>
    <t xml:space="preserve">Total Site Acreage </t>
  </si>
  <si>
    <t xml:space="preserve">Total Buildable Acreage </t>
  </si>
  <si>
    <t xml:space="preserve">If buildable acreage is less than total acreage, please explain </t>
  </si>
  <si>
    <t xml:space="preserve">Identify utilities and services currently available (and with adequate capacity) for this site </t>
  </si>
  <si>
    <t xml:space="preserve">Storm Sewer </t>
  </si>
  <si>
    <t xml:space="preserve">Sanitary Sewer </t>
  </si>
  <si>
    <t xml:space="preserve">Water </t>
  </si>
  <si>
    <t xml:space="preserve">Gas </t>
  </si>
  <si>
    <t xml:space="preserve">Electric </t>
  </si>
  <si>
    <t xml:space="preserve">Is the demolition of any buildings required or planned? </t>
  </si>
  <si>
    <t xml:space="preserve">If yes, please describe </t>
  </si>
  <si>
    <t xml:space="preserve">Are existing buildings on the site currently occupied? </t>
  </si>
  <si>
    <t xml:space="preserve">If yes, (a) briefly describe the situation </t>
  </si>
  <si>
    <t xml:space="preserve">(b) Will tenant displacement be temporary? </t>
  </si>
  <si>
    <t xml:space="preserve">(c) Will tenant displacement be permanent? </t>
  </si>
  <si>
    <t xml:space="preserve">Describe relocation plan and assistance </t>
  </si>
  <si>
    <t xml:space="preserve">Year Built </t>
  </si>
  <si>
    <t xml:space="preserve">Number of existing units </t>
  </si>
  <si>
    <t xml:space="preserve">Number of occupied units </t>
  </si>
  <si>
    <t xml:space="preserve">Current Occupancy </t>
  </si>
  <si>
    <t xml:space="preserve">Required for all Projects </t>
  </si>
  <si>
    <t xml:space="preserve">Is any part of the site, regardless of where 
 actual building is/will be, in a flood zone? </t>
  </si>
  <si>
    <t xml:space="preserve">Please describe any known prior uses of this site </t>
  </si>
  <si>
    <t xml:space="preserve">Legal Description of Property (5000 Character Limit) </t>
  </si>
  <si>
    <t>Character Count:</t>
  </si>
  <si>
    <t>Nearest Linkages and Services*</t>
  </si>
  <si>
    <t>Distance in Miles</t>
  </si>
  <si>
    <t>Full Service Grocery Store</t>
  </si>
  <si>
    <t xml:space="preserve">Public park with playground equipment or athletic facilities, or hiking/biking trail </t>
  </si>
  <si>
    <t xml:space="preserve">Senior Center </t>
  </si>
  <si>
    <t>Public Elementary, Middle or High School (not scored for Senior)</t>
  </si>
  <si>
    <t>Public Library</t>
  </si>
  <si>
    <t>Job-Training Facility, Community College or Continuing Education Programs</t>
  </si>
  <si>
    <t>Full Service Medical Clinic or Hospital</t>
  </si>
  <si>
    <t>* Will be used to determine eligibility for scoring in Tab 21, Location Score, A1 - Access to Service and Amenities</t>
  </si>
  <si>
    <t xml:space="preserve">Name of Buyer </t>
  </si>
  <si>
    <t>Seller Info</t>
  </si>
  <si>
    <t xml:space="preserve">Name of Seller </t>
  </si>
  <si>
    <t xml:space="preserve">Zip code </t>
  </si>
  <si>
    <t>Seller Contact Info</t>
  </si>
  <si>
    <t>Does an identity of interest (direct or indirect) exist between the
owner/principal or ownership entity with the option/contract
for purchase of the property and the seller of the property?</t>
  </si>
  <si>
    <t xml:space="preserve">If yes, specify the relationship </t>
  </si>
  <si>
    <t xml:space="preserve">Does the Applicant or Developer have fee simple ownership of the property (site/buildings)? </t>
  </si>
  <si>
    <t>If yes, provide</t>
  </si>
  <si>
    <t xml:space="preserve">Purchase Date </t>
  </si>
  <si>
    <t xml:space="preserve">Purchase Price </t>
  </si>
  <si>
    <t>If no</t>
  </si>
  <si>
    <t xml:space="preserve">(a)   Enter the current expiration date of the option/contract to purchase </t>
  </si>
  <si>
    <t xml:space="preserve">(b)   Enter Purchase Price </t>
  </si>
  <si>
    <t>Adaptive Re-use or Rehabilitation Projects Only</t>
  </si>
  <si>
    <t xml:space="preserve">Rehabilitation expenditures allocable to low-income units </t>
  </si>
  <si>
    <t xml:space="preserve">Adjusted building basis </t>
  </si>
  <si>
    <t>Formatting rule D30-D35.</t>
  </si>
  <si>
    <t>Acquisition of Existing Buildings (Adaptive Re-use or  Rehabilitation Projects Only)</t>
  </si>
  <si>
    <t xml:space="preserve">How many buildings will be acquired for the development? </t>
  </si>
  <si>
    <t xml:space="preserve">Are all of the buildings currently under site control for the development? </t>
  </si>
  <si>
    <r>
      <rPr>
        <b/>
        <u/>
        <sz val="12"/>
        <color theme="1"/>
        <rFont val="Calibri"/>
        <family val="2"/>
        <scheme val="minor"/>
      </rPr>
      <t xml:space="preserve">Multi-site Acquisition and Rehabilitation of Single-Family Homes, Duplexes or fourplexes </t>
    </r>
    <r>
      <rPr>
        <sz val="12"/>
        <color theme="1"/>
        <rFont val="Calibri"/>
        <family val="2"/>
        <scheme val="minor"/>
      </rPr>
      <t xml:space="preserve">
1) All intended site addresses must be identified in Application One. 2) WHEDA will only require Site Control, Appraisals, and Capital Needs Assessments on 35% of the application’s sites at Application One (to help reduce application prep cost). 3) The balance of these materials must be submitted within 180 days of Credit Reservation issuance (i.e. submit with Application Two). 4) The substitution of a limited number of sites at Application Two is allowed if the applicant can demonstrate a) the substitution enhances the development, and b) results in no loss of points.</t>
    </r>
  </si>
  <si>
    <t>Building Information</t>
  </si>
  <si>
    <r>
      <t xml:space="preserve">Building information should be entered for </t>
    </r>
    <r>
      <rPr>
        <i/>
        <sz val="12"/>
        <color rgb="FF000000"/>
        <rFont val="Calibri"/>
        <family val="2"/>
        <scheme val="minor"/>
      </rPr>
      <t xml:space="preserve">all </t>
    </r>
    <r>
      <rPr>
        <sz val="12"/>
        <color rgb="FF000000"/>
        <rFont val="Calibri"/>
        <family val="2"/>
        <scheme val="minor"/>
      </rPr>
      <t>projects, not just multi-site projects.</t>
    </r>
  </si>
  <si>
    <t>Number of 
Mkt Units</t>
  </si>
  <si>
    <t>Number of 
LI Units</t>
  </si>
  <si>
    <t>Acquisition Cost
of Building</t>
  </si>
  <si>
    <t>Type of Control</t>
  </si>
  <si>
    <t>Expiration Date 
of Control
Document</t>
  </si>
  <si>
    <t>Please further describe site</t>
  </si>
  <si>
    <t xml:space="preserve">Is the proposed project permitted by the present zoning? </t>
  </si>
  <si>
    <t xml:space="preserve">Is multifamily use permitted? </t>
  </si>
  <si>
    <t xml:space="preserve">Are variances, special or conditional use permits or any other item </t>
  </si>
  <si>
    <t xml:space="preserve">requiring a public hearing needed to develop this proposal? </t>
  </si>
  <si>
    <t xml:space="preserve">If yes, have the hearings been completed and permits been obtained? </t>
  </si>
  <si>
    <t xml:space="preserve">If yes, specify permit or variance required and date obtained. </t>
  </si>
  <si>
    <t xml:space="preserve">If no, describe permits/variances required and schedule for obtaining them. </t>
  </si>
  <si>
    <t xml:space="preserve">Are there any existing conditions of historical significance located on the project </t>
  </si>
  <si>
    <t xml:space="preserve">site that will require Wisconsin State Historical Society office review? </t>
  </si>
  <si>
    <t>If yes, describe</t>
  </si>
  <si>
    <t xml:space="preserve">Are there any existing conditions of environmental significance located on the project site? </t>
  </si>
  <si>
    <t xml:space="preserve">If yes, describe </t>
  </si>
  <si>
    <t>Project Ownership Entity and Development Team</t>
  </si>
  <si>
    <t>List the project ownership entity information.</t>
  </si>
  <si>
    <t xml:space="preserve">Owner Name </t>
  </si>
  <si>
    <t xml:space="preserve">C/O </t>
  </si>
  <si>
    <t xml:space="preserve">Address </t>
  </si>
  <si>
    <t xml:space="preserve">Federal Tax ID Number of Ownership Entity </t>
  </si>
  <si>
    <t xml:space="preserve">Entity Type </t>
  </si>
  <si>
    <t xml:space="preserve">Entity Status </t>
  </si>
  <si>
    <t xml:space="preserve">Ownership Contact Person First Name </t>
  </si>
  <si>
    <t xml:space="preserve">Ownership Contact Person Last Name </t>
  </si>
  <si>
    <t>Required - Upload organizational chart to Procorem along with application</t>
  </si>
  <si>
    <t xml:space="preserve">List all general partners, members, and principals. Specify nonprofit, corporate, general partners, or members. </t>
  </si>
  <si>
    <t xml:space="preserve">Entity/Principal Name </t>
  </si>
  <si>
    <t xml:space="preserve">Entity/Principal Function </t>
  </si>
  <si>
    <t xml:space="preserve">Telephone </t>
  </si>
  <si>
    <t xml:space="preserve">Email </t>
  </si>
  <si>
    <t xml:space="preserve">Nonprofit </t>
  </si>
  <si>
    <t xml:space="preserve">Tax ID </t>
  </si>
  <si>
    <t xml:space="preserve">Ownership Percentage </t>
  </si>
  <si>
    <t xml:space="preserve">Last Name  </t>
  </si>
  <si>
    <t xml:space="preserve"> </t>
  </si>
  <si>
    <t xml:space="preserve">First Name  </t>
  </si>
  <si>
    <t xml:space="preserve">Address  </t>
  </si>
  <si>
    <t xml:space="preserve">City  </t>
  </si>
  <si>
    <t>Applicant/Developer Disclosure</t>
  </si>
  <si>
    <t xml:space="preserve">Required - Upload resume of the development applicant, describe the number of developments, number of units, type of units and if any, type of Assistance (State or Federal). </t>
  </si>
  <si>
    <t>Identity of Interest?</t>
  </si>
  <si>
    <t xml:space="preserve">Company </t>
  </si>
  <si>
    <t xml:space="preserve">Contact First Name </t>
  </si>
  <si>
    <t xml:space="preserve">Contact Last Name </t>
  </si>
  <si>
    <t>Consultant/Application Preparer (if different from developer)</t>
  </si>
  <si>
    <t xml:space="preserve">Is there a Consultant/Application Preparer? </t>
  </si>
  <si>
    <t xml:space="preserve">Identity of Interest? </t>
  </si>
  <si>
    <t>Equity Investor/Syndicator</t>
  </si>
  <si>
    <t>Design Architect</t>
  </si>
  <si>
    <t xml:space="preserve">Is there a Design Architect? </t>
  </si>
  <si>
    <t>Supervisory Architect</t>
  </si>
  <si>
    <t xml:space="preserve">Is there a Supervisory Architect? </t>
  </si>
  <si>
    <t>Attorney</t>
  </si>
  <si>
    <t>Is there an Accountant?</t>
  </si>
  <si>
    <t>Please further describe details regarding developer relationships, ownership entity information, or project team.</t>
  </si>
  <si>
    <t>Project and Unit Amenities</t>
  </si>
  <si>
    <t>Project Amenities</t>
  </si>
  <si>
    <t xml:space="preserve">Provide a detailed description of the 
physical building and amenities. </t>
  </si>
  <si>
    <t xml:space="preserve">Community Building </t>
  </si>
  <si>
    <t>Community Building - Sq. Ft.</t>
  </si>
  <si>
    <t xml:space="preserve">Community Room </t>
  </si>
  <si>
    <t>Community Room - Sq. Ft.</t>
  </si>
  <si>
    <t xml:space="preserve">Community Service Facility </t>
  </si>
  <si>
    <t>Community Service Facility - Sq. Ft.</t>
  </si>
  <si>
    <t xml:space="preserve">Commercial Space </t>
  </si>
  <si>
    <t>Commercial Space - Sq. Ft.</t>
  </si>
  <si>
    <t xml:space="preserve">Garages </t>
  </si>
  <si>
    <t xml:space="preserve">Number </t>
  </si>
  <si>
    <t xml:space="preserve">Rent per stall per month </t>
  </si>
  <si>
    <t xml:space="preserve">Surface Parking </t>
  </si>
  <si>
    <t xml:space="preserve">Underground Parking </t>
  </si>
  <si>
    <t xml:space="preserve">Laundry Room </t>
  </si>
  <si>
    <t>Estimated Cost per unit per month</t>
  </si>
  <si>
    <t xml:space="preserve">In-Unit Internet Access </t>
  </si>
  <si>
    <t xml:space="preserve">Screened Porch </t>
  </si>
  <si>
    <t xml:space="preserve">Exam Room </t>
  </si>
  <si>
    <t xml:space="preserve">Resident Computer Center </t>
  </si>
  <si>
    <t xml:space="preserve">Game/Craft Room </t>
  </si>
  <si>
    <t xml:space="preserve">Exercise Room </t>
  </si>
  <si>
    <t xml:space="preserve">Reading Room/Library </t>
  </si>
  <si>
    <t xml:space="preserve">Media Center Room </t>
  </si>
  <si>
    <t>Non-Smoking Units</t>
  </si>
  <si>
    <t xml:space="preserve">Guest Lodging </t>
  </si>
  <si>
    <t xml:space="preserve">Picnic Area </t>
  </si>
  <si>
    <t xml:space="preserve">Garden Plots </t>
  </si>
  <si>
    <t xml:space="preserve">Covered Drive Thru </t>
  </si>
  <si>
    <t xml:space="preserve">Pool </t>
  </si>
  <si>
    <t xml:space="preserve">Car Care Area </t>
  </si>
  <si>
    <t xml:space="preserve">Playground </t>
  </si>
  <si>
    <t xml:space="preserve">Onsite Leasing Office </t>
  </si>
  <si>
    <t xml:space="preserve">Storage Units </t>
  </si>
  <si>
    <t xml:space="preserve">Gazebos </t>
  </si>
  <si>
    <t xml:space="preserve">Walking Trails </t>
  </si>
  <si>
    <t xml:space="preserve">Security Locked Building </t>
  </si>
  <si>
    <t xml:space="preserve">Community Dining Room </t>
  </si>
  <si>
    <t xml:space="preserve">Therapeutic Whirlpool Tub </t>
  </si>
  <si>
    <t xml:space="preserve">24 Hour On-Site Resident Manager </t>
  </si>
  <si>
    <t xml:space="preserve">Community Patio </t>
  </si>
  <si>
    <t>Description of Onsite Services
and Activities.</t>
  </si>
  <si>
    <t xml:space="preserve">Describe Differences in Low-income &amp; Market-rate Unit Amenities </t>
  </si>
  <si>
    <t>Unit Amenities</t>
  </si>
  <si>
    <t xml:space="preserve">Interior Apartment (check all that apply) </t>
  </si>
  <si>
    <t xml:space="preserve">Range/Oven </t>
  </si>
  <si>
    <t xml:space="preserve">Range Hood </t>
  </si>
  <si>
    <t xml:space="preserve">Dishwasher </t>
  </si>
  <si>
    <t xml:space="preserve">Disposal </t>
  </si>
  <si>
    <t xml:space="preserve">Refrigerator </t>
  </si>
  <si>
    <t xml:space="preserve">Exterior Storage </t>
  </si>
  <si>
    <t xml:space="preserve">Washer/Dryer </t>
  </si>
  <si>
    <t xml:space="preserve">W/D Hookups </t>
  </si>
  <si>
    <t xml:space="preserve">Pantry </t>
  </si>
  <si>
    <t xml:space="preserve">Ceiling fans </t>
  </si>
  <si>
    <t xml:space="preserve">Walk-in Closets </t>
  </si>
  <si>
    <t xml:space="preserve">Drapes </t>
  </si>
  <si>
    <t xml:space="preserve">Mini-blinds </t>
  </si>
  <si>
    <t xml:space="preserve">Patio/Balcony </t>
  </si>
  <si>
    <t xml:space="preserve">Microwave </t>
  </si>
  <si>
    <t xml:space="preserve">Sunrooms </t>
  </si>
  <si>
    <t xml:space="preserve">Front Porches </t>
  </si>
  <si>
    <t xml:space="preserve">Flooring </t>
  </si>
  <si>
    <t xml:space="preserve">Carpet </t>
  </si>
  <si>
    <t xml:space="preserve">LVP </t>
  </si>
  <si>
    <t xml:space="preserve">Wood </t>
  </si>
  <si>
    <t xml:space="preserve">Ceramic Tile </t>
  </si>
  <si>
    <t xml:space="preserve">Heating/Cooling </t>
  </si>
  <si>
    <t xml:space="preserve">Gas Heat </t>
  </si>
  <si>
    <t xml:space="preserve">Heat Pump </t>
  </si>
  <si>
    <t xml:space="preserve">Electric Pump </t>
  </si>
  <si>
    <t xml:space="preserve">Electric Heat </t>
  </si>
  <si>
    <t xml:space="preserve">Central Air </t>
  </si>
  <si>
    <t xml:space="preserve">Window A/C </t>
  </si>
  <si>
    <t xml:space="preserve">A/C Sleeve </t>
  </si>
  <si>
    <t xml:space="preserve">Please further describe  </t>
  </si>
  <si>
    <t>#BR</t>
  </si>
  <si>
    <t>Net SF</t>
  </si>
  <si>
    <t>Unit Mix #</t>
  </si>
  <si>
    <t>LI / Emp Unit Count</t>
  </si>
  <si>
    <t>Market Rate Count</t>
  </si>
  <si>
    <t>LI/EMP #</t>
  </si>
  <si>
    <t>Market Rate #</t>
  </si>
  <si>
    <t># BRs</t>
  </si>
  <si>
    <t>Total  # of  Units</t>
  </si>
  <si>
    <t>CMI %</t>
  </si>
  <si>
    <t>Monthly Net Rent</t>
  </si>
  <si>
    <t>UnitType</t>
  </si>
  <si>
    <t>Low Income / Employee</t>
  </si>
  <si>
    <t>Market Rate</t>
  </si>
  <si>
    <t>Credit Calculation Using Equity Gap</t>
  </si>
  <si>
    <t>Total Project Costs (from E170 in Tab 13, MFA):</t>
  </si>
  <si>
    <t>Years</t>
  </si>
  <si>
    <t>Pricing</t>
  </si>
  <si>
    <t>Weight</t>
  </si>
  <si>
    <t>Multiplier</t>
  </si>
  <si>
    <t>Adjusted Weight</t>
  </si>
  <si>
    <t>Weighted Percentage</t>
  </si>
  <si>
    <t>Federal Weight</t>
  </si>
  <si>
    <t>Less Permanent Loans (from G16:GE25 in Tab 12 in MFA):</t>
  </si>
  <si>
    <t>State Weight</t>
  </si>
  <si>
    <t>WHEDA Loan</t>
  </si>
  <si>
    <t>Total Weight</t>
  </si>
  <si>
    <t>WHEDA Subordinate Loan 1</t>
  </si>
  <si>
    <t>WHEDA Subordinate Loan 2</t>
  </si>
  <si>
    <t>WHEDA Subordinate Loan 3</t>
  </si>
  <si>
    <t>WHEDA Subordinate Loan 4</t>
  </si>
  <si>
    <t>AHP Loan</t>
  </si>
  <si>
    <t>HOME Loan</t>
  </si>
  <si>
    <t>Less Grants (from E30:E36 in Tab 12 in MFA):</t>
  </si>
  <si>
    <t>HOME Grant</t>
  </si>
  <si>
    <t>CDBG Grant</t>
  </si>
  <si>
    <t>WHEDA Foundation Grant</t>
  </si>
  <si>
    <t>Less Tax Credit Sources (from E40:E45 in Tab 12 in MFA):</t>
  </si>
  <si>
    <t>Federal Historic Tax Credit Equity</t>
  </si>
  <si>
    <t>State Historic Tax Credit Equity</t>
  </si>
  <si>
    <t>Deferred Developer Fees</t>
  </si>
  <si>
    <t>Owner Investment</t>
  </si>
  <si>
    <t>Total Financing Sources:</t>
  </si>
  <si>
    <t>Total Equity Gap:</t>
  </si>
  <si>
    <t>Equity Gap Tax Credit Calculations</t>
  </si>
  <si>
    <r>
      <rPr>
        <b/>
        <sz val="11"/>
        <color theme="1"/>
        <rFont val="Calibri"/>
        <family val="2"/>
        <scheme val="minor"/>
      </rPr>
      <t>Federal</t>
    </r>
    <r>
      <rPr>
        <sz val="11"/>
        <color theme="1"/>
        <rFont val="Calibri"/>
        <family val="2"/>
        <scheme val="minor"/>
      </rPr>
      <t xml:space="preserve"> Portion Weight</t>
    </r>
  </si>
  <si>
    <r>
      <rPr>
        <b/>
        <sz val="11"/>
        <color theme="1"/>
        <rFont val="Calibri"/>
        <family val="2"/>
        <scheme val="minor"/>
      </rPr>
      <t>State</t>
    </r>
    <r>
      <rPr>
        <sz val="11"/>
        <color theme="1"/>
        <rFont val="Calibri"/>
        <family val="2"/>
        <scheme val="minor"/>
      </rPr>
      <t xml:space="preserve"> Portion Weight</t>
    </r>
  </si>
  <si>
    <t>Weighted Federal Portion of Equity Gap</t>
  </si>
  <si>
    <t>Weighted State Portion of Equity Gap</t>
  </si>
  <si>
    <t>Federal Divided by Years of Credits</t>
  </si>
  <si>
    <t>State Divided by 6 Years</t>
  </si>
  <si>
    <t>Pricing per credits (Enter as decimal)</t>
  </si>
  <si>
    <t>Pricing per credits (as decimal)</t>
  </si>
  <si>
    <t>Enter Investor Ownership (enter as decimal)</t>
  </si>
  <si>
    <t>Enter Investor Ownership (as decimal)</t>
  </si>
  <si>
    <t>Copy this (as value) into cell J9 to reduce State TC Size to max limit</t>
  </si>
  <si>
    <t>Federal Annual Credit Award</t>
  </si>
  <si>
    <t>State Annual Credit Award</t>
  </si>
  <si>
    <t>Federal Annual Credit Award cannot exceed the Eligible Basis calculation</t>
  </si>
  <si>
    <t>State Annual Credit Award cannot exceed $1,200,000, please change the multiplier in cell I9</t>
  </si>
  <si>
    <t>Previous Tax Credit Calculations from MFA</t>
  </si>
  <si>
    <t>Federal Eligible Basis Award from E190 in Tab 13 in MFA</t>
  </si>
  <si>
    <t>State Eligible Basis Award</t>
  </si>
  <si>
    <t>Federal Equity Gap Award from E206 in Tab 13 in MFA</t>
  </si>
  <si>
    <t>State Equity Gap Award</t>
  </si>
  <si>
    <t>Lessor of Federal Award Calulations</t>
  </si>
  <si>
    <t>Lessor of State Award Calulations</t>
  </si>
  <si>
    <t>Tax Credit Adjustments</t>
  </si>
  <si>
    <t>Federal TC Adjustment (put in E211 in Tab 13 of MFA)</t>
  </si>
  <si>
    <t>State TC Adjustment</t>
  </si>
  <si>
    <t>Applicant Notes (put in C216 in Tab 13, MFA):</t>
  </si>
  <si>
    <t>Low Income Units</t>
  </si>
  <si>
    <t>NOTES:</t>
  </si>
  <si>
    <t>• Low income rents shall be the lower of market rents as determined by the market study, proposed HTC set-aside rents, or the current HAP/RAP or other subsidy program rents applicable to the project.</t>
  </si>
  <si>
    <t>• The distribution of units of various bedroom sizes is required to be proportionate to the distribution of units at various income limits.</t>
  </si>
  <si>
    <t>Helper Functions. Probably best if hidden</t>
  </si>
  <si>
    <r>
      <t>• Unit information must be typed in and not copied/pasted and may not include</t>
    </r>
    <r>
      <rPr>
        <u/>
        <sz val="11"/>
        <color theme="1"/>
        <rFont val="Calibri"/>
        <family val="2"/>
      </rPr>
      <t xml:space="preserve"> blank rows</t>
    </r>
    <r>
      <rPr>
        <sz val="11"/>
        <color theme="1"/>
        <rFont val="Calibri"/>
        <family val="2"/>
      </rPr>
      <t xml:space="preserve"> between units.</t>
    </r>
  </si>
  <si>
    <t>• Projects using the Average Income Test Set-Aside may include units up to 80% CMI, provided that; (a) the average does not exceed 60% of CMI; and (b) 100% of units are affordable.</t>
  </si>
  <si>
    <t>• Monthly gross rents of units set-aside at or above 60% CMI may not exceed 95% of the gross rent limit under Section 42 of the Internal Revenue Code and monthly net rents may not exceed 90% of estimated market rents (as listed in the Market Study).</t>
  </si>
  <si>
    <t>Utility allowance Data Validation (Col M)</t>
  </si>
  <si>
    <t>• Utility Allowance (column M) may be entered manually for each row. Alternatively, complete the table Utility Allowance - Enter Allowances for Tenant Paid Utilities by Bdrm. Size to autofill Utility Allowance (column M).</t>
  </si>
  <si>
    <t>IF(J18="Low Income",AND(P18&gt;=0,P18&lt;=1),P18&gt;=0)</t>
  </si>
  <si>
    <t>Is project applying using the Average Income Test?</t>
  </si>
  <si>
    <t>• See Appendix D: Underwriting Criteria for a complete overview of all Housing Tax Credit underwriting requirements</t>
  </si>
  <si>
    <t>IS LI/CMI?</t>
  </si>
  <si>
    <t>Low Income Unit Totals</t>
  </si>
  <si>
    <t>Low Income Rent Totals</t>
  </si>
  <si>
    <t>Voucher Units</t>
  </si>
  <si>
    <t>HOME Units</t>
  </si>
  <si>
    <t>Employee Units</t>
  </si>
  <si>
    <t>Large Families</t>
  </si>
  <si>
    <t>60% Voucher Units</t>
  </si>
  <si>
    <t xml:space="preserve">Apartment Type   </t>
  </si>
  <si>
    <t>Age
Restriction</t>
  </si>
  <si>
    <t># Bedrooms</t>
  </si>
  <si>
    <t># Bathrooms</t>
  </si>
  <si>
    <t>Net Square Footage</t>
  </si>
  <si>
    <t>Rent $/SF</t>
  </si>
  <si>
    <t>Utility Allowance</t>
  </si>
  <si>
    <t>Monthly Gross Rent</t>
  </si>
  <si>
    <t>% of Max HTC Rent</t>
  </si>
  <si>
    <t>Estimated Market Rent</t>
  </si>
  <si>
    <t>% Max Market Rent</t>
  </si>
  <si>
    <t>Total Annual Rent</t>
  </si>
  <si>
    <t>Unit Weight</t>
  </si>
  <si>
    <t>Weighted Average %</t>
  </si>
  <si>
    <t>Multiple Story Unit</t>
  </si>
  <si>
    <t>Is Voucher?</t>
  </si>
  <si>
    <t>Units</t>
  </si>
  <si>
    <t>Rent</t>
  </si>
  <si>
    <t>Is HOME?</t>
  </si>
  <si>
    <t>Is EMP?</t>
  </si>
  <si>
    <t>&lt;=50%  LI 3BR?</t>
  </si>
  <si>
    <t>Is SF?</t>
  </si>
  <si>
    <t>Homes</t>
  </si>
  <si>
    <t>is 60% Voucher?</t>
  </si>
  <si>
    <t>30% or voucher?</t>
  </si>
  <si>
    <t>Average CMI%*</t>
  </si>
  <si>
    <t>Totals:</t>
  </si>
  <si>
    <t>Voucher:</t>
  </si>
  <si>
    <t>HOME:</t>
  </si>
  <si>
    <t>EMP:</t>
  </si>
  <si>
    <t>LI3BR:</t>
  </si>
  <si>
    <t>Homes:</t>
  </si>
  <si>
    <t>Total 60% Voucher</t>
  </si>
  <si>
    <t>* Use Average CMI% To Verify Income Averaging % if applicable.</t>
  </si>
  <si>
    <t xml:space="preserve">Project will use National Non-Metropolitan Rent Limits </t>
  </si>
  <si>
    <t xml:space="preserve">Extend Rent Limit </t>
  </si>
  <si>
    <t xml:space="preserve">Contract Number </t>
  </si>
  <si>
    <t xml:space="preserve">MONTHLY RESIDENTIAL TENANT UTILITY ALLOWANCES </t>
  </si>
  <si>
    <t>Owner/Tenant Paid?</t>
  </si>
  <si>
    <t>Utilities Provided to Units</t>
  </si>
  <si>
    <t>Enter Allowances for Tenant Paid Utilities by Bdrm. Size</t>
  </si>
  <si>
    <t>UTILITY OR SERVICE</t>
  </si>
  <si>
    <t>GENERATION TYPE</t>
  </si>
  <si>
    <t>PRODUCT TYPE</t>
  </si>
  <si>
    <t>0 Bdrm</t>
  </si>
  <si>
    <t>1 Bdrm</t>
  </si>
  <si>
    <t>2 Bdrm</t>
  </si>
  <si>
    <t>3 Bdrm</t>
  </si>
  <si>
    <t>4 Bdrm</t>
  </si>
  <si>
    <t>5 Bdrm</t>
  </si>
  <si>
    <t>Source of Utility Allowance Assumptions</t>
  </si>
  <si>
    <t>Trash Removal</t>
  </si>
  <si>
    <t xml:space="preserve">Snow Removal </t>
  </si>
  <si>
    <t xml:space="preserve">Date: </t>
  </si>
  <si>
    <t>Cable</t>
  </si>
  <si>
    <t>Internet</t>
  </si>
  <si>
    <t xml:space="preserve">Other   </t>
  </si>
  <si>
    <t>TOTALS</t>
  </si>
  <si>
    <t>Utility Providers</t>
  </si>
  <si>
    <t>Existing?</t>
  </si>
  <si>
    <t xml:space="preserve">Will the above utility rates apply to all buildings?  </t>
  </si>
  <si>
    <t xml:space="preserve">If not please justify /explain below: </t>
  </si>
  <si>
    <t>Water/Sewer</t>
  </si>
  <si>
    <t xml:space="preserve">Type   </t>
  </si>
  <si>
    <t>Total
 # of  Units</t>
  </si>
  <si>
    <t>Max HTC Limit</t>
  </si>
  <si>
    <t>Market Rate Units</t>
  </si>
  <si>
    <t>Statistics</t>
  </si>
  <si>
    <t>% of Units</t>
  </si>
  <si>
    <t>Gross Annual Rental Income</t>
  </si>
  <si>
    <t xml:space="preserve">20% CMI </t>
  </si>
  <si>
    <t xml:space="preserve">30% CMI </t>
  </si>
  <si>
    <t xml:space="preserve">40% CMI </t>
  </si>
  <si>
    <t xml:space="preserve">50% CMI </t>
  </si>
  <si>
    <t xml:space="preserve">60% CMI </t>
  </si>
  <si>
    <t xml:space="preserve">70% CMI </t>
  </si>
  <si>
    <t xml:space="preserve">80% CMI </t>
  </si>
  <si>
    <t>Low Income Totals</t>
  </si>
  <si>
    <t xml:space="preserve">Common Space </t>
  </si>
  <si>
    <t xml:space="preserve">Employee Units </t>
  </si>
  <si>
    <t xml:space="preserve">Market Rate </t>
  </si>
  <si>
    <t xml:space="preserve">Totals </t>
  </si>
  <si>
    <t xml:space="preserve">Proposed number of residential building(s) </t>
  </si>
  <si>
    <t xml:space="preserve">Maximum number of stories in building(s) </t>
  </si>
  <si>
    <t>Project Includes:</t>
  </si>
  <si>
    <t xml:space="preserve">Elevators </t>
  </si>
  <si>
    <t xml:space="preserve">Number of Elevators </t>
  </si>
  <si>
    <t xml:space="preserve">Accessory Building(s) </t>
  </si>
  <si>
    <t xml:space="preserve">Commercial Facilities </t>
  </si>
  <si>
    <t xml:space="preserve">Other Facilities </t>
  </si>
  <si>
    <t>Square Footage Information:</t>
  </si>
  <si>
    <t xml:space="preserve">Gross Building Square Footage </t>
  </si>
  <si>
    <t>Common Area Sq. Ft. :</t>
  </si>
  <si>
    <t xml:space="preserve">Residential Sq. Ft. (All Heated Areas) </t>
  </si>
  <si>
    <t xml:space="preserve">Commercial/Retail Square Footage: (pulls from Project &amp; Unit Amenities Tab) </t>
  </si>
  <si>
    <t>Remarks concerning Unit Mix</t>
  </si>
  <si>
    <t>Please further describe</t>
  </si>
  <si>
    <t>Permanent Financing</t>
  </si>
  <si>
    <r>
      <t xml:space="preserve">Note in Applicant notes below if any of these loans are refinanced loans. </t>
    </r>
    <r>
      <rPr>
        <b/>
        <sz val="11"/>
        <color rgb="FFFF0000"/>
        <rFont val="Calibri"/>
        <family val="2"/>
      </rPr>
      <t>Please indicate the repayment type for all loans in Column J. If you have a Cash Flow dependent loan ("Soft Debt" or "Other Repayment"), please complete the "Cash Flow Dependent Loans" section on Tab 17.</t>
    </r>
  </si>
  <si>
    <t>Source</t>
  </si>
  <si>
    <t>Funders</t>
  </si>
  <si>
    <t>Percent of Permanent Financing</t>
  </si>
  <si>
    <t>Tax-Exempt?</t>
  </si>
  <si>
    <t>WHEDA Term Sheet</t>
  </si>
  <si>
    <t xml:space="preserve">Amortizing? </t>
  </si>
  <si>
    <t>Anticipated Payment Schedule</t>
  </si>
  <si>
    <t>Rate (%)</t>
  </si>
  <si>
    <t>Term (Years)</t>
  </si>
  <si>
    <t>Amortization Period (Years)</t>
  </si>
  <si>
    <t>Annual Debt Service</t>
  </si>
  <si>
    <t>Lender Name/Bond Issuer</t>
  </si>
  <si>
    <t>Must Pay/Hard Debt</t>
  </si>
  <si>
    <t>TE Perm</t>
  </si>
  <si>
    <t>TE Con</t>
  </si>
  <si>
    <t>Total TE</t>
  </si>
  <si>
    <t>Soft Debt</t>
  </si>
  <si>
    <t>Other Repayment</t>
  </si>
  <si>
    <t>No Payments</t>
  </si>
  <si>
    <t>WHEDA TIF Loan</t>
  </si>
  <si>
    <t>N/A for AHP</t>
  </si>
  <si>
    <t>Lender Name</t>
  </si>
  <si>
    <t>Total Loans</t>
  </si>
  <si>
    <t>If you are applying for tax credits and are receiving a grant that will be converted to a loan to a project, please list them in the Loans section above.</t>
  </si>
  <si>
    <t>TC Deal Type:</t>
  </si>
  <si>
    <t>N/A for Home</t>
  </si>
  <si>
    <t>FederalAnnual TC:</t>
  </si>
  <si>
    <t>Specify Grantor</t>
  </si>
  <si>
    <t>Fed 4%</t>
  </si>
  <si>
    <t>Fed 9%</t>
  </si>
  <si>
    <t>Total Grants</t>
  </si>
  <si>
    <t>Equity/Developer Financing</t>
  </si>
  <si>
    <t>Number of Years</t>
  </si>
  <si>
    <t>Investor Ownership %</t>
  </si>
  <si>
    <t>Price per Credit</t>
  </si>
  <si>
    <t>Annual Credit Amount</t>
  </si>
  <si>
    <t>Specify Investor</t>
  </si>
  <si>
    <r>
      <rPr>
        <b/>
        <sz val="11"/>
        <color rgb="FF000000"/>
        <rFont val="Calibri"/>
        <family val="2"/>
      </rPr>
      <t>Credit Pricing:</t>
    </r>
    <r>
      <rPr>
        <sz val="11"/>
        <color rgb="FF000000"/>
        <rFont val="Calibri"/>
        <family val="2"/>
      </rPr>
      <t xml:space="preserve"> Credit pricing must comply with guidance in Appendix D: Underwriting Guidelines found at WHEDA.com. If pricing is outside posted range, project must include explanation and provide copy of LOI from investor/syndicator.        </t>
    </r>
  </si>
  <si>
    <t>Total Equity/Developer</t>
  </si>
  <si>
    <t>Construction Financing</t>
  </si>
  <si>
    <t>Will the permanent loan be funded during construction?</t>
  </si>
  <si>
    <t>List all funding sources, including permanent sources that will be used during construction</t>
  </si>
  <si>
    <t>Source of Funds</t>
  </si>
  <si>
    <t>Percentage of Total</t>
  </si>
  <si>
    <t>Tax Exempt?</t>
  </si>
  <si>
    <t>Term (Months)</t>
  </si>
  <si>
    <t>Enter Lender Name</t>
  </si>
  <si>
    <t>Construction Loan 3</t>
  </si>
  <si>
    <t>Construction Loan 4</t>
  </si>
  <si>
    <t>Construction Loan 5</t>
  </si>
  <si>
    <t>Other - Specify</t>
  </si>
  <si>
    <t>Total Construction Financing</t>
  </si>
  <si>
    <t>50% Test for 4% Tax-Exempt LIHTC Transactions</t>
  </si>
  <si>
    <t>Net Eligible Basis</t>
  </si>
  <si>
    <t>% of Eligible Basis Covered by TE Bonds (Must be &gt;50%)</t>
  </si>
  <si>
    <t>Meets 50% Test?</t>
  </si>
  <si>
    <t>Remarks concerning Project Funding Sources:</t>
  </si>
  <si>
    <t>(Please be sure to include the name of the funding source(s))</t>
  </si>
  <si>
    <t>Construction Cost Schedule of Values (SOV)</t>
  </si>
  <si>
    <t>Division</t>
  </si>
  <si>
    <t>Total Cost</t>
  </si>
  <si>
    <t>Residential Const.</t>
  </si>
  <si>
    <t>Commercial Cost</t>
  </si>
  <si>
    <t>Community Service Cost</t>
  </si>
  <si>
    <t>Cost/Gross Sq. Ft</t>
  </si>
  <si>
    <t>Cost per Unit</t>
  </si>
  <si>
    <t>Division 00 - Procurement and Contracting Requirements</t>
  </si>
  <si>
    <t>00 00 00 - Procurement and Contracting Requirements</t>
  </si>
  <si>
    <t>00 10 00 - Solicitation</t>
  </si>
  <si>
    <t>00 20 00 - Instructions for Procurement</t>
  </si>
  <si>
    <t>00 30 00 - Available Information</t>
  </si>
  <si>
    <t>00 40 00 - Procurement Forms and Supplements</t>
  </si>
  <si>
    <t>00 50 00 - Contracting Forms and Supplements</t>
  </si>
  <si>
    <t>00 60 00 - Project Forms</t>
  </si>
  <si>
    <t>00 70 00 - Conditions of the Contract</t>
  </si>
  <si>
    <t>00 80 00 - Other</t>
  </si>
  <si>
    <t>00 90 00 - Revisions, Clarifications, and Modifications</t>
  </si>
  <si>
    <t>Division 01 - General Requirements</t>
  </si>
  <si>
    <t>01 00 00 - General Requirements</t>
  </si>
  <si>
    <t>01 10 00 - Summary</t>
  </si>
  <si>
    <t>01 20 00 - Price and Payment Procedures</t>
  </si>
  <si>
    <t>01 30 00 - Administrative Requirements</t>
  </si>
  <si>
    <t>01 40 00 - Quality Requirements</t>
  </si>
  <si>
    <t>01 50 00 - Temporary Facilities and Controls</t>
  </si>
  <si>
    <t>01 60 00 - Product Requirements</t>
  </si>
  <si>
    <t>01 70 00 - Execution and Closeout Requirements</t>
  </si>
  <si>
    <t>01 80 00 - Performance Requirements</t>
  </si>
  <si>
    <t>01 90 00 - Life Cycle Activities</t>
  </si>
  <si>
    <t>Division 02 - Existing Conditions</t>
  </si>
  <si>
    <t>02 00 00 - Existing Conditions</t>
  </si>
  <si>
    <t>02 20 00 - Assessment</t>
  </si>
  <si>
    <t>02 30 00 - Subsurface Investigation</t>
  </si>
  <si>
    <t>02 40 00 - Demolition and Structure Moving</t>
  </si>
  <si>
    <t>02 50 00 - Site Remediation</t>
  </si>
  <si>
    <t>02 60 00 - Contaminated Site Material Removal</t>
  </si>
  <si>
    <t>02 70 00 - Water Remediation</t>
  </si>
  <si>
    <t>02 80 00 - Facility Remediation</t>
  </si>
  <si>
    <t>Division 03 - Concrete</t>
  </si>
  <si>
    <t>03 00 00 - Concrete</t>
  </si>
  <si>
    <t>03 10 00 - Concrete Forming and Accessories</t>
  </si>
  <si>
    <t>03 20 00 - Concrete Reinforcing</t>
  </si>
  <si>
    <t>03 30 00 - Cast-in-Place Concrete</t>
  </si>
  <si>
    <t>03 40 00 - Precast Concrete</t>
  </si>
  <si>
    <t>03 50 00 - Cast Decks and Underlayment</t>
  </si>
  <si>
    <t>03 60 00 - Grouting</t>
  </si>
  <si>
    <t>03 70 00 - Mass Concrete</t>
  </si>
  <si>
    <t>03 80 00 - Concrete Cutting and Boring</t>
  </si>
  <si>
    <t>Division 04 - Masonry</t>
  </si>
  <si>
    <t>04 00 00 - Masonry</t>
  </si>
  <si>
    <t>04 20 00 - Unit Masonry</t>
  </si>
  <si>
    <t>04 40 00 - Stone Assemblies</t>
  </si>
  <si>
    <t>04 50 00 - Refractory Masonry</t>
  </si>
  <si>
    <t>04 60 00 - Corrosion-Resistant Masonry</t>
  </si>
  <si>
    <t>04 70 00 - Manufactured Masonry</t>
  </si>
  <si>
    <t>Division 05 - Metals</t>
  </si>
  <si>
    <t>05 00 00 - Metals</t>
  </si>
  <si>
    <t>05 10 00 - Structural Metal Framing</t>
  </si>
  <si>
    <t>05 20 00 - Metal Joists</t>
  </si>
  <si>
    <t>05 30 00 - Metal Decking</t>
  </si>
  <si>
    <t>05 40 00 - Cold-Formed Metal Framing</t>
  </si>
  <si>
    <t>05 50 00 - Metal Fabrications</t>
  </si>
  <si>
    <t>05 70 00 - Decorative Metal</t>
  </si>
  <si>
    <t>Division 06 - Wood, Plastics, Composites</t>
  </si>
  <si>
    <t>06 00 00 - Wood, Plastics, Composites</t>
  </si>
  <si>
    <t>06 10 00 - Rough Carpentry</t>
  </si>
  <si>
    <t>06 20 00 - Finish Carpentry</t>
  </si>
  <si>
    <t>06 40 00 - Architectural Woodwork</t>
  </si>
  <si>
    <t>06 50 00 - Structural Plastics</t>
  </si>
  <si>
    <t>06 60 00 - Plastic Fabrications</t>
  </si>
  <si>
    <t>06 70 00 - Structural Composites</t>
  </si>
  <si>
    <t>06 80 00 - Composite Fabrications</t>
  </si>
  <si>
    <t>Division 07 - Thermal and Moisture Protection</t>
  </si>
  <si>
    <t>07 00 00 - Thermal and Moisture Protection</t>
  </si>
  <si>
    <t>07 10 00 - Damp proofing and Waterproofing</t>
  </si>
  <si>
    <t>07 20 00 - Thermal Protection</t>
  </si>
  <si>
    <t>07 25 00 - Weather Barriers</t>
  </si>
  <si>
    <t>07 30 00 - Steep Slope Roofing</t>
  </si>
  <si>
    <t>07 40 00 - Roofing and Siding Panels</t>
  </si>
  <si>
    <t>07 50 00 - Membrane Roofing</t>
  </si>
  <si>
    <t>07 60 00 - Flashing and Sheet Metal</t>
  </si>
  <si>
    <t>07 70 00 - Roof and Wall Specialties and Accessories</t>
  </si>
  <si>
    <t>07 80 00 - Fire and Smoke Protection</t>
  </si>
  <si>
    <t>07 90 00 - Joint Protection</t>
  </si>
  <si>
    <t>Division 08 - Openings</t>
  </si>
  <si>
    <t>08 00 00 - Openings</t>
  </si>
  <si>
    <t>08 10 00 - Doors and Frames</t>
  </si>
  <si>
    <t>08 30 00 - Specialty Doors and Frames</t>
  </si>
  <si>
    <t>08 40 00 - Entrances, Storefronts, and Curtain Walls</t>
  </si>
  <si>
    <t>08 50 00 - Windows</t>
  </si>
  <si>
    <t>08 60 00 - Roof Windows and Skylights</t>
  </si>
  <si>
    <t>08 70 00 - Hardware</t>
  </si>
  <si>
    <t>08 80 00 - Glazing</t>
  </si>
  <si>
    <t>08 90 00 - Louvers and Vents</t>
  </si>
  <si>
    <t>Division 09 - Finishes</t>
  </si>
  <si>
    <t>09 00 00 - Finishes</t>
  </si>
  <si>
    <t>09 20 00 - Plaster and Gypsum Board</t>
  </si>
  <si>
    <t>09 30 00 - Tiling</t>
  </si>
  <si>
    <t>09 50 00 - Ceilings</t>
  </si>
  <si>
    <t>09 60 00 - Floorings</t>
  </si>
  <si>
    <t>09 68 00 - Carpeting</t>
  </si>
  <si>
    <t>09 70 00 - Wall Finishes</t>
  </si>
  <si>
    <t>09 80 00 - Acoustic Treatment</t>
  </si>
  <si>
    <t>09 90 00 - Painting and Coating</t>
  </si>
  <si>
    <t>Division 10 - Specialties</t>
  </si>
  <si>
    <t>10 00 00 - Specialties</t>
  </si>
  <si>
    <t>10 10 00 - Information Specialties</t>
  </si>
  <si>
    <t>10 20 00 - Interior Specialties</t>
  </si>
  <si>
    <t>10 30 00 - Fireplaces and Stoves</t>
  </si>
  <si>
    <t>10 40 00 - Safety Specialties</t>
  </si>
  <si>
    <t>10 50 00 - Storage Specialties</t>
  </si>
  <si>
    <t>10 70 00 - Exterior Specialties</t>
  </si>
  <si>
    <t>10 80 00 - Other Specialties</t>
  </si>
  <si>
    <t>Division 11 - Equipment</t>
  </si>
  <si>
    <t>11 00 00 - Equipment</t>
  </si>
  <si>
    <t>11 10 00 - Vehicle and Pedestrian Equipment</t>
  </si>
  <si>
    <t>11 15 00 - Security, Detention, and Banking Equipment</t>
  </si>
  <si>
    <t>11 20 00 - Commercial Equipment</t>
  </si>
  <si>
    <t>11 30 00 - Residential Equipment</t>
  </si>
  <si>
    <t>11 40 00 - Foodservice Equipment</t>
  </si>
  <si>
    <t>11 50 00 - Educational and Scientific Equipment</t>
  </si>
  <si>
    <t>11 60 00 - Entertainment Equipment</t>
  </si>
  <si>
    <t>11 65 00 - Athletic and Recreational Equipment</t>
  </si>
  <si>
    <t>11 70 00 - Healthcare Equipment</t>
  </si>
  <si>
    <t>11 80 00 - Collection and Disposal Equipment</t>
  </si>
  <si>
    <t>11 90 00 - Other Equipment</t>
  </si>
  <si>
    <t>Division 12 - Furnishings</t>
  </si>
  <si>
    <t>12 00 00 - Furnishings</t>
  </si>
  <si>
    <t>12 10 00 - Art</t>
  </si>
  <si>
    <t>12 20 00 - Window Treatments</t>
  </si>
  <si>
    <t>12 30 00 - Casework</t>
  </si>
  <si>
    <t>12 40 00 - Furnishings and Accessories</t>
  </si>
  <si>
    <t>12 50 00 - Furniture</t>
  </si>
  <si>
    <t>12 60 00 - Multiple Seating</t>
  </si>
  <si>
    <t>12 90 00 - Other Furnishings</t>
  </si>
  <si>
    <t>Division 13 - Special Construction</t>
  </si>
  <si>
    <t>13 00 00 - Special Construction</t>
  </si>
  <si>
    <t>13 10 00 - Special Facility Components</t>
  </si>
  <si>
    <t>13 20 00 - Special Purpose Rooms</t>
  </si>
  <si>
    <t>13 30 00 - Special Structures</t>
  </si>
  <si>
    <t>13 40 00 - Integrated Construction</t>
  </si>
  <si>
    <t>13 50 00 - Special Instrumentation</t>
  </si>
  <si>
    <t>Division 14 - Conveying Equipment</t>
  </si>
  <si>
    <t>14 00 00 - Conveying Equipment</t>
  </si>
  <si>
    <t>14 10 00 - Dumbwaiters</t>
  </si>
  <si>
    <t>14 20 00 - Elevators</t>
  </si>
  <si>
    <t>14 30 00 - Escalators and Moving Walks</t>
  </si>
  <si>
    <t>14 40 00 - Lifts</t>
  </si>
  <si>
    <t>14 70 00 - Turntables</t>
  </si>
  <si>
    <t>14 80 00 - Scaffolding</t>
  </si>
  <si>
    <t>14 90 00 - Other Conveying Equipment</t>
  </si>
  <si>
    <t>Division 21 - Fire Suppression</t>
  </si>
  <si>
    <t>21 00 00 - Fire Suppression</t>
  </si>
  <si>
    <t>21 10 00 - Water-Based Fire-Suppression Systems</t>
  </si>
  <si>
    <t>21 20 00 - Fire-Extinguishing Systems</t>
  </si>
  <si>
    <t>21 30 00 - Fire Pumps</t>
  </si>
  <si>
    <t>21 40 00 - Fire Suppression Water Storage</t>
  </si>
  <si>
    <t>Division 22 - Plumbing</t>
  </si>
  <si>
    <t>22 00 00 - Plumbing</t>
  </si>
  <si>
    <t>22 10 00 - Plumbing Piping</t>
  </si>
  <si>
    <t>22 30 00 - Plumbing Equipment</t>
  </si>
  <si>
    <t>22 40 00 - Plumbing Fixtures</t>
  </si>
  <si>
    <t>22 50 00 - Pool and Fountain Plumbing Systems</t>
  </si>
  <si>
    <t>22 60 00 - Gas and Vacuum Systems for Laboratory and Healthcare Facilities</t>
  </si>
  <si>
    <t>Division 23 - Heating, Ventilating, and Air Conditioning (HVAC)</t>
  </si>
  <si>
    <t>23 00 00 - Heating, Ventilating, and Air Conditioning (HVAC)</t>
  </si>
  <si>
    <t>23 10 00 - Facility Fuel Systems</t>
  </si>
  <si>
    <t>23 20 00 - HVAC Piping and Pumps</t>
  </si>
  <si>
    <t>23 30 00 - HVAC Air Distribution</t>
  </si>
  <si>
    <t>23 40 00 - HVAC Air Cleaning Devices</t>
  </si>
  <si>
    <t>23 50 00 - Central Heating Equipment</t>
  </si>
  <si>
    <t>23 60 00 - Central Cooling Equipment</t>
  </si>
  <si>
    <t>23 70 00 - Central HVAC Equipment</t>
  </si>
  <si>
    <t>23 80 00 - Decentralized HVAC Equipment</t>
  </si>
  <si>
    <t>Division 25 - Integrated Automation</t>
  </si>
  <si>
    <t>25 00 00 - Integrated Automation</t>
  </si>
  <si>
    <t>25 10 00 - Integrated Automation Network Equipment</t>
  </si>
  <si>
    <t>25 30 00 - Integrated Automation Instrumentation and Terminal Devices</t>
  </si>
  <si>
    <t>25 50 00 - Integrated Automation Facility Controls</t>
  </si>
  <si>
    <t>25 90 00 - Integrated Automation Control Sequences</t>
  </si>
  <si>
    <t>Division 26 - Electrical</t>
  </si>
  <si>
    <t>26 00 00 - Electrical</t>
  </si>
  <si>
    <t>26 10 00 - Medium-Voltage Electrical Distribution</t>
  </si>
  <si>
    <t>26 20 00 - Low-Voltage Electrical Transmission</t>
  </si>
  <si>
    <t>26 30 00 - Facility Electrical Power Generating and Storing Equipment</t>
  </si>
  <si>
    <t>26 40 00 - Electrical and Cathodic Protection</t>
  </si>
  <si>
    <t>26 50 00 - Lighting</t>
  </si>
  <si>
    <t>Division 27 - Communications</t>
  </si>
  <si>
    <t>27 00 00 - Communications</t>
  </si>
  <si>
    <t>27 10 00 - Structured Cabling</t>
  </si>
  <si>
    <t>27 20 00 - Data Communications</t>
  </si>
  <si>
    <t>27 30 00 - Voice Communications</t>
  </si>
  <si>
    <t>27 40 00 - Audio-Video Communications</t>
  </si>
  <si>
    <t>27 50 00 - Distributed Communications and Monitoring Systems</t>
  </si>
  <si>
    <t>Division 28 - Electronic Safety and Security</t>
  </si>
  <si>
    <t>28 00 00 - Electronic Safety and Security</t>
  </si>
  <si>
    <t>28 10 00 - Electronic Access Control and Intrusion Detection</t>
  </si>
  <si>
    <t>28 20 00 - Electronic Surveillance</t>
  </si>
  <si>
    <t>28 30 00 - Electronic Detection and Alarm</t>
  </si>
  <si>
    <t>28 40 00 - Electronic Monitoring and Control</t>
  </si>
  <si>
    <t>Division 31 - Earthwork (On-Site - Site Work)</t>
  </si>
  <si>
    <t>31 00 00 - Earthwork</t>
  </si>
  <si>
    <t>31 10 00 - Site Clearing</t>
  </si>
  <si>
    <t>31 20 00 - Earth Moving</t>
  </si>
  <si>
    <t>31 30 00 - Earthwork Methods</t>
  </si>
  <si>
    <t>31 40 00 - Shoring and Underpinning</t>
  </si>
  <si>
    <t>31 50 00 - Excavation Support and Protection</t>
  </si>
  <si>
    <t>31 60 00 - Special Foundations and Load-Bearing Elements</t>
  </si>
  <si>
    <t>31 70 00 - Tunneling and Mining</t>
  </si>
  <si>
    <t>Division 32 - Exterior Improvements (Off-Site - Site Work)</t>
  </si>
  <si>
    <t>32 00 00 - Exterior Improvements</t>
  </si>
  <si>
    <t>32 10 00 - Bases, Ballasts, and Paving</t>
  </si>
  <si>
    <t>32 30 00 - Site Improvements</t>
  </si>
  <si>
    <t>32 70 00 - Wetlands</t>
  </si>
  <si>
    <t>32 80 00 - Irrigation</t>
  </si>
  <si>
    <t>32 90 00 - Planting</t>
  </si>
  <si>
    <t>Division 33 - Utilities</t>
  </si>
  <si>
    <t>33 00 00 - Utilities</t>
  </si>
  <si>
    <t>33 10 00 - Water Utilities</t>
  </si>
  <si>
    <t>33 20 00 - Wells</t>
  </si>
  <si>
    <t>33 30 00 - Sanitary Sewerage Utilities</t>
  </si>
  <si>
    <t>33 40 00 - Storm Drainage Utilities</t>
  </si>
  <si>
    <t>33 50 00 - Fuel Distribution Utilities</t>
  </si>
  <si>
    <t>33 60 00 - Hydronic and Steam Energy Utilities</t>
  </si>
  <si>
    <t>33 70 00 - Electrical Utilities</t>
  </si>
  <si>
    <t>33 80 00 - Communications Utilities</t>
  </si>
  <si>
    <t>Total Primary Construction Contract Amount</t>
  </si>
  <si>
    <t>Escalation (Enter %)</t>
  </si>
  <si>
    <t>Owner's Construction Contingency (Enter %)</t>
  </si>
  <si>
    <t>Owner's Construction Contract Amount</t>
  </si>
  <si>
    <t>TOTAL</t>
  </si>
  <si>
    <t>Rehab Costs</t>
  </si>
  <si>
    <t>Commercial
(if applicable)</t>
  </si>
  <si>
    <t>Cost / gross sq. ft.</t>
  </si>
  <si>
    <t>Cost per unit</t>
  </si>
  <si>
    <t>A - Substructure</t>
  </si>
  <si>
    <t>A10 - Foundations</t>
  </si>
  <si>
    <t>A1010 - Standard Foundations</t>
  </si>
  <si>
    <t>A1020 - Special Foundations</t>
  </si>
  <si>
    <t>A1030 - Slab on Grade</t>
  </si>
  <si>
    <t>A20 - Basement Construction OR Subgrade Enclosures</t>
  </si>
  <si>
    <t>A2010 - Basement Excavation</t>
  </si>
  <si>
    <t>A2020 - Basement Walls</t>
  </si>
  <si>
    <t>Subtotal Substructure</t>
  </si>
  <si>
    <t>B - Shell</t>
  </si>
  <si>
    <t>B10 - Superstructure</t>
  </si>
  <si>
    <t>B1010 - Floor Construction</t>
  </si>
  <si>
    <t>B1020 - Roof Construction</t>
  </si>
  <si>
    <t>B20 - Exterior Enclosure</t>
  </si>
  <si>
    <t>B2010 - Exterior Walls</t>
  </si>
  <si>
    <t>B2020 - Exterior Windows</t>
  </si>
  <si>
    <t>B2030 - Exterior Doors</t>
  </si>
  <si>
    <t>B30 - Roofing</t>
  </si>
  <si>
    <t>B3010 - Roof Coverings</t>
  </si>
  <si>
    <t>B3020 - Roof Openings</t>
  </si>
  <si>
    <t>Subtotal Shell</t>
  </si>
  <si>
    <t>C - Interiors</t>
  </si>
  <si>
    <t>C10 - Interior Construction</t>
  </si>
  <si>
    <t>C1010 - Partitions</t>
  </si>
  <si>
    <t>C1020 - Interior Doors</t>
  </si>
  <si>
    <t>C1030 - Fittings</t>
  </si>
  <si>
    <t>C20 - Stairs</t>
  </si>
  <si>
    <t>C2010 - Stair Construction</t>
  </si>
  <si>
    <t>C2020 - Stair Finishes</t>
  </si>
  <si>
    <t>C30 - Interior Finishes</t>
  </si>
  <si>
    <t>C3010 - Wall Finishes</t>
  </si>
  <si>
    <t>C3020 - Floor Finishes</t>
  </si>
  <si>
    <t>C3030 - Ceiling Finishes</t>
  </si>
  <si>
    <t>Subtotal Interiors</t>
  </si>
  <si>
    <t>D - Services</t>
  </si>
  <si>
    <t>D10 - Conveying</t>
  </si>
  <si>
    <t>D1010 - Elevators &amp; Lifts</t>
  </si>
  <si>
    <t>D1020 - Escalators &amp; Moving Walks</t>
  </si>
  <si>
    <t>D1090 - Other Conveying Systems</t>
  </si>
  <si>
    <t>D20 - Plumbing</t>
  </si>
  <si>
    <t>D2010 - Plumbing Fixtures</t>
  </si>
  <si>
    <t>D2020 - Domestic Water Distribution</t>
  </si>
  <si>
    <t>D2030 - Sanitary Waste</t>
  </si>
  <si>
    <t>D2040 - Rain Water Drainage</t>
  </si>
  <si>
    <t>D2090 - Other Plumbing Systems</t>
  </si>
  <si>
    <t>D30 - HVAC</t>
  </si>
  <si>
    <t>D3010 - Supply</t>
  </si>
  <si>
    <t>D3020 - Heat Generating Systems</t>
  </si>
  <si>
    <t>D3030 - Cooling Generating Systems</t>
  </si>
  <si>
    <t>D3040 - Distribution Systems</t>
  </si>
  <si>
    <t>D3050 - Terminal &amp; Package Units</t>
  </si>
  <si>
    <t>D3060 - Controls &amp; Instrumentation</t>
  </si>
  <si>
    <t>D3070 - Systems Testing &amp; Balancing</t>
  </si>
  <si>
    <t>D3090 - Other HVAC Systems &amp; Equipment</t>
  </si>
  <si>
    <t>D40 - Fire Protection</t>
  </si>
  <si>
    <t>D4010 - Sprinklers</t>
  </si>
  <si>
    <t>D4020 - Standpipes</t>
  </si>
  <si>
    <t>D4030 - Fire Protection Specialties</t>
  </si>
  <si>
    <t>D4090 - Other Fire Protection Systems</t>
  </si>
  <si>
    <t>D50 - Electrical</t>
  </si>
  <si>
    <t>D5010 - Electrical Service &amp; Distribution</t>
  </si>
  <si>
    <t>D5020 - Lighting and Branch Wiring</t>
  </si>
  <si>
    <t>D5030 - Communications &amp; Security</t>
  </si>
  <si>
    <t>D5090 - Other Electrical Systems</t>
  </si>
  <si>
    <t>Subtotal Services</t>
  </si>
  <si>
    <t>E - Equipment &amp; Furnishings</t>
  </si>
  <si>
    <t>E10 - Equipment</t>
  </si>
  <si>
    <t>E1010 - Commercial Equipment</t>
  </si>
  <si>
    <t>E1020 - Institutional Equipment</t>
  </si>
  <si>
    <t>E1030 - Vehicular Equipment</t>
  </si>
  <si>
    <t>E1060 - Residential Equipment (Appliances)</t>
  </si>
  <si>
    <t>E1090 - Other Equipment</t>
  </si>
  <si>
    <t>E20 - Furnishings</t>
  </si>
  <si>
    <t>E2010 - Fixed Furnishings</t>
  </si>
  <si>
    <t>E2020 - Movable Furnishings</t>
  </si>
  <si>
    <t>Subtotal Equipment &amp; Furnishings</t>
  </si>
  <si>
    <t>F - Special Construction &amp; 
Demolition</t>
  </si>
  <si>
    <t>F10 - Special Construction</t>
  </si>
  <si>
    <t>F1010 - Special Structures</t>
  </si>
  <si>
    <t>F1020 - Integrated Construction</t>
  </si>
  <si>
    <t>F1030 - Special Construction Systems</t>
  </si>
  <si>
    <t>F1040 - Special Facilities</t>
  </si>
  <si>
    <t>F1050 - Special Controls and Instrumentation</t>
  </si>
  <si>
    <t>F20 - Selective Building Demolition</t>
  </si>
  <si>
    <t>F2010 - Building Elements Demolition</t>
  </si>
  <si>
    <t>F2020 - Hazardous Components Abatement</t>
  </si>
  <si>
    <t>Subtotal Special Construction &amp; Demolition</t>
  </si>
  <si>
    <t>G - Off-Site
Sitework</t>
  </si>
  <si>
    <t>Off-G10 - Site Preparation</t>
  </si>
  <si>
    <t>G1010 - Site Clearing</t>
  </si>
  <si>
    <t>G1020 - Site Demolition and Relocations</t>
  </si>
  <si>
    <t>G1030 - Site Earthwork</t>
  </si>
  <si>
    <t>G1040 - Hazardous Waste Remediation</t>
  </si>
  <si>
    <t>Off-G20 - Site Improvements</t>
  </si>
  <si>
    <t>G2010 - Roadways</t>
  </si>
  <si>
    <t>G2020 - Parking Lots</t>
  </si>
  <si>
    <t>G2030 - Pedestrian Paving</t>
  </si>
  <si>
    <t>G2040 - Site Development</t>
  </si>
  <si>
    <t>G2050 - Landscaping</t>
  </si>
  <si>
    <t>Off-G30 - Site Mechanical Utilities</t>
  </si>
  <si>
    <t>G3010 - Water Supply</t>
  </si>
  <si>
    <t>G3020 - Sanitary Sewer</t>
  </si>
  <si>
    <t>G3030 - Storm Sewer</t>
  </si>
  <si>
    <t>G3040 - Heating Distribution</t>
  </si>
  <si>
    <t>G3050 - Cooling Distribution</t>
  </si>
  <si>
    <t>G3060 - Fuel Distribution</t>
  </si>
  <si>
    <t>G3090 - Other Site Mechanical Utilities</t>
  </si>
  <si>
    <t>Off-G40 - Site Electrical Utilities</t>
  </si>
  <si>
    <t>G4010 - Electrical Distribution</t>
  </si>
  <si>
    <t>G4020 - Site Lighting</t>
  </si>
  <si>
    <t>G4030 - Site Communications &amp; Security</t>
  </si>
  <si>
    <t>G4090 - Other Site Mechanical Utilities</t>
  </si>
  <si>
    <t>Off-G90 - Other Site Construction</t>
  </si>
  <si>
    <t>G9010 - Service and Pedestrian Tunnels</t>
  </si>
  <si>
    <t>G9090 - Other Site Systems &amp; Equipment</t>
  </si>
  <si>
    <t>Subtotal Off-Site Construction</t>
  </si>
  <si>
    <t>On-Site - 
Sitework</t>
  </si>
  <si>
    <t>On-G10 - Site Preparation</t>
  </si>
  <si>
    <t>On-G20 - Site Improvements</t>
  </si>
  <si>
    <t>Update to AIA references for all categories</t>
  </si>
  <si>
    <t>On-G30 - Site Mechanical Utilities</t>
  </si>
  <si>
    <t>Look at the differences between OR SOV and ARPA SOV</t>
  </si>
  <si>
    <t>Tie it to Construction Budget</t>
  </si>
  <si>
    <t>On-G40 - Site Electrical Utilities</t>
  </si>
  <si>
    <t>On-G90 - Other Site Construction</t>
  </si>
  <si>
    <t>Subtotal On-Site Construction</t>
  </si>
  <si>
    <t>Z - General</t>
  </si>
  <si>
    <t>Z10 - General Requirements</t>
  </si>
  <si>
    <t>Z1010 - Price and Payment Procedures</t>
  </si>
  <si>
    <t>Z1020 - Administrative Requirements</t>
  </si>
  <si>
    <t>Z1040 - Quality Requirements</t>
  </si>
  <si>
    <t>Z1050 - Temporary Facilities and Controls</t>
  </si>
  <si>
    <t>Z1060 - Product Requirements</t>
  </si>
  <si>
    <t>Z1070 - Execution and Closeout Requirements</t>
  </si>
  <si>
    <t>Z1090 - Life Cycle Activities</t>
  </si>
  <si>
    <t>Z70 Taxes, Permits Insurance &amp; Bonds</t>
  </si>
  <si>
    <t>Z7010 - Taxes</t>
  </si>
  <si>
    <t>Z7030 - License Fees</t>
  </si>
  <si>
    <t>Z7050 - Permit Costs</t>
  </si>
  <si>
    <t>Z7060 - Insurance</t>
  </si>
  <si>
    <t>Z7070 - Bond Fees</t>
  </si>
  <si>
    <t>Z90 Fees and Contingencies</t>
  </si>
  <si>
    <t>Z9010 - Overhead</t>
  </si>
  <si>
    <t>Z9030 - Profit</t>
  </si>
  <si>
    <t xml:space="preserve">Z9050 - GC's Construction Contingencies </t>
  </si>
  <si>
    <t>Z9060 - General Conditions (not duplicative of general requirements)</t>
  </si>
  <si>
    <t>Z9090 - Financing Costs</t>
  </si>
  <si>
    <t>Subtotal General Contractor</t>
  </si>
  <si>
    <t>Note: On Budget Uses page, these items will be distributed evenly across site.</t>
  </si>
  <si>
    <t>Owners Construction Contingency (Enter %)</t>
  </si>
  <si>
    <t>Owners Construction Contract Amount</t>
  </si>
  <si>
    <t>Please explain how you arrived to your escalation percentage and why you think it will be sufficient based on your planned construction date.</t>
  </si>
  <si>
    <t>Development Budget</t>
  </si>
  <si>
    <t>Pro-rata Share</t>
  </si>
  <si>
    <t>New Construction Portion</t>
  </si>
  <si>
    <t>TOTAL COST</t>
  </si>
  <si>
    <t>RESIDENTIAL CONSTRUCTION COSTS</t>
  </si>
  <si>
    <r>
      <t xml:space="preserve">COMMERICAL BUILDING COSTS
</t>
    </r>
    <r>
      <rPr>
        <b/>
        <i/>
        <sz val="10"/>
        <color theme="0"/>
        <rFont val="Calibri"/>
        <family val="2"/>
        <scheme val="minor"/>
      </rPr>
      <t>(Costs excluded from basis)</t>
    </r>
  </si>
  <si>
    <t>COMMERICAL BUILDING COSTS</t>
  </si>
  <si>
    <r>
      <rPr>
        <b/>
        <sz val="12"/>
        <color rgb="FFFFFFFF"/>
        <rFont val="Calibri"/>
        <family val="2"/>
        <scheme val="minor"/>
      </rPr>
      <t xml:space="preserve">ELIGIBLE BASIS COSTS
</t>
    </r>
    <r>
      <rPr>
        <b/>
        <i/>
        <sz val="10"/>
        <color rgb="FFFFFFFF"/>
        <rFont val="Calibri"/>
        <family val="2"/>
        <scheme val="minor"/>
      </rPr>
      <t>(for HTC projects only)</t>
    </r>
  </si>
  <si>
    <t>COST/SQ FT
GROSS BUILDING</t>
  </si>
  <si>
    <t>COST/UNIT</t>
  </si>
  <si>
    <t>Rehab Portion</t>
  </si>
  <si>
    <t>Total units</t>
  </si>
  <si>
    <t>ACQUISITION</t>
  </si>
  <si>
    <t>Note: Mike will ensure formulas are same between 9%, 4%, State, etc.</t>
  </si>
  <si>
    <t>Hard/Construction Costs</t>
  </si>
  <si>
    <t>F - Special Construction &amp; Demolition</t>
  </si>
  <si>
    <t>Z - General / Indirect Costs</t>
  </si>
  <si>
    <t>Escalation</t>
  </si>
  <si>
    <t>Accessory Buildings (Garage, storage, etc.)</t>
  </si>
  <si>
    <t>Personal Property / Furniture, Fixtures, &amp; Equipment</t>
  </si>
  <si>
    <t>Off-Site - Site Work</t>
  </si>
  <si>
    <t>On-Site - Site Work</t>
  </si>
  <si>
    <t>&lt;= Nice to have: calculate required fees</t>
  </si>
  <si>
    <t>Draw Schedule Int Est:</t>
  </si>
  <si>
    <t xml:space="preserve">Soils Geotech Report / Soil Borings Expense </t>
  </si>
  <si>
    <t>Water, Sewer, and Impact Fees</t>
  </si>
  <si>
    <r>
      <t xml:space="preserve">Mortgage Payoff - </t>
    </r>
    <r>
      <rPr>
        <b/>
        <sz val="10"/>
        <color rgb="FF000000"/>
        <rFont val="Calibri"/>
        <family val="2"/>
        <scheme val="minor"/>
      </rPr>
      <t>N/A for Tax Credit Application</t>
    </r>
  </si>
  <si>
    <t>Dev. Fee Subtotal</t>
  </si>
  <si>
    <t>Acq Fee</t>
  </si>
  <si>
    <t>TC Type:</t>
  </si>
  <si>
    <t>If Acq/Rehab</t>
  </si>
  <si>
    <t>New Const</t>
  </si>
  <si>
    <t>If 4% deal</t>
  </si>
  <si>
    <t>Rest of Dev Fee</t>
  </si>
  <si>
    <t>Is Tab13 Blank?</t>
  </si>
  <si>
    <t>Is State TC (Tab3) Blank?</t>
  </si>
  <si>
    <t>Is App1?</t>
  </si>
  <si>
    <t>State Tab Tab13</t>
  </si>
  <si>
    <t>s</t>
  </si>
  <si>
    <t>Federal 9%</t>
  </si>
  <si>
    <t>Federal 4%</t>
  </si>
  <si>
    <t>TEST DATA</t>
  </si>
  <si>
    <t>Total Costs</t>
  </si>
  <si>
    <t>Link Pricing to Funding Sources</t>
  </si>
  <si>
    <t>Tab13 State TC Size:</t>
  </si>
  <si>
    <t>Size Fed TC for App2/3 State + Fed 4% Deals:</t>
  </si>
  <si>
    <t>Tab 3 State TC Size:</t>
  </si>
  <si>
    <t>State 4% Annual Credit Award from Reservation Agreement</t>
  </si>
  <si>
    <t>Multiplied by Investor Ownership Percentage</t>
  </si>
  <si>
    <t>Multiplied by Price Per State Housing Tax Credit</t>
  </si>
  <si>
    <t>Multiplied by Number of Years Credits are Claimed</t>
  </si>
  <si>
    <t>State Tax Credit Equity Amount</t>
  </si>
  <si>
    <t>Credit Percentage Month</t>
  </si>
  <si>
    <t xml:space="preserve">Total Equity Gap </t>
  </si>
  <si>
    <t>Tax Credits at Estimated Rate</t>
  </si>
  <si>
    <t>Pricing per credits</t>
  </si>
  <si>
    <t>Total Federal Project Eligible Tax Credits</t>
  </si>
  <si>
    <t>State Hidden Fields</t>
  </si>
  <si>
    <t>Federal Hidden Fees</t>
  </si>
  <si>
    <t>Divided by 0.9999 Investor Ownership</t>
  </si>
  <si>
    <t>Fed 4% Amount</t>
  </si>
  <si>
    <t>Fed 4% Resized</t>
  </si>
  <si>
    <t>Fed 4% TC Size</t>
  </si>
  <si>
    <t>sum(</t>
  </si>
  <si>
    <t>Investor Ownership Interest</t>
  </si>
  <si>
    <t>Credits Calculated by:</t>
  </si>
  <si>
    <t>Eligible Basis Calculation</t>
  </si>
  <si>
    <t>Equity Gap Calculation</t>
  </si>
  <si>
    <t>Lower of Calculations</t>
  </si>
  <si>
    <t>Other adjustments*</t>
  </si>
  <si>
    <t>Credit Amount</t>
  </si>
  <si>
    <t>Applicant Notes / Remarks concerning Project Costs</t>
  </si>
  <si>
    <t>Credit Calculation</t>
  </si>
  <si>
    <t>Federal Tax Credit Calculation</t>
  </si>
  <si>
    <t>State Tax Credit Calculation</t>
  </si>
  <si>
    <t>Acquisition Credit</t>
  </si>
  <si>
    <t>LI Units</t>
  </si>
  <si>
    <t>LI Sq Ft</t>
  </si>
  <si>
    <t>Acquisition Price</t>
  </si>
  <si>
    <t>Mkt Units</t>
  </si>
  <si>
    <t>Mkt Sq Ft</t>
  </si>
  <si>
    <t>Emp Units</t>
  </si>
  <si>
    <t>Emp Sq Ft</t>
  </si>
  <si>
    <t>Qualified Basis</t>
  </si>
  <si>
    <t>Units AF</t>
  </si>
  <si>
    <t>Sq Ft AF</t>
  </si>
  <si>
    <t>Potential Annual Acquisition Credit</t>
  </si>
  <si>
    <t>Potential Annual Credit</t>
  </si>
  <si>
    <t>Federal Eligible Basis Credit Calculation</t>
  </si>
  <si>
    <t>State Eligible Basis Credit Calculation</t>
  </si>
  <si>
    <t>Initial Eligible Basis</t>
  </si>
  <si>
    <t>Less: Building Acquisition</t>
  </si>
  <si>
    <t>Less: Acquisition Credit</t>
  </si>
  <si>
    <t>Less: Other Credits</t>
  </si>
  <si>
    <t>Less: Historic Tax Basis (enter as Negative number)</t>
  </si>
  <si>
    <t>Less: Grants</t>
  </si>
  <si>
    <t>Adjusted Eligible Building Basis</t>
  </si>
  <si>
    <t>QCT/DDA Boost</t>
  </si>
  <si>
    <t>Boost %</t>
  </si>
  <si>
    <t>HFA Boost</t>
  </si>
  <si>
    <t>Potential Federal Annual Credit - Eligible Basis Calc.</t>
  </si>
  <si>
    <t>Potential State Annual Credit - Eligible Basis Calc</t>
  </si>
  <si>
    <t>Equity Gap Method</t>
  </si>
  <si>
    <t>Equity Gap Method - State Credit</t>
  </si>
  <si>
    <t>Total Residential Project Costs</t>
  </si>
  <si>
    <t>Less Loans:</t>
  </si>
  <si>
    <t>Less Grants:</t>
  </si>
  <si>
    <t>Less Historic Rehab Credits Equity</t>
  </si>
  <si>
    <t>Less - Acq. Credits Equity</t>
  </si>
  <si>
    <t>Less - Fed. Credits Equity</t>
  </si>
  <si>
    <t>Number of Years The Credits are Claimed</t>
  </si>
  <si>
    <t>Gap Divided by Years</t>
  </si>
  <si>
    <t>Gap Divided by Equity Pricing</t>
  </si>
  <si>
    <t>Other Adjustments</t>
  </si>
  <si>
    <r>
      <rPr>
        <sz val="11"/>
        <color rgb="FF000000"/>
        <rFont val="Calibri"/>
        <family val="2"/>
        <scheme val="minor"/>
      </rPr>
      <t>Maximum Annual Credits</t>
    </r>
    <r>
      <rPr>
        <b/>
        <sz val="11"/>
        <color rgb="FF000000"/>
        <rFont val="Calibri"/>
        <family val="2"/>
        <scheme val="minor"/>
      </rPr>
      <t xml:space="preserve"> (9% Applications Only)</t>
    </r>
  </si>
  <si>
    <t>Maximum Annual Credits</t>
  </si>
  <si>
    <t xml:space="preserve">Equity Gap issue on the bonus credits. Could produce a circular issue. </t>
  </si>
  <si>
    <r>
      <rPr>
        <b/>
        <sz val="11"/>
        <color theme="1"/>
        <rFont val="Calibri"/>
        <family val="2"/>
        <scheme val="minor"/>
      </rPr>
      <t>Boost</t>
    </r>
    <r>
      <rPr>
        <sz val="11"/>
        <color theme="1"/>
        <rFont val="Calibri"/>
        <family val="2"/>
        <scheme val="minor"/>
      </rPr>
      <t xml:space="preserve">: See Appendix E of the HTC application for a list of QCTs and DDAs. WHEDA will provide periodic guidance to applicants regarding the maximum QCT basis boost that may be requested by applicants. Projects are required to comply. </t>
    </r>
  </si>
  <si>
    <r>
      <rPr>
        <b/>
        <sz val="11"/>
        <color theme="1"/>
        <rFont val="Calibri"/>
        <family val="2"/>
        <scheme val="minor"/>
      </rPr>
      <t xml:space="preserve">Maximum Credit Request: </t>
    </r>
    <r>
      <rPr>
        <sz val="11"/>
        <color theme="1"/>
        <rFont val="Calibri"/>
        <family val="2"/>
        <scheme val="minor"/>
      </rPr>
      <t>Refer to QAP and FAQ for guidance found at WHEDA.com</t>
    </r>
  </si>
  <si>
    <t>Project Operations (Year One)</t>
  </si>
  <si>
    <t xml:space="preserve">                                                                Subtotal: Rent Expense</t>
  </si>
  <si>
    <t xml:space="preserve">                                   Subtotal: Administrative Expenses</t>
  </si>
  <si>
    <t xml:space="preserve">                                                      Subtotal: Utilities Expenses</t>
  </si>
  <si>
    <t>Vehicle / Maintenance Equipment Operation &amp; Repairs</t>
  </si>
  <si>
    <t xml:space="preserve">                                   Subtotal: Operating &amp; Maintenance Expenses</t>
  </si>
  <si>
    <t>Fidelity Bond Insurance</t>
  </si>
  <si>
    <t>Miscellaneous Taxes, Licenses, Permits, and Insurance</t>
  </si>
  <si>
    <t>Subtotal: Taxes and Insurance</t>
  </si>
  <si>
    <t>Registered Nurse Salary</t>
  </si>
  <si>
    <t>Totals</t>
  </si>
  <si>
    <t>Remarks concerning Projected Operating Costs:</t>
  </si>
  <si>
    <t>Internal Use Only</t>
  </si>
  <si>
    <t>Cash Flow &amp; Replacement Reserves</t>
  </si>
  <si>
    <t>Projected Cash Flow (Year One)</t>
  </si>
  <si>
    <t xml:space="preserve">NOTES: </t>
  </si>
  <si>
    <t>• If the project funding sources include soft debt / Cash Flow dependent loans, please complete the "Cash Flow Dependent Loans" section beginning in row 119 of this tab.</t>
  </si>
  <si>
    <t>• See Appendix D: Underwriting Criteria for a complete overview of all Housing Tax Credit underwriting requirements.</t>
  </si>
  <si>
    <t>Inflation Rate</t>
  </si>
  <si>
    <t>Vacancy Assumption</t>
  </si>
  <si>
    <t>Growth Assumption %</t>
  </si>
  <si>
    <t>Gross rental income</t>
  </si>
  <si>
    <t>Gross rental income
(from Unit Mix - Total Monthly Rent)</t>
  </si>
  <si>
    <t>Commercial Income</t>
  </si>
  <si>
    <t>Include Commercial Income in Project DCR?*</t>
  </si>
  <si>
    <t>Parking</t>
  </si>
  <si>
    <t>Laundry and Vending</t>
  </si>
  <si>
    <t>Misc. Income (specify in Applicant Notes):</t>
  </si>
  <si>
    <t xml:space="preserve">Will TIF be Monetized? </t>
  </si>
  <si>
    <t>TIF Increment Revenue</t>
  </si>
  <si>
    <t>Other  (specify Below):</t>
  </si>
  <si>
    <t>Total Gross Income Potential at 100% Occupancy</t>
  </si>
  <si>
    <t>Vacancy Allowance - Rental Income</t>
  </si>
  <si>
    <t>Vacancy Allowance - Commercial Income</t>
  </si>
  <si>
    <t>Vacancy Allowance - Additional Revenue</t>
  </si>
  <si>
    <t>NET RENTAL/OTHER INCOME</t>
  </si>
  <si>
    <t>TOTAL OPERATING EXPENSES</t>
  </si>
  <si>
    <t>NET OPERATING INCOME</t>
  </si>
  <si>
    <t>DEBT SERVICE</t>
  </si>
  <si>
    <t>NET CASH FLOW</t>
  </si>
  <si>
    <t>DEBT COVERAGE RATIO
(Minimum of 1.15)</t>
  </si>
  <si>
    <t>Other Administrative Exp</t>
  </si>
  <si>
    <t>Operating &amp; Maintenance Exp</t>
  </si>
  <si>
    <t xml:space="preserve">*Note: Commercial Income cannot be included in the Debt Service Coverage Ratio at initial HTC Application </t>
  </si>
  <si>
    <t>Include and calculate other estimated non-rental income sources below:</t>
  </si>
  <si>
    <r>
      <rPr>
        <sz val="11"/>
        <color rgb="FF000000"/>
        <rFont val="Calibri"/>
        <family val="2"/>
      </rPr>
      <t xml:space="preserve">Explanation of </t>
    </r>
    <r>
      <rPr>
        <b/>
        <u/>
        <sz val="11"/>
        <color rgb="FF000000"/>
        <rFont val="Calibri"/>
        <family val="2"/>
      </rPr>
      <t>Other Income:       Percent of Gross Revenue =</t>
    </r>
  </si>
  <si>
    <t>35-Year Cash Flow</t>
  </si>
  <si>
    <t>Cash Flow Assumptions</t>
  </si>
  <si>
    <t>Beginning Year</t>
  </si>
  <si>
    <t>Completion Year-Assumes 12 months</t>
  </si>
  <si>
    <t>Cashflow by Year</t>
  </si>
  <si>
    <t>Gross Potential Income: (Excluding TIF &amp; Other)</t>
  </si>
  <si>
    <t>Other Income Source</t>
  </si>
  <si>
    <t>Vacancy Allowance - Parking</t>
  </si>
  <si>
    <t>Vacancy Allowance - Laundry and Vending</t>
  </si>
  <si>
    <t>Vacancy Allowance - Misc. Income</t>
  </si>
  <si>
    <t>Vacancy Allowance - Other</t>
  </si>
  <si>
    <t>Total Vacancy</t>
  </si>
  <si>
    <t>Effective Gross Income:</t>
  </si>
  <si>
    <t>Operating Expenses by Year</t>
  </si>
  <si>
    <t>Management Fees</t>
  </si>
  <si>
    <t>Other Administrative Exp (Less Mgmt Fees)</t>
  </si>
  <si>
    <t>Other Taxes and Insurance</t>
  </si>
  <si>
    <t>Net Operating Income by Year</t>
  </si>
  <si>
    <t>Effective Gross Income, After Reserve</t>
  </si>
  <si>
    <t>Overview of Must Pay Debt</t>
  </si>
  <si>
    <t>Loan Term</t>
  </si>
  <si>
    <t>Total Owed Amnt</t>
  </si>
  <si>
    <t>DCR</t>
  </si>
  <si>
    <t>Cash Flow Remaining-1st Mortgage</t>
  </si>
  <si>
    <t>Investor Asset Management Fee</t>
  </si>
  <si>
    <t>Cash Flow Remaining After 1st Mortgage and AM Fee</t>
  </si>
  <si>
    <t>Cash Flow Remaining</t>
  </si>
  <si>
    <r>
      <rPr>
        <b/>
        <u/>
        <sz val="10"/>
        <color rgb="FFFFFFFF"/>
        <rFont val="Calibri"/>
        <family val="2"/>
        <scheme val="minor"/>
      </rPr>
      <t xml:space="preserve">Cashflow Dependent Loans                                                                                                                                                                                                                                                                                                                                                                                                                                                                           
</t>
    </r>
    <r>
      <rPr>
        <sz val="10"/>
        <color rgb="FFFFFFFF"/>
        <rFont val="Calibri"/>
        <family val="2"/>
        <scheme val="minor"/>
      </rPr>
      <t xml:space="preserve">Please select from the Intended Payment Schedule below. Please note that if a loan is not paid off within its term, the final year will reflect a balloon payment. The options include:
     1: Full P&amp;I Payments - Treating the loan as if it was hard debt, and making "full" annual payments. If available Cash Flow is lower than the annual payment, the full remainder of Cash Flow will be used.
     2: Even Annual Payments - Input your desired annual payment amount into year 1, and this amount will be paid for the term of the loan. 
     3: Percentage of Cash Flow - Input the desired percentage of available Cash Flow that you want to put toward the loan. This percentage will be applied to each year's remaining Cash Flow, 
     and that amount will be applied as a payment to the loan.
     4: I/O - This option displays interest only payments for the life of the loan.
</t>
    </r>
    <r>
      <rPr>
        <u/>
        <sz val="10"/>
        <color rgb="FFFFFFFF"/>
        <rFont val="Calibri"/>
        <family val="2"/>
        <scheme val="minor"/>
      </rPr>
      <t xml:space="preserve">     5: Fully Customizable - This option allows you to customize each year's payment however you would like.     </t>
    </r>
    <r>
      <rPr>
        <b/>
        <u/>
        <sz val="10"/>
        <color rgb="FFFFFFFF"/>
        <rFont val="Calibri"/>
        <family val="2"/>
        <scheme val="minor"/>
      </rPr>
      <t xml:space="preserve">                                                                                                                                                                                                                                                                                                                                            </t>
    </r>
  </si>
  <si>
    <t>CF Note 1 Am</t>
  </si>
  <si>
    <t>CF Note 2 Am</t>
  </si>
  <si>
    <t>CF Note 3 Am</t>
  </si>
  <si>
    <t>Overview of Cash Flow Dependent Loans</t>
  </si>
  <si>
    <t>Current Selected</t>
  </si>
  <si>
    <t>Intended Payment Schedule?</t>
  </si>
  <si>
    <t>I/O</t>
  </si>
  <si>
    <t>Payments</t>
  </si>
  <si>
    <t>Full P&amp;I Payments</t>
  </si>
  <si>
    <t>Even Annual Payments</t>
  </si>
  <si>
    <t>Percentage of Cashflow</t>
  </si>
  <si>
    <t>Fully Customizable</t>
  </si>
  <si>
    <t>Cash Flow Remaining-9th Mortgage</t>
  </si>
  <si>
    <t>Proposed Annual Debt Service-8th Mortgage</t>
  </si>
  <si>
    <t>DCR-8th Mortgage</t>
  </si>
  <si>
    <t>Cash Flow Remaining-8th Mortgage</t>
  </si>
  <si>
    <t>Proposed Annual Debt Service-9th Mortgage</t>
  </si>
  <si>
    <t>DCR-9th Mortgage</t>
  </si>
  <si>
    <t>Deferred Developer Fee - Total</t>
  </si>
  <si>
    <t>Deferred Developer Fee Payment Calculation</t>
  </si>
  <si>
    <t>Payment Needed?</t>
  </si>
  <si>
    <t>Developer's Fee - Payment</t>
  </si>
  <si>
    <t>Developer's Fee - Remaining</t>
  </si>
  <si>
    <t>Cash Flow Remaining After Deferred Developer Fee</t>
  </si>
  <si>
    <t>TIF Payment Calculation by Year</t>
  </si>
  <si>
    <t>Tax Incremental Financing (TIF) Revenue</t>
  </si>
  <si>
    <t>Amortizing TIF Payment</t>
  </si>
  <si>
    <t>Excess Payment/TIF Sweep Payment</t>
  </si>
  <si>
    <t>Total TIF Payment</t>
  </si>
  <si>
    <t>DCR- TIF Mortgage</t>
  </si>
  <si>
    <t>Cash Flow Remaining After TIF Mortgage</t>
  </si>
  <si>
    <t xml:space="preserve">Replacement Reserve Assumptions </t>
  </si>
  <si>
    <t>Interest Rate on Reserves</t>
  </si>
  <si>
    <t>Annual Reserve Deposit</t>
  </si>
  <si>
    <t>Annual Growth Rate for Reserve Deposit</t>
  </si>
  <si>
    <t>Beginning Reserve Balance</t>
  </si>
  <si>
    <t>Replacement Reserves by Year</t>
  </si>
  <si>
    <t>Completion</t>
  </si>
  <si>
    <t xml:space="preserve">  Beginning Balance</t>
  </si>
  <si>
    <t xml:space="preserve">  Interest Earned</t>
  </si>
  <si>
    <t xml:space="preserve">  Annual Deposit</t>
  </si>
  <si>
    <t xml:space="preserve">  Estimated Disbursement</t>
  </si>
  <si>
    <t xml:space="preserve">  Est. Ending Balance</t>
  </si>
  <si>
    <t xml:space="preserve">Please further describe: </t>
  </si>
  <si>
    <t>Max Cost Model</t>
  </si>
  <si>
    <t>Instructions</t>
  </si>
  <si>
    <t xml:space="preserve">Complete all cells highlighted in green in the Questions section and review all information populated in the Information Review </t>
  </si>
  <si>
    <t xml:space="preserve">section. Confirm that the calculcated value in Cell M63 does not exceed the calculated value in cell M62. </t>
  </si>
  <si>
    <t>WHEDA limits total development cost for any one development for both HTC and lending.   This is a threshold item and applications exceeding the allowed maximum will be rejected.  Public housing authorities are exempt if they are the primary applicant and HOPE VI or Choice Neighborhood Initiative grant is a source of funds. Tribal housing authorities are exempt if they are the primary applicant and NAHASDA or similar funding is a source of funds.   Development costs attributable to Community Service Facilities and 4% transaction developer fee above the current limit for 9% transaction will be excluded from the calculation of the maximum cost.</t>
  </si>
  <si>
    <t xml:space="preserve">The model is based on historical data from Wisconsin’s HTC program and uses regression modeling with combinations of variables listed below to predict costs.  A development is limited to the Maximum Per-Unit Cost calculated below.  </t>
  </si>
  <si>
    <t>Questions</t>
  </si>
  <si>
    <t>Development costs attributable to employment-related Community Service Facility:</t>
  </si>
  <si>
    <t>Is this a rehabilitation development with per per-unit rehabilitation costs between $25,000 and $50,000?</t>
  </si>
  <si>
    <t>Is this a rehabilitation development with per per-unit rehabilitation costs in excess of $50,000?</t>
  </si>
  <si>
    <t>Does this development qualify for the Supportive Housing set-aside?</t>
  </si>
  <si>
    <t>Does this development primarily address the rehabilitation of foreclosed or abandoned single family homes or duplexes?</t>
  </si>
  <si>
    <t>Does this development primarily contain single-family homes and duplexes?</t>
  </si>
  <si>
    <t>Information Review</t>
  </si>
  <si>
    <t>Number of Acquisition-Rehab Units:</t>
  </si>
  <si>
    <t>Number of New Construction Units:</t>
  </si>
  <si>
    <t>Number of Adaptive Reuse Units:</t>
  </si>
  <si>
    <t>Total number of units in this development</t>
  </si>
  <si>
    <t>Location</t>
  </si>
  <si>
    <t>Is the development located in the City of Milwaukee?</t>
  </si>
  <si>
    <t>Milwaukee's Average (including Westlawn projects) is $54,672 over the average Cost/Unit</t>
  </si>
  <si>
    <t>Is the development located in the City of Madison?</t>
  </si>
  <si>
    <t>Is the development located in one of the metropolitan counties listed on the Metro Counties page (excluding City of Milwaukee and City of Madison)?</t>
  </si>
  <si>
    <t>Look at the Difference to Avg</t>
  </si>
  <si>
    <t>Is the development located on Wisconsin Tribal Lands?</t>
  </si>
  <si>
    <t>Development</t>
  </si>
  <si>
    <t>Basis</t>
  </si>
  <si>
    <t>Calcs</t>
  </si>
  <si>
    <t>NC Units</t>
  </si>
  <si>
    <t>Ad Reuse</t>
  </si>
  <si>
    <t>A/R</t>
  </si>
  <si>
    <t>Does this have new construction development?</t>
  </si>
  <si>
    <t>Does this have adaptive reuse development?</t>
  </si>
  <si>
    <t>Madison</t>
  </si>
  <si>
    <t>Gross square feet in this development</t>
  </si>
  <si>
    <t>Other Metro</t>
  </si>
  <si>
    <t>Tribal</t>
  </si>
  <si>
    <t>Developer Fee (4% Transactions Only)</t>
  </si>
  <si>
    <t>New Const.</t>
  </si>
  <si>
    <r>
      <t xml:space="preserve">For </t>
    </r>
    <r>
      <rPr>
        <b/>
        <sz val="11"/>
        <color theme="1"/>
        <rFont val="Calibri"/>
        <family val="2"/>
        <scheme val="minor"/>
      </rPr>
      <t>4% transactions</t>
    </r>
    <r>
      <rPr>
        <sz val="11"/>
        <color theme="1"/>
        <rFont val="Calibri"/>
        <family val="2"/>
        <scheme val="minor"/>
      </rPr>
      <t xml:space="preserve"> only, developer fee above the current limit for 9% transactions </t>
    </r>
  </si>
  <si>
    <t>Adapt ReUse</t>
  </si>
  <si>
    <t>Acq Rehab Low</t>
  </si>
  <si>
    <t>Calculation Review</t>
  </si>
  <si>
    <t>Acq Rehab High</t>
  </si>
  <si>
    <t>Calculated Cost Limit</t>
  </si>
  <si>
    <t>30% Allowance</t>
  </si>
  <si>
    <t>SF Homes</t>
  </si>
  <si>
    <t>Subtotal</t>
  </si>
  <si>
    <t>SqFt per Unit</t>
  </si>
  <si>
    <t>Max Basis</t>
  </si>
  <si>
    <t>Min Basis</t>
  </si>
  <si>
    <t>Max Cost</t>
  </si>
  <si>
    <t>Min Cost</t>
  </si>
  <si>
    <t>Calc Amt</t>
  </si>
  <si>
    <t>Limit</t>
  </si>
  <si>
    <t>% Units</t>
  </si>
  <si>
    <t>Weighted Limit</t>
  </si>
  <si>
    <t>Allowance for supportive housing developments and those addressing foreclosed/abandoned homes</t>
  </si>
  <si>
    <t>NC - Ad Reuse</t>
  </si>
  <si>
    <t>Acq Rehab</t>
  </si>
  <si>
    <t>Maximum Per-Unit Cost for this Development</t>
  </si>
  <si>
    <t>Actual Per-Unit Cost for this Development</t>
  </si>
  <si>
    <t>Look at Developer Fee adjustment</t>
  </si>
  <si>
    <t>About the Maximum Cost Model</t>
  </si>
  <si>
    <t xml:space="preserve">Maximum Cost Model: Provide project specific WHEDA Maximum Cost Model (Appendix F). </t>
  </si>
  <si>
    <t>Exemptions</t>
  </si>
  <si>
    <t xml:space="preserve">• </t>
  </si>
  <si>
    <t>Public Housing Authorities who are the primary applicant and evidence the intent to use Choice Neighborhood (fka: HOPE VI) as a funding source.</t>
  </si>
  <si>
    <t>Tribal Housing Authorities who are the primary applicant and evidence the intent to use NAHASDA or similar funding as a source of funds.</t>
  </si>
  <si>
    <t xml:space="preserve">Development costs attributable to employment-related Community Service Facilities (CSF) will be excluded from the calculation. The inclusion of a CSF in the project must clearly be stated within the application. </t>
  </si>
  <si>
    <t>If development is a combination of new construction and Adaptive Reuse - applicants should input total number of units as Adaptive Reuse and list as Primarily Adaptive Reuse.</t>
  </si>
  <si>
    <t>4% transactions only, If applicant has chosen the option to take a higher developer fee than the standard (see Developer Fee Policy Appendix J) any amount above the standard calculation should NOT be included in the Maximum Cost Calculation.</t>
  </si>
  <si>
    <t>NOTE:</t>
  </si>
  <si>
    <t>Closing</t>
  </si>
  <si>
    <t>Months of Const.</t>
  </si>
  <si>
    <t>Months from Close to Perm Conv</t>
  </si>
  <si>
    <t>Month</t>
  </si>
  <si>
    <t>Draw #</t>
  </si>
  <si>
    <t>Draw #1</t>
  </si>
  <si>
    <t>Draw #2</t>
  </si>
  <si>
    <t>Draw #3</t>
  </si>
  <si>
    <t>Draw #4</t>
  </si>
  <si>
    <t>Draw #5</t>
  </si>
  <si>
    <t>Draw #6</t>
  </si>
  <si>
    <t>Draw #7</t>
  </si>
  <si>
    <t>Draw #8</t>
  </si>
  <si>
    <t>Draw #9</t>
  </si>
  <si>
    <t>Draw #10</t>
  </si>
  <si>
    <t>Draw #11</t>
  </si>
  <si>
    <t>Draw #12</t>
  </si>
  <si>
    <t>Draw #13</t>
  </si>
  <si>
    <t>Draw #14</t>
  </si>
  <si>
    <t>Draw #15</t>
  </si>
  <si>
    <t>Draw #16</t>
  </si>
  <si>
    <t>Draw #17</t>
  </si>
  <si>
    <t>Draw #18</t>
  </si>
  <si>
    <t>Draw $19</t>
  </si>
  <si>
    <t>Draw #20</t>
  </si>
  <si>
    <t>Draw #21</t>
  </si>
  <si>
    <t>Draw #22</t>
  </si>
  <si>
    <t>Draw #23</t>
  </si>
  <si>
    <t>Draw #24</t>
  </si>
  <si>
    <t>Draw #25</t>
  </si>
  <si>
    <t>Draw #26</t>
  </si>
  <si>
    <t>Draw #28</t>
  </si>
  <si>
    <t>Draw #29</t>
  </si>
  <si>
    <t>Draw #30</t>
  </si>
  <si>
    <t>When Payment Due</t>
  </si>
  <si>
    <t>Monthly % Construction Complete</t>
  </si>
  <si>
    <t>Cumulative % Construction Complete</t>
  </si>
  <si>
    <t>PROJECT BUDGET</t>
  </si>
  <si>
    <t>BALANCE REMAINING</t>
  </si>
  <si>
    <t xml:space="preserve">Subtotal Site Costs </t>
  </si>
  <si>
    <t>See Row 194</t>
  </si>
  <si>
    <t>Subtotal Construction Period Costs</t>
  </si>
  <si>
    <t>Cumulative Draws</t>
  </si>
  <si>
    <t>FUNDING SOURCES</t>
  </si>
  <si>
    <t>INTERIM Construction Financing Source</t>
  </si>
  <si>
    <t>Total Amount</t>
  </si>
  <si>
    <t>Funds Debited</t>
  </si>
  <si>
    <t>Funds Credited</t>
  </si>
  <si>
    <t>Paid off</t>
  </si>
  <si>
    <t>Zero Out Balance?</t>
  </si>
  <si>
    <t>CONSTRUCTION INTEREST CALCULATION:</t>
  </si>
  <si>
    <t>Total Interest</t>
  </si>
  <si>
    <t>Interest on Permanent Financing (if applicable)</t>
  </si>
  <si>
    <t>See Funding Sources</t>
  </si>
  <si>
    <t>*</t>
  </si>
  <si>
    <t>Line Item for Construction Interest in Project Cost:</t>
  </si>
  <si>
    <t>*Note: Consider updating your line item in the Project Costs &amp; Credit Calc section titled "Construction Period Interest Pymts" with this value</t>
  </si>
  <si>
    <t>PERMANENT Financing</t>
  </si>
  <si>
    <t>Loans:</t>
  </si>
  <si>
    <t>Grants:</t>
  </si>
  <si>
    <t>Equity and Other:</t>
  </si>
  <si>
    <t>TOTAL FUNDING SOURCE - ALL</t>
  </si>
  <si>
    <t>TOTAL FUNDING SOURCE - NET OF INTERIM CONSTRUCTION</t>
  </si>
  <si>
    <t>Difference</t>
  </si>
  <si>
    <t>Cumulative Funding Sources</t>
  </si>
  <si>
    <t>Interest Calculation Loan #1</t>
  </si>
  <si>
    <t>Interest Calculation Loan #2</t>
  </si>
  <si>
    <t>Interest Calculation Loan #3</t>
  </si>
  <si>
    <t>Interest Calculation Loan #4</t>
  </si>
  <si>
    <t>Interest Calculation Loan #5</t>
  </si>
  <si>
    <t>TOTAL CONSTRUCTION PERIOD INTEREST - Loan #1</t>
  </si>
  <si>
    <t>TOTAL CONSTRUCTION PERIOD INTEREST - Loan #2</t>
  </si>
  <si>
    <t>TOTAL CONSTRUCTION PERIOD INTEREST - Loan #3</t>
  </si>
  <si>
    <t>TOTAL CONSTRUCTION PERIOD INTEREST - Loan #4</t>
  </si>
  <si>
    <t>TOTAL CONSTRUCTION PERIOD INTEREST - Loan #5</t>
  </si>
  <si>
    <t>TOTAL CONSTRUCTION PERIOD INTEREST - Permanent Financing</t>
  </si>
  <si>
    <t>CROSS CHECK - CONSTRUCTION LOAN SIZING ESTIMATE (TOTAL):</t>
  </si>
  <si>
    <t>Construction Loan Needed:</t>
  </si>
  <si>
    <t>VS. in Total Construction Loan in Project Budget</t>
  </si>
  <si>
    <t>Instructions / Scoring Summary</t>
  </si>
  <si>
    <t>Review the calculated Applicant Scores for your development on this Exhibit. You must proactively choose or decline participation in several</t>
  </si>
  <si>
    <t xml:space="preserve">scoring categories. Points will not be awarded if not requested, or if the required documentation for a category is not </t>
  </si>
  <si>
    <t xml:space="preserve">submitted, is insufficient, or is in an unacceptable form. Applicants must commit via written agreements to actions </t>
  </si>
  <si>
    <t xml:space="preserve">supporting points awarded in scoring categories. Once a development has executed a Reservation of Credit, no </t>
  </si>
  <si>
    <t xml:space="preserve">changes to the development score will be allowed. </t>
  </si>
  <si>
    <t xml:space="preserve">WHEDA will determine final point scores after reviewing information provided by applicant. If two or more applicants </t>
  </si>
  <si>
    <t xml:space="preserve">receive the same score, the application with the lowest amount of Housing Tax Credits (HTCs) per low income unit will be ranked the highest. </t>
  </si>
  <si>
    <t xml:space="preserve"> A secondary tiebreaker, if needed, will rank applications by the number of units in the project. </t>
  </si>
  <si>
    <t xml:space="preserve">All developments must score at least 75 points to be eligible for Credit. Points ending in a fraction will be rounded </t>
  </si>
  <si>
    <t xml:space="preserve">down. WHEDA reserves the right to change this threshold as it deems appropriate. </t>
  </si>
  <si>
    <t xml:space="preserve">Unless otherwise noted, for scattered site developments, two-thirds of the units must meet the scoring category </t>
  </si>
  <si>
    <t>criteria to receive points.</t>
  </si>
  <si>
    <t>WHEDA score not linked</t>
  </si>
  <si>
    <t>Scoring Categories</t>
  </si>
  <si>
    <t>Points Available</t>
  </si>
  <si>
    <t>Applicant Score</t>
  </si>
  <si>
    <t>A. Location Score</t>
  </si>
  <si>
    <t>A.1. Areas of Economic Opportunity</t>
  </si>
  <si>
    <t>A.2.  Lower Income Areas</t>
  </si>
  <si>
    <t>A.3. Workforce Housing Communities</t>
  </si>
  <si>
    <t>A.4.  Rehab/Neighborhood Stabilization</t>
  </si>
  <si>
    <t>B. Tenants Served Score</t>
  </si>
  <si>
    <t>B.1.  Serves Large Families or Seniors</t>
  </si>
  <si>
    <t>B.2.  Serves Lowest-Income Residents</t>
  </si>
  <si>
    <t>B.3.  Supportive Housing</t>
  </si>
  <si>
    <t>B.4.  Veterans Housing</t>
  </si>
  <si>
    <t>C. Building Design Score</t>
  </si>
  <si>
    <t>C.1.  Energy Efficiency and Sustainability</t>
  </si>
  <si>
    <t>C.2.  Universal Design</t>
  </si>
  <si>
    <t>C.3. Eventual Tenant Ownership</t>
  </si>
  <si>
    <t>C.4. Community Service Facilities</t>
  </si>
  <si>
    <t>C.5. Additional Amenities Score</t>
  </si>
  <si>
    <t>D. Development Process Score</t>
  </si>
  <si>
    <t>D.1. Credit Efficiency</t>
  </si>
  <si>
    <t>D.2. Development Team</t>
  </si>
  <si>
    <t>D.3. Site Characteristics</t>
  </si>
  <si>
    <t>Scoring Total</t>
  </si>
  <si>
    <t>All Appendices and WHEDA forms referenced in scoring categories can be located on WHEDA’s website (www.wheda.com)</t>
  </si>
  <si>
    <t>Location Score</t>
  </si>
  <si>
    <t xml:space="preserve">Location Total Score </t>
  </si>
  <si>
    <t>Points in yellow cells are auto-calculated based on project information entered within this workbook. Green or white cells must be manually completed to request points.</t>
  </si>
  <si>
    <t>Maximum Score</t>
  </si>
  <si>
    <t>A.1 Area of Economic Opportunity (Maximum 20 Points)</t>
  </si>
  <si>
    <t>A list of census tracts/school districts that qualify points in this catgory can be found in Appendix R.</t>
  </si>
  <si>
    <t>Projects scoring points in Rehabilitation &amp; Neighborhood Stabilization cannot score points in this category.</t>
  </si>
  <si>
    <t>Rehab and Neighborhood?</t>
  </si>
  <si>
    <t>Points</t>
  </si>
  <si>
    <t>Description</t>
  </si>
  <si>
    <t>Source of data to calculate score</t>
  </si>
  <si>
    <r>
      <rPr>
        <b/>
        <u/>
        <sz val="11"/>
        <color rgb="FF000000"/>
        <rFont val="Calibri"/>
        <family val="2"/>
        <scheme val="minor"/>
      </rPr>
      <t>Median Income</t>
    </r>
    <r>
      <rPr>
        <u/>
        <sz val="11"/>
        <color rgb="FF000000"/>
        <rFont val="Calibri"/>
        <family val="2"/>
        <scheme val="minor"/>
      </rPr>
      <t xml:space="preserve"> </t>
    </r>
    <r>
      <rPr>
        <sz val="11"/>
        <color rgb="FF000000"/>
        <rFont val="Calibri"/>
        <family val="2"/>
        <scheme val="minor"/>
      </rPr>
      <t xml:space="preserve">
</t>
    </r>
    <r>
      <rPr>
        <b/>
        <sz val="11"/>
        <color rgb="FF000000"/>
        <rFont val="Calibri"/>
        <family val="2"/>
        <scheme val="minor"/>
      </rPr>
      <t>10 points</t>
    </r>
    <r>
      <rPr>
        <sz val="11"/>
        <color rgb="FF000000"/>
        <rFont val="Calibri"/>
        <family val="2"/>
        <scheme val="minor"/>
      </rPr>
      <t xml:space="preserve">: Sites in census tracts at or above 120% of County Median Income.
</t>
    </r>
    <r>
      <rPr>
        <b/>
        <sz val="11"/>
        <color rgb="FF000000"/>
        <rFont val="Calibri"/>
        <family val="2"/>
        <scheme val="minor"/>
      </rPr>
      <t xml:space="preserve">8 points: </t>
    </r>
    <r>
      <rPr>
        <sz val="11"/>
        <color rgb="FF000000"/>
        <rFont val="Calibri"/>
        <family val="2"/>
        <scheme val="minor"/>
      </rPr>
      <t>Sites in census tracts between 100% and 119% of County Median Income.</t>
    </r>
  </si>
  <si>
    <t>Appendix R.1</t>
  </si>
  <si>
    <r>
      <rPr>
        <b/>
        <u/>
        <sz val="11"/>
        <color rgb="FF000000"/>
        <rFont val="Calibri"/>
        <family val="2"/>
        <scheme val="minor"/>
      </rPr>
      <t>School District</t>
    </r>
    <r>
      <rPr>
        <b/>
        <sz val="11"/>
        <color rgb="FF000000"/>
        <rFont val="Calibri"/>
        <family val="2"/>
        <scheme val="minor"/>
      </rPr>
      <t xml:space="preserve">
5 points: </t>
    </r>
    <r>
      <rPr>
        <sz val="11"/>
        <color rgb="FF000000"/>
        <rFont val="Calibri"/>
        <family val="2"/>
        <scheme val="minor"/>
      </rPr>
      <t xml:space="preserve">Sites in school districts ranked as Significantly Exceeds Expectations by the Wisconsin Department of Public Instruction’s most recent Overall Accountability Score.
</t>
    </r>
    <r>
      <rPr>
        <b/>
        <sz val="11"/>
        <color rgb="FF000000"/>
        <rFont val="Calibri"/>
        <family val="2"/>
        <scheme val="minor"/>
      </rPr>
      <t xml:space="preserve">3 points: </t>
    </r>
    <r>
      <rPr>
        <sz val="11"/>
        <color rgb="FF000000"/>
        <rFont val="Calibri"/>
        <family val="2"/>
        <scheme val="minor"/>
      </rPr>
      <t xml:space="preserve">Sites in school districts ranked as Exceeds Expectations by the Wisconsin Department of Public Instruction’s most recent Overall Accountability Score.
</t>
    </r>
    <r>
      <rPr>
        <i/>
        <sz val="11"/>
        <color rgb="FF000000"/>
        <rFont val="Calibri"/>
        <family val="2"/>
        <scheme val="minor"/>
      </rPr>
      <t>Note: It may be possible for a Site to be located in multiple School Districts as some Districts may overlap. If overlapping Districts receive conflicting points, the higher score may be applied.</t>
    </r>
  </si>
  <si>
    <t>School Disctrict</t>
  </si>
  <si>
    <t>Appendix R.2</t>
  </si>
  <si>
    <r>
      <rPr>
        <b/>
        <u/>
        <sz val="11"/>
        <color rgb="FF000000"/>
        <rFont val="Calibri"/>
        <family val="2"/>
        <scheme val="minor"/>
      </rPr>
      <t>Rent Burden</t>
    </r>
    <r>
      <rPr>
        <sz val="11"/>
        <color rgb="FF000000"/>
        <rFont val="Calibri"/>
        <family val="2"/>
        <scheme val="minor"/>
      </rPr>
      <t xml:space="preserve"> 
</t>
    </r>
    <r>
      <rPr>
        <b/>
        <sz val="11"/>
        <color rgb="FF000000"/>
        <rFont val="Calibri"/>
        <family val="2"/>
        <scheme val="minor"/>
      </rPr>
      <t xml:space="preserve">5 points: </t>
    </r>
    <r>
      <rPr>
        <sz val="11"/>
        <color rgb="FF000000"/>
        <rFont val="Calibri"/>
        <family val="2"/>
        <scheme val="minor"/>
      </rPr>
      <t xml:space="preserve">Sites in census tracts in which 50% or more of renters pay over 30% of their income towards rent.
</t>
    </r>
    <r>
      <rPr>
        <b/>
        <sz val="11"/>
        <color rgb="FF000000"/>
        <rFont val="Calibri"/>
        <family val="2"/>
        <scheme val="minor"/>
      </rPr>
      <t>3 points:</t>
    </r>
    <r>
      <rPr>
        <sz val="11"/>
        <color rgb="FF000000"/>
        <rFont val="Calibri"/>
        <family val="2"/>
        <scheme val="minor"/>
      </rPr>
      <t xml:space="preserve"> Sites census tracts in which 40%-40.99% of renters pay over 30% of their income toward rent. 
</t>
    </r>
    <r>
      <rPr>
        <i/>
        <sz val="11"/>
        <color rgb="FF000000"/>
        <rFont val="Calibri"/>
        <family val="2"/>
        <scheme val="minor"/>
      </rPr>
      <t>Note: Census Tracts must have an average rent of $900 or more to be eligible for points in this category.</t>
    </r>
  </si>
  <si>
    <t>Appendix R.3</t>
  </si>
  <si>
    <r>
      <t xml:space="preserve">Properties will receive points for proximity to key services and amenities. </t>
    </r>
    <r>
      <rPr>
        <u/>
        <sz val="11"/>
        <color theme="1"/>
        <rFont val="Calibri"/>
        <family val="2"/>
      </rPr>
      <t>Score will auto-populate based on information from Tab 6: Site Description</t>
    </r>
  </si>
  <si>
    <t xml:space="preserve">• Sites meeting WHEDA’s Rural Set-Aside definition: points will be awarded for amenities and services within 2.0 miles </t>
  </si>
  <si>
    <t xml:space="preserve">• Sites meeting WHEDA’s Small Urban Set-Aside definition: points will be awarded for amenities and services within 1.5 miles </t>
  </si>
  <si>
    <t xml:space="preserve">• Sites on Federally Designated Tribal Land: points will be awarded for amenities and services within 4.0 miles </t>
  </si>
  <si>
    <t>• All other areas of the state: points will be awarded for amenities and services within 1.0 mile</t>
  </si>
  <si>
    <t>If requesting points for access to services and amenities, include a map with distance measurements, clear color photos, contact person, and contact information. At WHEDA's discretion, absence of these items may result in the project not receiving points claimed.</t>
  </si>
  <si>
    <t>For the table below, applications containing more than 50% senior units will be allowed to request points in the senior categories – all other applications should use the Family or Supportive categories.</t>
  </si>
  <si>
    <t>NOTE: Age restricted unit designation is based on tenancy selection on the Unit Mix tab. Amenities points are calculated based on set-aside chosen on the Project Description Tab and mileage on the Site Description Tab.</t>
  </si>
  <si>
    <t xml:space="preserve">Full Service Grocery Store (2 points)* </t>
  </si>
  <si>
    <t xml:space="preserve">Public Elementary, Middle or High School (N/A for Senior Properties) </t>
  </si>
  <si>
    <t>Senior Center (N/A for Family Properties)</t>
  </si>
  <si>
    <t xml:space="preserve">Full Service Medical Clinic or Hospital** </t>
  </si>
  <si>
    <t>Public Library ***</t>
  </si>
  <si>
    <t>Job-Training Facility, Community College or Continuing Education Programs ****</t>
  </si>
  <si>
    <t xml:space="preserve">*A convenience store does not meet the definition of full service grocery store </t>
  </si>
  <si>
    <t xml:space="preserve">**A specialty medical clinic (such as podiatrist or ophthalmologist), diagnostic lab, nursing home or hospice facility does not meet the definition of full service medical clinic or hospital </t>
  </si>
  <si>
    <t xml:space="preserve">***University libraries; public/private school libraries, state kiosk, express libraries or mini/mobile libraries are not eligible for points. </t>
  </si>
  <si>
    <t xml:space="preserve">****Job-Training Facility, Community College, or Continuing Education Programs - must be available to tenant base to participate. </t>
  </si>
  <si>
    <t>A.2. Lower-Income Areas</t>
  </si>
  <si>
    <t>Eligible Locations (maximum of 2 points)</t>
  </si>
  <si>
    <t>Check one box, if both are selected then 1 point will be unselected.</t>
  </si>
  <si>
    <t>Feature</t>
  </si>
  <si>
    <t xml:space="preserve">Please answer </t>
  </si>
  <si>
    <t>Two points will be awarded for:</t>
  </si>
  <si>
    <t xml:space="preserve">1. Properties in a QCT that have a Concerted Community Revitalization Plan (CCRP) that specifically </t>
  </si>
  <si>
    <t xml:space="preserve">addresses the need for affordable and/or rental housing in the area of the proposed HTC project </t>
  </si>
  <si>
    <t xml:space="preserve">  • Attach a print-out of census tract from American Fact Finder or similar program </t>
  </si>
  <si>
    <t xml:space="preserve">  • Provide the website location for the community revitalization/redevelopment plan or provide a hard copy of the plan</t>
  </si>
  <si>
    <t>2. Properties located on federally designated Tribal lands</t>
  </si>
  <si>
    <t>One Point will be awarded for:</t>
  </si>
  <si>
    <t>1. Properties in a QCT that have a Concerted Community Revitalization Plan (CCRP):</t>
  </si>
  <si>
    <t>• Attach a print-out of census tract from American Fact Finder or similar program.</t>
  </si>
  <si>
    <t>• Provide the website location for the community revitalization/redevelopment plan or provide a hard copy of the plan.</t>
  </si>
  <si>
    <t xml:space="preserve">Concerted Community Revitalization Plans (CCRPs) must: </t>
  </si>
  <si>
    <t xml:space="preserve">1. Be geographically specific (the proposed HTC development must be within the identified planning area); </t>
  </si>
  <si>
    <t>2. Include a strategy for obtaining commitments of public and private investment for infrastructure, amenities, or services beyond the proposed HTC development;</t>
  </si>
  <si>
    <t xml:space="preserve">3. Clearly demonstrate the need for revitalization in the planning area; </t>
  </si>
  <si>
    <t xml:space="preserve">4. Include elements such as outcome goals, timelines and benchmarks, and identification of community partners; </t>
  </si>
  <si>
    <t>5. Have been approved within the past 10 years. If a CCRP was amended within the past 10 years, the project site must be located within the geographic area addressed within the amendment.</t>
  </si>
  <si>
    <t xml:space="preserve">CCRPs do not necessarily need to be approved by the local municipality. CCRPs completed by neighborhood groups </t>
  </si>
  <si>
    <t>(which meet the criteria noted above) will be acceptable.</t>
  </si>
  <si>
    <t>Up to four points will be awarded for each of the items below. A list of census tracts that qualify for Top Job Centers and Net Job Growth points can be found in Appendix V.</t>
  </si>
  <si>
    <t xml:space="preserve">Note: Points in yellow cells are auto-calculated based on project location data entered on Project Description Tab checked against Appendix V. Green Cells must be manually selected to request points. </t>
  </si>
  <si>
    <r>
      <rPr>
        <b/>
        <u/>
        <sz val="11"/>
        <color theme="1"/>
        <rFont val="Calibri"/>
        <family val="2"/>
        <scheme val="minor"/>
      </rPr>
      <t>Top Job Centers</t>
    </r>
    <r>
      <rPr>
        <sz val="11"/>
        <color theme="1"/>
        <rFont val="Calibri"/>
        <family val="2"/>
        <scheme val="minor"/>
      </rPr>
      <t xml:space="preserve"> 
 Points will be awarded to properties located in a county with 2,200 or greater jobs (4 points) or to properties located in a county with between 1,800 and 2,199 jobs (3 points) or to properties located in a county with between 1,000 and 1,799 jobs (2 points) or to properties located in a county with between 500 and 999 jobs (1 point).</t>
    </r>
  </si>
  <si>
    <r>
      <rPr>
        <b/>
        <u/>
        <sz val="11"/>
        <color theme="1"/>
        <rFont val="Calibri"/>
        <family val="2"/>
        <scheme val="minor"/>
      </rPr>
      <t>Net Job Growth</t>
    </r>
    <r>
      <rPr>
        <sz val="11"/>
        <color theme="1"/>
        <rFont val="Calibri"/>
        <family val="2"/>
        <scheme val="minor"/>
      </rPr>
      <t xml:space="preserve">
Points will be awarded to properties located in a county that experienced job growth of 10% or greater in the past year (4 points) or to properties located in a county that experienced job growth between 7% and 9.99% in the past year (3 points) or to properties located in a county that experienced job growth between 1% and 6.99% in the past year (2 points) or to properties located in a county that experienced job growth between 0.1% and 0.99% (1 point).</t>
    </r>
  </si>
  <si>
    <t>A.4. Rehabilitation &amp; Neighborhood Stabilization</t>
  </si>
  <si>
    <t>Do you wish to claim points for this scoring category?</t>
  </si>
  <si>
    <t>Claim Points?</t>
  </si>
  <si>
    <t>Projects scoring points in this category cannot score points in Areas of Economic Opportunity.</t>
  </si>
  <si>
    <t>Points will be awarded to applications which demonstrate either of the following:
    A) Propose acquisition and rehab of existing single family, duplex or four-plex housing as part of a targeted, city-supported plan to stabilize neighborhoods due to vacant properties and/or foreclosure.
    -OR- 
    B) Located on federally designated Tribal lands.</t>
  </si>
  <si>
    <t>(11. Unit Mix, Total All Units)</t>
  </si>
  <si>
    <t>Units &gt; 24?</t>
  </si>
  <si>
    <t>WHEDA will limit the number of Rehab/Neighborhood Stabilization awards to one per application competition in any city, and no more than one to any developer.</t>
  </si>
  <si>
    <t>Requirements:</t>
  </si>
  <si>
    <t>City or tribal support letter including 1) description of overall neighborhood plan, 2) details of financial support and 3) support for proposed property clustering.</t>
  </si>
  <si>
    <t>Minimum 24 units.</t>
  </si>
  <si>
    <t>Total Const. Costs (70% PV)</t>
  </si>
  <si>
    <t>Minimum $25,000 per unit of Hard Cost Rehab, defined as the total of the following costs on the Project Cost and Credit Calculation page:  Rehabilitation, Accessory Buildings (Garage, storage, etc.), Personal Property, General Requirements, Contractor Overhead, Contractor Profit, and Construction Supervision.</t>
  </si>
  <si>
    <t>Construction costs / unit</t>
  </si>
  <si>
    <t>Cost Per Unit &gt; 25K</t>
  </si>
  <si>
    <t>New Construction allowed only if building(s) will be demolished or have been demolished and is replacing like housing (no additional units). Such new construction is limited to 50% of total units unless the project is located on Federally Designated Tribal Lands.</t>
  </si>
  <si>
    <t>50% or greater Rehab?</t>
  </si>
  <si>
    <t>An application’s aggregate occupied units shall be automatically assumed by WHEDA to have a maximum 85% applicable fraction (i.e. assumed to have 15% over-income households) unless the applicant provides rent rolls, certifications, or other information sufficient for WHEDA to determine that a higher applicable fraction will not result in the displacement of current residents. Aggregate un-occupied units may be assumed to be 100% income qualifying.</t>
  </si>
  <si>
    <t>Applications must demonstrate a year one proforma rent increase of no more than five percent (5%) for any occupied rental units. Provide current rent schedule and explanation.</t>
  </si>
  <si>
    <t>Must show property clustering no greater than one-half (1/2) mile radius for non-tribal locations. Proposed clustering must be supported by city letter.</t>
  </si>
  <si>
    <t>Must show financial support minimum 5% of total development cost by the local government and/or private institutions or foundations.</t>
  </si>
  <si>
    <t>Unit Mix All Units</t>
  </si>
  <si>
    <t>Unit Mix SF Units</t>
  </si>
  <si>
    <t>Unit mix may include single family homes, duplexes, tri-plexes or four-plexes but not less than 50% of the total units must be single family homes.</t>
  </si>
  <si>
    <t>SF Units &gt; 50% All Units?</t>
  </si>
  <si>
    <t>Application operating expenses must reflect annual replacement reserve deposit of $400/unit minimum.</t>
  </si>
  <si>
    <t>Replacement Reserve / Unit</t>
  </si>
  <si>
    <t>Is Replacement Reserve / Unit &gt; $400?</t>
  </si>
  <si>
    <t>Reminder: Applicants should provide a plan addressing any proposed temporary relocation of residents. The plan should meet the standards established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t>
  </si>
  <si>
    <t>WHEDA prohibits permanent displacement of residents, including those whose incomes are known to, or are estimated to, exceed tax credit maximums. WHEDA may require the reduction of applicable fractions in tax credit awards to avoid displacement of existing residents.</t>
  </si>
  <si>
    <t>Located on Tribal Lands?</t>
  </si>
  <si>
    <t>If Score Points is Yes, and (If Tribal OR Everything else is TRUE) 25 points, otherwise 0 pts)</t>
  </si>
  <si>
    <t>Points Scored</t>
  </si>
  <si>
    <t>=IF(S158,IF(OR(S196,AND(S171,S173,S175,S188,S191)),S200,0),0)</t>
  </si>
  <si>
    <t>Who Score</t>
  </si>
  <si>
    <t>Tenants Served Score</t>
  </si>
  <si>
    <t>B. Tenants Served Total Score</t>
  </si>
  <si>
    <t>B.1. Serves Large Families or Seniors</t>
  </si>
  <si>
    <t>• The market study and the HTC application must clearly identify the development as “Family” to claim points for Serves Large Families</t>
  </si>
  <si>
    <t>Percentage</t>
  </si>
  <si>
    <t>• The market study and the HTC application must clearly identify the development as “Senior” to claim points for Seniors</t>
  </si>
  <si>
    <t>5.00 - 10.99%</t>
  </si>
  <si>
    <t>• Divide the number of three-bedroom (or larger) low-income or voucher Family units by total number of low-income units.</t>
  </si>
  <si>
    <t>11.00 - 15.99%</t>
  </si>
  <si>
    <t>16.00 - 100.00%</t>
  </si>
  <si>
    <t>3 Bedroom+ Low-Income Units</t>
  </si>
  <si>
    <t>Total Low-Income Units</t>
  </si>
  <si>
    <t>Percentage Serves Large Families</t>
  </si>
  <si>
    <t>From helper functions on unit mix tab</t>
  </si>
  <si>
    <t>Total Low income units from unit mix tab</t>
  </si>
  <si>
    <t>• OR divide the number of senior age-restricted  units by total number of units.</t>
  </si>
  <si>
    <t>Serves Seniors?</t>
  </si>
  <si>
    <t>Age-Restricted Units</t>
  </si>
  <si>
    <t>Percent Serves Seniors</t>
  </si>
  <si>
    <t>&gt; 50%</t>
  </si>
  <si>
    <t>Applicant Notes:</t>
  </si>
  <si>
    <t>Underwriter Notes:</t>
  </si>
  <si>
    <t>B.2. Serves Lowest-Income Residents (Maximum 35 Points)</t>
  </si>
  <si>
    <t>• Applications will be allowed to score points in this category for new construction projects covered by operating or rental subsidies.</t>
  </si>
  <si>
    <t>• Developments using committed project based vouchers or other rental subsidies as "50% CMI equivalents" for the calculation below. These units are to be reflected as "60% CMI units" on the Unit Mix page.</t>
  </si>
  <si>
    <t xml:space="preserve">• WHEDA will award points to developments with a minimum percentage of units reserved for households with incomes at 50% or less of county median income. </t>
  </si>
  <si>
    <t>• The market study must show there is a sufficient market for the target population.</t>
  </si>
  <si>
    <t>• The unit mix stated in the Application, and the unit mix for which points are taken in this scoring category, will be reflected in the eventual Land Use Restriction Agreement for the property.</t>
  </si>
  <si>
    <t>CMI Set-Aside Percentage</t>
  </si>
  <si>
    <t>Number of Units @ CMI</t>
  </si>
  <si>
    <t>Percentage of Total Units
(Must equal or exceed 5%)</t>
  </si>
  <si>
    <t>Multiply Percent by Factor</t>
  </si>
  <si>
    <t>Total Points</t>
  </si>
  <si>
    <t>x</t>
  </si>
  <si>
    <t>30% or Lower</t>
  </si>
  <si>
    <t>B.3. Supportive Housing</t>
  </si>
  <si>
    <t>• Points will be awarded to developments intending to provide supportive services to veterans, individuals, and to families who may require access to supportive services to maintain housing.</t>
  </si>
  <si>
    <t>• Adequate Supportive Services must be firmly committed and budgeted for in accordance with Appendix S or Appendix T</t>
  </si>
  <si>
    <t>• WHEDA will require that an affidavit be executed and filed by the property manager in the property files attesting that the supportive housing unit was marketed to target residents</t>
  </si>
  <si>
    <t xml:space="preserve">• See Appendix S and Appendix T for a complete overview of documentation and commitments required to receive points in this scoring category  </t>
  </si>
  <si>
    <t>Score .75 point for every percentage point of targeted housing in the development as a whole, up to 10 points. Points are rounded down. Common space manager units should not be included in the total unit count.</t>
  </si>
  <si>
    <t xml:space="preserve">In order to score points in this category the applicant must provide any combination of 30% CMI HTC units and rental subsidy assistance for the targeted units. </t>
  </si>
  <si>
    <t>If rental subsidies, applicant must submit firm commitments for the targeted number of units.</t>
  </si>
  <si>
    <t>Examples of allowable rental assistance include: Project-based Section 8 HAP or vouchers, operating subsidy, or capitalized operating fund or other rental subsidy assistance provided by a public housing authority or other government entity.</t>
  </si>
  <si>
    <t>B.4. Veteran's Housing</t>
  </si>
  <si>
    <t xml:space="preserve">• Points will be awarded to developments intending to provide services designed to address the needs of Veterans. </t>
  </si>
  <si>
    <t xml:space="preserve">• The applicant must submit a signed MOU with a County or Tribal Veterans Service Office or a Veteran- specific Service Provider. The MOU must describe a referral and outreach system to connect potential Veteran residents with local or State Veteran-specific services and resources. </t>
  </si>
  <si>
    <t>• The project is required to hold open a vacant veterans housing unit for a minimum of 30 days or until local collaborative long term veterans service partners, in conjunction with the management agent, finds a person meeting the target veteran definition and requisite income qualifications to lease the unit.  After the 30 days, the unit may be leased to any otherwise income qualifying family or individual.</t>
  </si>
  <si>
    <t>• WHEDA will require that an affidavit be executed and filed by the property manager in the property files attesting that the veterans unit was marketed in accordance with the 30 day marketing period requirement.</t>
  </si>
  <si>
    <t>• The veterans housing units must 60% CMI or below.  Rental subsidies are allowable if supported by firm commitments.</t>
  </si>
  <si>
    <t xml:space="preserve">Veteran's Units </t>
  </si>
  <si>
    <t xml:space="preserve">Total Units </t>
  </si>
  <si>
    <t xml:space="preserve">Percentage of Units </t>
  </si>
  <si>
    <t>1-5%</t>
  </si>
  <si>
    <t>6-10%</t>
  </si>
  <si>
    <t>11-100%</t>
  </si>
  <si>
    <t>Building Design Score</t>
  </si>
  <si>
    <t>What Score</t>
  </si>
  <si>
    <t xml:space="preserve">Building Design Score Total </t>
  </si>
  <si>
    <t>C.1. Energy Efficiency and Sustainability</t>
  </si>
  <si>
    <t>New Const?</t>
  </si>
  <si>
    <t>• See Appendix W - Energy Efficiency and Sustainability for a detailed overview of the Threshold and Scoring components of this Category.</t>
  </si>
  <si>
    <t xml:space="preserve">• All projects are required to meet Threshold-level certifications defined in Appendix M - WHEDA Housing Tax Credit Design Requirements </t>
  </si>
  <si>
    <t xml:space="preserve">• Applicants may elect to pursue Advanced Certifications to earn additional points in the HTC Application Process </t>
  </si>
  <si>
    <t xml:space="preserve">• Projects should carefully assess whether Net Zero is feasible, as it may not be the best option for most developments. </t>
  </si>
  <si>
    <t xml:space="preserve">• Threshold and Advanced Certifications can earn additional points by including renewable energy. </t>
  </si>
  <si>
    <t xml:space="preserve">• Stretch Goal - Net Zero Certifications are not eligible for additional renewable points. </t>
  </si>
  <si>
    <t>• Proof of certification must be submitted before the issuance of the IRS Forms() 8609 or the Wisconsin Low-Income Housing Credit Allocation Certificate.</t>
  </si>
  <si>
    <t>Cert</t>
  </si>
  <si>
    <t>Pts</t>
  </si>
  <si>
    <t>New Construction Projects (maximum of 20 points)</t>
  </si>
  <si>
    <t>Enterprise 2020 Green Communities - Certification (10 pts)</t>
  </si>
  <si>
    <t>Enterprise 2020 Green Communities - Certification Plus via Criterion 5.4 (20 pts)</t>
  </si>
  <si>
    <t>Program</t>
  </si>
  <si>
    <t>Advanced Certifications (10 pts)</t>
  </si>
  <si>
    <t>Stretch Goal - Net Zero Certifications (20 pts)</t>
  </si>
  <si>
    <t>LEED - Silver (10 pts)</t>
  </si>
  <si>
    <t>Enterprise 2020 Green Communities</t>
  </si>
  <si>
    <t>Certification</t>
  </si>
  <si>
    <t>Certification Plus via Criterion 5.4</t>
  </si>
  <si>
    <t>LEED - Zero Energy (20 pts)</t>
  </si>
  <si>
    <t>LEED</t>
  </si>
  <si>
    <t>Gold/Platinum</t>
  </si>
  <si>
    <t>LEED Zero Energy</t>
  </si>
  <si>
    <t>Passive House Institute US - PHIUS Core (10 pts)</t>
  </si>
  <si>
    <t>Passive House Institute US</t>
  </si>
  <si>
    <t>PHIUS Core</t>
  </si>
  <si>
    <t>PHIUS Zero</t>
  </si>
  <si>
    <t>Passive House Institute US - PHIUS Zero (20 pts)</t>
  </si>
  <si>
    <t>Wisconsin Green Built Homes</t>
  </si>
  <si>
    <t>Gold Plus</t>
  </si>
  <si>
    <t>Gold Zero Energy</t>
  </si>
  <si>
    <t>Wisconsin Green Built Homes - Gold Plus (10 pts)</t>
  </si>
  <si>
    <t>Wisconsin Green Built Homes - Gold Zero Energy (20 pts)</t>
  </si>
  <si>
    <t>Optional: Select Green Building Certification</t>
  </si>
  <si>
    <t>Please answer Yes/No</t>
  </si>
  <si>
    <t>Additional Renewable Energy Items</t>
  </si>
  <si>
    <t>Additional</t>
  </si>
  <si>
    <t>A Geothermal HVAC System serving the entire building (4 pts)</t>
  </si>
  <si>
    <t>Geotherm HVAC</t>
  </si>
  <si>
    <t>Solar that offsets 20% or more of the total building annual load OR Solar that offsets 70%-80% of common area annual load (2 pts)</t>
  </si>
  <si>
    <t>A Centralized Geothermal HVAC System with Solar that offsets at least 20% of the annual load (8 pts)</t>
  </si>
  <si>
    <t>Geo HVAC Solar</t>
  </si>
  <si>
    <t>New Construction Subtotal</t>
  </si>
  <si>
    <t>Rehab of Existing Buildings Requirements (maximum of 20 points)</t>
  </si>
  <si>
    <t xml:space="preserve">For purposes of this category, both rehab of existing residential buildings and adaptive reuse of nonresidential structures may qualify. </t>
  </si>
  <si>
    <t>Rehab?</t>
  </si>
  <si>
    <t xml:space="preserve">Rehab Projects pursuing threshold certifications are required to meet one of the following building performance standards: </t>
  </si>
  <si>
    <t>i. A HERS Index score of 80 or less for properties built in or after 1980 or demonstrate that the energy performance of the completed building will be equivalent to, or better than, ASHRAE 90.1-2013 using an energy model created by a qualified energy services provider according to Appendix G 90.1–2016.</t>
  </si>
  <si>
    <t>ii. A HERS Index score of 100 or less for properties built before 1980 or Demonstrate that the energy performance of the completed building will be equivalent to, or better than, ASHRAE 90.1-2013 using an energy model created by a qualified energy services provider according to Appendix G 90.1–2016.</t>
  </si>
  <si>
    <t>iii. A post-rehab HERS Index score at least 15% less than the pre-rehab HERS Index score.</t>
  </si>
  <si>
    <t>Gold</t>
  </si>
  <si>
    <t>Wisconsin Green Built Homes - Gold (10 pts)</t>
  </si>
  <si>
    <t>Optional: Select energy efficiency program</t>
  </si>
  <si>
    <t>Public Transportation Score (5 points)</t>
  </si>
  <si>
    <t>Requirements</t>
  </si>
  <si>
    <t>Points will be awarded to developments in which any portion of the site is located no more than one half (0.5) of a mile from a regularly scheduled local bus stop. Projects in areas eligible for the Rural Set-Aside may qualify for points by submitting evidence of an "on call" transportation program that provides users a choice of local destinations at a low cost. 
Provide a map showing that the site is no more than one half miles from the bus stop and a schedule showing the frequency of the bus service or detailed information on availability,  cost, and destinations of the "on call" transportation program.</t>
  </si>
  <si>
    <t>Public Transport</t>
  </si>
  <si>
    <t>C.2. Universal Design</t>
  </si>
  <si>
    <t xml:space="preserve">Applicants are encouraged to include design elements selected for Universal Design points on the Site and Building Plans. </t>
  </si>
  <si>
    <t>All items must be specified and certified to by the architect of record and attached to the initial application. Incorporated items must meet current code(s) in force for the year of the HTC application, complying with all Federal, State, Local and Municipal laws, codes, rules, ordinances, and regulations as they relate to the specific project.</t>
  </si>
  <si>
    <r>
      <t>The current building code for the State of Wisconsin is the 2015 ICC (International Code Council) Code and the referenced standard for accessibility is ICC/ANSI A117.1-2017. References to section numbers within Universal Design are sections numbers from ICC/ANSI A117.1-2017.</t>
    </r>
    <r>
      <rPr>
        <strike/>
        <sz val="11"/>
        <rFont val="Calibri"/>
        <family val="2"/>
      </rPr>
      <t xml:space="preserve"> </t>
    </r>
  </si>
  <si>
    <t>ANSI Intent Statements have been provided to give brief summaries of referenced section numbers but do not replace actual language found in ICC/ANSI A117.1-2017.</t>
  </si>
  <si>
    <t>Common Area Features</t>
  </si>
  <si>
    <t>Answer Yes/No next to all that apply</t>
  </si>
  <si>
    <r>
      <t xml:space="preserve">Hand rails: </t>
    </r>
    <r>
      <rPr>
        <b/>
        <u/>
        <sz val="11"/>
        <color rgb="FF000000"/>
        <rFont val="Calibri"/>
        <family val="2"/>
      </rPr>
      <t>In age restricted housing only</t>
    </r>
    <r>
      <rPr>
        <sz val="11"/>
        <color rgb="FF000000"/>
        <rFont val="Calibri"/>
        <family val="2"/>
      </rPr>
      <t>, install handrails on both sides of common hallways at all wall sections 4’0” or more in length uninterrupted by door or window openings. Handrails shall meet the requirements of Sections 505.4 through 505.9.         
           - Cottage style, townhouse, duplex, and single family style are not eligible for handrail point.
ANSI Intent Statement: Referenced sections specify requirements such as installed height, handrail profile, handrail clearances that comply with accessibility standards for commercial building handrails.</t>
    </r>
  </si>
  <si>
    <t>Automatic Door Openers:  Provide automatic door openers at main accessible entrances to all main buildings, including entrance from accessible parking areas, per Section 404.3.
ANSI Intent Statement: Doors with automatic openers are intended for individuals with mobility impairments and therefore must be designed to additional accessibility guidelines such as 32” clear opening, maneuvering clearances at either side of door, low profile threshold and control switches located beyond the arc of the door swing.</t>
  </si>
  <si>
    <t xml:space="preserve">Accessible Signage: Provide accessible signage for all common rooms and dwelling unit entries with visual characters per Section 703.2 and Braille characters per Section 703.4. If possible, unit entry signage shall be mounted 60” maximum above the floor to the top of the signage and located on the wall adjacent to the latch side of the door. The accessible signage requirement applies to all dwelling unit entries including units accessed by an exterior entrance such as a townhome.
ANSI Intent Statement: Accessible signage follows guidelines that permit immediately recognizable information to visually impaired residents and/or visitors.  These sections identify standards for text heights, text width, text contrast, sign mounting height and braille guidelines. </t>
  </si>
  <si>
    <t>Accessible Public Bathroom:  Provide accessible public toilet room adjacent to public gathering areas.  This common area toilet shall have clearances that meet the requirements of Section 603.
ANSI Intent Statement: The public bathroom shall follow accessibility standards for commercial buildings as the bathroom is located in a public area. The bathroom contains accessibility features such as turning space, plumbing fixture clear floor spaces, plumbing fixture heights and grab bar installation.</t>
  </si>
  <si>
    <t>Unit Features. Minimum of 20% of units, unless otherwise indicated.</t>
  </si>
  <si>
    <t>Provide a circular or T-shaped turning space per Section 304 in kitchen(s) and accessible floor level bathroom(s). Turning space shall be outside the door swing in bathrooms unless a 30” x 52” clear floor space is provided within the room beyond the arc of the door swing per Section 603.2.3 Exception 2. Sinks/vanities shall meet the requirements of Section 1103.12.4 including a height of 34” maximum above the floor with a clear floor space for forward approach.
ANSI Intent Statement: Circular and T-shaped turning spaces are an invisible but useful feature of rooms used by individuals with mobility impairments. The turning space is allowed within the door swing arc in bathrooms as this room is assumed to have single occupancy. Section 1103.12.4 dictates a higher level of accessibility features at the sink because it requires forward approach which includes knee and toe clearances. To obtain these clearances, either a wall mounted sink or vanity with removable cabinets can be provided. If a removable cabinet is provided, floor and wall finishes shall extend beneath the cabinet and the removal of the cabinet shall occur without modifications of the sink. Water supply and drain pipes under lavatories and sinks shall be insulated or otherwise configured to protect against contact.</t>
  </si>
  <si>
    <r>
      <t xml:space="preserve">Provide a curbless roll-in type shower compartment per Section 608.2.2. 
</t>
    </r>
    <r>
      <rPr>
        <b/>
        <sz val="11"/>
        <rFont val="Calibri"/>
        <family val="2"/>
      </rPr>
      <t>Minimum 5% of total development units.</t>
    </r>
    <r>
      <rPr>
        <sz val="11"/>
        <rFont val="Calibri"/>
        <family val="2"/>
      </rPr>
      <t xml:space="preserve">
Multi-story units will not receive these points unless:
1) a sample floor plan is submitted to show this feature is located on an accessible floor level, AND
2) at least one bedroom is located on this accessible level floor
3) an alternative is to provide single story building(s) with units incorporating this feature
ANSI Intent Statement: A standard roll-in type shower compartments is a minimum of 30” in depth and minimum of 60” in width with shower seat on one end, shower controls on back wall adjacent to shower seat and grab bars provided on back wall and opposite the shower seat. Showers with a curb of any height will not be eligible for points in this category. </t>
    </r>
  </si>
  <si>
    <t>On accessible floor levels, all closet doors shall have a clear floor space of 30" x 52" minimum to allow either forward or parallel approach by wheelchair. Doors to closets that are more than 18" in depth shall provide at least 32" nominal clear opening.</t>
  </si>
  <si>
    <t>Bottom edge of mirror at all accessible floor level bathroom sink/vanities to be 40" maximum above the floor. If medicine cabinet is provided in addition to a mirror, then bottom edge shelf on the cabinet to be 44" maximum above the floor.</t>
  </si>
  <si>
    <t>All interior doors intended for user passage shall comply with Section 1103.5, which includes maneuvering clearances, thresholds, clear width, level hardware, etc.
ANSI Intent Statement: The primary entrance door and other doors intended for user passage must incorporate accessibility features. It is important to avoid improperly designed door openings that do not maintain an accessible route throughout the dwelling unit. Common design flaws include a distance less than 32” between a door opened 90 degrees and the door stop, doors not maintaining proper pull or push side maneuvering clearances or the door hardware not being a lever type. The maneuvering clearances at either side of the door determined by direction of travel and are diagramed at Figure 404.2.3.2.</t>
  </si>
  <si>
    <t>Garbage disposal switch, range hood controls, and electrical receptacles shall meet the requirements of Section 309. At each section of countertop uninterrupted by a sink or appliance; as long as one accessible electrical receptacle is provided then other non- accessible receptacles may also be provided.
ANSI Intent Statement: Section 309 states that operable parts must be located within one of the reach ranges specified in Section 308. Within a kitchen, the obstructed side reach is the most often scenario encountered by a wheelchair user and is defined as the ability to reach a maximum of 24” over an object with the maximum height of 34” to a surface a maximum of 46” high on the far side. A common solution to bring operable parts such as switches and receptacles closer to the user is to have these items mounted on the face of the kitchen cabinets. Another available solution would be extending the operable parts such as switches and receptacles through a full height backsplash which maintains the maximum 24” distance from the face of backsplash to the lip of the counter.</t>
  </si>
  <si>
    <t>Provide minimum one accessible work surface that meets all requirements of Section 1103.12.3 including top of counter at 34” above the floor, minimum 30” wide, and a clear floor space for forward approach.
ANSI Intent Statement: The work surface is a kitchen design feature that would allow a wheelchair user to work at the counter with their knees beneath the working surface. Removable casework is often provided beneath the work surface but the floor and wall finishes shall extend beneath the cabinet and the removal of the cabinet shall occur without modifications to the work surface. There must be a 30” wide opening beneath the work surface when the removable cabinet is removed to allow for forward approach below the work surface.</t>
  </si>
  <si>
    <t>Entrance doors to the unit shall comply with Section 404 including delayed action closers, maneuvering clearances, low profile threshold, and door hardware. A screen door or storm door may be added in addition to the entrance door with installation method to allow for management to remove screen door or storm door at tenant request.
ANSI Intent Statement: The entrance door to the dwelling unit requires additional maneuvering clearances because a closer and latch are provided at this door. The maneuvering clearances at the interior and exterior side of the door are determined by direction of travel and are diagramed at Figure 404.2.3.2.</t>
  </si>
  <si>
    <r>
      <t xml:space="preserve">Where operable windows are provided, provide at least one window in each sleeping, living, and dining space complying with all of Section 309 including the following: are easily grasped with one hand without tight grasping, pinching, or twisting of the wrist; and are located no more than 48” above the floor. Provide 30” x 52” clear floor space for forward or parallel approach centered on the window.
</t>
    </r>
    <r>
      <rPr>
        <b/>
        <sz val="11"/>
        <rFont val="Calibri"/>
        <family val="2"/>
      </rPr>
      <t xml:space="preserve">Minimum 10% of total development units.
</t>
    </r>
    <r>
      <rPr>
        <sz val="11"/>
        <rFont val="Calibri"/>
        <family val="2"/>
      </rPr>
      <t>ANSI Intent Statement: Section 309 provides accessible design guidance on operable parts. This section is not specific to describing operable windows but has been applied to the window controls for the purpose of this point. Window locking mechanism to be within reach range and crank window must be ADA compliant style.</t>
    </r>
  </si>
  <si>
    <t>Carpet shall have 1/2" maximum pile and meet all requirements of Section 302.2
ANSI Intent Statement: Flooring properties are an important factor to those with mobility impairments as they should not restrict movement of a wheelchair or provide tripping hazards at flooring transitions. Carpet pile is limited to 1/2 inch maximum in height. Transitions over 1/4 inch in height and less than 1/2 inch shall be beveled.</t>
  </si>
  <si>
    <t xml:space="preserve">All unit light and fan switches shall comply with Section 309. </t>
  </si>
  <si>
    <t>Items Below only available for Acquisition/Rehab and Preservation project - points for the following items will not be awarded to Adaptive Reuse projects.</t>
  </si>
  <si>
    <t>Minimum of 20% of developments total units, unless otherwise indicated.</t>
  </si>
  <si>
    <t>Provide all bathtubs/showers with offset controls and a 30" x 48" clear floor space for parallel approach. Where the centerline of the controls is between 18" and 9" from the open face of the bathtub/shower compartment, the clear floor space in front of the fixture shall extend at least 9" beyond the control wall. Where the centerline of the controls is between 9" and 0" from the open face of the bathtub/shower compartment, the clear floor space in front of the fixture shall extend at least 5" beyond the control wall.</t>
  </si>
  <si>
    <t>Electrical outlets and cable/data outputs set to a minimum height 18" above the floor.</t>
  </si>
  <si>
    <t>Thermostats, primary electrical box and light switches set to a maximum height of 48" above the floor.</t>
  </si>
  <si>
    <t>100% visitable units. Provide an accessible route from accessible parking stalls to all dwelling units. Accessible routes shall meet all requirements of Section 402 including Section 404 for accessible doors. The living room, kitchen and minimum of one bathroom (with a minimum of a toilet and sink) must be on the accessible route from the unit entry. Bathroom shall meet the requirements of Sections 1104.11.
ANSI Intent Statement: An accessible route is defined by walking surfaces not steeper than 1:20 ramps, curb ramps excluding flared sides, elevators and platform lift. Once the resident or visitor arrives at the dwelling unit, the unit doorway and path connecting the living room, kitchen and one bathroom shall have proper maneuvering clearances on either side of the doorway. The kitchen is required to have turning space but is not required to have other accessibility features such as 34” high counters or accessible work spaces by this point item. Section 1104.11 is lengthy and should be read carefully as there are two bathroom options that may not be intermixed. Under either option turning space, fixture clear floor spaces, reinforcement for future grab bars must be provided.</t>
  </si>
  <si>
    <t>Toilets in units shall have clearances that meet requirements of Section 1104.11.3.1.2.
ANSI Intent Statement: All sections referenced are describing the various clearance options at the toilet and are diagramed at Figure 1104.11.3.1.2 for easier reference. Section 1104.11.3.1.2.2.2 describes a parallel approach measuring 56” deep by 48” wide. Section 1104.11.3.1.2.2.3 describes a forward approach measuring 66” deep by 48” wide. Sections 1104.11.3.1.2.2.1 and 1104.11.3.1.2.2.4 describe widths and vanity overlap.</t>
  </si>
  <si>
    <t>Low-profile thresholds - All changes in level within common areas and in dwelling units to be 1/4” maximum vertical or 1/2” maximum beveled at 1:2 per Sections 303.2 and 303.3.
ANSI Intent Statement: Transitions at doorways or flooring surfaces present tripping hazards. Figure 303.3 provides a good diagram for the acceptable threshold profiles.</t>
  </si>
  <si>
    <t>Provide reinforcement for the future installation of grab bars at toilets, bathtubs, and shower compartments per Section 1003.11.1. If walls are not being opened up to allow for installment of the reinforcement, a face plate installation for the toilet grab bar(s) would be an acceptable substitution. For bathtubs and shower compartments if there is not existing reinforcement in place within the wall structure, these features must be replaced with new compartments that have the reinforcement included.
ANSI Intent Statement: Reinforcement for installation of grab bars allows a resident an opportunity for safety within the bathroom while not incurring the initial cost of installing grab bars and shower seats in every dwelling unit.</t>
  </si>
  <si>
    <t>Bathroom/shower compartment permanently lined with non-skid surface or pattern covering 75% of floor.</t>
  </si>
  <si>
    <t>Sum of Items Checked:</t>
  </si>
  <si>
    <t>Sum of
checked items</t>
  </si>
  <si>
    <t>Maximum
total points</t>
  </si>
  <si>
    <t>21 and over</t>
  </si>
  <si>
    <t>17-20</t>
  </si>
  <si>
    <t>13-16</t>
  </si>
  <si>
    <t>8-12</t>
  </si>
  <si>
    <t>3-7</t>
  </si>
  <si>
    <t xml:space="preserve">    • Points are limited to developments designated as BOTH (1) family and (2) single family detached style construction.</t>
  </si>
  <si>
    <t xml:space="preserve">    • 100% of the development must be intended for eventual resident ownership. </t>
  </si>
  <si>
    <t>100% of the development is intended for eventual resident ownership. A Resident Homeownership Plan must be submitted with initial application. The plan must incorporate an exit strategy, including how units will be marketed and sold to the eventual resident owner, as well as detailing the provision of services including home ownership education, training, and down payment assistance.</t>
  </si>
  <si>
    <t>A Resident Homeownership Plan must be submitted. The plan must include the following:</t>
  </si>
  <si>
    <t xml:space="preserve">    • Anticipated tenant qualifications. </t>
  </si>
  <si>
    <t xml:space="preserve">    • Pre-purchase homeownership and financial counseling services to be provided. </t>
  </si>
  <si>
    <t xml:space="preserve">    • Estimated timelines for transition to ownership. </t>
  </si>
  <si>
    <t xml:space="preserve">    • Estimated affordable purchase price of units including methodology. Use WHEDA’s Affordable purchase price limits. </t>
  </si>
  <si>
    <t xml:space="preserve">    • Detail any down payment assistance that will be offered to the residents – for example, will any part of the monthly rent be reserved for down payment assistance?</t>
  </si>
  <si>
    <t xml:space="preserve">    • Applications must demonstrate a year one proforma rent increase of no more than five percent (5%) for any occupied rental units. Provide current rent schedule and explanation. </t>
  </si>
  <si>
    <t xml:space="preserve">    • Must show property clustering no greater than one-half (1/2) mile radius for non-tribal locations. Proposed clustering must be supported by city letter. </t>
  </si>
  <si>
    <t xml:space="preserve">    • Must show financial support minimum 5% of total development cost by the local government and/or private institutions or foundations. </t>
  </si>
  <si>
    <t xml:space="preserve">    • Unit mix may include single family homes, duplexes, tri-plexes or four-plexes but not less than 50% of the total units must be single family homes and each unit must have a unique legal description
       at the time of 8609 issuance. </t>
  </si>
  <si>
    <t xml:space="preserve">    • Application operating expenses must reflect annual replacement reserve deposit of $400/unit minimum.</t>
  </si>
  <si>
    <t xml:space="preserve">Release of the LURA after the expiration of the compliance period will be subject to WHEDA's review at that time regarding the above, as well as tenant protection, continued affordability, and a </t>
  </si>
  <si>
    <t xml:space="preserve">review of a Capital Needs Assessement (CNA) and satsifaction of all requirements in WHEDA's Requirements for Partial Releases of LURA for Tenant-Purchased Units. </t>
  </si>
  <si>
    <t>Failure to provide any required element of the Resident Homeownership Plan will result in no points.</t>
  </si>
  <si>
    <t>Properties in a Qualified Census Tract, which also include a job/skill training center or employment counseling center (or similar facilities) as a Community Service Facility included in eligible basis are eligible for 2 points based on these criteria:</t>
  </si>
  <si>
    <t xml:space="preserve">    • Include an attachment that clearly identifies the costs, basis and HTC attributable to the Community Service Facilities broken out from the other costs in the project budget.</t>
  </si>
  <si>
    <t xml:space="preserve">    • WHEDA expects that the per-square-foot costs of the Community Service Facilities will be significantly below the per-square-foot costs for the residential portion of the property.</t>
  </si>
  <si>
    <t xml:space="preserve">    • Include an executed Memorandum of Understanding between the property owner and the operator of the Community Service Facility including but not limited to a description of the use of the property, the services provided, a statement that services are available throughout the year, and a statement that the facility will be used primarily to provide services for individuals whose income is 60% or less than the area's median gross income.</t>
  </si>
  <si>
    <t xml:space="preserve">    • Include a statement that any fees charged for the services provided in the facility must be affordable to persons at or below the 60% income level.</t>
  </si>
  <si>
    <t xml:space="preserve">    • The need for the services provided by the Community Service Facility must be stipulated in the project’s market study.</t>
  </si>
  <si>
    <t xml:space="preserve">    • Commercial rent collected from the Community Service Facility space may not be included in the tax credit application for the purposes of calculating Debt Service Coverage Ratio.</t>
  </si>
  <si>
    <t xml:space="preserve">    • The amount of community service facility basis is limited to 25 percent of the first $15 million of eligible basis of the project plus 10% of the remaining total Eligible Basis of the project.  See IRS  
       Code Section:  I.R.C. § 42(d)(4)(C)(ii)</t>
  </si>
  <si>
    <t xml:space="preserve">    • Applicants with community service facilities should consult with their tax or legal counsel before selecting points in this category.</t>
  </si>
  <si>
    <t xml:space="preserve">    • Letter evidencing permissive zoning for the project must confirm that the proposed Community Service Facility is permitted to receive points in this category.</t>
  </si>
  <si>
    <t xml:space="preserve">Note: </t>
  </si>
  <si>
    <t xml:space="preserve">WHEDA will not grant points for project amenities including but not limited to community room, community building, fitness center, resident computer center, or onsite leasing office. WHEDA is the sole arbiter on the appropriateness of points in this category.  </t>
  </si>
  <si>
    <t>Applicants are encouraged to consult with WHEDA staff regarding documentation in advance of submitting their application.</t>
  </si>
  <si>
    <t>WHEDA will award points for projects that include the following amenities:</t>
  </si>
  <si>
    <t>Qualifies?</t>
  </si>
  <si>
    <t>On-Site Services and Amenities</t>
  </si>
  <si>
    <t>In-unit internet at no cost to residents (1 point)</t>
  </si>
  <si>
    <t>On-site community room dedicated for residents (1 point)</t>
  </si>
  <si>
    <t>How Score</t>
  </si>
  <si>
    <t>Developent Process Score</t>
  </si>
  <si>
    <t>Development Process Total Score</t>
  </si>
  <si>
    <t xml:space="preserve">WHEDA will award points to developments utilizing the annual credit request per unit most efficiently. Each unit will be weighted based on income targeting. </t>
  </si>
  <si>
    <t>Non-Rural</t>
  </si>
  <si>
    <t>Rural</t>
  </si>
  <si>
    <t>Non-Rural Set-Aside Projects</t>
  </si>
  <si>
    <t>Rural Set-Aside Projects</t>
  </si>
  <si>
    <t>Projects that only use 4% Federal credit will be awarded 36 points in this category.</t>
  </si>
  <si>
    <t>9% NC display</t>
  </si>
  <si>
    <t>9% NC Range 1</t>
  </si>
  <si>
    <t>9% NC Range 2</t>
  </si>
  <si>
    <t>Bin Display</t>
  </si>
  <si>
    <t>Unused Ranges</t>
  </si>
  <si>
    <t>Unit CMI</t>
  </si>
  <si>
    <t>Unit Count</t>
  </si>
  <si>
    <t>Weighted Units</t>
  </si>
  <si>
    <t>&lt;$19,600</t>
  </si>
  <si>
    <t>&lt;$21,200</t>
  </si>
  <si>
    <t>4% NC display</t>
  </si>
  <si>
    <t>4% NC Range 1</t>
  </si>
  <si>
    <t>4% NC Range 2</t>
  </si>
  <si>
    <t>$19,600- $20,800</t>
  </si>
  <si>
    <t>$21,200 - $22,000</t>
  </si>
  <si>
    <t>&lt;$12,837</t>
  </si>
  <si>
    <t>&lt;$10,804</t>
  </si>
  <si>
    <t>30% CMI</t>
  </si>
  <si>
    <t>$20,801 - $22,000</t>
  </si>
  <si>
    <t>$22,001 - $22,800</t>
  </si>
  <si>
    <t>$12,838 - $13,649</t>
  </si>
  <si>
    <t>$10,805 - $11,204</t>
  </si>
  <si>
    <t>40% CMI</t>
  </si>
  <si>
    <t>$22,001 - $23,200</t>
  </si>
  <si>
    <t xml:space="preserve"> $22,801 - $23,600</t>
  </si>
  <si>
    <t>$13,650 - $14,460</t>
  </si>
  <si>
    <t>$11,205 - $11,604</t>
  </si>
  <si>
    <t>Total Weighted Units*</t>
  </si>
  <si>
    <t>50% CMI</t>
  </si>
  <si>
    <t>$23,201 - $24,400</t>
  </si>
  <si>
    <t>$23,601 - $24,400</t>
  </si>
  <si>
    <t>$14,461 - $15,272</t>
  </si>
  <si>
    <t>$11,605 - $12,004</t>
  </si>
  <si>
    <t>*Units are weighted based on income targetting, as shown in the table to the right</t>
  </si>
  <si>
    <t>60% CMI</t>
  </si>
  <si>
    <t>$24,401 - 25,600</t>
  </si>
  <si>
    <t>$24,401 - $ 25,200</t>
  </si>
  <si>
    <t>$15,273 - $16,084</t>
  </si>
  <si>
    <t>$12,005 - $12,404</t>
  </si>
  <si>
    <t>70% CMI</t>
  </si>
  <si>
    <t>&gt;$25,600</t>
  </si>
  <si>
    <t>&gt;$25,200</t>
  </si>
  <si>
    <t>$15,273 - $16,085</t>
  </si>
  <si>
    <t>&gt;$12,405</t>
  </si>
  <si>
    <t>Credit Leverage (Cred/Unit)</t>
  </si>
  <si>
    <t>80% CMI</t>
  </si>
  <si>
    <t>9% A/R display</t>
  </si>
  <si>
    <t>9% A/R Range 1</t>
  </si>
  <si>
    <t>9% A/R Range 2</t>
  </si>
  <si>
    <t>&gt;$16,086</t>
  </si>
  <si>
    <t>Rural Set-Aside?</t>
  </si>
  <si>
    <t>&lt;$14,600</t>
  </si>
  <si>
    <t>&lt;$15,800</t>
  </si>
  <si>
    <t>4% A/R display</t>
  </si>
  <si>
    <t>4% A/R Range 1</t>
  </si>
  <si>
    <t>4% A/R Range 2</t>
  </si>
  <si>
    <t>$14,600 - $15,500</t>
  </si>
  <si>
    <t>$15,801 - $16,400</t>
  </si>
  <si>
    <t>&lt;$9,627</t>
  </si>
  <si>
    <t>&lt;$8,103</t>
  </si>
  <si>
    <t>$15,501 - $16,400</t>
  </si>
  <si>
    <t>$16,401 - $17,000</t>
  </si>
  <si>
    <t>$9,628 - $10,236</t>
  </si>
  <si>
    <t>$8,104 - $8,403</t>
  </si>
  <si>
    <t>Credits Per Unit</t>
  </si>
  <si>
    <t>$16,401 - $17,300</t>
  </si>
  <si>
    <t>$17,001 - $17,600</t>
  </si>
  <si>
    <t>$10,237 - $10,845</t>
  </si>
  <si>
    <t>$8,404 - $8,703</t>
  </si>
  <si>
    <t>$17,301 - $18,200</t>
  </si>
  <si>
    <t>$17,601 - $18,200</t>
  </si>
  <si>
    <t>$10,846 - $11,454</t>
  </si>
  <si>
    <t>$8,704 - $9,003</t>
  </si>
  <si>
    <t>$18,201 - $19,100</t>
  </si>
  <si>
    <t>$18,201 - $18,800</t>
  </si>
  <si>
    <t>$11,455 - $12,063</t>
  </si>
  <si>
    <t>$9,004 - $9,303</t>
  </si>
  <si>
    <t>&gt;$19,100</t>
  </si>
  <si>
    <t>&gt;$18,800</t>
  </si>
  <si>
    <t>&gt;$12,064</t>
  </si>
  <si>
    <t>&gt;$9,304</t>
  </si>
  <si>
    <t>4%S NC display</t>
  </si>
  <si>
    <t>4%S NC Range 1</t>
  </si>
  <si>
    <t>4%S NC Range 2</t>
  </si>
  <si>
    <t>&lt;$8,500</t>
  </si>
  <si>
    <t>&lt;$15,500</t>
  </si>
  <si>
    <t>$8,500 - $9,200</t>
  </si>
  <si>
    <t>$15,500 - $16,400</t>
  </si>
  <si>
    <t>$9,201 - $9,900</t>
  </si>
  <si>
    <t>$9,901 - $10,600</t>
  </si>
  <si>
    <t>Committed Sources</t>
  </si>
  <si>
    <t>$10,601 - $11,300</t>
  </si>
  <si>
    <t>$11,301 - $12,000</t>
  </si>
  <si>
    <t>$19,101 - $20,000</t>
  </si>
  <si>
    <t>&gt;$12,000</t>
  </si>
  <si>
    <t>&gt;$20,000</t>
  </si>
  <si>
    <t>Total Development Cost</t>
  </si>
  <si>
    <t>4%S A/R display</t>
  </si>
  <si>
    <t>4%S A/R Range 1</t>
  </si>
  <si>
    <t>4%S A/R Range 2</t>
  </si>
  <si>
    <t>Total $ Amount of Committed Non-WHEDA Sources</t>
  </si>
  <si>
    <t>&lt;$6,400</t>
  </si>
  <si>
    <t>&lt;$11,600</t>
  </si>
  <si>
    <t>Percent of Non-WHEDA project financing committed:</t>
  </si>
  <si>
    <t>$6,400 - $6,900</t>
  </si>
  <si>
    <t>$11,601 - $12,300</t>
  </si>
  <si>
    <t>$6,901 - $7,400</t>
  </si>
  <si>
    <t>$12,301 - $12,900</t>
  </si>
  <si>
    <t>% Committed</t>
  </si>
  <si>
    <t>$7,401 - $7,900</t>
  </si>
  <si>
    <t>$12,901 - $13,600</t>
  </si>
  <si>
    <t>&gt;10%</t>
  </si>
  <si>
    <t>$7,901 - $8,400</t>
  </si>
  <si>
    <t>$13,601 - $14,300</t>
  </si>
  <si>
    <t>0%-10%</t>
  </si>
  <si>
    <t>$8,401 - $9,000</t>
  </si>
  <si>
    <t>$14,301 - $14,900</t>
  </si>
  <si>
    <t>&gt;$9,000</t>
  </si>
  <si>
    <t>&gt;$14,900</t>
  </si>
  <si>
    <t>Maximum 25 Points</t>
  </si>
  <si>
    <t>Non-Rural Calculation</t>
  </si>
  <si>
    <t>Rural Calculation</t>
  </si>
  <si>
    <t>Section 2 Score:</t>
  </si>
  <si>
    <t xml:space="preserve">Applicants must document Development Team strength and experience. Please refer to appropriate appendix (Development Team) for detailed factors that will be considered by WHEDA in evaluating the Development Team. Applicants are encouraged to consult with WHEDA staff regarding documentation in advance of submitting their application.	</t>
  </si>
  <si>
    <t xml:space="preserve">FOR INFORMATIONAL PURPOSES ONLY - SCORING WILL BE COMPLETED BY WHEDA </t>
  </si>
  <si>
    <t>Note: Developer scoring will be done based on scores of the Primary Developer and the Co-Developer (if any). WHEDA will use the higher of the following:</t>
  </si>
  <si>
    <t>• Total points for the primary developer individually</t>
  </si>
  <si>
    <t>• The average of the total points of the primary developer and co-developer(s)</t>
  </si>
  <si>
    <t>Available Points</t>
  </si>
  <si>
    <t>Primary Developer</t>
  </si>
  <si>
    <t>2nd Co-Developer</t>
  </si>
  <si>
    <t>A. Emerging Developers (maximum of 2 points)</t>
  </si>
  <si>
    <t>Applications that include an emerging developer or emerging co‐developer that have at least 49% stake in all aspects of the development including but not limited to ownership, cash‐flow, and voting rights.</t>
  </si>
  <si>
    <t>Codeveloper</t>
  </si>
  <si>
    <t>Primary</t>
  </si>
  <si>
    <t>2nd Codeveloper</t>
  </si>
  <si>
    <t>Applications that include an emerging developer or emerging co‐developer that have at least 24% stake in all aspects of the development including but not limited to ownership, cash‐flow, and voting rights.</t>
  </si>
  <si>
    <t>B. WHEDA evaluation of capacity, delivery of prior HTC properties and timely &amp; accurate completion of prior HTC applications and awards (maximum of 2 points)</t>
  </si>
  <si>
    <t xml:space="preserve">C. Nonprofit Developers (maximum of 2 points) </t>
  </si>
  <si>
    <t>Two points will be awarded for applications that include a Nonprofit organization, acting as Developer and Owner, that meets the requirements for applicants in the Nonprofit Set-Aside. Nonprofit points will only be applied to the Nonprofit entity only.</t>
  </si>
  <si>
    <r>
      <rPr>
        <b/>
        <sz val="11"/>
        <color theme="1"/>
        <rFont val="Calibri"/>
        <family val="2"/>
        <scheme val="minor"/>
      </rPr>
      <t>Note:</t>
    </r>
    <r>
      <rPr>
        <sz val="11"/>
        <color theme="1"/>
        <rFont val="Calibri"/>
        <family val="2"/>
        <scheme val="minor"/>
      </rPr>
      <t xml:space="preserve"> Developers and Co-developers for properties owned by Public Housing Authorities or Tribal Housing Authorities will not be required to have an ownership role in the property.</t>
    </r>
  </si>
  <si>
    <t>WHEDA will continue to reserve the right to deduct up to 6 points for non-compliance with a previous HTC award’s representation of scope, support services, design, energy efficiency, amenities, score, certifications, or nonpayment of fees.</t>
  </si>
  <si>
    <t>Subtotals</t>
  </si>
  <si>
    <t>CoDev1</t>
  </si>
  <si>
    <t>CoDev2</t>
  </si>
  <si>
    <t>WHEDA will award points for sites acquired via a publicly controlled process including:</t>
  </si>
  <si>
    <t xml:space="preserve">• Successful respondent to a city or local competitive RFP/RFQ to develop a project on publicly-controlled land. There cannot be an identity of interest between the issuer and awardee. </t>
  </si>
  <si>
    <t>• Sites located on Federally-Designated Tribal Land</t>
  </si>
  <si>
    <t>WHEDA will limit the number of points awarded in this category to two per competitive cycle in any city/Tribe, and no more than one to any developer.</t>
  </si>
  <si>
    <t>Check if Included or N/A</t>
  </si>
  <si>
    <t>Item Number</t>
  </si>
  <si>
    <t>Item Name</t>
  </si>
  <si>
    <t>HTC Application Fee</t>
  </si>
  <si>
    <t xml:space="preserve">$1,000 (24 Units or Fewer) or $2,000 (Over 24 Units). Include copy of Fee Remittance Form on WHEDA.com. Credit will not be reserved, allocated, or allowed without payment of these respective fees. Payment of the Project Concept Application Fee will be applied toward the Full Application Fee for Competitive HTC Applications. </t>
  </si>
  <si>
    <t>Application Checklist</t>
  </si>
  <si>
    <t>Complete this checklist to indicate which items are included with the application submission.</t>
  </si>
  <si>
    <t>Application Workbook</t>
  </si>
  <si>
    <t xml:space="preserve">Excel copy of completed Multifamily Application Workbook and PDF copy of Tax Credit Signatures tab signed/dated by both primary applicant and co-applicant(s) (if applicable). </t>
  </si>
  <si>
    <t xml:space="preserve">A signed &amp; accepted photocopy of an unexpired contract (offer or option to purchase/deed) between the current owner and the seller for purchase of the property, or a photocopy of the deed if the title has been transferred. Must identify site location (i.e., legal description, address) of the property, terms of sale, price, etc. If seller financing, must identify in offer/option to purchase and submit appraisal supporting value. Options to purchase must extend a minimum of 90 days beyond the application submission date. </t>
  </si>
  <si>
    <t xml:space="preserve">Evidence that permissive zoning is in place for the proposed project including number of residential units and any other project elements such as commercial space or Community Service Facility. Final plan approval is not required. </t>
  </si>
  <si>
    <t>Phase I Environmental Site Assessement</t>
  </si>
  <si>
    <t>A Phase I conforming to ASTM – E1527-21. If RECs are identified, the Owner must take all necessary steps to either (a) confirm that no further action is necessary, or (b) have in place a Remedial Action Plan or similar approved by WDNR prior to construction start. Potential vapor intrusion concerns must also be fully investigated to the satisfaction of WDNR, and any remedial action related to vapor intrusion must be included as a part of any Remedial Action Plan or similar approved by WDNR. Any required remedial actions to be completed during construction must be included in the project budget, and evidenced with 8069 Submission.</t>
  </si>
  <si>
    <t>Organizational Chart</t>
  </si>
  <si>
    <t>Detailed listing and/or organizational chart of all individuals or corporate entities that will maintain 20% or greater ownership in the managing member or general partner.</t>
  </si>
  <si>
    <t>Development Agreement</t>
  </si>
  <si>
    <t>If project includes co-developer(s), Development Agreement or MOU between the lead developer and co-developer(s) describing the payment of developer fees and the development duties to be performed by each party.</t>
  </si>
  <si>
    <t>Delinquent Taxpayer</t>
  </si>
  <si>
    <t xml:space="preserve">Complete background check for any owners having 20% or more ownership interest for Delinquent Taxes at: https://revenue.wi.gov/Pages/HTML/delqlist.aspx or https://www.wicourts.gov/casesearch.htm. If there is a delinquency in either record, Application is not eligible for an Award. Nonprofit entities are exempt. </t>
  </si>
  <si>
    <t>Delinquent Child Support</t>
  </si>
  <si>
    <t xml:space="preserve">Complete background check for any owners having 20% or more ownership interest for Delinquent Child Support at: https://liendocket.wisconsin.gov/Secure/LienDocketSearch.aspx or https://www.wicourts.gov/casesearch.htm. If there is a delinquency in either record, Application is not eligible for an Award. Nonprofit entities are exempt. </t>
  </si>
  <si>
    <t>Building and Site Plans</t>
  </si>
  <si>
    <t>Schematic Design plans including site plan and identification of all units and amenities required for threshold or scoring purposes including: 
• Site Plan that includes zoning classification, setbacks, parking counts, gross building square footages, and residential square footages (all heated area)  
• Floor Level Floor Plans (i.e. Basement, 1st, 2nd, 3rd &amp; 4th Floors) with unit types boxed out with proposed amenity package, and identification of Design Requirements (Appendix M) and any design elements for which the application is requesting points in a Scoring Category.</t>
  </si>
  <si>
    <t>Design Requirements</t>
  </si>
  <si>
    <t xml:space="preserve">Copy of Appendix M signed by Applicant/Owner and Architect/Engineer indicating that all Development Requirements outlined in Appendix M will be incorporated in the completed development. </t>
  </si>
  <si>
    <t>Market Study must support proposed rents. Refer to Appendix A. Studies will be considered "stale" after six (6) months but may be updated by the provider. Studies w/appropriate updates are considered stale after 18 months from original market study date.  Confirm completed by an approved provider on WHEDA's list.</t>
  </si>
  <si>
    <t xml:space="preserve">Evidence that 80% of Funding Sources are committed. Acceptable Sources:
• WHEDA as the permanent debt lender, applicant must use WHEDA's current loan terms. Other terms can be used if a term specific executed financing commitment accompanies the application.  
• Loans or grant with a firm commitment from the lender/grantor/government entity identifying amount, interest rate, term, and amortization.  
• Historic tax credit equity - letter of intent from the syndicator/investor, written evidence that historic designation (Part I) has been applied for, or that the building is already deemed historic, and detailed calculation of the credit and equity amounts. 
• HTC equity if pricing falls within WHEDA's published guidance or if supported by executed LOI.
• Sellers Note –  value supported by an appraisal and note or other commitment provided (or language included in offer/option). 
Commitments (must have word "commitment") or award letters for any non-WHEDA source must be provided and should be signed by both parties.  Letter of intent, proposal or expression of interest are not acceptable, must list rate, term, amortization.  Contingency for HTC award is acceptable but other contingencies that are outside of the applicant’s control such as further underwriting, or loan committee approval are not acceptable. Deferred developer fees or other developer financing will not count towards the 80% committed funding sources. </t>
  </si>
  <si>
    <t>Rental Assistance</t>
  </si>
  <si>
    <t>If the proposed unit mix indicates voucher units and includes rents that exceed HTC maximum rent limits or other underwriting requirements, evidence of firm commitments for rental subsidy must be submitted. Commitments must be fully executed and must identify the project to which the vouchers will be committed and must include the number of units to be supported, the rents to be paid by the rental assistance, and the term of the commitment. Examples of allowable rental assistance include: Project-based Section 8 HAP or vouchers, operating subsidy or capitalized operating fund, or other rental subsidy assistance provided by a public housing authority or other government entity.</t>
  </si>
  <si>
    <t>50% Test</t>
  </si>
  <si>
    <t>Evidence the tax-exempt bond amount listed on the funding sources tab is 50% or more of the Aggregate Basis (4% transactions only)</t>
  </si>
  <si>
    <t>Acquisition and Rehabilitation Projects</t>
  </si>
  <si>
    <t>Capital Needs Assessment</t>
  </si>
  <si>
    <r>
      <t xml:space="preserve">Capital Needs Assessment with “Scope of Work” attached: Refer to Appendix G &amp; Appendix G1 (no older than 24 months). Unit inspection frequency must conform with Appendix G. Confirm CNA provider is </t>
    </r>
    <r>
      <rPr>
        <sz val="11"/>
        <color theme="1"/>
        <rFont val="Calibri"/>
        <family val="2"/>
        <scheme val="minor"/>
      </rPr>
      <t xml:space="preserve">on WHEDA's approved provider list. Adaptive reuse projects do not need to submit. </t>
    </r>
  </si>
  <si>
    <t>Operating Statements</t>
  </si>
  <si>
    <t xml:space="preserve"> If submitting operating expenses or vacancy rates outside of the expected ranges, provide a copy of last three (3) years P&amp;L (revenue &amp; expenses) statements for currently operating developments. </t>
  </si>
  <si>
    <t>Rent roll</t>
  </si>
  <si>
    <t>If project is currently occupied, rent roll must be dated not more than 60 days prior to application and identify all residents whose incomes currently exceed tax credit maximums.</t>
  </si>
  <si>
    <t>Relocation</t>
  </si>
  <si>
    <r>
      <t>Provide plan addressing any proposed temporary relocation, or any proposed permanent relocation of over- income residents. The plan should meet the standards es</t>
    </r>
    <r>
      <rPr>
        <sz val="11"/>
        <color theme="1"/>
        <rFont val="Calibri"/>
        <family val="2"/>
        <scheme val="minor"/>
      </rPr>
      <t xml:space="preserve">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 </t>
    </r>
  </si>
  <si>
    <t>Appendix N</t>
  </si>
  <si>
    <t xml:space="preserve">For projects preserving Federal Assistance, provide all documents required per Appendix N.  </t>
  </si>
  <si>
    <t>For projects preserving expiring Housing Tax Credits, provide a copy of the original recorded LURA.</t>
  </si>
  <si>
    <t>Projects Requesting Acquisition Credits</t>
  </si>
  <si>
    <t>Appraisal</t>
  </si>
  <si>
    <r>
      <rPr>
        <sz val="11"/>
        <color theme="1"/>
        <rFont val="Calibri"/>
        <family val="2"/>
        <scheme val="minor"/>
      </rPr>
      <t xml:space="preserve">Establishes “As-is market value” for any project requesting 4% Acquisition Credit (includes both Acquisition/Rehab and Adaptive Re-Use transactions). Must be conducted by third-party appraiser with general certification. </t>
    </r>
    <r>
      <rPr>
        <u/>
        <sz val="11"/>
        <color theme="1"/>
        <rFont val="Calibri"/>
        <family val="2"/>
        <scheme val="minor"/>
      </rPr>
      <t xml:space="preserve">Must also be completed if requesting to use seller financing as part of committed sources. </t>
    </r>
  </si>
  <si>
    <t>10 Year Rule</t>
  </si>
  <si>
    <t>Documentation of placed-in-service date (note or other documentation) and that current owner has owned the development for 10 years or more (seller's warranty deed). (Waived for any federally assisted building such as Sec. 8, Sec. 236, Sec. 515 etc.)</t>
  </si>
  <si>
    <t>Nonprofit-Led Projects</t>
  </si>
  <si>
    <t>Appendix B</t>
  </si>
  <si>
    <t>Completed Appendix B with all documentation attached. Note: Non-profit must be named as the "Primary Applicant/Developer" and sign the application.</t>
  </si>
  <si>
    <t>Rural/Small Urban Set-Aside Projects</t>
  </si>
  <si>
    <t>Appendix U</t>
  </si>
  <si>
    <t>Map verifying project location in eligible municipality.</t>
  </si>
  <si>
    <t>Appendix O</t>
  </si>
  <si>
    <t xml:space="preserve">Projects using USDA Section 515 or other financing must submit a completed Appendix O. </t>
  </si>
  <si>
    <r>
      <rPr>
        <b/>
        <sz val="11"/>
        <rFont val="Calibri"/>
        <family val="2"/>
        <scheme val="minor"/>
      </rPr>
      <t>Census Tract Identification</t>
    </r>
    <r>
      <rPr>
        <sz val="11"/>
        <rFont val="Calibri"/>
        <family val="2"/>
        <scheme val="minor"/>
      </rPr>
      <t>: Provide documentation of the census tract in which the project site is located.</t>
    </r>
  </si>
  <si>
    <r>
      <t>School District:</t>
    </r>
    <r>
      <rPr>
        <sz val="11"/>
        <rFont val="Calibri"/>
        <family val="2"/>
        <scheme val="minor"/>
      </rPr>
      <t xml:space="preserve"> Identify the School District that includes the site, along with a map or other documentation confirming that the site is within the identified school district.</t>
    </r>
  </si>
  <si>
    <r>
      <t xml:space="preserve">Access to Services and Amenities: </t>
    </r>
    <r>
      <rPr>
        <sz val="11"/>
        <rFont val="Calibri"/>
        <family val="2"/>
        <scheme val="minor"/>
      </rPr>
      <t xml:space="preserve">Include a map with distance measurements, clear color photos, contact person, and contact information. At WHEDA’s discretion, absence of those items may result in the project not receiving points claimed. Exclusions are outlined at the bottom of this category on Tab 21. </t>
    </r>
  </si>
  <si>
    <t>A.2. Lower Income Areas</t>
  </si>
  <si>
    <r>
      <rPr>
        <b/>
        <sz val="11"/>
        <color theme="1"/>
        <rFont val="Calibri"/>
        <family val="2"/>
        <scheme val="minor"/>
      </rPr>
      <t>Qualified Census Tract:</t>
    </r>
    <r>
      <rPr>
        <sz val="11"/>
        <color theme="1"/>
        <rFont val="Calibri"/>
        <family val="2"/>
        <scheme val="minor"/>
      </rPr>
      <t xml:space="preserve"> Attach a print-out of the project's census tract from American Fact Finder or similar program. In addition, highlight the related census tract on WHEDA's Appendix E.</t>
    </r>
  </si>
  <si>
    <r>
      <rPr>
        <b/>
        <sz val="11"/>
        <color theme="1"/>
        <rFont val="Calibri"/>
        <family val="2"/>
        <scheme val="minor"/>
      </rPr>
      <t xml:space="preserve">Community Revitalization or Redevelopment Plan: </t>
    </r>
    <r>
      <rPr>
        <sz val="11"/>
        <color theme="1"/>
        <rFont val="Calibri"/>
        <family val="2"/>
        <scheme val="minor"/>
      </rPr>
      <t xml:space="preserve"> Provide a PDF of the plan, or the website location. Include a write up explaining how the plan meets each of the five requirements. If two points are being requested, the write up should also identify where in the plan the need for affordable and/or rental housing in the specific area of the project is discussed. </t>
    </r>
  </si>
  <si>
    <t>A.3. Workforce Housing Community</t>
  </si>
  <si>
    <r>
      <rPr>
        <b/>
        <sz val="11"/>
        <color rgb="FF000000"/>
        <rFont val="Calibri"/>
        <family val="2"/>
      </rPr>
      <t xml:space="preserve">Top Growth Centers: </t>
    </r>
    <r>
      <rPr>
        <sz val="11"/>
        <color rgb="FF000000"/>
        <rFont val="Calibri"/>
        <family val="2"/>
      </rPr>
      <t>Evidence site is located within a a geographic area associated with the amount of points being requested.</t>
    </r>
  </si>
  <si>
    <r>
      <rPr>
        <b/>
        <sz val="11"/>
        <color rgb="FF000000"/>
        <rFont val="Calibri"/>
        <family val="2"/>
        <scheme val="minor"/>
      </rPr>
      <t xml:space="preserve">Net Job Growth: </t>
    </r>
    <r>
      <rPr>
        <sz val="11"/>
        <color rgb="FF000000"/>
        <rFont val="Calibri"/>
        <family val="2"/>
        <scheme val="minor"/>
      </rPr>
      <t>Evidence site is located within a geographic area associated with the amount of points being requested</t>
    </r>
    <r>
      <rPr>
        <b/>
        <sz val="11"/>
        <color rgb="FF000000"/>
        <rFont val="Calibri"/>
        <family val="2"/>
        <scheme val="minor"/>
      </rPr>
      <t>.</t>
    </r>
  </si>
  <si>
    <t>A.4. Rehabilitation/ Neighborhood Stabilization</t>
  </si>
  <si>
    <t>City/Tribal Support Letter</t>
  </si>
  <si>
    <r>
      <t xml:space="preserve">Current Rent Schedule: </t>
    </r>
    <r>
      <rPr>
        <sz val="11"/>
        <rFont val="Calibri"/>
        <family val="2"/>
        <scheme val="minor"/>
      </rPr>
      <t xml:space="preserve">Only if currently occupied rental property. Must reflect income of residents and gross monthly rent. </t>
    </r>
  </si>
  <si>
    <r>
      <t xml:space="preserve">Relocation Certification: </t>
    </r>
    <r>
      <rPr>
        <sz val="11"/>
        <rFont val="Calibri"/>
        <family val="2"/>
        <scheme val="minor"/>
      </rPr>
      <t xml:space="preserve">Plan must meet standards established by the Federal Uniform Relocation Act (URL). WHEDA prohibits permanent displacement of residents, including those whose incomes are known to or are estimated to exceed tax credit maximums. </t>
    </r>
  </si>
  <si>
    <r>
      <t xml:space="preserve">Last Three (3) Years P &amp; L (Revenue &amp; Expenses): </t>
    </r>
    <r>
      <rPr>
        <sz val="11"/>
        <rFont val="Calibri"/>
        <family val="2"/>
        <scheme val="minor"/>
      </rPr>
      <t xml:space="preserve">Statements only required for currently operating developments. </t>
    </r>
  </si>
  <si>
    <r>
      <t xml:space="preserve">Map: </t>
    </r>
    <r>
      <rPr>
        <sz val="11"/>
        <rFont val="Calibri"/>
        <family val="2"/>
        <scheme val="minor"/>
      </rPr>
      <t>Must show property clustering no greater than one-half (1/2) mile radius for non-tribal locations.</t>
    </r>
  </si>
  <si>
    <r>
      <t xml:space="preserve">Municipality letter: </t>
    </r>
    <r>
      <rPr>
        <sz val="11"/>
        <rFont val="Calibri"/>
        <family val="2"/>
        <scheme val="minor"/>
      </rPr>
      <t>Outlining support of the proposed clustering of sites</t>
    </r>
    <r>
      <rPr>
        <b/>
        <sz val="11"/>
        <rFont val="Calibri"/>
        <family val="2"/>
        <scheme val="minor"/>
      </rPr>
      <t>.</t>
    </r>
  </si>
  <si>
    <r>
      <t xml:space="preserve">Financial Support Commitment: </t>
    </r>
    <r>
      <rPr>
        <sz val="11"/>
        <rFont val="Calibri"/>
        <family val="2"/>
        <scheme val="minor"/>
      </rPr>
      <t xml:space="preserve">Fully executed firm commitment from local government and/or private institutions or foundations reflecting a minimum of 5% of total development costs in financial support. </t>
    </r>
  </si>
  <si>
    <r>
      <rPr>
        <b/>
        <sz val="11"/>
        <rFont val="Calibri"/>
        <family val="2"/>
        <scheme val="minor"/>
      </rPr>
      <t xml:space="preserve">Unit Mix: </t>
    </r>
    <r>
      <rPr>
        <sz val="11"/>
        <rFont val="Calibri"/>
        <family val="2"/>
        <scheme val="minor"/>
      </rPr>
      <t xml:space="preserve">Unit designations on the Unit Mix tab must be selected to meet the scoring requirements to be eligible for points: Either between 5% - 100% of units identified as 3 BR Family units or greater than 50% of units identified as Age Restricted. </t>
    </r>
  </si>
  <si>
    <r>
      <rPr>
        <b/>
        <sz val="11"/>
        <rFont val="Calibri"/>
        <family val="2"/>
        <scheme val="minor"/>
      </rPr>
      <t xml:space="preserve">Market Study: </t>
    </r>
    <r>
      <rPr>
        <sz val="11"/>
        <rFont val="Calibri"/>
        <family val="2"/>
        <scheme val="minor"/>
      </rPr>
      <t>Clearly identify the development as "Family" or "Senior/Age-Restricted" to claim points.</t>
    </r>
  </si>
  <si>
    <t>B.2. Serves Lowest-Income Residents</t>
  </si>
  <si>
    <r>
      <rPr>
        <b/>
        <sz val="11"/>
        <rFont val="Calibri"/>
        <family val="2"/>
        <scheme val="minor"/>
      </rPr>
      <t xml:space="preserve">Market Study: </t>
    </r>
    <r>
      <rPr>
        <sz val="11"/>
        <rFont val="Calibri"/>
        <family val="2"/>
        <scheme val="minor"/>
      </rPr>
      <t>Must show sufficient market for target population.</t>
    </r>
  </si>
  <si>
    <r>
      <t xml:space="preserve">Rental Assistance: </t>
    </r>
    <r>
      <rPr>
        <sz val="11"/>
        <color rgb="FF000000"/>
        <rFont val="Calibri"/>
        <family val="2"/>
        <scheme val="minor"/>
      </rPr>
      <t>Provide evidence of type of rental assistance by providing a copy of the firm commitment that meets the requirements defined in Threshold Checklist Item #16.</t>
    </r>
  </si>
  <si>
    <r>
      <rPr>
        <b/>
        <sz val="11"/>
        <color rgb="FF000000"/>
        <rFont val="Calibri"/>
        <family val="2"/>
        <scheme val="minor"/>
      </rPr>
      <t xml:space="preserve">Appendix S or Appendix T Certification: </t>
    </r>
    <r>
      <rPr>
        <sz val="11"/>
        <color rgb="FF000000"/>
        <rFont val="Calibri"/>
        <family val="2"/>
        <scheme val="minor"/>
      </rPr>
      <t xml:space="preserve">Provide a fully executed/completed Appendix S or T form as applicable to the target tenancy and all required supporting documentation identified on the Appendix. </t>
    </r>
  </si>
  <si>
    <t>B.4. Veterans Housing</t>
  </si>
  <si>
    <r>
      <t xml:space="preserve">MOU: </t>
    </r>
    <r>
      <rPr>
        <sz val="11"/>
        <rFont val="Calibri"/>
        <family val="2"/>
        <scheme val="minor"/>
      </rPr>
      <t xml:space="preserve">Signed MOU with a County or Tribal Veterans Service Office or a Veteran-specific service provider. The MOU must describe a referral and outreach system to connect potential veteran residents with local or State Veteran-specific services and resources. </t>
    </r>
  </si>
  <si>
    <t xml:space="preserve">C.1. Energy Efficiency and Sustainability </t>
  </si>
  <si>
    <r>
      <rPr>
        <b/>
        <sz val="11"/>
        <color theme="1"/>
        <rFont val="Calibri"/>
        <family val="2"/>
        <scheme val="minor"/>
      </rPr>
      <t>Sustainable Design:</t>
    </r>
    <r>
      <rPr>
        <sz val="11"/>
        <color theme="1"/>
        <rFont val="Calibri"/>
        <family val="2"/>
        <scheme val="minor"/>
      </rPr>
      <t xml:space="preserve"> Provide architect certification identifying type of sustainability standards project will be constructed to achieve. </t>
    </r>
  </si>
  <si>
    <r>
      <rPr>
        <b/>
        <sz val="11"/>
        <color theme="1"/>
        <rFont val="Calibri"/>
        <family val="2"/>
        <scheme val="minor"/>
      </rPr>
      <t>Public Transportation:</t>
    </r>
    <r>
      <rPr>
        <sz val="11"/>
        <color theme="1"/>
        <rFont val="Calibri"/>
        <family val="2"/>
        <scheme val="minor"/>
      </rPr>
      <t xml:space="preserve"> Provide a map showing that the site is no more than one-half (0.5) mile from a regularly scheduled bus stop (measured as the crow flies). If available, please submit the bus schedule as well. For properties eligible for the rural set-aside, provide evidence of "on call" transportation programs that provide the users a choice of local destinations. </t>
    </r>
  </si>
  <si>
    <r>
      <t xml:space="preserve">Architect's Certification: </t>
    </r>
    <r>
      <rPr>
        <sz val="11"/>
        <rFont val="Calibri"/>
        <family val="2"/>
        <scheme val="minor"/>
      </rPr>
      <t xml:space="preserve">Architect must certify that the items checked will be incorporated into the development. (Refer to Self-Scoring Exhibit). </t>
    </r>
  </si>
  <si>
    <r>
      <t xml:space="preserve">Floor Plans: </t>
    </r>
    <r>
      <rPr>
        <sz val="11"/>
        <rFont val="Calibri"/>
        <family val="2"/>
        <scheme val="minor"/>
      </rPr>
      <t xml:space="preserve">Applicants are encouraged to include design elements selected for Universal Design points on the Site and Building Plans. Multi-story units requesting roll-in shower points must show that the feature is located on an accessible floor level. </t>
    </r>
  </si>
  <si>
    <t xml:space="preserve">Submit Resident Homeownership Plan </t>
  </si>
  <si>
    <r>
      <t xml:space="preserve">Cost Outline: </t>
    </r>
    <r>
      <rPr>
        <sz val="11"/>
        <rFont val="Calibri"/>
        <family val="2"/>
        <scheme val="minor"/>
      </rPr>
      <t>Include attachment that clearly identifies the costs, basis, and LIHTC's attributable to the Community Service Facilities broken out from the other costs in the project budget</t>
    </r>
    <r>
      <rPr>
        <b/>
        <sz val="11"/>
        <rFont val="Calibri"/>
        <family val="2"/>
        <scheme val="minor"/>
      </rPr>
      <t>.</t>
    </r>
  </si>
  <si>
    <r>
      <rPr>
        <b/>
        <sz val="11"/>
        <color theme="1"/>
        <rFont val="Calibri"/>
        <family val="2"/>
        <scheme val="minor"/>
      </rPr>
      <t>MOU:</t>
    </r>
    <r>
      <rPr>
        <sz val="11"/>
        <color theme="1"/>
        <rFont val="Calibri"/>
        <family val="2"/>
        <scheme val="minor"/>
      </rPr>
      <t xml:space="preserve"> Include an executed Memorandum of Understanding between the property owner and the operator of the Community Service Facility including but not limited to a description of the use of the property, the services provided, a statement that the services are available throughout the year, and a statement that the facility was used primarily to provide services for individuals whose income is 60% or less than the area's median gross income. </t>
    </r>
  </si>
  <si>
    <r>
      <t xml:space="preserve">Fee Certification: </t>
    </r>
    <r>
      <rPr>
        <sz val="11"/>
        <rFont val="Calibri"/>
        <family val="2"/>
        <scheme val="minor"/>
      </rPr>
      <t>Provide a statement that any fees charged for the services provided in the facility must be affordable to persons at or below the 60% income level</t>
    </r>
    <r>
      <rPr>
        <b/>
        <sz val="11"/>
        <rFont val="Calibri"/>
        <family val="2"/>
        <scheme val="minor"/>
      </rPr>
      <t>.</t>
    </r>
  </si>
  <si>
    <r>
      <t xml:space="preserve">Permissive Zoning: </t>
    </r>
    <r>
      <rPr>
        <sz val="11"/>
        <rFont val="Calibri"/>
        <family val="2"/>
        <scheme val="minor"/>
      </rPr>
      <t>Evidence that permissive zoning is in place for the proposed Community Service Facility</t>
    </r>
    <r>
      <rPr>
        <b/>
        <sz val="11"/>
        <rFont val="Calibri"/>
        <family val="2"/>
        <scheme val="minor"/>
      </rPr>
      <t>.</t>
    </r>
  </si>
  <si>
    <r>
      <t xml:space="preserve">Market Study: </t>
    </r>
    <r>
      <rPr>
        <sz val="11"/>
        <rFont val="Calibri"/>
        <family val="2"/>
        <scheme val="minor"/>
      </rPr>
      <t>The need for services provided by the Community Service Facility must be clearly stipulated</t>
    </r>
    <r>
      <rPr>
        <b/>
        <sz val="11"/>
        <rFont val="Calibri"/>
        <family val="2"/>
        <scheme val="minor"/>
      </rPr>
      <t>.</t>
    </r>
  </si>
  <si>
    <r>
      <t xml:space="preserve">Summary of Developer's Relevant Experience: </t>
    </r>
    <r>
      <rPr>
        <sz val="11"/>
        <rFont val="Calibri"/>
        <family val="2"/>
        <scheme val="minor"/>
      </rPr>
      <t>entire HTC portfolio performance (WHEDA reserves the right to verify), and release of information form and any other supporting documentation that the applicant believes is relevant to document the experience and performance of the Development Team. (Refer to Appendix P and Development Team Experience Form)</t>
    </r>
    <r>
      <rPr>
        <b/>
        <sz val="11"/>
        <rFont val="Calibri"/>
        <family val="2"/>
        <scheme val="minor"/>
      </rPr>
      <t>.</t>
    </r>
  </si>
  <si>
    <r>
      <t xml:space="preserve">Nonprofit Organization Acting as Developer and Owner: </t>
    </r>
    <r>
      <rPr>
        <sz val="11"/>
        <rFont val="Calibri"/>
        <family val="2"/>
        <scheme val="minor"/>
      </rPr>
      <t xml:space="preserve">If requesting points, include materials required as noted in Appendix B. </t>
    </r>
  </si>
  <si>
    <r>
      <t xml:space="preserve">Development Agreement or Memorandum of Understanding: </t>
    </r>
    <r>
      <rPr>
        <sz val="11"/>
        <rFont val="Calibri"/>
        <family val="2"/>
        <scheme val="minor"/>
      </rPr>
      <t>Must identify the lead developer and co-developer and describe both the payment of developer fees and the development duties to be performed by each party.</t>
    </r>
  </si>
  <si>
    <r>
      <t xml:space="preserve">Controlling Emerging Developers Experience: </t>
    </r>
    <r>
      <rPr>
        <sz val="11"/>
        <rFont val="Calibri"/>
        <family val="2"/>
        <scheme val="minor"/>
      </rPr>
      <t xml:space="preserve">Must evidence acceptable previous experience in the development and/or operation of housing similar to that proposed in the application, or is  a recent graduate of Marquette University's Associates in Commercial Real Estate program (or an equivalent program at another educational institution). </t>
    </r>
  </si>
  <si>
    <r>
      <t>Appendix J - Emerging Developer Certification:</t>
    </r>
    <r>
      <rPr>
        <sz val="11"/>
        <rFont val="Calibri"/>
        <family val="2"/>
        <scheme val="minor"/>
      </rPr>
      <t xml:space="preserve"> Completed certification in Appendix P must be included.</t>
    </r>
  </si>
  <si>
    <r>
      <t xml:space="preserve">RFP/RFQ Recipient: </t>
    </r>
    <r>
      <rPr>
        <sz val="11"/>
        <rFont val="Calibri"/>
        <family val="2"/>
        <scheme val="minor"/>
      </rPr>
      <t xml:space="preserve">Provide a copy of the RFP/RFQ and a copy of the award notification.
</t>
    </r>
    <r>
      <rPr>
        <b/>
        <sz val="11"/>
        <rFont val="Calibri"/>
        <family val="2"/>
        <scheme val="minor"/>
      </rPr>
      <t xml:space="preserve">Federally Designated Tribal Land: </t>
    </r>
    <r>
      <rPr>
        <sz val="11"/>
        <rFont val="Calibri"/>
        <family val="2"/>
        <scheme val="minor"/>
      </rPr>
      <t>Evidence that the site is within a federally designated tribal land.</t>
    </r>
  </si>
  <si>
    <t>WHEDA Loan Signature Page</t>
  </si>
  <si>
    <t>APPLICANT CERTIFICATION</t>
  </si>
  <si>
    <t>The Undersigned hereby acknowledges and certifies to the Wisconsin Housing and Economic Development Authority ( the "Authority"), individually and on behalf of the Applicant/Developer (the "Applicant")</t>
  </si>
  <si>
    <t>as part of this application for Authority mortgage loan financing in the</t>
  </si>
  <si>
    <t>amount of</t>
  </si>
  <si>
    <t>for the</t>
  </si>
  <si>
    <t xml:space="preserve">(the "Development")(the "Application") located at </t>
  </si>
  <si>
    <t>as follows:</t>
  </si>
  <si>
    <t>The information contained in the Application, including all statements and certifications attached hereto, is true and correct and has been prepared with due diligence. The Applicant has an affirmative duty to notify the Authority with regard to any changes to the information contained in the Application or to the Development. The Applicant knows of no facts or circumstances that would threaten or adversely affect the Development and cause the information in the Application to be incorrect or misleading. The Authority or its agents may make verification of information contained in the Application at any time.</t>
  </si>
  <si>
    <t>The Applicant agrees to indemnify and hold harmless the Authority, its members, officers, employees, and agents, from and against, any and all claims, suits, damages, costs and expenses arising out of the Authority's review of and decisions with regard to the Application. Authority analysis and review of the Application and related documentation is for its own purposes. The Applicant is not entitled to rely on such analysis and review. The Authority is not responsible for any actions taken by Applicant in reliance on a prospective financing commitment from the Authority. The Authority is not liable for damages resulting directly or indirectly from such actions. A financing commitment does not exist until the Authority has issued a Loan Approval Commitment Letter and the Applicant has accepted such Letter.</t>
  </si>
  <si>
    <t>Misleading information or misrepresentation contained in the Application may result in the termination of the underwriting/approval process, a revocation of loan approval and/or prohibition from participation in Authority programs.</t>
  </si>
  <si>
    <t>The Contract Documents when entered into by the Authority and the Applicant shall supersede all discussions, negotiations and agreements with regard to the Application.</t>
  </si>
  <si>
    <t>The execution and delivery of the Application and this document is duly authorized and binding on the Applicant.</t>
  </si>
  <si>
    <t>Your signature on the authorization below will permit WHEDA to make requests of any individual, firm, or other normal sources of debt or credit information. Without your express written consent, however, WHEDA will not unnecessarily release credit information to any individual or firm not affiliated with WHEDA, or not related to the transaction under consideration. Your authorization will also permit WHEDA and its commonly-controlled entities to exchange account and credit information from time to time with any of the banking or non-banking affiliates of WHEDA.</t>
  </si>
  <si>
    <t>The borrower, by initialing the line below, grants permission to WHEDA to issue a press release of the Multifamily Loan Approval.</t>
  </si>
  <si>
    <t>Borrowers Initials</t>
  </si>
  <si>
    <t>If requested by WHEDA, the applicant/owner agrees to provide accurate, good faith estimates of permanent and/or temporary (construction) jobs to be created or actually created as a result of the Development.</t>
  </si>
  <si>
    <t>Name of Applicant</t>
  </si>
  <si>
    <t>By</t>
  </si>
  <si>
    <t>Name and Title</t>
  </si>
  <si>
    <t>Housing Tax Credit Signature Page</t>
  </si>
  <si>
    <t>The Undersigned hereby acknowledges and certifies to Wisconsin Housing and Economic Development Authority (WHEDA), individually, and on behalf of the Applicant and the Development as part of this application for Low-Income Housing Tax Credit (the Credit) for the (the Development) (this Application) as follows:</t>
  </si>
  <si>
    <t>The Development Team is familiar with Section 42 of the Internal Revenue Code and the related rules and regulations there under (the Code) and the rules and requirements of WHEDA (the Requirements) with regard to the Credit, agrees to be bound by the Code and the Requirements and is in compliance with the Code and the Requirements.</t>
  </si>
  <si>
    <t>The information contained in this Application, including all statements and certifications attached hereto, is true and correct and has been prepared with due diligence. The Development Team has an affirmative duty to notify WHEDA with regard to any changes regarding this Application or the Development. The Development Team knows of no facts or circumstances that would threaten or adversely affect the Development and cause the information in this Application to be incorrect or misleading.</t>
  </si>
  <si>
    <t>WHEDA is subject to Chapter 19 of the Wisconsin Statutes (the Open Records Law). The Development Team hereby consents to disclosure of this Application and related documentation pursuant to the Open Records Law.</t>
  </si>
  <si>
    <t>The Development Team agrees to indemnify and hold harmless WHEDA, its members, officers, employees, and agents, from and against any and all claims, suits, damages, costs and expenses arising out of WHEDA's review of and decision with regard to this Application or WHEDA's disclosure of any information pursuant to the Open Records Law. WHEDA makes no representations regarding compliance with the Code or the effect of the Credit on a particular taxpayer. WHEDA review of this Application and related documentation is for its own purposes.</t>
  </si>
  <si>
    <t>Misleading information or representations contained in this Application may result in a revocation of Credit, notification to the Internal Revenue Service and prohibition from participation in the Credit program.</t>
  </si>
  <si>
    <t>The Development Team hereby certifies that the project will be (or has been) constructed in accordance with ADA and Fair Housing Standards.</t>
  </si>
  <si>
    <t>The execution and delivery of this Application and this document is duly authorized and binding on the Development Team.</t>
  </si>
  <si>
    <t>The applicant understands and agrees that all LIHTC application materials and submitted documents may be shared with representatives of HUD and USDA Rural Development under Requirements contained in any Memoranda of Understanding (MOU) executed by and between WHEDA and those agencies.</t>
  </si>
  <si>
    <t>If requested by WHEDA, the applicant/owner agrees to provide accurate, good faith estimates of permanent and/or temporary (construction) jobs to be created or actually created as a result of the Development</t>
  </si>
  <si>
    <t>Applicant Entity (Initial Application)</t>
  </si>
  <si>
    <t>Ownership Entity (Subsequent Applications)</t>
  </si>
  <si>
    <t xml:space="preserve">Name of Development </t>
  </si>
  <si>
    <t>Its</t>
  </si>
  <si>
    <t xml:space="preserve">Co-Developer (Initial Application) </t>
  </si>
  <si>
    <t>Median Income</t>
  </si>
  <si>
    <t>School Districts</t>
  </si>
  <si>
    <t>Rent Burden</t>
  </si>
  <si>
    <t>Net Job Growth</t>
  </si>
  <si>
    <t>Top Job Centers</t>
  </si>
  <si>
    <t>At or above 120% of County Median Income: ten points
100-119% of County Median Income: eight points</t>
  </si>
  <si>
    <t>Sites in school districts ranked as Significantly Exceeds Expectations by the Wisconsin Department of Public Instruction’s most recent Overall Accountability Score: 5 points
Sites in school districts ranked as Exceeds Expectations by the Wisconsin Department of Public Instruction’s most recent Overall Accountability Score: 3 points</t>
  </si>
  <si>
    <t>Five points will be awarded to properties located in census tracts listed below (50% or more of renters pay over 30% of income toward rent) or three points will be awarded to properties located in the census tracts listed below (40% - 49.99% of renters pay over 30% of income towards rent or one point for properties located in census tracts (30% - 39.99% of renters pay over 30% of income towards rent).
Note: Census tracts must have an average rent of $900 or more to be eligible for points in this category</t>
  </si>
  <si>
    <t>Properties located in a census tract with job growth of 10% or greater: 4 points
Properties located in a census tract with job growth of 7% - 9.99%: 3 points
Properties located in a census tract with job growth of 1% - 6.99%: 2 points
Properties located in a census tract with job growth of 0.1% - 0.99%: 1 point</t>
  </si>
  <si>
    <t>Properties located in a census tract with 2200 jobs: 4 points
Properties located in a census tract with 1800-2199 jobs: 3 points
Properties located in a census tract with 1000-1799 jobs: 2 points
Properties located in a census tract with 500-100 jobs: 1 points</t>
  </si>
  <si>
    <t>Points in this Tract</t>
  </si>
  <si>
    <t>District Name</t>
  </si>
  <si>
    <t>Points in this District</t>
  </si>
  <si>
    <r>
      <rPr>
        <b/>
        <sz val="10"/>
        <rFont val="Calibri"/>
        <family val="2"/>
      </rPr>
      <t>Points</t>
    </r>
  </si>
  <si>
    <t>Census Tract 9501, Adams County</t>
  </si>
  <si>
    <t>Alma</t>
  </si>
  <si>
    <t>Census Tract 9502.03, Adams County</t>
  </si>
  <si>
    <t>Census Tract 9507, Adams County</t>
  </si>
  <si>
    <t>Altoona</t>
  </si>
  <si>
    <t>Census Tract 9508, Ashland County</t>
  </si>
  <si>
    <t>Census Tract 9502.01, Adams County</t>
  </si>
  <si>
    <t>Census Tract 9504, Adams County</t>
  </si>
  <si>
    <t>Census Tract 9400, Ashland County</t>
  </si>
  <si>
    <t>Amery</t>
  </si>
  <si>
    <t>Census Tract 10.01, Barron County</t>
  </si>
  <si>
    <t>Census Tract 9505, Ashland County</t>
  </si>
  <si>
    <t>Argyle</t>
  </si>
  <si>
    <t>Census Tract 8, Barron County</t>
  </si>
  <si>
    <t>Census Tract 9502.04, Adams County</t>
  </si>
  <si>
    <t>Census Tract 9503, Ashland County</t>
  </si>
  <si>
    <t>Census Tract 9507, Ashland County</t>
  </si>
  <si>
    <t>Arrowhead UHS</t>
  </si>
  <si>
    <t>Census Tract 9602, Bayfield County</t>
  </si>
  <si>
    <t>Census Tract 9505.01, Adams County</t>
  </si>
  <si>
    <t>Census Tract 9504, Ashland County</t>
  </si>
  <si>
    <t>Barneveld</t>
  </si>
  <si>
    <t>Census Tract 9604.01, Bayfield County</t>
  </si>
  <si>
    <t>Census Tract 9506, Ashland County</t>
  </si>
  <si>
    <t>Census Tract 1, Barron County</t>
  </si>
  <si>
    <t>Belleville</t>
  </si>
  <si>
    <t>Census Tract 10, Brown County</t>
  </si>
  <si>
    <t>Benton</t>
  </si>
  <si>
    <t>Census Tract 101, Brown County</t>
  </si>
  <si>
    <t>Census Tract 10.03, Barron County</t>
  </si>
  <si>
    <t>Brighton #1</t>
  </si>
  <si>
    <t>Census Tract 102.01, Brown County</t>
  </si>
  <si>
    <t>Census Tract 10.04, Barron County</t>
  </si>
  <si>
    <t>Census Tract 3, Barron County</t>
  </si>
  <si>
    <t>Brillion</t>
  </si>
  <si>
    <t>Census Tract 102.02, Brown County</t>
  </si>
  <si>
    <t>Census Tract 2, Barron County</t>
  </si>
  <si>
    <t>Census Tract 4, Barron County</t>
  </si>
  <si>
    <t>Bristol #1</t>
  </si>
  <si>
    <t>Census Tract 103, Brown County</t>
  </si>
  <si>
    <t>Bruce</t>
  </si>
  <si>
    <t>Census Tract 14, Brown County</t>
  </si>
  <si>
    <t>Census Tract 9, Barron County</t>
  </si>
  <si>
    <t>Campbellsport</t>
  </si>
  <si>
    <t>Census Tract 18.01, Brown County</t>
  </si>
  <si>
    <t>Census Tract 6.02, Barron County</t>
  </si>
  <si>
    <t>Census Tract 5, Barron County</t>
  </si>
  <si>
    <t>Cedar Grove-Belgium Area</t>
  </si>
  <si>
    <t>Census Tract 20.01, Brown County</t>
  </si>
  <si>
    <t>Census Tract 6.01, Barron County</t>
  </si>
  <si>
    <t>Census Tract 9603, Bayfield County</t>
  </si>
  <si>
    <t>Cedarburg</t>
  </si>
  <si>
    <t>Census Tract 20.02, Brown County</t>
  </si>
  <si>
    <t>Census Tract 9604.02, Bayfield County</t>
  </si>
  <si>
    <t>Chequamegon</t>
  </si>
  <si>
    <t>Census Tract 20.03, Brown County</t>
  </si>
  <si>
    <t>Census Tract 9606, Bayfield County</t>
  </si>
  <si>
    <t>Chilton</t>
  </si>
  <si>
    <t>Census Tract 201, Brown County</t>
  </si>
  <si>
    <t>Coleman</t>
  </si>
  <si>
    <t>Census Tract 205.02, Brown County</t>
  </si>
  <si>
    <t>Census Tract 9601, Bayfield County</t>
  </si>
  <si>
    <t>Crivitz</t>
  </si>
  <si>
    <t>Census Tract 205.04, Brown County</t>
  </si>
  <si>
    <t>Cumberland</t>
  </si>
  <si>
    <t>Census Tract 205.05, Brown County</t>
  </si>
  <si>
    <t>Census Tract 18.02, Brown County</t>
  </si>
  <si>
    <t>D C Everest Area</t>
  </si>
  <si>
    <t>Census Tract 205.06, Brown County</t>
  </si>
  <si>
    <t>Census Tract 1, Brown County</t>
  </si>
  <si>
    <t>De Pere</t>
  </si>
  <si>
    <t>Census Tract 207.04, Brown County</t>
  </si>
  <si>
    <t>Census Tract 11, Brown County</t>
  </si>
  <si>
    <t>DeForest Area</t>
  </si>
  <si>
    <t>Census Tract 208, Brown County</t>
  </si>
  <si>
    <t>Census Tract 12, Brown County</t>
  </si>
  <si>
    <t>Census Tract 202.03, Brown County</t>
  </si>
  <si>
    <t>Denmark</t>
  </si>
  <si>
    <t>Census Tract 209, Brown County</t>
  </si>
  <si>
    <t>Census Tract 16, Brown County</t>
  </si>
  <si>
    <t>Census Tract 202.04, Brown County</t>
  </si>
  <si>
    <t>Dodgeland</t>
  </si>
  <si>
    <t>Census Tract 213.02, Brown County</t>
  </si>
  <si>
    <t>Census Tract 17.02, Brown County</t>
  </si>
  <si>
    <t>Dover #1</t>
  </si>
  <si>
    <t>Census Tract 213.04, Brown County</t>
  </si>
  <si>
    <t>East Troy Community</t>
  </si>
  <si>
    <t>Census Tract 215, Brown County</t>
  </si>
  <si>
    <t>Census Tract 206, Brown County</t>
  </si>
  <si>
    <t>Edgerton</t>
  </si>
  <si>
    <t>Census Tract 4.02, Brown County</t>
  </si>
  <si>
    <t>Census Tract 207.02, Brown County</t>
  </si>
  <si>
    <t>Elk Mound Area</t>
  </si>
  <si>
    <t>Census Tract 5, Brown County</t>
  </si>
  <si>
    <t>Census Tract 13, Brown County</t>
  </si>
  <si>
    <t>Census Tract 207.03, Brown County</t>
  </si>
  <si>
    <t>Elkhart Lake-Glenbeulah</t>
  </si>
  <si>
    <t>Census Tract 6, Brown County</t>
  </si>
  <si>
    <t>Elkhorn Area</t>
  </si>
  <si>
    <t>Census Tract 7, Brown County</t>
  </si>
  <si>
    <t>Census Tract 17.01, Brown County</t>
  </si>
  <si>
    <t>Census Tract 210, Brown County</t>
  </si>
  <si>
    <t>Ellsworth Community</t>
  </si>
  <si>
    <t>Census Tract 9400.04, Brown County</t>
  </si>
  <si>
    <t>Census Tract 212, Brown County</t>
  </si>
  <si>
    <t>Elmbrook</t>
  </si>
  <si>
    <t>Census Tract 9707, Burnett County</t>
  </si>
  <si>
    <t>Census Tract 213.01, Brown County</t>
  </si>
  <si>
    <t>Elmwood</t>
  </si>
  <si>
    <t>Census Tract 202, Calumet County</t>
  </si>
  <si>
    <t>Erin</t>
  </si>
  <si>
    <t>Census Tract 203.06, Calumet County</t>
  </si>
  <si>
    <t>Census Tract 214, Brown County</t>
  </si>
  <si>
    <t>Fall Creek</t>
  </si>
  <si>
    <t>Census Tract 203.08, Calumet County</t>
  </si>
  <si>
    <t>Fall River</t>
  </si>
  <si>
    <t>Census Tract 207, Calumet County</t>
  </si>
  <si>
    <t>Census Tract 216, Brown County</t>
  </si>
  <si>
    <t>Census Tract 102, Chippewa County</t>
  </si>
  <si>
    <t>Fontana J8</t>
  </si>
  <si>
    <t>Census Tract 105, Chippewa County</t>
  </si>
  <si>
    <t>Census Tract 9400.02, Brown County</t>
  </si>
  <si>
    <t>Fox Point J2</t>
  </si>
  <si>
    <t>Census Tract 107, Chippewa County</t>
  </si>
  <si>
    <t>Census Tract 9400.05, Brown County</t>
  </si>
  <si>
    <t>Franklin Public</t>
  </si>
  <si>
    <t>Census Tract 110.02, Chippewa County</t>
  </si>
  <si>
    <t>Census Tract 4.01, Brown County</t>
  </si>
  <si>
    <t>Census Tract 9400.06, Brown County</t>
  </si>
  <si>
    <t>Geneva J4</t>
  </si>
  <si>
    <t>Census Tract 9704.01, Columbia County</t>
  </si>
  <si>
    <t>Census Tract 9400.07, Brown County</t>
  </si>
  <si>
    <t>Germantown</t>
  </si>
  <si>
    <t>Census Tract 9705, Columbia County</t>
  </si>
  <si>
    <t>Census Tract 9400.08, Brown County</t>
  </si>
  <si>
    <t>Gibraltar Area</t>
  </si>
  <si>
    <t>Census Tract 9708, Columbia County</t>
  </si>
  <si>
    <t>Census Tract 9601, Buffalo County</t>
  </si>
  <si>
    <t>Grafton</t>
  </si>
  <si>
    <t>Census Tract 9711, Columbia County</t>
  </si>
  <si>
    <t>Census Tract 9603, Buffalo County</t>
  </si>
  <si>
    <t>Greendale</t>
  </si>
  <si>
    <t>Census Tract 101, Dane County</t>
  </si>
  <si>
    <t>Census Tract 9604, Buffalo County</t>
  </si>
  <si>
    <t>Hamilton</t>
  </si>
  <si>
    <t>Census Tract 102, Dane County</t>
  </si>
  <si>
    <t>Census Tract 9605, Buffalo County</t>
  </si>
  <si>
    <t>Hartland-Lakeside J3</t>
  </si>
  <si>
    <t>Census Tract 103, Dane County</t>
  </si>
  <si>
    <t>Census Tract 9704, Burnett County</t>
  </si>
  <si>
    <t>Herman-Neosho-Rubicon</t>
  </si>
  <si>
    <t>Census Tract 104, Dane County</t>
  </si>
  <si>
    <t>Census Tract 9706, Burnett County</t>
  </si>
  <si>
    <t>Hilbert</t>
  </si>
  <si>
    <t>Census Tract 105.03, Dane County</t>
  </si>
  <si>
    <t>Census Tract 9709, Burnett County</t>
  </si>
  <si>
    <t>Holmen</t>
  </si>
  <si>
    <t>Census Tract 107.01, Dane County</t>
  </si>
  <si>
    <t>Census Tract 9708, Burnett County</t>
  </si>
  <si>
    <t>Census Tract 9710, Burnett County</t>
  </si>
  <si>
    <t>Holy Hill Area</t>
  </si>
  <si>
    <t>Census Tract 107.02, Dane County</t>
  </si>
  <si>
    <t>Census Tract 213.03, Brown County</t>
  </si>
  <si>
    <t>Hortonville Area</t>
  </si>
  <si>
    <t>Census Tract 108.02, Dane County</t>
  </si>
  <si>
    <t>Howards Grove</t>
  </si>
  <si>
    <t>Census Tract 109.06, Dane County</t>
  </si>
  <si>
    <t>Census Tract 201, Calumet County</t>
  </si>
  <si>
    <t>Howard-Suamico</t>
  </si>
  <si>
    <t>Census Tract 109.07, Dane County</t>
  </si>
  <si>
    <t>Census Tract 208, Calumet County</t>
  </si>
  <si>
    <t>Hudson</t>
  </si>
  <si>
    <t>Census Tract 11.01, Dane County</t>
  </si>
  <si>
    <t>Census Tract 203.04, Calumet County</t>
  </si>
  <si>
    <t>Census Tract 101, Chippewa County</t>
  </si>
  <si>
    <t>Iowa-Grant</t>
  </si>
  <si>
    <t>Census Tract 111.01, Dane County</t>
  </si>
  <si>
    <t>Census Tract 3.02, Brown County</t>
  </si>
  <si>
    <t>Census Tract 104, Chippewa County</t>
  </si>
  <si>
    <t>Juda</t>
  </si>
  <si>
    <t>Census Tract 111.04, Dane County</t>
  </si>
  <si>
    <t>Census Tract 3.03, Brown County</t>
  </si>
  <si>
    <t>Kaukauna Area</t>
  </si>
  <si>
    <t>Census Tract 113.01, Dane County</t>
  </si>
  <si>
    <t>Census Tract 204, Calumet County</t>
  </si>
  <si>
    <t>Kettle Moraine</t>
  </si>
  <si>
    <t>Census Tract 113.02, Dane County</t>
  </si>
  <si>
    <t>Census Tract 206, Calumet County</t>
  </si>
  <si>
    <t>Census Tract 9502, Clark County</t>
  </si>
  <si>
    <t>Kewaskum</t>
  </si>
  <si>
    <t>Census Tract 114.03, Dane County</t>
  </si>
  <si>
    <t>Census Tract 9504, Clark County</t>
  </si>
  <si>
    <t>Kimberly Area</t>
  </si>
  <si>
    <t>Census Tract 114.04, Dane County</t>
  </si>
  <si>
    <t>Census Tract 9505, Clark County</t>
  </si>
  <si>
    <t>Kohler</t>
  </si>
  <si>
    <t>Census Tract 114.05, Dane County</t>
  </si>
  <si>
    <t>Census Tract 9506, Clark County</t>
  </si>
  <si>
    <t>Lake Country</t>
  </si>
  <si>
    <t>Census Tract 114.06, Dane County</t>
  </si>
  <si>
    <t>Census Tract 8, Brown County</t>
  </si>
  <si>
    <t>Census Tract 9508, Clark County</t>
  </si>
  <si>
    <t>Lake Mills Area</t>
  </si>
  <si>
    <t>Census Tract 115.04, Dane County</t>
  </si>
  <si>
    <t>Census Tract 103, Chippewa County</t>
  </si>
  <si>
    <t>Census Tract 9, Brown County</t>
  </si>
  <si>
    <t>Census Tract 9706, Columbia County</t>
  </si>
  <si>
    <t>Lancaster Community</t>
  </si>
  <si>
    <t>Census Tract 115.05, Dane County</t>
  </si>
  <si>
    <t>Census Tract 9707, Columbia County</t>
  </si>
  <si>
    <t>Linn J6</t>
  </si>
  <si>
    <t>Census Tract 115.06, Dane County</t>
  </si>
  <si>
    <t>Census Tract 9400.03, Brown County</t>
  </si>
  <si>
    <t>Little Chute Area</t>
  </si>
  <si>
    <t>Census Tract 115.07, Dane County</t>
  </si>
  <si>
    <t>Census Tract 108, Chippewa County</t>
  </si>
  <si>
    <t>Census Tract 9709, Columbia County</t>
  </si>
  <si>
    <t>Lodi</t>
  </si>
  <si>
    <t>Census Tract 116, Dane County</t>
  </si>
  <si>
    <t>Census Tract 109, Chippewa County</t>
  </si>
  <si>
    <t>Census Tract 9710, Columbia County</t>
  </si>
  <si>
    <t>Lomira</t>
  </si>
  <si>
    <t>Census Tract 118, Dane County</t>
  </si>
  <si>
    <t>Census Tract 110.01, Chippewa County</t>
  </si>
  <si>
    <t>Luxemburg-Casco</t>
  </si>
  <si>
    <t>Census Tract 119, Dane County</t>
  </si>
  <si>
    <t>Census Tract 9602, Crawford County</t>
  </si>
  <si>
    <t>Maple</t>
  </si>
  <si>
    <t>Census Tract 12, Dane County</t>
  </si>
  <si>
    <t>Census Tract 112, Chippewa County</t>
  </si>
  <si>
    <t>Census Tract 9603, Crawford County</t>
  </si>
  <si>
    <t>Maple Dale-Indian Hill</t>
  </si>
  <si>
    <t>Census Tract 120.03, Dane County</t>
  </si>
  <si>
    <t>Census Tract 9501, Clark County</t>
  </si>
  <si>
    <t>Census Tract 9602, Buffalo County</t>
  </si>
  <si>
    <t>Census Tract 9604, Crawford County</t>
  </si>
  <si>
    <t>Marathon City</t>
  </si>
  <si>
    <t>Census Tract 122.02, Dane County</t>
  </si>
  <si>
    <t>Census Tract 10, Dane County</t>
  </si>
  <si>
    <t>Mayville</t>
  </si>
  <si>
    <t>Census Tract 123, Dane County</t>
  </si>
  <si>
    <t>Mcfarland</t>
  </si>
  <si>
    <t>Census Tract 125.01, Dane County</t>
  </si>
  <si>
    <t>Census Tract 9701, Columbia County</t>
  </si>
  <si>
    <t>Menomonee Falls</t>
  </si>
  <si>
    <t>Census Tract 125.02, Dane County</t>
  </si>
  <si>
    <t>Census Tract 9702, Columbia County</t>
  </si>
  <si>
    <t>Mequon-Thiensville</t>
  </si>
  <si>
    <t>Census Tract 127, Dane County</t>
  </si>
  <si>
    <t>Census Tract 9703, Columbia County</t>
  </si>
  <si>
    <t>Census Tract 105.01, Dane County</t>
  </si>
  <si>
    <t>Merton Community</t>
  </si>
  <si>
    <t>Census Tract 129, Dane County</t>
  </si>
  <si>
    <t>Census Tract 9704.02, Columbia County</t>
  </si>
  <si>
    <t>Middleton-Cross Plains Area</t>
  </si>
  <si>
    <t>Census Tract 13, Dane County</t>
  </si>
  <si>
    <t>Census Tract 106, Dane County</t>
  </si>
  <si>
    <t>Mineral Point Unified</t>
  </si>
  <si>
    <t>Census Tract 130, Dane County</t>
  </si>
  <si>
    <t>Mount Horeb Area</t>
  </si>
  <si>
    <t>Census Tract 131, Dane County</t>
  </si>
  <si>
    <t>Mukwonago</t>
  </si>
  <si>
    <t>Census Tract 132.02, Dane County</t>
  </si>
  <si>
    <t>Census Tract 9601, Crawford County</t>
  </si>
  <si>
    <t>Census Tract 108.01, Dane County</t>
  </si>
  <si>
    <t>Muskego-Norway</t>
  </si>
  <si>
    <t>Census Tract 133.02, Dane County</t>
  </si>
  <si>
    <t>Neenah Joint</t>
  </si>
  <si>
    <t>Census Tract 137, Dane County</t>
  </si>
  <si>
    <t>Census Tract 205, Calumet County</t>
  </si>
  <si>
    <t>Census Tract 109.03, Dane County</t>
  </si>
  <si>
    <t>New Berlin</t>
  </si>
  <si>
    <t>Census Tract 14.01, Dane County</t>
  </si>
  <si>
    <t>Census Tract 9605, Crawford County</t>
  </si>
  <si>
    <t>Census Tract 109.05, Dane County</t>
  </si>
  <si>
    <t>New Glarus</t>
  </si>
  <si>
    <t>Census Tract 14.02, Dane County</t>
  </si>
  <si>
    <t>Census Tract 9606, Crawford County</t>
  </si>
  <si>
    <t>New Holstein</t>
  </si>
  <si>
    <t>Census Tract 14.04, Dane County</t>
  </si>
  <si>
    <t>Nicolet UHS</t>
  </si>
  <si>
    <t>Census Tract 14.05, Dane County</t>
  </si>
  <si>
    <t>Census Tract 109.08, Dane County</t>
  </si>
  <si>
    <t>North Cape</t>
  </si>
  <si>
    <t>Census Tract 15.01, Dane County</t>
  </si>
  <si>
    <t>Census Tract 110, Dane County</t>
  </si>
  <si>
    <t>North Lake</t>
  </si>
  <si>
    <t>Census Tract 15.02, Dane County</t>
  </si>
  <si>
    <t>Census Tract 105.04, Dane County</t>
  </si>
  <si>
    <t>North Lakeland</t>
  </si>
  <si>
    <t>Census Tract 16.03, Dane County</t>
  </si>
  <si>
    <t>Census Tract 112.01, Dane County</t>
  </si>
  <si>
    <t>Northern Ozaukee</t>
  </si>
  <si>
    <t>Census Tract 16.04, Dane County</t>
  </si>
  <si>
    <t>Census Tract 112.02, Dane County</t>
  </si>
  <si>
    <t>Norway J7</t>
  </si>
  <si>
    <t>Census Tract 16.05, Dane County</t>
  </si>
  <si>
    <t>Oak Creek-Franklin Joint</t>
  </si>
  <si>
    <t>Census Tract 16.06, Dane County</t>
  </si>
  <si>
    <t>Oakfield</t>
  </si>
  <si>
    <t>Census Tract 17.04, Dane County</t>
  </si>
  <si>
    <t>Oconomowoc Area</t>
  </si>
  <si>
    <t>Census Tract 17.06, Dane County</t>
  </si>
  <si>
    <t>Omro</t>
  </si>
  <si>
    <t>Census Tract 17.07, Dane County</t>
  </si>
  <si>
    <t>Oostburg</t>
  </si>
  <si>
    <t>Census Tract 18.02, Dane County</t>
  </si>
  <si>
    <t>Census Tract 11.02, Dane County</t>
  </si>
  <si>
    <t>Oregon</t>
  </si>
  <si>
    <t>Census Tract 18.04, Dane County</t>
  </si>
  <si>
    <t>Census Tract 111.03, Dane County</t>
  </si>
  <si>
    <t>Osceola</t>
  </si>
  <si>
    <t>Census Tract 19.01, Dane County</t>
  </si>
  <si>
    <t>Census Tract 9503, Clark County</t>
  </si>
  <si>
    <t>Census Tract 115.08, Dane County</t>
  </si>
  <si>
    <t>Paris J1</t>
  </si>
  <si>
    <t>Census Tract 19.02, Dane County</t>
  </si>
  <si>
    <t>Pewaukee</t>
  </si>
  <si>
    <t>Census Tract 2.01, Dane County</t>
  </si>
  <si>
    <t>Census Tract 117, Dane County</t>
  </si>
  <si>
    <t>Pittsville</t>
  </si>
  <si>
    <t>Census Tract 2.02, Dane County</t>
  </si>
  <si>
    <t>Port Washington-Saukville</t>
  </si>
  <si>
    <t>Census Tract 2.05, Dane County</t>
  </si>
  <si>
    <t>Census Tract 9507, Clark County</t>
  </si>
  <si>
    <t>Potosi</t>
  </si>
  <si>
    <t>Census Tract 20, Dane County</t>
  </si>
  <si>
    <t>Census Tract 120.02, Dane County</t>
  </si>
  <si>
    <t>Poynette</t>
  </si>
  <si>
    <t>Census Tract 21, Dane County</t>
  </si>
  <si>
    <t>Prairie Du Chien Area</t>
  </si>
  <si>
    <t>Census Tract 22, Dane County</t>
  </si>
  <si>
    <t>Census Tract 120.04, Dane County</t>
  </si>
  <si>
    <t>Prescott</t>
  </si>
  <si>
    <t>Census Tract 23.01, Dane County</t>
  </si>
  <si>
    <t>Census Tract 121, Dane County</t>
  </si>
  <si>
    <t>Pulaski Community</t>
  </si>
  <si>
    <t>Census Tract 23.02, Dane County</t>
  </si>
  <si>
    <t>Census Tract 122.01, Dane County</t>
  </si>
  <si>
    <t>Raymond #14</t>
  </si>
  <si>
    <t>Census Tract 24.01, Dane County</t>
  </si>
  <si>
    <t>Census Tract 124, Dane County</t>
  </si>
  <si>
    <t>Richmond</t>
  </si>
  <si>
    <t>Census Tract 24.02, Dane County</t>
  </si>
  <si>
    <t>River Falls</t>
  </si>
  <si>
    <t>Census Tract 25, Dane County</t>
  </si>
  <si>
    <t>Census Tract 126, Dane County</t>
  </si>
  <si>
    <t>River Valley</t>
  </si>
  <si>
    <t>Census Tract 26.01, Dane County</t>
  </si>
  <si>
    <t>Rosholt</t>
  </si>
  <si>
    <t>Census Tract 26.02, Dane County</t>
  </si>
  <si>
    <t>Census Tract 128, Dane County</t>
  </si>
  <si>
    <t>Saint Croix Central</t>
  </si>
  <si>
    <t>Census Tract 27, Dane County</t>
  </si>
  <si>
    <t>Seneca Area</t>
  </si>
  <si>
    <t>Census Tract 28, Dane County</t>
  </si>
  <si>
    <t>Sevastopol</t>
  </si>
  <si>
    <t>Census Tract 29, Dane County</t>
  </si>
  <si>
    <t>Sharon J11</t>
  </si>
  <si>
    <t>Census Tract 3.01, Dane County</t>
  </si>
  <si>
    <t>Census Tract 9712, Columbia County</t>
  </si>
  <si>
    <t>Census Tract 132.01, Dane County</t>
  </si>
  <si>
    <t>Shiocton</t>
  </si>
  <si>
    <t>Census Tract 30.01, Dane County</t>
  </si>
  <si>
    <t>Shorewood</t>
  </si>
  <si>
    <t>Census Tract 30.02, Dane County</t>
  </si>
  <si>
    <t>Shullsburg</t>
  </si>
  <si>
    <t>Census Tract 31, Dane County</t>
  </si>
  <si>
    <t>Silver Lake J1</t>
  </si>
  <si>
    <t>Census Tract 32, Dane County</t>
  </si>
  <si>
    <t>Slinger</t>
  </si>
  <si>
    <t>Census Tract 4.06, Dane County</t>
  </si>
  <si>
    <t>Census Tract 1, Dane County</t>
  </si>
  <si>
    <t>Somerset</t>
  </si>
  <si>
    <t>Census Tract 4.07, Dane County</t>
  </si>
  <si>
    <t>South Shore</t>
  </si>
  <si>
    <t>Census Tract 4.08, Dane County</t>
  </si>
  <si>
    <t>Census Tract 133.01, Dane County</t>
  </si>
  <si>
    <t>Southern Door County</t>
  </si>
  <si>
    <t>Census Tract 4.09, Dane County</t>
  </si>
  <si>
    <t>Census Tract 2.04, Dane County</t>
  </si>
  <si>
    <t>Spring Valley</t>
  </si>
  <si>
    <t>Census Tract 4.10, Dane County</t>
  </si>
  <si>
    <t>Stone Bank</t>
  </si>
  <si>
    <t>Census Tract 5.01, Dane County</t>
  </si>
  <si>
    <t>Stratford</t>
  </si>
  <si>
    <t>Census Tract 5.05, Dane County</t>
  </si>
  <si>
    <t>Swallow</t>
  </si>
  <si>
    <t>Census Tract 5.06, Dane County</t>
  </si>
  <si>
    <t>Thorp</t>
  </si>
  <si>
    <t>Census Tract 6, Dane County</t>
  </si>
  <si>
    <t>Census Tract 3.02, Dane County</t>
  </si>
  <si>
    <t>Three Lakes</t>
  </si>
  <si>
    <t>Census Tract 8, Dane County</t>
  </si>
  <si>
    <t>Tomahawk</t>
  </si>
  <si>
    <t>Census Tract 9.01, Dane County</t>
  </si>
  <si>
    <t>Tomorrow River</t>
  </si>
  <si>
    <t>Census Tract 9.02, Dane County</t>
  </si>
  <si>
    <t>Census Tract 4.01, Dane County</t>
  </si>
  <si>
    <t>Trevor-Wilmot Consolidated</t>
  </si>
  <si>
    <t>Census Tract 9601, Dodge County</t>
  </si>
  <si>
    <t>Census Tract 4.02, Dane County</t>
  </si>
  <si>
    <t>Union Grove J1</t>
  </si>
  <si>
    <t>Census Tract 9607, Dodge County</t>
  </si>
  <si>
    <t>Verona Area</t>
  </si>
  <si>
    <t>Census Tract 9608, Dodge County</t>
  </si>
  <si>
    <t>Washington Island</t>
  </si>
  <si>
    <t>Census Tract 9609, Dodge County</t>
  </si>
  <si>
    <t>Census Tract 5.04, Dane County</t>
  </si>
  <si>
    <t>Washington-Caldwell</t>
  </si>
  <si>
    <t>Census Tract 9616, Dodge County</t>
  </si>
  <si>
    <t>Waterford Graded J1</t>
  </si>
  <si>
    <t>Census Tract 9617, Dodge County</t>
  </si>
  <si>
    <t>Census Tract 7, Dane County</t>
  </si>
  <si>
    <t>Waunakee Community</t>
  </si>
  <si>
    <t>Census Tract 9619, Dodge County</t>
  </si>
  <si>
    <t>Wautoma Area</t>
  </si>
  <si>
    <t>Census Tract 9620, Dodge County</t>
  </si>
  <si>
    <t>Wauwatosa</t>
  </si>
  <si>
    <t>Census Tract 1003, Door County</t>
  </si>
  <si>
    <t>Wauzeka-Steuben</t>
  </si>
  <si>
    <t>Census Tract 1004, Door County</t>
  </si>
  <si>
    <t>Census Tract 9602, Dodge County</t>
  </si>
  <si>
    <t>West De Pere</t>
  </si>
  <si>
    <t>Census Tract 1005, Door County</t>
  </si>
  <si>
    <t>Census Tract 9604, Dodge County</t>
  </si>
  <si>
    <t>West Salem</t>
  </si>
  <si>
    <t>Census Tract 1008, Door County</t>
  </si>
  <si>
    <t>Census Tract 9605, Dodge County</t>
  </si>
  <si>
    <t>Weyauwega-Fremont</t>
  </si>
  <si>
    <t>Census Tract 203, Douglas County</t>
  </si>
  <si>
    <t>Census Tract 9606, Dodge County</t>
  </si>
  <si>
    <t>Wheatland J1</t>
  </si>
  <si>
    <t>Census Tract 205, Douglas County</t>
  </si>
  <si>
    <t>Census Tract 9611, Dodge County</t>
  </si>
  <si>
    <t>White Lake</t>
  </si>
  <si>
    <t>Census Tract 301.01, Douglas County</t>
  </si>
  <si>
    <t>Census Tract 9614, Dodge County</t>
  </si>
  <si>
    <t>Whitefish Bay</t>
  </si>
  <si>
    <t>Census Tract 302, Douglas County</t>
  </si>
  <si>
    <t>Census Tract 9615, Dodge County</t>
  </si>
  <si>
    <t>Whitnall</t>
  </si>
  <si>
    <t>Census Tract 9706, Dunn County</t>
  </si>
  <si>
    <t>Winneconne Community</t>
  </si>
  <si>
    <t>Census Tract 9707, Dunn County</t>
  </si>
  <si>
    <t>Census Tract 114.07, Dane County</t>
  </si>
  <si>
    <t>Census Tract 9618, Dodge County</t>
  </si>
  <si>
    <t>Wisconsin Heights</t>
  </si>
  <si>
    <t>Census Tract 14.01, Eau Claire County</t>
  </si>
  <si>
    <t>Woodruff J1</t>
  </si>
  <si>
    <t>Census Tract 14.02, Eau Claire County</t>
  </si>
  <si>
    <t>Wrightstown Community</t>
  </si>
  <si>
    <t>Census Tract 3.02, Eau Claire County</t>
  </si>
  <si>
    <t>Yorkville J2</t>
  </si>
  <si>
    <t>Census Tract 4.02, Eau Claire County</t>
  </si>
  <si>
    <t>Census Tract 1006, Door County</t>
  </si>
  <si>
    <t>Census Tract 8.02, Eau Claire County</t>
  </si>
  <si>
    <t>Census Tract 1009, Door County</t>
  </si>
  <si>
    <t>Census Tract 8.03, Eau Claire County</t>
  </si>
  <si>
    <t>Census Tract 1010, Door County</t>
  </si>
  <si>
    <t>Census Tract 401, Fond du Lac County</t>
  </si>
  <si>
    <t>Census Tract 204, Douglas County</t>
  </si>
  <si>
    <t>Census Tract 402, Fond du Lac County</t>
  </si>
  <si>
    <t>Census Tract 407, Fond du Lac County</t>
  </si>
  <si>
    <t>Census Tract 9610, Dodge County</t>
  </si>
  <si>
    <t>Census Tract 207, Douglas County</t>
  </si>
  <si>
    <t>Census Tract 409, Fond du Lac County</t>
  </si>
  <si>
    <t>Census Tract 208, Douglas County</t>
  </si>
  <si>
    <t>Census Tract 411.01, Fond du Lac County</t>
  </si>
  <si>
    <t>Census Tract 210, Douglas County</t>
  </si>
  <si>
    <t>Census Tract 413, Fond du Lac County</t>
  </si>
  <si>
    <t>Census Tract 420.01, Fond du Lac County</t>
  </si>
  <si>
    <t>Census Tract 9504, Iowa County</t>
  </si>
  <si>
    <t>Census Tract 1001, Door County</t>
  </si>
  <si>
    <t>Census Tract 303.01, Douglas County</t>
  </si>
  <si>
    <t>Census Tract 1001, Jefferson County</t>
  </si>
  <si>
    <t>Census Tract 303.02, Douglas County</t>
  </si>
  <si>
    <t>Census Tract 1003.02, Jefferson County</t>
  </si>
  <si>
    <t>Census Tract 9701, Dunn County</t>
  </si>
  <si>
    <t>Census Tract 1004, Jefferson County</t>
  </si>
  <si>
    <t>Census Tract 9703, Dunn County</t>
  </si>
  <si>
    <t>Census Tract 1005, Jefferson County</t>
  </si>
  <si>
    <t>Census Tract 1007, Door County</t>
  </si>
  <si>
    <t>Census Tract 9704, Dunn County</t>
  </si>
  <si>
    <t>Census Tract 1010, Jefferson County</t>
  </si>
  <si>
    <t>Census Tract 1011, Jefferson County</t>
  </si>
  <si>
    <t>Census Tract 13, Eau Claire County</t>
  </si>
  <si>
    <t>Census Tract 1012.01, Jefferson County</t>
  </si>
  <si>
    <t>Census Tract 206, Douglas County</t>
  </si>
  <si>
    <t>Census Tract 1014, Jefferson County</t>
  </si>
  <si>
    <t>Census Tract 15, Eau Claire County</t>
  </si>
  <si>
    <t>Census Tract 1017.01, Jefferson County</t>
  </si>
  <si>
    <t>Census Tract 209, Douglas County</t>
  </si>
  <si>
    <t>Census Tract 16, Eau Claire County</t>
  </si>
  <si>
    <t>Census Tract 1007, Juneau County</t>
  </si>
  <si>
    <t>Census Tract 2, Eau Claire County</t>
  </si>
  <si>
    <t>Census Tract 1.02, Kenosha County</t>
  </si>
  <si>
    <t>Census Tract 211, Douglas County</t>
  </si>
  <si>
    <t>Census Tract 3.01, Eau Claire County</t>
  </si>
  <si>
    <t>Census Tract 11, Kenosha County</t>
  </si>
  <si>
    <t>Census Tract 12, Kenosha County</t>
  </si>
  <si>
    <t>Census Tract 13, Kenosha County</t>
  </si>
  <si>
    <t>Census Tract 5.01, Eau Claire County</t>
  </si>
  <si>
    <t>Census Tract 16, Kenosha County</t>
  </si>
  <si>
    <t>Census Tract 5.02, Eau Claire County</t>
  </si>
  <si>
    <t>Census Tract 17, Kenosha County</t>
  </si>
  <si>
    <t>Census Tract 8.01, Eau Claire County</t>
  </si>
  <si>
    <t>Census Tract 18, Kenosha County</t>
  </si>
  <si>
    <t>Census Tract 9702, Dunn County</t>
  </si>
  <si>
    <t>Census Tract 20, Kenosha County</t>
  </si>
  <si>
    <t>Census Tract 1901.02, Florence County</t>
  </si>
  <si>
    <t>Census Tract 21, Kenosha County</t>
  </si>
  <si>
    <t>Census Tract 1902, Florence County</t>
  </si>
  <si>
    <t>Census Tract 26.03, Kenosha County</t>
  </si>
  <si>
    <t>Census Tract 9705, Dunn County</t>
  </si>
  <si>
    <t>Census Tract 26.04, Kenosha County</t>
  </si>
  <si>
    <t>Census Tract 26.05, Kenosha County</t>
  </si>
  <si>
    <t>Census Tract 411.02, Fond du Lac County</t>
  </si>
  <si>
    <t>Census Tract 28.01, Kenosha County</t>
  </si>
  <si>
    <t>Census Tract 9708.02, Dunn County</t>
  </si>
  <si>
    <t>Census Tract 414, Fond du Lac County</t>
  </si>
  <si>
    <t>Census Tract 29.03, Kenosha County</t>
  </si>
  <si>
    <t>Census Tract 1, Eau Claire County</t>
  </si>
  <si>
    <t>Census Tract 417, Fond du Lac County</t>
  </si>
  <si>
    <t>Census Tract 29.04, Kenosha County</t>
  </si>
  <si>
    <t>Census Tract 11.01, Eau Claire County</t>
  </si>
  <si>
    <t>Census Tract 418, Fond du Lac County</t>
  </si>
  <si>
    <t>Census Tract 29.06, Kenosha County</t>
  </si>
  <si>
    <t>Census Tract 419.01, Fond du Lac County</t>
  </si>
  <si>
    <t>Census Tract 3, Kenosha County</t>
  </si>
  <si>
    <t>Census Tract 419.02, Fond du Lac County</t>
  </si>
  <si>
    <t>Census Tract 30.02, Kenosha County</t>
  </si>
  <si>
    <t>Census Tract 17, Eau Claire County</t>
  </si>
  <si>
    <t>Census Tract 4, Kenosha County</t>
  </si>
  <si>
    <t>Census Tract 420.02, Fond du Lac County</t>
  </si>
  <si>
    <t>Census Tract 5.01, Kenosha County</t>
  </si>
  <si>
    <t>Census Tract 421, Fond du Lac County</t>
  </si>
  <si>
    <t>Census Tract 5.02, Kenosha County</t>
  </si>
  <si>
    <t>Census Tract 7, Eau Claire County</t>
  </si>
  <si>
    <t>Census Tract 422, Fond du Lac County</t>
  </si>
  <si>
    <t>Census Tract 6.01, Kenosha County</t>
  </si>
  <si>
    <t>Census Tract 9501, Forest County</t>
  </si>
  <si>
    <t>Census Tract 6.03, Kenosha County</t>
  </si>
  <si>
    <t>Census Tract 9504, Forest County</t>
  </si>
  <si>
    <t>Census Tract 6.04, Kenosha County</t>
  </si>
  <si>
    <t>Census Tract 1901.01, Florence County</t>
  </si>
  <si>
    <t>Census Tract 9601, Grant County</t>
  </si>
  <si>
    <t>Census Tract 7, Kenosha County</t>
  </si>
  <si>
    <t>Census Tract 9605, Grant County</t>
  </si>
  <si>
    <t>Census Tract 8, Kenosha County</t>
  </si>
  <si>
    <t>Census Tract 403, Fond du Lac County</t>
  </si>
  <si>
    <t>Census Tract 9606, Grant County</t>
  </si>
  <si>
    <t>Census Tract 9, Kenosha County</t>
  </si>
  <si>
    <t>Census Tract 405, Fond du Lac County</t>
  </si>
  <si>
    <t>Census Tract 9607, Grant County</t>
  </si>
  <si>
    <t>Census Tract 1, La Crosse County</t>
  </si>
  <si>
    <t>Census Tract 9608, Grant County</t>
  </si>
  <si>
    <t>Census Tract 10, La Crosse County</t>
  </si>
  <si>
    <t>Census Tract 408, Fond du Lac County</t>
  </si>
  <si>
    <t>Census Tract 9611, Grant County</t>
  </si>
  <si>
    <t>Census Tract 102.02, La Crosse County</t>
  </si>
  <si>
    <t>Census Tract 9612, Grant County</t>
  </si>
  <si>
    <t>Census Tract 102.03, La Crosse County</t>
  </si>
  <si>
    <t>Census Tract 9601, Green County</t>
  </si>
  <si>
    <t>Census Tract 102.04, La Crosse County</t>
  </si>
  <si>
    <t>Census Tract 416, Fond du Lac County</t>
  </si>
  <si>
    <t>Census Tract 9602, Green County</t>
  </si>
  <si>
    <t>Census Tract 104.01, La Crosse County</t>
  </si>
  <si>
    <t>Census Tract 26.03, Dane County</t>
  </si>
  <si>
    <t>Census Tract 9603, Green County</t>
  </si>
  <si>
    <t>Census Tract 104.04, La Crosse County</t>
  </si>
  <si>
    <t>Census Tract 1001, Green Lake County</t>
  </si>
  <si>
    <t>Census Tract 11.01, La Crosse County</t>
  </si>
  <si>
    <t>Census Tract 1004, Green Lake County</t>
  </si>
  <si>
    <t>Census Tract 4.01, La Crosse County</t>
  </si>
  <si>
    <t>Census Tract 1005, Green Lake County</t>
  </si>
  <si>
    <t>Census Tract 4.02, La Crosse County</t>
  </si>
  <si>
    <t>Census Tract 1006, Green Lake County</t>
  </si>
  <si>
    <t>Census Tract 5, La Crosse County</t>
  </si>
  <si>
    <t>Census Tract 9501, Iowa County</t>
  </si>
  <si>
    <t>Census Tract 6, La Crosse County</t>
  </si>
  <si>
    <t>Census Tract 9603, Grant County</t>
  </si>
  <si>
    <t>Census Tract 9505, Iowa County</t>
  </si>
  <si>
    <t>Census Tract 7, La Crosse County</t>
  </si>
  <si>
    <t>Census Tract 1802, Iron County</t>
  </si>
  <si>
    <t>Census Tract 8, La Crosse County</t>
  </si>
  <si>
    <t>Census Tract 1803, Iron County</t>
  </si>
  <si>
    <t>Census Tract 9, La Crosse County</t>
  </si>
  <si>
    <t>Census Tract 9602, Jackson County</t>
  </si>
  <si>
    <t>Census Tract 11.03, Marathon County</t>
  </si>
  <si>
    <t>Census Tract 9603, Jackson County</t>
  </si>
  <si>
    <t>Census Tract 11.06, Marathon County</t>
  </si>
  <si>
    <t>Census Tract 9609, Grant County</t>
  </si>
  <si>
    <t>Census Tract 9604, Jackson County</t>
  </si>
  <si>
    <t>Census Tract 12.03, Marathon County</t>
  </si>
  <si>
    <t>Census Tract 1003.01, Jefferson County</t>
  </si>
  <si>
    <t>Census Tract 12.04, Marathon County</t>
  </si>
  <si>
    <t>Census Tract 13, Marathon County</t>
  </si>
  <si>
    <t>Census Tract 9605, Green County</t>
  </si>
  <si>
    <t>Census Tract 14.01, Marathon County</t>
  </si>
  <si>
    <t>Census Tract 9606, Green County</t>
  </si>
  <si>
    <t>Census Tract 1006.01, Jefferson County</t>
  </si>
  <si>
    <t>Census Tract 21.02, Marathon County</t>
  </si>
  <si>
    <t>Census Tract 9607, Green County</t>
  </si>
  <si>
    <t>Census Tract 1006.02, Jefferson County</t>
  </si>
  <si>
    <t>Census Tract 3, Marathon County</t>
  </si>
  <si>
    <t>Census Tract 1003, Green Lake County</t>
  </si>
  <si>
    <t>Census Tract 1007, Jefferson County</t>
  </si>
  <si>
    <t>Census Tract 5, Marathon County</t>
  </si>
  <si>
    <t>Census Tract 9603, Dodge County</t>
  </si>
  <si>
    <t>Census Tract 1008, Jefferson County</t>
  </si>
  <si>
    <t>Census Tract 6.01, Marathon County</t>
  </si>
  <si>
    <t>Census Tract 9503, Iowa County</t>
  </si>
  <si>
    <t>Census Tract 1009, Jefferson County</t>
  </si>
  <si>
    <t>Census Tract 8, Marathon County</t>
  </si>
  <si>
    <t>Census Tract 9, Marathon County</t>
  </si>
  <si>
    <t>Census Tract 1801, Iron County</t>
  </si>
  <si>
    <t>Census Tract 1012.02, Jefferson County</t>
  </si>
  <si>
    <t>Census Tract 9612, Marinette County</t>
  </si>
  <si>
    <t>Census Tract 1013, Jefferson County</t>
  </si>
  <si>
    <t>Census Tract 1.02, Milwaukee County</t>
  </si>
  <si>
    <t>Census Tract 10, Milwaukee County</t>
  </si>
  <si>
    <t>Census Tract 1017.02, Jefferson County</t>
  </si>
  <si>
    <t>Census Tract 1001, Milwaukee County</t>
  </si>
  <si>
    <t>Census Tract 1002, Jefferson County</t>
  </si>
  <si>
    <t>Census Tract 1002, Juneau County</t>
  </si>
  <si>
    <t>Census Tract 1002, Milwaukee County</t>
  </si>
  <si>
    <t>Census Tract 1003.01, Juneau County</t>
  </si>
  <si>
    <t>Census Tract 1003, Milwaukee County</t>
  </si>
  <si>
    <t>Census Tract 9612, Dodge County</t>
  </si>
  <si>
    <t>Census Tract 1003.02, Juneau County</t>
  </si>
  <si>
    <t>Census Tract 1004, Milwaukee County</t>
  </si>
  <si>
    <t>Census Tract 9613, Dodge County</t>
  </si>
  <si>
    <t>Census Tract 1007, Milwaukee County</t>
  </si>
  <si>
    <t>Census Tract 14.01, Kenosha County</t>
  </si>
  <si>
    <t>Census Tract 1008, Milwaukee County</t>
  </si>
  <si>
    <t>Census Tract 14.02, Kenosha County</t>
  </si>
  <si>
    <t>Census Tract 1010, Milwaukee County</t>
  </si>
  <si>
    <t>Census Tract 15, Kenosha County</t>
  </si>
  <si>
    <t>Census Tract 1012, Milwaukee County</t>
  </si>
  <si>
    <t>Census Tract 19, Kenosha County</t>
  </si>
  <si>
    <t>Census Tract 1013, Milwaukee County</t>
  </si>
  <si>
    <t>Census Tract 1016, Milwaukee County</t>
  </si>
  <si>
    <t>Census Tract 23, Kenosha County</t>
  </si>
  <si>
    <t>Census Tract 106, Milwaukee County</t>
  </si>
  <si>
    <t>Census Tract 24, Kenosha County</t>
  </si>
  <si>
    <t>Census Tract 107, Milwaukee County</t>
  </si>
  <si>
    <t>Census Tract 25, Kenosha County</t>
  </si>
  <si>
    <t>Census Tract 108, Milwaukee County</t>
  </si>
  <si>
    <t>Census Tract 111, Milwaukee County</t>
  </si>
  <si>
    <t>Census Tract 1015, Jefferson County</t>
  </si>
  <si>
    <t>Census Tract 112, Milwaukee County</t>
  </si>
  <si>
    <t>Census Tract 1016, Jefferson County</t>
  </si>
  <si>
    <t>Census Tract 114, Milwaukee County</t>
  </si>
  <si>
    <t>Census Tract 26.06, Kenosha County</t>
  </si>
  <si>
    <t>Census Tract 12, Milwaukee County</t>
  </si>
  <si>
    <t>Census Tract 27, Kenosha County</t>
  </si>
  <si>
    <t>Census Tract 1201.01, Milwaukee County</t>
  </si>
  <si>
    <t>Census Tract 1001, Juneau County</t>
  </si>
  <si>
    <t>Census Tract 1201.02, Milwaukee County</t>
  </si>
  <si>
    <t>Census Tract 28.02, Kenosha County</t>
  </si>
  <si>
    <t>Census Tract 1202.01, Milwaukee County</t>
  </si>
  <si>
    <t>Census Tract 1203, Milwaukee County</t>
  </si>
  <si>
    <t>Census Tract 1006, Juneau County</t>
  </si>
  <si>
    <t>Census Tract 1204, Milwaukee County</t>
  </si>
  <si>
    <t>Census Tract 29.05, Kenosha County</t>
  </si>
  <si>
    <t>Census Tract 124, Milwaukee County</t>
  </si>
  <si>
    <t>Census Tract 1.01, Kenosha County</t>
  </si>
  <si>
    <t>Census Tract 125, Milwaukee County</t>
  </si>
  <si>
    <t>Census Tract 30.01, Kenosha County</t>
  </si>
  <si>
    <t>Census Tract 126, Milwaukee County</t>
  </si>
  <si>
    <t>Census Tract 10, Kenosha County</t>
  </si>
  <si>
    <t>Census Tract 128, Milwaukee County</t>
  </si>
  <si>
    <t>Census Tract 129, Milwaukee County</t>
  </si>
  <si>
    <t>Census Tract 13, Milwaukee County</t>
  </si>
  <si>
    <t>Census Tract 1301, Milwaukee County</t>
  </si>
  <si>
    <t>Census Tract 9604.02, Kewaunee County</t>
  </si>
  <si>
    <t>Census Tract 1302, Milwaukee County</t>
  </si>
  <si>
    <t>Census Tract 9605, Kewaunee County</t>
  </si>
  <si>
    <t>Census Tract 133, Milwaukee County</t>
  </si>
  <si>
    <t>Census Tract 9708.01, Dunn County</t>
  </si>
  <si>
    <t>Census Tract 101.01, La Crosse County</t>
  </si>
  <si>
    <t>Census Tract 134, Milwaukee County</t>
  </si>
  <si>
    <t>Census Tract 101.02, La Crosse County</t>
  </si>
  <si>
    <t>Census Tract 14, Milwaukee County</t>
  </si>
  <si>
    <t>Census Tract 1401, Milwaukee County</t>
  </si>
  <si>
    <t>Census Tract 22, Kenosha County</t>
  </si>
  <si>
    <t>Census Tract 1402.01, Milwaukee County</t>
  </si>
  <si>
    <t>Census Tract 12, Eau Claire County</t>
  </si>
  <si>
    <t>Census Tract 1402.02, Milwaukee County</t>
  </si>
  <si>
    <t>Census Tract 102.05, La Crosse County</t>
  </si>
  <si>
    <t>Census Tract 141, Milwaukee County</t>
  </si>
  <si>
    <t>Census Tract 143, Milwaukee County</t>
  </si>
  <si>
    <t>Census Tract 104.03, La Crosse County</t>
  </si>
  <si>
    <t>Census Tract 144, Milwaukee County</t>
  </si>
  <si>
    <t>Census Tract 15, Milwaukee County</t>
  </si>
  <si>
    <t>Census Tract 106, La Crosse County</t>
  </si>
  <si>
    <t>Census Tract 1501, Milwaukee County</t>
  </si>
  <si>
    <t>Census Tract 107, La Crosse County</t>
  </si>
  <si>
    <t>Census Tract 1503.01, Milwaukee County</t>
  </si>
  <si>
    <t>Census Tract 108, La Crosse County</t>
  </si>
  <si>
    <t>Census Tract 1503.03, Milwaukee County</t>
  </si>
  <si>
    <t>Census Tract 4.01, Eau Claire County</t>
  </si>
  <si>
    <t>Census Tract 12, La Crosse County</t>
  </si>
  <si>
    <t>Census Tract 1503.04, Milwaukee County</t>
  </si>
  <si>
    <t>Census Tract 16, Milwaukee County</t>
  </si>
  <si>
    <t>Census Tract 160, Milwaukee County</t>
  </si>
  <si>
    <t>Census Tract 6, Eau Claire County</t>
  </si>
  <si>
    <t>Census Tract 1602.02, Milwaukee County</t>
  </si>
  <si>
    <t>Census Tract 9703, Lafayette County</t>
  </si>
  <si>
    <t>Census Tract 1602.03, Milwaukee County</t>
  </si>
  <si>
    <t>Census Tract 9705, Lafayette County</t>
  </si>
  <si>
    <t>Census Tract 162, Milwaukee County</t>
  </si>
  <si>
    <t>Census Tract 9, Eau Claire County</t>
  </si>
  <si>
    <t>Census Tract 9601.01, Langlade County</t>
  </si>
  <si>
    <t>Census Tract 164, Milwaukee County</t>
  </si>
  <si>
    <t>Census Tract 9603, Langlade County</t>
  </si>
  <si>
    <t>Census Tract 166, Milwaukee County</t>
  </si>
  <si>
    <t>Census Tract 9604, Langlade County</t>
  </si>
  <si>
    <t>Census Tract 17, Milwaukee County</t>
  </si>
  <si>
    <t>Census Tract 9601, Lincoln County</t>
  </si>
  <si>
    <t>Census Tract 170, Milwaukee County</t>
  </si>
  <si>
    <t>Census Tract 404, Fond du Lac County</t>
  </si>
  <si>
    <t>Census Tract 9603, Lincoln County</t>
  </si>
  <si>
    <t>Census Tract 1702, Milwaukee County</t>
  </si>
  <si>
    <t>Census Tract 9604, Lincoln County</t>
  </si>
  <si>
    <t>Census Tract 1703, Milwaukee County</t>
  </si>
  <si>
    <t>Census Tract 9605, Lincoln County</t>
  </si>
  <si>
    <t>Census Tract 1705, Milwaukee County</t>
  </si>
  <si>
    <t>Census Tract 9606, Lincoln County</t>
  </si>
  <si>
    <t>Census Tract 1706, Milwaukee County</t>
  </si>
  <si>
    <t>Census Tract 9602, Kewaunee County</t>
  </si>
  <si>
    <t>Census Tract 9607, Lincoln County</t>
  </si>
  <si>
    <t>Census Tract 1707, Milwaukee County</t>
  </si>
  <si>
    <t>Census Tract 9604.01, Kewaunee County</t>
  </si>
  <si>
    <t>Census Tract 101, Manitowoc County</t>
  </si>
  <si>
    <t>Census Tract 172, Milwaukee County</t>
  </si>
  <si>
    <t>Census Tract 102, Manitowoc County</t>
  </si>
  <si>
    <t>Census Tract 173, Milwaukee County</t>
  </si>
  <si>
    <t>Census Tract 103, Manitowoc County</t>
  </si>
  <si>
    <t>Census Tract 176, Milwaukee County</t>
  </si>
  <si>
    <t>Census Tract 415, Fond du Lac County</t>
  </si>
  <si>
    <t>Census Tract 104, Manitowoc County</t>
  </si>
  <si>
    <t>Census Tract 1801, Milwaukee County</t>
  </si>
  <si>
    <t>Census Tract 105, Manitowoc County</t>
  </si>
  <si>
    <t>Census Tract 1802, Milwaukee County</t>
  </si>
  <si>
    <t>Census Tract 106, Manitowoc County</t>
  </si>
  <si>
    <t>Census Tract 1803, Milwaukee County</t>
  </si>
  <si>
    <t>Census Tract 107, Manitowoc County</t>
  </si>
  <si>
    <t>Census Tract 1805, Milwaukee County</t>
  </si>
  <si>
    <t>Census Tract 103, La Crosse County</t>
  </si>
  <si>
    <t>Census Tract 3, Manitowoc County</t>
  </si>
  <si>
    <t>Census Tract 183, Milwaukee County</t>
  </si>
  <si>
    <t>Census Tract 52, Manitowoc County</t>
  </si>
  <si>
    <t>Census Tract 185, Milwaukee County</t>
  </si>
  <si>
    <t>Census Tract 10, Marathon County</t>
  </si>
  <si>
    <t>Census Tract 1851, Milwaukee County</t>
  </si>
  <si>
    <t>Census Tract 11.05, Marathon County</t>
  </si>
  <si>
    <t>Census Tract 1853, Milwaukee County</t>
  </si>
  <si>
    <t>Census Tract 11.02, La Crosse County</t>
  </si>
  <si>
    <t>Census Tract 1854, Milwaukee County</t>
  </si>
  <si>
    <t>Census Tract 12.02, Marathon County</t>
  </si>
  <si>
    <t>Census Tract 1857, Milwaukee County</t>
  </si>
  <si>
    <t>Census Tract 3, La Crosse County</t>
  </si>
  <si>
    <t>Census Tract 9502, Forest County</t>
  </si>
  <si>
    <t>Census Tract 1863, Milwaukee County</t>
  </si>
  <si>
    <t>Census Tract 9503, Forest County</t>
  </si>
  <si>
    <t>Census Tract 1864, Milwaukee County</t>
  </si>
  <si>
    <t>Census Tract 1865, Milwaukee County</t>
  </si>
  <si>
    <t>Census Tract 1866, Milwaukee County</t>
  </si>
  <si>
    <t>Census Tract 9602, Grant County</t>
  </si>
  <si>
    <t>Census Tract 15, Marathon County</t>
  </si>
  <si>
    <t>Census Tract 1869, Milwaukee County</t>
  </si>
  <si>
    <t>Census Tract 9701, Lafayette County</t>
  </si>
  <si>
    <t>Census Tract 16, Marathon County</t>
  </si>
  <si>
    <t>Census Tract 1870, Milwaukee County</t>
  </si>
  <si>
    <t>Census Tract 9702, Lafayette County</t>
  </si>
  <si>
    <t>Census Tract 9604, Grant County</t>
  </si>
  <si>
    <t>Census Tract 18, Marathon County</t>
  </si>
  <si>
    <t>Census Tract 1872, Milwaukee County</t>
  </si>
  <si>
    <t>Census Tract 9704, Lafayette County</t>
  </si>
  <si>
    <t>Census Tract 19, Marathon County</t>
  </si>
  <si>
    <t>Census Tract 1873, Milwaukee County</t>
  </si>
  <si>
    <t>Census Tract 2, Marathon County</t>
  </si>
  <si>
    <t>Census Tract 1874, Milwaukee County</t>
  </si>
  <si>
    <t>Census Tract 21.01, Marathon County</t>
  </si>
  <si>
    <t>Census Tract 188, Milwaukee County</t>
  </si>
  <si>
    <t>Census Tract 9601.02, Langlade County</t>
  </si>
  <si>
    <t>Census Tract 19, Milwaukee County</t>
  </si>
  <si>
    <t>Census Tract 9610, Grant County</t>
  </si>
  <si>
    <t>Census Tract 23.02, Marathon County</t>
  </si>
  <si>
    <t>Census Tract 190, Milwaukee County</t>
  </si>
  <si>
    <t>Census Tract 9605, Langlade County</t>
  </si>
  <si>
    <t>Census Tract 191, Milwaukee County</t>
  </si>
  <si>
    <t>Census Tract 9606, Langlade County</t>
  </si>
  <si>
    <t>Census Tract 9608, Marinette County</t>
  </si>
  <si>
    <t>Census Tract 192, Milwaukee County</t>
  </si>
  <si>
    <t>Census Tract 9609, Marinette County</t>
  </si>
  <si>
    <t>Census Tract 194, Milwaukee County</t>
  </si>
  <si>
    <t>Census Tract 9610, Marinette County</t>
  </si>
  <si>
    <t>Census Tract 195, Milwaukee County</t>
  </si>
  <si>
    <t>Census Tract 9611, Marinette County</t>
  </si>
  <si>
    <t>Census Tract 197, Milwaukee County</t>
  </si>
  <si>
    <t>Census Tract 9608, Lincoln County</t>
  </si>
  <si>
    <t>Census Tract 9604, Green County</t>
  </si>
  <si>
    <t>Census Tract 198, Milwaukee County</t>
  </si>
  <si>
    <t>Census Tract 9609, Lincoln County</t>
  </si>
  <si>
    <t>Census Tract 9613, Marinette County</t>
  </si>
  <si>
    <t>Census Tract 2.01, Milwaukee County</t>
  </si>
  <si>
    <t>Census Tract 9610, Lincoln County</t>
  </si>
  <si>
    <t>Census Tract 9615, Marinette County</t>
  </si>
  <si>
    <t>Census Tract 2.02, Milwaukee County</t>
  </si>
  <si>
    <t>Census Tract 1, Manitowoc County</t>
  </si>
  <si>
    <t>Census Tract 9608, Green County</t>
  </si>
  <si>
    <t>Census Tract 9603, Marquette County</t>
  </si>
  <si>
    <t>Census Tract 20, Milwaukee County</t>
  </si>
  <si>
    <t>Census Tract 9604, Marquette County</t>
  </si>
  <si>
    <t>Census Tract 200, Milwaukee County</t>
  </si>
  <si>
    <t>Census Tract 1002, Green Lake County</t>
  </si>
  <si>
    <t>Census Tract 9605, Marquette County</t>
  </si>
  <si>
    <t>Census Tract 202, Milwaukee County</t>
  </si>
  <si>
    <t>Census Tract 9401.04, Menominee County</t>
  </si>
  <si>
    <t>Census Tract 203, Milwaukee County</t>
  </si>
  <si>
    <t>Census Tract 205, Milwaukee County</t>
  </si>
  <si>
    <t>Census Tract 1005, Milwaukee County</t>
  </si>
  <si>
    <t>Census Tract 206, Milwaukee County</t>
  </si>
  <si>
    <t>Census Tract 53, Manitowoc County</t>
  </si>
  <si>
    <t>Census Tract 1006, Milwaukee County</t>
  </si>
  <si>
    <t>Census Tract 207, Milwaukee County</t>
  </si>
  <si>
    <t>Census Tract 54, Manitowoc County</t>
  </si>
  <si>
    <t>Census Tract 211, Milwaukee County</t>
  </si>
  <si>
    <t>Census Tract 6, Manitowoc County</t>
  </si>
  <si>
    <t>Census Tract 213, Milwaukee County</t>
  </si>
  <si>
    <t>Census Tract 8, Manitowoc County</t>
  </si>
  <si>
    <t>Census Tract 1009, Milwaukee County</t>
  </si>
  <si>
    <t>Census Tract 214, Milwaukee County</t>
  </si>
  <si>
    <t>Census Tract 9506, Iowa County</t>
  </si>
  <si>
    <t>Census Tract 216, Milwaukee County</t>
  </si>
  <si>
    <t>Census Tract 22, Milwaukee County</t>
  </si>
  <si>
    <t>Census Tract 9601, Jackson County</t>
  </si>
  <si>
    <t>Census Tract 23, Milwaukee County</t>
  </si>
  <si>
    <t>Census Tract 14.02, Marathon County</t>
  </si>
  <si>
    <t>Census Tract 1014, Milwaukee County</t>
  </si>
  <si>
    <t>Census Tract 24, Milwaukee County</t>
  </si>
  <si>
    <t>Census Tract 9605, Jackson County</t>
  </si>
  <si>
    <t>Census Tract 25, Milwaukee County</t>
  </si>
  <si>
    <t>Census Tract 1017, Milwaukee County</t>
  </si>
  <si>
    <t>Census Tract 26, Milwaukee County</t>
  </si>
  <si>
    <t>Census Tract 1018, Milwaukee County</t>
  </si>
  <si>
    <t>Census Tract 27, Milwaukee County</t>
  </si>
  <si>
    <t>Census Tract 28, Milwaukee County</t>
  </si>
  <si>
    <t>Census Tract 20, Marathon County</t>
  </si>
  <si>
    <t>Census Tract 113, Milwaukee County</t>
  </si>
  <si>
    <t>Census Tract 29, Milwaukee County</t>
  </si>
  <si>
    <t>Census Tract 3.01, Milwaukee County</t>
  </si>
  <si>
    <t>Census Tract 22, Marathon County</t>
  </si>
  <si>
    <t>Census Tract 3.02, Milwaukee County</t>
  </si>
  <si>
    <t>Census Tract 23.01, Marathon County</t>
  </si>
  <si>
    <t>Census Tract 3.03, Milwaukee County</t>
  </si>
  <si>
    <t>Census Tract 1202.02, Milwaukee County</t>
  </si>
  <si>
    <t>Census Tract 3.04, Milwaukee County</t>
  </si>
  <si>
    <t>Census Tract 1202.03, Milwaukee County</t>
  </si>
  <si>
    <t>Census Tract 30, Milwaukee County</t>
  </si>
  <si>
    <t>Census Tract 301, Milwaukee County</t>
  </si>
  <si>
    <t>Census Tract 7, Marathon County</t>
  </si>
  <si>
    <t>Census Tract 1205.01, Milwaukee County</t>
  </si>
  <si>
    <t>Census Tract 31, Milwaukee County</t>
  </si>
  <si>
    <t>Census Tract 1205.02, Milwaukee County</t>
  </si>
  <si>
    <t>Census Tract 32, Milwaukee County</t>
  </si>
  <si>
    <t>Census Tract 9601, Marinette County</t>
  </si>
  <si>
    <t>Census Tract 33, Milwaukee County</t>
  </si>
  <si>
    <t>Census Tract 9602, Marinette County</t>
  </si>
  <si>
    <t>Census Tract 34, Milwaukee County</t>
  </si>
  <si>
    <t>Census Tract 9607, Marinette County</t>
  </si>
  <si>
    <t>Census Tract 35, Milwaukee County</t>
  </si>
  <si>
    <t>Census Tract 130, Milwaukee County</t>
  </si>
  <si>
    <t>Census Tract 36, Milwaukee County</t>
  </si>
  <si>
    <t>Census Tract 37, Milwaukee County</t>
  </si>
  <si>
    <t>Census Tract 1004, Juneau County</t>
  </si>
  <si>
    <t>Census Tract 38, Milwaukee County</t>
  </si>
  <si>
    <t>Census Tract 1005, Juneau County</t>
  </si>
  <si>
    <t>Census Tract 39, Milwaukee County</t>
  </si>
  <si>
    <t>Census Tract 9614, Marinette County</t>
  </si>
  <si>
    <t>Census Tract 4, Milwaukee County</t>
  </si>
  <si>
    <t>Census Tract 9602, Marquette County</t>
  </si>
  <si>
    <t>Census Tract 401, Milwaukee County</t>
  </si>
  <si>
    <t>Census Tract 41, Milwaukee County</t>
  </si>
  <si>
    <t>Census Tract 9401.01, Menominee County</t>
  </si>
  <si>
    <t>Census Tract 42, Milwaukee County</t>
  </si>
  <si>
    <t>Census Tract 43, Milwaukee County</t>
  </si>
  <si>
    <t>Census Tract 1.01, Milwaukee County</t>
  </si>
  <si>
    <t>Census Tract 44, Milwaukee County</t>
  </si>
  <si>
    <t>Census Tract 46, Milwaukee County</t>
  </si>
  <si>
    <t>Census Tract 47, Milwaukee County</t>
  </si>
  <si>
    <t>Census Tract 1601.01, Milwaukee County</t>
  </si>
  <si>
    <t>Census Tract 48, Milwaukee County</t>
  </si>
  <si>
    <t>Census Tract 1601.02, Milwaukee County</t>
  </si>
  <si>
    <t>Census Tract 49, Milwaukee County</t>
  </si>
  <si>
    <t>Census Tract 5.01, Milwaukee County</t>
  </si>
  <si>
    <t>Census Tract 5.02, Milwaukee County</t>
  </si>
  <si>
    <t>Census Tract 1602.05, Milwaukee County</t>
  </si>
  <si>
    <t>Census Tract 50, Milwaukee County</t>
  </si>
  <si>
    <t>Census Tract 1602.06, Milwaukee County</t>
  </si>
  <si>
    <t>Census Tract 501.01, Milwaukee County</t>
  </si>
  <si>
    <t>Census Tract 1603.01, Milwaukee County</t>
  </si>
  <si>
    <t>Census Tract 501.03, Milwaukee County</t>
  </si>
  <si>
    <t>Census Tract 110, Milwaukee County</t>
  </si>
  <si>
    <t>Census Tract 1603.02, Milwaukee County</t>
  </si>
  <si>
    <t>Census Tract 501.04, Milwaukee County</t>
  </si>
  <si>
    <t>Census Tract 1101, Milwaukee County</t>
  </si>
  <si>
    <t>Census Tract 1701, Milwaukee County</t>
  </si>
  <si>
    <t>Census Tract 52, Milwaukee County</t>
  </si>
  <si>
    <t>Census Tract 53, Milwaukee County</t>
  </si>
  <si>
    <t>Census Tract 54, Milwaukee County</t>
  </si>
  <si>
    <t>Census Tract 1704, Milwaukee County</t>
  </si>
  <si>
    <t>Census Tract 55, Milwaukee County</t>
  </si>
  <si>
    <t>Census Tract 58, Milwaukee County</t>
  </si>
  <si>
    <t>Census Tract 59, Milwaukee County</t>
  </si>
  <si>
    <t>Census Tract 171, Milwaukee County</t>
  </si>
  <si>
    <t>Census Tract 6, Milwaukee County</t>
  </si>
  <si>
    <t>Census Tract 60, Milwaukee County</t>
  </si>
  <si>
    <t>Census Tract 179, Milwaukee County</t>
  </si>
  <si>
    <t>Census Tract 601.01, Milwaukee County</t>
  </si>
  <si>
    <t>Census Tract 127, Milwaukee County</t>
  </si>
  <si>
    <t>Census Tract 180, Milwaukee County</t>
  </si>
  <si>
    <t>Census Tract 602, Milwaukee County</t>
  </si>
  <si>
    <t>Census Tract 61, Milwaukee County</t>
  </si>
  <si>
    <t>Census Tract 62, Milwaukee County</t>
  </si>
  <si>
    <t>Census Tract 64, Milwaukee County</t>
  </si>
  <si>
    <t>Census Tract 65, Milwaukee County</t>
  </si>
  <si>
    <t>Census Tract 9601, Kewaunee County</t>
  </si>
  <si>
    <t>Census Tract 181, Milwaukee County</t>
  </si>
  <si>
    <t>Census Tract 66, Milwaukee County</t>
  </si>
  <si>
    <t>Census Tract 182, Milwaukee County</t>
  </si>
  <si>
    <t>Census Tract 67, Milwaukee County</t>
  </si>
  <si>
    <t>Census Tract 69, Milwaukee County</t>
  </si>
  <si>
    <t>Census Tract 184, Milwaukee County</t>
  </si>
  <si>
    <t>Census Tract 7, Milwaukee County</t>
  </si>
  <si>
    <t>Census Tract 147, Milwaukee County</t>
  </si>
  <si>
    <t>Census Tract 70, Milwaukee County</t>
  </si>
  <si>
    <t>Census Tract 701, Milwaukee County</t>
  </si>
  <si>
    <t>Census Tract 703, Milwaukee County</t>
  </si>
  <si>
    <t>Census Tract 71, Milwaukee County</t>
  </si>
  <si>
    <t>Census Tract 72, Milwaukee County</t>
  </si>
  <si>
    <t>Census Tract 157, Milwaukee County</t>
  </si>
  <si>
    <t>Census Tract 73, Milwaukee County</t>
  </si>
  <si>
    <t>Census Tract 74, Milwaukee County</t>
  </si>
  <si>
    <t>Census Tract 75, Milwaukee County</t>
  </si>
  <si>
    <t>Census Tract 76, Milwaukee County</t>
  </si>
  <si>
    <t>Census Tract 77, Milwaukee County</t>
  </si>
  <si>
    <t>Census Tract 193, Milwaukee County</t>
  </si>
  <si>
    <t>Census Tract 78, Milwaukee County</t>
  </si>
  <si>
    <t>Census Tract 80, Milwaukee County</t>
  </si>
  <si>
    <t>Census Tract 105, La Crosse County</t>
  </si>
  <si>
    <t>Census Tract 802, Milwaukee County</t>
  </si>
  <si>
    <t>Census Tract 196, Milwaukee County</t>
  </si>
  <si>
    <t>Census Tract 804, Milwaukee County</t>
  </si>
  <si>
    <t>Census Tract 161, Milwaukee County</t>
  </si>
  <si>
    <t>Census Tract 81, Milwaukee County</t>
  </si>
  <si>
    <t>Census Tract 85, Milwaukee County</t>
  </si>
  <si>
    <t>Census Tract 163, Milwaukee County</t>
  </si>
  <si>
    <t>Census Tract 199, Milwaukee County</t>
  </si>
  <si>
    <t>Census Tract 86, Milwaukee County</t>
  </si>
  <si>
    <t>Census Tract 2, La Crosse County</t>
  </si>
  <si>
    <t>Census Tract 88, Milwaukee County</t>
  </si>
  <si>
    <t>Census Tract 167, Milwaukee County</t>
  </si>
  <si>
    <t>Census Tract 89, Milwaukee County</t>
  </si>
  <si>
    <t>Census Tract 90, Milwaukee County</t>
  </si>
  <si>
    <t>Census Tract 901, Milwaukee County</t>
  </si>
  <si>
    <t>Census Tract 208, Milwaukee County</t>
  </si>
  <si>
    <t>Census Tract 902, Milwaukee County</t>
  </si>
  <si>
    <t>Census Tract 209, Milwaukee County</t>
  </si>
  <si>
    <t>Census Tract 903, Milwaukee County</t>
  </si>
  <si>
    <t>Census Tract 210, Milwaukee County</t>
  </si>
  <si>
    <t>Census Tract 906, Milwaukee County</t>
  </si>
  <si>
    <t>Census Tract 907, Milwaukee County</t>
  </si>
  <si>
    <t>Census Tract 215, Milwaukee County</t>
  </si>
  <si>
    <t>Census Tract 908, Milwaukee County</t>
  </si>
  <si>
    <t>Census Tract 174, Milwaukee County</t>
  </si>
  <si>
    <t>Census Tract 217, Milwaukee County</t>
  </si>
  <si>
    <t>Census Tract 91, Milwaukee County</t>
  </si>
  <si>
    <t>Census Tract 910, Milwaukee County</t>
  </si>
  <si>
    <t>Census Tract 912, Milwaukee County</t>
  </si>
  <si>
    <t>Census Tract 18, Milwaukee County</t>
  </si>
  <si>
    <t>Census Tract 913, Milwaukee County</t>
  </si>
  <si>
    <t>Census Tract 92, Milwaukee County</t>
  </si>
  <si>
    <t>Census Tract 351, Milwaukee County</t>
  </si>
  <si>
    <t>Census Tract 93, Milwaukee County</t>
  </si>
  <si>
    <t>Census Tract 1804, Milwaukee County</t>
  </si>
  <si>
    <t>Census Tract 352, Milwaukee County</t>
  </si>
  <si>
    <t>Census Tract 94, Milwaukee County</t>
  </si>
  <si>
    <t>Census Tract 9607, Langlade County</t>
  </si>
  <si>
    <t>Census Tract 95, Milwaukee County</t>
  </si>
  <si>
    <t>Census Tract 9602, Lincoln County</t>
  </si>
  <si>
    <t>Census Tract 96, Milwaukee County</t>
  </si>
  <si>
    <t>Census Tract 99, Milwaukee County</t>
  </si>
  <si>
    <t>Census Tract 9502, Monroe County</t>
  </si>
  <si>
    <t>Census Tract 9505, Monroe County</t>
  </si>
  <si>
    <t>Census Tract 9506, Monroe County</t>
  </si>
  <si>
    <t>Census Tract 1852, Milwaukee County</t>
  </si>
  <si>
    <t>Census Tract 1013.01, Oconto County</t>
  </si>
  <si>
    <t>Census Tract 9713, Oneida County</t>
  </si>
  <si>
    <t>Census Tract 106.02, Outagamie County</t>
  </si>
  <si>
    <t>Census Tract 1859, Milwaukee County</t>
  </si>
  <si>
    <t>Census Tract 56, Milwaukee County</t>
  </si>
  <si>
    <t>Census Tract 107, Outagamie County</t>
  </si>
  <si>
    <t>Census Tract 186, Milwaukee County</t>
  </si>
  <si>
    <t>Census Tract 57, Milwaukee County</t>
  </si>
  <si>
    <t>Census Tract 108, Outagamie County</t>
  </si>
  <si>
    <t>Census Tract 1860, Milwaukee County</t>
  </si>
  <si>
    <t>Census Tract 109, Outagamie County</t>
  </si>
  <si>
    <t>Census Tract 1861, Milwaukee County</t>
  </si>
  <si>
    <t>Census Tract 111.04, Outagamie County</t>
  </si>
  <si>
    <t>Census Tract 1862, Milwaukee County</t>
  </si>
  <si>
    <t>Census Tract 601.02, Milwaukee County</t>
  </si>
  <si>
    <t>Census Tract 114, Outagamie County</t>
  </si>
  <si>
    <t>Census Tract 115.01, Outagamie County</t>
  </si>
  <si>
    <t>Census Tract 119.01, Outagamie County</t>
  </si>
  <si>
    <t>Census Tract 187, Milwaukee County</t>
  </si>
  <si>
    <t>Census Tract 2, Manitowoc County</t>
  </si>
  <si>
    <t>Census Tract 702, Milwaukee County</t>
  </si>
  <si>
    <t>Census Tract 121.01, Outagamie County</t>
  </si>
  <si>
    <t>Census Tract 125.06, Outagamie County</t>
  </si>
  <si>
    <t>Census Tract 189, Milwaukee County</t>
  </si>
  <si>
    <t>Census Tract 4, Manitowoc County</t>
  </si>
  <si>
    <t>Census Tract 126.04, Outagamie County</t>
  </si>
  <si>
    <t>Census Tract 5, Manitowoc County</t>
  </si>
  <si>
    <t>Census Tract 129.02, Outagamie County</t>
  </si>
  <si>
    <t>Census Tract 51, Manitowoc County</t>
  </si>
  <si>
    <t>Census Tract 79, Milwaukee County</t>
  </si>
  <si>
    <t>Census Tract 6101.02, Ozaukee County</t>
  </si>
  <si>
    <t>Census Tract 8, Milwaukee County</t>
  </si>
  <si>
    <t>Census Tract 6301, Ozaukee County</t>
  </si>
  <si>
    <t>Census Tract 801, Milwaukee County</t>
  </si>
  <si>
    <t>Census Tract 6302.01, Ozaukee County</t>
  </si>
  <si>
    <t>Census Tract 6302.02, Ozaukee County</t>
  </si>
  <si>
    <t>Census Tract 7, Manitowoc County</t>
  </si>
  <si>
    <t>Census Tract 803, Milwaukee County</t>
  </si>
  <si>
    <t>Census Tract 6401.01, Ozaukee County</t>
  </si>
  <si>
    <t>Census Tract 6501.02, Ozaukee County</t>
  </si>
  <si>
    <t>Census Tract 1, Marathon County</t>
  </si>
  <si>
    <t>Census Tract 6501.04, Ozaukee County</t>
  </si>
  <si>
    <t>Census Tract 6502, Ozaukee County</t>
  </si>
  <si>
    <t>Census Tract 6503, Ozaukee County</t>
  </si>
  <si>
    <t>Census Tract 11.04, Marathon County</t>
  </si>
  <si>
    <t>Census Tract 6601, Ozaukee County</t>
  </si>
  <si>
    <t>Census Tract 6602.02, Ozaukee County</t>
  </si>
  <si>
    <t>Census Tract 204, Milwaukee County</t>
  </si>
  <si>
    <t>Census Tract 909, Milwaukee County</t>
  </si>
  <si>
    <t>Census Tract 6603.01, Ozaukee County</t>
  </si>
  <si>
    <t>Census Tract 6603.03, Ozaukee County</t>
  </si>
  <si>
    <t>Census Tract 911, Milwaukee County</t>
  </si>
  <si>
    <t>Census Tract 6603.04, Ozaukee County</t>
  </si>
  <si>
    <t>Census Tract 9602, Pierce County</t>
  </si>
  <si>
    <t>Census Tract 212, Milwaukee County</t>
  </si>
  <si>
    <t>Census Tract 9603, Pierce County</t>
  </si>
  <si>
    <t>Census Tract 914, Milwaukee County</t>
  </si>
  <si>
    <t>Census Tract 9605, Pierce County</t>
  </si>
  <si>
    <t>Census Tract 9607, Pierce County</t>
  </si>
  <si>
    <t>Census Tract 9607.02, Polk County</t>
  </si>
  <si>
    <t>Census Tract 9608, Polk County</t>
  </si>
  <si>
    <t>Census Tract 9501, Monroe County</t>
  </si>
  <si>
    <t>Census Tract 9609.01, Polk County</t>
  </si>
  <si>
    <t>Census Tract 9610, Polk County</t>
  </si>
  <si>
    <t>Census Tract 9605, Portage County</t>
  </si>
  <si>
    <t>Census Tract 9507, Monroe County</t>
  </si>
  <si>
    <t>Census Tract 9607.02, Portage County</t>
  </si>
  <si>
    <t>Census Tract 9508, Monroe County</t>
  </si>
  <si>
    <t>Census Tract 9611.01, Portage County</t>
  </si>
  <si>
    <t>Census Tract 9509, Monroe County</t>
  </si>
  <si>
    <t>Census Tract 9611.02, Portage County</t>
  </si>
  <si>
    <t>Census Tract 4, Marathon County</t>
  </si>
  <si>
    <t>Census Tract 1008, Oconto County</t>
  </si>
  <si>
    <t>Census Tract 11.01, Racine County</t>
  </si>
  <si>
    <t>Census Tract 1010, Oconto County</t>
  </si>
  <si>
    <t>Census Tract 12.01, Racine County</t>
  </si>
  <si>
    <t>Census Tract 1011, Oconto County</t>
  </si>
  <si>
    <t>Census Tract 12.02, Racine County</t>
  </si>
  <si>
    <t>Census Tract 6.02, Marathon County</t>
  </si>
  <si>
    <t>Census Tract 13.02, Racine County</t>
  </si>
  <si>
    <t>Census Tract 1013.02, Oconto County</t>
  </si>
  <si>
    <t>Census Tract 14.02, Racine County</t>
  </si>
  <si>
    <t>Census Tract 9701.01, Oneida County</t>
  </si>
  <si>
    <t>Census Tract 15.04, Racine County</t>
  </si>
  <si>
    <t>Census Tract 9701.04, Oneida County</t>
  </si>
  <si>
    <t>Census Tract 15.05, Racine County</t>
  </si>
  <si>
    <t>Census Tract 9704, Oneida County</t>
  </si>
  <si>
    <t>Census Tract 15.07, Racine County</t>
  </si>
  <si>
    <t>Census Tract 9705, Oneida County</t>
  </si>
  <si>
    <t>Census Tract 16.02, Racine County</t>
  </si>
  <si>
    <t>Census Tract 9606, Marinette County</t>
  </si>
  <si>
    <t>Census Tract 9706.01, Oneida County</t>
  </si>
  <si>
    <t>Census Tract 17.02, Racine County</t>
  </si>
  <si>
    <t>Census Tract 9706.04, Oneida County</t>
  </si>
  <si>
    <t>Census Tract 17.03, Racine County</t>
  </si>
  <si>
    <t>Census Tract 9709, Oneida County</t>
  </si>
  <si>
    <t>Census Tract 17.06, Racine County</t>
  </si>
  <si>
    <t>Census Tract 9711, Oneida County</t>
  </si>
  <si>
    <t>Census Tract 2, Racine County</t>
  </si>
  <si>
    <t>Census Tract 20.02, Racine County</t>
  </si>
  <si>
    <t>Census Tract 21, Racine County</t>
  </si>
  <si>
    <t>Census Tract 27.01, Racine County</t>
  </si>
  <si>
    <t>Census Tract 111.03, Outagamie County</t>
  </si>
  <si>
    <t>Census Tract 27.02, Racine County</t>
  </si>
  <si>
    <t>Census Tract 120, Outagamie County</t>
  </si>
  <si>
    <t>Census Tract 29, Racine County</t>
  </si>
  <si>
    <t>Census Tract 6, Racine County</t>
  </si>
  <si>
    <t>Census Tract 9401.03, Menominee County</t>
  </si>
  <si>
    <t>Census Tract 125.03, Outagamie County</t>
  </si>
  <si>
    <t>Census Tract 7, Racine County</t>
  </si>
  <si>
    <t>Census Tract 51, Milwaukee County</t>
  </si>
  <si>
    <t>Census Tract 125.04, Outagamie County</t>
  </si>
  <si>
    <t>Census Tract 9.01, Racine County</t>
  </si>
  <si>
    <t>Census Tract 125.05, Outagamie County</t>
  </si>
  <si>
    <t>Census Tract 9.04, Racine County</t>
  </si>
  <si>
    <t>Census Tract 126.02, Outagamie County</t>
  </si>
  <si>
    <t>Census Tract 10, Rock County</t>
  </si>
  <si>
    <t>Census Tract 126.03, Outagamie County</t>
  </si>
  <si>
    <t>Census Tract 13.02, Rock County</t>
  </si>
  <si>
    <t>Census Tract 13.05, Rock County</t>
  </si>
  <si>
    <t>Census Tract 128, Outagamie County</t>
  </si>
  <si>
    <t>Census Tract 13.06, Rock County</t>
  </si>
  <si>
    <t>Census Tract 17, Rock County</t>
  </si>
  <si>
    <t>Census Tract 129.03, Outagamie County</t>
  </si>
  <si>
    <t>Census Tract 18, Rock County</t>
  </si>
  <si>
    <t>Census Tract 129.04, Outagamie County</t>
  </si>
  <si>
    <t>Census Tract 19, Rock County</t>
  </si>
  <si>
    <t>Census Tract 133, Outagamie County</t>
  </si>
  <si>
    <t>Census Tract 21, Rock County</t>
  </si>
  <si>
    <t>Census Tract 6402.02, Ozaukee County</t>
  </si>
  <si>
    <t>Census Tract 22, Rock County</t>
  </si>
  <si>
    <t>Census Tract 68, Milwaukee County</t>
  </si>
  <si>
    <t>Census Tract 23, Rock County</t>
  </si>
  <si>
    <t>Census Tract 1011, Milwaukee County</t>
  </si>
  <si>
    <t>Census Tract 24, Rock County</t>
  </si>
  <si>
    <t>Census Tract 6602.01, Ozaukee County</t>
  </si>
  <si>
    <t>Census Tract 25, Rock County</t>
  </si>
  <si>
    <t>Census Tract 26.01, Rock County</t>
  </si>
  <si>
    <t>Census Tract 26.02, Rock County</t>
  </si>
  <si>
    <t>Census Tract 1015, Milwaukee County</t>
  </si>
  <si>
    <t>Census Tract 30.02, Rock County</t>
  </si>
  <si>
    <t>Census Tract 32, Rock County</t>
  </si>
  <si>
    <t>Census Tract 9502, Pepin County</t>
  </si>
  <si>
    <t>Census Tract 4, Rock County</t>
  </si>
  <si>
    <t>Census Tract 11, Milwaukee County</t>
  </si>
  <si>
    <t>Census Tract 5, Rock County</t>
  </si>
  <si>
    <t>Census Tract 6, Rock County</t>
  </si>
  <si>
    <t>Census Tract 9606, Pierce County</t>
  </si>
  <si>
    <t>Census Tract 7, Rock County</t>
  </si>
  <si>
    <t>Census Tract 9603.01, Polk County</t>
  </si>
  <si>
    <t>Census Tract 8, Rock County</t>
  </si>
  <si>
    <t>Census Tract 87, Milwaukee County</t>
  </si>
  <si>
    <t>Census Tract 9605, Polk County</t>
  </si>
  <si>
    <t>Census Tract 1.01, Sauk County</t>
  </si>
  <si>
    <t>Census Tract 1.04, Sauk County</t>
  </si>
  <si>
    <t>Census Tract 10.02, Sauk County</t>
  </si>
  <si>
    <t>Census Tract 9, Milwaukee County</t>
  </si>
  <si>
    <t>Census Tract 9609.02, Polk County</t>
  </si>
  <si>
    <t>Census Tract 3.01, Sauk County</t>
  </si>
  <si>
    <t>Census Tract 3.03, Sauk County</t>
  </si>
  <si>
    <t>Census Tract 9611, Polk County</t>
  </si>
  <si>
    <t>Census Tract 4.01, Sauk County</t>
  </si>
  <si>
    <t>Census Tract 9601, Portage County</t>
  </si>
  <si>
    <t>Census Tract 5, Sauk County</t>
  </si>
  <si>
    <t>Census Tract 9602, Portage County</t>
  </si>
  <si>
    <t>Census Tract 6.03, Sauk County</t>
  </si>
  <si>
    <t>Census Tract 7, Sauk County</t>
  </si>
  <si>
    <t>Census Tract 9606, Portage County</t>
  </si>
  <si>
    <t>Census Tract 8, Sauk County</t>
  </si>
  <si>
    <t>Census Tract 123, Milwaukee County</t>
  </si>
  <si>
    <t>Census Tract 9607.01, Portage County</t>
  </si>
  <si>
    <t>Census Tract 9.01, Sauk County</t>
  </si>
  <si>
    <t>Census Tract 1009, Shawano County</t>
  </si>
  <si>
    <t>Census Tract 9608, Portage County</t>
  </si>
  <si>
    <t>Census Tract 1, Sheboygan County</t>
  </si>
  <si>
    <t>Census Tract 105.04, Sheboygan County</t>
  </si>
  <si>
    <t>Census Tract 9613, Portage County</t>
  </si>
  <si>
    <t>Census Tract 108, Sheboygan County</t>
  </si>
  <si>
    <t>Census Tract 9701, Price County</t>
  </si>
  <si>
    <t>Census Tract 113.01, Sheboygan County</t>
  </si>
  <si>
    <t>Census Tract 98, Milwaukee County</t>
  </si>
  <si>
    <t>Census Tract 9704, Price County</t>
  </si>
  <si>
    <t>Census Tract 1201, St. Croix County</t>
  </si>
  <si>
    <t>Census Tract 9503, Monroe County</t>
  </si>
  <si>
    <t>Census Tract 9706, Price County</t>
  </si>
  <si>
    <t>Census Tract 1202.02, St. Croix County</t>
  </si>
  <si>
    <t>Census Tract 11.02, Racine County</t>
  </si>
  <si>
    <t>Census Tract 1203, St. Croix County</t>
  </si>
  <si>
    <t>Census Tract 15.01, Racine County</t>
  </si>
  <si>
    <t>Census Tract 1204.01, St. Croix County</t>
  </si>
  <si>
    <t>Census Tract 1003, Oconto County</t>
  </si>
  <si>
    <t>Census Tract 1208.01, St. Croix County</t>
  </si>
  <si>
    <t>Census Tract 1005, Oconto County</t>
  </si>
  <si>
    <t>Census Tract 1209.01, St. Croix County</t>
  </si>
  <si>
    <t>Census Tract 1006, Oconto County</t>
  </si>
  <si>
    <t>Census Tract 137, Milwaukee County</t>
  </si>
  <si>
    <t>Census Tract 15.06, Racine County</t>
  </si>
  <si>
    <t>Census Tract 1209.04, St. Croix County</t>
  </si>
  <si>
    <t>Census Tract 1007, Oconto County</t>
  </si>
  <si>
    <t>Census Tract 16.01, Racine County</t>
  </si>
  <si>
    <t>Census Tract 1209.05, St. Croix County</t>
  </si>
  <si>
    <t>Census Tract 1210, St. Croix County</t>
  </si>
  <si>
    <t>Census Tract 1009, Oconto County</t>
  </si>
  <si>
    <t>Census Tract 1006, Trempealeau County</t>
  </si>
  <si>
    <t>Census Tract 1007, Trempealeau County</t>
  </si>
  <si>
    <t>Census Tract 17.05, Racine County</t>
  </si>
  <si>
    <t>Census Tract 1008, Trempealeau County</t>
  </si>
  <si>
    <t>Census Tract 9603, Vernon County</t>
  </si>
  <si>
    <t>Census Tract 148, Milwaukee County</t>
  </si>
  <si>
    <t>Census Tract 18.01, Racine County</t>
  </si>
  <si>
    <t>Census Tract 9606, Vernon County</t>
  </si>
  <si>
    <t>Census Tract 149, Milwaukee County</t>
  </si>
  <si>
    <t>Census Tract 18.02, Racine County</t>
  </si>
  <si>
    <t>Census Tract 9506.02, Vilas County</t>
  </si>
  <si>
    <t>Census Tract 19, Racine County</t>
  </si>
  <si>
    <t>Census Tract 15.01, Walworth County</t>
  </si>
  <si>
    <t>Census Tract 9708, Oneida County</t>
  </si>
  <si>
    <t>Census Tract 20.01, Racine County</t>
  </si>
  <si>
    <t>Census Tract 15.04, Walworth County</t>
  </si>
  <si>
    <t>Census Tract 16.05, Walworth County</t>
  </si>
  <si>
    <t>Census Tract 9710.01, Oneida County</t>
  </si>
  <si>
    <t>Census Tract 16.07, Walworth County</t>
  </si>
  <si>
    <t>Census Tract 9710.02, Oneida County</t>
  </si>
  <si>
    <t>Census Tract 24.01, Racine County</t>
  </si>
  <si>
    <t>Census Tract 16.08, Walworth County</t>
  </si>
  <si>
    <t>Census Tract 9714, Oneida County</t>
  </si>
  <si>
    <t>Census Tract 24.02, Racine County</t>
  </si>
  <si>
    <t>Census Tract 17.02, Walworth County</t>
  </si>
  <si>
    <t>Census Tract 9715, Oneida County</t>
  </si>
  <si>
    <t>Census Tract 26, Racine County</t>
  </si>
  <si>
    <t>Census Tract 2.02, Walworth County</t>
  </si>
  <si>
    <t>Census Tract 105.01, Outagamie County</t>
  </si>
  <si>
    <t>Census Tract 3.04, Walworth County</t>
  </si>
  <si>
    <t>Census Tract 106.01, Outagamie County</t>
  </si>
  <si>
    <t>Census Tract 4, Walworth County</t>
  </si>
  <si>
    <t>Census Tract 28, Racine County</t>
  </si>
  <si>
    <t>Census Tract 7.01, Walworth County</t>
  </si>
  <si>
    <t>Census Tract 8, Racine County</t>
  </si>
  <si>
    <t>Census Tract 8.01, Walworth County</t>
  </si>
  <si>
    <t>Census Tract 9.03, Racine County</t>
  </si>
  <si>
    <t>Census Tract 9.01, Walworth County</t>
  </si>
  <si>
    <t>Census Tract 9800, Racine County</t>
  </si>
  <si>
    <t>Census Tract 9.02, Walworth County</t>
  </si>
  <si>
    <t>Census Tract 110.01, Outagamie County</t>
  </si>
  <si>
    <t>Census Tract 9702, Richland County</t>
  </si>
  <si>
    <t>Census Tract 4001.04, Washington County</t>
  </si>
  <si>
    <t>Census Tract 112, Outagamie County</t>
  </si>
  <si>
    <t>Census Tract 9703, Richland County</t>
  </si>
  <si>
    <t>Census Tract 4201.04, Washington County</t>
  </si>
  <si>
    <t>Census Tract 9705, Richland County</t>
  </si>
  <si>
    <t>Census Tract 4201.05, Washington County</t>
  </si>
  <si>
    <t>Census Tract 115.02, Outagamie County</t>
  </si>
  <si>
    <t>Census Tract 12.01, Rock County</t>
  </si>
  <si>
    <t>Census Tract 4201.06, Washington County</t>
  </si>
  <si>
    <t>Census Tract 116, Outagamie County</t>
  </si>
  <si>
    <t>Census Tract 165, Milwaukee County</t>
  </si>
  <si>
    <t>Census Tract 12.02, Rock County</t>
  </si>
  <si>
    <t>Census Tract 4201.07, Washington County</t>
  </si>
  <si>
    <t>Census Tract 117, Outagamie County</t>
  </si>
  <si>
    <t>Census Tract 4201.08, Washington County</t>
  </si>
  <si>
    <t>Census Tract 13.03, Rock County</t>
  </si>
  <si>
    <t>Census Tract 4204.01, Washington County</t>
  </si>
  <si>
    <t>Census Tract 119.02, Outagamie County</t>
  </si>
  <si>
    <t>Census Tract 168, Milwaukee County</t>
  </si>
  <si>
    <t>Census Tract 4301, Washington County</t>
  </si>
  <si>
    <t>Census Tract 4401.03, Washington County</t>
  </si>
  <si>
    <t>Census Tract 122, Outagamie County</t>
  </si>
  <si>
    <t>Census Tract 4401.04, Washington County</t>
  </si>
  <si>
    <t>Census Tract 123, Outagamie County</t>
  </si>
  <si>
    <t>Census Tract 4402, Washington County</t>
  </si>
  <si>
    <t>Census Tract 4501.03, Washington County</t>
  </si>
  <si>
    <t>Census Tract 175, Milwaukee County</t>
  </si>
  <si>
    <t>Census Tract 4501.06, Washington County</t>
  </si>
  <si>
    <t>Census Tract 4501.08, Washington County</t>
  </si>
  <si>
    <t>Census Tract 127, Outagamie County</t>
  </si>
  <si>
    <t>Census Tract 27, Rock County</t>
  </si>
  <si>
    <t>Census Tract 4702.02, Washington County</t>
  </si>
  <si>
    <t>Census Tract 28, Rock County</t>
  </si>
  <si>
    <t>Census Tract 4702.03, Washington County</t>
  </si>
  <si>
    <t>Census Tract 29.01, Rock County</t>
  </si>
  <si>
    <t>Census Tract 4702.04, Washington County</t>
  </si>
  <si>
    <t>Census Tract 29.02, Rock County</t>
  </si>
  <si>
    <t>Census Tract 2001.02, Waukesha County</t>
  </si>
  <si>
    <t>Census Tract 30.01, Rock County</t>
  </si>
  <si>
    <t>Census Tract 2001.03, Waukesha County</t>
  </si>
  <si>
    <t>Census Tract 2002.01, Waukesha County</t>
  </si>
  <si>
    <t>Census Tract 6101.01, Ozaukee County</t>
  </si>
  <si>
    <t>Census Tract 31.01, Rock County</t>
  </si>
  <si>
    <t>Census Tract 2004, Waukesha County</t>
  </si>
  <si>
    <t>Census Tract 31.02, Rock County</t>
  </si>
  <si>
    <t>Census Tract 2005, Waukesha County</t>
  </si>
  <si>
    <t>Census Tract 2006, Waukesha County</t>
  </si>
  <si>
    <t>Census Tract 33, Rock County</t>
  </si>
  <si>
    <t>Census Tract 2007, Waukesha County</t>
  </si>
  <si>
    <t>Census Tract 6402.01, Ozaukee County</t>
  </si>
  <si>
    <t>Census Tract 2008.03, Waukesha County</t>
  </si>
  <si>
    <t>Census Tract 1856, Milwaukee County</t>
  </si>
  <si>
    <t>Census Tract 9, Rock County</t>
  </si>
  <si>
    <t>Census Tract 2008.04, Waukesha County</t>
  </si>
  <si>
    <t>Census Tract 9601, Rusk County</t>
  </si>
  <si>
    <t>Census Tract 2009.01, Waukesha County</t>
  </si>
  <si>
    <t>Census Tract 6501.03, Ozaukee County</t>
  </si>
  <si>
    <t>Census Tract 9602, Rusk County</t>
  </si>
  <si>
    <t>Census Tract 2011.02, Waukesha County</t>
  </si>
  <si>
    <t>Census Tract 9604, Rusk County</t>
  </si>
  <si>
    <t>Census Tract 2012.03, Waukesha County</t>
  </si>
  <si>
    <t>Census Tract 2012.04, Waukesha County</t>
  </si>
  <si>
    <t>Census Tract 1.03, Sauk County</t>
  </si>
  <si>
    <t>Census Tract 2012.05, Waukesha County</t>
  </si>
  <si>
    <t>Census Tract 10.03, Sauk County</t>
  </si>
  <si>
    <t>Census Tract 2014.02, Waukesha County</t>
  </si>
  <si>
    <t>Census Tract 1868, Milwaukee County</t>
  </si>
  <si>
    <t>Census Tract 10.05, Sauk County</t>
  </si>
  <si>
    <t>Census Tract 2014.03, Waukesha County</t>
  </si>
  <si>
    <t>Census Tract 11, Sauk County</t>
  </si>
  <si>
    <t>Census Tract 2014.04, Waukesha County</t>
  </si>
  <si>
    <t>Census Tract 2, Sauk County</t>
  </si>
  <si>
    <t>Census Tract 2015.06, Waukesha County</t>
  </si>
  <si>
    <t>Census Tract 3.02, Sauk County</t>
  </si>
  <si>
    <t>Census Tract 2015.08, Waukesha County</t>
  </si>
  <si>
    <t>Census Tract 9501, Pepin County</t>
  </si>
  <si>
    <t>Census Tract 2017.01, Waukesha County</t>
  </si>
  <si>
    <t>Census Tract 9601, Pierce County</t>
  </si>
  <si>
    <t>Census Tract 2017.03, Waukesha County</t>
  </si>
  <si>
    <t>Census Tract 6.01, Sauk County</t>
  </si>
  <si>
    <t>Census Tract 2020.02, Waukesha County</t>
  </si>
  <si>
    <t>Census Tract 9604, Pierce County</t>
  </si>
  <si>
    <t>Census Tract 6.02, Sauk County</t>
  </si>
  <si>
    <t>Census Tract 2022.01, Waukesha County</t>
  </si>
  <si>
    <t>Census Tract 2022.03, Waukesha County</t>
  </si>
  <si>
    <t>Census Tract 2022.04, Waukesha County</t>
  </si>
  <si>
    <t>Census Tract 2023.01, Waukesha County</t>
  </si>
  <si>
    <t>Census Tract 9601, Polk County</t>
  </si>
  <si>
    <t>Census Tract 9.02, Sauk County</t>
  </si>
  <si>
    <t>Census Tract 2024, Waukesha County</t>
  </si>
  <si>
    <t>Census Tract 9.03, Sauk County</t>
  </si>
  <si>
    <t>Census Tract 2027, Waukesha County</t>
  </si>
  <si>
    <t>Census Tract 9603.02, Polk County</t>
  </si>
  <si>
    <t>Census Tract 201, Milwaukee County</t>
  </si>
  <si>
    <t>Census Tract 1004, Sawyer County</t>
  </si>
  <si>
    <t>Census Tract 2028, Waukesha County</t>
  </si>
  <si>
    <t>Census Tract 9603.03, Polk County</t>
  </si>
  <si>
    <t>Census Tract 1005.01, Sawyer County</t>
  </si>
  <si>
    <t>Census Tract 2029.01, Waukesha County</t>
  </si>
  <si>
    <t>Census Tract 1005.02, Sawyer County</t>
  </si>
  <si>
    <t>Census Tract 2029.02, Waukesha County</t>
  </si>
  <si>
    <t>Census Tract 21, Milwaukee County</t>
  </si>
  <si>
    <t>Census Tract 1001, Shawano County</t>
  </si>
  <si>
    <t>Census Tract 2031.03, Waukesha County</t>
  </si>
  <si>
    <t>Census Tract 1003, Shawano County</t>
  </si>
  <si>
    <t>Census Tract 2031.04, Waukesha County</t>
  </si>
  <si>
    <t>Census Tract 2031.05, Waukesha County</t>
  </si>
  <si>
    <t>Census Tract 1010, Shawano County</t>
  </si>
  <si>
    <t>Census Tract 2031.06, Waukesha County</t>
  </si>
  <si>
    <t>Census Tract 9603, Portage County</t>
  </si>
  <si>
    <t>Census Tract 1011, Shawano County</t>
  </si>
  <si>
    <t>Census Tract 2031.07, Waukesha County</t>
  </si>
  <si>
    <t>Census Tract 2032, Waukesha County</t>
  </si>
  <si>
    <t>Census Tract 101, Sheboygan County</t>
  </si>
  <si>
    <t>Census Tract 2033.03, Waukesha County</t>
  </si>
  <si>
    <t>Census Tract 102, Sheboygan County</t>
  </si>
  <si>
    <t>Census Tract 2033.04, Waukesha County</t>
  </si>
  <si>
    <t>Census Tract 9609, Portage County</t>
  </si>
  <si>
    <t>Census Tract 103, Sheboygan County</t>
  </si>
  <si>
    <t>Census Tract 2033.08, Waukesha County</t>
  </si>
  <si>
    <t>Census Tract 9610, Portage County</t>
  </si>
  <si>
    <t>Census Tract 104, Sheboygan County</t>
  </si>
  <si>
    <t>Census Tract 2034.02, Waukesha County</t>
  </si>
  <si>
    <t>Census Tract 2034.04, Waukesha County</t>
  </si>
  <si>
    <t>Census Tract 9612, Portage County</t>
  </si>
  <si>
    <t>Census Tract 107, Sheboygan County</t>
  </si>
  <si>
    <t>Census Tract 2035.02, Waukesha County</t>
  </si>
  <si>
    <t>Census Tract 2036.01, Waukesha County</t>
  </si>
  <si>
    <t>Census Tract 109, Sheboygan County</t>
  </si>
  <si>
    <t>Census Tract 2036.02, Waukesha County</t>
  </si>
  <si>
    <t>Census Tract 110, Sheboygan County</t>
  </si>
  <si>
    <t>Census Tract 2037.02, Waukesha County</t>
  </si>
  <si>
    <t>Census Tract 111, Sheboygan County</t>
  </si>
  <si>
    <t>Census Tract 2037.04, Waukesha County</t>
  </si>
  <si>
    <t>Census Tract 10.02, Racine County</t>
  </si>
  <si>
    <t>Census Tract 112, Sheboygan County</t>
  </si>
  <si>
    <t>Census Tract 2038.05, Waukesha County</t>
  </si>
  <si>
    <t>Census Tract 10.03, Racine County</t>
  </si>
  <si>
    <t>Census Tract 2039.01, Waukesha County</t>
  </si>
  <si>
    <t>Census Tract 113.02, Sheboygan County</t>
  </si>
  <si>
    <t>Census Tract 2039.02, Waukesha County</t>
  </si>
  <si>
    <t>Census Tract 1202.01, St. Croix County</t>
  </si>
  <si>
    <t>Census Tract 2040.03, Waukesha County</t>
  </si>
  <si>
    <t>Census Tract 14.01, Racine County</t>
  </si>
  <si>
    <t>Census Tract 2041, Waukesha County</t>
  </si>
  <si>
    <t>Census Tract 2042.01, Waukesha County</t>
  </si>
  <si>
    <t>Census Tract 2042.02, Waukesha County</t>
  </si>
  <si>
    <t>Census Tract 1204.02, St. Croix County</t>
  </si>
  <si>
    <t>Census Tract 2043.01, Waukesha County</t>
  </si>
  <si>
    <t>Census Tract 1206.01, St. Croix County</t>
  </si>
  <si>
    <t>Census Tract 2043.02, Waukesha County</t>
  </si>
  <si>
    <t>Census Tract 17.01, Racine County</t>
  </si>
  <si>
    <t>Census Tract 2044, Waukesha County</t>
  </si>
  <si>
    <t>Census Tract 1209.06, St. Croix County</t>
  </si>
  <si>
    <t>Census Tract 1002, Waupaca County</t>
  </si>
  <si>
    <t>Census Tract 1009, Waupaca County</t>
  </si>
  <si>
    <t>Census Tract 9601, Taylor County</t>
  </si>
  <si>
    <t>Census Tract 9606, Waushara County</t>
  </si>
  <si>
    <t>Census Tract 9602, Taylor County</t>
  </si>
  <si>
    <t>Census Tract 12, Winnebago County</t>
  </si>
  <si>
    <t>Census Tract 9603, Taylor County</t>
  </si>
  <si>
    <t>Census Tract 17, Winnebago County</t>
  </si>
  <si>
    <t>Census Tract 9604, Taylor County</t>
  </si>
  <si>
    <t>Census Tract 18.03, Winnebago County</t>
  </si>
  <si>
    <t>Census Tract 9606, Taylor County</t>
  </si>
  <si>
    <t>Census Tract 18.04, Winnebago County</t>
  </si>
  <si>
    <t>Census Tract 1002, Trempealeau County</t>
  </si>
  <si>
    <t>Census Tract 19, Winnebago County</t>
  </si>
  <si>
    <t>Census Tract 1005, Trempealeau County</t>
  </si>
  <si>
    <t>Census Tract 20.01, Winnebago County</t>
  </si>
  <si>
    <t>Census Tract 63, Milwaukee County</t>
  </si>
  <si>
    <t>Census Tract 34, Winnebago County</t>
  </si>
  <si>
    <t>Census Tract 37.03, Winnebago County</t>
  </si>
  <si>
    <t>Census Tract 37.04, Winnebago County</t>
  </si>
  <si>
    <t>Census Tract 5, Racine County</t>
  </si>
  <si>
    <t>Census Tract 9605, Vernon County</t>
  </si>
  <si>
    <t>Census Tract 4, Winnebago County</t>
  </si>
  <si>
    <t>Census Tract 8, Winnebago County</t>
  </si>
  <si>
    <t>Census Tract 9607, Vernon County</t>
  </si>
  <si>
    <t>Census Tract 107, Wood County</t>
  </si>
  <si>
    <t>Census Tract 9701, Richland County</t>
  </si>
  <si>
    <t>Census Tract 9502.02, Vilas County</t>
  </si>
  <si>
    <t>Census Tract 114, Wood County</t>
  </si>
  <si>
    <t>Census Tract 9505.02, Vilas County</t>
  </si>
  <si>
    <t>Census Tract 9506.01, Vilas County</t>
  </si>
  <si>
    <t>Census Tract 1, Rock County</t>
  </si>
  <si>
    <t>Census Tract 9507, Vilas County</t>
  </si>
  <si>
    <t>Census Tract 11, Rock County</t>
  </si>
  <si>
    <t>Census Tract 1.02, Walworth County</t>
  </si>
  <si>
    <t>Census Tract 1.04, Walworth County</t>
  </si>
  <si>
    <t>Census Tract 10, Walworth County</t>
  </si>
  <si>
    <t>Census Tract 15, Rock County</t>
  </si>
  <si>
    <t>Census Tract 2, Rock County</t>
  </si>
  <si>
    <t>Census Tract 16.06, Walworth County</t>
  </si>
  <si>
    <t>Census Tract 17.01, Walworth County</t>
  </si>
  <si>
    <t>Census Tract 2.01, Walworth County</t>
  </si>
  <si>
    <t>Census Tract 3.01, Walworth County</t>
  </si>
  <si>
    <t>Census Tract 3.03, Walworth County</t>
  </si>
  <si>
    <t>Census Tract 9504, Monroe County</t>
  </si>
  <si>
    <t>Census Tract 9502, Washburn County</t>
  </si>
  <si>
    <t>Census Tract 9503, Washburn County</t>
  </si>
  <si>
    <t>Census Tract 9505.02, Washburn County</t>
  </si>
  <si>
    <t>Census Tract 9506, Washburn County</t>
  </si>
  <si>
    <t>Census Tract 4001.02, Washington County</t>
  </si>
  <si>
    <t>Census Tract 9603, Rusk County</t>
  </si>
  <si>
    <t>Census Tract 4001.03, Washington County</t>
  </si>
  <si>
    <t>Census Tract 4101, Washington County</t>
  </si>
  <si>
    <t>Census Tract 9605, Rusk County</t>
  </si>
  <si>
    <t>Census Tract 4401.05, Washington County</t>
  </si>
  <si>
    <t>Census Tract 4401.06, Washington County</t>
  </si>
  <si>
    <t>Census Tract 1012, Oconto County</t>
  </si>
  <si>
    <t>Census Tract 4501.05, Washington County</t>
  </si>
  <si>
    <t>Census Tract 4501.07, Washington County</t>
  </si>
  <si>
    <t>Census Tract 4601.01, Washington County</t>
  </si>
  <si>
    <t>Census Tract 4601.02, Washington County</t>
  </si>
  <si>
    <t>Census Tract 1003, Sawyer County</t>
  </si>
  <si>
    <t>Census Tract 4701, Washington County</t>
  </si>
  <si>
    <t>Census Tract 1007, Sawyer County</t>
  </si>
  <si>
    <t>Census Tract 1008, Sawyer County</t>
  </si>
  <si>
    <t>Census Tract 101, Outagamie County</t>
  </si>
  <si>
    <t>Census Tract 9400.02, Sawyer County</t>
  </si>
  <si>
    <t>Census Tract 102, Outagamie County</t>
  </si>
  <si>
    <t>Census Tract 2001.01, Waukesha County</t>
  </si>
  <si>
    <t>Census Tract 103, Outagamie County</t>
  </si>
  <si>
    <t>Census Tract 2003, Waukesha County</t>
  </si>
  <si>
    <t>Census Tract 1007, Shawano County</t>
  </si>
  <si>
    <t>Census Tract 2008.01, Waukesha County</t>
  </si>
  <si>
    <t>Census Tract 110.02, Outagamie County</t>
  </si>
  <si>
    <t>Census Tract 111.01, Outagamie County</t>
  </si>
  <si>
    <t>Census Tract 2009.02, Waukesha County</t>
  </si>
  <si>
    <t>Census Tract 105.02, Sheboygan County</t>
  </si>
  <si>
    <t>Census Tract 2010.01, Waukesha County</t>
  </si>
  <si>
    <t>Census Tract 2010.02, Waukesha County</t>
  </si>
  <si>
    <t>Census Tract 106.02, Sheboygan County</t>
  </si>
  <si>
    <t>Census Tract 113, Outagamie County</t>
  </si>
  <si>
    <t>Census Tract 2011.01, Waukesha County</t>
  </si>
  <si>
    <t>Census Tract 11, Sheboygan County</t>
  </si>
  <si>
    <t>Census Tract 2015.04, Waukesha County</t>
  </si>
  <si>
    <t>Census Tract 2015.05, Waukesha County</t>
  </si>
  <si>
    <t>Census Tract 114, Sheboygan County</t>
  </si>
  <si>
    <t>Census Tract 2015.07, Waukesha County</t>
  </si>
  <si>
    <t>Census Tract 2.02, Sheboygan County</t>
  </si>
  <si>
    <t>Census Tract 2016, Waukesha County</t>
  </si>
  <si>
    <t>Census Tract 4, Sheboygan County</t>
  </si>
  <si>
    <t>Census Tract 2017.04, Waukesha County</t>
  </si>
  <si>
    <t>Census Tract 2018, Waukesha County</t>
  </si>
  <si>
    <t>Census Tract 124, Outagamie County</t>
  </si>
  <si>
    <t>Census Tract 2019, Waukesha County</t>
  </si>
  <si>
    <t>Census Tract 2020.01, Waukesha County</t>
  </si>
  <si>
    <t>Census Tract 1205.01, St. Croix County</t>
  </si>
  <si>
    <t>Census Tract 2021.01, Waukesha County</t>
  </si>
  <si>
    <t>Census Tract 1205.02, St. Croix County</t>
  </si>
  <si>
    <t>Census Tract 2021.02, Waukesha County</t>
  </si>
  <si>
    <t>Census Tract 2021.03, Waukesha County</t>
  </si>
  <si>
    <t>Census Tract 2034.03, Waukesha County</t>
  </si>
  <si>
    <t>Census Tract 2034.05, Waukesha County</t>
  </si>
  <si>
    <t>Census Tract 131, Outagamie County</t>
  </si>
  <si>
    <t>Census Tract 2034.06, Waukesha County</t>
  </si>
  <si>
    <t>Census Tract 132, Outagamie County</t>
  </si>
  <si>
    <t>Census Tract 2035.01, Waukesha County</t>
  </si>
  <si>
    <t>Census Tract 9400, Outagamie County</t>
  </si>
  <si>
    <t>Census Tract 2037.03, Waukesha County</t>
  </si>
  <si>
    <t>Census Tract 1004, Trempealeau County</t>
  </si>
  <si>
    <t>Census Tract 6201, Ozaukee County</t>
  </si>
  <si>
    <t>Census Tract 2038.02, Waukesha County</t>
  </si>
  <si>
    <t>Census Tract 2038.03, Waukesha County</t>
  </si>
  <si>
    <t>Census Tract 2038.06, Waukesha County</t>
  </si>
  <si>
    <t>Census Tract 9400, Vilas County</t>
  </si>
  <si>
    <t>Census Tract 9505.01, Vilas County</t>
  </si>
  <si>
    <t>Census Tract 6401.02, Ozaukee County</t>
  </si>
  <si>
    <t>Census Tract 2040.02, Waukesha County</t>
  </si>
  <si>
    <t>Census Tract 2040.04, Waukesha County</t>
  </si>
  <si>
    <t>Census Tract 15.03, Walworth County</t>
  </si>
  <si>
    <t>Census Tract 2045.01, Waukesha County</t>
  </si>
  <si>
    <t>Census Tract 16.03, Walworth County</t>
  </si>
  <si>
    <t>Census Tract 2045.03, Waukesha County</t>
  </si>
  <si>
    <t>Census Tract 2045.04, Waukesha County</t>
  </si>
  <si>
    <t>Census Tract 1004, Waupaca County</t>
  </si>
  <si>
    <t>Census Tract 1005, Waupaca County</t>
  </si>
  <si>
    <t>Census Tract 1006, Waupaca County</t>
  </si>
  <si>
    <t>Census Tract 1008, Waupaca County</t>
  </si>
  <si>
    <t>Census Tract 1012, Waupaca County</t>
  </si>
  <si>
    <t>Census Tract 9601, Waushara County</t>
  </si>
  <si>
    <t>Census Tract 9602.01, Waushara County</t>
  </si>
  <si>
    <t>Census Tract 5.02, Walworth County</t>
  </si>
  <si>
    <t>Census Tract 9602.02, Waushara County</t>
  </si>
  <si>
    <t>Census Tract 6, Walworth County</t>
  </si>
  <si>
    <t>Census Tract 9604, Waushara County</t>
  </si>
  <si>
    <t>Census Tract 7.02, Walworth County</t>
  </si>
  <si>
    <t>Census Tract 9608, Pierce County</t>
  </si>
  <si>
    <t>Census Tract 9607, Waushara County</t>
  </si>
  <si>
    <t>Census Tract 13, Winnebago County</t>
  </si>
  <si>
    <t>Census Tract 8.02, Walworth County</t>
  </si>
  <si>
    <t>Census Tract 9602, Polk County</t>
  </si>
  <si>
    <t>Census Tract 15, Winnebago County</t>
  </si>
  <si>
    <t>Census Tract 16, Winnebago County</t>
  </si>
  <si>
    <t>Census Tract 9606, Polk County</t>
  </si>
  <si>
    <t>Census Tract 9607.01, Polk County</t>
  </si>
  <si>
    <t>Census Tract 18.01, Winnebago County</t>
  </si>
  <si>
    <t>Census Tract 9505.01, Washburn County</t>
  </si>
  <si>
    <t>Census Tract 20.02, Winnebago County</t>
  </si>
  <si>
    <t>Census Tract 21, Winnebago County</t>
  </si>
  <si>
    <t>Census Tract 9604, Portage County</t>
  </si>
  <si>
    <t>Census Tract 22.01, Winnebago County</t>
  </si>
  <si>
    <t>Census Tract 22.02, Winnebago County</t>
  </si>
  <si>
    <t>Census Tract 23, Winnebago County</t>
  </si>
  <si>
    <t>Census Tract 24.01, Winnebago County</t>
  </si>
  <si>
    <t>Census Tract 24.02, Winnebago County</t>
  </si>
  <si>
    <t>Census Tract 3, Winnebago County</t>
  </si>
  <si>
    <t>Census Tract 30, Winnebago County</t>
  </si>
  <si>
    <t>Census Tract 4202, Washington County</t>
  </si>
  <si>
    <t>Census Tract 31, Winnebago County</t>
  </si>
  <si>
    <t>Census Tract 4203, Washington County</t>
  </si>
  <si>
    <t>Census Tract 32, Winnebago County</t>
  </si>
  <si>
    <t>Census Tract 4204.02, Washington County</t>
  </si>
  <si>
    <t>Census Tract 36, Winnebago County</t>
  </si>
  <si>
    <t>Census Tract 101, Wood County</t>
  </si>
  <si>
    <t>Census Tract 9702, Price County</t>
  </si>
  <si>
    <t>Census Tract 102, Wood County</t>
  </si>
  <si>
    <t>Census Tract 9705, Price County</t>
  </si>
  <si>
    <t>Census Tract 104, Wood County</t>
  </si>
  <si>
    <t>Census Tract 9707, Price County</t>
  </si>
  <si>
    <t>Census Tract 105, Wood County</t>
  </si>
  <si>
    <t>Census Tract 10.01, Racine County</t>
  </si>
  <si>
    <t>Census Tract 108, Wood County</t>
  </si>
  <si>
    <t>Census Tract 109, Wood County</t>
  </si>
  <si>
    <t>Census Tract 115, Wood County</t>
  </si>
  <si>
    <t>Census Tract 116, Wood County</t>
  </si>
  <si>
    <t>Census Tract 2012.01, Waukesha County</t>
  </si>
  <si>
    <t>Census Tract 2023.03, Waukesha County</t>
  </si>
  <si>
    <t>Census Tract 4, Racine County</t>
  </si>
  <si>
    <t>Census Tract 2023.04, Waukesha County</t>
  </si>
  <si>
    <t>Census Tract 2026, Waukesha County</t>
  </si>
  <si>
    <t>Census Tract 2030, Waukesha County</t>
  </si>
  <si>
    <t>Census Tract 2033.07, Waukesha County</t>
  </si>
  <si>
    <t>Census Tract 9704, Richland County</t>
  </si>
  <si>
    <t>Census Tract 14, Rock County</t>
  </si>
  <si>
    <t>Census Tract 3, Rock County</t>
  </si>
  <si>
    <t>Census Tract 1001, Waupaca County</t>
  </si>
  <si>
    <t>Census Tract 1003, Waupaca County</t>
  </si>
  <si>
    <t>Census Tract 1010, Waupaca County</t>
  </si>
  <si>
    <t>Census Tract 9603, Waushara County</t>
  </si>
  <si>
    <t>Census Tract 1.02, Sauk County</t>
  </si>
  <si>
    <t>Census Tract 9608, Waushara County</t>
  </si>
  <si>
    <t>Census Tract 10, Winnebago County</t>
  </si>
  <si>
    <t>Census Tract 11, Winnebago County</t>
  </si>
  <si>
    <t>Census Tract 10.04, Sauk County</t>
  </si>
  <si>
    <t>Census Tract 4.02, Sauk County</t>
  </si>
  <si>
    <t>Census Tract 26.01, Winnebago County</t>
  </si>
  <si>
    <t>Census Tract 26.02, Winnebago County</t>
  </si>
  <si>
    <t>Census Tract 28, Winnebago County</t>
  </si>
  <si>
    <t>Census Tract 29, Winnebago County</t>
  </si>
  <si>
    <t>Census Tract 9400.01, Sawyer County</t>
  </si>
  <si>
    <t>Census Tract 1004, Shawano County</t>
  </si>
  <si>
    <t>Census Tract 1005, Shawano County</t>
  </si>
  <si>
    <t>Census Tract 37.01, Winnebago County</t>
  </si>
  <si>
    <t>Census Tract 1006, Shawano County</t>
  </si>
  <si>
    <t>Census Tract 1008, Shawano County</t>
  </si>
  <si>
    <t>Census Tract 103, Wood County</t>
  </si>
  <si>
    <t>Census Tract 106, Wood County</t>
  </si>
  <si>
    <t>Census Tract 10, Sheboygan County</t>
  </si>
  <si>
    <t>Census Tract 117, Wood County</t>
  </si>
  <si>
    <t>Census Tract 105.03, Sheboygan County</t>
  </si>
  <si>
    <t>Census Tract 106.01, Sheboygan County</t>
  </si>
  <si>
    <t>Census Tract 3, Sheboygan County</t>
  </si>
  <si>
    <t>Census Tract 5, Sheboygan County</t>
  </si>
  <si>
    <t>Census Tract 8, Sheboygan County</t>
  </si>
  <si>
    <t>Census Tract 9, Sheboygan County</t>
  </si>
  <si>
    <t>Census Tract 1207, St. Croix County</t>
  </si>
  <si>
    <t>Census Tract 1208.02, St. Croix County</t>
  </si>
  <si>
    <t>Census Tract 9605, Taylor County</t>
  </si>
  <si>
    <t>Census Tract 1001, Trempealeau County</t>
  </si>
  <si>
    <t>Census Tract 9601, Vernon County</t>
  </si>
  <si>
    <t>Census Tract 9602, Vernon County</t>
  </si>
  <si>
    <t>Census Tract 9604, Vernon County</t>
  </si>
  <si>
    <t>Census Tract 9502.01, Vilas County</t>
  </si>
  <si>
    <t>Census Tract 1.03, Walworth County</t>
  </si>
  <si>
    <t>Census Tract 5.01, Walworth County</t>
  </si>
  <si>
    <t>Census Tract 9501, Washburn County</t>
  </si>
  <si>
    <t>Census Tract 2002.02, Waukesha County</t>
  </si>
  <si>
    <t>Census Tract 2013, Waukesha County</t>
  </si>
  <si>
    <t>Census Tract 2025, Waukesha County</t>
  </si>
  <si>
    <t>Census Tract 2033.05, Waukesha County</t>
  </si>
  <si>
    <t>Census Tract 1007, Waupaca County</t>
  </si>
  <si>
    <t>Census Tract 1011, Waupaca County</t>
  </si>
  <si>
    <t>Census Tract 14, Winnebago County</t>
  </si>
  <si>
    <t>Census Tract 25, Winnebago County</t>
  </si>
  <si>
    <t>Census Tract 33, Winnebago County</t>
  </si>
  <si>
    <t>Census Tract 35, Winnebago County</t>
  </si>
  <si>
    <t>Census Tract 5.01, Winnebago County</t>
  </si>
  <si>
    <t>Census Tract 7, Winnebago County</t>
  </si>
  <si>
    <t>Census Tract 9, Winnebago County</t>
  </si>
  <si>
    <t>Census Tract 110, Wood County</t>
  </si>
  <si>
    <t>Census Tract 111, Wood County</t>
  </si>
  <si>
    <t>Census Tract 112, Wood County</t>
  </si>
  <si>
    <t>Census Tract 113, Wood County</t>
  </si>
  <si>
    <t>Adams County</t>
  </si>
  <si>
    <t>14</t>
  </si>
  <si>
    <t>Building Based</t>
  </si>
  <si>
    <t>20%</t>
  </si>
  <si>
    <t>Infrastructure Access Loan</t>
  </si>
  <si>
    <t>Mortgage Loan</t>
  </si>
  <si>
    <t>Company</t>
  </si>
  <si>
    <t>Applicant</t>
  </si>
  <si>
    <t>20/50</t>
  </si>
  <si>
    <t>Ashland County</t>
  </si>
  <si>
    <t>16</t>
  </si>
  <si>
    <t>30%</t>
  </si>
  <si>
    <t>Restore Main Street Loan</t>
  </si>
  <si>
    <t>Participating Loan</t>
  </si>
  <si>
    <t>Individual</t>
  </si>
  <si>
    <t>40/60</t>
  </si>
  <si>
    <t>Barron County</t>
  </si>
  <si>
    <t>17</t>
  </si>
  <si>
    <t>40%</t>
  </si>
  <si>
    <t>Vacancy-to-Vitality Loan</t>
  </si>
  <si>
    <t>Subsidy Loan</t>
  </si>
  <si>
    <t>Innovative Housing Set-Aside</t>
  </si>
  <si>
    <t>Bayfield County</t>
  </si>
  <si>
    <t>18</t>
  </si>
  <si>
    <t>50%</t>
  </si>
  <si>
    <t>7/10 Flex Financing</t>
  </si>
  <si>
    <t>Third Party Loan</t>
  </si>
  <si>
    <t>Non-Profit Set-Aside</t>
  </si>
  <si>
    <t>Brown County</t>
  </si>
  <si>
    <t>19</t>
  </si>
  <si>
    <t>Equity Take Out</t>
  </si>
  <si>
    <t>60%</t>
  </si>
  <si>
    <t>Construction Plus Loan</t>
  </si>
  <si>
    <t>Permanent Immediate</t>
  </si>
  <si>
    <t>Rehabilitation Units</t>
  </si>
  <si>
    <t>Preservation Set-Aside</t>
  </si>
  <si>
    <t>Buffalo County</t>
  </si>
  <si>
    <t>20</t>
  </si>
  <si>
    <t>70%</t>
  </si>
  <si>
    <t>Permanent Forward</t>
  </si>
  <si>
    <t>Burnett County</t>
  </si>
  <si>
    <t>25</t>
  </si>
  <si>
    <t>Refinance</t>
  </si>
  <si>
    <t>80%</t>
  </si>
  <si>
    <t>Construction/Permanent</t>
  </si>
  <si>
    <t>Lender</t>
  </si>
  <si>
    <t>Calumet County</t>
  </si>
  <si>
    <t>29</t>
  </si>
  <si>
    <t>NONE</t>
  </si>
  <si>
    <t>Gap Financing</t>
  </si>
  <si>
    <t>100%</t>
  </si>
  <si>
    <t>Management Entity</t>
  </si>
  <si>
    <t>Supportive Housing Set-Aside</t>
  </si>
  <si>
    <t>Chippewa County</t>
  </si>
  <si>
    <t>3</t>
  </si>
  <si>
    <t>Standby</t>
  </si>
  <si>
    <t>140%</t>
  </si>
  <si>
    <t>Mortgage Banker</t>
  </si>
  <si>
    <t>Clark County</t>
  </si>
  <si>
    <t>Construction Only</t>
  </si>
  <si>
    <t>Partnership</t>
  </si>
  <si>
    <t>Columbia County</t>
  </si>
  <si>
    <t>30</t>
  </si>
  <si>
    <t>Crawford County</t>
  </si>
  <si>
    <t>40</t>
  </si>
  <si>
    <t>Dane County</t>
  </si>
  <si>
    <t>45</t>
  </si>
  <si>
    <t>Consultant/Application Preparer</t>
  </si>
  <si>
    <t>Dodge County</t>
  </si>
  <si>
    <t>50</t>
  </si>
  <si>
    <t>Door County</t>
  </si>
  <si>
    <t>Douglas County</t>
  </si>
  <si>
    <t>Parent Company</t>
  </si>
  <si>
    <t>Dunn County</t>
  </si>
  <si>
    <t>Service Bureau</t>
  </si>
  <si>
    <t>Eau Claire County</t>
  </si>
  <si>
    <t>Florence County</t>
  </si>
  <si>
    <t>Insurance Broker</t>
  </si>
  <si>
    <t>Fond du Lac County</t>
  </si>
  <si>
    <t>Insurance Carrier</t>
  </si>
  <si>
    <t>Forest County</t>
  </si>
  <si>
    <t>Grant County</t>
  </si>
  <si>
    <t>Green County</t>
  </si>
  <si>
    <t>Green Lake County</t>
  </si>
  <si>
    <t>Iowa County</t>
  </si>
  <si>
    <t>Iron County</t>
  </si>
  <si>
    <t>Jackson County</t>
  </si>
  <si>
    <t>Jefferson County</t>
  </si>
  <si>
    <t>Juneau County</t>
  </si>
  <si>
    <t>Kenosha County</t>
  </si>
  <si>
    <t>Kewaunee County</t>
  </si>
  <si>
    <t>La Crosse County</t>
  </si>
  <si>
    <t>Lafayette County</t>
  </si>
  <si>
    <t>Langlade County</t>
  </si>
  <si>
    <t>Lincoln County</t>
  </si>
  <si>
    <t>Manitowoc County</t>
  </si>
  <si>
    <t>Marathon County</t>
  </si>
  <si>
    <t>Marinette County</t>
  </si>
  <si>
    <t>Marquette County</t>
  </si>
  <si>
    <t>Menominee County</t>
  </si>
  <si>
    <t>Milwaukee County</t>
  </si>
  <si>
    <t>Monroe County</t>
  </si>
  <si>
    <t>Oconto County</t>
  </si>
  <si>
    <t>Oneida County</t>
  </si>
  <si>
    <t>Outagamie County</t>
  </si>
  <si>
    <t>Ozaukee County</t>
  </si>
  <si>
    <t>Pepin County</t>
  </si>
  <si>
    <t>Pierce County</t>
  </si>
  <si>
    <t>Polk County</t>
  </si>
  <si>
    <t>Portage County</t>
  </si>
  <si>
    <t>Price County</t>
  </si>
  <si>
    <t>Racine County</t>
  </si>
  <si>
    <t>Richland County</t>
  </si>
  <si>
    <t>Rock County</t>
  </si>
  <si>
    <t>Rusk County</t>
  </si>
  <si>
    <t>Sauk County</t>
  </si>
  <si>
    <t>Sawyer County</t>
  </si>
  <si>
    <t>Shawano County</t>
  </si>
  <si>
    <t>Sheboygan County</t>
  </si>
  <si>
    <t>St. Croix County</t>
  </si>
  <si>
    <t>Taylor County</t>
  </si>
  <si>
    <t>Trempealeau County</t>
  </si>
  <si>
    <t>Vernon County</t>
  </si>
  <si>
    <t>Vilas County</t>
  </si>
  <si>
    <t>Walworth County</t>
  </si>
  <si>
    <t>Washburn County</t>
  </si>
  <si>
    <t>Washington County</t>
  </si>
  <si>
    <t>Waukesha County</t>
  </si>
  <si>
    <t>Waupaca County</t>
  </si>
  <si>
    <t>Waushara County</t>
  </si>
  <si>
    <t>Winnebago County</t>
  </si>
  <si>
    <t>Wood County</t>
  </si>
  <si>
    <t>Input Year of Rent Limits Below:</t>
  </si>
  <si>
    <t>Year 2025</t>
  </si>
  <si>
    <t>Studio</t>
  </si>
  <si>
    <t>Effective: April 1, 2025</t>
  </si>
  <si>
    <t>1 Person</t>
  </si>
  <si>
    <t>1.5 Person</t>
  </si>
  <si>
    <t>3 Person</t>
  </si>
  <si>
    <t>4.5 Person</t>
  </si>
  <si>
    <t>6 Person</t>
  </si>
  <si>
    <t>7.5 Person</t>
  </si>
  <si>
    <t>COUNTY:</t>
  </si>
  <si>
    <t>National Non-Metropolitan</t>
  </si>
  <si>
    <t xml:space="preserve">Rent limits for the counties listed below are based on the 2024 Median Family Income for the </t>
  </si>
  <si>
    <t>Nonmetropolitan portions of the state.</t>
  </si>
  <si>
    <t>Adams   Ashland   Barron   Bayfield   Buffalo   Burnett   Clark   Crawford   Florence   Forest   Iron</t>
  </si>
  <si>
    <t>Jackson   Juneau  Lafayette  Langlade   Marinette   Marquette   Menominee   Oneida   Price</t>
  </si>
  <si>
    <t>Richland   Rusk   Sawyer   Shawano   Taylor   Vernon   Vilas   Washburn   Waushara</t>
  </si>
  <si>
    <t>Reserved for List of counties</t>
  </si>
  <si>
    <t>20% CMI</t>
  </si>
  <si>
    <t>ONE</t>
  </si>
  <si>
    <t xml:space="preserve"> TWO</t>
  </si>
  <si>
    <t xml:space="preserve">       THREE</t>
  </si>
  <si>
    <t>FOUR</t>
  </si>
  <si>
    <t xml:space="preserve">   FIVE</t>
  </si>
  <si>
    <t xml:space="preserve"> SIX</t>
  </si>
  <si>
    <t xml:space="preserve">    SEVEN</t>
  </si>
  <si>
    <t xml:space="preserve">   EIGHT</t>
  </si>
  <si>
    <t>NINE</t>
  </si>
  <si>
    <t xml:space="preserve">Rent limits for the counties listed below are based on the 2020 Median Family Income for the </t>
  </si>
  <si>
    <t>Jackson   Juneau   Lafayette Langlade   Marinette   Marquette   Menominee   Oneida   Price</t>
  </si>
  <si>
    <t>Instructions:</t>
  </si>
  <si>
    <t>Use rent limits from https://www.wheda.com/developers-and-property-managers/tax-credits/htc/monitoring/</t>
  </si>
  <si>
    <t>Copy into 50% CMI section</t>
  </si>
  <si>
    <t>https://www.wheda.com/globalassets/documents/tax-credits/htc/2023/2023-standard-mtsp.pdf</t>
  </si>
  <si>
    <t>Allocation Certificate Request (ACR) Form</t>
  </si>
  <si>
    <t>To Request IRS Tax Form 8609</t>
  </si>
  <si>
    <t>HOUSING TAX CREDIT TYPE:</t>
  </si>
  <si>
    <t>OWNER FEDERAL TAXPAYER ID:</t>
  </si>
  <si>
    <t>-</t>
  </si>
  <si>
    <t>01</t>
  </si>
  <si>
    <t>ALLOCATION SUBJECT TO NON-PROFIT SET-ASIDE (Select):</t>
  </si>
  <si>
    <t>02</t>
  </si>
  <si>
    <t>PROJECT NUMBER:</t>
  </si>
  <si>
    <t>MINIMUM SET-ASIDE (Select):</t>
  </si>
  <si>
    <t>03</t>
  </si>
  <si>
    <t>*TOTAL NUMBER OF PROJECT BUILDINGS:</t>
  </si>
  <si>
    <t>LOCKED-IN CREDIT PERCENTAGE DATE (MM/YYYY or N/A):</t>
  </si>
  <si>
    <t>04</t>
  </si>
  <si>
    <t>ACQUISITION AND REHAB CREDIT(Select):</t>
  </si>
  <si>
    <t>05</t>
  </si>
  <si>
    <t xml:space="preserve">*If the total number of project buildings exceeds 50, </t>
  </si>
  <si>
    <t>REQUESTING BASIS BOOST (Select):</t>
  </si>
  <si>
    <t>06</t>
  </si>
  <si>
    <t>07</t>
  </si>
  <si>
    <t>08</t>
  </si>
  <si>
    <t>09</t>
  </si>
  <si>
    <t>Building Identification Number (B.I.N.)</t>
  </si>
  <si>
    <t>Date Building Placed In Service</t>
  </si>
  <si>
    <t>Building Street Address
(From 7. Site Control)</t>
  </si>
  <si>
    <t># of LI Units</t>
  </si>
  <si>
    <t># of Market Rate Units</t>
  </si>
  <si>
    <t>Basis Boost</t>
  </si>
  <si>
    <t>Bulding Applicable Fraction</t>
  </si>
  <si>
    <t>Credit %</t>
  </si>
  <si>
    <t>10</t>
  </si>
  <si>
    <t>11</t>
  </si>
  <si>
    <t>12</t>
  </si>
  <si>
    <t>13</t>
  </si>
  <si>
    <t>21</t>
  </si>
  <si>
    <t>22</t>
  </si>
  <si>
    <t>23</t>
  </si>
  <si>
    <t>24</t>
  </si>
  <si>
    <t>26</t>
  </si>
  <si>
    <t>27</t>
  </si>
  <si>
    <t>28</t>
  </si>
  <si>
    <t>31</t>
  </si>
  <si>
    <t>32</t>
  </si>
  <si>
    <t>33</t>
  </si>
  <si>
    <t>34</t>
  </si>
  <si>
    <t>35</t>
  </si>
  <si>
    <t>36</t>
  </si>
  <si>
    <t>37</t>
  </si>
  <si>
    <t>38</t>
  </si>
  <si>
    <t>39</t>
  </si>
  <si>
    <t>41</t>
  </si>
  <si>
    <t>42</t>
  </si>
  <si>
    <t>43</t>
  </si>
  <si>
    <t>44</t>
  </si>
  <si>
    <t>46</t>
  </si>
  <si>
    <t>47</t>
  </si>
  <si>
    <t>48</t>
  </si>
  <si>
    <t>49</t>
  </si>
  <si>
    <t>v25.1.12</t>
  </si>
  <si>
    <t xml:space="preserve">This tab is not required for initial Housing Tax Credit applications.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</si>
</sst>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0"/>
    <numFmt numFmtId="166" formatCode="0.000%"/>
    <numFmt numFmtId="167" formatCode="&quot;$&quot;#,##0.00"/>
    <numFmt numFmtId="168" formatCode="0.000"/>
    <numFmt numFmtId="169" formatCode="0.0%"/>
    <numFmt numFmtId="170" formatCode="_(&quot;$&quot;* #,##0_);_(&quot;$&quot;* \(#,##0\);_(&quot;$&quot;* &quot;-&quot;??_);_(@_)"/>
    <numFmt numFmtId="171" formatCode="_(* #,##0_);_(* \(#,##0\);_(* &quot;-&quot;??_);_(@_)"/>
    <numFmt numFmtId="172" formatCode="&quot;$&quot;#,##0"/>
    <numFmt numFmtId="173" formatCode="&quot;$&quot;#,##0.0000"/>
    <numFmt numFmtId="174" formatCode="#,##0.000_);[Red]\(#,##0.000\)"/>
    <numFmt numFmtId="175" formatCode="m/d/yy;@"/>
    <numFmt numFmtId="176" formatCode="#,##0.0_);[Red]\(#,##0.0\)"/>
    <numFmt numFmtId="177" formatCode="\(###\)\ ###\-####"/>
    <numFmt numFmtId="178" formatCode="##\-#######"/>
    <numFmt numFmtId="179" formatCode="_([$$-409]* #,##0_);_([$$-409]* \(#,##0\);_([$$-409]* &quot;-&quot;??_);_(@_)"/>
    <numFmt numFmtId="180" formatCode="&quot;$&quot;#,##0.000"/>
    <numFmt numFmtId="181" formatCode="0.0000"/>
    <numFmt numFmtId="182" formatCode="_([$$-409]* #,##0.000_);_([$$-409]* \(#,##0.000\);_([$$-409]* &quot;-&quot;??_);_(@_)"/>
    <numFmt numFmtId="183" formatCode="0.00000%"/>
    <numFmt numFmtId="184" formatCode="_([$$-409]* #,##0.000_);_([$$-409]* \(#,##0.000\);_([$$-409]* &quot;-&quot;???_);_(@_)"/>
    <numFmt numFmtId="185" formatCode="0.00000"/>
    <numFmt numFmtId="186" formatCode="#,##0.0000"/>
    <numFmt numFmtId="187" formatCode="#,##0.00000"/>
    <numFmt numFmtId="188" formatCode="m/d/yyyy;@"/>
    <numFmt numFmtId="189" formatCode="#,##0.000_);\(#,##0.000\)"/>
  </numFmts>
  <fonts count="224">
    <font>
      <sz val="11"/>
      <color theme="1"/>
      <name val="Calibri"/>
      <family val="2"/>
      <scheme val="minor"/>
    </font>
    <font>
      <sz val="11"/>
      <color theme="1"/>
      <name val="Calibri"/>
      <family val="2"/>
    </font>
    <font>
      <sz val="11"/>
      <color theme="1"/>
      <name val="Calibri"/>
      <family val="2"/>
      <scheme val="minor"/>
    </font>
    <font>
      <sz val="12"/>
      <color theme="1"/>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2"/>
      <color rgb="FF005774"/>
      <name val="Calibri"/>
      <family val="2"/>
      <scheme val="minor"/>
    </font>
    <font>
      <sz val="12"/>
      <color rgb="FF005774"/>
      <name val="Calibri"/>
      <family val="2"/>
      <scheme val="minor"/>
    </font>
    <font>
      <u/>
      <sz val="12"/>
      <color rgb="FF02A69C"/>
      <name val="Calibri"/>
      <family val="2"/>
      <scheme val="minor"/>
    </font>
    <font>
      <sz val="8"/>
      <name val="Calibri"/>
      <family val="2"/>
      <scheme val="minor"/>
    </font>
    <font>
      <u/>
      <sz val="11"/>
      <color theme="10"/>
      <name val="Calibri"/>
      <family val="2"/>
      <scheme val="minor"/>
    </font>
    <font>
      <sz val="11"/>
      <color rgb="FF000000"/>
      <name val="Calibri"/>
      <family val="2"/>
      <scheme val="minor"/>
    </font>
    <font>
      <b/>
      <sz val="14"/>
      <color theme="1"/>
      <name val="Calibri"/>
      <family val="2"/>
      <scheme val="minor"/>
    </font>
    <font>
      <sz val="12"/>
      <color rgb="FF000000"/>
      <name val="Calibri"/>
      <family val="2"/>
      <scheme val="minor"/>
    </font>
    <font>
      <u/>
      <sz val="11"/>
      <color rgb="FF02A69C"/>
      <name val="Calibri"/>
      <family val="2"/>
      <scheme val="minor"/>
    </font>
    <font>
      <b/>
      <sz val="14"/>
      <color rgb="FF07A54E"/>
      <name val="Calibri"/>
      <family val="2"/>
      <scheme val="minor"/>
    </font>
    <font>
      <b/>
      <sz val="11"/>
      <color rgb="FFFF0000"/>
      <name val="Calibri"/>
      <family val="2"/>
      <scheme val="minor"/>
    </font>
    <font>
      <sz val="11"/>
      <color rgb="FFFF0000"/>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1"/>
      <color theme="1"/>
      <name val="Calibri"/>
      <family val="2"/>
      <scheme val="minor"/>
    </font>
    <font>
      <b/>
      <sz val="9"/>
      <color indexed="81"/>
      <name val="Tahoma"/>
      <family val="2"/>
    </font>
    <font>
      <sz val="9"/>
      <color indexed="81"/>
      <name val="Tahoma"/>
      <family val="2"/>
    </font>
    <font>
      <sz val="11"/>
      <color rgb="FF444444"/>
      <name val="Calibri"/>
      <family val="2"/>
    </font>
    <font>
      <sz val="11"/>
      <color theme="1"/>
      <name val="Calibri"/>
      <family val="2"/>
    </font>
    <font>
      <b/>
      <sz val="11"/>
      <color theme="1"/>
      <name val="Calibri"/>
      <family val="2"/>
    </font>
    <font>
      <b/>
      <sz val="11"/>
      <color rgb="FF444444"/>
      <name val="Calibri"/>
      <family val="2"/>
    </font>
    <font>
      <b/>
      <sz val="11"/>
      <color rgb="FF07A54E"/>
      <name val="Calibri"/>
      <family val="2"/>
      <scheme val="minor"/>
    </font>
    <font>
      <sz val="11"/>
      <name val="Calibri"/>
      <family val="2"/>
      <scheme val="minor"/>
    </font>
    <font>
      <b/>
      <sz val="11"/>
      <color rgb="FFFF0000"/>
      <name val="Calibri"/>
      <family val="2"/>
    </font>
    <font>
      <sz val="10"/>
      <name val="Arial"/>
      <family val="2"/>
    </font>
    <font>
      <sz val="8"/>
      <color indexed="81"/>
      <name val="Tahoma"/>
      <family val="2"/>
    </font>
    <font>
      <b/>
      <sz val="11"/>
      <name val="Calibri"/>
      <family val="2"/>
      <scheme val="minor"/>
    </font>
    <font>
      <b/>
      <sz val="12"/>
      <color rgb="FF07A54E"/>
      <name val="Calibri"/>
      <family val="2"/>
      <scheme val="minor"/>
    </font>
    <font>
      <sz val="12"/>
      <name val="Calibri"/>
      <family val="2"/>
      <scheme val="minor"/>
    </font>
    <font>
      <b/>
      <i/>
      <sz val="11"/>
      <name val="Calibri"/>
      <family val="2"/>
      <scheme val="minor"/>
    </font>
    <font>
      <b/>
      <i/>
      <sz val="10"/>
      <name val="Calibri"/>
      <family val="2"/>
      <scheme val="minor"/>
    </font>
    <font>
      <i/>
      <sz val="11"/>
      <color rgb="FF3131E7"/>
      <name val="Calibri"/>
      <family val="2"/>
      <scheme val="minor"/>
    </font>
    <font>
      <b/>
      <sz val="14"/>
      <name val="Calibri"/>
      <family val="2"/>
      <scheme val="minor"/>
    </font>
    <font>
      <sz val="10"/>
      <name val="Calibri"/>
      <family val="2"/>
      <scheme val="minor"/>
    </font>
    <font>
      <b/>
      <sz val="12"/>
      <color indexed="9"/>
      <name val="Calibri"/>
      <family val="2"/>
      <scheme val="minor"/>
    </font>
    <font>
      <b/>
      <sz val="10"/>
      <color indexed="9"/>
      <name val="Calibri"/>
      <family val="2"/>
      <scheme val="minor"/>
    </font>
    <font>
      <sz val="10"/>
      <color indexed="8"/>
      <name val="Calibri"/>
      <family val="2"/>
      <scheme val="minor"/>
    </font>
    <font>
      <b/>
      <sz val="9"/>
      <color indexed="8"/>
      <name val="Calibri"/>
      <family val="2"/>
      <scheme val="minor"/>
    </font>
    <font>
      <sz val="9"/>
      <color theme="1"/>
      <name val="Calibri"/>
      <family val="2"/>
      <scheme val="minor"/>
    </font>
    <font>
      <sz val="11"/>
      <color indexed="9"/>
      <name val="Calibri"/>
      <family val="2"/>
      <scheme val="minor"/>
    </font>
    <font>
      <b/>
      <sz val="10"/>
      <color indexed="8"/>
      <name val="Calibri"/>
      <family val="2"/>
      <scheme val="minor"/>
    </font>
    <font>
      <sz val="10"/>
      <color indexed="9"/>
      <name val="Calibri"/>
      <family val="2"/>
      <scheme val="minor"/>
    </font>
    <font>
      <sz val="9"/>
      <color indexed="8"/>
      <name val="Calibri"/>
      <family val="2"/>
      <scheme val="minor"/>
    </font>
    <font>
      <sz val="8"/>
      <color indexed="8"/>
      <name val="Tahoma"/>
      <family val="2"/>
    </font>
    <font>
      <b/>
      <sz val="22"/>
      <color rgb="FF005774"/>
      <name val="Calibri"/>
      <family val="2"/>
    </font>
    <font>
      <sz val="12"/>
      <color rgb="FF005774"/>
      <name val="Calibri"/>
      <family val="2"/>
    </font>
    <font>
      <b/>
      <sz val="14"/>
      <color rgb="FF000000"/>
      <name val="Calibri"/>
      <family val="2"/>
    </font>
    <font>
      <b/>
      <sz val="14"/>
      <color rgb="FF07A54E"/>
      <name val="Calibri"/>
      <family val="2"/>
    </font>
    <font>
      <sz val="12"/>
      <color rgb="FF000000"/>
      <name val="Calibri"/>
      <family val="2"/>
    </font>
    <font>
      <b/>
      <sz val="11"/>
      <color rgb="FF000000"/>
      <name val="Calibri"/>
      <family val="2"/>
    </font>
    <font>
      <b/>
      <sz val="12"/>
      <color rgb="FF07A54E"/>
      <name val="Calibri"/>
      <family val="2"/>
    </font>
    <font>
      <b/>
      <i/>
      <sz val="11"/>
      <color rgb="FF000000"/>
      <name val="Calibri"/>
      <family val="2"/>
    </font>
    <font>
      <sz val="10"/>
      <color rgb="FF000000"/>
      <name val="Calibri"/>
      <family val="2"/>
    </font>
    <font>
      <b/>
      <sz val="10"/>
      <color rgb="FF000000"/>
      <name val="Calibri"/>
      <family val="2"/>
    </font>
    <font>
      <b/>
      <sz val="10"/>
      <name val="Calibri"/>
      <family val="2"/>
    </font>
    <font>
      <b/>
      <sz val="11"/>
      <color rgb="FF3C40E8"/>
      <name val="Calibri"/>
      <family val="2"/>
    </font>
    <font>
      <i/>
      <sz val="11"/>
      <color rgb="FF000000"/>
      <name val="Calibri"/>
      <family val="2"/>
    </font>
    <font>
      <b/>
      <sz val="11"/>
      <name val="Calibri"/>
      <family val="2"/>
    </font>
    <font>
      <sz val="11"/>
      <name val="Calibri"/>
      <family val="2"/>
    </font>
    <font>
      <sz val="11"/>
      <name val="Calibri  "/>
    </font>
    <font>
      <sz val="11"/>
      <color rgb="FFFF0000"/>
      <name val="Calibri"/>
      <family val="2"/>
    </font>
    <font>
      <sz val="11"/>
      <color rgb="FF000000"/>
      <name val="Calibri"/>
      <family val="2"/>
    </font>
    <font>
      <b/>
      <sz val="12"/>
      <color rgb="FFFFFFFF"/>
      <name val="Calibri"/>
      <family val="2"/>
    </font>
    <font>
      <b/>
      <sz val="11"/>
      <color rgb="FFFFFFFF"/>
      <name val="Calibri"/>
      <family val="2"/>
    </font>
    <font>
      <b/>
      <sz val="9"/>
      <color rgb="FF000000"/>
      <name val="Calibri"/>
      <family val="2"/>
    </font>
    <font>
      <b/>
      <sz val="9"/>
      <name val="Calibri"/>
      <family val="2"/>
    </font>
    <font>
      <sz val="10"/>
      <name val="Calibri"/>
      <family val="2"/>
    </font>
    <font>
      <sz val="9"/>
      <color rgb="FF000000"/>
      <name val="Calibri"/>
      <family val="2"/>
    </font>
    <font>
      <b/>
      <sz val="14"/>
      <name val="Calibri"/>
      <family val="2"/>
    </font>
    <font>
      <b/>
      <sz val="12"/>
      <color rgb="FF000000"/>
      <name val="Calibri"/>
      <family val="2"/>
    </font>
    <font>
      <b/>
      <i/>
      <sz val="10"/>
      <name val="Calibri"/>
      <family val="2"/>
    </font>
    <font>
      <b/>
      <i/>
      <sz val="11"/>
      <name val="Calibri"/>
      <family val="2"/>
    </font>
    <font>
      <i/>
      <sz val="11"/>
      <name val="Calibri"/>
      <family val="2"/>
    </font>
    <font>
      <sz val="11"/>
      <color rgb="FFFFFFFF"/>
      <name val="Calibri"/>
      <family val="2"/>
    </font>
    <font>
      <sz val="11"/>
      <color rgb="FFEDEDED"/>
      <name val="Calibri"/>
      <family val="2"/>
    </font>
    <font>
      <sz val="11"/>
      <color theme="1"/>
      <name val="Calibri"/>
      <family val="2"/>
      <scheme val="minor"/>
    </font>
    <font>
      <sz val="11"/>
      <color theme="0"/>
      <name val="Calibri"/>
      <family val="2"/>
    </font>
    <font>
      <sz val="9"/>
      <color rgb="FF000000"/>
      <name val="Tahoma"/>
      <family val="2"/>
    </font>
    <font>
      <sz val="11"/>
      <color rgb="FFF2EDDC"/>
      <name val="Calibri"/>
      <family val="2"/>
      <scheme val="minor"/>
    </font>
    <font>
      <sz val="11"/>
      <color rgb="FFF2EDDC"/>
      <name val="Calibri"/>
      <family val="2"/>
    </font>
    <font>
      <b/>
      <sz val="11"/>
      <color theme="0"/>
      <name val="Calibri"/>
      <family val="2"/>
    </font>
    <font>
      <b/>
      <i/>
      <sz val="11"/>
      <color theme="0"/>
      <name val="Calibri"/>
      <family val="2"/>
    </font>
    <font>
      <b/>
      <sz val="12"/>
      <color theme="0"/>
      <name val="Arial"/>
      <family val="2"/>
    </font>
    <font>
      <b/>
      <sz val="10"/>
      <color theme="0"/>
      <name val="Calibri"/>
      <family val="2"/>
    </font>
    <font>
      <b/>
      <i/>
      <sz val="10"/>
      <color theme="0"/>
      <name val="Arial"/>
      <family val="2"/>
    </font>
    <font>
      <sz val="10"/>
      <color theme="0"/>
      <name val="Calibri"/>
      <family val="2"/>
    </font>
    <font>
      <b/>
      <sz val="10"/>
      <color theme="0"/>
      <name val="Calibri"/>
      <family val="2"/>
      <scheme val="minor"/>
    </font>
    <font>
      <sz val="10"/>
      <color theme="1"/>
      <name val="Arial"/>
      <family val="2"/>
    </font>
    <font>
      <strike/>
      <sz val="11"/>
      <name val="Calibri"/>
      <family val="2"/>
    </font>
    <font>
      <sz val="11"/>
      <color theme="0"/>
      <name val="Calibri (Body)"/>
    </font>
    <font>
      <b/>
      <sz val="11"/>
      <color theme="0"/>
      <name val="Calibri"/>
      <family val="2"/>
      <scheme val="minor"/>
    </font>
    <font>
      <b/>
      <sz val="9"/>
      <color rgb="FF000000"/>
      <name val="Tahoma"/>
      <family val="2"/>
    </font>
    <font>
      <u/>
      <sz val="11"/>
      <color theme="1"/>
      <name val="Calibri"/>
      <family val="2"/>
      <scheme val="minor"/>
    </font>
    <font>
      <b/>
      <u/>
      <sz val="11"/>
      <color theme="1"/>
      <name val="Calibri"/>
      <family val="2"/>
      <scheme val="minor"/>
    </font>
    <font>
      <sz val="10"/>
      <color rgb="FFF2EDDC"/>
      <name val="Calibri"/>
      <family val="2"/>
      <scheme val="minor"/>
    </font>
    <font>
      <sz val="10"/>
      <color rgb="FFF2EDDC"/>
      <name val="Calibri"/>
      <family val="2"/>
    </font>
    <font>
      <b/>
      <sz val="10"/>
      <color rgb="FF000000"/>
      <name val="Calibri"/>
      <family val="2"/>
      <scheme val="minor"/>
    </font>
    <font>
      <sz val="9"/>
      <color rgb="FFF2EDDC"/>
      <name val="Calibri"/>
      <family val="2"/>
    </font>
    <font>
      <i/>
      <sz val="12"/>
      <color theme="1"/>
      <name val="Calibri"/>
      <family val="2"/>
      <scheme val="minor"/>
    </font>
    <font>
      <u/>
      <sz val="11"/>
      <color theme="1"/>
      <name val="Calibri"/>
      <family val="2"/>
    </font>
    <font>
      <b/>
      <sz val="14"/>
      <color rgb="FFFF0000"/>
      <name val="Calibri"/>
      <family val="2"/>
      <scheme val="minor"/>
    </font>
    <font>
      <b/>
      <sz val="11"/>
      <color rgb="FFF2EDDC"/>
      <name val="Calibri"/>
      <family val="2"/>
      <scheme val="minor"/>
    </font>
    <font>
      <u/>
      <sz val="11"/>
      <color rgb="FFF2EDDC"/>
      <name val="Calibri"/>
      <family val="2"/>
      <scheme val="minor"/>
    </font>
    <font>
      <u/>
      <sz val="11"/>
      <color theme="0"/>
      <name val="Calibri"/>
      <family val="2"/>
      <scheme val="minor"/>
    </font>
    <font>
      <i/>
      <sz val="11"/>
      <color rgb="FFFF0000"/>
      <name val="Calibri"/>
      <family val="2"/>
      <scheme val="minor"/>
    </font>
    <font>
      <sz val="11"/>
      <color rgb="FF24B6CA"/>
      <name val="Calibri"/>
      <family val="2"/>
      <scheme val="minor"/>
    </font>
    <font>
      <b/>
      <sz val="12"/>
      <color theme="4"/>
      <name val="Century Gothic"/>
      <family val="2"/>
    </font>
    <font>
      <i/>
      <sz val="11"/>
      <color theme="3"/>
      <name val="Calibri"/>
      <family val="2"/>
      <scheme val="minor"/>
    </font>
    <font>
      <b/>
      <sz val="12"/>
      <name val="Calibri"/>
      <family val="2"/>
      <scheme val="minor"/>
    </font>
    <font>
      <i/>
      <sz val="10"/>
      <name val="Calibri"/>
      <family val="2"/>
      <scheme val="minor"/>
    </font>
    <font>
      <b/>
      <sz val="11"/>
      <color theme="0" tint="-0.14999847407452621"/>
      <name val="Calibri"/>
      <family val="2"/>
      <scheme val="minor"/>
    </font>
    <font>
      <sz val="10"/>
      <color rgb="FFFF0000"/>
      <name val="Calibri"/>
      <family val="2"/>
      <scheme val="minor"/>
    </font>
    <font>
      <sz val="11"/>
      <color rgb="FF07A54E"/>
      <name val="Calibri"/>
      <family val="2"/>
      <scheme val="minor"/>
    </font>
    <font>
      <b/>
      <i/>
      <sz val="11"/>
      <color rgb="FFFF0000"/>
      <name val="Calibri"/>
      <family val="2"/>
      <scheme val="minor"/>
    </font>
    <font>
      <sz val="11"/>
      <color rgb="FFFF0000"/>
      <name val="Calibri (Body)"/>
    </font>
    <font>
      <b/>
      <i/>
      <sz val="11"/>
      <color rgb="FFC00000"/>
      <name val="Calibri"/>
      <family val="2"/>
      <scheme val="minor"/>
    </font>
    <font>
      <b/>
      <sz val="11"/>
      <color rgb="FF000000"/>
      <name val="Calibri"/>
      <family val="2"/>
      <scheme val="minor"/>
    </font>
    <font>
      <sz val="11"/>
      <color theme="1"/>
      <name val="Century Gothic"/>
      <family val="2"/>
    </font>
    <font>
      <b/>
      <sz val="11"/>
      <color theme="1"/>
      <name val="Century Gothic"/>
      <family val="2"/>
    </font>
    <font>
      <sz val="11"/>
      <color indexed="8"/>
      <name val="Calibri"/>
      <family val="2"/>
      <scheme val="minor"/>
    </font>
    <font>
      <i/>
      <sz val="10"/>
      <color theme="1"/>
      <name val="Calibri"/>
      <family val="2"/>
      <scheme val="minor"/>
    </font>
    <font>
      <b/>
      <u/>
      <sz val="11"/>
      <color rgb="FF444444"/>
      <name val="Calibri"/>
      <family val="2"/>
    </font>
    <font>
      <b/>
      <u/>
      <sz val="12"/>
      <name val="Calibri"/>
      <family val="2"/>
      <scheme val="minor"/>
    </font>
    <font>
      <b/>
      <i/>
      <sz val="10"/>
      <color theme="0"/>
      <name val="Calibri"/>
      <family val="2"/>
      <scheme val="minor"/>
    </font>
    <font>
      <sz val="10"/>
      <color theme="1"/>
      <name val="Calibri"/>
      <family val="2"/>
    </font>
    <font>
      <b/>
      <sz val="10"/>
      <color rgb="FF07A54E"/>
      <name val="Calibri"/>
      <family val="2"/>
    </font>
    <font>
      <sz val="14"/>
      <name val="Lato"/>
      <family val="2"/>
    </font>
    <font>
      <b/>
      <sz val="12"/>
      <color theme="1"/>
      <name val="Calibri"/>
      <family val="2"/>
    </font>
    <font>
      <sz val="14"/>
      <color rgb="FF056A38"/>
      <name val="Webdings"/>
      <family val="1"/>
      <charset val="2"/>
    </font>
    <font>
      <sz val="14"/>
      <color rgb="FF056A38"/>
      <name val="Calibri"/>
      <family val="2"/>
      <scheme val="minor"/>
    </font>
    <font>
      <sz val="14"/>
      <color rgb="FF056A38"/>
      <name val="Wingdings"/>
      <charset val="2"/>
    </font>
    <font>
      <b/>
      <sz val="11"/>
      <color theme="0" tint="-4.9989318521683403E-2"/>
      <name val="Calibri"/>
      <family val="2"/>
      <scheme val="minor"/>
    </font>
    <font>
      <b/>
      <sz val="12"/>
      <color rgb="FF005774"/>
      <name val="Calibri"/>
      <family val="2"/>
      <scheme val="minor"/>
    </font>
    <font>
      <u/>
      <sz val="11"/>
      <name val="Calibri"/>
      <family val="2"/>
      <scheme val="minor"/>
    </font>
    <font>
      <u/>
      <sz val="12"/>
      <color rgb="FF000000"/>
      <name val="Calibri"/>
      <family val="2"/>
      <scheme val="minor"/>
    </font>
    <font>
      <b/>
      <sz val="14"/>
      <color rgb="FF00B050"/>
      <name val="Calibri"/>
      <family val="2"/>
      <scheme val="minor"/>
    </font>
    <font>
      <sz val="12"/>
      <color theme="0" tint="-4.9989318521683403E-2"/>
      <name val="Calibri"/>
      <family val="2"/>
      <scheme val="minor"/>
    </font>
    <font>
      <b/>
      <u/>
      <sz val="12"/>
      <color theme="1"/>
      <name val="Calibri"/>
      <family val="2"/>
      <scheme val="minor"/>
    </font>
    <font>
      <b/>
      <sz val="11"/>
      <color theme="0"/>
      <name val="Arial"/>
      <family val="2"/>
    </font>
    <font>
      <b/>
      <sz val="18"/>
      <color theme="0"/>
      <name val="Calibri"/>
      <family val="2"/>
      <scheme val="minor"/>
    </font>
    <font>
      <b/>
      <sz val="24"/>
      <color rgb="FF07A54E"/>
      <name val="Calibri"/>
      <family val="2"/>
      <scheme val="minor"/>
    </font>
    <font>
      <b/>
      <sz val="14"/>
      <color rgb="FF00B050"/>
      <name val="Calibri"/>
      <family val="2"/>
    </font>
    <font>
      <b/>
      <sz val="22"/>
      <color rgb="FF07A54E"/>
      <name val="Calibri"/>
      <family val="2"/>
      <scheme val="minor"/>
    </font>
    <font>
      <b/>
      <sz val="14"/>
      <color theme="1"/>
      <name val="Calibri"/>
      <family val="2"/>
    </font>
    <font>
      <sz val="11"/>
      <color theme="0" tint="-4.9989318521683403E-2"/>
      <name val="Calibri"/>
      <family val="2"/>
    </font>
    <font>
      <sz val="11"/>
      <color theme="0" tint="-4.9989318521683403E-2"/>
      <name val="Calibri"/>
      <family val="2"/>
      <scheme val="minor"/>
    </font>
    <font>
      <b/>
      <sz val="16"/>
      <color rgb="FF005774"/>
      <name val="Calibri"/>
      <family val="2"/>
      <scheme val="minor"/>
    </font>
    <font>
      <b/>
      <sz val="14"/>
      <color rgb="FF005774"/>
      <name val="Calibri"/>
      <family val="2"/>
      <scheme val="minor"/>
    </font>
    <font>
      <u/>
      <sz val="14"/>
      <color rgb="FF02A69C"/>
      <name val="Calibri"/>
      <family val="2"/>
      <scheme val="minor"/>
    </font>
    <font>
      <sz val="14"/>
      <color theme="1"/>
      <name val="Calibri"/>
      <family val="2"/>
      <scheme val="minor"/>
    </font>
    <font>
      <b/>
      <sz val="11"/>
      <color rgb="FF07A54E"/>
      <name val="Calibri"/>
      <family val="2"/>
    </font>
    <font>
      <sz val="14"/>
      <color theme="0"/>
      <name val="Calibri"/>
      <family val="2"/>
      <scheme val="minor"/>
    </font>
    <font>
      <i/>
      <sz val="12"/>
      <color rgb="FF000000"/>
      <name val="Calibri"/>
      <family val="2"/>
      <scheme val="minor"/>
    </font>
    <font>
      <sz val="12"/>
      <color rgb="FFFF0000"/>
      <name val="Calibri"/>
      <family val="2"/>
      <scheme val="minor"/>
    </font>
    <font>
      <sz val="14"/>
      <name val="Calibri"/>
      <family val="2"/>
      <scheme val="minor"/>
    </font>
    <font>
      <b/>
      <u/>
      <sz val="11"/>
      <color rgb="FF000000"/>
      <name val="Calibri"/>
      <family val="2"/>
      <scheme val="minor"/>
    </font>
    <font>
      <u/>
      <sz val="11"/>
      <color rgb="FF000000"/>
      <name val="Calibri"/>
      <family val="2"/>
      <scheme val="minor"/>
    </font>
    <font>
      <i/>
      <sz val="11"/>
      <color rgb="FF000000"/>
      <name val="Calibri"/>
      <family val="2"/>
      <scheme val="minor"/>
    </font>
    <font>
      <sz val="12"/>
      <name val="Calibri"/>
      <family val="2"/>
    </font>
    <font>
      <b/>
      <sz val="16"/>
      <color rgb="FF07A54E"/>
      <name val="Calibri"/>
      <family val="2"/>
      <scheme val="minor"/>
    </font>
    <font>
      <sz val="16"/>
      <color theme="1"/>
      <name val="Calibri"/>
      <family val="2"/>
      <scheme val="minor"/>
    </font>
    <font>
      <sz val="16"/>
      <color theme="0"/>
      <name val="Calibri (Body)"/>
    </font>
    <font>
      <sz val="16"/>
      <color theme="0"/>
      <name val="Calibri"/>
      <family val="2"/>
      <scheme val="minor"/>
    </font>
    <font>
      <sz val="16"/>
      <color rgb="FFFF0000"/>
      <name val="Calibri"/>
      <family val="2"/>
      <scheme val="minor"/>
    </font>
    <font>
      <sz val="16"/>
      <color rgb="FFFF0000"/>
      <name val="Calibri (Body)"/>
    </font>
    <font>
      <b/>
      <u/>
      <sz val="12"/>
      <color theme="1"/>
      <name val="Calibri"/>
      <family val="2"/>
    </font>
    <font>
      <b/>
      <sz val="11"/>
      <color rgb="FF005774"/>
      <name val="Calibri"/>
      <family val="2"/>
      <scheme val="minor"/>
    </font>
    <font>
      <sz val="22"/>
      <color theme="0"/>
      <name val="Calibri"/>
      <family val="2"/>
      <scheme val="minor"/>
    </font>
    <font>
      <sz val="22"/>
      <color theme="1"/>
      <name val="Calibri"/>
      <family val="2"/>
      <scheme val="minor"/>
    </font>
    <font>
      <b/>
      <sz val="22"/>
      <color theme="1"/>
      <name val="Calibri"/>
      <family val="2"/>
      <scheme val="minor"/>
    </font>
    <font>
      <sz val="22"/>
      <color rgb="FFFF0000"/>
      <name val="Calibri"/>
      <family val="2"/>
      <scheme val="minor"/>
    </font>
    <font>
      <b/>
      <sz val="22"/>
      <color rgb="FFFF0000"/>
      <name val="Calibri"/>
      <family val="2"/>
      <scheme val="minor"/>
    </font>
    <font>
      <sz val="12"/>
      <color theme="1"/>
      <name val="Calibri"/>
      <family val="2"/>
    </font>
    <font>
      <sz val="12"/>
      <color rgb="FFFF0000"/>
      <name val="Calibri"/>
      <family val="2"/>
    </font>
    <font>
      <sz val="12"/>
      <color theme="0"/>
      <name val="Calibri"/>
      <family val="2"/>
    </font>
    <font>
      <b/>
      <sz val="12"/>
      <color rgb="FFFFFFFF"/>
      <name val="Calibri"/>
      <family val="2"/>
      <scheme val="minor"/>
    </font>
    <font>
      <b/>
      <i/>
      <sz val="10"/>
      <color rgb="FFFFFFFF"/>
      <name val="Calibri"/>
      <family val="2"/>
      <scheme val="minor"/>
    </font>
    <font>
      <b/>
      <u/>
      <sz val="11"/>
      <color rgb="FF000000"/>
      <name val="Calibri"/>
      <family val="2"/>
    </font>
    <font>
      <b/>
      <strike/>
      <sz val="11"/>
      <name val="Calibri"/>
      <family val="2"/>
      <scheme val="minor"/>
    </font>
    <font>
      <strike/>
      <sz val="11"/>
      <name val="Calibri"/>
      <family val="2"/>
      <scheme val="minor"/>
    </font>
    <font>
      <sz val="16"/>
      <color rgb="FF005774"/>
      <name val="Calibri"/>
      <family val="2"/>
    </font>
    <font>
      <sz val="16"/>
      <color theme="1"/>
      <name val="Calibri"/>
      <family val="2"/>
    </font>
    <font>
      <sz val="16"/>
      <name val="Calibri"/>
      <family val="2"/>
      <scheme val="minor"/>
    </font>
    <font>
      <u/>
      <sz val="11"/>
      <name val="Calibri"/>
      <family val="2"/>
    </font>
    <font>
      <u/>
      <sz val="12"/>
      <name val="Calibri"/>
      <family val="2"/>
    </font>
    <font>
      <b/>
      <sz val="12"/>
      <name val="Calibri"/>
      <family val="2"/>
    </font>
    <font>
      <b/>
      <sz val="11"/>
      <color rgb="FF91262E"/>
      <name val="Calibri"/>
      <family val="2"/>
      <scheme val="minor"/>
    </font>
    <font>
      <b/>
      <sz val="12"/>
      <color rgb="FF000000"/>
      <name val="Calibri"/>
      <family val="2"/>
      <scheme val="minor"/>
    </font>
    <font>
      <sz val="14"/>
      <color rgb="FFFF0000"/>
      <name val="Calibri"/>
      <family val="2"/>
      <scheme val="minor"/>
    </font>
    <font>
      <sz val="11"/>
      <color theme="1"/>
      <name val="Calibri"/>
      <family val="2"/>
      <scheme val="minor"/>
    </font>
    <font>
      <sz val="11"/>
      <color theme="0"/>
      <name val="Calibri"/>
      <family val="2"/>
      <scheme val="minor"/>
    </font>
    <font>
      <sz val="11"/>
      <name val="Calibri"/>
      <family val="2"/>
      <scheme val="minor"/>
    </font>
    <font>
      <sz val="11"/>
      <color rgb="FFF2EDDC"/>
      <name val="Calibri"/>
      <family val="2"/>
      <scheme val="minor"/>
    </font>
    <font>
      <b/>
      <sz val="9"/>
      <color theme="0"/>
      <name val="Calibri"/>
      <family val="2"/>
      <scheme val="minor"/>
    </font>
    <font>
      <sz val="10"/>
      <color rgb="FFFFFFFF"/>
      <name val="Calibri"/>
      <family val="2"/>
      <scheme val="minor"/>
    </font>
    <font>
      <b/>
      <sz val="10"/>
      <color theme="2"/>
      <name val="Calibri"/>
      <family val="2"/>
      <scheme val="minor"/>
    </font>
    <font>
      <sz val="11"/>
      <color theme="2"/>
      <name val="Calibri"/>
      <family val="2"/>
      <scheme val="minor"/>
    </font>
    <font>
      <sz val="14"/>
      <color rgb="FFF2EDDC"/>
      <name val="Calibri"/>
      <family val="2"/>
      <scheme val="minor"/>
    </font>
    <font>
      <sz val="11"/>
      <color rgb="FFC00000"/>
      <name val="Calibri"/>
      <family val="2"/>
      <scheme val="minor"/>
    </font>
    <font>
      <sz val="11"/>
      <name val="Calibri (Body)"/>
    </font>
    <font>
      <sz val="11"/>
      <color theme="2"/>
      <name val="Calibri"/>
      <family val="2"/>
    </font>
    <font>
      <sz val="12"/>
      <color theme="2"/>
      <name val="Calibri"/>
      <family val="2"/>
      <scheme val="minor"/>
    </font>
    <font>
      <u/>
      <sz val="11"/>
      <color theme="0"/>
      <name val="Calibri"/>
      <family val="2"/>
    </font>
    <font>
      <b/>
      <sz val="10"/>
      <color rgb="FFFFFFFF"/>
      <name val="Calibri"/>
      <family val="2"/>
      <scheme val="minor"/>
    </font>
    <font>
      <b/>
      <u/>
      <sz val="10"/>
      <color rgb="FFFFFFFF"/>
      <name val="Calibri"/>
      <family val="2"/>
      <scheme val="minor"/>
    </font>
    <font>
      <u/>
      <sz val="10"/>
      <color rgb="FFFFFFFF"/>
      <name val="Calibri"/>
      <family val="2"/>
      <scheme val="minor"/>
    </font>
    <font>
      <sz val="10"/>
      <color theme="0"/>
      <name val="Arial"/>
      <family val="2"/>
    </font>
    <font>
      <b/>
      <sz val="10"/>
      <color theme="0"/>
      <name val="Arial"/>
      <family val="2"/>
    </font>
    <font>
      <sz val="22"/>
      <color rgb="FF000000"/>
      <name val="Calibri"/>
      <family val="2"/>
      <scheme val="minor"/>
    </font>
    <font>
      <b/>
      <sz val="11"/>
      <color rgb="FFFF0000"/>
      <name val="Calibri (Body)"/>
    </font>
    <font>
      <i/>
      <sz val="11"/>
      <color theme="1"/>
      <name val="Calibri"/>
      <family val="2"/>
    </font>
    <font>
      <b/>
      <sz val="11"/>
      <color rgb="FF000000"/>
      <name val="Calibri"/>
      <family val="2"/>
      <scheme val="minor"/>
    </font>
    <font>
      <b/>
      <sz val="11"/>
      <color rgb="FF000000"/>
      <name val="Calibri"/>
      <family val="2"/>
    </font>
    <font>
      <b/>
      <u/>
      <sz val="11"/>
      <color theme="0"/>
      <name val="Calibri"/>
      <family val="2"/>
      <scheme val="minor"/>
    </font>
  </fonts>
  <fills count="56">
    <fill>
      <patternFill patternType="none"/>
    </fill>
    <fill>
      <patternFill patternType="gray125"/>
    </fill>
    <fill>
      <patternFill patternType="solid">
        <fgColor theme="0"/>
        <bgColor indexed="64"/>
      </patternFill>
    </fill>
    <fill>
      <patternFill patternType="solid">
        <fgColor rgb="FFF2EDDC"/>
        <bgColor indexed="64"/>
      </patternFill>
    </fill>
    <fill>
      <patternFill patternType="solid">
        <fgColor rgb="FFFFFFFF"/>
        <bgColor rgb="FF000000"/>
      </patternFill>
    </fill>
    <fill>
      <patternFill patternType="solid">
        <fgColor rgb="FF056A38"/>
        <bgColor indexed="64"/>
      </patternFill>
    </fill>
    <fill>
      <patternFill patternType="solid">
        <fgColor rgb="FFFFFF00"/>
        <bgColor indexed="64"/>
      </patternFill>
    </fill>
    <fill>
      <patternFill patternType="solid">
        <fgColor rgb="FFF2EDDC"/>
        <bgColor rgb="FF000000"/>
      </patternFill>
    </fill>
    <fill>
      <patternFill patternType="solid">
        <fgColor rgb="FFFFFFFF"/>
        <bgColor indexed="64"/>
      </patternFill>
    </fill>
    <fill>
      <patternFill patternType="solid">
        <fgColor rgb="FFFFFF99"/>
        <bgColor indexed="64"/>
      </patternFill>
    </fill>
    <fill>
      <patternFill patternType="solid">
        <fgColor rgb="FF07A54E"/>
        <bgColor indexed="64"/>
      </patternFill>
    </fill>
    <fill>
      <patternFill patternType="solid">
        <fgColor theme="4" tint="0.79998168889431442"/>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79998168889431442"/>
        <bgColor indexed="64"/>
      </patternFill>
    </fill>
    <fill>
      <patternFill patternType="mediumGray">
        <bgColor theme="0"/>
      </patternFill>
    </fill>
    <fill>
      <patternFill patternType="solid">
        <fgColor rgb="FF9BC2E6"/>
        <bgColor rgb="FF000000"/>
      </patternFill>
    </fill>
    <fill>
      <patternFill patternType="solid">
        <fgColor rgb="FFFFFF99"/>
        <bgColor rgb="FF000000"/>
      </patternFill>
    </fill>
    <fill>
      <patternFill patternType="solid">
        <fgColor rgb="FFD9E1F2"/>
        <bgColor rgb="FF000000"/>
      </patternFill>
    </fill>
    <fill>
      <patternFill patternType="solid">
        <fgColor rgb="FFBDD7EE"/>
        <bgColor rgb="FF000000"/>
      </patternFill>
    </fill>
    <fill>
      <patternFill patternType="solid">
        <fgColor rgb="FF000000"/>
        <bgColor rgb="FF000000"/>
      </patternFill>
    </fill>
    <fill>
      <patternFill patternType="solid">
        <fgColor rgb="FFFCE4D6"/>
        <bgColor rgb="FF000000"/>
      </patternFill>
    </fill>
    <fill>
      <patternFill patternType="solid">
        <fgColor rgb="FFE2EFDA"/>
        <bgColor rgb="FF000000"/>
      </patternFill>
    </fill>
    <fill>
      <patternFill patternType="solid">
        <fgColor rgb="FFB4C6E7"/>
        <bgColor rgb="FF000000"/>
      </patternFill>
    </fill>
    <fill>
      <patternFill patternType="solid">
        <fgColor theme="0"/>
        <bgColor rgb="FF000000"/>
      </patternFill>
    </fill>
    <fill>
      <patternFill patternType="solid">
        <fgColor rgb="FF056A38"/>
        <bgColor rgb="FF000000"/>
      </patternFill>
    </fill>
    <fill>
      <patternFill patternType="gray125">
        <fgColor rgb="FF000000"/>
        <bgColor rgb="FF056A38"/>
      </patternFill>
    </fill>
    <fill>
      <patternFill patternType="solid">
        <fgColor theme="0" tint="-0.14999847407452621"/>
        <bgColor indexed="64"/>
      </patternFill>
    </fill>
    <fill>
      <patternFill patternType="solid">
        <fgColor rgb="FFFFD597"/>
        <bgColor indexed="64"/>
      </patternFill>
    </fill>
    <fill>
      <patternFill patternType="solid">
        <fgColor rgb="FFFFCC66"/>
        <bgColor indexed="64"/>
      </patternFill>
    </fill>
    <fill>
      <patternFill patternType="solid">
        <fgColor theme="1"/>
        <bgColor indexed="64"/>
      </patternFill>
    </fill>
    <fill>
      <patternFill patternType="solid">
        <fgColor rgb="FF92D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rgb="FFBDD7EE"/>
        <bgColor indexed="64"/>
      </patternFill>
    </fill>
    <fill>
      <patternFill patternType="solid">
        <fgColor rgb="FFFCE4D6"/>
        <bgColor indexed="64"/>
      </patternFill>
    </fill>
    <fill>
      <patternFill patternType="solid">
        <fgColor theme="7" tint="0.39997558519241921"/>
        <bgColor indexed="65"/>
      </patternFill>
    </fill>
    <fill>
      <patternFill patternType="solid">
        <fgColor rgb="FFD9E1F2"/>
        <bgColor indexed="64"/>
      </patternFill>
    </fill>
    <fill>
      <patternFill patternType="solid">
        <fgColor theme="6" tint="0.59999389629810485"/>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FF0000"/>
        <bgColor indexed="64"/>
      </patternFill>
    </fill>
    <fill>
      <patternFill patternType="solid">
        <fgColor rgb="FF00B0F0"/>
        <bgColor indexed="64"/>
      </patternFill>
    </fill>
    <fill>
      <patternFill patternType="solid">
        <fgColor rgb="FFF2F2F2"/>
        <bgColor indexed="64"/>
      </patternFill>
    </fill>
    <fill>
      <patternFill patternType="solid">
        <fgColor rgb="FFF2F2F2"/>
        <bgColor rgb="FF000000"/>
      </patternFill>
    </fill>
    <fill>
      <patternFill patternType="solid">
        <fgColor theme="1"/>
        <bgColor rgb="FF000000"/>
      </patternFill>
    </fill>
    <fill>
      <patternFill patternType="solid">
        <fgColor rgb="FFD9D9D9"/>
        <bgColor rgb="FF000000"/>
      </patternFill>
    </fill>
    <fill>
      <patternFill patternType="solid">
        <fgColor theme="2"/>
        <bgColor rgb="FF000000"/>
      </patternFill>
    </fill>
  </fills>
  <borders count="11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indexed="64"/>
      </bottom>
      <diagonal/>
    </border>
    <border>
      <left/>
      <right/>
      <top style="thin">
        <color rgb="FF000000"/>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top style="medium">
        <color indexed="64"/>
      </top>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thin">
        <color indexed="64"/>
      </right>
      <top style="medium">
        <color auto="1"/>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style="thin">
        <color indexed="64"/>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rgb="FF808184"/>
      </right>
      <top style="thin">
        <color auto="1"/>
      </top>
      <bottom style="thin">
        <color auto="1"/>
      </bottom>
      <diagonal/>
    </border>
    <border>
      <left style="thin">
        <color rgb="FF808184"/>
      </left>
      <right style="thin">
        <color rgb="FF808184"/>
      </right>
      <top style="thin">
        <color auto="1"/>
      </top>
      <bottom style="thin">
        <color auto="1"/>
      </bottom>
      <diagonal/>
    </border>
    <border>
      <left style="thin">
        <color rgb="FF808184"/>
      </left>
      <right style="thin">
        <color auto="1"/>
      </right>
      <top style="thin">
        <color auto="1"/>
      </top>
      <bottom style="thin">
        <color auto="1"/>
      </bottom>
      <diagonal/>
    </border>
    <border>
      <left/>
      <right/>
      <top style="medium">
        <color auto="1"/>
      </top>
      <bottom style="thin">
        <color auto="1"/>
      </bottom>
      <diagonal/>
    </border>
    <border>
      <left/>
      <right/>
      <top/>
      <bottom style="double">
        <color indexed="64"/>
      </bottom>
      <diagonal/>
    </border>
    <border>
      <left style="thin">
        <color theme="9" tint="-0.249977111117893"/>
      </left>
      <right style="thin">
        <color theme="9" tint="-0.24994659260841701"/>
      </right>
      <top style="thin">
        <color theme="9" tint="-0.249977111117893"/>
      </top>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theme="9" tint="-0.249977111117893"/>
      </left>
      <right style="thin">
        <color theme="9" tint="-0.24994659260841701"/>
      </right>
      <top/>
      <bottom/>
      <diagonal/>
    </border>
    <border>
      <left style="thin">
        <color theme="9" tint="-0.249977111117893"/>
      </left>
      <right style="thin">
        <color theme="9" tint="-0.24994659260841701"/>
      </right>
      <top/>
      <bottom style="thin">
        <color theme="9" tint="-0.249977111117893"/>
      </bottom>
      <diagonal/>
    </border>
    <border>
      <left style="thin">
        <color theme="9" tint="-0.24994659260841701"/>
      </left>
      <right style="thin">
        <color indexed="64"/>
      </right>
      <top style="thin">
        <color theme="9" tint="-0.24994659260841701"/>
      </top>
      <bottom/>
      <diagonal/>
    </border>
    <border>
      <left style="thin">
        <color theme="9" tint="-0.24994659260841701"/>
      </left>
      <right style="thin">
        <color indexed="64"/>
      </right>
      <top/>
      <bottom style="thin">
        <color theme="9" tint="-0.24994659260841701"/>
      </bottom>
      <diagonal/>
    </border>
    <border>
      <left style="thin">
        <color theme="9" tint="-0.24994659260841701"/>
      </left>
      <right style="thin">
        <color indexed="64"/>
      </right>
      <top/>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rgb="FF000000"/>
      </left>
      <right style="thin">
        <color auto="1"/>
      </right>
      <top style="thin">
        <color rgb="FF000000"/>
      </top>
      <bottom style="thin">
        <color indexed="64"/>
      </bottom>
      <diagonal/>
    </border>
    <border>
      <left/>
      <right/>
      <top/>
      <bottom style="thin">
        <color rgb="FFD0CECE"/>
      </bottom>
      <diagonal/>
    </border>
    <border>
      <left style="thin">
        <color rgb="FFE7E6E6"/>
      </left>
      <right/>
      <top/>
      <bottom/>
      <diagonal/>
    </border>
    <border>
      <left style="thin">
        <color rgb="FFE7E6E6"/>
      </left>
      <right/>
      <top/>
      <bottom style="thin">
        <color rgb="FFD0CECE"/>
      </bottom>
      <diagonal/>
    </border>
    <border>
      <left style="thin">
        <color rgb="FFE7E6E6"/>
      </left>
      <right/>
      <top style="thin">
        <color auto="1"/>
      </top>
      <bottom style="thin">
        <color rgb="FFE7E6E6"/>
      </bottom>
      <diagonal/>
    </border>
    <border>
      <left/>
      <right/>
      <top style="thin">
        <color auto="1"/>
      </top>
      <bottom style="thin">
        <color rgb="FFE7E6E6"/>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thick">
        <color auto="1"/>
      </left>
      <right style="thick">
        <color auto="1"/>
      </right>
      <top style="thin">
        <color auto="1"/>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style="thin">
        <color indexed="64"/>
      </right>
      <top/>
      <bottom style="hair">
        <color indexed="64"/>
      </bottom>
      <diagonal/>
    </border>
    <border>
      <left/>
      <right/>
      <top/>
      <bottom style="hair">
        <color indexed="64"/>
      </bottom>
      <diagonal/>
    </border>
    <border>
      <left/>
      <right style="thin">
        <color rgb="FF000000"/>
      </right>
      <top style="thin">
        <color auto="1"/>
      </top>
      <bottom style="thin">
        <color auto="1"/>
      </bottom>
      <diagonal/>
    </border>
    <border>
      <left style="thin">
        <color rgb="FF000000"/>
      </left>
      <right/>
      <top style="thin">
        <color rgb="FF000000"/>
      </top>
      <bottom style="thin">
        <color indexed="64"/>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indexed="64"/>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indexed="64"/>
      </right>
      <top/>
      <bottom style="thin">
        <color rgb="FF000000"/>
      </bottom>
      <diagonal/>
    </border>
    <border>
      <left style="thin">
        <color auto="1"/>
      </left>
      <right style="thin">
        <color auto="1"/>
      </right>
      <top style="thin">
        <color rgb="FF000000"/>
      </top>
      <bottom style="thin">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auto="1"/>
      </left>
      <right style="thin">
        <color auto="1"/>
      </right>
      <top style="thin">
        <color auto="1"/>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1">
    <xf numFmtId="0" fontId="0" fillId="0" borderId="0"/>
    <xf numFmtId="0" fontId="13" fillId="0" borderId="0" applyNumberForma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85" fillId="0" borderId="0"/>
    <xf numFmtId="0" fontId="5" fillId="44" borderId="0" applyNumberFormat="0" applyBorder="0" applyAlignment="0" applyProtection="0"/>
  </cellStyleXfs>
  <cellXfs count="2747">
    <xf numFmtId="0" fontId="0" fillId="0" borderId="0" xfId="0"/>
    <xf numFmtId="0" fontId="14" fillId="0" borderId="0" xfId="0" applyFont="1"/>
    <xf numFmtId="0" fontId="16" fillId="0" borderId="0" xfId="0" applyFont="1"/>
    <xf numFmtId="0" fontId="0" fillId="2" borderId="0" xfId="0" applyFill="1"/>
    <xf numFmtId="0" fontId="9" fillId="2" borderId="0" xfId="0" applyFont="1" applyFill="1"/>
    <xf numFmtId="0" fontId="10" fillId="2" borderId="0" xfId="0" applyFont="1" applyFill="1"/>
    <xf numFmtId="0" fontId="0" fillId="3" borderId="0" xfId="0" applyFill="1"/>
    <xf numFmtId="0" fontId="0" fillId="2" borderId="2" xfId="0" applyFill="1" applyBorder="1"/>
    <xf numFmtId="0" fontId="18" fillId="2" borderId="0" xfId="0" applyFont="1" applyFill="1"/>
    <xf numFmtId="0" fontId="5" fillId="2" borderId="0" xfId="0" applyFont="1" applyFill="1"/>
    <xf numFmtId="0" fontId="4" fillId="3" borderId="0" xfId="0" applyFont="1" applyFill="1"/>
    <xf numFmtId="0" fontId="8" fillId="2" borderId="0" xfId="0" applyFont="1" applyFill="1"/>
    <xf numFmtId="0" fontId="18" fillId="3" borderId="0" xfId="0" applyFont="1" applyFill="1"/>
    <xf numFmtId="0" fontId="18" fillId="2" borderId="2" xfId="0" applyFont="1" applyFill="1" applyBorder="1"/>
    <xf numFmtId="0" fontId="6" fillId="2" borderId="0" xfId="0" applyFont="1" applyFill="1" applyAlignment="1">
      <alignment vertical="center" wrapText="1"/>
    </xf>
    <xf numFmtId="0" fontId="7" fillId="2" borderId="0" xfId="0" applyFont="1" applyFill="1" applyAlignment="1">
      <alignment wrapText="1"/>
    </xf>
    <xf numFmtId="0" fontId="19" fillId="2" borderId="2" xfId="0" applyFont="1" applyFill="1" applyBorder="1"/>
    <xf numFmtId="0" fontId="4" fillId="2" borderId="0" xfId="0" applyFont="1" applyFill="1"/>
    <xf numFmtId="0" fontId="0" fillId="2" borderId="0" xfId="0" applyFill="1" applyAlignment="1">
      <alignment wrapText="1"/>
    </xf>
    <xf numFmtId="0" fontId="0" fillId="2" borderId="0" xfId="0" quotePrefix="1" applyFill="1"/>
    <xf numFmtId="0" fontId="0" fillId="2" borderId="2" xfId="0" quotePrefix="1" applyFill="1" applyBorder="1"/>
    <xf numFmtId="0" fontId="7" fillId="3" borderId="0" xfId="0" applyFont="1" applyFill="1"/>
    <xf numFmtId="0" fontId="0" fillId="9" borderId="1" xfId="0" applyFill="1" applyBorder="1"/>
    <xf numFmtId="0" fontId="22" fillId="2" borderId="0" xfId="0" applyFont="1" applyFill="1" applyAlignment="1">
      <alignment horizontal="left" vertical="top"/>
    </xf>
    <xf numFmtId="0" fontId="22" fillId="2" borderId="0" xfId="0" applyFont="1" applyFill="1" applyAlignment="1">
      <alignment horizontal="right" vertical="top"/>
    </xf>
    <xf numFmtId="0" fontId="20" fillId="3" borderId="0" xfId="0" applyFont="1" applyFill="1"/>
    <xf numFmtId="0" fontId="28" fillId="0" borderId="0" xfId="0" applyFont="1"/>
    <xf numFmtId="0" fontId="0" fillId="3" borderId="18" xfId="0" applyFill="1" applyBorder="1"/>
    <xf numFmtId="0" fontId="4" fillId="9" borderId="1" xfId="0" applyFont="1" applyFill="1" applyBorder="1"/>
    <xf numFmtId="0" fontId="28" fillId="4" borderId="0" xfId="0" applyFont="1" applyFill="1"/>
    <xf numFmtId="0" fontId="54" fillId="4" borderId="0" xfId="0" applyFont="1" applyFill="1"/>
    <xf numFmtId="0" fontId="55" fillId="4" borderId="0" xfId="0" applyFont="1" applyFill="1"/>
    <xf numFmtId="0" fontId="57" fillId="4" borderId="2" xfId="0" applyFont="1" applyFill="1" applyBorder="1"/>
    <xf numFmtId="0" fontId="57" fillId="4" borderId="0" xfId="0" applyFont="1" applyFill="1"/>
    <xf numFmtId="0" fontId="59" fillId="4" borderId="0" xfId="0" applyFont="1" applyFill="1"/>
    <xf numFmtId="0" fontId="33" fillId="4" borderId="2" xfId="0" applyFont="1" applyFill="1" applyBorder="1"/>
    <xf numFmtId="0" fontId="58" fillId="4" borderId="0" xfId="0" applyFont="1" applyFill="1" applyAlignment="1">
      <alignment vertical="top" wrapText="1"/>
    </xf>
    <xf numFmtId="0" fontId="58" fillId="4" borderId="0" xfId="0" applyFont="1" applyFill="1"/>
    <xf numFmtId="0" fontId="32" fillId="3" borderId="0" xfId="0" applyFont="1" applyFill="1"/>
    <xf numFmtId="0" fontId="32" fillId="0" borderId="0" xfId="0" applyFont="1"/>
    <xf numFmtId="0" fontId="44" fillId="0" borderId="0" xfId="0" applyFont="1" applyAlignment="1">
      <alignment vertical="center"/>
    </xf>
    <xf numFmtId="0" fontId="4" fillId="0" borderId="0" xfId="0" applyFont="1"/>
    <xf numFmtId="0" fontId="36" fillId="0" borderId="0" xfId="0" applyFont="1"/>
    <xf numFmtId="0" fontId="32" fillId="0" borderId="0" xfId="0" applyFont="1" applyAlignment="1">
      <alignment horizontal="center"/>
    </xf>
    <xf numFmtId="0" fontId="32" fillId="0" borderId="0" xfId="0" applyFont="1" applyAlignment="1">
      <alignment horizontal="left" vertical="top"/>
    </xf>
    <xf numFmtId="0" fontId="32" fillId="0" borderId="0" xfId="0" applyFont="1" applyAlignment="1">
      <alignment horizontal="left" indent="25"/>
    </xf>
    <xf numFmtId="0" fontId="36" fillId="0" borderId="0" xfId="0" applyFont="1" applyAlignment="1">
      <alignment horizontal="left"/>
    </xf>
    <xf numFmtId="0" fontId="32" fillId="0" borderId="0" xfId="0" applyFont="1" applyAlignment="1">
      <alignment wrapText="1"/>
    </xf>
    <xf numFmtId="0" fontId="32" fillId="0" borderId="0" xfId="0" applyFont="1" applyAlignment="1">
      <alignment horizontal="left" wrapText="1"/>
    </xf>
    <xf numFmtId="0" fontId="0" fillId="0" borderId="0" xfId="0" applyAlignment="1">
      <alignment vertical="center"/>
    </xf>
    <xf numFmtId="0" fontId="0" fillId="0" borderId="0" xfId="0" applyAlignment="1">
      <alignment horizontal="left"/>
    </xf>
    <xf numFmtId="167" fontId="0" fillId="0" borderId="0" xfId="0" applyNumberFormat="1" applyAlignment="1">
      <alignment horizontal="center"/>
    </xf>
    <xf numFmtId="49" fontId="0" fillId="0" borderId="0" xfId="0" applyNumberFormat="1"/>
    <xf numFmtId="49" fontId="0" fillId="0" borderId="0" xfId="0" applyNumberFormat="1" applyAlignment="1">
      <alignment horizontal="left"/>
    </xf>
    <xf numFmtId="14" fontId="0" fillId="0" borderId="0" xfId="0" applyNumberFormat="1"/>
    <xf numFmtId="0" fontId="0" fillId="0" borderId="0" xfId="0" applyAlignment="1">
      <alignment wrapText="1"/>
    </xf>
    <xf numFmtId="167" fontId="0" fillId="0" borderId="0" xfId="0" applyNumberFormat="1"/>
    <xf numFmtId="9" fontId="0" fillId="0" borderId="0" xfId="0" applyNumberFormat="1"/>
    <xf numFmtId="10" fontId="0" fillId="0" borderId="0" xfId="0" applyNumberFormat="1"/>
    <xf numFmtId="0" fontId="0" fillId="0" borderId="0" xfId="0" applyAlignment="1">
      <alignment horizontal="center"/>
    </xf>
    <xf numFmtId="0" fontId="46" fillId="0" borderId="0" xfId="0" applyFont="1" applyAlignment="1">
      <alignment horizontal="left" vertical="center"/>
    </xf>
    <xf numFmtId="0" fontId="46" fillId="0" borderId="0" xfId="0" applyFont="1" applyAlignment="1">
      <alignment horizontal="center" vertical="center"/>
    </xf>
    <xf numFmtId="0" fontId="0" fillId="2" borderId="18" xfId="0" applyFill="1" applyBorder="1"/>
    <xf numFmtId="0" fontId="3" fillId="0" borderId="1" xfId="0" applyFont="1" applyBorder="1" applyProtection="1">
      <protection locked="0"/>
    </xf>
    <xf numFmtId="0" fontId="28" fillId="2" borderId="0" xfId="0" applyFont="1" applyFill="1"/>
    <xf numFmtId="0" fontId="0" fillId="3" borderId="22" xfId="0" applyFill="1" applyBorder="1"/>
    <xf numFmtId="0" fontId="0" fillId="3" borderId="21" xfId="0" applyFill="1" applyBorder="1"/>
    <xf numFmtId="0" fontId="90" fillId="25" borderId="1" xfId="0" applyFont="1" applyFill="1" applyBorder="1" applyAlignment="1">
      <alignment horizontal="center" vertical="center" wrapText="1"/>
    </xf>
    <xf numFmtId="0" fontId="90" fillId="25" borderId="5" xfId="0" applyFont="1" applyFill="1" applyBorder="1" applyAlignment="1">
      <alignment horizontal="center" vertical="center" wrapText="1"/>
    </xf>
    <xf numFmtId="0" fontId="90" fillId="25" borderId="11" xfId="0" applyFont="1" applyFill="1" applyBorder="1" applyAlignment="1">
      <alignment horizontal="center" vertical="center"/>
    </xf>
    <xf numFmtId="9" fontId="4" fillId="3" borderId="36" xfId="0" applyNumberFormat="1" applyFont="1" applyFill="1" applyBorder="1"/>
    <xf numFmtId="9" fontId="4" fillId="3" borderId="34" xfId="0" applyNumberFormat="1" applyFont="1" applyFill="1" applyBorder="1"/>
    <xf numFmtId="9" fontId="4" fillId="3" borderId="37" xfId="0" applyNumberFormat="1" applyFont="1" applyFill="1" applyBorder="1"/>
    <xf numFmtId="9" fontId="4" fillId="3" borderId="38" xfId="0" applyNumberFormat="1" applyFont="1" applyFill="1" applyBorder="1"/>
    <xf numFmtId="9" fontId="4" fillId="3" borderId="39" xfId="0" applyNumberFormat="1" applyFont="1" applyFill="1" applyBorder="1"/>
    <xf numFmtId="0" fontId="0" fillId="3" borderId="40" xfId="0" applyFill="1" applyBorder="1"/>
    <xf numFmtId="0" fontId="0" fillId="3" borderId="41" xfId="0" applyFill="1" applyBorder="1"/>
    <xf numFmtId="0" fontId="0" fillId="3" borderId="42" xfId="0" applyFill="1" applyBorder="1"/>
    <xf numFmtId="0" fontId="0" fillId="3" borderId="43" xfId="0" applyFill="1" applyBorder="1"/>
    <xf numFmtId="0" fontId="5" fillId="2" borderId="0" xfId="0" applyFont="1" applyFill="1" applyAlignment="1">
      <alignment horizontal="right"/>
    </xf>
    <xf numFmtId="0" fontId="100" fillId="10" borderId="1" xfId="0" applyFont="1" applyFill="1" applyBorder="1" applyAlignment="1">
      <alignment horizontal="center" vertical="center"/>
    </xf>
    <xf numFmtId="0" fontId="0" fillId="2" borderId="1" xfId="0" applyFill="1" applyBorder="1" applyAlignment="1" applyProtection="1">
      <alignment wrapText="1"/>
      <protection locked="0"/>
    </xf>
    <xf numFmtId="0" fontId="28" fillId="24" borderId="0" xfId="0" applyFont="1" applyFill="1"/>
    <xf numFmtId="0" fontId="86" fillId="2" borderId="0" xfId="0" applyFont="1" applyFill="1"/>
    <xf numFmtId="0" fontId="86" fillId="24" borderId="0" xfId="0" applyFont="1" applyFill="1"/>
    <xf numFmtId="0" fontId="57" fillId="24" borderId="0" xfId="0" applyFont="1" applyFill="1"/>
    <xf numFmtId="0" fontId="86" fillId="25" borderId="0" xfId="0" applyFont="1" applyFill="1"/>
    <xf numFmtId="0" fontId="91" fillId="25" borderId="0" xfId="0" applyFont="1" applyFill="1" applyAlignment="1">
      <alignment horizontal="center"/>
    </xf>
    <xf numFmtId="0" fontId="91" fillId="26" borderId="21" xfId="0" applyFont="1" applyFill="1" applyBorder="1" applyAlignment="1">
      <alignment horizontal="center"/>
    </xf>
    <xf numFmtId="0" fontId="91" fillId="26" borderId="30" xfId="0" applyFont="1" applyFill="1" applyBorder="1" applyAlignment="1">
      <alignment horizontal="center"/>
    </xf>
    <xf numFmtId="0" fontId="86" fillId="26" borderId="30" xfId="0" applyFont="1" applyFill="1" applyBorder="1"/>
    <xf numFmtId="0" fontId="86" fillId="26" borderId="22" xfId="0" applyFont="1" applyFill="1" applyBorder="1"/>
    <xf numFmtId="0" fontId="93" fillId="25" borderId="1" xfId="0" applyFont="1" applyFill="1" applyBorder="1" applyAlignment="1">
      <alignment horizontal="center"/>
    </xf>
    <xf numFmtId="0" fontId="91" fillId="25" borderId="1" xfId="0" applyFont="1" applyFill="1" applyBorder="1" applyAlignment="1">
      <alignment horizontal="center" vertical="center"/>
    </xf>
    <xf numFmtId="0" fontId="33" fillId="24" borderId="2" xfId="0" applyFont="1" applyFill="1" applyBorder="1"/>
    <xf numFmtId="0" fontId="66" fillId="4" borderId="1" xfId="0" applyFont="1" applyFill="1" applyBorder="1" applyProtection="1">
      <protection locked="0"/>
    </xf>
    <xf numFmtId="0" fontId="66" fillId="4" borderId="11" xfId="0" applyFont="1" applyFill="1" applyBorder="1" applyProtection="1">
      <protection locked="0"/>
    </xf>
    <xf numFmtId="0" fontId="32" fillId="2" borderId="0" xfId="0" applyFont="1" applyFill="1"/>
    <xf numFmtId="0" fontId="15" fillId="2" borderId="0" xfId="0" applyFont="1" applyFill="1" applyAlignment="1">
      <alignment horizontal="center" vertical="center"/>
    </xf>
    <xf numFmtId="0" fontId="88" fillId="3" borderId="0" xfId="0" applyFont="1" applyFill="1"/>
    <xf numFmtId="3" fontId="32" fillId="12" borderId="1" xfId="0" applyNumberFormat="1" applyFont="1" applyFill="1" applyBorder="1" applyAlignment="1">
      <alignment vertical="center"/>
    </xf>
    <xf numFmtId="0" fontId="32" fillId="12" borderId="1" xfId="0" applyFont="1" applyFill="1" applyBorder="1" applyAlignment="1">
      <alignment vertical="center"/>
    </xf>
    <xf numFmtId="0" fontId="32" fillId="12" borderId="21" xfId="0" applyFont="1" applyFill="1" applyBorder="1" applyAlignment="1">
      <alignment vertical="center"/>
    </xf>
    <xf numFmtId="0" fontId="47" fillId="14" borderId="21" xfId="0" applyFont="1" applyFill="1" applyBorder="1" applyAlignment="1">
      <alignment vertical="center"/>
    </xf>
    <xf numFmtId="0" fontId="49" fillId="12" borderId="1" xfId="0" applyFont="1" applyFill="1" applyBorder="1" applyAlignment="1">
      <alignment vertical="center"/>
    </xf>
    <xf numFmtId="0" fontId="0" fillId="12" borderId="1" xfId="0" applyFill="1" applyBorder="1" applyAlignment="1">
      <alignment vertical="center"/>
    </xf>
    <xf numFmtId="0" fontId="0" fillId="12" borderId="21" xfId="0" applyFill="1" applyBorder="1" applyAlignment="1">
      <alignment vertical="center"/>
    </xf>
    <xf numFmtId="0" fontId="0" fillId="12" borderId="1" xfId="0" applyFill="1" applyBorder="1" applyAlignment="1">
      <alignment horizontal="center" vertical="center"/>
    </xf>
    <xf numFmtId="0" fontId="0" fillId="12" borderId="21" xfId="0" applyFill="1" applyBorder="1" applyAlignment="1">
      <alignment horizontal="center" vertical="center"/>
    </xf>
    <xf numFmtId="0" fontId="44" fillId="12" borderId="1" xfId="0" applyFont="1" applyFill="1" applyBorder="1" applyAlignment="1">
      <alignment vertical="center"/>
    </xf>
    <xf numFmtId="6" fontId="0" fillId="12" borderId="1" xfId="0" applyNumberFormat="1" applyFill="1" applyBorder="1" applyAlignment="1">
      <alignment horizontal="center" vertical="center"/>
    </xf>
    <xf numFmtId="6" fontId="0" fillId="12" borderId="21" xfId="0" applyNumberFormat="1" applyFill="1" applyBorder="1" applyAlignment="1">
      <alignment horizontal="center" vertical="center"/>
    </xf>
    <xf numFmtId="6" fontId="0" fillId="12" borderId="1" xfId="0" applyNumberFormat="1" applyFill="1" applyBorder="1" applyAlignment="1">
      <alignment vertical="center"/>
    </xf>
    <xf numFmtId="6" fontId="0" fillId="12" borderId="21" xfId="0" applyNumberFormat="1" applyFill="1" applyBorder="1" applyAlignment="1">
      <alignment vertical="center"/>
    </xf>
    <xf numFmtId="9" fontId="88" fillId="3" borderId="0" xfId="0" applyNumberFormat="1" applyFont="1" applyFill="1"/>
    <xf numFmtId="0" fontId="20" fillId="2" borderId="0" xfId="0" applyFont="1" applyFill="1"/>
    <xf numFmtId="0" fontId="0" fillId="2" borderId="8" xfId="0" applyFill="1" applyBorder="1"/>
    <xf numFmtId="0" fontId="0" fillId="2" borderId="9" xfId="0" applyFill="1" applyBorder="1"/>
    <xf numFmtId="0" fontId="59" fillId="24" borderId="0" xfId="0" applyFont="1" applyFill="1"/>
    <xf numFmtId="0" fontId="59" fillId="2" borderId="0" xfId="0" applyFont="1" applyFill="1"/>
    <xf numFmtId="0" fontId="34" fillId="7" borderId="1" xfId="0" applyFont="1" applyFill="1" applyBorder="1"/>
    <xf numFmtId="0" fontId="71" fillId="2" borderId="0" xfId="0" applyFont="1" applyFill="1"/>
    <xf numFmtId="0" fontId="59" fillId="16" borderId="1" xfId="0" applyFont="1" applyFill="1" applyBorder="1" applyAlignment="1">
      <alignment horizontal="center" vertical="center" wrapText="1"/>
    </xf>
    <xf numFmtId="0" fontId="72" fillId="20" borderId="1" xfId="8" applyFont="1" applyFill="1" applyBorder="1" applyAlignment="1">
      <alignment horizontal="left" vertical="center"/>
    </xf>
    <xf numFmtId="0" fontId="62" fillId="7" borderId="1" xfId="0" applyFont="1" applyFill="1" applyBorder="1" applyAlignment="1">
      <alignment horizontal="left" vertical="center"/>
    </xf>
    <xf numFmtId="0" fontId="62" fillId="7" borderId="1" xfId="0" applyFont="1" applyFill="1" applyBorder="1" applyAlignment="1">
      <alignment horizontal="left"/>
    </xf>
    <xf numFmtId="0" fontId="64" fillId="21" borderId="1" xfId="0" applyFont="1" applyFill="1" applyBorder="1" applyAlignment="1">
      <alignment horizontal="left" vertical="center"/>
    </xf>
    <xf numFmtId="0" fontId="72" fillId="20" borderId="1" xfId="0" applyFont="1" applyFill="1" applyBorder="1" applyAlignment="1">
      <alignment horizontal="left" vertical="center"/>
    </xf>
    <xf numFmtId="0" fontId="73" fillId="20" borderId="1" xfId="0" applyFont="1" applyFill="1" applyBorder="1" applyAlignment="1">
      <alignment horizontal="right" vertical="center"/>
    </xf>
    <xf numFmtId="0" fontId="74" fillId="22" borderId="1" xfId="0" applyFont="1" applyFill="1" applyBorder="1" applyAlignment="1">
      <alignment horizontal="left" vertical="center"/>
    </xf>
    <xf numFmtId="0" fontId="59" fillId="22" borderId="1" xfId="0" applyFont="1" applyFill="1" applyBorder="1" applyAlignment="1">
      <alignment horizontal="right" vertical="center"/>
    </xf>
    <xf numFmtId="0" fontId="64" fillId="18" borderId="1" xfId="0" applyFont="1" applyFill="1" applyBorder="1" applyAlignment="1">
      <alignment horizontal="right" vertical="center"/>
    </xf>
    <xf numFmtId="0" fontId="75" fillId="22" borderId="1" xfId="0" applyFont="1" applyFill="1" applyBorder="1" applyAlignment="1">
      <alignment horizontal="left" vertical="center"/>
    </xf>
    <xf numFmtId="0" fontId="76" fillId="7" borderId="1" xfId="0" applyFont="1" applyFill="1" applyBorder="1" applyAlignment="1">
      <alignment horizontal="left" vertical="center"/>
    </xf>
    <xf numFmtId="0" fontId="64" fillId="22" borderId="1" xfId="0" applyFont="1" applyFill="1" applyBorder="1" applyAlignment="1">
      <alignment horizontal="left" vertical="center"/>
    </xf>
    <xf numFmtId="0" fontId="74" fillId="22" borderId="1" xfId="0" applyFont="1" applyFill="1" applyBorder="1" applyAlignment="1">
      <alignment horizontal="left" vertical="center" shrinkToFit="1"/>
    </xf>
    <xf numFmtId="38" fontId="33" fillId="17" borderId="1" xfId="3" applyNumberFormat="1" applyFont="1" applyFill="1" applyBorder="1" applyProtection="1"/>
    <xf numFmtId="0" fontId="72" fillId="20" borderId="1" xfId="0" applyFont="1" applyFill="1" applyBorder="1" applyAlignment="1">
      <alignment vertical="center"/>
    </xf>
    <xf numFmtId="0" fontId="77" fillId="7" borderId="1" xfId="0" applyFont="1" applyFill="1" applyBorder="1" applyAlignment="1">
      <alignment horizontal="left"/>
    </xf>
    <xf numFmtId="38" fontId="71" fillId="17" borderId="1" xfId="3" applyNumberFormat="1" applyFont="1" applyFill="1" applyBorder="1" applyProtection="1"/>
    <xf numFmtId="0" fontId="80" fillId="23" borderId="1" xfId="0" applyFont="1" applyFill="1" applyBorder="1" applyAlignment="1">
      <alignment horizontal="left" vertical="center"/>
    </xf>
    <xf numFmtId="38" fontId="81" fillId="23" borderId="1" xfId="3" applyNumberFormat="1" applyFont="1" applyFill="1" applyBorder="1" applyProtection="1"/>
    <xf numFmtId="38" fontId="82" fillId="23" borderId="1" xfId="3" applyNumberFormat="1" applyFont="1" applyFill="1" applyBorder="1" applyProtection="1"/>
    <xf numFmtId="0" fontId="73" fillId="20" borderId="1" xfId="0" applyFont="1" applyFill="1" applyBorder="1"/>
    <xf numFmtId="38" fontId="83" fillId="20" borderId="1" xfId="3" applyNumberFormat="1" applyFont="1" applyFill="1" applyBorder="1" applyProtection="1"/>
    <xf numFmtId="0" fontId="59" fillId="16" borderId="1" xfId="0" applyFont="1" applyFill="1" applyBorder="1"/>
    <xf numFmtId="38" fontId="59" fillId="16" borderId="1" xfId="3" applyNumberFormat="1" applyFont="1" applyFill="1" applyBorder="1" applyAlignment="1" applyProtection="1">
      <alignment horizontal="center" vertical="center" wrapText="1"/>
    </xf>
    <xf numFmtId="49" fontId="59" fillId="16" borderId="1" xfId="3" applyNumberFormat="1" applyFont="1" applyFill="1" applyBorder="1" applyAlignment="1" applyProtection="1">
      <alignment horizontal="center" vertical="center" wrapText="1"/>
    </xf>
    <xf numFmtId="0" fontId="71" fillId="17" borderId="1" xfId="0" applyFont="1" applyFill="1" applyBorder="1"/>
    <xf numFmtId="0" fontId="66" fillId="17" borderId="1" xfId="0" applyFont="1" applyFill="1" applyBorder="1"/>
    <xf numFmtId="0" fontId="59" fillId="17" borderId="1" xfId="0" applyFont="1" applyFill="1" applyBorder="1"/>
    <xf numFmtId="38" fontId="66" fillId="17" borderId="1" xfId="3" applyNumberFormat="1" applyFont="1" applyFill="1" applyBorder="1" applyProtection="1"/>
    <xf numFmtId="38" fontId="59" fillId="16" borderId="1" xfId="3" applyNumberFormat="1" applyFont="1" applyFill="1" applyBorder="1" applyAlignment="1" applyProtection="1">
      <alignment horizontal="left" vertical="center"/>
    </xf>
    <xf numFmtId="38" fontId="59" fillId="16" borderId="1" xfId="3" applyNumberFormat="1" applyFont="1" applyFill="1" applyBorder="1" applyAlignment="1" applyProtection="1">
      <alignment horizontal="center" vertical="center"/>
    </xf>
    <xf numFmtId="0" fontId="58" fillId="24" borderId="0" xfId="0" applyFont="1" applyFill="1" applyAlignment="1">
      <alignment wrapText="1"/>
    </xf>
    <xf numFmtId="0" fontId="3" fillId="3" borderId="0" xfId="0" applyFont="1" applyFill="1" applyAlignment="1">
      <alignment horizontal="center" vertical="center"/>
    </xf>
    <xf numFmtId="0" fontId="3" fillId="2" borderId="0" xfId="0" applyFont="1" applyFill="1" applyAlignment="1">
      <alignment wrapText="1"/>
    </xf>
    <xf numFmtId="0" fontId="99" fillId="2" borderId="0" xfId="0" applyFont="1" applyFill="1"/>
    <xf numFmtId="3" fontId="0" fillId="9" borderId="1" xfId="0" applyNumberFormat="1" applyFill="1" applyBorder="1"/>
    <xf numFmtId="0" fontId="0" fillId="2" borderId="21" xfId="0" applyFill="1" applyBorder="1" applyAlignment="1" applyProtection="1">
      <alignment horizontal="center" vertical="center"/>
      <protection locked="0"/>
    </xf>
    <xf numFmtId="0" fontId="47" fillId="14" borderId="22" xfId="0" applyFont="1" applyFill="1" applyBorder="1" applyAlignment="1">
      <alignment vertical="center"/>
    </xf>
    <xf numFmtId="0" fontId="44" fillId="12" borderId="21" xfId="0" applyFont="1" applyFill="1" applyBorder="1" applyAlignment="1">
      <alignment vertical="center"/>
    </xf>
    <xf numFmtId="0" fontId="50" fillId="13" borderId="22" xfId="0" applyFont="1" applyFill="1" applyBorder="1" applyAlignment="1">
      <alignment horizontal="right" vertical="center"/>
    </xf>
    <xf numFmtId="0" fontId="51" fillId="12" borderId="22" xfId="0" applyFont="1" applyFill="1" applyBorder="1" applyAlignment="1">
      <alignment vertical="center"/>
    </xf>
    <xf numFmtId="0" fontId="3" fillId="0" borderId="1" xfId="0" applyFont="1" applyBorder="1" applyAlignment="1" applyProtection="1">
      <alignment horizontal="left"/>
      <protection locked="0"/>
    </xf>
    <xf numFmtId="0" fontId="3" fillId="2" borderId="1" xfId="0" applyFont="1" applyFill="1" applyBorder="1" applyProtection="1">
      <protection locked="0"/>
    </xf>
    <xf numFmtId="0" fontId="3" fillId="2" borderId="0" xfId="0" applyFont="1" applyFill="1"/>
    <xf numFmtId="0" fontId="3" fillId="2" borderId="0" xfId="0" applyFont="1" applyFill="1" applyAlignment="1">
      <alignment horizontal="right" vertical="center"/>
    </xf>
    <xf numFmtId="0" fontId="3" fillId="2" borderId="0" xfId="0" applyFont="1" applyFill="1" applyAlignment="1">
      <alignment horizontal="right"/>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vertical="center"/>
      <protection locked="0"/>
    </xf>
    <xf numFmtId="167" fontId="3" fillId="2" borderId="1" xfId="0" applyNumberFormat="1" applyFont="1" applyFill="1" applyBorder="1" applyAlignment="1" applyProtection="1">
      <alignment vertical="center" wrapText="1"/>
      <protection locked="0"/>
    </xf>
    <xf numFmtId="14" fontId="3" fillId="2" borderId="1" xfId="0" applyNumberFormat="1" applyFont="1" applyFill="1" applyBorder="1" applyAlignment="1" applyProtection="1">
      <alignment vertical="center" wrapText="1"/>
      <protection locked="0"/>
    </xf>
    <xf numFmtId="0" fontId="3" fillId="2" borderId="0" xfId="0" applyFont="1" applyFill="1" applyAlignment="1">
      <alignment vertical="top" wrapText="1"/>
    </xf>
    <xf numFmtId="165" fontId="3" fillId="2" borderId="1" xfId="0" applyNumberFormat="1" applyFont="1" applyFill="1" applyBorder="1" applyProtection="1">
      <protection locked="0"/>
    </xf>
    <xf numFmtId="0" fontId="3" fillId="0" borderId="0" xfId="0" applyFont="1"/>
    <xf numFmtId="0" fontId="3" fillId="0" borderId="0" xfId="0" applyFont="1" applyAlignment="1">
      <alignment wrapText="1" shrinkToFit="1"/>
    </xf>
    <xf numFmtId="0" fontId="3" fillId="0" borderId="0" xfId="0" applyFont="1" applyAlignment="1">
      <alignment horizontal="left"/>
    </xf>
    <xf numFmtId="9" fontId="3" fillId="0" borderId="0" xfId="0" applyNumberFormat="1" applyFont="1"/>
    <xf numFmtId="0" fontId="3" fillId="0" borderId="0" xfId="0" applyFont="1" applyAlignment="1">
      <alignment horizontal="left" vertical="center"/>
    </xf>
    <xf numFmtId="0" fontId="3" fillId="0" borderId="0" xfId="0" applyFont="1" applyAlignment="1">
      <alignment horizontal="left" vertical="top"/>
    </xf>
    <xf numFmtId="0" fontId="0" fillId="27" borderId="0" xfId="0" applyFill="1"/>
    <xf numFmtId="0" fontId="0" fillId="6" borderId="0" xfId="0" applyFill="1"/>
    <xf numFmtId="172" fontId="71" fillId="17" borderId="1" xfId="3" applyNumberFormat="1" applyFont="1" applyFill="1" applyBorder="1" applyProtection="1"/>
    <xf numFmtId="172" fontId="71" fillId="17" borderId="1" xfId="3" applyNumberFormat="1" applyFont="1" applyFill="1" applyBorder="1" applyAlignment="1" applyProtection="1">
      <alignment horizontal="right"/>
    </xf>
    <xf numFmtId="172" fontId="59" fillId="21" borderId="1" xfId="3" applyNumberFormat="1" applyFont="1" applyFill="1" applyBorder="1" applyAlignment="1" applyProtection="1">
      <alignment horizontal="right"/>
    </xf>
    <xf numFmtId="172" fontId="59" fillId="21" borderId="1" xfId="3" applyNumberFormat="1" applyFont="1" applyFill="1" applyBorder="1" applyProtection="1"/>
    <xf numFmtId="172" fontId="79" fillId="17" borderId="1" xfId="3" applyNumberFormat="1" applyFont="1" applyFill="1" applyBorder="1" applyProtection="1"/>
    <xf numFmtId="172" fontId="67" fillId="18" borderId="1" xfId="0" applyNumberFormat="1" applyFont="1" applyFill="1" applyBorder="1" applyAlignment="1">
      <alignment horizontal="right" vertical="center"/>
    </xf>
    <xf numFmtId="172" fontId="71" fillId="18" borderId="1" xfId="3" applyNumberFormat="1" applyFont="1" applyFill="1" applyBorder="1" applyProtection="1"/>
    <xf numFmtId="172" fontId="59" fillId="22" borderId="1" xfId="0" applyNumberFormat="1" applyFont="1" applyFill="1" applyBorder="1" applyAlignment="1">
      <alignment horizontal="right" vertical="center" shrinkToFit="1"/>
    </xf>
    <xf numFmtId="172" fontId="68" fillId="17" borderId="1" xfId="3" applyNumberFormat="1" applyFont="1" applyFill="1" applyBorder="1" applyAlignment="1" applyProtection="1">
      <alignment horizontal="right"/>
    </xf>
    <xf numFmtId="172" fontId="68" fillId="17" borderId="1" xfId="3" applyNumberFormat="1" applyFont="1" applyFill="1" applyBorder="1" applyProtection="1"/>
    <xf numFmtId="172" fontId="68" fillId="0" borderId="1" xfId="3" applyNumberFormat="1" applyFont="1" applyFill="1" applyBorder="1" applyProtection="1">
      <protection locked="0"/>
    </xf>
    <xf numFmtId="172" fontId="33" fillId="0" borderId="1" xfId="3" applyNumberFormat="1" applyFont="1" applyFill="1" applyBorder="1" applyProtection="1">
      <protection locked="0"/>
    </xf>
    <xf numFmtId="172" fontId="33" fillId="17" borderId="1" xfId="3" applyNumberFormat="1" applyFont="1" applyFill="1" applyBorder="1" applyProtection="1"/>
    <xf numFmtId="172" fontId="70" fillId="0" borderId="1" xfId="3" applyNumberFormat="1" applyFont="1" applyFill="1" applyBorder="1" applyProtection="1">
      <protection locked="0"/>
    </xf>
    <xf numFmtId="172" fontId="59" fillId="22" borderId="1" xfId="0" applyNumberFormat="1" applyFont="1" applyFill="1" applyBorder="1" applyAlignment="1">
      <alignment horizontal="right" vertical="center"/>
    </xf>
    <xf numFmtId="172" fontId="33" fillId="22" borderId="1" xfId="3" applyNumberFormat="1" applyFont="1" applyFill="1" applyBorder="1" applyProtection="1"/>
    <xf numFmtId="172" fontId="67" fillId="21" borderId="1" xfId="0" applyNumberFormat="1" applyFont="1" applyFill="1" applyBorder="1" applyAlignment="1">
      <alignment horizontal="right" vertical="center"/>
    </xf>
    <xf numFmtId="172" fontId="73" fillId="20" borderId="1" xfId="0" applyNumberFormat="1" applyFont="1" applyFill="1" applyBorder="1" applyAlignment="1">
      <alignment horizontal="right" vertical="center"/>
    </xf>
    <xf numFmtId="172" fontId="67" fillId="22" borderId="1" xfId="0" applyNumberFormat="1" applyFont="1" applyFill="1" applyBorder="1" applyAlignment="1">
      <alignment horizontal="right" vertical="center"/>
    </xf>
    <xf numFmtId="172" fontId="71" fillId="20" borderId="1" xfId="3" applyNumberFormat="1" applyFont="1" applyFill="1" applyBorder="1" applyAlignment="1" applyProtection="1">
      <alignment horizontal="right"/>
    </xf>
    <xf numFmtId="172" fontId="59" fillId="17" borderId="1" xfId="3" applyNumberFormat="1" applyFont="1" applyFill="1" applyBorder="1" applyAlignment="1" applyProtection="1">
      <alignment horizontal="right"/>
    </xf>
    <xf numFmtId="172" fontId="59" fillId="0" borderId="1" xfId="3" applyNumberFormat="1" applyFont="1" applyFill="1" applyBorder="1" applyProtection="1">
      <protection locked="0"/>
    </xf>
    <xf numFmtId="172" fontId="59" fillId="17" borderId="1" xfId="3" applyNumberFormat="1" applyFont="1" applyFill="1" applyBorder="1" applyProtection="1"/>
    <xf numFmtId="172" fontId="71" fillId="0" borderId="1" xfId="3" applyNumberFormat="1" applyFont="1" applyFill="1" applyBorder="1" applyProtection="1">
      <protection locked="0"/>
    </xf>
    <xf numFmtId="172" fontId="81" fillId="23" borderId="1" xfId="3" applyNumberFormat="1" applyFont="1" applyFill="1" applyBorder="1" applyProtection="1"/>
    <xf numFmtId="172" fontId="82" fillId="23" borderId="1" xfId="3" applyNumberFormat="1" applyFont="1" applyFill="1" applyBorder="1" applyProtection="1"/>
    <xf numFmtId="177" fontId="3" fillId="2" borderId="1" xfId="0" applyNumberFormat="1" applyFont="1" applyFill="1" applyBorder="1" applyAlignment="1" applyProtection="1">
      <alignment vertical="center" wrapText="1"/>
      <protection locked="0"/>
    </xf>
    <xf numFmtId="178" fontId="3" fillId="2" borderId="1" xfId="0" applyNumberFormat="1" applyFont="1" applyFill="1" applyBorder="1" applyAlignment="1" applyProtection="1">
      <alignment vertical="center" wrapText="1"/>
      <protection locked="0"/>
    </xf>
    <xf numFmtId="0" fontId="3" fillId="2" borderId="5" xfId="0" applyFont="1" applyFill="1" applyBorder="1" applyProtection="1">
      <protection locked="0"/>
    </xf>
    <xf numFmtId="6" fontId="32" fillId="2" borderId="1" xfId="0" applyNumberFormat="1" applyFont="1" applyFill="1" applyBorder="1" applyAlignment="1" applyProtection="1">
      <alignment horizontal="right" vertical="center" shrinkToFit="1"/>
      <protection locked="0"/>
    </xf>
    <xf numFmtId="6" fontId="0" fillId="8" borderId="1" xfId="0" applyNumberFormat="1" applyFill="1" applyBorder="1" applyAlignment="1" applyProtection="1">
      <alignment horizontal="right" vertical="center" shrinkToFit="1"/>
      <protection locked="0"/>
    </xf>
    <xf numFmtId="6" fontId="32" fillId="8" borderId="1" xfId="0" applyNumberFormat="1" applyFont="1" applyFill="1" applyBorder="1" applyAlignment="1" applyProtection="1">
      <alignment horizontal="right" vertical="center" shrinkToFit="1"/>
      <protection locked="0"/>
    </xf>
    <xf numFmtId="6" fontId="36" fillId="13" borderId="1" xfId="0" applyNumberFormat="1" applyFont="1" applyFill="1" applyBorder="1" applyAlignment="1">
      <alignment horizontal="right" vertical="center" shrinkToFit="1"/>
    </xf>
    <xf numFmtId="6" fontId="36" fillId="13" borderId="21" xfId="0" applyNumberFormat="1" applyFont="1" applyFill="1" applyBorder="1" applyAlignment="1">
      <alignment horizontal="right" vertical="center" shrinkToFit="1"/>
    </xf>
    <xf numFmtId="6" fontId="36" fillId="9" borderId="1" xfId="0" applyNumberFormat="1" applyFont="1" applyFill="1" applyBorder="1" applyAlignment="1">
      <alignment horizontal="right" vertical="center" shrinkToFit="1"/>
    </xf>
    <xf numFmtId="6" fontId="32" fillId="15" borderId="1" xfId="0" applyNumberFormat="1" applyFont="1" applyFill="1" applyBorder="1" applyAlignment="1">
      <alignment horizontal="right" vertical="center" shrinkToFit="1"/>
    </xf>
    <xf numFmtId="6" fontId="36" fillId="9" borderId="21" xfId="0" applyNumberFormat="1" applyFont="1" applyFill="1" applyBorder="1" applyAlignment="1">
      <alignment horizontal="right" vertical="center" shrinkToFit="1"/>
    </xf>
    <xf numFmtId="0" fontId="47" fillId="14" borderId="1" xfId="0" applyFont="1" applyFill="1" applyBorder="1" applyAlignment="1">
      <alignment horizontal="right" vertical="center"/>
    </xf>
    <xf numFmtId="6" fontId="47" fillId="14" borderId="1" xfId="0" applyNumberFormat="1" applyFont="1" applyFill="1" applyBorder="1" applyAlignment="1">
      <alignment horizontal="right" vertical="center"/>
    </xf>
    <xf numFmtId="6" fontId="47" fillId="14" borderId="21" xfId="0" applyNumberFormat="1" applyFont="1" applyFill="1" applyBorder="1" applyAlignment="1">
      <alignment horizontal="right" vertical="center"/>
    </xf>
    <xf numFmtId="6" fontId="36" fillId="11" borderId="1" xfId="0" applyNumberFormat="1" applyFont="1" applyFill="1" applyBorder="1" applyAlignment="1">
      <alignment horizontal="right" vertical="center" shrinkToFit="1"/>
    </xf>
    <xf numFmtId="6" fontId="36" fillId="11" borderId="21" xfId="0" applyNumberFormat="1" applyFont="1" applyFill="1" applyBorder="1" applyAlignment="1">
      <alignment horizontal="right" vertical="center" shrinkToFit="1"/>
    </xf>
    <xf numFmtId="0" fontId="47" fillId="14" borderId="21" xfId="0" applyFont="1" applyFill="1" applyBorder="1" applyAlignment="1">
      <alignment horizontal="right" vertical="center"/>
    </xf>
    <xf numFmtId="0" fontId="32" fillId="3" borderId="1" xfId="0" applyFont="1" applyFill="1" applyBorder="1" applyAlignment="1">
      <alignment horizontal="right"/>
    </xf>
    <xf numFmtId="17" fontId="0" fillId="2" borderId="1" xfId="0" applyNumberFormat="1" applyFill="1" applyBorder="1" applyAlignment="1" applyProtection="1">
      <alignment horizontal="right"/>
      <protection locked="0"/>
    </xf>
    <xf numFmtId="172" fontId="0" fillId="9" borderId="1" xfId="0" applyNumberFormat="1" applyFill="1" applyBorder="1" applyAlignment="1">
      <alignment horizontal="right"/>
    </xf>
    <xf numFmtId="6" fontId="32" fillId="9" borderId="21" xfId="0" applyNumberFormat="1" applyFont="1" applyFill="1" applyBorder="1" applyAlignment="1">
      <alignment horizontal="right" vertical="center" shrinkToFit="1"/>
    </xf>
    <xf numFmtId="6" fontId="0" fillId="9" borderId="21" xfId="0" applyNumberFormat="1" applyFill="1" applyBorder="1" applyAlignment="1">
      <alignment horizontal="right" vertical="center" shrinkToFit="1"/>
    </xf>
    <xf numFmtId="6" fontId="32" fillId="15" borderId="1" xfId="0" applyNumberFormat="1" applyFont="1" applyFill="1" applyBorder="1" applyAlignment="1">
      <alignment horizontal="center" vertical="center" shrinkToFit="1"/>
    </xf>
    <xf numFmtId="6" fontId="0" fillId="15" borderId="1" xfId="0" applyNumberFormat="1" applyFill="1" applyBorder="1" applyAlignment="1">
      <alignment horizontal="center" vertical="center" shrinkToFit="1"/>
    </xf>
    <xf numFmtId="6" fontId="32" fillId="15" borderId="21" xfId="0" applyNumberFormat="1" applyFont="1" applyFill="1" applyBorder="1" applyAlignment="1">
      <alignment horizontal="right" vertical="center" shrinkToFit="1"/>
    </xf>
    <xf numFmtId="172" fontId="0" fillId="2" borderId="1" xfId="0" applyNumberFormat="1" applyFill="1" applyBorder="1" applyAlignment="1" applyProtection="1">
      <alignment horizontal="right"/>
      <protection locked="0"/>
    </xf>
    <xf numFmtId="172" fontId="0" fillId="8" borderId="1" xfId="0" applyNumberFormat="1" applyFill="1" applyBorder="1" applyAlignment="1" applyProtection="1">
      <alignment horizontal="right"/>
      <protection locked="0"/>
    </xf>
    <xf numFmtId="1" fontId="0" fillId="9" borderId="1" xfId="0" applyNumberFormat="1" applyFill="1" applyBorder="1" applyAlignment="1">
      <alignment horizontal="right"/>
    </xf>
    <xf numFmtId="0" fontId="5" fillId="0" borderId="0" xfId="0" applyFont="1"/>
    <xf numFmtId="0" fontId="11" fillId="2" borderId="0" xfId="1" applyFont="1" applyFill="1" applyBorder="1" applyProtection="1">
      <protection locked="0"/>
    </xf>
    <xf numFmtId="0" fontId="17" fillId="2" borderId="0" xfId="1" applyFont="1" applyFill="1" applyBorder="1" applyProtection="1">
      <protection locked="0"/>
    </xf>
    <xf numFmtId="6" fontId="0" fillId="9" borderId="1" xfId="0" applyNumberFormat="1" applyFill="1" applyBorder="1" applyAlignment="1">
      <alignment horizontal="right" vertical="center" shrinkToFit="1"/>
    </xf>
    <xf numFmtId="172" fontId="0" fillId="2" borderId="1" xfId="0" applyNumberFormat="1" applyFill="1" applyBorder="1" applyProtection="1">
      <protection locked="0"/>
    </xf>
    <xf numFmtId="0" fontId="0" fillId="3" borderId="0" xfId="0" applyFill="1" applyProtection="1">
      <protection locked="0"/>
    </xf>
    <xf numFmtId="172" fontId="32" fillId="9" borderId="1" xfId="0" applyNumberFormat="1" applyFont="1" applyFill="1" applyBorder="1" applyAlignment="1">
      <alignment horizontal="right"/>
    </xf>
    <xf numFmtId="172" fontId="71" fillId="24" borderId="11" xfId="0" applyNumberFormat="1" applyFont="1" applyFill="1" applyBorder="1" applyAlignment="1" applyProtection="1">
      <alignment horizontal="right"/>
      <protection locked="0"/>
    </xf>
    <xf numFmtId="180" fontId="0" fillId="9" borderId="1" xfId="0" applyNumberFormat="1" applyFill="1" applyBorder="1" applyAlignment="1">
      <alignment horizontal="right"/>
    </xf>
    <xf numFmtId="0" fontId="6" fillId="30" borderId="1" xfId="0" applyFont="1" applyFill="1" applyBorder="1" applyAlignment="1">
      <alignment vertical="center"/>
    </xf>
    <xf numFmtId="172" fontId="0" fillId="14" borderId="1" xfId="0" applyNumberFormat="1" applyFill="1" applyBorder="1" applyAlignment="1" applyProtection="1">
      <alignment horizontal="right"/>
      <protection locked="0"/>
    </xf>
    <xf numFmtId="0" fontId="105" fillId="7" borderId="1" xfId="0" applyFont="1" applyFill="1" applyBorder="1" applyAlignment="1">
      <alignment horizontal="left" vertical="center"/>
    </xf>
    <xf numFmtId="172" fontId="89" fillId="7" borderId="1" xfId="3" applyNumberFormat="1" applyFont="1" applyFill="1" applyBorder="1" applyAlignment="1" applyProtection="1">
      <alignment horizontal="right"/>
    </xf>
    <xf numFmtId="172" fontId="89" fillId="7" borderId="1" xfId="3" applyNumberFormat="1" applyFont="1" applyFill="1" applyBorder="1" applyProtection="1"/>
    <xf numFmtId="0" fontId="105" fillId="7" borderId="1" xfId="0" applyFont="1" applyFill="1" applyBorder="1" applyAlignment="1">
      <alignment horizontal="left"/>
    </xf>
    <xf numFmtId="172" fontId="89" fillId="3" borderId="1" xfId="3" applyNumberFormat="1" applyFont="1" applyFill="1" applyBorder="1" applyProtection="1"/>
    <xf numFmtId="0" fontId="13" fillId="2" borderId="1" xfId="1" applyFill="1" applyBorder="1" applyAlignment="1" applyProtection="1">
      <alignment vertical="center" wrapText="1"/>
      <protection locked="0"/>
    </xf>
    <xf numFmtId="165" fontId="3" fillId="2" borderId="1" xfId="0" applyNumberFormat="1" applyFont="1" applyFill="1" applyBorder="1" applyAlignment="1" applyProtection="1">
      <alignment horizontal="left"/>
      <protection locked="0"/>
    </xf>
    <xf numFmtId="166" fontId="0" fillId="9" borderId="1" xfId="0" applyNumberFormat="1" applyFill="1" applyBorder="1" applyAlignment="1">
      <alignment horizontal="right"/>
    </xf>
    <xf numFmtId="177" fontId="3" fillId="2" borderId="1" xfId="0" applyNumberFormat="1" applyFont="1" applyFill="1" applyBorder="1" applyAlignment="1" applyProtection="1">
      <alignment horizontal="left" vertical="center" wrapText="1"/>
      <protection locked="0"/>
    </xf>
    <xf numFmtId="172" fontId="0" fillId="9" borderId="1" xfId="0" applyNumberFormat="1" applyFill="1" applyBorder="1"/>
    <xf numFmtId="0" fontId="0" fillId="2" borderId="1" xfId="0" applyFill="1" applyBorder="1" applyAlignment="1" applyProtection="1">
      <alignment vertical="top"/>
      <protection locked="0"/>
    </xf>
    <xf numFmtId="0" fontId="4" fillId="0" borderId="1" xfId="0" applyFont="1" applyBorder="1"/>
    <xf numFmtId="49" fontId="3" fillId="31" borderId="1" xfId="0" applyNumberFormat="1" applyFont="1" applyFill="1" applyBorder="1" applyAlignment="1" applyProtection="1">
      <alignment horizontal="left"/>
      <protection locked="0"/>
    </xf>
    <xf numFmtId="0" fontId="3" fillId="31" borderId="1" xfId="0" applyFont="1" applyFill="1" applyBorder="1" applyProtection="1">
      <protection locked="0"/>
    </xf>
    <xf numFmtId="165" fontId="0" fillId="31" borderId="1" xfId="0" applyNumberFormat="1" applyFill="1" applyBorder="1" applyProtection="1">
      <protection locked="0"/>
    </xf>
    <xf numFmtId="0" fontId="3" fillId="31" borderId="1" xfId="0" applyFont="1" applyFill="1" applyBorder="1" applyAlignment="1" applyProtection="1">
      <alignment vertical="center" wrapText="1"/>
      <protection locked="0"/>
    </xf>
    <xf numFmtId="165" fontId="3" fillId="31" borderId="1" xfId="0" applyNumberFormat="1" applyFont="1" applyFill="1" applyBorder="1" applyAlignment="1" applyProtection="1">
      <alignment vertical="center" wrapText="1"/>
      <protection locked="0"/>
    </xf>
    <xf numFmtId="177" fontId="3" fillId="31" borderId="1" xfId="0" applyNumberFormat="1" applyFont="1" applyFill="1" applyBorder="1" applyAlignment="1" applyProtection="1">
      <alignment vertical="center" wrapText="1"/>
      <protection locked="0"/>
    </xf>
    <xf numFmtId="165" fontId="3" fillId="31" borderId="1" xfId="0" applyNumberFormat="1" applyFont="1" applyFill="1" applyBorder="1" applyProtection="1">
      <protection locked="0"/>
    </xf>
    <xf numFmtId="38" fontId="0" fillId="0" borderId="0" xfId="0" applyNumberFormat="1"/>
    <xf numFmtId="0" fontId="0" fillId="0" borderId="0" xfId="0" applyAlignment="1">
      <alignment horizontal="right"/>
    </xf>
    <xf numFmtId="172" fontId="3" fillId="2" borderId="1" xfId="0" applyNumberFormat="1" applyFont="1" applyFill="1" applyBorder="1" applyAlignment="1" applyProtection="1">
      <alignment vertical="center" wrapText="1"/>
      <protection locked="0"/>
    </xf>
    <xf numFmtId="166" fontId="88" fillId="3" borderId="0" xfId="2" applyNumberFormat="1" applyFont="1" applyFill="1" applyBorder="1" applyProtection="1"/>
    <xf numFmtId="183" fontId="0" fillId="9" borderId="1" xfId="0" applyNumberFormat="1" applyFill="1" applyBorder="1" applyAlignment="1">
      <alignment horizontal="right"/>
    </xf>
    <xf numFmtId="0" fontId="19" fillId="2" borderId="0" xfId="0" applyFont="1" applyFill="1"/>
    <xf numFmtId="0" fontId="33" fillId="4" borderId="0" xfId="0" applyFont="1" applyFill="1"/>
    <xf numFmtId="166" fontId="32" fillId="2" borderId="1" xfId="0" applyNumberFormat="1" applyFont="1" applyFill="1" applyBorder="1" applyAlignment="1" applyProtection="1">
      <alignment horizontal="right"/>
      <protection locked="0"/>
    </xf>
    <xf numFmtId="10" fontId="32" fillId="2" borderId="1" xfId="0" applyNumberFormat="1" applyFont="1" applyFill="1" applyBorder="1" applyAlignment="1" applyProtection="1">
      <alignment horizontal="right"/>
      <protection locked="0"/>
    </xf>
    <xf numFmtId="0" fontId="38" fillId="0" borderId="0" xfId="0" applyFont="1" applyAlignment="1">
      <alignment vertical="center"/>
    </xf>
    <xf numFmtId="167" fontId="0" fillId="31" borderId="0" xfId="0" applyNumberFormat="1" applyFill="1" applyAlignment="1">
      <alignment horizontal="center"/>
    </xf>
    <xf numFmtId="167" fontId="0" fillId="6" borderId="0" xfId="0" applyNumberFormat="1" applyFill="1" applyAlignment="1">
      <alignment horizontal="center"/>
    </xf>
    <xf numFmtId="6" fontId="0" fillId="0" borderId="0" xfId="0" applyNumberFormat="1"/>
    <xf numFmtId="0" fontId="0" fillId="31" borderId="0" xfId="0" applyFill="1"/>
    <xf numFmtId="6" fontId="0" fillId="31" borderId="0" xfId="0" applyNumberFormat="1" applyFill="1"/>
    <xf numFmtId="0" fontId="99" fillId="24" borderId="0" xfId="0" applyFont="1" applyFill="1"/>
    <xf numFmtId="0" fontId="3" fillId="2" borderId="28" xfId="0" applyFont="1" applyFill="1" applyBorder="1" applyAlignment="1" applyProtection="1">
      <alignment vertical="center"/>
      <protection locked="0"/>
    </xf>
    <xf numFmtId="0" fontId="68" fillId="2" borderId="0" xfId="0" applyFont="1" applyFill="1"/>
    <xf numFmtId="0" fontId="68" fillId="24" borderId="0" xfId="0" applyFont="1" applyFill="1"/>
    <xf numFmtId="0" fontId="68" fillId="4" borderId="0" xfId="0" applyFont="1" applyFill="1"/>
    <xf numFmtId="0" fontId="32" fillId="6" borderId="0" xfId="0" applyFont="1" applyFill="1"/>
    <xf numFmtId="172" fontId="71" fillId="17" borderId="1" xfId="3" applyNumberFormat="1" applyFont="1" applyFill="1" applyBorder="1"/>
    <xf numFmtId="0" fontId="0" fillId="6" borderId="1" xfId="0" applyFill="1" applyBorder="1"/>
    <xf numFmtId="0" fontId="0" fillId="33" borderId="1" xfId="0" applyFill="1" applyBorder="1"/>
    <xf numFmtId="0" fontId="103" fillId="0" borderId="1" xfId="0" applyFont="1" applyBorder="1"/>
    <xf numFmtId="0" fontId="102" fillId="0" borderId="1" xfId="0" applyFont="1" applyBorder="1"/>
    <xf numFmtId="0" fontId="4" fillId="0" borderId="1" xfId="0" applyFont="1" applyBorder="1" applyAlignment="1">
      <alignment horizontal="left" vertical="center"/>
    </xf>
    <xf numFmtId="0" fontId="4" fillId="0" borderId="1" xfId="0" applyFont="1" applyBorder="1" applyAlignment="1">
      <alignment vertical="center"/>
    </xf>
    <xf numFmtId="6" fontId="0" fillId="0" borderId="1" xfId="0" applyNumberFormat="1" applyBorder="1"/>
    <xf numFmtId="0" fontId="70" fillId="4" borderId="0" xfId="0" applyFont="1" applyFill="1"/>
    <xf numFmtId="0" fontId="0" fillId="2" borderId="21" xfId="0" applyFill="1" applyBorder="1" applyProtection="1">
      <protection locked="0"/>
    </xf>
    <xf numFmtId="0" fontId="0" fillId="34" borderId="0" xfId="0" applyFill="1"/>
    <xf numFmtId="0" fontId="4" fillId="35" borderId="0" xfId="0" applyFont="1" applyFill="1"/>
    <xf numFmtId="0" fontId="4" fillId="0" borderId="0" xfId="0" applyFont="1" applyAlignment="1">
      <alignment vertical="top"/>
    </xf>
    <xf numFmtId="14" fontId="4" fillId="0" borderId="0" xfId="0" applyNumberFormat="1" applyFont="1" applyAlignment="1">
      <alignment vertical="top"/>
    </xf>
    <xf numFmtId="0" fontId="4" fillId="0" borderId="0" xfId="0" applyFont="1" applyAlignment="1">
      <alignment vertical="top" wrapText="1"/>
    </xf>
    <xf numFmtId="0" fontId="0" fillId="0" borderId="0" xfId="0" applyAlignment="1">
      <alignment vertical="top"/>
    </xf>
    <xf numFmtId="14" fontId="0" fillId="0" borderId="0" xfId="0" applyNumberFormat="1" applyAlignment="1">
      <alignment vertical="top"/>
    </xf>
    <xf numFmtId="0" fontId="0" fillId="0" borderId="0" xfId="0" applyAlignment="1">
      <alignment vertical="top" wrapText="1"/>
    </xf>
    <xf numFmtId="0" fontId="14" fillId="0" borderId="0" xfId="0" applyFont="1" applyAlignment="1">
      <alignment horizontal="left" vertical="top" wrapText="1"/>
    </xf>
    <xf numFmtId="14" fontId="0" fillId="0" borderId="0" xfId="0" applyNumberFormat="1" applyAlignment="1">
      <alignment vertical="top" wrapText="1"/>
    </xf>
    <xf numFmtId="1" fontId="4" fillId="0" borderId="0" xfId="0" applyNumberFormat="1" applyFont="1" applyAlignment="1">
      <alignment horizontal="right" vertical="top" wrapText="1"/>
    </xf>
    <xf numFmtId="1" fontId="0" fillId="0" borderId="0" xfId="0" applyNumberFormat="1" applyAlignment="1">
      <alignment horizontal="right" vertical="top"/>
    </xf>
    <xf numFmtId="0" fontId="0" fillId="0" borderId="0" xfId="0" quotePrefix="1" applyAlignment="1">
      <alignment vertical="top" wrapText="1"/>
    </xf>
    <xf numFmtId="0" fontId="110" fillId="3" borderId="0" xfId="0" applyFont="1" applyFill="1" applyAlignment="1">
      <alignment vertical="top"/>
    </xf>
    <xf numFmtId="0" fontId="110" fillId="3" borderId="0" xfId="0" applyFont="1" applyFill="1" applyAlignment="1">
      <alignment vertical="top" wrapText="1"/>
    </xf>
    <xf numFmtId="0" fontId="15" fillId="3" borderId="0" xfId="0" applyFont="1" applyFill="1" applyAlignment="1">
      <alignment vertical="top" wrapText="1"/>
    </xf>
    <xf numFmtId="0" fontId="42" fillId="3" borderId="0" xfId="0" applyFont="1" applyFill="1" applyAlignment="1">
      <alignment vertical="top" wrapText="1"/>
    </xf>
    <xf numFmtId="0" fontId="15" fillId="3" borderId="0" xfId="0" applyFont="1" applyFill="1" applyAlignment="1">
      <alignment vertical="top"/>
    </xf>
    <xf numFmtId="14" fontId="4" fillId="0" borderId="0" xfId="0" applyNumberFormat="1" applyFont="1" applyAlignment="1">
      <alignment vertical="top" wrapText="1"/>
    </xf>
    <xf numFmtId="1" fontId="0" fillId="0" borderId="0" xfId="0" applyNumberFormat="1" applyAlignment="1">
      <alignment horizontal="right" vertical="top" wrapText="1"/>
    </xf>
    <xf numFmtId="0" fontId="32" fillId="2" borderId="0" xfId="0" applyFont="1" applyFill="1" applyAlignment="1">
      <alignment horizontal="left" wrapText="1"/>
    </xf>
    <xf numFmtId="0" fontId="0" fillId="3" borderId="4" xfId="0" applyFill="1" applyBorder="1" applyAlignment="1">
      <alignment horizontal="right"/>
    </xf>
    <xf numFmtId="173" fontId="4" fillId="9" borderId="1" xfId="0" applyNumberFormat="1" applyFont="1" applyFill="1" applyBorder="1"/>
    <xf numFmtId="185" fontId="4" fillId="9" borderId="1" xfId="0" applyNumberFormat="1" applyFont="1" applyFill="1" applyBorder="1"/>
    <xf numFmtId="172" fontId="0" fillId="3" borderId="4" xfId="0" applyNumberFormat="1" applyFill="1" applyBorder="1" applyAlignment="1">
      <alignment horizontal="right"/>
    </xf>
    <xf numFmtId="172" fontId="0" fillId="3" borderId="0" xfId="0" applyNumberFormat="1" applyFill="1"/>
    <xf numFmtId="173" fontId="0" fillId="3" borderId="0" xfId="0" applyNumberFormat="1" applyFill="1"/>
    <xf numFmtId="0" fontId="29" fillId="7" borderId="0" xfId="0" applyFont="1" applyFill="1" applyProtection="1">
      <protection locked="0"/>
    </xf>
    <xf numFmtId="172" fontId="0" fillId="3" borderId="0" xfId="0" applyNumberFormat="1" applyFill="1" applyProtection="1">
      <protection locked="0"/>
    </xf>
    <xf numFmtId="172" fontId="68" fillId="9" borderId="11" xfId="0" applyNumberFormat="1" applyFont="1" applyFill="1" applyBorder="1"/>
    <xf numFmtId="185" fontId="0" fillId="9" borderId="1" xfId="0" applyNumberFormat="1" applyFill="1" applyBorder="1"/>
    <xf numFmtId="172" fontId="4" fillId="9" borderId="1" xfId="0" applyNumberFormat="1" applyFont="1" applyFill="1" applyBorder="1"/>
    <xf numFmtId="181" fontId="88" fillId="3" borderId="0" xfId="0" applyNumberFormat="1" applyFont="1" applyFill="1"/>
    <xf numFmtId="185" fontId="88" fillId="3" borderId="0" xfId="0" applyNumberFormat="1" applyFont="1" applyFill="1"/>
    <xf numFmtId="172" fontId="4" fillId="3" borderId="0" xfId="0" applyNumberFormat="1" applyFont="1" applyFill="1"/>
    <xf numFmtId="172" fontId="111" fillId="3" borderId="0" xfId="0" applyNumberFormat="1" applyFont="1" applyFill="1"/>
    <xf numFmtId="172" fontId="111" fillId="3" borderId="0" xfId="0" applyNumberFormat="1" applyFont="1" applyFill="1" applyAlignment="1">
      <alignment horizontal="left" vertical="top"/>
    </xf>
    <xf numFmtId="181" fontId="4" fillId="9" borderId="1" xfId="0" applyNumberFormat="1" applyFont="1" applyFill="1" applyBorder="1" applyProtection="1">
      <protection locked="0"/>
    </xf>
    <xf numFmtId="1" fontId="0" fillId="9" borderId="1" xfId="0" applyNumberFormat="1" applyFill="1" applyBorder="1" applyAlignment="1">
      <alignment horizontal="center"/>
    </xf>
    <xf numFmtId="14" fontId="0" fillId="0" borderId="2" xfId="0" applyNumberFormat="1" applyBorder="1" applyAlignment="1">
      <alignment vertical="top"/>
    </xf>
    <xf numFmtId="1" fontId="0" fillId="0" borderId="2" xfId="0" applyNumberFormat="1" applyBorder="1" applyAlignment="1">
      <alignment horizontal="right" vertical="top"/>
    </xf>
    <xf numFmtId="14" fontId="0" fillId="0" borderId="2" xfId="0" applyNumberFormat="1" applyBorder="1" applyAlignment="1">
      <alignment vertical="top" wrapText="1"/>
    </xf>
    <xf numFmtId="0" fontId="0" fillId="0" borderId="2" xfId="0" applyBorder="1" applyAlignment="1">
      <alignment vertical="top" wrapText="1"/>
    </xf>
    <xf numFmtId="0" fontId="0" fillId="0" borderId="2" xfId="0" applyBorder="1" applyAlignment="1">
      <alignment vertical="top"/>
    </xf>
    <xf numFmtId="0" fontId="32" fillId="0" borderId="0" xfId="0" applyFont="1" applyAlignment="1">
      <alignment vertical="top" wrapText="1"/>
    </xf>
    <xf numFmtId="187" fontId="0" fillId="9" borderId="1" xfId="0" applyNumberFormat="1" applyFill="1" applyBorder="1"/>
    <xf numFmtId="4" fontId="0" fillId="9" borderId="1" xfId="0" applyNumberFormat="1" applyFill="1" applyBorder="1"/>
    <xf numFmtId="0" fontId="113" fillId="2" borderId="0" xfId="1" applyFont="1" applyFill="1" applyBorder="1" applyProtection="1">
      <protection locked="0"/>
    </xf>
    <xf numFmtId="6" fontId="0" fillId="9" borderId="1" xfId="0" applyNumberFormat="1" applyFill="1" applyBorder="1" applyAlignment="1">
      <alignment horizontal="right"/>
    </xf>
    <xf numFmtId="0" fontId="36" fillId="0" borderId="51" xfId="0" applyFont="1" applyBorder="1" applyAlignment="1">
      <alignment horizontal="center"/>
    </xf>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0" xfId="0" applyFont="1" applyFill="1"/>
    <xf numFmtId="0" fontId="32" fillId="37" borderId="18" xfId="0" applyFont="1" applyFill="1" applyBorder="1" applyAlignment="1">
      <alignment vertical="center"/>
    </xf>
    <xf numFmtId="0" fontId="32" fillId="37" borderId="18" xfId="0" applyFont="1" applyFill="1" applyBorder="1" applyAlignment="1">
      <alignment horizontal="left" vertical="center"/>
    </xf>
    <xf numFmtId="0" fontId="32" fillId="37" borderId="18" xfId="0" applyFont="1" applyFill="1" applyBorder="1"/>
    <xf numFmtId="0" fontId="32" fillId="37" borderId="0" xfId="0" applyFont="1" applyFill="1" applyAlignment="1">
      <alignment horizontal="left"/>
    </xf>
    <xf numFmtId="0" fontId="36" fillId="39" borderId="30" xfId="0" applyFont="1" applyFill="1" applyBorder="1"/>
    <xf numFmtId="0" fontId="36" fillId="38" borderId="30" xfId="0" applyFont="1" applyFill="1" applyBorder="1"/>
    <xf numFmtId="0" fontId="36" fillId="0" borderId="51" xfId="0" applyFont="1" applyBorder="1" applyAlignment="1">
      <alignment horizontal="left"/>
    </xf>
    <xf numFmtId="0" fontId="36" fillId="0" borderId="51" xfId="0" applyFont="1" applyBorder="1" applyAlignment="1">
      <alignment horizontal="center" vertical="top"/>
    </xf>
    <xf numFmtId="0" fontId="0" fillId="0" borderId="0" xfId="0" applyAlignment="1">
      <alignment horizontal="center" vertical="top"/>
    </xf>
    <xf numFmtId="0" fontId="36" fillId="39" borderId="30" xfId="0" applyFont="1" applyFill="1" applyBorder="1" applyAlignment="1">
      <alignment horizontal="center" vertical="top"/>
    </xf>
    <xf numFmtId="0" fontId="32" fillId="9" borderId="1" xfId="0" applyFont="1" applyFill="1" applyBorder="1" applyAlignment="1">
      <alignment horizontal="center" vertical="top"/>
    </xf>
    <xf numFmtId="0" fontId="36" fillId="38" borderId="30" xfId="0" applyFont="1" applyFill="1" applyBorder="1" applyAlignment="1">
      <alignment horizontal="center" vertical="top"/>
    </xf>
    <xf numFmtId="0" fontId="32" fillId="37" borderId="0" xfId="0" applyFont="1" applyFill="1" applyAlignment="1">
      <alignment horizontal="left" vertical="top"/>
    </xf>
    <xf numFmtId="0" fontId="36" fillId="0" borderId="51" xfId="0" applyFont="1" applyBorder="1" applyAlignment="1">
      <alignment horizontal="left" vertical="top"/>
    </xf>
    <xf numFmtId="9" fontId="32" fillId="37" borderId="0" xfId="2" applyFont="1" applyFill="1" applyAlignment="1">
      <alignment horizontal="left" vertical="top"/>
    </xf>
    <xf numFmtId="0" fontId="32" fillId="37" borderId="0" xfId="2" applyNumberFormat="1" applyFont="1" applyFill="1" applyAlignment="1">
      <alignment horizontal="left" vertical="top"/>
    </xf>
    <xf numFmtId="0" fontId="0" fillId="0" borderId="0" xfId="0" applyAlignment="1">
      <alignment horizontal="left" vertical="top"/>
    </xf>
    <xf numFmtId="49" fontId="0" fillId="9" borderId="1" xfId="0" applyNumberFormat="1" applyFill="1" applyBorder="1"/>
    <xf numFmtId="0" fontId="32" fillId="36" borderId="1" xfId="0" applyFont="1" applyFill="1" applyBorder="1"/>
    <xf numFmtId="0" fontId="32" fillId="36" borderId="1" xfId="0" applyFont="1" applyFill="1" applyBorder="1" applyAlignment="1">
      <alignment horizontal="left" vertical="top"/>
    </xf>
    <xf numFmtId="0" fontId="32" fillId="36" borderId="1" xfId="0" applyFont="1" applyFill="1" applyBorder="1" applyAlignment="1">
      <alignment horizontal="center" vertical="top"/>
    </xf>
    <xf numFmtId="0" fontId="70" fillId="2" borderId="0" xfId="0" applyFont="1" applyFill="1"/>
    <xf numFmtId="0" fontId="20" fillId="2" borderId="2" xfId="0" applyFont="1" applyFill="1" applyBorder="1"/>
    <xf numFmtId="0" fontId="20" fillId="2" borderId="0" xfId="0" applyFont="1" applyFill="1" applyAlignment="1">
      <alignment horizontal="left" wrapText="1"/>
    </xf>
    <xf numFmtId="9" fontId="20" fillId="2" borderId="0" xfId="0" applyNumberFormat="1" applyFont="1" applyFill="1"/>
    <xf numFmtId="0" fontId="20" fillId="0" borderId="0" xfId="0" applyFont="1"/>
    <xf numFmtId="0" fontId="32" fillId="37" borderId="0" xfId="0" applyFont="1" applyFill="1" applyAlignment="1">
      <alignment horizontal="right" vertical="top"/>
    </xf>
    <xf numFmtId="0" fontId="0" fillId="9" borderId="5" xfId="0" applyFill="1" applyBorder="1"/>
    <xf numFmtId="0" fontId="0" fillId="2" borderId="30" xfId="0" applyFill="1" applyBorder="1" applyProtection="1">
      <protection locked="0"/>
    </xf>
    <xf numFmtId="0" fontId="0" fillId="2" borderId="22" xfId="0" applyFill="1" applyBorder="1" applyProtection="1">
      <protection locked="0"/>
    </xf>
    <xf numFmtId="6" fontId="0" fillId="9" borderId="21" xfId="0" applyNumberFormat="1" applyFill="1" applyBorder="1"/>
    <xf numFmtId="6" fontId="0" fillId="9" borderId="30" xfId="0" applyNumberFormat="1" applyFill="1" applyBorder="1"/>
    <xf numFmtId="6" fontId="0" fillId="9" borderId="22" xfId="0" applyNumberFormat="1" applyFill="1" applyBorder="1"/>
    <xf numFmtId="0" fontId="23" fillId="13" borderId="22" xfId="0" applyFont="1" applyFill="1" applyBorder="1" applyAlignment="1">
      <alignment horizontal="left" vertical="center"/>
    </xf>
    <xf numFmtId="0" fontId="44" fillId="12" borderId="22" xfId="0" applyFont="1" applyFill="1" applyBorder="1" applyAlignment="1">
      <alignment horizontal="left" vertical="center"/>
    </xf>
    <xf numFmtId="0" fontId="23" fillId="11" borderId="30" xfId="0" applyFont="1" applyFill="1" applyBorder="1" applyAlignment="1">
      <alignment horizontal="right" vertical="center"/>
    </xf>
    <xf numFmtId="0" fontId="23" fillId="11" borderId="22" xfId="0" applyFont="1" applyFill="1" applyBorder="1" applyAlignment="1">
      <alignment horizontal="right" vertical="center"/>
    </xf>
    <xf numFmtId="0" fontId="50" fillId="13" borderId="22" xfId="0" applyFont="1" applyFill="1" applyBorder="1" applyAlignment="1">
      <alignment horizontal="left" vertical="center"/>
    </xf>
    <xf numFmtId="0" fontId="44" fillId="12" borderId="30" xfId="0" applyFont="1" applyFill="1" applyBorder="1" applyAlignment="1">
      <alignment horizontal="left" vertical="center"/>
    </xf>
    <xf numFmtId="0" fontId="47" fillId="14" borderId="30" xfId="0" applyFont="1" applyFill="1" applyBorder="1" applyAlignment="1">
      <alignment vertical="center"/>
    </xf>
    <xf numFmtId="0" fontId="50" fillId="13" borderId="30" xfId="0" applyFont="1" applyFill="1" applyBorder="1" applyAlignment="1">
      <alignment horizontal="right" vertical="center"/>
    </xf>
    <xf numFmtId="0" fontId="44" fillId="12" borderId="22" xfId="0" applyFont="1" applyFill="1" applyBorder="1" applyAlignment="1">
      <alignment vertical="center"/>
    </xf>
    <xf numFmtId="0" fontId="0" fillId="2" borderId="0" xfId="0" applyFill="1" applyAlignment="1">
      <alignment horizontal="left" vertical="center"/>
    </xf>
    <xf numFmtId="0" fontId="32" fillId="2" borderId="0" xfId="0" applyFont="1" applyFill="1" applyAlignment="1">
      <alignment horizontal="left" vertical="center"/>
    </xf>
    <xf numFmtId="0" fontId="32" fillId="2" borderId="0" xfId="0" applyFont="1" applyFill="1" applyAlignment="1">
      <alignment vertical="center"/>
    </xf>
    <xf numFmtId="0" fontId="115" fillId="2" borderId="0" xfId="0" applyFont="1" applyFill="1" applyAlignment="1">
      <alignment vertical="center"/>
    </xf>
    <xf numFmtId="0" fontId="7" fillId="2" borderId="0" xfId="0" applyFont="1" applyFill="1"/>
    <xf numFmtId="0" fontId="22" fillId="2" borderId="0" xfId="0" applyFont="1" applyFill="1"/>
    <xf numFmtId="0" fontId="0" fillId="2" borderId="0" xfId="0" applyFill="1" applyProtection="1">
      <protection locked="0"/>
    </xf>
    <xf numFmtId="0" fontId="36" fillId="40" borderId="5" xfId="0" applyFont="1" applyFill="1" applyBorder="1" applyAlignment="1">
      <alignment horizontal="center" vertical="center" wrapText="1"/>
    </xf>
    <xf numFmtId="0" fontId="36" fillId="40" borderId="1" xfId="0" applyFont="1" applyFill="1" applyBorder="1" applyAlignment="1">
      <alignment horizontal="center" vertical="center" wrapText="1"/>
    </xf>
    <xf numFmtId="0" fontId="0" fillId="2" borderId="0" xfId="0" applyFill="1" applyAlignment="1" applyProtection="1">
      <alignment wrapText="1"/>
      <protection locked="0"/>
    </xf>
    <xf numFmtId="0" fontId="32" fillId="9" borderId="1" xfId="0" applyFont="1" applyFill="1" applyBorder="1" applyAlignment="1">
      <alignment horizontal="left" vertical="center"/>
    </xf>
    <xf numFmtId="0" fontId="32" fillId="0" borderId="21" xfId="0" applyFont="1" applyBorder="1" applyAlignment="1" applyProtection="1">
      <alignment horizontal="left"/>
      <protection locked="0"/>
    </xf>
    <xf numFmtId="0" fontId="32" fillId="2" borderId="0" xfId="0" applyFont="1" applyFill="1" applyAlignment="1">
      <alignment horizontal="center"/>
    </xf>
    <xf numFmtId="0" fontId="32" fillId="0" borderId="1" xfId="0" applyFont="1" applyBorder="1" applyAlignment="1" applyProtection="1">
      <alignment horizontal="left"/>
      <protection locked="0"/>
    </xf>
    <xf numFmtId="0" fontId="20" fillId="0" borderId="1" xfId="0" applyFont="1" applyBorder="1" applyAlignment="1" applyProtection="1">
      <alignment horizontal="left"/>
      <protection locked="0"/>
    </xf>
    <xf numFmtId="0" fontId="32" fillId="9" borderId="3" xfId="0" applyFont="1" applyFill="1" applyBorder="1" applyAlignment="1">
      <alignment horizontal="left" vertical="center"/>
    </xf>
    <xf numFmtId="0" fontId="32" fillId="0" borderId="9" xfId="0" applyFont="1" applyBorder="1" applyAlignment="1" applyProtection="1">
      <alignment horizontal="left"/>
      <protection locked="0"/>
    </xf>
    <xf numFmtId="0" fontId="118" fillId="40" borderId="9" xfId="0" applyFont="1" applyFill="1" applyBorder="1" applyAlignment="1">
      <alignment horizontal="left" vertical="center"/>
    </xf>
    <xf numFmtId="0" fontId="118" fillId="40" borderId="18" xfId="0" applyFont="1" applyFill="1" applyBorder="1" applyAlignment="1">
      <alignment horizontal="left" vertical="center"/>
    </xf>
    <xf numFmtId="0" fontId="36" fillId="40" borderId="21" xfId="0" applyFont="1" applyFill="1" applyBorder="1" applyAlignment="1">
      <alignment horizontal="left" vertical="center"/>
    </xf>
    <xf numFmtId="6" fontId="32" fillId="9" borderId="1" xfId="0" applyNumberFormat="1" applyFont="1" applyFill="1" applyBorder="1" applyAlignment="1">
      <alignment horizontal="right" vertical="center" shrinkToFit="1"/>
    </xf>
    <xf numFmtId="42" fontId="32" fillId="2" borderId="1" xfId="0" applyNumberFormat="1" applyFont="1" applyFill="1" applyBorder="1" applyAlignment="1" applyProtection="1">
      <alignment horizontal="right" vertical="center" shrinkToFit="1"/>
      <protection locked="0"/>
    </xf>
    <xf numFmtId="42" fontId="32" fillId="9" borderId="1" xfId="0" applyNumberFormat="1" applyFont="1" applyFill="1" applyBorder="1" applyAlignment="1">
      <alignment horizontal="right" vertical="center" shrinkToFit="1"/>
    </xf>
    <xf numFmtId="42" fontId="32" fillId="9" borderId="1" xfId="0" applyNumberFormat="1" applyFont="1" applyFill="1" applyBorder="1" applyAlignment="1" applyProtection="1">
      <alignment horizontal="right" vertical="center" shrinkToFit="1"/>
      <protection locked="0"/>
    </xf>
    <xf numFmtId="0" fontId="20" fillId="2" borderId="0" xfId="0" applyFont="1" applyFill="1" applyAlignment="1">
      <alignment vertical="center"/>
    </xf>
    <xf numFmtId="0" fontId="32" fillId="37" borderId="21" xfId="0" applyFont="1" applyFill="1" applyBorder="1" applyAlignment="1">
      <alignment vertical="center"/>
    </xf>
    <xf numFmtId="0" fontId="32" fillId="37" borderId="30" xfId="0" applyFont="1" applyFill="1" applyBorder="1" applyAlignment="1">
      <alignment horizontal="left" vertical="center"/>
    </xf>
    <xf numFmtId="0" fontId="32" fillId="37" borderId="30" xfId="0" applyFont="1" applyFill="1" applyBorder="1" applyAlignment="1">
      <alignment horizontal="left" vertical="top"/>
    </xf>
    <xf numFmtId="0" fontId="32" fillId="37" borderId="21" xfId="0" applyFont="1" applyFill="1" applyBorder="1"/>
    <xf numFmtId="0" fontId="32" fillId="37" borderId="30" xfId="0" applyFont="1" applyFill="1" applyBorder="1"/>
    <xf numFmtId="49" fontId="0" fillId="9" borderId="5" xfId="0" applyNumberFormat="1" applyFill="1" applyBorder="1"/>
    <xf numFmtId="0" fontId="0" fillId="9" borderId="3" xfId="0" applyFill="1" applyBorder="1"/>
    <xf numFmtId="0" fontId="32" fillId="0" borderId="0" xfId="0" applyFont="1" applyAlignment="1">
      <alignment horizontal="right" vertical="center"/>
    </xf>
    <xf numFmtId="0" fontId="20" fillId="0" borderId="0" xfId="0" applyFont="1" applyAlignment="1">
      <alignment horizontal="center" vertical="top"/>
    </xf>
    <xf numFmtId="0" fontId="32" fillId="0" borderId="0" xfId="0" applyFont="1" applyAlignment="1">
      <alignment horizontal="right" vertical="top"/>
    </xf>
    <xf numFmtId="0" fontId="32" fillId="0" borderId="0" xfId="0" applyFont="1" applyAlignment="1">
      <alignment horizontal="center" vertical="top"/>
    </xf>
    <xf numFmtId="42" fontId="32" fillId="9" borderId="1" xfId="4" applyNumberFormat="1" applyFont="1" applyFill="1" applyBorder="1"/>
    <xf numFmtId="42" fontId="32" fillId="0" borderId="1" xfId="4" applyNumberFormat="1" applyFont="1" applyBorder="1" applyProtection="1">
      <protection locked="0"/>
    </xf>
    <xf numFmtId="44" fontId="32" fillId="9" borderId="1" xfId="4" applyFont="1" applyFill="1" applyBorder="1"/>
    <xf numFmtId="42" fontId="36" fillId="40" borderId="1" xfId="4" applyNumberFormat="1" applyFont="1" applyFill="1" applyBorder="1"/>
    <xf numFmtId="42" fontId="36" fillId="2" borderId="0" xfId="4" applyNumberFormat="1" applyFont="1" applyFill="1"/>
    <xf numFmtId="42" fontId="118" fillId="40" borderId="1" xfId="4" applyNumberFormat="1" applyFont="1" applyFill="1" applyBorder="1" applyAlignment="1">
      <alignment vertical="center"/>
    </xf>
    <xf numFmtId="9" fontId="32" fillId="0" borderId="1" xfId="2" applyFont="1" applyBorder="1" applyAlignment="1" applyProtection="1">
      <alignment horizontal="center"/>
      <protection locked="0"/>
    </xf>
    <xf numFmtId="0" fontId="0" fillId="0" borderId="2" xfId="0" applyBorder="1"/>
    <xf numFmtId="0" fontId="0" fillId="0" borderId="7" xfId="0" applyBorder="1"/>
    <xf numFmtId="0" fontId="0" fillId="0" borderId="8" xfId="0" applyBorder="1"/>
    <xf numFmtId="0" fontId="0" fillId="0" borderId="4" xfId="0" applyBorder="1"/>
    <xf numFmtId="0" fontId="0" fillId="0" borderId="9" xfId="0" applyBorder="1"/>
    <xf numFmtId="0" fontId="0" fillId="0" borderId="18" xfId="0" applyBorder="1"/>
    <xf numFmtId="0" fontId="32" fillId="0" borderId="10" xfId="0" applyFont="1" applyBorder="1"/>
    <xf numFmtId="0" fontId="0" fillId="6" borderId="6" xfId="0" applyFill="1" applyBorder="1"/>
    <xf numFmtId="42" fontId="36" fillId="11" borderId="1" xfId="0" applyNumberFormat="1" applyFont="1" applyFill="1" applyBorder="1" applyAlignment="1">
      <alignment horizontal="right" vertical="center" shrinkToFit="1"/>
    </xf>
    <xf numFmtId="42" fontId="36" fillId="13" borderId="1" xfId="0" applyNumberFormat="1" applyFont="1" applyFill="1" applyBorder="1" applyAlignment="1">
      <alignment horizontal="right" vertical="center" shrinkToFit="1"/>
    </xf>
    <xf numFmtId="6" fontId="32" fillId="2" borderId="1" xfId="0" applyNumberFormat="1" applyFont="1" applyFill="1" applyBorder="1" applyAlignment="1">
      <alignment horizontal="right" vertical="center" shrinkToFit="1"/>
    </xf>
    <xf numFmtId="0" fontId="50" fillId="13" borderId="21" xfId="0" applyFont="1" applyFill="1" applyBorder="1" applyAlignment="1">
      <alignment vertical="center"/>
    </xf>
    <xf numFmtId="0" fontId="42" fillId="11" borderId="18" xfId="0" applyFont="1" applyFill="1" applyBorder="1" applyAlignment="1">
      <alignment horizontal="left" vertical="center"/>
    </xf>
    <xf numFmtId="0" fontId="50" fillId="13" borderId="30" xfId="0" applyFont="1" applyFill="1" applyBorder="1" applyAlignment="1">
      <alignment vertical="center"/>
    </xf>
    <xf numFmtId="0" fontId="70" fillId="24" borderId="0" xfId="0" applyFont="1" applyFill="1"/>
    <xf numFmtId="0" fontId="20" fillId="2" borderId="18" xfId="0" applyFont="1" applyFill="1" applyBorder="1"/>
    <xf numFmtId="0" fontId="0" fillId="42" borderId="0" xfId="0" applyFill="1"/>
    <xf numFmtId="171" fontId="0" fillId="9" borderId="0" xfId="3" applyNumberFormat="1" applyFont="1" applyFill="1"/>
    <xf numFmtId="10" fontId="0" fillId="9" borderId="0" xfId="2" applyNumberFormat="1" applyFont="1" applyFill="1"/>
    <xf numFmtId="171" fontId="0" fillId="9" borderId="2" xfId="3" applyNumberFormat="1" applyFont="1" applyFill="1" applyBorder="1"/>
    <xf numFmtId="9" fontId="0" fillId="9" borderId="0" xfId="0" applyNumberFormat="1" applyFill="1"/>
    <xf numFmtId="0" fontId="0" fillId="9" borderId="0" xfId="0" applyFill="1"/>
    <xf numFmtId="10" fontId="0" fillId="9" borderId="0" xfId="0" applyNumberFormat="1" applyFill="1"/>
    <xf numFmtId="170" fontId="0" fillId="9" borderId="0" xfId="4" applyNumberFormat="1" applyFont="1" applyFill="1"/>
    <xf numFmtId="170" fontId="0" fillId="9" borderId="30" xfId="4" applyNumberFormat="1" applyFont="1" applyFill="1" applyBorder="1"/>
    <xf numFmtId="44" fontId="0" fillId="9" borderId="0" xfId="4" applyFont="1" applyFill="1"/>
    <xf numFmtId="170" fontId="0" fillId="9" borderId="0" xfId="4" applyNumberFormat="1" applyFont="1" applyFill="1" applyBorder="1"/>
    <xf numFmtId="0" fontId="46" fillId="43" borderId="22" xfId="0" applyFont="1" applyFill="1" applyBorder="1" applyAlignment="1">
      <alignment horizontal="left" vertical="center"/>
    </xf>
    <xf numFmtId="0" fontId="22" fillId="0" borderId="0" xfId="0" applyFont="1" applyAlignment="1">
      <alignment vertical="center"/>
    </xf>
    <xf numFmtId="0" fontId="22" fillId="0" borderId="0" xfId="0" applyFont="1"/>
    <xf numFmtId="0" fontId="22" fillId="0" borderId="0" xfId="0" applyFont="1" applyAlignment="1">
      <alignment horizontal="center"/>
    </xf>
    <xf numFmtId="0" fontId="21" fillId="0" borderId="18" xfId="0" applyFont="1" applyBorder="1"/>
    <xf numFmtId="0" fontId="21" fillId="0" borderId="18" xfId="0" applyFont="1" applyBorder="1" applyAlignment="1">
      <alignment horizontal="center" wrapText="1"/>
    </xf>
    <xf numFmtId="0" fontId="22" fillId="0" borderId="0" xfId="0" applyFont="1" applyAlignment="1">
      <alignment horizontal="center" wrapText="1"/>
    </xf>
    <xf numFmtId="0" fontId="38" fillId="2" borderId="0" xfId="0" applyFont="1" applyFill="1" applyAlignment="1">
      <alignment vertical="top" wrapText="1"/>
    </xf>
    <xf numFmtId="0" fontId="38" fillId="2" borderId="0" xfId="0" applyFont="1" applyFill="1"/>
    <xf numFmtId="3" fontId="32" fillId="2" borderId="0" xfId="0" applyNumberFormat="1" applyFont="1" applyFill="1"/>
    <xf numFmtId="0" fontId="67" fillId="24" borderId="0" xfId="0" applyFont="1" applyFill="1"/>
    <xf numFmtId="166" fontId="68" fillId="24" borderId="0" xfId="0" applyNumberFormat="1" applyFont="1" applyFill="1"/>
    <xf numFmtId="182" fontId="68" fillId="24" borderId="0" xfId="0" applyNumberFormat="1" applyFont="1" applyFill="1"/>
    <xf numFmtId="1" fontId="68" fillId="24" borderId="0" xfId="0" applyNumberFormat="1" applyFont="1" applyFill="1"/>
    <xf numFmtId="173" fontId="32" fillId="2" borderId="0" xfId="0" applyNumberFormat="1" applyFont="1" applyFill="1"/>
    <xf numFmtId="6" fontId="68" fillId="24" borderId="0" xfId="0" applyNumberFormat="1" applyFont="1" applyFill="1"/>
    <xf numFmtId="184" fontId="68" fillId="24" borderId="0" xfId="0" applyNumberFormat="1" applyFont="1" applyFill="1"/>
    <xf numFmtId="167" fontId="32" fillId="2" borderId="0" xfId="0" applyNumberFormat="1" applyFont="1" applyFill="1"/>
    <xf numFmtId="0" fontId="36" fillId="2" borderId="0" xfId="0" applyFont="1" applyFill="1"/>
    <xf numFmtId="184" fontId="32" fillId="2" borderId="0" xfId="0" applyNumberFormat="1" applyFont="1" applyFill="1"/>
    <xf numFmtId="0" fontId="32" fillId="2" borderId="0" xfId="0" applyFont="1" applyFill="1" applyAlignment="1">
      <alignment wrapText="1"/>
    </xf>
    <xf numFmtId="0" fontId="70" fillId="4" borderId="0" xfId="0" applyFont="1" applyFill="1" applyAlignment="1">
      <alignment horizontal="center" vertical="center" wrapText="1"/>
    </xf>
    <xf numFmtId="0" fontId="70" fillId="24" borderId="2" xfId="0" applyFont="1" applyFill="1" applyBorder="1"/>
    <xf numFmtId="0" fontId="70" fillId="2" borderId="18" xfId="0" applyFont="1" applyFill="1" applyBorder="1"/>
    <xf numFmtId="0" fontId="124" fillId="2" borderId="0" xfId="0" applyFont="1" applyFill="1"/>
    <xf numFmtId="170" fontId="0" fillId="9" borderId="18" xfId="4" applyNumberFormat="1" applyFont="1" applyFill="1" applyBorder="1"/>
    <xf numFmtId="0" fontId="32" fillId="8" borderId="11" xfId="0" applyFont="1" applyFill="1" applyBorder="1" applyAlignment="1">
      <alignment vertical="center"/>
    </xf>
    <xf numFmtId="0" fontId="32" fillId="37" borderId="69" xfId="0" applyFont="1" applyFill="1" applyBorder="1" applyAlignment="1">
      <alignment vertical="center"/>
    </xf>
    <xf numFmtId="0" fontId="32" fillId="37" borderId="70" xfId="0" applyFont="1" applyFill="1" applyBorder="1" applyAlignment="1">
      <alignment vertical="center"/>
    </xf>
    <xf numFmtId="0" fontId="32" fillId="37" borderId="71" xfId="0" applyFont="1" applyFill="1" applyBorder="1" applyAlignment="1">
      <alignment vertical="center"/>
    </xf>
    <xf numFmtId="0" fontId="36" fillId="39" borderId="11" xfId="0" applyFont="1" applyFill="1" applyBorder="1" applyAlignment="1">
      <alignment horizontal="center" vertical="center"/>
    </xf>
    <xf numFmtId="0" fontId="0" fillId="36" borderId="18" xfId="0" applyFill="1" applyBorder="1"/>
    <xf numFmtId="0" fontId="32" fillId="2" borderId="30" xfId="0" applyFont="1" applyFill="1" applyBorder="1"/>
    <xf numFmtId="1" fontId="0" fillId="0" borderId="0" xfId="0" applyNumberFormat="1"/>
    <xf numFmtId="0" fontId="0" fillId="0" borderId="0" xfId="0" applyAlignment="1">
      <alignment horizontal="right" vertical="top"/>
    </xf>
    <xf numFmtId="0" fontId="0" fillId="0" borderId="0" xfId="0" quotePrefix="1"/>
    <xf numFmtId="0" fontId="32" fillId="37" borderId="0" xfId="0" quotePrefix="1" applyFont="1" applyFill="1" applyAlignment="1">
      <alignment vertical="center"/>
    </xf>
    <xf numFmtId="0" fontId="32" fillId="0" borderId="8" xfId="0" applyFont="1" applyBorder="1"/>
    <xf numFmtId="0" fontId="36" fillId="0" borderId="8" xfId="0" applyFont="1" applyBorder="1"/>
    <xf numFmtId="0" fontId="32" fillId="0" borderId="8" xfId="0" applyFont="1" applyBorder="1" applyAlignment="1">
      <alignment vertical="center"/>
    </xf>
    <xf numFmtId="0" fontId="36" fillId="39" borderId="24" xfId="0" applyFont="1" applyFill="1" applyBorder="1" applyAlignment="1">
      <alignment horizontal="center" vertical="center"/>
    </xf>
    <xf numFmtId="0" fontId="36"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36" fillId="0" borderId="8" xfId="0" applyFont="1" applyBorder="1" applyAlignment="1">
      <alignment horizontal="center" vertical="center"/>
    </xf>
    <xf numFmtId="0" fontId="32" fillId="0" borderId="8" xfId="0" applyFont="1" applyBorder="1" applyAlignment="1">
      <alignment horizontal="center" vertical="center"/>
    </xf>
    <xf numFmtId="0" fontId="0" fillId="0" borderId="18" xfId="0" applyBorder="1" applyAlignment="1">
      <alignment horizontal="center" vertical="top"/>
    </xf>
    <xf numFmtId="0" fontId="0" fillId="0" borderId="10" xfId="0" applyBorder="1"/>
    <xf numFmtId="0" fontId="36" fillId="8" borderId="0" xfId="0" applyFont="1" applyFill="1" applyAlignment="1">
      <alignment horizontal="center" vertical="center"/>
    </xf>
    <xf numFmtId="0" fontId="0" fillId="8" borderId="8" xfId="0" applyFill="1" applyBorder="1"/>
    <xf numFmtId="0" fontId="0" fillId="8" borderId="0" xfId="0" applyFill="1"/>
    <xf numFmtId="0" fontId="32" fillId="8" borderId="0" xfId="0" applyFont="1" applyFill="1" applyAlignment="1">
      <alignment vertical="center"/>
    </xf>
    <xf numFmtId="6" fontId="32" fillId="8" borderId="0" xfId="0" applyNumberFormat="1" applyFont="1" applyFill="1" applyAlignment="1">
      <alignment vertical="center"/>
    </xf>
    <xf numFmtId="0" fontId="5" fillId="2" borderId="30" xfId="0" applyFont="1" applyFill="1" applyBorder="1"/>
    <xf numFmtId="6" fontId="36" fillId="13" borderId="1" xfId="3" applyNumberFormat="1" applyFont="1" applyFill="1" applyBorder="1" applyAlignment="1" applyProtection="1">
      <alignment horizontal="right" vertical="center" shrinkToFit="1"/>
    </xf>
    <xf numFmtId="0" fontId="32" fillId="2" borderId="0" xfId="0" applyFont="1" applyFill="1" applyAlignment="1">
      <alignment horizontal="right"/>
    </xf>
    <xf numFmtId="9" fontId="40" fillId="0" borderId="1" xfId="0" applyNumberFormat="1" applyFont="1" applyBorder="1" applyAlignment="1">
      <alignment horizontal="right" vertical="center"/>
    </xf>
    <xf numFmtId="0" fontId="116" fillId="2" borderId="0" xfId="0" applyFont="1" applyFill="1"/>
    <xf numFmtId="0" fontId="22" fillId="3" borderId="0" xfId="0" applyFont="1" applyFill="1"/>
    <xf numFmtId="0" fontId="123" fillId="3" borderId="0" xfId="0" applyFont="1" applyFill="1" applyAlignment="1">
      <alignment horizontal="right"/>
    </xf>
    <xf numFmtId="0" fontId="117" fillId="3" borderId="0" xfId="0" applyFont="1" applyFill="1" applyAlignment="1">
      <alignment horizontal="right"/>
    </xf>
    <xf numFmtId="0" fontId="114" fillId="3" borderId="0" xfId="0" applyFont="1" applyFill="1" applyAlignment="1">
      <alignment horizontal="left"/>
    </xf>
    <xf numFmtId="0" fontId="118" fillId="3" borderId="0" xfId="0" applyFont="1" applyFill="1" applyAlignment="1">
      <alignment wrapText="1"/>
    </xf>
    <xf numFmtId="0" fontId="43" fillId="3" borderId="0" xfId="0" applyFont="1" applyFill="1" applyAlignment="1">
      <alignment wrapText="1"/>
    </xf>
    <xf numFmtId="0" fontId="32" fillId="3" borderId="0" xfId="0" applyFont="1" applyFill="1" applyAlignment="1">
      <alignment horizontal="left" vertical="center" wrapText="1"/>
    </xf>
    <xf numFmtId="0" fontId="118" fillId="3" borderId="0" xfId="0" applyFont="1" applyFill="1"/>
    <xf numFmtId="0" fontId="43" fillId="3" borderId="0" xfId="0" applyFont="1" applyFill="1"/>
    <xf numFmtId="0" fontId="32" fillId="3" borderId="0" xfId="0" applyFont="1" applyFill="1" applyAlignment="1">
      <alignment horizontal="left" vertical="center"/>
    </xf>
    <xf numFmtId="0" fontId="32" fillId="3" borderId="0" xfId="0" applyFont="1" applyFill="1" applyAlignment="1">
      <alignment horizontal="left"/>
    </xf>
    <xf numFmtId="42" fontId="32" fillId="3" borderId="0" xfId="4" applyNumberFormat="1" applyFont="1" applyFill="1"/>
    <xf numFmtId="44" fontId="32" fillId="3" borderId="0" xfId="4" applyFont="1" applyFill="1"/>
    <xf numFmtId="44" fontId="36" fillId="3" borderId="0" xfId="4" applyFont="1" applyFill="1"/>
    <xf numFmtId="42" fontId="36" fillId="3" borderId="0" xfId="4" applyNumberFormat="1" applyFont="1" applyFill="1"/>
    <xf numFmtId="0" fontId="121" fillId="3" borderId="0" xfId="0" applyFont="1" applyFill="1"/>
    <xf numFmtId="0" fontId="20" fillId="3" borderId="0" xfId="0" applyFont="1" applyFill="1" applyProtection="1">
      <protection locked="0"/>
    </xf>
    <xf numFmtId="44" fontId="120" fillId="3" borderId="0" xfId="4" applyFont="1" applyFill="1"/>
    <xf numFmtId="0" fontId="20" fillId="3" borderId="0" xfId="0" applyFont="1" applyFill="1" applyAlignment="1">
      <alignment horizontal="left" vertical="center"/>
    </xf>
    <xf numFmtId="0" fontId="20" fillId="3" borderId="0" xfId="0" applyFont="1" applyFill="1" applyAlignment="1">
      <alignment horizontal="left"/>
    </xf>
    <xf numFmtId="0" fontId="0" fillId="0" borderId="10" xfId="0" quotePrefix="1" applyBorder="1"/>
    <xf numFmtId="0" fontId="5" fillId="2" borderId="0" xfId="0" applyFont="1" applyFill="1" applyAlignment="1">
      <alignment horizontal="left" indent="1"/>
    </xf>
    <xf numFmtId="168" fontId="5" fillId="2" borderId="0" xfId="0" applyNumberFormat="1" applyFont="1" applyFill="1" applyAlignment="1">
      <alignment horizontal="left" indent="1"/>
    </xf>
    <xf numFmtId="172" fontId="70" fillId="0" borderId="1" xfId="3" applyNumberFormat="1" applyFont="1" applyBorder="1" applyProtection="1">
      <protection locked="0"/>
    </xf>
    <xf numFmtId="0" fontId="88" fillId="2" borderId="0" xfId="0" applyFont="1" applyFill="1"/>
    <xf numFmtId="0" fontId="0" fillId="31" borderId="1" xfId="0" applyFill="1" applyBorder="1" applyAlignment="1" applyProtection="1">
      <alignment vertical="center" wrapText="1"/>
      <protection locked="0"/>
    </xf>
    <xf numFmtId="0" fontId="14" fillId="2" borderId="0" xfId="0" applyFont="1" applyFill="1"/>
    <xf numFmtId="171" fontId="0" fillId="9" borderId="0" xfId="0" applyNumberFormat="1" applyFill="1"/>
    <xf numFmtId="0" fontId="127" fillId="0" borderId="0" xfId="0" applyFont="1" applyAlignment="1">
      <alignment vertical="center"/>
    </xf>
    <xf numFmtId="0" fontId="4" fillId="45" borderId="21" xfId="0" applyFont="1" applyFill="1" applyBorder="1" applyAlignment="1">
      <alignment vertical="center"/>
    </xf>
    <xf numFmtId="0" fontId="4" fillId="45" borderId="30" xfId="0" applyFont="1" applyFill="1" applyBorder="1" applyAlignment="1">
      <alignment vertical="center"/>
    </xf>
    <xf numFmtId="0" fontId="0" fillId="9" borderId="21" xfId="0" applyFill="1" applyBorder="1" applyAlignment="1">
      <alignment vertical="center"/>
    </xf>
    <xf numFmtId="0" fontId="0" fillId="9" borderId="30" xfId="0" applyFill="1" applyBorder="1" applyAlignment="1">
      <alignment vertical="center"/>
    </xf>
    <xf numFmtId="44" fontId="129" fillId="9" borderId="1" xfId="4" applyFont="1" applyFill="1" applyBorder="1"/>
    <xf numFmtId="42" fontId="4" fillId="45" borderId="21" xfId="4" applyNumberFormat="1" applyFont="1" applyFill="1" applyBorder="1" applyAlignment="1" applyProtection="1">
      <alignment horizontal="left" vertical="center"/>
    </xf>
    <xf numFmtId="42" fontId="4" fillId="45" borderId="22" xfId="4" applyNumberFormat="1" applyFont="1" applyFill="1" applyBorder="1" applyAlignment="1" applyProtection="1">
      <alignment horizontal="left" vertical="center"/>
    </xf>
    <xf numFmtId="0" fontId="4" fillId="45" borderId="22" xfId="0" applyFont="1" applyFill="1" applyBorder="1" applyAlignment="1">
      <alignment vertical="center"/>
    </xf>
    <xf numFmtId="0" fontId="100" fillId="5" borderId="57" xfId="0" applyFont="1" applyFill="1" applyBorder="1"/>
    <xf numFmtId="170" fontId="100" fillId="5" borderId="57" xfId="0" applyNumberFormat="1" applyFont="1" applyFill="1" applyBorder="1"/>
    <xf numFmtId="10" fontId="0" fillId="6" borderId="0" xfId="0" applyNumberFormat="1" applyFill="1"/>
    <xf numFmtId="0" fontId="3" fillId="2" borderId="1" xfId="0" applyFont="1" applyFill="1" applyBorder="1" applyAlignment="1" applyProtection="1">
      <alignment horizontal="right"/>
      <protection locked="0"/>
    </xf>
    <xf numFmtId="42" fontId="0" fillId="45" borderId="1" xfId="4" applyNumberFormat="1" applyFont="1" applyFill="1" applyBorder="1" applyAlignment="1">
      <alignment horizontal="center" vertical="center"/>
    </xf>
    <xf numFmtId="8" fontId="32" fillId="12" borderId="1" xfId="4" applyNumberFormat="1" applyFont="1" applyFill="1" applyBorder="1" applyAlignment="1" applyProtection="1">
      <alignment vertical="center"/>
    </xf>
    <xf numFmtId="8" fontId="47" fillId="14" borderId="1" xfId="4" applyNumberFormat="1" applyFont="1" applyFill="1" applyBorder="1" applyAlignment="1" applyProtection="1">
      <alignment horizontal="right" vertical="center"/>
    </xf>
    <xf numFmtId="8" fontId="36" fillId="9" borderId="1" xfId="4" applyNumberFormat="1" applyFont="1" applyFill="1" applyBorder="1" applyAlignment="1" applyProtection="1">
      <alignment horizontal="right" vertical="center" shrinkToFit="1"/>
    </xf>
    <xf numFmtId="0" fontId="0" fillId="0" borderId="0" xfId="0" applyAlignment="1">
      <alignment horizontal="left" vertical="center" wrapText="1"/>
    </xf>
    <xf numFmtId="0" fontId="0" fillId="0" borderId="20" xfId="0" applyBorder="1" applyAlignment="1">
      <alignment horizontal="left" vertical="center" wrapText="1"/>
    </xf>
    <xf numFmtId="0" fontId="21" fillId="0" borderId="0" xfId="0" applyFont="1" applyAlignment="1">
      <alignment horizontal="center" wrapText="1"/>
    </xf>
    <xf numFmtId="1" fontId="62" fillId="0" borderId="0" xfId="0" applyNumberFormat="1" applyFont="1" applyAlignment="1">
      <alignment vertical="top" shrinkToFit="1"/>
    </xf>
    <xf numFmtId="1" fontId="62" fillId="0" borderId="19" xfId="0" applyNumberFormat="1" applyFont="1" applyBorder="1" applyAlignment="1">
      <alignment vertical="top" shrinkToFit="1"/>
    </xf>
    <xf numFmtId="0" fontId="64" fillId="0" borderId="20" xfId="0" applyFont="1" applyBorder="1" applyAlignment="1">
      <alignment vertical="top" wrapText="1"/>
    </xf>
    <xf numFmtId="10" fontId="0" fillId="9" borderId="0" xfId="0" applyNumberFormat="1" applyFill="1" applyAlignment="1">
      <alignment horizontal="right"/>
    </xf>
    <xf numFmtId="2" fontId="3" fillId="31" borderId="1" xfId="0" applyNumberFormat="1" applyFont="1" applyFill="1" applyBorder="1" applyAlignment="1" applyProtection="1">
      <alignment horizontal="left"/>
      <protection locked="0"/>
    </xf>
    <xf numFmtId="14" fontId="66" fillId="9" borderId="5" xfId="0" applyNumberFormat="1" applyFont="1" applyFill="1" applyBorder="1"/>
    <xf numFmtId="0" fontId="66" fillId="9" borderId="5" xfId="0" applyFont="1" applyFill="1" applyBorder="1"/>
    <xf numFmtId="6" fontId="5" fillId="2" borderId="0" xfId="0" applyNumberFormat="1" applyFont="1" applyFill="1"/>
    <xf numFmtId="9" fontId="5" fillId="2" borderId="0" xfId="2" applyFont="1" applyFill="1" applyProtection="1"/>
    <xf numFmtId="172" fontId="5" fillId="2" borderId="0" xfId="0" applyNumberFormat="1" applyFont="1" applyFill="1"/>
    <xf numFmtId="8" fontId="5" fillId="2" borderId="0" xfId="0" applyNumberFormat="1" applyFont="1" applyFill="1"/>
    <xf numFmtId="0" fontId="5" fillId="2" borderId="0" xfId="0" applyFont="1" applyFill="1" applyAlignment="1">
      <alignment horizontal="left" vertical="top" wrapText="1"/>
    </xf>
    <xf numFmtId="0" fontId="5" fillId="2" borderId="0" xfId="0" applyFont="1" applyFill="1" applyAlignment="1">
      <alignment horizontal="left"/>
    </xf>
    <xf numFmtId="0" fontId="15" fillId="3" borderId="0" xfId="0" applyFont="1" applyFill="1" applyAlignment="1">
      <alignment horizontal="left" vertical="top"/>
    </xf>
    <xf numFmtId="44" fontId="3" fillId="0" borderId="0" xfId="4" applyFont="1" applyAlignment="1">
      <alignment horizontal="left"/>
    </xf>
    <xf numFmtId="8" fontId="32" fillId="9" borderId="1" xfId="0" applyNumberFormat="1" applyFont="1" applyFill="1" applyBorder="1" applyAlignment="1">
      <alignment horizontal="right" vertical="center" shrinkToFit="1"/>
    </xf>
    <xf numFmtId="0" fontId="68" fillId="0" borderId="0" xfId="0" applyFont="1"/>
    <xf numFmtId="42" fontId="36" fillId="9" borderId="1" xfId="0" applyNumberFormat="1" applyFont="1" applyFill="1" applyBorder="1" applyAlignment="1">
      <alignment horizontal="right" vertical="center" shrinkToFit="1"/>
    </xf>
    <xf numFmtId="0" fontId="100" fillId="5" borderId="30" xfId="0" applyFont="1" applyFill="1" applyBorder="1"/>
    <xf numFmtId="170" fontId="100" fillId="5" borderId="30" xfId="4" applyNumberFormat="1" applyFont="1" applyFill="1" applyBorder="1"/>
    <xf numFmtId="171" fontId="100" fillId="5" borderId="1" xfId="0" applyNumberFormat="1" applyFont="1" applyFill="1" applyBorder="1"/>
    <xf numFmtId="8" fontId="36" fillId="13" borderId="1" xfId="4" applyNumberFormat="1" applyFont="1" applyFill="1" applyBorder="1" applyAlignment="1" applyProtection="1">
      <alignment horizontal="right" vertical="center" shrinkToFit="1"/>
    </xf>
    <xf numFmtId="167" fontId="47" fillId="14" borderId="1" xfId="4" applyNumberFormat="1" applyFont="1" applyFill="1" applyBorder="1" applyAlignment="1" applyProtection="1">
      <alignment horizontal="right" vertical="center"/>
    </xf>
    <xf numFmtId="8" fontId="32" fillId="2" borderId="1" xfId="0" applyNumberFormat="1" applyFont="1" applyFill="1" applyBorder="1" applyAlignment="1">
      <alignment horizontal="right" vertical="center" shrinkToFit="1"/>
    </xf>
    <xf numFmtId="8" fontId="36" fillId="11" borderId="1" xfId="0" applyNumberFormat="1" applyFont="1" applyFill="1" applyBorder="1" applyAlignment="1">
      <alignment horizontal="right" vertical="center" shrinkToFit="1"/>
    </xf>
    <xf numFmtId="8" fontId="47" fillId="14" borderId="1" xfId="0" applyNumberFormat="1" applyFont="1" applyFill="1" applyBorder="1" applyAlignment="1">
      <alignment horizontal="right" vertical="center"/>
    </xf>
    <xf numFmtId="8" fontId="36" fillId="13" borderId="1" xfId="0" applyNumberFormat="1" applyFont="1" applyFill="1" applyBorder="1" applyAlignment="1">
      <alignment horizontal="right" vertical="center" shrinkToFit="1"/>
    </xf>
    <xf numFmtId="8" fontId="0" fillId="12" borderId="1" xfId="0" applyNumberFormat="1" applyFill="1" applyBorder="1" applyAlignment="1">
      <alignment vertical="center"/>
    </xf>
    <xf numFmtId="8" fontId="49" fillId="12" borderId="1" xfId="0" applyNumberFormat="1" applyFont="1" applyFill="1" applyBorder="1" applyAlignment="1">
      <alignment vertical="center"/>
    </xf>
    <xf numFmtId="6" fontId="49" fillId="12" borderId="1" xfId="0" applyNumberFormat="1" applyFont="1" applyFill="1" applyBorder="1" applyAlignment="1">
      <alignment vertical="center"/>
    </xf>
    <xf numFmtId="8" fontId="44" fillId="12" borderId="1" xfId="0" applyNumberFormat="1" applyFont="1" applyFill="1" applyBorder="1" applyAlignment="1">
      <alignment vertical="center"/>
    </xf>
    <xf numFmtId="8" fontId="32" fillId="12" borderId="1" xfId="0" applyNumberFormat="1" applyFont="1" applyFill="1" applyBorder="1" applyAlignment="1">
      <alignment vertical="center"/>
    </xf>
    <xf numFmtId="6" fontId="32" fillId="12" borderId="1" xfId="0" applyNumberFormat="1" applyFont="1" applyFill="1" applyBorder="1" applyAlignment="1">
      <alignment vertical="center"/>
    </xf>
    <xf numFmtId="8" fontId="36" fillId="9" borderId="1" xfId="0" applyNumberFormat="1" applyFont="1" applyFill="1" applyBorder="1" applyAlignment="1">
      <alignment horizontal="right" vertical="center" shrinkToFit="1"/>
    </xf>
    <xf numFmtId="0" fontId="0" fillId="0" borderId="0" xfId="0" applyAlignment="1">
      <alignment horizontal="left" wrapText="1"/>
    </xf>
    <xf numFmtId="0" fontId="100" fillId="5" borderId="21" xfId="0" applyFont="1" applyFill="1" applyBorder="1"/>
    <xf numFmtId="0" fontId="100" fillId="5" borderId="22" xfId="0" applyFont="1" applyFill="1" applyBorder="1"/>
    <xf numFmtId="1" fontId="4" fillId="2" borderId="1" xfId="0" applyNumberFormat="1" applyFont="1" applyFill="1" applyBorder="1" applyAlignment="1">
      <alignment horizontal="center" vertical="center"/>
    </xf>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horizontal="left" vertical="center"/>
    </xf>
    <xf numFmtId="170" fontId="0" fillId="2" borderId="36" xfId="4" applyNumberFormat="1" applyFont="1" applyFill="1" applyBorder="1" applyAlignment="1">
      <alignment horizontal="left" vertical="center"/>
    </xf>
    <xf numFmtId="1" fontId="4" fillId="2" borderId="34" xfId="4" applyNumberFormat="1" applyFont="1" applyFill="1" applyBorder="1" applyAlignment="1">
      <alignment horizontal="center" vertical="center"/>
    </xf>
    <xf numFmtId="1" fontId="4" fillId="2" borderId="34" xfId="4" applyNumberFormat="1" applyFont="1" applyFill="1" applyBorder="1" applyAlignment="1">
      <alignment horizontal="left" vertical="center" wrapText="1"/>
    </xf>
    <xf numFmtId="0" fontId="4" fillId="0" borderId="1" xfId="0" applyFont="1" applyBorder="1" applyAlignment="1">
      <alignment horizontal="left" vertical="center" wrapText="1"/>
    </xf>
    <xf numFmtId="1" fontId="4" fillId="0" borderId="1" xfId="0" applyNumberFormat="1" applyFont="1" applyBorder="1" applyAlignment="1">
      <alignment horizontal="left" vertical="center"/>
    </xf>
    <xf numFmtId="42" fontId="32" fillId="9" borderId="22" xfId="0" applyNumberFormat="1" applyFont="1" applyFill="1" applyBorder="1" applyAlignment="1">
      <alignment horizontal="right" vertical="center" shrinkToFit="1"/>
    </xf>
    <xf numFmtId="0" fontId="36" fillId="2" borderId="0" xfId="0" applyFont="1" applyFill="1" applyAlignment="1">
      <alignment horizontal="center"/>
    </xf>
    <xf numFmtId="0" fontId="32" fillId="2" borderId="0" xfId="0" applyFont="1" applyFill="1" applyAlignment="1" applyProtection="1">
      <alignment horizontal="right" vertical="center"/>
      <protection locked="0"/>
    </xf>
    <xf numFmtId="6" fontId="32" fillId="2" borderId="0" xfId="0" applyNumberFormat="1" applyFont="1" applyFill="1" applyAlignment="1">
      <alignment horizontal="center" vertical="center"/>
    </xf>
    <xf numFmtId="1" fontId="4" fillId="0" borderId="45" xfId="0" applyNumberFormat="1" applyFont="1" applyBorder="1" applyAlignment="1">
      <alignment horizontal="center" vertical="center"/>
    </xf>
    <xf numFmtId="1" fontId="4" fillId="0" borderId="45" xfId="0" applyNumberFormat="1" applyFont="1" applyBorder="1" applyAlignment="1">
      <alignment horizontal="left" vertical="center"/>
    </xf>
    <xf numFmtId="1" fontId="0" fillId="2" borderId="40" xfId="0" applyNumberFormat="1" applyFill="1" applyBorder="1" applyAlignment="1" applyProtection="1">
      <alignment horizontal="left" vertical="center"/>
      <protection locked="0"/>
    </xf>
    <xf numFmtId="0" fontId="0" fillId="0" borderId="40" xfId="0" applyBorder="1" applyAlignment="1" applyProtection="1">
      <alignment horizontal="left" vertical="center"/>
      <protection locked="0"/>
    </xf>
    <xf numFmtId="1" fontId="0" fillId="0" borderId="40" xfId="0" applyNumberFormat="1" applyBorder="1" applyAlignment="1" applyProtection="1">
      <alignment horizontal="left" vertical="center"/>
      <protection locked="0"/>
    </xf>
    <xf numFmtId="1" fontId="0" fillId="0" borderId="44" xfId="0" applyNumberFormat="1" applyBorder="1" applyAlignment="1" applyProtection="1">
      <alignment horizontal="left" vertical="center"/>
      <protection locked="0"/>
    </xf>
    <xf numFmtId="167" fontId="0" fillId="0" borderId="0" xfId="0" applyNumberFormat="1" applyAlignment="1">
      <alignment horizontal="left"/>
    </xf>
    <xf numFmtId="0" fontId="32" fillId="3" borderId="0" xfId="0" applyFont="1" applyFill="1" applyAlignment="1">
      <alignment horizontal="left" wrapText="1"/>
    </xf>
    <xf numFmtId="0" fontId="0" fillId="3" borderId="0" xfId="0" applyFill="1" applyAlignment="1">
      <alignment horizontal="right"/>
    </xf>
    <xf numFmtId="0" fontId="3" fillId="0" borderId="0" xfId="0" applyFont="1" applyAlignment="1">
      <alignment wrapText="1"/>
    </xf>
    <xf numFmtId="0" fontId="76" fillId="24" borderId="0" xfId="0" applyFont="1" applyFill="1"/>
    <xf numFmtId="0" fontId="134" fillId="2" borderId="0" xfId="0" applyFont="1" applyFill="1"/>
    <xf numFmtId="0" fontId="136" fillId="2" borderId="0" xfId="0" applyFont="1" applyFill="1"/>
    <xf numFmtId="0" fontId="136" fillId="0" borderId="0" xfId="0" applyFont="1"/>
    <xf numFmtId="0" fontId="3" fillId="9" borderId="1" xfId="0" applyFont="1" applyFill="1" applyBorder="1"/>
    <xf numFmtId="44" fontId="5" fillId="2" borderId="0" xfId="4" applyFont="1" applyFill="1" applyBorder="1" applyAlignment="1">
      <alignment horizontal="center"/>
    </xf>
    <xf numFmtId="1" fontId="4" fillId="0" borderId="1" xfId="0" applyNumberFormat="1" applyFont="1" applyBorder="1" applyAlignment="1">
      <alignment horizontal="center" vertical="center" wrapText="1"/>
    </xf>
    <xf numFmtId="49" fontId="32" fillId="37" borderId="0" xfId="0" applyNumberFormat="1" applyFont="1" applyFill="1" applyAlignment="1">
      <alignment horizontal="left" vertical="center"/>
    </xf>
    <xf numFmtId="172" fontId="0" fillId="0" borderId="0" xfId="0" applyNumberFormat="1"/>
    <xf numFmtId="44" fontId="0" fillId="0" borderId="0" xfId="0" applyNumberFormat="1"/>
    <xf numFmtId="0" fontId="32" fillId="2" borderId="18" xfId="0" applyFont="1" applyFill="1" applyBorder="1"/>
    <xf numFmtId="2" fontId="0" fillId="0" borderId="0" xfId="0" applyNumberFormat="1"/>
    <xf numFmtId="0" fontId="36" fillId="37" borderId="0" xfId="0" applyFont="1" applyFill="1" applyAlignment="1">
      <alignment horizontal="left"/>
    </xf>
    <xf numFmtId="0" fontId="3" fillId="9" borderId="1" xfId="0" applyFont="1" applyFill="1" applyBorder="1" applyAlignment="1">
      <alignment horizontal="left"/>
    </xf>
    <xf numFmtId="0" fontId="0" fillId="0" borderId="1" xfId="0" applyBorder="1"/>
    <xf numFmtId="0" fontId="0" fillId="36" borderId="0" xfId="0" applyFill="1"/>
    <xf numFmtId="0" fontId="19" fillId="36" borderId="0" xfId="0" applyFont="1" applyFill="1"/>
    <xf numFmtId="0" fontId="138" fillId="2" borderId="4" xfId="0" applyFont="1" applyFill="1" applyBorder="1" applyAlignment="1">
      <alignment horizontal="center"/>
    </xf>
    <xf numFmtId="0" fontId="139" fillId="2" borderId="4" xfId="0" applyFont="1" applyFill="1" applyBorder="1" applyAlignment="1">
      <alignment horizontal="center"/>
    </xf>
    <xf numFmtId="0" fontId="139" fillId="2" borderId="10" xfId="0" applyFont="1" applyFill="1" applyBorder="1" applyAlignment="1">
      <alignment horizontal="center"/>
    </xf>
    <xf numFmtId="0" fontId="140" fillId="2" borderId="4" xfId="0" applyFont="1" applyFill="1" applyBorder="1" applyAlignment="1">
      <alignment horizontal="center"/>
    </xf>
    <xf numFmtId="0" fontId="140" fillId="2" borderId="28" xfId="0" applyFont="1" applyFill="1" applyBorder="1" applyAlignment="1">
      <alignment horizontal="center"/>
    </xf>
    <xf numFmtId="0" fontId="140" fillId="2" borderId="3" xfId="0" applyFont="1" applyFill="1" applyBorder="1" applyAlignment="1">
      <alignment horizontal="center"/>
    </xf>
    <xf numFmtId="0" fontId="4" fillId="2" borderId="28" xfId="0" applyFont="1" applyFill="1" applyBorder="1" applyAlignment="1">
      <alignment horizontal="center"/>
    </xf>
    <xf numFmtId="0" fontId="4" fillId="2" borderId="3" xfId="0" applyFont="1" applyFill="1" applyBorder="1" applyAlignment="1">
      <alignment horizontal="center"/>
    </xf>
    <xf numFmtId="0" fontId="4" fillId="2" borderId="1" xfId="0" applyFont="1" applyFill="1" applyBorder="1" applyAlignment="1">
      <alignment horizontal="center"/>
    </xf>
    <xf numFmtId="0" fontId="32" fillId="36" borderId="0" xfId="0" applyFont="1" applyFill="1"/>
    <xf numFmtId="0" fontId="20" fillId="36" borderId="0" xfId="0" applyFont="1" applyFill="1"/>
    <xf numFmtId="41" fontId="36" fillId="27" borderId="1" xfId="4" applyNumberFormat="1" applyFont="1" applyFill="1" applyBorder="1" applyAlignment="1">
      <alignment horizontal="center"/>
    </xf>
    <xf numFmtId="0" fontId="14" fillId="2" borderId="1" xfId="10" applyFont="1" applyFill="1" applyBorder="1" applyAlignment="1" applyProtection="1">
      <alignment horizontal="center"/>
    </xf>
    <xf numFmtId="0" fontId="14" fillId="2" borderId="1" xfId="10" applyFont="1" applyFill="1" applyBorder="1" applyAlignment="1">
      <alignment horizontal="center"/>
    </xf>
    <xf numFmtId="9" fontId="4" fillId="2" borderId="1" xfId="0" applyNumberFormat="1" applyFont="1" applyFill="1" applyBorder="1" applyAlignment="1">
      <alignment horizontal="center"/>
    </xf>
    <xf numFmtId="41" fontId="14" fillId="2" borderId="22" xfId="10" applyNumberFormat="1" applyFont="1" applyFill="1" applyBorder="1" applyAlignment="1">
      <alignment horizontal="center"/>
    </xf>
    <xf numFmtId="41" fontId="14" fillId="2" borderId="1" xfId="10" applyNumberFormat="1" applyFont="1" applyFill="1" applyBorder="1" applyAlignment="1">
      <alignment horizontal="center"/>
    </xf>
    <xf numFmtId="41" fontId="14" fillId="2" borderId="7" xfId="10" applyNumberFormat="1" applyFont="1" applyFill="1" applyBorder="1" applyAlignment="1">
      <alignment horizontal="center"/>
    </xf>
    <xf numFmtId="9" fontId="14" fillId="2" borderId="22" xfId="2" applyFont="1" applyFill="1" applyBorder="1" applyAlignment="1" applyProtection="1">
      <alignment horizontal="center"/>
    </xf>
    <xf numFmtId="9" fontId="14" fillId="2" borderId="22" xfId="2" applyFont="1" applyFill="1" applyBorder="1" applyAlignment="1">
      <alignment horizontal="center"/>
    </xf>
    <xf numFmtId="0" fontId="0" fillId="27" borderId="1" xfId="0" applyFill="1" applyBorder="1" applyAlignment="1">
      <alignment horizontal="center"/>
    </xf>
    <xf numFmtId="9" fontId="32" fillId="27" borderId="1" xfId="2" applyFont="1" applyFill="1" applyBorder="1" applyAlignment="1" applyProtection="1">
      <alignment horizontal="center"/>
    </xf>
    <xf numFmtId="9" fontId="32" fillId="27" borderId="1" xfId="2" applyFont="1" applyFill="1" applyBorder="1" applyAlignment="1">
      <alignment horizontal="center"/>
    </xf>
    <xf numFmtId="44" fontId="5" fillId="2" borderId="0" xfId="4" applyFont="1" applyFill="1" applyAlignment="1">
      <alignment horizontal="center"/>
    </xf>
    <xf numFmtId="49" fontId="32" fillId="9" borderId="1" xfId="0" applyNumberFormat="1" applyFont="1" applyFill="1" applyBorder="1" applyAlignment="1">
      <alignment horizontal="left"/>
    </xf>
    <xf numFmtId="0" fontId="32" fillId="37" borderId="4" xfId="0" applyFont="1" applyFill="1" applyBorder="1"/>
    <xf numFmtId="0" fontId="3" fillId="36" borderId="0" xfId="0" applyFont="1" applyFill="1"/>
    <xf numFmtId="0" fontId="29" fillId="47" borderId="0" xfId="0" applyFont="1" applyFill="1" applyAlignment="1">
      <alignment horizontal="center" vertical="center" wrapText="1"/>
    </xf>
    <xf numFmtId="0" fontId="62" fillId="47" borderId="1" xfId="0" applyFont="1" applyFill="1" applyBorder="1" applyAlignment="1">
      <alignment horizontal="left" vertical="center"/>
    </xf>
    <xf numFmtId="0" fontId="105" fillId="47" borderId="1" xfId="0" applyFont="1" applyFill="1" applyBorder="1" applyAlignment="1">
      <alignment horizontal="left" vertical="center"/>
    </xf>
    <xf numFmtId="0" fontId="62" fillId="47" borderId="1" xfId="0" applyFont="1" applyFill="1" applyBorder="1" applyAlignment="1">
      <alignment horizontal="left"/>
    </xf>
    <xf numFmtId="0" fontId="105" fillId="47" borderId="1" xfId="0" applyFont="1" applyFill="1" applyBorder="1" applyAlignment="1">
      <alignment horizontal="left"/>
    </xf>
    <xf numFmtId="172" fontId="71" fillId="47" borderId="1" xfId="3" applyNumberFormat="1" applyFont="1" applyFill="1" applyBorder="1" applyAlignment="1" applyProtection="1">
      <alignment horizontal="right"/>
    </xf>
    <xf numFmtId="0" fontId="76" fillId="47" borderId="1" xfId="0" applyFont="1" applyFill="1" applyBorder="1" applyAlignment="1">
      <alignment horizontal="left" vertical="center"/>
    </xf>
    <xf numFmtId="0" fontId="77" fillId="47" borderId="1" xfId="0" applyFont="1" applyFill="1" applyBorder="1" applyAlignment="1">
      <alignment horizontal="left" vertical="center"/>
    </xf>
    <xf numFmtId="0" fontId="107" fillId="47" borderId="1" xfId="0" applyFont="1" applyFill="1" applyBorder="1" applyAlignment="1">
      <alignment horizontal="left" vertical="center"/>
    </xf>
    <xf numFmtId="0" fontId="77" fillId="47" borderId="1" xfId="0" applyFont="1" applyFill="1" applyBorder="1" applyAlignment="1">
      <alignment horizontal="left"/>
    </xf>
    <xf numFmtId="0" fontId="107" fillId="47" borderId="1" xfId="0" applyFont="1" applyFill="1" applyBorder="1" applyAlignment="1">
      <alignment horizontal="left"/>
    </xf>
    <xf numFmtId="0" fontId="67" fillId="47" borderId="1" xfId="0" applyFont="1" applyFill="1" applyBorder="1" applyAlignment="1">
      <alignment horizontal="right" vertical="center" indent="1"/>
    </xf>
    <xf numFmtId="0" fontId="78" fillId="47" borderId="1" xfId="0" applyFont="1" applyFill="1" applyBorder="1" applyAlignment="1">
      <alignment horizontal="left" vertical="center"/>
    </xf>
    <xf numFmtId="38" fontId="66" fillId="47" borderId="1" xfId="3" applyNumberFormat="1" applyFont="1" applyFill="1" applyBorder="1" applyProtection="1"/>
    <xf numFmtId="0" fontId="86" fillId="47" borderId="0" xfId="0" applyFont="1" applyFill="1"/>
    <xf numFmtId="0" fontId="66" fillId="48" borderId="1" xfId="0" applyFont="1" applyFill="1" applyBorder="1" applyProtection="1">
      <protection locked="0"/>
    </xf>
    <xf numFmtId="0" fontId="0" fillId="0" borderId="1" xfId="0" applyBorder="1" applyProtection="1">
      <protection locked="0"/>
    </xf>
    <xf numFmtId="0" fontId="0" fillId="36" borderId="0" xfId="0" applyFill="1" applyProtection="1">
      <protection locked="0"/>
    </xf>
    <xf numFmtId="0" fontId="0" fillId="36" borderId="9" xfId="0" applyFill="1" applyBorder="1"/>
    <xf numFmtId="167" fontId="0" fillId="6" borderId="0" xfId="0" applyNumberFormat="1" applyFill="1" applyAlignment="1">
      <alignment horizontal="left"/>
    </xf>
    <xf numFmtId="0" fontId="4" fillId="6" borderId="0" xfId="0" applyFont="1" applyFill="1" applyAlignment="1">
      <alignment horizontal="center"/>
    </xf>
    <xf numFmtId="10" fontId="3" fillId="31" borderId="1" xfId="0" applyNumberFormat="1" applyFont="1" applyFill="1" applyBorder="1" applyAlignment="1" applyProtection="1">
      <alignment vertical="center" wrapText="1"/>
      <protection locked="0"/>
    </xf>
    <xf numFmtId="10" fontId="3" fillId="2" borderId="1" xfId="0" applyNumberFormat="1" applyFont="1" applyFill="1" applyBorder="1" applyAlignment="1" applyProtection="1">
      <alignment vertical="center" wrapText="1"/>
      <protection locked="0"/>
    </xf>
    <xf numFmtId="0" fontId="4" fillId="0" borderId="0" xfId="0" applyFont="1" applyAlignment="1">
      <alignment horizontal="left"/>
    </xf>
    <xf numFmtId="0" fontId="0" fillId="3" borderId="0" xfId="0" applyFill="1" applyAlignment="1">
      <alignment horizontal="left" vertical="center"/>
    </xf>
    <xf numFmtId="0" fontId="103" fillId="49" borderId="0" xfId="0" applyFont="1" applyFill="1" applyAlignment="1">
      <alignment vertical="top"/>
    </xf>
    <xf numFmtId="0" fontId="46" fillId="36" borderId="22" xfId="0" applyFont="1" applyFill="1" applyBorder="1" applyAlignment="1">
      <alignment horizontal="left" vertical="center"/>
    </xf>
    <xf numFmtId="0" fontId="104" fillId="36" borderId="22" xfId="0" applyFont="1" applyFill="1" applyBorder="1" applyAlignment="1">
      <alignment horizontal="left"/>
    </xf>
    <xf numFmtId="6" fontId="32" fillId="36" borderId="1" xfId="0" applyNumberFormat="1" applyFont="1" applyFill="1" applyBorder="1" applyAlignment="1">
      <alignment horizontal="right" vertical="center" shrinkToFit="1"/>
    </xf>
    <xf numFmtId="6" fontId="32" fillId="36" borderId="21" xfId="0" applyNumberFormat="1" applyFont="1" applyFill="1" applyBorder="1" applyAlignment="1">
      <alignment horizontal="right" vertical="center" shrinkToFit="1"/>
    </xf>
    <xf numFmtId="8" fontId="32" fillId="36" borderId="1" xfId="4" applyNumberFormat="1" applyFont="1" applyFill="1" applyBorder="1" applyAlignment="1" applyProtection="1">
      <alignment horizontal="right" vertical="center" shrinkToFit="1"/>
    </xf>
    <xf numFmtId="6" fontId="32" fillId="36" borderId="1" xfId="3" applyNumberFormat="1" applyFont="1" applyFill="1" applyBorder="1" applyAlignment="1" applyProtection="1">
      <alignment horizontal="right" vertical="center" shrinkToFit="1"/>
    </xf>
    <xf numFmtId="0" fontId="43" fillId="36" borderId="30" xfId="0" applyFont="1" applyFill="1" applyBorder="1" applyAlignment="1">
      <alignment horizontal="left" vertical="center"/>
    </xf>
    <xf numFmtId="0" fontId="104" fillId="36" borderId="30" xfId="0" applyFont="1" applyFill="1" applyBorder="1" applyAlignment="1">
      <alignment horizontal="left" vertical="center"/>
    </xf>
    <xf numFmtId="0" fontId="104" fillId="36" borderId="22" xfId="0" applyFont="1" applyFill="1" applyBorder="1" applyAlignment="1">
      <alignment horizontal="left" vertical="center"/>
    </xf>
    <xf numFmtId="6" fontId="88" fillId="36" borderId="1" xfId="0" applyNumberFormat="1" applyFont="1" applyFill="1" applyBorder="1" applyAlignment="1">
      <alignment horizontal="right" vertical="center" shrinkToFit="1"/>
    </xf>
    <xf numFmtId="6" fontId="88" fillId="36" borderId="21" xfId="0" applyNumberFormat="1" applyFont="1" applyFill="1" applyBorder="1" applyAlignment="1">
      <alignment horizontal="right" vertical="center" shrinkToFit="1"/>
    </xf>
    <xf numFmtId="8" fontId="88" fillId="36" borderId="1" xfId="0" applyNumberFormat="1" applyFont="1" applyFill="1" applyBorder="1" applyAlignment="1">
      <alignment horizontal="right" vertical="center" shrinkToFit="1"/>
    </xf>
    <xf numFmtId="0" fontId="22" fillId="36" borderId="30" xfId="0" applyFont="1" applyFill="1" applyBorder="1" applyAlignment="1">
      <alignment horizontal="left"/>
    </xf>
    <xf numFmtId="6" fontId="88" fillId="36" borderId="1" xfId="0" applyNumberFormat="1" applyFont="1" applyFill="1" applyBorder="1" applyAlignment="1" applyProtection="1">
      <alignment horizontal="right" vertical="center" shrinkToFit="1"/>
      <protection locked="0"/>
    </xf>
    <xf numFmtId="9" fontId="43" fillId="36" borderId="22" xfId="2" applyFont="1" applyFill="1" applyBorder="1" applyAlignment="1">
      <alignment horizontal="center" vertical="center"/>
    </xf>
    <xf numFmtId="0" fontId="43" fillId="36" borderId="22" xfId="0" applyFont="1" applyFill="1" applyBorder="1" applyAlignment="1">
      <alignment horizontal="left" vertical="center"/>
    </xf>
    <xf numFmtId="9" fontId="46" fillId="36" borderId="1" xfId="2" applyFont="1" applyFill="1" applyBorder="1" applyAlignment="1">
      <alignment horizontal="center" vertical="center"/>
    </xf>
    <xf numFmtId="0" fontId="46" fillId="36" borderId="21" xfId="0" applyFont="1" applyFill="1" applyBorder="1" applyAlignment="1">
      <alignment vertical="center"/>
    </xf>
    <xf numFmtId="0" fontId="46" fillId="36" borderId="30" xfId="0" applyFont="1" applyFill="1" applyBorder="1" applyAlignment="1">
      <alignment horizontal="right" vertical="center"/>
    </xf>
    <xf numFmtId="44" fontId="46" fillId="36" borderId="30" xfId="4" applyFont="1" applyFill="1" applyBorder="1" applyAlignment="1">
      <alignment horizontal="left" vertical="center"/>
    </xf>
    <xf numFmtId="0" fontId="52" fillId="36" borderId="2" xfId="0" applyFont="1" applyFill="1" applyBorder="1" applyAlignment="1">
      <alignment horizontal="left" vertical="center"/>
    </xf>
    <xf numFmtId="9" fontId="52" fillId="36" borderId="1" xfId="2" applyFont="1" applyFill="1" applyBorder="1" applyAlignment="1">
      <alignment horizontal="center" vertical="center"/>
    </xf>
    <xf numFmtId="0" fontId="52" fillId="36" borderId="18" xfId="0" applyFont="1" applyFill="1" applyBorder="1" applyAlignment="1">
      <alignment horizontal="left" vertical="center"/>
    </xf>
    <xf numFmtId="0" fontId="52" fillId="36" borderId="30" xfId="0" applyFont="1" applyFill="1" applyBorder="1" applyAlignment="1">
      <alignment horizontal="left" vertical="center"/>
    </xf>
    <xf numFmtId="0" fontId="52" fillId="36" borderId="22" xfId="0" applyFont="1" applyFill="1" applyBorder="1" applyAlignment="1">
      <alignment horizontal="left" vertical="center"/>
    </xf>
    <xf numFmtId="0" fontId="46" fillId="36" borderId="1" xfId="0" applyFont="1" applyFill="1" applyBorder="1" applyAlignment="1">
      <alignment vertical="center"/>
    </xf>
    <xf numFmtId="0" fontId="48" fillId="36" borderId="22" xfId="0" applyFont="1" applyFill="1" applyBorder="1" applyAlignment="1">
      <alignment horizontal="left"/>
    </xf>
    <xf numFmtId="0" fontId="46" fillId="36" borderId="2" xfId="0" applyFont="1" applyFill="1" applyBorder="1" applyAlignment="1">
      <alignment horizontal="left" vertical="center"/>
    </xf>
    <xf numFmtId="0" fontId="22" fillId="36" borderId="2" xfId="0" applyFont="1" applyFill="1" applyBorder="1" applyAlignment="1">
      <alignment horizontal="left"/>
    </xf>
    <xf numFmtId="0" fontId="22" fillId="36" borderId="7" xfId="0" applyFont="1" applyFill="1" applyBorder="1" applyAlignment="1">
      <alignment horizontal="left"/>
    </xf>
    <xf numFmtId="0" fontId="50" fillId="36" borderId="30" xfId="0" applyFont="1" applyFill="1" applyBorder="1" applyAlignment="1">
      <alignment horizontal="left" vertical="center"/>
    </xf>
    <xf numFmtId="9" fontId="46" fillId="36" borderId="18" xfId="2" applyFont="1" applyFill="1" applyBorder="1" applyAlignment="1" applyProtection="1">
      <alignment horizontal="right" vertical="center"/>
    </xf>
    <xf numFmtId="0" fontId="32" fillId="36" borderId="30" xfId="0" applyFont="1" applyFill="1" applyBorder="1" applyAlignment="1">
      <alignment horizontal="left"/>
    </xf>
    <xf numFmtId="0" fontId="32" fillId="36" borderId="2" xfId="0" applyFont="1" applyFill="1" applyBorder="1" applyAlignment="1">
      <alignment horizontal="left"/>
    </xf>
    <xf numFmtId="0" fontId="32" fillId="36" borderId="18" xfId="0" applyFont="1" applyFill="1" applyBorder="1" applyAlignment="1">
      <alignment horizontal="left"/>
    </xf>
    <xf numFmtId="0" fontId="36" fillId="36" borderId="30" xfId="0" applyFont="1" applyFill="1" applyBorder="1" applyAlignment="1">
      <alignment horizontal="left"/>
    </xf>
    <xf numFmtId="3" fontId="20" fillId="36" borderId="0" xfId="0" applyNumberFormat="1" applyFont="1" applyFill="1"/>
    <xf numFmtId="4" fontId="20" fillId="36" borderId="0" xfId="0" applyNumberFormat="1" applyFont="1" applyFill="1"/>
    <xf numFmtId="44" fontId="20" fillId="36" borderId="0" xfId="0" applyNumberFormat="1" applyFont="1" applyFill="1"/>
    <xf numFmtId="167" fontId="0" fillId="50" borderId="0" xfId="0" applyNumberFormat="1" applyFill="1" applyAlignment="1">
      <alignment horizontal="center"/>
    </xf>
    <xf numFmtId="0" fontId="0" fillId="50" borderId="0" xfId="0" applyFill="1"/>
    <xf numFmtId="0" fontId="32" fillId="50" borderId="0" xfId="0" applyFont="1" applyFill="1"/>
    <xf numFmtId="0" fontId="0" fillId="41" borderId="0" xfId="0" applyFill="1"/>
    <xf numFmtId="0" fontId="148" fillId="5" borderId="1" xfId="0" applyFont="1" applyFill="1" applyBorder="1" applyAlignment="1">
      <alignment horizontal="center" vertical="center"/>
    </xf>
    <xf numFmtId="0" fontId="100" fillId="5" borderId="1" xfId="0" applyFont="1" applyFill="1" applyBorder="1" applyAlignment="1">
      <alignment horizontal="left" vertical="center" wrapText="1"/>
    </xf>
    <xf numFmtId="0" fontId="90" fillId="5" borderId="1" xfId="0" applyFont="1" applyFill="1" applyBorder="1" applyAlignment="1">
      <alignment horizontal="center" vertical="center" wrapText="1"/>
    </xf>
    <xf numFmtId="0" fontId="90" fillId="25" borderId="11" xfId="0" applyFont="1" applyFill="1" applyBorder="1"/>
    <xf numFmtId="0" fontId="100" fillId="25" borderId="21" xfId="0" applyFont="1" applyFill="1" applyBorder="1"/>
    <xf numFmtId="0" fontId="5" fillId="25" borderId="30" xfId="0" applyFont="1" applyFill="1" applyBorder="1"/>
    <xf numFmtId="0" fontId="5" fillId="25" borderId="30" xfId="0" applyFont="1" applyFill="1" applyBorder="1" applyAlignment="1">
      <alignment horizontal="center" wrapText="1"/>
    </xf>
    <xf numFmtId="0" fontId="5" fillId="25" borderId="22" xfId="0" applyFont="1" applyFill="1" applyBorder="1"/>
    <xf numFmtId="0" fontId="4" fillId="2" borderId="5" xfId="0" applyFont="1" applyFill="1" applyBorder="1" applyAlignment="1">
      <alignment horizontal="center"/>
    </xf>
    <xf numFmtId="0" fontId="6" fillId="5" borderId="21" xfId="0" applyFont="1" applyFill="1" applyBorder="1" applyAlignment="1">
      <alignment horizontal="left" vertical="center"/>
    </xf>
    <xf numFmtId="0" fontId="6" fillId="5" borderId="30" xfId="0" applyFont="1" applyFill="1" applyBorder="1" applyAlignment="1">
      <alignment horizontal="left" vertical="center"/>
    </xf>
    <xf numFmtId="0" fontId="6" fillId="5" borderId="22" xfId="0" applyFont="1" applyFill="1" applyBorder="1" applyAlignment="1">
      <alignment horizontal="center" vertical="center"/>
    </xf>
    <xf numFmtId="0" fontId="5" fillId="5" borderId="2" xfId="0" applyFont="1" applyFill="1" applyBorder="1"/>
    <xf numFmtId="0" fontId="0" fillId="27" borderId="18" xfId="0" applyFill="1" applyBorder="1"/>
    <xf numFmtId="0" fontId="5" fillId="5" borderId="30" xfId="0" applyFont="1" applyFill="1" applyBorder="1"/>
    <xf numFmtId="0" fontId="100" fillId="5" borderId="6" xfId="0" applyFont="1" applyFill="1" applyBorder="1"/>
    <xf numFmtId="0" fontId="100" fillId="5" borderId="28" xfId="0" applyFont="1" applyFill="1" applyBorder="1" applyAlignment="1">
      <alignment horizontal="center"/>
    </xf>
    <xf numFmtId="0" fontId="100" fillId="5" borderId="10" xfId="0" applyFont="1" applyFill="1" applyBorder="1" applyAlignment="1">
      <alignment horizontal="center" vertical="center" wrapText="1"/>
    </xf>
    <xf numFmtId="0" fontId="100" fillId="5" borderId="3" xfId="0" applyFont="1" applyFill="1" applyBorder="1" applyAlignment="1">
      <alignment horizontal="center" vertical="center" wrapText="1"/>
    </xf>
    <xf numFmtId="6" fontId="32" fillId="36" borderId="1" xfId="0" applyNumberFormat="1" applyFont="1" applyFill="1" applyBorder="1" applyAlignment="1" applyProtection="1">
      <alignment horizontal="right" vertical="center" shrinkToFit="1"/>
      <protection locked="0"/>
    </xf>
    <xf numFmtId="0" fontId="4" fillId="6" borderId="0" xfId="0" applyFont="1" applyFill="1"/>
    <xf numFmtId="171" fontId="0" fillId="9" borderId="30" xfId="0" applyNumberFormat="1" applyFill="1" applyBorder="1"/>
    <xf numFmtId="170" fontId="0" fillId="9" borderId="18" xfId="4" applyNumberFormat="1" applyFont="1" applyFill="1" applyBorder="1" applyProtection="1"/>
    <xf numFmtId="0" fontId="20" fillId="2" borderId="0" xfId="0" applyFont="1" applyFill="1" applyAlignment="1">
      <alignment horizontal="right"/>
    </xf>
    <xf numFmtId="0" fontId="32" fillId="2" borderId="1" xfId="0" applyFont="1" applyFill="1" applyBorder="1" applyAlignment="1">
      <alignment vertical="center"/>
    </xf>
    <xf numFmtId="0" fontId="32" fillId="2" borderId="0" xfId="0" applyFont="1" applyFill="1" applyAlignment="1">
      <alignment horizontal="left" vertical="top" wrapText="1"/>
    </xf>
    <xf numFmtId="0" fontId="5" fillId="2" borderId="18" xfId="0" applyFont="1" applyFill="1" applyBorder="1"/>
    <xf numFmtId="0" fontId="150" fillId="2" borderId="0" xfId="0" applyFont="1" applyFill="1"/>
    <xf numFmtId="0" fontId="0" fillId="51" borderId="0" xfId="0" applyFill="1"/>
    <xf numFmtId="10" fontId="0" fillId="51" borderId="0" xfId="0" applyNumberFormat="1" applyFill="1"/>
    <xf numFmtId="0" fontId="71" fillId="0" borderId="0" xfId="0" applyFont="1"/>
    <xf numFmtId="0" fontId="3" fillId="2" borderId="0" xfId="0" applyFont="1" applyFill="1" applyAlignment="1">
      <alignment horizontal="center" vertical="center"/>
    </xf>
    <xf numFmtId="14" fontId="0" fillId="2" borderId="0" xfId="0" applyNumberFormat="1" applyFill="1"/>
    <xf numFmtId="0" fontId="4" fillId="2" borderId="0" xfId="0" applyFont="1" applyFill="1" applyAlignment="1">
      <alignment horizontal="right" indent="1"/>
    </xf>
    <xf numFmtId="10" fontId="0" fillId="31" borderId="1" xfId="0" applyNumberFormat="1" applyFill="1" applyBorder="1"/>
    <xf numFmtId="0" fontId="152" fillId="2" borderId="0" xfId="0" applyFont="1" applyFill="1"/>
    <xf numFmtId="0" fontId="0" fillId="3" borderId="24" xfId="0" applyFill="1" applyBorder="1" applyAlignment="1">
      <alignment horizontal="center" vertical="center"/>
    </xf>
    <xf numFmtId="0" fontId="0" fillId="3" borderId="11" xfId="0" applyFill="1" applyBorder="1" applyAlignment="1">
      <alignment horizontal="center"/>
    </xf>
    <xf numFmtId="49" fontId="0" fillId="3" borderId="11" xfId="0" applyNumberFormat="1" applyFill="1" applyBorder="1" applyAlignment="1">
      <alignment horizontal="center"/>
    </xf>
    <xf numFmtId="0" fontId="0" fillId="14" borderId="0" xfId="0" applyFill="1"/>
    <xf numFmtId="0" fontId="4" fillId="2" borderId="18" xfId="0" applyFont="1" applyFill="1" applyBorder="1" applyAlignment="1">
      <alignment horizontal="right" indent="1"/>
    </xf>
    <xf numFmtId="0" fontId="4" fillId="2" borderId="18" xfId="0" applyFont="1" applyFill="1" applyBorder="1"/>
    <xf numFmtId="0" fontId="22" fillId="0" borderId="0" xfId="0" applyFont="1" applyAlignment="1">
      <alignment horizontal="center" vertical="center"/>
    </xf>
    <xf numFmtId="0" fontId="64" fillId="0" borderId="20" xfId="0" applyFont="1" applyBorder="1" applyAlignment="1">
      <alignment wrapText="1"/>
    </xf>
    <xf numFmtId="0" fontId="64" fillId="0" borderId="20" xfId="0" applyFont="1" applyBorder="1" applyAlignment="1">
      <alignment horizontal="left" wrapText="1"/>
    </xf>
    <xf numFmtId="0" fontId="64" fillId="0" borderId="20" xfId="0" applyFont="1" applyBorder="1" applyAlignment="1">
      <alignment horizontal="right" wrapText="1" indent="1"/>
    </xf>
    <xf numFmtId="0" fontId="13" fillId="0" borderId="0" xfId="1" applyAlignment="1">
      <alignment vertical="top" wrapText="1"/>
    </xf>
    <xf numFmtId="0" fontId="11" fillId="2" borderId="0" xfId="1" applyFont="1" applyFill="1" applyBorder="1"/>
    <xf numFmtId="0" fontId="10" fillId="2" borderId="18" xfId="0" applyFont="1" applyFill="1" applyBorder="1"/>
    <xf numFmtId="0" fontId="142" fillId="2" borderId="18" xfId="0" applyFont="1" applyFill="1" applyBorder="1"/>
    <xf numFmtId="0" fontId="38" fillId="2" borderId="18" xfId="0" applyFont="1" applyFill="1" applyBorder="1"/>
    <xf numFmtId="0" fontId="0" fillId="31" borderId="1" xfId="0" applyFill="1" applyBorder="1" applyAlignment="1" applyProtection="1">
      <alignment horizontal="right"/>
      <protection locked="0"/>
    </xf>
    <xf numFmtId="0" fontId="0" fillId="2" borderId="0" xfId="0" applyFill="1" applyAlignment="1">
      <alignment horizontal="left"/>
    </xf>
    <xf numFmtId="0" fontId="0" fillId="2" borderId="0" xfId="0" applyFill="1" applyAlignment="1">
      <alignment horizontal="right"/>
    </xf>
    <xf numFmtId="0" fontId="127" fillId="2" borderId="0" xfId="0" applyFont="1" applyFill="1" applyAlignment="1">
      <alignment vertical="center"/>
    </xf>
    <xf numFmtId="0" fontId="128" fillId="2" borderId="0" xfId="0" applyFont="1" applyFill="1" applyAlignment="1">
      <alignment vertical="center"/>
    </xf>
    <xf numFmtId="0" fontId="36" fillId="2" borderId="1" xfId="0" applyFont="1" applyFill="1" applyBorder="1" applyAlignment="1">
      <alignment horizontal="center" vertical="center" wrapText="1"/>
    </xf>
    <xf numFmtId="44" fontId="32" fillId="2" borderId="1" xfId="4" applyFont="1" applyFill="1" applyBorder="1"/>
    <xf numFmtId="42" fontId="32" fillId="2" borderId="0" xfId="0" applyNumberFormat="1" applyFont="1" applyFill="1"/>
    <xf numFmtId="44" fontId="129" fillId="0" borderId="1" xfId="4" applyFont="1" applyBorder="1"/>
    <xf numFmtId="44" fontId="129" fillId="0" borderId="1" xfId="4" applyFont="1" applyBorder="1" applyProtection="1">
      <protection locked="0"/>
    </xf>
    <xf numFmtId="0" fontId="122" fillId="2" borderId="0" xfId="0" applyFont="1" applyFill="1"/>
    <xf numFmtId="9" fontId="5" fillId="2" borderId="0" xfId="2" applyFont="1" applyFill="1" applyBorder="1" applyProtection="1"/>
    <xf numFmtId="173" fontId="5" fillId="2" borderId="0" xfId="0" applyNumberFormat="1" applyFont="1" applyFill="1"/>
    <xf numFmtId="1" fontId="5" fillId="2" borderId="0" xfId="0" applyNumberFormat="1" applyFont="1" applyFill="1"/>
    <xf numFmtId="3" fontId="5" fillId="2" borderId="0" xfId="0" applyNumberFormat="1" applyFont="1" applyFill="1"/>
    <xf numFmtId="0" fontId="113" fillId="2" borderId="0" xfId="0" applyFont="1" applyFill="1"/>
    <xf numFmtId="38" fontId="5" fillId="2" borderId="0" xfId="0" applyNumberFormat="1" applyFont="1" applyFill="1"/>
    <xf numFmtId="166" fontId="5" fillId="2" borderId="0" xfId="0" applyNumberFormat="1" applyFont="1" applyFill="1"/>
    <xf numFmtId="0" fontId="0" fillId="2" borderId="14" xfId="0" applyFill="1" applyBorder="1"/>
    <xf numFmtId="0" fontId="157" fillId="2" borderId="18" xfId="0" applyFont="1" applyFill="1" applyBorder="1"/>
    <xf numFmtId="0" fontId="157" fillId="2" borderId="0" xfId="0" applyFont="1" applyFill="1"/>
    <xf numFmtId="0" fontId="9" fillId="2" borderId="18" xfId="0" applyFont="1" applyFill="1" applyBorder="1"/>
    <xf numFmtId="0" fontId="11" fillId="2" borderId="18" xfId="1" applyFont="1" applyFill="1" applyBorder="1"/>
    <xf numFmtId="0" fontId="156" fillId="2" borderId="0" xfId="0" applyFont="1" applyFill="1"/>
    <xf numFmtId="0" fontId="142" fillId="2" borderId="0" xfId="0" applyFont="1" applyFill="1"/>
    <xf numFmtId="164" fontId="3" fillId="2" borderId="1" xfId="0" applyNumberFormat="1" applyFont="1" applyFill="1" applyBorder="1" applyAlignment="1" applyProtection="1">
      <alignment horizontal="left"/>
      <protection locked="0"/>
    </xf>
    <xf numFmtId="164" fontId="16" fillId="4" borderId="1" xfId="0" applyNumberFormat="1" applyFont="1" applyFill="1" applyBorder="1" applyAlignment="1" applyProtection="1">
      <alignment horizontal="left"/>
      <protection locked="0"/>
    </xf>
    <xf numFmtId="0" fontId="3" fillId="2" borderId="3" xfId="0" applyFont="1" applyFill="1" applyBorder="1" applyProtection="1">
      <protection locked="0"/>
    </xf>
    <xf numFmtId="165" fontId="3" fillId="2" borderId="3" xfId="0" applyNumberFormat="1" applyFont="1" applyFill="1" applyBorder="1" applyProtection="1">
      <protection locked="0"/>
    </xf>
    <xf numFmtId="0" fontId="159" fillId="2" borderId="0" xfId="0" applyFont="1" applyFill="1"/>
    <xf numFmtId="0" fontId="112" fillId="2" borderId="0" xfId="0" applyFont="1" applyFill="1" applyAlignment="1">
      <alignment horizontal="center"/>
    </xf>
    <xf numFmtId="0" fontId="20" fillId="2" borderId="1" xfId="0" applyFont="1" applyFill="1" applyBorder="1" applyAlignment="1">
      <alignment vertical="center"/>
    </xf>
    <xf numFmtId="0" fontId="96" fillId="5" borderId="1" xfId="0" applyFont="1" applyFill="1" applyBorder="1" applyAlignment="1">
      <alignment vertical="center"/>
    </xf>
    <xf numFmtId="0" fontId="46" fillId="36" borderId="10" xfId="0" applyFont="1" applyFill="1" applyBorder="1" applyAlignment="1">
      <alignment horizontal="left" vertical="center"/>
    </xf>
    <xf numFmtId="6" fontId="32" fillId="9" borderId="3" xfId="0" applyNumberFormat="1" applyFont="1" applyFill="1" applyBorder="1" applyAlignment="1">
      <alignment horizontal="right" vertical="center" shrinkToFit="1"/>
    </xf>
    <xf numFmtId="6" fontId="32" fillId="2" borderId="3" xfId="0" applyNumberFormat="1" applyFont="1" applyFill="1" applyBorder="1" applyAlignment="1" applyProtection="1">
      <alignment horizontal="right" vertical="center" shrinkToFit="1"/>
      <protection locked="0"/>
    </xf>
    <xf numFmtId="6" fontId="32" fillId="15" borderId="3" xfId="0" applyNumberFormat="1" applyFont="1" applyFill="1" applyBorder="1" applyAlignment="1">
      <alignment horizontal="center" vertical="center" shrinkToFit="1"/>
    </xf>
    <xf numFmtId="8" fontId="32" fillId="9" borderId="3" xfId="0" applyNumberFormat="1" applyFont="1" applyFill="1" applyBorder="1" applyAlignment="1">
      <alignment horizontal="right" vertical="center" shrinkToFit="1"/>
    </xf>
    <xf numFmtId="0" fontId="45" fillId="12" borderId="1" xfId="0" applyFont="1" applyFill="1" applyBorder="1" applyAlignment="1">
      <alignment horizontal="center" vertical="center"/>
    </xf>
    <xf numFmtId="0" fontId="102" fillId="2" borderId="0" xfId="0" applyFont="1" applyFill="1"/>
    <xf numFmtId="0" fontId="56" fillId="24" borderId="0" xfId="0" applyFont="1" applyFill="1" applyAlignment="1">
      <alignment horizontal="center" vertical="center"/>
    </xf>
    <xf numFmtId="0" fontId="70" fillId="24" borderId="18" xfId="0" applyFont="1" applyFill="1" applyBorder="1"/>
    <xf numFmtId="0" fontId="134" fillId="24" borderId="0" xfId="0" applyFont="1" applyFill="1"/>
    <xf numFmtId="0" fontId="54" fillId="24" borderId="0" xfId="0" applyFont="1" applyFill="1"/>
    <xf numFmtId="0" fontId="33" fillId="24" borderId="0" xfId="0" applyFont="1" applyFill="1"/>
    <xf numFmtId="0" fontId="33" fillId="24" borderId="18" xfId="0" applyFont="1" applyFill="1" applyBorder="1"/>
    <xf numFmtId="0" fontId="31" fillId="2" borderId="2" xfId="0" applyFont="1" applyFill="1" applyBorder="1"/>
    <xf numFmtId="0" fontId="0" fillId="3" borderId="29" xfId="0" applyFill="1" applyBorder="1"/>
    <xf numFmtId="0" fontId="0" fillId="3" borderId="13" xfId="0" applyFill="1" applyBorder="1" applyAlignment="1">
      <alignment horizontal="center" vertical="center"/>
    </xf>
    <xf numFmtId="0" fontId="156" fillId="2" borderId="18" xfId="0" applyFont="1" applyFill="1" applyBorder="1"/>
    <xf numFmtId="0" fontId="3" fillId="31" borderId="5" xfId="0" applyFont="1" applyFill="1" applyBorder="1" applyAlignment="1" applyProtection="1">
      <alignment horizontal="left"/>
      <protection locked="0"/>
    </xf>
    <xf numFmtId="164" fontId="3" fillId="31" borderId="1" xfId="0" applyNumberFormat="1" applyFont="1" applyFill="1" applyBorder="1" applyAlignment="1" applyProtection="1">
      <alignment horizontal="left"/>
      <protection locked="0"/>
    </xf>
    <xf numFmtId="165" fontId="3" fillId="31" borderId="5" xfId="0" applyNumberFormat="1" applyFont="1" applyFill="1" applyBorder="1" applyAlignment="1" applyProtection="1">
      <alignment horizontal="left"/>
      <protection locked="0"/>
    </xf>
    <xf numFmtId="0" fontId="0" fillId="2" borderId="5" xfId="0" applyFill="1" applyBorder="1"/>
    <xf numFmtId="0" fontId="0" fillId="2" borderId="3" xfId="0" applyFill="1" applyBorder="1"/>
    <xf numFmtId="0" fontId="161" fillId="2" borderId="0" xfId="0" applyFont="1" applyFill="1"/>
    <xf numFmtId="0" fontId="163" fillId="2" borderId="0" xfId="0" applyFont="1" applyFill="1"/>
    <xf numFmtId="0" fontId="164" fillId="2" borderId="0" xfId="0" applyFont="1" applyFill="1"/>
    <xf numFmtId="0" fontId="18" fillId="2" borderId="8" xfId="0" applyFont="1" applyFill="1" applyBorder="1"/>
    <xf numFmtId="0" fontId="168" fillId="2" borderId="0" xfId="0" applyFont="1" applyFill="1"/>
    <xf numFmtId="0" fontId="169" fillId="2" borderId="0" xfId="0" applyFont="1" applyFill="1"/>
    <xf numFmtId="0" fontId="0" fillId="3" borderId="0" xfId="0" applyFill="1" applyAlignment="1">
      <alignment horizontal="center"/>
    </xf>
    <xf numFmtId="0" fontId="8" fillId="2" borderId="0" xfId="0" applyFont="1" applyFill="1" applyAlignment="1">
      <alignment horizontal="center" vertical="center"/>
    </xf>
    <xf numFmtId="0" fontId="3" fillId="8" borderId="0" xfId="0" applyFont="1" applyFill="1" applyAlignment="1">
      <alignment horizontal="center" vertical="center"/>
    </xf>
    <xf numFmtId="0" fontId="5" fillId="8" borderId="0" xfId="0" applyFont="1" applyFill="1"/>
    <xf numFmtId="0" fontId="0" fillId="3" borderId="27" xfId="0" applyFill="1" applyBorder="1" applyAlignment="1">
      <alignment horizontal="center"/>
    </xf>
    <xf numFmtId="0" fontId="137" fillId="2" borderId="1" xfId="0" applyFont="1" applyFill="1" applyBorder="1" applyAlignment="1">
      <alignment horizontal="center"/>
    </xf>
    <xf numFmtId="0" fontId="0" fillId="8" borderId="0" xfId="0" applyFill="1" applyAlignment="1">
      <alignment horizontal="left" wrapText="1"/>
    </xf>
    <xf numFmtId="0" fontId="7" fillId="9" borderId="1" xfId="0" applyFont="1" applyFill="1" applyBorder="1" applyAlignment="1">
      <alignment horizontal="center" vertical="center"/>
    </xf>
    <xf numFmtId="0" fontId="170" fillId="2" borderId="0" xfId="0" applyFont="1" applyFill="1"/>
    <xf numFmtId="0" fontId="171" fillId="2" borderId="0" xfId="0" applyFont="1" applyFill="1"/>
    <xf numFmtId="0" fontId="170" fillId="0" borderId="0" xfId="0" applyFont="1"/>
    <xf numFmtId="0" fontId="32" fillId="8" borderId="0" xfId="0" applyFont="1" applyFill="1"/>
    <xf numFmtId="0" fontId="0" fillId="3" borderId="12" xfId="0" applyFill="1" applyBorder="1" applyAlignment="1">
      <alignment horizontal="center" vertical="center"/>
    </xf>
    <xf numFmtId="0" fontId="0" fillId="2" borderId="5" xfId="0" applyFill="1" applyBorder="1" applyAlignment="1" applyProtection="1">
      <alignment horizontal="center" vertical="center"/>
      <protection locked="0"/>
    </xf>
    <xf numFmtId="0" fontId="0" fillId="3" borderId="26" xfId="0" applyFill="1" applyBorder="1" applyAlignment="1">
      <alignment horizontal="center" vertical="center"/>
    </xf>
    <xf numFmtId="0" fontId="0" fillId="3" borderId="1" xfId="0" applyFill="1" applyBorder="1" applyAlignment="1">
      <alignment horizontal="right" wrapText="1"/>
    </xf>
    <xf numFmtId="0" fontId="0" fillId="9" borderId="27" xfId="0" applyFill="1" applyBorder="1" applyAlignment="1">
      <alignment horizontal="center"/>
    </xf>
    <xf numFmtId="0" fontId="172" fillId="2" borderId="0" xfId="0" applyFont="1" applyFill="1"/>
    <xf numFmtId="0" fontId="31" fillId="2" borderId="0" xfId="0" applyFont="1" applyFill="1"/>
    <xf numFmtId="0" fontId="173" fillId="2" borderId="0" xfId="0" applyFont="1" applyFill="1"/>
    <xf numFmtId="0" fontId="174" fillId="2" borderId="0" xfId="0" applyFont="1" applyFill="1"/>
    <xf numFmtId="0" fontId="170" fillId="2" borderId="0" xfId="0" applyFont="1" applyFill="1" applyAlignment="1">
      <alignment horizontal="center"/>
    </xf>
    <xf numFmtId="1" fontId="4" fillId="9" borderId="1" xfId="0" applyNumberFormat="1" applyFont="1" applyFill="1" applyBorder="1" applyAlignment="1">
      <alignment horizontal="center"/>
    </xf>
    <xf numFmtId="0" fontId="156" fillId="2" borderId="20" xfId="0" applyFont="1" applyFill="1" applyBorder="1"/>
    <xf numFmtId="0" fontId="0" fillId="2" borderId="20" xfId="0" applyFill="1" applyBorder="1"/>
    <xf numFmtId="0" fontId="137"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8" fillId="8" borderId="0" xfId="0" applyFont="1" applyFill="1"/>
    <xf numFmtId="0" fontId="152" fillId="8" borderId="0" xfId="0" applyFont="1" applyFill="1"/>
    <xf numFmtId="9" fontId="0" fillId="8" borderId="0" xfId="2" applyFont="1" applyFill="1" applyBorder="1"/>
    <xf numFmtId="10" fontId="0" fillId="8" borderId="0" xfId="0" applyNumberFormat="1" applyFill="1"/>
    <xf numFmtId="10" fontId="145" fillId="2" borderId="0" xfId="0" applyNumberFormat="1" applyFont="1" applyFill="1" applyAlignment="1">
      <alignment horizontal="center"/>
    </xf>
    <xf numFmtId="0" fontId="18" fillId="8" borderId="8" xfId="0" applyFont="1" applyFill="1" applyBorder="1"/>
    <xf numFmtId="0" fontId="156" fillId="2" borderId="18" xfId="0" applyFont="1" applyFill="1" applyBorder="1" applyAlignment="1">
      <alignment horizontal="left"/>
    </xf>
    <xf numFmtId="0" fontId="156" fillId="2" borderId="0" xfId="0" applyFont="1" applyFill="1" applyAlignment="1">
      <alignment horizontal="left"/>
    </xf>
    <xf numFmtId="0" fontId="157" fillId="2" borderId="0" xfId="0" applyFont="1" applyFill="1" applyAlignment="1">
      <alignment horizontal="left"/>
    </xf>
    <xf numFmtId="0" fontId="157" fillId="2" borderId="20" xfId="0" applyFont="1" applyFill="1" applyBorder="1"/>
    <xf numFmtId="0" fontId="7" fillId="2" borderId="0" xfId="0" applyFont="1" applyFill="1" applyAlignment="1">
      <alignment horizontal="center" vertical="center"/>
    </xf>
    <xf numFmtId="0" fontId="37" fillId="2" borderId="2" xfId="0" applyFont="1" applyFill="1" applyBorder="1"/>
    <xf numFmtId="0" fontId="3" fillId="2" borderId="2" xfId="0" applyFont="1" applyFill="1" applyBorder="1"/>
    <xf numFmtId="0" fontId="163" fillId="2" borderId="2" xfId="0" applyFont="1" applyFill="1" applyBorder="1"/>
    <xf numFmtId="0" fontId="60" fillId="4" borderId="2" xfId="0" applyFont="1" applyFill="1" applyBorder="1"/>
    <xf numFmtId="0" fontId="37" fillId="2" borderId="0" xfId="0" applyFont="1" applyFill="1"/>
    <xf numFmtId="0" fontId="176" fillId="2" borderId="0" xfId="0" applyFont="1" applyFill="1"/>
    <xf numFmtId="0" fontId="142" fillId="2" borderId="0" xfId="0" applyFont="1" applyFill="1" applyAlignment="1">
      <alignment horizontal="left"/>
    </xf>
    <xf numFmtId="0" fontId="7" fillId="2" borderId="0" xfId="0" applyFont="1" applyFill="1" applyAlignment="1">
      <alignment horizontal="right" indent="1"/>
    </xf>
    <xf numFmtId="0" fontId="177" fillId="8" borderId="0" xfId="0" applyFont="1" applyFill="1"/>
    <xf numFmtId="0" fontId="178" fillId="2" borderId="0" xfId="0" applyFont="1" applyFill="1"/>
    <xf numFmtId="0" fontId="179" fillId="2" borderId="0" xfId="0" applyFont="1" applyFill="1"/>
    <xf numFmtId="0" fontId="180" fillId="2" borderId="0" xfId="0" applyFont="1" applyFill="1"/>
    <xf numFmtId="0" fontId="181" fillId="2" borderId="0" xfId="0" applyFont="1" applyFill="1"/>
    <xf numFmtId="9" fontId="86" fillId="24" borderId="0" xfId="0" applyNumberFormat="1" applyFont="1" applyFill="1"/>
    <xf numFmtId="0" fontId="182" fillId="4" borderId="2" xfId="0" applyFont="1" applyFill="1" applyBorder="1"/>
    <xf numFmtId="0" fontId="182" fillId="24" borderId="2" xfId="0" applyFont="1" applyFill="1" applyBorder="1"/>
    <xf numFmtId="0" fontId="182" fillId="2" borderId="2" xfId="0" applyFont="1" applyFill="1" applyBorder="1"/>
    <xf numFmtId="0" fontId="183" fillId="2" borderId="2" xfId="0" applyFont="1" applyFill="1" applyBorder="1"/>
    <xf numFmtId="0" fontId="183" fillId="2" borderId="0" xfId="0" applyFont="1" applyFill="1"/>
    <xf numFmtId="0" fontId="184" fillId="2" borderId="0" xfId="0" applyFont="1" applyFill="1"/>
    <xf numFmtId="0" fontId="182" fillId="2" borderId="0" xfId="0" applyFont="1" applyFill="1"/>
    <xf numFmtId="0" fontId="182" fillId="0" borderId="0" xfId="0" applyFont="1"/>
    <xf numFmtId="0" fontId="0" fillId="31" borderId="11" xfId="0" applyFill="1" applyBorder="1" applyAlignment="1" applyProtection="1">
      <alignment vertical="center"/>
      <protection locked="0"/>
    </xf>
    <xf numFmtId="0" fontId="36" fillId="37" borderId="0" xfId="0" applyFont="1" applyFill="1" applyAlignment="1">
      <alignment vertical="center"/>
    </xf>
    <xf numFmtId="0" fontId="189" fillId="37" borderId="0" xfId="0" applyFont="1" applyFill="1" applyAlignment="1">
      <alignment vertical="center"/>
    </xf>
    <xf numFmtId="0" fontId="7" fillId="0" borderId="1" xfId="0" applyFont="1" applyBorder="1" applyAlignment="1">
      <alignment horizontal="center" vertical="center"/>
    </xf>
    <xf numFmtId="0" fontId="7" fillId="8" borderId="1" xfId="0" applyFont="1" applyFill="1" applyBorder="1" applyAlignment="1">
      <alignment horizontal="center"/>
    </xf>
    <xf numFmtId="0" fontId="5" fillId="2" borderId="0" xfId="0" quotePrefix="1" applyFont="1" applyFill="1"/>
    <xf numFmtId="0" fontId="29" fillId="47" borderId="86" xfId="0" applyFont="1" applyFill="1" applyBorder="1" applyAlignment="1">
      <alignment horizontal="center"/>
    </xf>
    <xf numFmtId="0" fontId="29" fillId="47" borderId="86" xfId="0" applyFont="1" applyFill="1" applyBorder="1" applyAlignment="1">
      <alignment horizontal="center" vertical="center"/>
    </xf>
    <xf numFmtId="0" fontId="29" fillId="47" borderId="85" xfId="0" applyFont="1" applyFill="1" applyBorder="1" applyAlignment="1">
      <alignment horizontal="center"/>
    </xf>
    <xf numFmtId="0" fontId="29" fillId="47" borderId="85" xfId="0" applyFont="1" applyFill="1" applyBorder="1" applyAlignment="1">
      <alignment horizontal="center" vertical="center"/>
    </xf>
    <xf numFmtId="0" fontId="33" fillId="47" borderId="0" xfId="0" applyFont="1" applyFill="1"/>
    <xf numFmtId="0" fontId="11" fillId="2" borderId="0" xfId="1" applyFont="1" applyFill="1" applyProtection="1"/>
    <xf numFmtId="0" fontId="190" fillId="4" borderId="0" xfId="0" applyFont="1" applyFill="1"/>
    <xf numFmtId="0" fontId="191" fillId="4" borderId="0" xfId="0" applyFont="1" applyFill="1"/>
    <xf numFmtId="0" fontId="57" fillId="4" borderId="0" xfId="0" applyFont="1" applyFill="1" applyAlignment="1">
      <alignment horizontal="left"/>
    </xf>
    <xf numFmtId="0" fontId="151" fillId="47" borderId="0" xfId="0" applyFont="1" applyFill="1" applyAlignment="1">
      <alignment horizontal="left"/>
    </xf>
    <xf numFmtId="0" fontId="11" fillId="2" borderId="0" xfId="1" applyFont="1" applyFill="1" applyBorder="1" applyProtection="1"/>
    <xf numFmtId="0" fontId="17" fillId="2" borderId="0" xfId="1" applyFont="1" applyFill="1" applyBorder="1" applyProtection="1"/>
    <xf numFmtId="0" fontId="143" fillId="2" borderId="0" xfId="1" applyFont="1" applyFill="1" applyBorder="1" applyProtection="1"/>
    <xf numFmtId="0" fontId="113" fillId="2" borderId="0" xfId="1" applyFont="1" applyFill="1" applyBorder="1" applyProtection="1"/>
    <xf numFmtId="0" fontId="158" fillId="2" borderId="0" xfId="1" applyFont="1" applyFill="1" applyProtection="1"/>
    <xf numFmtId="0" fontId="3" fillId="31" borderId="3" xfId="0" applyFont="1" applyFill="1" applyBorder="1" applyAlignment="1" applyProtection="1">
      <alignment vertical="center" wrapText="1"/>
      <protection locked="0"/>
    </xf>
    <xf numFmtId="177" fontId="3" fillId="31" borderId="1" xfId="0" applyNumberFormat="1" applyFont="1" applyFill="1" applyBorder="1" applyAlignment="1" applyProtection="1">
      <alignment horizontal="left"/>
      <protection locked="0"/>
    </xf>
    <xf numFmtId="177" fontId="3" fillId="2" borderId="1" xfId="0" applyNumberFormat="1" applyFont="1" applyFill="1" applyBorder="1" applyAlignment="1" applyProtection="1">
      <alignment horizontal="left"/>
      <protection locked="0"/>
    </xf>
    <xf numFmtId="0" fontId="4" fillId="2" borderId="0" xfId="0" applyFont="1" applyFill="1" applyAlignment="1">
      <alignment horizontal="center" vertical="center"/>
    </xf>
    <xf numFmtId="0" fontId="63" fillId="24" borderId="0" xfId="0" applyFont="1" applyFill="1" applyAlignment="1">
      <alignment horizontal="center" vertical="center"/>
    </xf>
    <xf numFmtId="0" fontId="11" fillId="24" borderId="0" xfId="1" applyFont="1" applyFill="1" applyBorder="1" applyProtection="1"/>
    <xf numFmtId="0" fontId="0" fillId="24" borderId="0" xfId="0" applyFill="1"/>
    <xf numFmtId="0" fontId="32" fillId="0" borderId="1" xfId="0" applyFont="1" applyBorder="1"/>
    <xf numFmtId="0" fontId="128" fillId="0" borderId="0" xfId="0" applyFont="1" applyAlignment="1">
      <alignment vertical="center"/>
    </xf>
    <xf numFmtId="0" fontId="70" fillId="2" borderId="0" xfId="0" applyFont="1" applyFill="1" applyAlignment="1">
      <alignment vertical="top" wrapText="1"/>
    </xf>
    <xf numFmtId="0" fontId="100" fillId="2" borderId="0" xfId="0" applyFont="1" applyFill="1" applyAlignment="1">
      <alignment horizontal="left"/>
    </xf>
    <xf numFmtId="0" fontId="32" fillId="2" borderId="0" xfId="0" applyFont="1" applyFill="1" applyAlignment="1">
      <alignment horizontal="left"/>
    </xf>
    <xf numFmtId="9" fontId="0" fillId="31" borderId="1" xfId="2" applyFont="1" applyFill="1" applyBorder="1" applyProtection="1">
      <protection locked="0"/>
    </xf>
    <xf numFmtId="0" fontId="11" fillId="2" borderId="0" xfId="1" applyFont="1" applyFill="1" applyProtection="1">
      <protection locked="0"/>
    </xf>
    <xf numFmtId="0" fontId="11" fillId="2" borderId="0" xfId="1" applyFont="1" applyFill="1" applyAlignment="1" applyProtection="1">
      <protection locked="0"/>
    </xf>
    <xf numFmtId="0" fontId="5" fillId="2" borderId="0" xfId="0" applyFont="1" applyFill="1" applyProtection="1">
      <protection locked="0"/>
    </xf>
    <xf numFmtId="0" fontId="0" fillId="0" borderId="0" xfId="0" applyProtection="1">
      <protection locked="0"/>
    </xf>
    <xf numFmtId="0" fontId="0" fillId="31" borderId="1" xfId="0" applyFill="1" applyBorder="1" applyProtection="1">
      <protection locked="0"/>
    </xf>
    <xf numFmtId="172" fontId="3" fillId="2" borderId="1" xfId="0" applyNumberFormat="1" applyFont="1" applyFill="1" applyBorder="1" applyAlignment="1" applyProtection="1">
      <alignment wrapText="1"/>
      <protection locked="0"/>
    </xf>
    <xf numFmtId="49" fontId="3" fillId="31" borderId="1" xfId="0" applyNumberFormat="1" applyFont="1" applyFill="1" applyBorder="1" applyProtection="1">
      <protection locked="0"/>
    </xf>
    <xf numFmtId="186" fontId="3" fillId="6" borderId="1" xfId="0" applyNumberFormat="1" applyFont="1" applyFill="1" applyBorder="1" applyAlignment="1" applyProtection="1">
      <alignment wrapText="1"/>
      <protection locked="0"/>
    </xf>
    <xf numFmtId="188" fontId="3" fillId="31" borderId="1" xfId="0" applyNumberFormat="1" applyFont="1" applyFill="1" applyBorder="1" applyProtection="1">
      <protection locked="0"/>
    </xf>
    <xf numFmtId="188" fontId="3" fillId="31" borderId="1" xfId="0" applyNumberFormat="1" applyFont="1" applyFill="1" applyBorder="1" applyAlignment="1" applyProtection="1">
      <alignment vertical="center" wrapText="1"/>
      <protection locked="0"/>
    </xf>
    <xf numFmtId="164" fontId="3" fillId="31" borderId="5" xfId="0" applyNumberFormat="1" applyFont="1" applyFill="1" applyBorder="1" applyAlignment="1" applyProtection="1">
      <alignment horizontal="left"/>
      <protection locked="0"/>
    </xf>
    <xf numFmtId="164" fontId="3" fillId="2" borderId="5" xfId="0" applyNumberFormat="1" applyFont="1" applyFill="1" applyBorder="1" applyAlignment="1" applyProtection="1">
      <alignment horizontal="left"/>
      <protection locked="0"/>
    </xf>
    <xf numFmtId="0" fontId="4" fillId="8" borderId="5" xfId="0" applyFont="1" applyFill="1" applyBorder="1"/>
    <xf numFmtId="0" fontId="4" fillId="2" borderId="3" xfId="0" applyFont="1" applyFill="1" applyBorder="1"/>
    <xf numFmtId="0" fontId="192" fillId="2" borderId="0" xfId="0" applyFont="1" applyFill="1"/>
    <xf numFmtId="0" fontId="18" fillId="8" borderId="0" xfId="0" applyFont="1" applyFill="1" applyAlignment="1">
      <alignment horizontal="left" vertical="top"/>
    </xf>
    <xf numFmtId="0" fontId="18" fillId="8" borderId="8" xfId="0" applyFont="1" applyFill="1" applyBorder="1" applyAlignment="1">
      <alignment horizontal="left" vertical="top"/>
    </xf>
    <xf numFmtId="0" fontId="0" fillId="8" borderId="0" xfId="0" applyFill="1" applyAlignment="1">
      <alignment horizontal="left" vertical="top"/>
    </xf>
    <xf numFmtId="0" fontId="169" fillId="2" borderId="0" xfId="0" applyFont="1" applyFill="1" applyAlignment="1">
      <alignment vertical="center"/>
    </xf>
    <xf numFmtId="177" fontId="3" fillId="2" borderId="3" xfId="0" applyNumberFormat="1" applyFont="1" applyFill="1" applyBorder="1" applyAlignment="1" applyProtection="1">
      <alignment vertical="center" wrapText="1"/>
      <protection locked="0"/>
    </xf>
    <xf numFmtId="0" fontId="193" fillId="2" borderId="0" xfId="1" applyFont="1" applyFill="1" applyBorder="1" applyProtection="1">
      <protection locked="0"/>
    </xf>
    <xf numFmtId="0" fontId="194" fillId="2" borderId="0" xfId="1" applyFont="1" applyFill="1" applyBorder="1" applyProtection="1">
      <protection locked="0"/>
    </xf>
    <xf numFmtId="0" fontId="0" fillId="8" borderId="0" xfId="0" applyFill="1" applyProtection="1">
      <protection locked="0"/>
    </xf>
    <xf numFmtId="0" fontId="0" fillId="2" borderId="0" xfId="0" applyFill="1" applyAlignment="1">
      <alignment horizontal="left" wrapText="1"/>
    </xf>
    <xf numFmtId="0" fontId="0" fillId="0" borderId="1" xfId="0" applyBorder="1" applyAlignment="1">
      <alignment horizontal="left"/>
    </xf>
    <xf numFmtId="42" fontId="129" fillId="0" borderId="1" xfId="4" applyNumberFormat="1" applyFont="1" applyBorder="1" applyProtection="1">
      <protection locked="0"/>
    </xf>
    <xf numFmtId="42" fontId="129" fillId="9" borderId="1" xfId="4" applyNumberFormat="1" applyFont="1" applyFill="1" applyBorder="1"/>
    <xf numFmtId="172" fontId="86" fillId="25" borderId="11" xfId="0" applyNumberFormat="1" applyFont="1" applyFill="1" applyBorder="1" applyAlignment="1">
      <alignment horizontal="right"/>
    </xf>
    <xf numFmtId="0" fontId="76" fillId="2" borderId="0" xfId="0" applyFont="1" applyFill="1"/>
    <xf numFmtId="0" fontId="4" fillId="2" borderId="0" xfId="0" applyFont="1" applyFill="1" applyAlignment="1">
      <alignment horizontal="right"/>
    </xf>
    <xf numFmtId="0" fontId="32" fillId="2" borderId="0" xfId="0" applyFont="1" applyFill="1" applyAlignment="1">
      <alignment horizontal="center" vertical="center"/>
    </xf>
    <xf numFmtId="0" fontId="5" fillId="2" borderId="0" xfId="0" applyFont="1" applyFill="1" applyAlignment="1">
      <alignment vertical="center"/>
    </xf>
    <xf numFmtId="0" fontId="198" fillId="2" borderId="0" xfId="0" applyFont="1" applyFill="1"/>
    <xf numFmtId="0" fontId="110" fillId="2" borderId="0" xfId="0" applyFont="1" applyFill="1"/>
    <xf numFmtId="0" fontId="20" fillId="2" borderId="0" xfId="0" applyFont="1" applyFill="1" applyAlignment="1">
      <alignment vertical="top" wrapText="1"/>
    </xf>
    <xf numFmtId="0" fontId="70" fillId="2" borderId="0" xfId="0" applyFont="1" applyFill="1" applyAlignment="1">
      <alignment horizontal="left" vertical="top" wrapText="1"/>
    </xf>
    <xf numFmtId="1" fontId="7" fillId="9" borderId="1" xfId="0" applyNumberFormat="1" applyFont="1" applyFill="1" applyBorder="1" applyAlignment="1">
      <alignment horizontal="center"/>
    </xf>
    <xf numFmtId="172" fontId="3" fillId="2" borderId="1" xfId="0" applyNumberFormat="1" applyFont="1" applyFill="1" applyBorder="1" applyProtection="1">
      <protection locked="0"/>
    </xf>
    <xf numFmtId="172" fontId="3" fillId="2" borderId="5" xfId="0" applyNumberFormat="1" applyFont="1" applyFill="1" applyBorder="1" applyProtection="1">
      <protection locked="0"/>
    </xf>
    <xf numFmtId="0" fontId="200" fillId="2" borderId="0" xfId="0" applyFont="1" applyFill="1"/>
    <xf numFmtId="0" fontId="199" fillId="2" borderId="0" xfId="0" applyFont="1" applyFill="1"/>
    <xf numFmtId="0" fontId="199" fillId="0" borderId="0" xfId="0" applyFont="1"/>
    <xf numFmtId="0" fontId="200" fillId="2" borderId="0" xfId="0" applyFont="1" applyFill="1" applyAlignment="1">
      <alignment horizontal="right" vertical="top"/>
    </xf>
    <xf numFmtId="0" fontId="201" fillId="0" borderId="0" xfId="0" applyFont="1"/>
    <xf numFmtId="0" fontId="202" fillId="0" borderId="0" xfId="0" applyFont="1"/>
    <xf numFmtId="0" fontId="31" fillId="8" borderId="0" xfId="0" applyFont="1" applyFill="1"/>
    <xf numFmtId="0" fontId="14" fillId="2" borderId="40" xfId="1" applyFont="1" applyFill="1" applyBorder="1" applyAlignment="1" applyProtection="1">
      <alignment vertical="center"/>
      <protection locked="0"/>
    </xf>
    <xf numFmtId="0" fontId="2" fillId="4" borderId="0" xfId="0" applyFont="1" applyFill="1"/>
    <xf numFmtId="0" fontId="2" fillId="24" borderId="0" xfId="0" applyFont="1" applyFill="1"/>
    <xf numFmtId="0" fontId="2" fillId="2" borderId="0" xfId="0" applyFont="1" applyFill="1"/>
    <xf numFmtId="0" fontId="2" fillId="0" borderId="0" xfId="0" applyFont="1"/>
    <xf numFmtId="0" fontId="2" fillId="2" borderId="18" xfId="0" applyFont="1" applyFill="1" applyBorder="1"/>
    <xf numFmtId="0" fontId="2" fillId="4" borderId="2" xfId="0" applyFont="1" applyFill="1" applyBorder="1"/>
    <xf numFmtId="0" fontId="2" fillId="24" borderId="2" xfId="0" applyFont="1" applyFill="1" applyBorder="1"/>
    <xf numFmtId="10" fontId="2" fillId="2" borderId="11" xfId="0" applyNumberFormat="1" applyFont="1" applyFill="1" applyBorder="1" applyProtection="1">
      <protection locked="0"/>
    </xf>
    <xf numFmtId="10" fontId="2" fillId="9" borderId="11" xfId="0" applyNumberFormat="1" applyFont="1" applyFill="1" applyBorder="1"/>
    <xf numFmtId="0" fontId="2" fillId="7" borderId="11" xfId="0" applyFont="1" applyFill="1" applyBorder="1"/>
    <xf numFmtId="10" fontId="2" fillId="9" borderId="24" xfId="0" applyNumberFormat="1" applyFont="1" applyFill="1" applyBorder="1"/>
    <xf numFmtId="168" fontId="2" fillId="17" borderId="23" xfId="0" applyNumberFormat="1" applyFont="1" applyFill="1" applyBorder="1"/>
    <xf numFmtId="0" fontId="2" fillId="24" borderId="0" xfId="0" applyFont="1" applyFill="1" applyAlignment="1">
      <alignment horizontal="left" wrapText="1"/>
    </xf>
    <xf numFmtId="0" fontId="2" fillId="4" borderId="18" xfId="0" applyFont="1" applyFill="1" applyBorder="1"/>
    <xf numFmtId="0" fontId="2" fillId="4" borderId="0" xfId="0" applyFont="1" applyFill="1" applyAlignment="1">
      <alignment horizontal="left" wrapText="1"/>
    </xf>
    <xf numFmtId="0" fontId="0" fillId="3" borderId="1" xfId="0" applyFill="1" applyBorder="1"/>
    <xf numFmtId="0" fontId="4" fillId="27" borderId="1" xfId="0" applyFont="1" applyFill="1" applyBorder="1" applyAlignment="1">
      <alignment horizontal="center"/>
    </xf>
    <xf numFmtId="0" fontId="9" fillId="4" borderId="0" xfId="0" applyFont="1" applyFill="1"/>
    <xf numFmtId="0" fontId="20" fillId="4" borderId="0" xfId="0" applyFont="1" applyFill="1"/>
    <xf numFmtId="0" fontId="37" fillId="4" borderId="2" xfId="0" applyFont="1" applyFill="1" applyBorder="1"/>
    <xf numFmtId="0" fontId="18" fillId="24" borderId="0" xfId="0" applyFont="1" applyFill="1"/>
    <xf numFmtId="0" fontId="100" fillId="25" borderId="11" xfId="0" applyFont="1" applyFill="1" applyBorder="1" applyAlignment="1">
      <alignment horizontal="left" vertical="center"/>
    </xf>
    <xf numFmtId="0" fontId="100" fillId="25" borderId="11" xfId="0" applyFont="1" applyFill="1" applyBorder="1" applyAlignment="1">
      <alignment horizontal="right" vertical="center"/>
    </xf>
    <xf numFmtId="0" fontId="100" fillId="25" borderId="11" xfId="0" applyFont="1" applyFill="1" applyBorder="1" applyAlignment="1">
      <alignment horizontal="right" vertical="center" wrapText="1"/>
    </xf>
    <xf numFmtId="167" fontId="5" fillId="2" borderId="0" xfId="0" applyNumberFormat="1" applyFont="1" applyFill="1"/>
    <xf numFmtId="5" fontId="5" fillId="2" borderId="0" xfId="0" applyNumberFormat="1" applyFont="1" applyFill="1"/>
    <xf numFmtId="0" fontId="18" fillId="4" borderId="0" xfId="0" applyFont="1" applyFill="1"/>
    <xf numFmtId="169" fontId="14" fillId="4" borderId="1" xfId="0" applyNumberFormat="1" applyFont="1" applyFill="1" applyBorder="1" applyAlignment="1" applyProtection="1">
      <alignment horizontal="right"/>
      <protection locked="0"/>
    </xf>
    <xf numFmtId="0" fontId="126" fillId="24" borderId="0" xfId="0" applyFont="1" applyFill="1"/>
    <xf numFmtId="0" fontId="16" fillId="4" borderId="0" xfId="0" applyFont="1" applyFill="1" applyAlignment="1">
      <alignment wrapText="1"/>
    </xf>
    <xf numFmtId="0" fontId="19" fillId="4" borderId="2" xfId="0" applyFont="1" applyFill="1" applyBorder="1"/>
    <xf numFmtId="0" fontId="3" fillId="31" borderId="5" xfId="0" applyFont="1" applyFill="1" applyBorder="1" applyProtection="1">
      <protection locked="0"/>
    </xf>
    <xf numFmtId="0" fontId="18" fillId="40" borderId="0" xfId="0" applyFont="1" applyFill="1"/>
    <xf numFmtId="0" fontId="0" fillId="40" borderId="0" xfId="0" applyFill="1"/>
    <xf numFmtId="0" fontId="31" fillId="40" borderId="0" xfId="0" applyFont="1" applyFill="1"/>
    <xf numFmtId="0" fontId="103" fillId="40" borderId="0" xfId="0" applyFont="1" applyFill="1"/>
    <xf numFmtId="0" fontId="4" fillId="40" borderId="0" xfId="0" applyFont="1" applyFill="1"/>
    <xf numFmtId="0" fontId="141" fillId="40" borderId="0" xfId="0" applyFont="1" applyFill="1"/>
    <xf numFmtId="0" fontId="19" fillId="40" borderId="0" xfId="0" applyFont="1" applyFill="1"/>
    <xf numFmtId="0" fontId="125" fillId="40" borderId="0" xfId="0" applyFont="1" applyFill="1"/>
    <xf numFmtId="0" fontId="20" fillId="40" borderId="0" xfId="0" applyFont="1" applyFill="1"/>
    <xf numFmtId="0" fontId="32" fillId="40" borderId="0" xfId="0" applyFont="1" applyFill="1"/>
    <xf numFmtId="0" fontId="37" fillId="40" borderId="0" xfId="0" applyFont="1" applyFill="1"/>
    <xf numFmtId="0" fontId="12" fillId="40" borderId="0" xfId="0" applyFont="1" applyFill="1" applyAlignment="1">
      <alignment vertical="top"/>
    </xf>
    <xf numFmtId="0" fontId="5" fillId="40" borderId="0" xfId="0" applyFont="1" applyFill="1"/>
    <xf numFmtId="0" fontId="3" fillId="40" borderId="0" xfId="0" applyFont="1" applyFill="1"/>
    <xf numFmtId="0" fontId="0" fillId="40" borderId="0" xfId="0" applyFill="1" applyAlignment="1">
      <alignment horizontal="right"/>
    </xf>
    <xf numFmtId="0" fontId="3" fillId="40" borderId="0" xfId="0" applyFont="1" applyFill="1" applyAlignment="1">
      <alignment wrapText="1"/>
    </xf>
    <xf numFmtId="0" fontId="7" fillId="40" borderId="0" xfId="0" applyFont="1" applyFill="1" applyAlignment="1">
      <alignment horizontal="left" vertical="center"/>
    </xf>
    <xf numFmtId="0" fontId="108" fillId="40" borderId="0" xfId="0" applyFont="1" applyFill="1" applyAlignment="1">
      <alignment horizontal="right" vertical="top"/>
    </xf>
    <xf numFmtId="0" fontId="3" fillId="40" borderId="0" xfId="0" quotePrefix="1" applyFont="1" applyFill="1" applyAlignment="1">
      <alignment horizontal="right"/>
    </xf>
    <xf numFmtId="0" fontId="7" fillId="40" borderId="0" xfId="0" applyFont="1" applyFill="1"/>
    <xf numFmtId="9" fontId="0" fillId="40" borderId="0" xfId="0" applyNumberFormat="1" applyFill="1"/>
    <xf numFmtId="0" fontId="11" fillId="40" borderId="0" xfId="1" applyFont="1" applyFill="1" applyBorder="1" applyAlignment="1">
      <alignment wrapText="1"/>
    </xf>
    <xf numFmtId="0" fontId="22" fillId="40" borderId="0" xfId="0" applyFont="1" applyFill="1" applyAlignment="1">
      <alignment horizontal="right"/>
    </xf>
    <xf numFmtId="0" fontId="0" fillId="40" borderId="0" xfId="0" applyFill="1" applyAlignment="1">
      <alignment horizontal="right" vertical="center"/>
    </xf>
    <xf numFmtId="0" fontId="8" fillId="40" borderId="0" xfId="0" applyFont="1" applyFill="1"/>
    <xf numFmtId="0" fontId="7" fillId="40" borderId="0" xfId="0" applyFont="1" applyFill="1" applyAlignment="1">
      <alignment horizontal="right" vertical="center"/>
    </xf>
    <xf numFmtId="0" fontId="3" fillId="40" borderId="0" xfId="0" applyFont="1" applyFill="1" applyAlignment="1">
      <alignment horizontal="right" wrapText="1"/>
    </xf>
    <xf numFmtId="0" fontId="3" fillId="40" borderId="0" xfId="0" applyFont="1" applyFill="1" applyAlignment="1">
      <alignment vertical="top" wrapText="1"/>
    </xf>
    <xf numFmtId="0" fontId="88" fillId="40" borderId="0" xfId="0" applyFont="1" applyFill="1"/>
    <xf numFmtId="0" fontId="0" fillId="40" borderId="0" xfId="0" quotePrefix="1" applyFill="1"/>
    <xf numFmtId="0" fontId="3" fillId="40" borderId="0" xfId="0" applyFont="1" applyFill="1" applyAlignment="1">
      <alignment vertical="center" wrapText="1"/>
    </xf>
    <xf numFmtId="0" fontId="3" fillId="40" borderId="0" xfId="0" applyFont="1" applyFill="1" applyAlignment="1">
      <alignment horizontal="right" vertical="center" wrapText="1"/>
    </xf>
    <xf numFmtId="0" fontId="7" fillId="40" borderId="0" xfId="0" applyFont="1" applyFill="1" applyAlignment="1">
      <alignment vertical="center"/>
    </xf>
    <xf numFmtId="0" fontId="0" fillId="40" borderId="0" xfId="0" applyFill="1" applyProtection="1">
      <protection locked="0"/>
    </xf>
    <xf numFmtId="164" fontId="3" fillId="40" borderId="0" xfId="0" applyNumberFormat="1" applyFont="1" applyFill="1" applyAlignment="1">
      <alignment horizontal="left"/>
    </xf>
    <xf numFmtId="164" fontId="16" fillId="40" borderId="0" xfId="0" applyNumberFormat="1" applyFont="1" applyFill="1" applyAlignment="1">
      <alignment horizontal="left"/>
    </xf>
    <xf numFmtId="0" fontId="0" fillId="40" borderId="0" xfId="0" applyFill="1" applyAlignment="1">
      <alignment horizontal="right" wrapText="1"/>
    </xf>
    <xf numFmtId="0" fontId="7" fillId="40" borderId="0" xfId="0" applyFont="1" applyFill="1" applyAlignment="1">
      <alignment horizontal="right" indent="1"/>
    </xf>
    <xf numFmtId="0" fontId="7" fillId="40" borderId="0" xfId="0" applyFont="1" applyFill="1" applyAlignment="1">
      <alignment horizontal="right"/>
    </xf>
    <xf numFmtId="0" fontId="147" fillId="40" borderId="0" xfId="0" applyFont="1" applyFill="1" applyAlignment="1">
      <alignment horizontal="left" vertical="top"/>
    </xf>
    <xf numFmtId="0" fontId="16" fillId="40" borderId="0" xfId="0" applyFont="1" applyFill="1" applyAlignment="1">
      <alignment horizontal="left" vertical="top"/>
    </xf>
    <xf numFmtId="0" fontId="0" fillId="40" borderId="0" xfId="0" applyFill="1" applyAlignment="1">
      <alignment wrapText="1"/>
    </xf>
    <xf numFmtId="0" fontId="0" fillId="40" borderId="0" xfId="0" applyFill="1" applyAlignment="1">
      <alignment horizontal="right" vertical="center" wrapText="1"/>
    </xf>
    <xf numFmtId="165" fontId="3" fillId="40" borderId="0" xfId="0" applyNumberFormat="1" applyFont="1" applyFill="1"/>
    <xf numFmtId="167" fontId="0" fillId="40" borderId="0" xfId="0" applyNumberFormat="1" applyFill="1"/>
    <xf numFmtId="0" fontId="0" fillId="40" borderId="0" xfId="0" applyFill="1" applyAlignment="1">
      <alignment horizontal="center" wrapText="1"/>
    </xf>
    <xf numFmtId="0" fontId="7" fillId="40" borderId="0" xfId="0" applyFont="1" applyFill="1" applyAlignment="1">
      <alignment horizontal="left" vertical="top"/>
    </xf>
    <xf numFmtId="0" fontId="0" fillId="40" borderId="0" xfId="0" applyFill="1" applyAlignment="1">
      <alignment horizontal="right" vertical="top"/>
    </xf>
    <xf numFmtId="0" fontId="22" fillId="40" borderId="0" xfId="0" applyFont="1" applyFill="1" applyAlignment="1">
      <alignment horizontal="right" vertical="top"/>
    </xf>
    <xf numFmtId="0" fontId="3" fillId="40" borderId="0" xfId="0" applyFont="1" applyFill="1" applyAlignment="1">
      <alignment horizontal="center" vertical="center" wrapText="1"/>
    </xf>
    <xf numFmtId="0" fontId="22" fillId="40" borderId="0" xfId="0" applyFont="1" applyFill="1" applyAlignment="1">
      <alignment horizontal="left" vertical="top"/>
    </xf>
    <xf numFmtId="0" fontId="3" fillId="40" borderId="0" xfId="0" applyFont="1" applyFill="1" applyAlignment="1">
      <alignment horizontal="right" vertical="top"/>
    </xf>
    <xf numFmtId="0" fontId="197" fillId="40" borderId="0" xfId="0" applyFont="1" applyFill="1" applyAlignment="1">
      <alignment horizontal="left" vertical="top"/>
    </xf>
    <xf numFmtId="0" fontId="159" fillId="40" borderId="0" xfId="0" applyFont="1" applyFill="1" applyAlignment="1">
      <alignment wrapText="1"/>
    </xf>
    <xf numFmtId="0" fontId="159" fillId="40" borderId="0" xfId="0" applyFont="1" applyFill="1"/>
    <xf numFmtId="0" fontId="38" fillId="40" borderId="0" xfId="0" applyFont="1" applyFill="1" applyAlignment="1">
      <alignment horizontal="right" vertical="center"/>
    </xf>
    <xf numFmtId="0" fontId="126" fillId="40" borderId="0" xfId="0" applyFont="1" applyFill="1"/>
    <xf numFmtId="0" fontId="3" fillId="40" borderId="0" xfId="0" applyFont="1" applyFill="1" applyAlignment="1">
      <alignment horizontal="left" vertical="top"/>
    </xf>
    <xf numFmtId="0" fontId="132" fillId="40" borderId="0" xfId="0" applyFont="1" applyFill="1" applyAlignment="1">
      <alignment horizontal="right" vertical="top"/>
    </xf>
    <xf numFmtId="0" fontId="60" fillId="40" borderId="0" xfId="0" applyFont="1" applyFill="1"/>
    <xf numFmtId="0" fontId="70" fillId="40" borderId="0" xfId="0" applyFont="1" applyFill="1"/>
    <xf numFmtId="0" fontId="195" fillId="40" borderId="0" xfId="0" applyFont="1" applyFill="1"/>
    <xf numFmtId="0" fontId="68" fillId="40" borderId="0" xfId="0" applyFont="1" applyFill="1"/>
    <xf numFmtId="0" fontId="68" fillId="40" borderId="0" xfId="0" applyFont="1" applyFill="1" applyAlignment="1">
      <alignment vertical="center"/>
    </xf>
    <xf numFmtId="0" fontId="68" fillId="40" borderId="1" xfId="0" applyFont="1" applyFill="1" applyBorder="1" applyProtection="1">
      <protection locked="0"/>
    </xf>
    <xf numFmtId="0" fontId="68" fillId="40" borderId="0" xfId="0" applyFont="1" applyFill="1" applyAlignment="1">
      <alignment horizontal="left" vertical="center"/>
    </xf>
    <xf numFmtId="0" fontId="67" fillId="40" borderId="0" xfId="0" applyFont="1" applyFill="1" applyAlignment="1">
      <alignment horizontal="center" vertical="center"/>
    </xf>
    <xf numFmtId="0" fontId="154" fillId="40" borderId="0" xfId="0" applyFont="1" applyFill="1"/>
    <xf numFmtId="6" fontId="70" fillId="40" borderId="0" xfId="0" applyNumberFormat="1" applyFont="1" applyFill="1" applyAlignment="1">
      <alignment horizontal="right"/>
    </xf>
    <xf numFmtId="6" fontId="70" fillId="40" borderId="0" xfId="0" applyNumberFormat="1" applyFont="1" applyFill="1"/>
    <xf numFmtId="38" fontId="89" fillId="40" borderId="0" xfId="0" applyNumberFormat="1" applyFont="1" applyFill="1"/>
    <xf numFmtId="38" fontId="89" fillId="40" borderId="0" xfId="0" applyNumberFormat="1" applyFont="1" applyFill="1" applyAlignment="1">
      <alignment horizontal="center"/>
    </xf>
    <xf numFmtId="0" fontId="62" fillId="40" borderId="0" xfId="0" applyFont="1" applyFill="1" applyAlignment="1">
      <alignment vertical="top" wrapText="1"/>
    </xf>
    <xf numFmtId="0" fontId="58" fillId="40" borderId="0" xfId="0" applyFont="1" applyFill="1" applyAlignment="1">
      <alignment horizontal="right" vertical="center"/>
    </xf>
    <xf numFmtId="0" fontId="59" fillId="40" borderId="0" xfId="0" applyFont="1" applyFill="1" applyAlignment="1">
      <alignment horizontal="left"/>
    </xf>
    <xf numFmtId="0" fontId="34" fillId="40" borderId="0" xfId="0" applyFont="1" applyFill="1"/>
    <xf numFmtId="0" fontId="61" fillId="40" borderId="0" xfId="0" applyFont="1" applyFill="1"/>
    <xf numFmtId="0" fontId="65" fillId="40" borderId="0" xfId="0" applyFont="1" applyFill="1"/>
    <xf numFmtId="38" fontId="84" fillId="40" borderId="0" xfId="0" applyNumberFormat="1" applyFont="1" applyFill="1"/>
    <xf numFmtId="0" fontId="160" fillId="40" borderId="0" xfId="0" applyFont="1" applyFill="1"/>
    <xf numFmtId="0" fontId="70" fillId="40" borderId="0" xfId="0" applyFont="1" applyFill="1" applyAlignment="1">
      <alignment horizontal="center" vertical="center" wrapText="1"/>
    </xf>
    <xf numFmtId="0" fontId="59" fillId="40" borderId="0" xfId="0" applyFont="1" applyFill="1" applyAlignment="1">
      <alignment horizontal="center" vertical="center" wrapText="1"/>
    </xf>
    <xf numFmtId="0" fontId="59" fillId="40" borderId="0" xfId="0" applyFont="1" applyFill="1" applyAlignment="1">
      <alignment vertical="center" wrapText="1"/>
    </xf>
    <xf numFmtId="0" fontId="59" fillId="55" borderId="0" xfId="0" applyFont="1" applyFill="1"/>
    <xf numFmtId="0" fontId="58" fillId="40" borderId="0" xfId="0" applyFont="1" applyFill="1" applyAlignment="1">
      <alignment wrapText="1"/>
    </xf>
    <xf numFmtId="0" fontId="70" fillId="40" borderId="18" xfId="0" applyFont="1" applyFill="1" applyBorder="1"/>
    <xf numFmtId="0" fontId="86" fillId="55" borderId="0" xfId="0" applyFont="1" applyFill="1"/>
    <xf numFmtId="0" fontId="66" fillId="55" borderId="20" xfId="0" applyFont="1" applyFill="1" applyBorder="1"/>
    <xf numFmtId="0" fontId="66" fillId="55" borderId="0" xfId="0" applyFont="1" applyFill="1"/>
    <xf numFmtId="0" fontId="29" fillId="55" borderId="0" xfId="0" applyFont="1" applyFill="1"/>
    <xf numFmtId="0" fontId="0" fillId="55" borderId="0" xfId="0" applyFill="1"/>
    <xf numFmtId="0" fontId="114" fillId="55" borderId="0" xfId="0" applyFont="1" applyFill="1" applyAlignment="1">
      <alignment horizontal="left"/>
    </xf>
    <xf numFmtId="0" fontId="3" fillId="55" borderId="0" xfId="0" applyFont="1" applyFill="1" applyAlignment="1">
      <alignment horizontal="center" vertical="center"/>
    </xf>
    <xf numFmtId="0" fontId="114" fillId="55" borderId="0" xfId="0" applyFont="1" applyFill="1" applyAlignment="1">
      <alignment vertical="center" wrapText="1"/>
    </xf>
    <xf numFmtId="0" fontId="20" fillId="55" borderId="0" xfId="0" applyFont="1" applyFill="1"/>
    <xf numFmtId="0" fontId="39" fillId="55" borderId="0" xfId="0" applyFont="1" applyFill="1" applyAlignment="1">
      <alignment horizontal="center" vertical="center"/>
    </xf>
    <xf numFmtId="0" fontId="36" fillId="55" borderId="0" xfId="0" applyFont="1" applyFill="1" applyAlignment="1">
      <alignment horizontal="right" vertical="center"/>
    </xf>
    <xf numFmtId="0" fontId="36" fillId="55" borderId="0" xfId="8" applyFont="1" applyFill="1" applyAlignment="1">
      <alignment horizontal="left" vertical="center"/>
    </xf>
    <xf numFmtId="0" fontId="43" fillId="55" borderId="0" xfId="8" applyFont="1" applyFill="1" applyAlignment="1">
      <alignment horizontal="left" vertical="center"/>
    </xf>
    <xf numFmtId="1" fontId="32" fillId="55" borderId="0" xfId="0" applyNumberFormat="1" applyFont="1" applyFill="1" applyAlignment="1">
      <alignment horizontal="center" vertical="center"/>
    </xf>
    <xf numFmtId="0" fontId="88" fillId="55" borderId="0" xfId="0" applyFont="1" applyFill="1"/>
    <xf numFmtId="0" fontId="88" fillId="55" borderId="8" xfId="0" applyFont="1" applyFill="1" applyBorder="1"/>
    <xf numFmtId="0" fontId="122" fillId="55" borderId="8" xfId="0" applyFont="1" applyFill="1" applyBorder="1"/>
    <xf numFmtId="0" fontId="20" fillId="55" borderId="8" xfId="0" applyFont="1" applyFill="1" applyBorder="1"/>
    <xf numFmtId="0" fontId="155" fillId="55" borderId="8" xfId="0" applyFont="1" applyFill="1" applyBorder="1"/>
    <xf numFmtId="0" fontId="4" fillId="55" borderId="0" xfId="0" applyFont="1" applyFill="1"/>
    <xf numFmtId="0" fontId="18" fillId="55" borderId="0" xfId="0" applyFont="1" applyFill="1"/>
    <xf numFmtId="0" fontId="5" fillId="55" borderId="0" xfId="0" applyFont="1" applyFill="1"/>
    <xf numFmtId="0" fontId="155" fillId="55" borderId="0" xfId="0" applyFont="1" applyFill="1"/>
    <xf numFmtId="0" fontId="155" fillId="55" borderId="0" xfId="0" applyFont="1" applyFill="1" applyAlignment="1">
      <alignment horizontal="left" vertical="top" wrapText="1"/>
    </xf>
    <xf numFmtId="0" fontId="5" fillId="55" borderId="18" xfId="0" applyFont="1" applyFill="1" applyBorder="1"/>
    <xf numFmtId="0" fontId="5" fillId="55" borderId="18" xfId="0" applyFont="1" applyFill="1" applyBorder="1" applyAlignment="1">
      <alignment horizontal="left" vertical="top" wrapText="1"/>
    </xf>
    <xf numFmtId="0" fontId="32" fillId="55" borderId="0" xfId="0" applyFont="1" applyFill="1"/>
    <xf numFmtId="0" fontId="0" fillId="40" borderId="0" xfId="0" applyFill="1" applyAlignment="1">
      <alignment horizontal="left" indent="1"/>
    </xf>
    <xf numFmtId="0" fontId="0" fillId="40" borderId="18" xfId="0" applyFill="1" applyBorder="1"/>
    <xf numFmtId="0" fontId="0" fillId="40" borderId="1" xfId="0" applyFill="1" applyBorder="1" applyAlignment="1">
      <alignment horizontal="right" vertical="center"/>
    </xf>
    <xf numFmtId="170" fontId="0" fillId="31" borderId="1" xfId="4" applyNumberFormat="1" applyFont="1" applyFill="1" applyBorder="1" applyProtection="1">
      <protection locked="0"/>
    </xf>
    <xf numFmtId="0" fontId="0" fillId="40" borderId="8" xfId="0" applyFill="1" applyBorder="1"/>
    <xf numFmtId="0" fontId="0" fillId="40" borderId="30" xfId="0" applyFill="1" applyBorder="1"/>
    <xf numFmtId="0" fontId="0" fillId="40" borderId="1" xfId="0" applyFill="1" applyBorder="1" applyAlignment="1">
      <alignment horizontal="right"/>
    </xf>
    <xf numFmtId="0" fontId="89" fillId="55" borderId="0" xfId="0" applyFont="1" applyFill="1"/>
    <xf numFmtId="172" fontId="89" fillId="55" borderId="0" xfId="0" applyNumberFormat="1" applyFont="1" applyFill="1"/>
    <xf numFmtId="3" fontId="89" fillId="55" borderId="0" xfId="0" applyNumberFormat="1" applyFont="1" applyFill="1"/>
    <xf numFmtId="0" fontId="68" fillId="55" borderId="11" xfId="0" applyFont="1" applyFill="1" applyBorder="1"/>
    <xf numFmtId="0" fontId="68" fillId="55" borderId="11" xfId="0" applyFont="1" applyFill="1" applyBorder="1" applyAlignment="1">
      <alignment horizontal="right"/>
    </xf>
    <xf numFmtId="0" fontId="68" fillId="55" borderId="11" xfId="0" applyFont="1" applyFill="1" applyBorder="1" applyAlignment="1">
      <alignment horizontal="right" indent="1"/>
    </xf>
    <xf numFmtId="0" fontId="68" fillId="55" borderId="11" xfId="0" applyFont="1" applyFill="1" applyBorder="1" applyAlignment="1">
      <alignment horizontal="right" vertical="top"/>
    </xf>
    <xf numFmtId="0" fontId="69" fillId="55" borderId="1" xfId="0" applyFont="1" applyFill="1" applyBorder="1"/>
    <xf numFmtId="0" fontId="68" fillId="55" borderId="25" xfId="0" applyFont="1" applyFill="1" applyBorder="1" applyAlignment="1">
      <alignment horizontal="right" vertical="top"/>
    </xf>
    <xf numFmtId="0" fontId="59" fillId="55" borderId="11" xfId="0" applyFont="1" applyFill="1" applyBorder="1"/>
    <xf numFmtId="0" fontId="36" fillId="55" borderId="0" xfId="0" applyFont="1" applyFill="1" applyAlignment="1">
      <alignment vertical="top"/>
    </xf>
    <xf numFmtId="0" fontId="2" fillId="40" borderId="0" xfId="0" applyFont="1" applyFill="1"/>
    <xf numFmtId="0" fontId="2" fillId="55" borderId="11" xfId="0" applyFont="1" applyFill="1" applyBorder="1" applyAlignment="1">
      <alignment wrapText="1"/>
    </xf>
    <xf numFmtId="0" fontId="2" fillId="55" borderId="11" xfId="0" applyFont="1" applyFill="1" applyBorder="1"/>
    <xf numFmtId="0" fontId="126" fillId="55" borderId="11" xfId="0" applyFont="1" applyFill="1" applyBorder="1"/>
    <xf numFmtId="0" fontId="126" fillId="55" borderId="23" xfId="0" applyFont="1" applyFill="1" applyBorder="1" applyAlignment="1">
      <alignment vertical="top" wrapText="1"/>
    </xf>
    <xf numFmtId="0" fontId="126" fillId="55" borderId="23" xfId="0" applyFont="1" applyFill="1" applyBorder="1" applyAlignment="1">
      <alignment wrapText="1"/>
    </xf>
    <xf numFmtId="0" fontId="126" fillId="55" borderId="23" xfId="0" applyFont="1" applyFill="1" applyBorder="1"/>
    <xf numFmtId="0" fontId="2" fillId="55" borderId="23" xfId="0" applyFont="1" applyFill="1" applyBorder="1"/>
    <xf numFmtId="0" fontId="32" fillId="55" borderId="11" xfId="5" applyFont="1" applyFill="1" applyBorder="1"/>
    <xf numFmtId="0" fontId="48" fillId="55" borderId="0" xfId="0" applyFont="1" applyFill="1"/>
    <xf numFmtId="0" fontId="2" fillId="55" borderId="0" xfId="0" applyFont="1" applyFill="1"/>
    <xf numFmtId="0" fontId="2" fillId="55" borderId="1" xfId="0" applyFont="1" applyFill="1" applyBorder="1"/>
    <xf numFmtId="0" fontId="17" fillId="55" borderId="4" xfId="1" applyFont="1" applyFill="1" applyBorder="1" applyProtection="1"/>
    <xf numFmtId="0" fontId="17" fillId="55" borderId="0" xfId="1" applyFont="1" applyFill="1" applyBorder="1" applyProtection="1"/>
    <xf numFmtId="0" fontId="126" fillId="55" borderId="0" xfId="0" applyFont="1" applyFill="1"/>
    <xf numFmtId="0" fontId="63" fillId="55" borderId="0" xfId="0" applyFont="1" applyFill="1" applyAlignment="1">
      <alignment horizontal="center" vertical="center"/>
    </xf>
    <xf numFmtId="0" fontId="135" fillId="55" borderId="0" xfId="0" applyFont="1" applyFill="1"/>
    <xf numFmtId="0" fontId="134" fillId="55" borderId="0" xfId="0" applyFont="1" applyFill="1"/>
    <xf numFmtId="0" fontId="76" fillId="55" borderId="0" xfId="0" applyFont="1" applyFill="1"/>
    <xf numFmtId="0" fontId="67" fillId="55" borderId="0" xfId="0" applyFont="1" applyFill="1"/>
    <xf numFmtId="0" fontId="4" fillId="55" borderId="0" xfId="0" applyFont="1" applyFill="1" applyAlignment="1">
      <alignment horizontal="right"/>
    </xf>
    <xf numFmtId="0" fontId="160" fillId="55" borderId="0" xfId="0" applyFont="1" applyFill="1"/>
    <xf numFmtId="0" fontId="32" fillId="55" borderId="0" xfId="0" applyFont="1" applyFill="1" applyAlignment="1">
      <alignment horizontal="center" wrapText="1"/>
    </xf>
    <xf numFmtId="0" fontId="0" fillId="55" borderId="0" xfId="0" applyFill="1" applyAlignment="1">
      <alignment horizontal="center" vertical="center"/>
    </xf>
    <xf numFmtId="0" fontId="0" fillId="55" borderId="0" xfId="0" applyFill="1" applyAlignment="1">
      <alignment vertical="center"/>
    </xf>
    <xf numFmtId="0" fontId="32" fillId="55" borderId="0" xfId="0" applyFont="1" applyFill="1" applyAlignment="1">
      <alignment vertical="center"/>
    </xf>
    <xf numFmtId="0" fontId="0" fillId="24" borderId="8" xfId="0" applyFill="1" applyBorder="1" applyAlignment="1">
      <alignment horizontal="right" vertical="top"/>
    </xf>
    <xf numFmtId="0" fontId="0" fillId="24" borderId="9" xfId="0" applyFill="1" applyBorder="1" applyAlignment="1">
      <alignment horizontal="right" vertical="top"/>
    </xf>
    <xf numFmtId="0" fontId="63" fillId="40" borderId="0" xfId="0" applyFont="1" applyFill="1" applyAlignment="1">
      <alignment horizontal="left" vertical="center"/>
    </xf>
    <xf numFmtId="172" fontId="59" fillId="40" borderId="0" xfId="3" applyNumberFormat="1" applyFont="1" applyFill="1" applyBorder="1" applyProtection="1"/>
    <xf numFmtId="0" fontId="78" fillId="40" borderId="0" xfId="0" applyFont="1" applyFill="1" applyAlignment="1">
      <alignment horizontal="left" vertical="center"/>
    </xf>
    <xf numFmtId="38" fontId="71" fillId="55" borderId="0" xfId="3" applyNumberFormat="1" applyFont="1" applyFill="1" applyBorder="1" applyProtection="1"/>
    <xf numFmtId="172" fontId="59" fillId="55" borderId="0" xfId="0" applyNumberFormat="1" applyFont="1" applyFill="1"/>
    <xf numFmtId="38" fontId="59" fillId="55" borderId="0" xfId="3" applyNumberFormat="1" applyFont="1" applyFill="1" applyBorder="1" applyAlignment="1" applyProtection="1">
      <alignment horizontal="center" vertical="center" wrapText="1"/>
    </xf>
    <xf numFmtId="0" fontId="27" fillId="40" borderId="0" xfId="0" applyFont="1" applyFill="1"/>
    <xf numFmtId="0" fontId="29" fillId="2" borderId="21" xfId="0" applyFont="1" applyFill="1" applyBorder="1"/>
    <xf numFmtId="0" fontId="88" fillId="2" borderId="22" xfId="0" applyFont="1" applyFill="1" applyBorder="1" applyAlignment="1">
      <alignment horizontal="center"/>
    </xf>
    <xf numFmtId="0" fontId="0" fillId="2" borderId="21" xfId="0" applyFill="1" applyBorder="1"/>
    <xf numFmtId="0" fontId="112" fillId="2" borderId="22" xfId="0" applyFont="1" applyFill="1" applyBorder="1" applyAlignment="1">
      <alignment horizontal="center"/>
    </xf>
    <xf numFmtId="0" fontId="30" fillId="2" borderId="21" xfId="0" applyFont="1" applyFill="1" applyBorder="1"/>
    <xf numFmtId="0" fontId="111" fillId="2" borderId="22" xfId="0" applyFont="1" applyFill="1" applyBorder="1" applyAlignment="1">
      <alignment horizontal="center"/>
    </xf>
    <xf numFmtId="0" fontId="4" fillId="2" borderId="22" xfId="0" applyFont="1" applyFill="1" applyBorder="1" applyAlignment="1">
      <alignment horizontal="center"/>
    </xf>
    <xf numFmtId="0" fontId="0" fillId="2" borderId="22" xfId="0" applyFill="1" applyBorder="1" applyAlignment="1">
      <alignment horizontal="center"/>
    </xf>
    <xf numFmtId="0" fontId="0" fillId="2" borderId="1" xfId="0" applyFill="1" applyBorder="1" applyAlignment="1">
      <alignment horizontal="center"/>
    </xf>
    <xf numFmtId="0" fontId="36" fillId="40" borderId="0" xfId="0" applyFont="1" applyFill="1"/>
    <xf numFmtId="0" fontId="4" fillId="40" borderId="0" xfId="0" applyFont="1" applyFill="1" applyAlignment="1">
      <alignment horizontal="right"/>
    </xf>
    <xf numFmtId="0" fontId="6" fillId="5" borderId="1" xfId="0" applyFont="1" applyFill="1" applyBorder="1" applyAlignment="1">
      <alignment horizontal="center"/>
    </xf>
    <xf numFmtId="0" fontId="169" fillId="40" borderId="0" xfId="0" applyFont="1" applyFill="1"/>
    <xf numFmtId="0" fontId="131" fillId="40" borderId="0" xfId="0" applyFont="1" applyFill="1"/>
    <xf numFmtId="0" fontId="15" fillId="40" borderId="0" xfId="0" applyFont="1" applyFill="1"/>
    <xf numFmtId="0" fontId="29" fillId="40" borderId="0" xfId="0" applyFont="1" applyFill="1" applyAlignment="1">
      <alignment wrapText="1"/>
    </xf>
    <xf numFmtId="0" fontId="29" fillId="40" borderId="0" xfId="0" applyFont="1" applyFill="1" applyAlignment="1">
      <alignment horizontal="left"/>
    </xf>
    <xf numFmtId="0" fontId="0" fillId="40" borderId="4" xfId="0" applyFill="1" applyBorder="1"/>
    <xf numFmtId="0" fontId="0" fillId="2" borderId="4" xfId="0" applyFill="1" applyBorder="1"/>
    <xf numFmtId="0" fontId="6" fillId="5" borderId="6" xfId="0" applyFont="1" applyFill="1" applyBorder="1" applyAlignment="1">
      <alignment horizontal="center"/>
    </xf>
    <xf numFmtId="0" fontId="100" fillId="5" borderId="47" xfId="0" applyFont="1" applyFill="1" applyBorder="1"/>
    <xf numFmtId="0" fontId="0" fillId="40" borderId="28" xfId="0" applyFill="1" applyBorder="1"/>
    <xf numFmtId="0" fontId="0" fillId="40" borderId="3" xfId="0" applyFill="1" applyBorder="1"/>
    <xf numFmtId="0" fontId="0" fillId="40" borderId="9" xfId="0" applyFill="1" applyBorder="1"/>
    <xf numFmtId="0" fontId="36" fillId="40" borderId="0" xfId="0" applyFont="1" applyFill="1" applyAlignment="1">
      <alignment vertical="center"/>
    </xf>
    <xf numFmtId="0" fontId="150" fillId="40" borderId="0" xfId="0" applyFont="1" applyFill="1"/>
    <xf numFmtId="0" fontId="14" fillId="40" borderId="0" xfId="0" applyFont="1" applyFill="1"/>
    <xf numFmtId="0" fontId="15" fillId="40" borderId="0" xfId="0" applyFont="1" applyFill="1" applyAlignment="1">
      <alignment horizontal="right"/>
    </xf>
    <xf numFmtId="0" fontId="71" fillId="40" borderId="0" xfId="0" applyFont="1" applyFill="1" applyAlignment="1">
      <alignment vertical="top"/>
    </xf>
    <xf numFmtId="0" fontId="71" fillId="40" borderId="0" xfId="0" applyFont="1" applyFill="1" applyAlignment="1">
      <alignment vertical="top" wrapText="1"/>
    </xf>
    <xf numFmtId="0" fontId="153" fillId="40" borderId="0" xfId="0" applyFont="1" applyFill="1"/>
    <xf numFmtId="0" fontId="0" fillId="40" borderId="0" xfId="0" applyFill="1" applyAlignment="1" applyProtection="1">
      <alignment vertical="top" wrapText="1"/>
      <protection locked="0"/>
    </xf>
    <xf numFmtId="0" fontId="97" fillId="2" borderId="1" xfId="0" applyFont="1" applyFill="1" applyBorder="1" applyAlignment="1">
      <alignment horizontal="center" vertical="center"/>
    </xf>
    <xf numFmtId="0" fontId="97" fillId="2" borderId="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left"/>
    </xf>
    <xf numFmtId="0" fontId="175" fillId="40" borderId="0" xfId="0" applyFont="1" applyFill="1"/>
    <xf numFmtId="0" fontId="137" fillId="40" borderId="0" xfId="0" applyFont="1" applyFill="1"/>
    <xf numFmtId="0" fontId="0" fillId="40" borderId="0" xfId="0" applyFill="1" applyAlignment="1" applyProtection="1">
      <alignment horizontal="center" vertical="center"/>
      <protection locked="0"/>
    </xf>
    <xf numFmtId="0" fontId="0" fillId="40" borderId="0" xfId="0" applyFill="1" applyAlignment="1">
      <alignment vertical="top" wrapText="1"/>
    </xf>
    <xf numFmtId="0" fontId="0" fillId="40" borderId="0" xfId="0" applyFill="1" applyAlignment="1">
      <alignment vertical="center" wrapText="1"/>
    </xf>
    <xf numFmtId="0" fontId="0" fillId="40" borderId="0" xfId="0" applyFill="1" applyAlignment="1">
      <alignment vertical="center"/>
    </xf>
    <xf numFmtId="0" fontId="0" fillId="40" borderId="0" xfId="0" applyFill="1" applyAlignment="1">
      <alignment horizontal="left" vertical="center"/>
    </xf>
    <xf numFmtId="0" fontId="0" fillId="40" borderId="0" xfId="0" applyFill="1" applyAlignment="1">
      <alignment vertical="top"/>
    </xf>
    <xf numFmtId="0" fontId="90" fillId="5" borderId="5" xfId="0" applyFont="1" applyFill="1" applyBorder="1" applyAlignment="1">
      <alignment horizontal="center"/>
    </xf>
    <xf numFmtId="0" fontId="4" fillId="40" borderId="0" xfId="0" applyFont="1" applyFill="1" applyAlignment="1">
      <alignment vertical="top" wrapText="1"/>
    </xf>
    <xf numFmtId="0" fontId="36" fillId="40" borderId="0" xfId="0" applyFont="1" applyFill="1" applyAlignment="1">
      <alignment horizontal="right" vertical="center"/>
    </xf>
    <xf numFmtId="0" fontId="130" fillId="40" borderId="0" xfId="0" applyFont="1" applyFill="1" applyAlignment="1">
      <alignment vertical="center"/>
    </xf>
    <xf numFmtId="0" fontId="4" fillId="40" borderId="0" xfId="0" applyFont="1" applyFill="1" applyAlignment="1">
      <alignment vertical="center"/>
    </xf>
    <xf numFmtId="0" fontId="4" fillId="40" borderId="0" xfId="0" applyFont="1" applyFill="1" applyAlignment="1">
      <alignment horizontal="right" vertical="center"/>
    </xf>
    <xf numFmtId="0" fontId="14" fillId="40" borderId="0" xfId="0" applyFont="1" applyFill="1" applyAlignment="1">
      <alignment horizontal="left"/>
    </xf>
    <xf numFmtId="43" fontId="0" fillId="40" borderId="0" xfId="3" applyFont="1" applyFill="1" applyBorder="1"/>
    <xf numFmtId="0" fontId="130" fillId="40" borderId="8" xfId="0" applyFont="1" applyFill="1" applyBorder="1" applyAlignment="1">
      <alignment vertical="center"/>
    </xf>
    <xf numFmtId="10" fontId="0" fillId="40" borderId="0" xfId="0" applyNumberFormat="1" applyFill="1"/>
    <xf numFmtId="10" fontId="4" fillId="40" borderId="57" xfId="0" applyNumberFormat="1" applyFont="1" applyFill="1" applyBorder="1" applyAlignment="1">
      <alignment vertical="center" wrapText="1"/>
    </xf>
    <xf numFmtId="10" fontId="4" fillId="40" borderId="0" xfId="0" applyNumberFormat="1" applyFont="1" applyFill="1" applyAlignment="1">
      <alignment vertical="center" wrapText="1"/>
    </xf>
    <xf numFmtId="10" fontId="4" fillId="40" borderId="0" xfId="0" applyNumberFormat="1" applyFont="1" applyFill="1" applyAlignment="1">
      <alignment horizontal="right"/>
    </xf>
    <xf numFmtId="0" fontId="148" fillId="40" borderId="22" xfId="0" applyFont="1" applyFill="1" applyBorder="1" applyAlignment="1">
      <alignment horizontal="center" vertical="center" wrapText="1"/>
    </xf>
    <xf numFmtId="0" fontId="148" fillId="40" borderId="1" xfId="0" applyFont="1" applyFill="1" applyBorder="1" applyAlignment="1">
      <alignment horizontal="center" vertical="center" wrapText="1"/>
    </xf>
    <xf numFmtId="0" fontId="34" fillId="40" borderId="30" xfId="0" applyFont="1" applyFill="1" applyBorder="1" applyAlignment="1">
      <alignment horizontal="center" vertical="center" wrapText="1"/>
    </xf>
    <xf numFmtId="0" fontId="34" fillId="40" borderId="21" xfId="0" applyFont="1" applyFill="1" applyBorder="1" applyAlignment="1">
      <alignment horizontal="center" vertical="center" wrapText="1"/>
    </xf>
    <xf numFmtId="43" fontId="0" fillId="40" borderId="1" xfId="3" applyFont="1" applyFill="1" applyBorder="1" applyAlignment="1">
      <alignment horizontal="left" vertical="top"/>
    </xf>
    <xf numFmtId="9" fontId="0" fillId="40" borderId="1" xfId="2" applyFont="1" applyFill="1" applyBorder="1" applyAlignment="1">
      <alignment horizontal="left" vertical="top"/>
    </xf>
    <xf numFmtId="0" fontId="148" fillId="40" borderId="1" xfId="0" applyFont="1" applyFill="1" applyBorder="1" applyAlignment="1">
      <alignment horizontal="center" vertical="center"/>
    </xf>
    <xf numFmtId="0" fontId="97" fillId="40" borderId="1" xfId="0" applyFont="1" applyFill="1" applyBorder="1" applyAlignment="1">
      <alignment horizontal="center" vertical="center" wrapText="1"/>
    </xf>
    <xf numFmtId="0" fontId="4" fillId="40" borderId="8" xfId="0" applyFont="1" applyFill="1" applyBorder="1"/>
    <xf numFmtId="0" fontId="0" fillId="40" borderId="2" xfId="0" applyFill="1" applyBorder="1"/>
    <xf numFmtId="0" fontId="67" fillId="40" borderId="0" xfId="0" applyFont="1" applyFill="1" applyAlignment="1">
      <alignment vertical="center"/>
    </xf>
    <xf numFmtId="0" fontId="67" fillId="40" borderId="8" xfId="0" applyFont="1" applyFill="1" applyBorder="1" applyAlignment="1">
      <alignment vertical="center"/>
    </xf>
    <xf numFmtId="0" fontId="67" fillId="40" borderId="0" xfId="0" applyFont="1" applyFill="1" applyAlignment="1">
      <alignment vertical="center" wrapText="1"/>
    </xf>
    <xf numFmtId="0" fontId="4" fillId="40" borderId="4" xfId="0" applyFont="1" applyFill="1" applyBorder="1"/>
    <xf numFmtId="0" fontId="4" fillId="40" borderId="9" xfId="0" applyFont="1" applyFill="1" applyBorder="1"/>
    <xf numFmtId="0" fontId="0" fillId="40" borderId="0" xfId="0" applyFill="1" applyAlignment="1" applyProtection="1">
      <alignment vertical="center"/>
      <protection locked="0"/>
    </xf>
    <xf numFmtId="0" fontId="0" fillId="40" borderId="0" xfId="0" applyFill="1" applyAlignment="1" applyProtection="1">
      <alignment horizontal="center" vertical="top" wrapText="1"/>
      <protection locked="0"/>
    </xf>
    <xf numFmtId="0" fontId="203" fillId="5" borderId="21" xfId="0" applyFont="1" applyFill="1" applyBorder="1" applyAlignment="1">
      <alignment horizontal="center" vertical="center" wrapText="1"/>
    </xf>
    <xf numFmtId="0" fontId="0" fillId="40" borderId="90" xfId="0" applyFill="1" applyBorder="1" applyAlignment="1">
      <alignment horizontal="left" wrapText="1"/>
    </xf>
    <xf numFmtId="0" fontId="0" fillId="40" borderId="89" xfId="0" applyFill="1" applyBorder="1"/>
    <xf numFmtId="0" fontId="0" fillId="40" borderId="90" xfId="0" applyFill="1" applyBorder="1" applyAlignment="1">
      <alignment horizontal="right" wrapText="1"/>
    </xf>
    <xf numFmtId="0" fontId="0" fillId="40" borderId="90" xfId="0" applyFill="1" applyBorder="1"/>
    <xf numFmtId="0" fontId="0" fillId="40" borderId="90" xfId="0" applyFill="1" applyBorder="1" applyAlignment="1">
      <alignment wrapText="1"/>
    </xf>
    <xf numFmtId="0" fontId="198" fillId="40" borderId="0" xfId="0" applyFont="1" applyFill="1"/>
    <xf numFmtId="0" fontId="207" fillId="40" borderId="0" xfId="0" applyFont="1" applyFill="1"/>
    <xf numFmtId="172" fontId="29" fillId="17" borderId="11" xfId="0" applyNumberFormat="1" applyFont="1" applyFill="1" applyBorder="1"/>
    <xf numFmtId="10" fontId="29" fillId="9" borderId="1" xfId="0" applyNumberFormat="1" applyFont="1" applyFill="1" applyBorder="1" applyAlignment="1">
      <alignment horizontal="center"/>
    </xf>
    <xf numFmtId="0" fontId="137" fillId="55" borderId="0" xfId="0" applyFont="1" applyFill="1"/>
    <xf numFmtId="0" fontId="29" fillId="55" borderId="0" xfId="0" applyFont="1" applyFill="1" applyAlignment="1">
      <alignment horizontal="right"/>
    </xf>
    <xf numFmtId="0" fontId="29" fillId="55" borderId="19" xfId="0" applyFont="1" applyFill="1" applyBorder="1"/>
    <xf numFmtId="0" fontId="61" fillId="48" borderId="1" xfId="0" applyFont="1" applyFill="1" applyBorder="1" applyAlignment="1" applyProtection="1">
      <alignment horizontal="right"/>
      <protection locked="0"/>
    </xf>
    <xf numFmtId="172" fontId="29" fillId="17" borderId="1" xfId="0" applyNumberFormat="1" applyFont="1" applyFill="1" applyBorder="1"/>
    <xf numFmtId="10" fontId="29" fillId="17" borderId="11" xfId="0" applyNumberFormat="1" applyFont="1" applyFill="1" applyBorder="1" applyAlignment="1">
      <alignment horizontal="center"/>
    </xf>
    <xf numFmtId="0" fontId="90" fillId="25" borderId="1" xfId="0" applyFont="1" applyFill="1" applyBorder="1" applyAlignment="1">
      <alignment horizontal="right" vertical="center" wrapText="1"/>
    </xf>
    <xf numFmtId="170" fontId="0" fillId="9" borderId="0" xfId="4" applyNumberFormat="1" applyFont="1" applyFill="1" applyAlignment="1">
      <alignment horizontal="right"/>
    </xf>
    <xf numFmtId="0" fontId="208" fillId="55" borderId="0" xfId="0" applyFont="1" applyFill="1"/>
    <xf numFmtId="0" fontId="208" fillId="47" borderId="0" xfId="0" applyFont="1" applyFill="1"/>
    <xf numFmtId="0" fontId="208" fillId="40" borderId="0" xfId="0" applyFont="1" applyFill="1"/>
    <xf numFmtId="0" fontId="208" fillId="2" borderId="0" xfId="0" applyFont="1" applyFill="1"/>
    <xf numFmtId="0" fontId="0" fillId="36" borderId="30" xfId="0" applyFill="1" applyBorder="1"/>
    <xf numFmtId="0" fontId="0" fillId="24" borderId="0" xfId="0" applyFill="1" applyAlignment="1">
      <alignment horizontal="left" wrapText="1"/>
    </xf>
    <xf numFmtId="0" fontId="0" fillId="4" borderId="2" xfId="0" applyFill="1" applyBorder="1"/>
    <xf numFmtId="0" fontId="0" fillId="4" borderId="0" xfId="0" applyFill="1"/>
    <xf numFmtId="0" fontId="68" fillId="55" borderId="0" xfId="0" applyFont="1" applyFill="1"/>
    <xf numFmtId="0" fontId="68" fillId="55" borderId="0" xfId="0" applyFont="1" applyFill="1" applyAlignment="1">
      <alignment wrapText="1"/>
    </xf>
    <xf numFmtId="5" fontId="210" fillId="55" borderId="0" xfId="0" quotePrefix="1" applyNumberFormat="1" applyFont="1" applyFill="1" applyAlignment="1">
      <alignment horizontal="left" wrapText="1"/>
    </xf>
    <xf numFmtId="171" fontId="0" fillId="40" borderId="0" xfId="0" applyNumberFormat="1" applyFill="1"/>
    <xf numFmtId="0" fontId="4" fillId="40" borderId="0" xfId="0" applyFont="1" applyFill="1" applyAlignment="1">
      <alignment horizontal="center"/>
    </xf>
    <xf numFmtId="0" fontId="211" fillId="40" borderId="0" xfId="0" applyFont="1" applyFill="1" applyAlignment="1">
      <alignment horizontal="right"/>
    </xf>
    <xf numFmtId="0" fontId="146" fillId="40" borderId="0" xfId="0" applyFont="1" applyFill="1" applyProtection="1">
      <protection locked="0"/>
    </xf>
    <xf numFmtId="1" fontId="32" fillId="40" borderId="0" xfId="0" applyNumberFormat="1" applyFont="1" applyFill="1"/>
    <xf numFmtId="0" fontId="3" fillId="31" borderId="1" xfId="0" applyFont="1" applyFill="1" applyBorder="1"/>
    <xf numFmtId="0" fontId="170" fillId="40" borderId="0" xfId="0" applyFont="1" applyFill="1"/>
    <xf numFmtId="0" fontId="170" fillId="40" borderId="0" xfId="0" applyFont="1" applyFill="1" applyAlignment="1">
      <alignment horizontal="center"/>
    </xf>
    <xf numFmtId="0" fontId="118" fillId="2" borderId="0" xfId="0" applyFont="1" applyFill="1" applyAlignment="1">
      <alignment vertical="center" wrapText="1"/>
    </xf>
    <xf numFmtId="0" fontId="118" fillId="2" borderId="0" xfId="0" applyFont="1" applyFill="1" applyAlignment="1">
      <alignment wrapText="1"/>
    </xf>
    <xf numFmtId="0" fontId="32" fillId="55" borderId="0" xfId="0" applyFont="1" applyFill="1" applyAlignment="1">
      <alignment vertical="top"/>
    </xf>
    <xf numFmtId="0" fontId="209" fillId="2" borderId="0" xfId="0" applyFont="1" applyFill="1"/>
    <xf numFmtId="0" fontId="68" fillId="40" borderId="0" xfId="0" applyFont="1" applyFill="1" applyAlignment="1">
      <alignment horizontal="left" wrapText="1"/>
    </xf>
    <xf numFmtId="0" fontId="71" fillId="55" borderId="0" xfId="0" applyFont="1" applyFill="1"/>
    <xf numFmtId="0" fontId="5" fillId="2" borderId="0" xfId="0" applyFont="1" applyFill="1" applyAlignment="1">
      <alignment horizontal="right" vertical="top"/>
    </xf>
    <xf numFmtId="0" fontId="212" fillId="2" borderId="0" xfId="0" applyFont="1" applyFill="1"/>
    <xf numFmtId="169" fontId="86" fillId="24" borderId="0" xfId="0" applyNumberFormat="1" applyFont="1" applyFill="1"/>
    <xf numFmtId="169" fontId="86" fillId="24" borderId="0" xfId="0" applyNumberFormat="1" applyFont="1" applyFill="1" applyAlignment="1">
      <alignment wrapText="1"/>
    </xf>
    <xf numFmtId="0" fontId="86" fillId="24" borderId="0" xfId="0" applyFont="1" applyFill="1" applyAlignment="1">
      <alignment wrapText="1"/>
    </xf>
    <xf numFmtId="0" fontId="86" fillId="24" borderId="0" xfId="0" quotePrefix="1" applyFont="1" applyFill="1"/>
    <xf numFmtId="6" fontId="86" fillId="24" borderId="0" xfId="0" applyNumberFormat="1" applyFont="1" applyFill="1"/>
    <xf numFmtId="172" fontId="86" fillId="24" borderId="0" xfId="0" applyNumberFormat="1" applyFont="1" applyFill="1"/>
    <xf numFmtId="0" fontId="5" fillId="24" borderId="0" xfId="0" applyFont="1" applyFill="1" applyAlignment="1">
      <alignment horizontal="right" vertical="top"/>
    </xf>
    <xf numFmtId="0" fontId="100" fillId="2" borderId="0" xfId="0" applyFont="1" applyFill="1" applyAlignment="1">
      <alignment horizontal="right" vertical="top"/>
    </xf>
    <xf numFmtId="37" fontId="5" fillId="2" borderId="0" xfId="0" applyNumberFormat="1" applyFont="1" applyFill="1" applyAlignment="1">
      <alignment horizontal="right" vertical="top"/>
    </xf>
    <xf numFmtId="44" fontId="5" fillId="2" borderId="0" xfId="4" applyFont="1" applyFill="1"/>
    <xf numFmtId="44" fontId="5" fillId="2" borderId="0" xfId="0" applyNumberFormat="1" applyFont="1" applyFill="1" applyAlignment="1">
      <alignment horizontal="right" vertical="top"/>
    </xf>
    <xf numFmtId="0" fontId="5" fillId="24" borderId="0" xfId="0" applyFont="1" applyFill="1"/>
    <xf numFmtId="37" fontId="5" fillId="2" borderId="0" xfId="0" applyNumberFormat="1" applyFont="1" applyFill="1"/>
    <xf numFmtId="44" fontId="5" fillId="2" borderId="0" xfId="0" applyNumberFormat="1" applyFont="1" applyFill="1"/>
    <xf numFmtId="0" fontId="5" fillId="2" borderId="0" xfId="0" applyFont="1" applyFill="1" applyAlignment="1">
      <alignment vertical="top"/>
    </xf>
    <xf numFmtId="0" fontId="100" fillId="2" borderId="0" xfId="0" applyFont="1" applyFill="1" applyAlignment="1">
      <alignment horizontal="right"/>
    </xf>
    <xf numFmtId="38" fontId="99" fillId="2" borderId="0" xfId="0" applyNumberFormat="1" applyFont="1" applyFill="1"/>
    <xf numFmtId="9" fontId="99" fillId="2" borderId="0" xfId="0" applyNumberFormat="1" applyFont="1" applyFill="1"/>
    <xf numFmtId="2" fontId="99" fillId="2" borderId="0" xfId="0" applyNumberFormat="1" applyFont="1" applyFill="1"/>
    <xf numFmtId="10" fontId="99" fillId="2" borderId="0" xfId="0" applyNumberFormat="1" applyFont="1" applyFill="1"/>
    <xf numFmtId="0" fontId="86" fillId="2" borderId="0" xfId="0" applyFont="1" applyFill="1" applyAlignment="1">
      <alignment vertical="top" wrapText="1"/>
    </xf>
    <xf numFmtId="0" fontId="100" fillId="2" borderId="0" xfId="0" applyFont="1" applyFill="1"/>
    <xf numFmtId="10" fontId="32" fillId="9" borderId="11" xfId="0" applyNumberFormat="1" applyFont="1" applyFill="1" applyBorder="1"/>
    <xf numFmtId="6" fontId="0" fillId="17" borderId="11" xfId="0" applyNumberFormat="1" applyFill="1" applyBorder="1"/>
    <xf numFmtId="6" fontId="0" fillId="0" borderId="11" xfId="0" applyNumberFormat="1" applyBorder="1" applyProtection="1">
      <protection locked="0"/>
    </xf>
    <xf numFmtId="6" fontId="0" fillId="0" borderId="11" xfId="0" applyNumberFormat="1" applyBorder="1"/>
    <xf numFmtId="6" fontId="32" fillId="17" borderId="1" xfId="5" applyNumberFormat="1" applyFont="1" applyFill="1" applyBorder="1"/>
    <xf numFmtId="0" fontId="32" fillId="47" borderId="21" xfId="0" applyFont="1" applyFill="1" applyBorder="1" applyAlignment="1">
      <alignment horizontal="left"/>
    </xf>
    <xf numFmtId="0" fontId="32" fillId="47" borderId="30" xfId="0" applyFont="1" applyFill="1" applyBorder="1" applyAlignment="1">
      <alignment horizontal="left"/>
    </xf>
    <xf numFmtId="0" fontId="32" fillId="47" borderId="22" xfId="0" applyFont="1" applyFill="1" applyBorder="1" applyAlignment="1">
      <alignment horizontal="left"/>
    </xf>
    <xf numFmtId="170" fontId="32" fillId="17" borderId="1" xfId="4" applyNumberFormat="1" applyFont="1" applyFill="1" applyBorder="1" applyAlignment="1" applyProtection="1">
      <alignment horizontal="center"/>
    </xf>
    <xf numFmtId="0" fontId="0" fillId="47" borderId="21" xfId="0" applyFill="1" applyBorder="1" applyAlignment="1">
      <alignment horizontal="left"/>
    </xf>
    <xf numFmtId="0" fontId="0" fillId="47" borderId="30" xfId="0" applyFill="1" applyBorder="1" applyAlignment="1">
      <alignment horizontal="left"/>
    </xf>
    <xf numFmtId="0" fontId="0" fillId="47" borderId="22" xfId="0" applyFill="1" applyBorder="1" applyAlignment="1">
      <alignment horizontal="left"/>
    </xf>
    <xf numFmtId="169" fontId="0" fillId="24" borderId="1" xfId="0" applyNumberFormat="1" applyFill="1" applyBorder="1" applyProtection="1">
      <protection locked="0"/>
    </xf>
    <xf numFmtId="0" fontId="32" fillId="55" borderId="2" xfId="0" applyFont="1" applyFill="1" applyBorder="1" applyAlignment="1">
      <alignment horizontal="left"/>
    </xf>
    <xf numFmtId="170" fontId="32" fillId="55" borderId="0" xfId="4" applyNumberFormat="1" applyFont="1" applyFill="1" applyBorder="1" applyAlignment="1" applyProtection="1">
      <alignment horizontal="center"/>
    </xf>
    <xf numFmtId="0" fontId="100" fillId="25" borderId="1" xfId="0" applyFont="1" applyFill="1" applyBorder="1" applyAlignment="1">
      <alignment horizontal="right"/>
    </xf>
    <xf numFmtId="0" fontId="100" fillId="25" borderId="1" xfId="0" applyFont="1" applyFill="1" applyBorder="1"/>
    <xf numFmtId="0" fontId="32" fillId="47" borderId="1" xfId="0" applyFont="1" applyFill="1" applyBorder="1" applyAlignment="1">
      <alignment horizontal="right"/>
    </xf>
    <xf numFmtId="172" fontId="32" fillId="17" borderId="1" xfId="3" applyNumberFormat="1" applyFont="1" applyFill="1" applyBorder="1" applyProtection="1"/>
    <xf numFmtId="172" fontId="32" fillId="17" borderId="1" xfId="3" applyNumberFormat="1" applyFont="1" applyFill="1" applyBorder="1"/>
    <xf numFmtId="172" fontId="14" fillId="4" borderId="1" xfId="3" applyNumberFormat="1" applyFont="1" applyFill="1" applyBorder="1" applyProtection="1">
      <protection locked="0"/>
    </xf>
    <xf numFmtId="0" fontId="36" fillId="55" borderId="0" xfId="0" applyFont="1" applyFill="1"/>
    <xf numFmtId="0" fontId="32" fillId="55" borderId="1" xfId="0" applyFont="1" applyFill="1" applyBorder="1"/>
    <xf numFmtId="0" fontId="32" fillId="17" borderId="1" xfId="0" applyFont="1" applyFill="1" applyBorder="1" applyAlignment="1">
      <alignment horizontal="center"/>
    </xf>
    <xf numFmtId="0" fontId="32" fillId="47" borderId="1" xfId="5" applyFont="1" applyFill="1" applyBorder="1"/>
    <xf numFmtId="0" fontId="32" fillId="7" borderId="1" xfId="5" applyFont="1" applyFill="1" applyBorder="1"/>
    <xf numFmtId="0" fontId="32" fillId="7" borderId="1" xfId="5" applyFont="1" applyFill="1" applyBorder="1" applyAlignment="1">
      <alignment horizontal="center"/>
    </xf>
    <xf numFmtId="0" fontId="100" fillId="25" borderId="1" xfId="5" applyFont="1" applyFill="1" applyBorder="1"/>
    <xf numFmtId="0" fontId="32" fillId="55" borderId="1" xfId="5" applyFont="1" applyFill="1" applyBorder="1"/>
    <xf numFmtId="6" fontId="32" fillId="17" borderId="1" xfId="6" applyNumberFormat="1" applyFont="1" applyFill="1" applyBorder="1" applyProtection="1"/>
    <xf numFmtId="6" fontId="32" fillId="17" borderId="1" xfId="6" applyNumberFormat="1" applyFont="1" applyFill="1" applyBorder="1"/>
    <xf numFmtId="0" fontId="0" fillId="55" borderId="1" xfId="0" applyFill="1" applyBorder="1"/>
    <xf numFmtId="0" fontId="32" fillId="55" borderId="21" xfId="5" applyFont="1" applyFill="1" applyBorder="1"/>
    <xf numFmtId="6" fontId="32" fillId="9" borderId="1" xfId="5" applyNumberFormat="1" applyFont="1" applyFill="1" applyBorder="1"/>
    <xf numFmtId="0" fontId="32" fillId="55" borderId="0" xfId="5" applyFont="1" applyFill="1"/>
    <xf numFmtId="5" fontId="32" fillId="17" borderId="1" xfId="5" applyNumberFormat="1" applyFont="1" applyFill="1" applyBorder="1" applyAlignment="1">
      <alignment horizontal="right"/>
    </xf>
    <xf numFmtId="174" fontId="32" fillId="17" borderId="1" xfId="5" applyNumberFormat="1" applyFont="1" applyFill="1" applyBorder="1" applyAlignment="1">
      <alignment horizontal="right"/>
    </xf>
    <xf numFmtId="6" fontId="32" fillId="17" borderId="1" xfId="5" applyNumberFormat="1" applyFont="1" applyFill="1" applyBorder="1" applyAlignment="1">
      <alignment horizontal="right"/>
    </xf>
    <xf numFmtId="6" fontId="32" fillId="4" borderId="1" xfId="5" applyNumberFormat="1" applyFont="1" applyFill="1" applyBorder="1" applyAlignment="1" applyProtection="1">
      <alignment horizontal="right"/>
      <protection locked="0"/>
    </xf>
    <xf numFmtId="6" fontId="32" fillId="4" borderId="1" xfId="5" applyNumberFormat="1" applyFont="1" applyFill="1" applyBorder="1" applyProtection="1">
      <protection locked="0"/>
    </xf>
    <xf numFmtId="0" fontId="0" fillId="55" borderId="4" xfId="0" applyFill="1" applyBorder="1"/>
    <xf numFmtId="0" fontId="0" fillId="47" borderId="8" xfId="0" applyFill="1" applyBorder="1"/>
    <xf numFmtId="0" fontId="0" fillId="47" borderId="0" xfId="0" applyFill="1"/>
    <xf numFmtId="0" fontId="0" fillId="47" borderId="4" xfId="0" applyFill="1" applyBorder="1"/>
    <xf numFmtId="6" fontId="32" fillId="17" borderId="5" xfId="5" applyNumberFormat="1" applyFont="1" applyFill="1" applyBorder="1" applyAlignment="1">
      <alignment horizontal="right"/>
    </xf>
    <xf numFmtId="0" fontId="100" fillId="25" borderId="3" xfId="5" applyFont="1" applyFill="1" applyBorder="1" applyAlignment="1">
      <alignment horizontal="left" vertical="center"/>
    </xf>
    <xf numFmtId="0" fontId="100" fillId="25" borderId="9" xfId="5" applyFont="1" applyFill="1" applyBorder="1" applyAlignment="1">
      <alignment horizontal="right" vertical="top" wrapText="1"/>
    </xf>
    <xf numFmtId="0" fontId="100" fillId="25" borderId="3" xfId="5" applyFont="1" applyFill="1" applyBorder="1" applyAlignment="1">
      <alignment horizontal="right" vertical="top" wrapText="1"/>
    </xf>
    <xf numFmtId="0" fontId="100" fillId="25" borderId="10" xfId="5" applyFont="1" applyFill="1" applyBorder="1" applyAlignment="1">
      <alignment horizontal="right" vertical="top" wrapText="1"/>
    </xf>
    <xf numFmtId="0" fontId="19" fillId="55" borderId="0" xfId="5" applyFont="1" applyFill="1" applyAlignment="1">
      <alignment horizontal="right" vertical="top"/>
    </xf>
    <xf numFmtId="0" fontId="32" fillId="54" borderId="3" xfId="5" applyFont="1" applyFill="1" applyBorder="1" applyProtection="1">
      <protection locked="0"/>
    </xf>
    <xf numFmtId="5" fontId="32" fillId="53" borderId="1" xfId="5" applyNumberFormat="1" applyFont="1" applyFill="1" applyBorder="1" applyAlignment="1">
      <alignment horizontal="right"/>
    </xf>
    <xf numFmtId="5" fontId="32" fillId="17" borderId="3" xfId="5" applyNumberFormat="1" applyFont="1" applyFill="1" applyBorder="1" applyAlignment="1">
      <alignment horizontal="right"/>
    </xf>
    <xf numFmtId="0" fontId="32" fillId="54" borderId="1" xfId="5" applyFont="1" applyFill="1" applyBorder="1" applyProtection="1">
      <protection locked="0"/>
    </xf>
    <xf numFmtId="0" fontId="0" fillId="40" borderId="21" xfId="0" applyFill="1" applyBorder="1"/>
    <xf numFmtId="0" fontId="0" fillId="54" borderId="8" xfId="0" applyFill="1" applyBorder="1" applyProtection="1">
      <protection locked="0"/>
    </xf>
    <xf numFmtId="0" fontId="100" fillId="25" borderId="80" xfId="5" applyFont="1" applyFill="1" applyBorder="1"/>
    <xf numFmtId="0" fontId="100" fillId="25" borderId="81" xfId="5" applyFont="1" applyFill="1" applyBorder="1"/>
    <xf numFmtId="0" fontId="100" fillId="25" borderId="82" xfId="5" applyFont="1" applyFill="1" applyBorder="1"/>
    <xf numFmtId="0" fontId="14" fillId="47" borderId="1" xfId="0" applyFont="1" applyFill="1" applyBorder="1"/>
    <xf numFmtId="5" fontId="32" fillId="17" borderId="22" xfId="5" applyNumberFormat="1" applyFont="1" applyFill="1" applyBorder="1" applyAlignment="1">
      <alignment horizontal="right"/>
    </xf>
    <xf numFmtId="172" fontId="32" fillId="17" borderId="1" xfId="5" applyNumberFormat="1" applyFont="1" applyFill="1" applyBorder="1" applyAlignment="1">
      <alignment horizontal="center"/>
    </xf>
    <xf numFmtId="0" fontId="32" fillId="40" borderId="0" xfId="5" applyFont="1" applyFill="1"/>
    <xf numFmtId="44" fontId="32" fillId="40" borderId="0" xfId="7" applyFont="1" applyFill="1"/>
    <xf numFmtId="171" fontId="32" fillId="40" borderId="0" xfId="6" applyNumberFormat="1" applyFont="1" applyFill="1" applyAlignment="1">
      <alignment horizontal="right"/>
    </xf>
    <xf numFmtId="43" fontId="32" fillId="40" borderId="0" xfId="6" applyFont="1" applyFill="1"/>
    <xf numFmtId="171" fontId="32" fillId="40" borderId="0" xfId="6" applyNumberFormat="1" applyFont="1" applyFill="1"/>
    <xf numFmtId="0" fontId="32" fillId="47" borderId="75" xfId="5" applyFont="1" applyFill="1" applyBorder="1"/>
    <xf numFmtId="6" fontId="32" fillId="0" borderId="34" xfId="5" applyNumberFormat="1" applyFont="1" applyBorder="1" applyProtection="1">
      <protection locked="0"/>
    </xf>
    <xf numFmtId="6" fontId="32" fillId="0" borderId="38" xfId="5" applyNumberFormat="1" applyFont="1" applyBorder="1" applyProtection="1">
      <protection locked="0"/>
    </xf>
    <xf numFmtId="0" fontId="32" fillId="47" borderId="40" xfId="5" applyFont="1" applyFill="1" applyBorder="1"/>
    <xf numFmtId="5" fontId="32" fillId="9" borderId="1" xfId="5" applyNumberFormat="1" applyFont="1" applyFill="1" applyBorder="1" applyAlignment="1">
      <alignment horizontal="right"/>
    </xf>
    <xf numFmtId="5" fontId="32" fillId="9" borderId="41" xfId="5" applyNumberFormat="1" applyFont="1" applyFill="1" applyBorder="1" applyAlignment="1">
      <alignment horizontal="right"/>
    </xf>
    <xf numFmtId="5" fontId="32" fillId="2" borderId="1" xfId="5" applyNumberFormat="1" applyFont="1" applyFill="1" applyBorder="1" applyAlignment="1" applyProtection="1">
      <alignment horizontal="right"/>
      <protection locked="0"/>
    </xf>
    <xf numFmtId="5" fontId="32" fillId="2" borderId="41" xfId="5" applyNumberFormat="1" applyFont="1" applyFill="1" applyBorder="1" applyAlignment="1" applyProtection="1">
      <alignment horizontal="right"/>
      <protection locked="0"/>
    </xf>
    <xf numFmtId="0" fontId="32" fillId="47" borderId="44" xfId="5" applyFont="1" applyFill="1" applyBorder="1"/>
    <xf numFmtId="6" fontId="32" fillId="17" borderId="45" xfId="5" applyNumberFormat="1" applyFont="1" applyFill="1" applyBorder="1" applyAlignment="1">
      <alignment horizontal="right"/>
    </xf>
    <xf numFmtId="6" fontId="32" fillId="17" borderId="46" xfId="5" applyNumberFormat="1" applyFont="1" applyFill="1" applyBorder="1" applyAlignment="1">
      <alignment horizontal="right"/>
    </xf>
    <xf numFmtId="0" fontId="206" fillId="55" borderId="0" xfId="0" applyFont="1" applyFill="1"/>
    <xf numFmtId="0" fontId="206" fillId="55" borderId="0" xfId="0" applyFont="1" applyFill="1" applyAlignment="1">
      <alignment wrapText="1"/>
    </xf>
    <xf numFmtId="0" fontId="95" fillId="24" borderId="0" xfId="0" applyFont="1" applyFill="1"/>
    <xf numFmtId="0" fontId="95" fillId="2" borderId="0" xfId="0" applyFont="1" applyFill="1"/>
    <xf numFmtId="0" fontId="100" fillId="2" borderId="0" xfId="0" applyFont="1" applyFill="1" applyAlignment="1">
      <alignment horizontal="center"/>
    </xf>
    <xf numFmtId="6" fontId="5" fillId="2" borderId="0" xfId="0" applyNumberFormat="1" applyFont="1" applyFill="1" applyAlignment="1">
      <alignment horizontal="center" vertical="center"/>
    </xf>
    <xf numFmtId="43" fontId="5" fillId="2" borderId="0" xfId="3" applyFont="1" applyFill="1" applyBorder="1" applyProtection="1"/>
    <xf numFmtId="0" fontId="5" fillId="2" borderId="0" xfId="0" applyFont="1" applyFill="1" applyAlignment="1">
      <alignment horizontal="center" vertical="center"/>
    </xf>
    <xf numFmtId="43" fontId="5" fillId="2" borderId="0" xfId="3" applyFont="1" applyFill="1" applyBorder="1" applyAlignment="1" applyProtection="1">
      <alignment vertical="center"/>
    </xf>
    <xf numFmtId="6" fontId="5" fillId="2" borderId="0" xfId="0" applyNumberFormat="1" applyFont="1" applyFill="1" applyAlignment="1">
      <alignment vertical="center"/>
    </xf>
    <xf numFmtId="6" fontId="5" fillId="2" borderId="0" xfId="0" applyNumberFormat="1" applyFont="1" applyFill="1" applyAlignment="1">
      <alignment horizontal="center"/>
    </xf>
    <xf numFmtId="170" fontId="5" fillId="2" borderId="0" xfId="4" applyNumberFormat="1" applyFont="1" applyFill="1" applyBorder="1" applyProtection="1"/>
    <xf numFmtId="170" fontId="5" fillId="2" borderId="0" xfId="0" applyNumberFormat="1" applyFont="1" applyFill="1" applyAlignment="1">
      <alignment horizontal="center"/>
    </xf>
    <xf numFmtId="0" fontId="5" fillId="2" borderId="0" xfId="0" applyFont="1" applyFill="1" applyAlignment="1">
      <alignment horizontal="right" vertical="center"/>
    </xf>
    <xf numFmtId="0" fontId="4" fillId="40" borderId="0" xfId="0" applyFont="1" applyFill="1" applyAlignment="1">
      <alignment wrapText="1"/>
    </xf>
    <xf numFmtId="0" fontId="100" fillId="2" borderId="0" xfId="0" applyFont="1" applyFill="1" applyAlignment="1">
      <alignment wrapText="1"/>
    </xf>
    <xf numFmtId="44" fontId="5" fillId="2" borderId="0" xfId="4" applyFont="1" applyFill="1" applyBorder="1"/>
    <xf numFmtId="0" fontId="216" fillId="2" borderId="0" xfId="0" applyFont="1" applyFill="1" applyAlignment="1">
      <alignment horizontal="center" vertical="center" wrapText="1"/>
    </xf>
    <xf numFmtId="2" fontId="0" fillId="3" borderId="1" xfId="0" applyNumberFormat="1" applyFill="1" applyBorder="1" applyAlignment="1">
      <alignment horizontal="center" vertical="center"/>
    </xf>
    <xf numFmtId="0" fontId="144" fillId="2" borderId="0" xfId="1" applyFont="1" applyFill="1" applyBorder="1" applyProtection="1"/>
    <xf numFmtId="0" fontId="3" fillId="40" borderId="0" xfId="0" applyFont="1" applyFill="1" applyAlignment="1">
      <alignment horizontal="center" vertical="center"/>
    </xf>
    <xf numFmtId="0" fontId="177" fillId="2" borderId="0" xfId="0" applyFont="1" applyFill="1"/>
    <xf numFmtId="0" fontId="216" fillId="2" borderId="0" xfId="0" applyFont="1" applyFill="1" applyAlignment="1">
      <alignment horizontal="center" vertical="center"/>
    </xf>
    <xf numFmtId="0" fontId="216" fillId="2" borderId="0" xfId="0" applyFont="1" applyFill="1"/>
    <xf numFmtId="0" fontId="217" fillId="2" borderId="0" xfId="0" applyFont="1" applyFill="1" applyAlignment="1">
      <alignment vertical="top" wrapText="1"/>
    </xf>
    <xf numFmtId="44" fontId="100" fillId="2" borderId="0" xfId="4" applyFont="1" applyFill="1"/>
    <xf numFmtId="0" fontId="216" fillId="2" borderId="0" xfId="0" applyFont="1" applyFill="1" applyAlignment="1">
      <alignment horizontal="center"/>
    </xf>
    <xf numFmtId="0" fontId="217" fillId="2" borderId="0" xfId="0" applyFont="1" applyFill="1" applyAlignment="1">
      <alignment horizontal="left" vertical="top" wrapText="1"/>
    </xf>
    <xf numFmtId="0" fontId="217" fillId="2" borderId="0" xfId="0" applyFont="1" applyFill="1" applyAlignment="1">
      <alignment horizontal="center" vertical="center" wrapText="1"/>
    </xf>
    <xf numFmtId="0" fontId="0" fillId="40" borderId="5" xfId="0" applyFill="1" applyBorder="1"/>
    <xf numFmtId="0" fontId="20" fillId="8" borderId="0" xfId="0" applyFont="1" applyFill="1"/>
    <xf numFmtId="0" fontId="33" fillId="40" borderId="0" xfId="0" applyFont="1" applyFill="1"/>
    <xf numFmtId="10" fontId="20" fillId="8" borderId="0" xfId="0" applyNumberFormat="1" applyFont="1" applyFill="1"/>
    <xf numFmtId="10" fontId="20" fillId="40" borderId="0" xfId="0" applyNumberFormat="1" applyFont="1" applyFill="1"/>
    <xf numFmtId="0" fontId="42" fillId="40" borderId="0" xfId="0" applyFont="1" applyFill="1"/>
    <xf numFmtId="0" fontId="32" fillId="47" borderId="3" xfId="5" applyFont="1" applyFill="1" applyBorder="1" applyProtection="1">
      <protection locked="0"/>
    </xf>
    <xf numFmtId="0" fontId="32" fillId="47" borderId="1" xfId="5" applyFont="1" applyFill="1" applyBorder="1" applyProtection="1">
      <protection locked="0"/>
    </xf>
    <xf numFmtId="0" fontId="16" fillId="2" borderId="0" xfId="0" applyFont="1" applyFill="1"/>
    <xf numFmtId="0" fontId="218" fillId="2" borderId="0" xfId="0" applyFont="1" applyFill="1"/>
    <xf numFmtId="0" fontId="20" fillId="2" borderId="0" xfId="0" quotePrefix="1" applyFont="1" applyFill="1"/>
    <xf numFmtId="0" fontId="0" fillId="6" borderId="0" xfId="0" applyFill="1" applyAlignment="1">
      <alignment horizontal="right" vertical="top"/>
    </xf>
    <xf numFmtId="0" fontId="0" fillId="6" borderId="0" xfId="0" applyFill="1" applyAlignment="1">
      <alignment horizontal="center" vertical="top"/>
    </xf>
    <xf numFmtId="0" fontId="173" fillId="0" borderId="0" xfId="0" applyFont="1"/>
    <xf numFmtId="0" fontId="70" fillId="47" borderId="0" xfId="0" applyFont="1" applyFill="1"/>
    <xf numFmtId="0" fontId="70" fillId="2" borderId="1" xfId="0" applyFont="1" applyFill="1" applyBorder="1"/>
    <xf numFmtId="9" fontId="70" fillId="24" borderId="0" xfId="0" applyNumberFormat="1" applyFont="1" applyFill="1"/>
    <xf numFmtId="9" fontId="70" fillId="47" borderId="0" xfId="0" applyNumberFormat="1" applyFont="1" applyFill="1"/>
    <xf numFmtId="0" fontId="20" fillId="0" borderId="0" xfId="3" applyNumberFormat="1" applyFont="1"/>
    <xf numFmtId="42" fontId="0" fillId="2" borderId="0" xfId="0" applyNumberFormat="1" applyFill="1"/>
    <xf numFmtId="42" fontId="0" fillId="2" borderId="4" xfId="0" applyNumberFormat="1" applyFill="1" applyBorder="1"/>
    <xf numFmtId="0" fontId="0" fillId="2" borderId="10" xfId="0" applyFill="1" applyBorder="1"/>
    <xf numFmtId="5" fontId="32" fillId="53" borderId="1" xfId="5" applyNumberFormat="1" applyFont="1" applyFill="1" applyBorder="1" applyAlignment="1" applyProtection="1">
      <alignment horizontal="right"/>
      <protection locked="0"/>
    </xf>
    <xf numFmtId="5" fontId="32" fillId="30" borderId="1" xfId="5" applyNumberFormat="1" applyFont="1" applyFill="1" applyBorder="1" applyAlignment="1" applyProtection="1">
      <alignment horizontal="right"/>
      <protection locked="0"/>
    </xf>
    <xf numFmtId="0" fontId="0" fillId="53" borderId="0" xfId="0" applyFill="1" applyAlignment="1" applyProtection="1">
      <alignment wrapText="1"/>
      <protection locked="0"/>
    </xf>
    <xf numFmtId="38" fontId="0" fillId="3" borderId="1" xfId="0" applyNumberFormat="1" applyFill="1" applyBorder="1" applyAlignment="1">
      <alignment horizontal="center" vertical="center"/>
    </xf>
    <xf numFmtId="0" fontId="1" fillId="0" borderId="1" xfId="0" applyFont="1" applyBorder="1" applyAlignment="1">
      <alignment horizontal="center"/>
    </xf>
    <xf numFmtId="9" fontId="1" fillId="0" borderId="1" xfId="2" applyFont="1" applyBorder="1" applyAlignment="1">
      <alignment horizontal="center"/>
    </xf>
    <xf numFmtId="0" fontId="1" fillId="3" borderId="0" xfId="0" applyFont="1" applyFill="1"/>
    <xf numFmtId="0" fontId="1" fillId="7" borderId="1" xfId="0" applyFont="1" applyFill="1" applyBorder="1"/>
    <xf numFmtId="0" fontId="1" fillId="7" borderId="1" xfId="0" applyFont="1" applyFill="1" applyBorder="1" applyProtection="1">
      <protection locked="0"/>
    </xf>
    <xf numFmtId="0" fontId="1" fillId="7" borderId="0" xfId="0" applyFont="1" applyFill="1" applyProtection="1">
      <protection locked="0"/>
    </xf>
    <xf numFmtId="0" fontId="1" fillId="7" borderId="11" xfId="0" applyFont="1" applyFill="1" applyBorder="1" applyProtection="1">
      <protection locked="0"/>
    </xf>
    <xf numFmtId="0" fontId="1" fillId="7" borderId="35" xfId="0" applyFont="1" applyFill="1" applyBorder="1" applyProtection="1">
      <protection locked="0"/>
    </xf>
    <xf numFmtId="0" fontId="1" fillId="3" borderId="0" xfId="0" applyFont="1" applyFill="1" applyAlignment="1">
      <alignment horizontal="left" vertical="top"/>
    </xf>
    <xf numFmtId="0" fontId="1" fillId="4" borderId="0" xfId="0" applyFont="1" applyFill="1"/>
    <xf numFmtId="0" fontId="1" fillId="24" borderId="0" xfId="0" applyFont="1" applyFill="1"/>
    <xf numFmtId="0" fontId="1" fillId="2" borderId="0" xfId="0" applyFont="1" applyFill="1"/>
    <xf numFmtId="0" fontId="1" fillId="0" borderId="0" xfId="0" applyFont="1"/>
    <xf numFmtId="0" fontId="1" fillId="55" borderId="0" xfId="0" applyFont="1" applyFill="1"/>
    <xf numFmtId="0" fontId="1" fillId="40" borderId="0" xfId="0" applyFont="1" applyFill="1" applyAlignment="1">
      <alignment horizontal="left"/>
    </xf>
    <xf numFmtId="0" fontId="1" fillId="40" borderId="0" xfId="0" quotePrefix="1" applyFont="1" applyFill="1" applyAlignment="1">
      <alignment horizontal="left"/>
    </xf>
    <xf numFmtId="49" fontId="1" fillId="24" borderId="1" xfId="0" applyNumberFormat="1" applyFont="1" applyFill="1" applyBorder="1" applyAlignment="1" applyProtection="1">
      <alignment horizontal="center"/>
      <protection locked="0"/>
    </xf>
    <xf numFmtId="38" fontId="1" fillId="24" borderId="1" xfId="0" applyNumberFormat="1" applyFont="1" applyFill="1" applyBorder="1" applyAlignment="1" applyProtection="1">
      <alignment horizontal="center"/>
      <protection locked="0"/>
    </xf>
    <xf numFmtId="40" fontId="1" fillId="24" borderId="1" xfId="0" applyNumberFormat="1" applyFont="1" applyFill="1" applyBorder="1" applyAlignment="1" applyProtection="1">
      <alignment horizontal="center"/>
      <protection locked="0"/>
    </xf>
    <xf numFmtId="9" fontId="1" fillId="24" borderId="1" xfId="2" applyFont="1" applyFill="1" applyBorder="1" applyAlignment="1" applyProtection="1">
      <alignment horizontal="center"/>
      <protection locked="0"/>
    </xf>
    <xf numFmtId="6" fontId="1" fillId="2" borderId="1" xfId="0" applyNumberFormat="1" applyFont="1" applyFill="1" applyBorder="1" applyProtection="1">
      <protection locked="0"/>
    </xf>
    <xf numFmtId="167" fontId="1" fillId="17" borderId="1" xfId="0" applyNumberFormat="1" applyFont="1" applyFill="1" applyBorder="1"/>
    <xf numFmtId="6" fontId="1" fillId="24" borderId="1" xfId="0" applyNumberFormat="1" applyFont="1" applyFill="1" applyBorder="1" applyProtection="1">
      <protection locked="0"/>
    </xf>
    <xf numFmtId="6" fontId="1" fillId="17" borderId="1" xfId="0" applyNumberFormat="1" applyFont="1" applyFill="1" applyBorder="1"/>
    <xf numFmtId="10" fontId="1" fillId="17" borderId="1" xfId="0" applyNumberFormat="1" applyFont="1" applyFill="1" applyBorder="1"/>
    <xf numFmtId="6" fontId="1" fillId="4" borderId="1" xfId="0" applyNumberFormat="1" applyFont="1" applyFill="1" applyBorder="1" applyProtection="1">
      <protection locked="0"/>
    </xf>
    <xf numFmtId="9" fontId="1" fillId="17" borderId="1" xfId="2" applyFont="1" applyFill="1" applyBorder="1" applyProtection="1"/>
    <xf numFmtId="2" fontId="1" fillId="17" borderId="1" xfId="0" applyNumberFormat="1" applyFont="1" applyFill="1" applyBorder="1"/>
    <xf numFmtId="38" fontId="1" fillId="40" borderId="0" xfId="0" applyNumberFormat="1" applyFont="1" applyFill="1" applyAlignment="1">
      <alignment horizontal="center"/>
    </xf>
    <xf numFmtId="9" fontId="1" fillId="40" borderId="0" xfId="2" applyFont="1" applyFill="1" applyBorder="1" applyAlignment="1" applyProtection="1">
      <alignment horizontal="center"/>
    </xf>
    <xf numFmtId="6" fontId="1" fillId="40" borderId="0" xfId="0" applyNumberFormat="1" applyFont="1" applyFill="1"/>
    <xf numFmtId="0" fontId="1" fillId="32" borderId="1" xfId="0" applyFont="1" applyFill="1" applyBorder="1" applyProtection="1">
      <protection locked="0"/>
    </xf>
    <xf numFmtId="172" fontId="1" fillId="4" borderId="1" xfId="0" applyNumberFormat="1" applyFont="1" applyFill="1" applyBorder="1" applyAlignment="1" applyProtection="1">
      <alignment horizontal="center"/>
      <protection locked="0"/>
    </xf>
    <xf numFmtId="0" fontId="1" fillId="40" borderId="0" xfId="0" applyFont="1" applyFill="1" applyAlignment="1">
      <alignment horizontal="center"/>
    </xf>
    <xf numFmtId="172" fontId="1" fillId="40" borderId="0" xfId="0" applyNumberFormat="1" applyFont="1" applyFill="1"/>
    <xf numFmtId="0" fontId="1" fillId="4" borderId="1" xfId="0" applyFont="1" applyFill="1" applyBorder="1" applyProtection="1">
      <protection locked="0"/>
    </xf>
    <xf numFmtId="0" fontId="1" fillId="40" borderId="2" xfId="0" applyFont="1" applyFill="1" applyBorder="1"/>
    <xf numFmtId="0" fontId="1" fillId="40" borderId="18" xfId="0" applyFont="1" applyFill="1" applyBorder="1"/>
    <xf numFmtId="0" fontId="1" fillId="40" borderId="0" xfId="0" applyFont="1" applyFill="1" applyAlignment="1">
      <alignment horizontal="center" vertical="center" wrapText="1"/>
    </xf>
    <xf numFmtId="49" fontId="1" fillId="24" borderId="1" xfId="0" applyNumberFormat="1" applyFont="1" applyFill="1" applyBorder="1" applyAlignment="1" applyProtection="1">
      <alignment horizontal="right"/>
      <protection locked="0"/>
    </xf>
    <xf numFmtId="176" fontId="1" fillId="24" borderId="1" xfId="0" applyNumberFormat="1" applyFont="1" applyFill="1" applyBorder="1" applyAlignment="1" applyProtection="1">
      <alignment horizontal="center"/>
      <protection locked="0"/>
    </xf>
    <xf numFmtId="167" fontId="1" fillId="17" borderId="30" xfId="0" applyNumberFormat="1" applyFont="1" applyFill="1" applyBorder="1"/>
    <xf numFmtId="6" fontId="1" fillId="4" borderId="1" xfId="2" applyNumberFormat="1" applyFont="1" applyFill="1" applyBorder="1" applyProtection="1">
      <protection locked="0"/>
    </xf>
    <xf numFmtId="10" fontId="1" fillId="17" borderId="30" xfId="0" applyNumberFormat="1" applyFont="1" applyFill="1" applyBorder="1"/>
    <xf numFmtId="9" fontId="1" fillId="17" borderId="22" xfId="2" applyFont="1" applyFill="1" applyBorder="1" applyProtection="1"/>
    <xf numFmtId="10" fontId="1" fillId="40" borderId="0" xfId="0" applyNumberFormat="1" applyFont="1" applyFill="1"/>
    <xf numFmtId="167" fontId="1" fillId="17" borderId="22" xfId="0" applyNumberFormat="1" applyFont="1" applyFill="1" applyBorder="1"/>
    <xf numFmtId="38" fontId="1" fillId="17" borderId="1" xfId="0" applyNumberFormat="1" applyFont="1" applyFill="1" applyBorder="1"/>
    <xf numFmtId="10" fontId="1" fillId="17" borderId="1" xfId="2" applyNumberFormat="1" applyFont="1" applyFill="1" applyBorder="1" applyAlignment="1">
      <alignment horizontal="right"/>
    </xf>
    <xf numFmtId="10" fontId="1" fillId="40" borderId="0" xfId="2" applyNumberFormat="1" applyFont="1" applyFill="1"/>
    <xf numFmtId="38" fontId="1" fillId="31" borderId="1" xfId="0" applyNumberFormat="1" applyFont="1" applyFill="1" applyBorder="1" applyAlignment="1" applyProtection="1">
      <alignment horizontal="center"/>
      <protection locked="0"/>
    </xf>
    <xf numFmtId="38" fontId="1" fillId="0" borderId="1" xfId="0" applyNumberFormat="1" applyFont="1" applyBorder="1" applyAlignment="1" applyProtection="1">
      <alignment horizontal="center"/>
      <protection locked="0"/>
    </xf>
    <xf numFmtId="0" fontId="1" fillId="24" borderId="2" xfId="0" applyFont="1" applyFill="1" applyBorder="1"/>
    <xf numFmtId="0" fontId="1" fillId="24" borderId="0" xfId="0" applyFont="1" applyFill="1" applyAlignment="1">
      <alignment horizontal="left" wrapText="1"/>
    </xf>
    <xf numFmtId="0" fontId="1" fillId="4" borderId="2" xfId="0" applyFont="1" applyFill="1" applyBorder="1"/>
    <xf numFmtId="0" fontId="1" fillId="48" borderId="1" xfId="0" applyFont="1" applyFill="1" applyBorder="1"/>
    <xf numFmtId="172" fontId="1" fillId="24" borderId="1" xfId="0" applyNumberFormat="1" applyFont="1" applyFill="1" applyBorder="1" applyProtection="1">
      <protection locked="0"/>
    </xf>
    <xf numFmtId="166" fontId="1" fillId="24" borderId="1" xfId="0" applyNumberFormat="1" applyFont="1" applyFill="1" applyBorder="1" applyProtection="1">
      <protection locked="0"/>
    </xf>
    <xf numFmtId="1" fontId="1" fillId="24" borderId="1" xfId="0" applyNumberFormat="1" applyFont="1" applyFill="1" applyBorder="1" applyProtection="1">
      <protection locked="0"/>
    </xf>
    <xf numFmtId="1" fontId="1" fillId="4" borderId="1" xfId="0" applyNumberFormat="1" applyFont="1" applyFill="1" applyBorder="1" applyProtection="1">
      <protection locked="0"/>
    </xf>
    <xf numFmtId="5" fontId="1" fillId="17" borderId="1" xfId="0" applyNumberFormat="1" applyFont="1" applyFill="1" applyBorder="1"/>
    <xf numFmtId="0" fontId="1" fillId="24" borderId="1" xfId="0" applyFont="1" applyFill="1" applyBorder="1" applyProtection="1">
      <protection locked="0"/>
    </xf>
    <xf numFmtId="4" fontId="1" fillId="55" borderId="20" xfId="0" applyNumberFormat="1" applyFont="1" applyFill="1" applyBorder="1"/>
    <xf numFmtId="172" fontId="1" fillId="24" borderId="11" xfId="0" applyNumberFormat="1" applyFont="1" applyFill="1" applyBorder="1" applyProtection="1">
      <protection locked="0"/>
    </xf>
    <xf numFmtId="0" fontId="1" fillId="0" borderId="1" xfId="0" applyFont="1" applyBorder="1"/>
    <xf numFmtId="0" fontId="1" fillId="24" borderId="11" xfId="0" applyFont="1" applyFill="1" applyBorder="1" applyProtection="1">
      <protection locked="0"/>
    </xf>
    <xf numFmtId="4" fontId="1" fillId="55" borderId="0" xfId="0" applyNumberFormat="1" applyFont="1" applyFill="1"/>
    <xf numFmtId="5" fontId="1" fillId="55" borderId="0" xfId="0" applyNumberFormat="1" applyFont="1" applyFill="1"/>
    <xf numFmtId="172" fontId="1" fillId="17" borderId="24" xfId="0" applyNumberFormat="1" applyFont="1" applyFill="1" applyBorder="1"/>
    <xf numFmtId="1" fontId="1" fillId="0" borderId="1" xfId="0" applyNumberFormat="1" applyFont="1" applyBorder="1" applyProtection="1">
      <protection locked="0"/>
    </xf>
    <xf numFmtId="166" fontId="1" fillId="4" borderId="1" xfId="0" applyNumberFormat="1" applyFont="1" applyFill="1" applyBorder="1" applyProtection="1">
      <protection locked="0"/>
    </xf>
    <xf numFmtId="182" fontId="1" fillId="4" borderId="1" xfId="0" applyNumberFormat="1" applyFont="1" applyFill="1" applyBorder="1" applyProtection="1">
      <protection locked="0"/>
    </xf>
    <xf numFmtId="179" fontId="1" fillId="17" borderId="1" xfId="0" applyNumberFormat="1" applyFont="1" applyFill="1" applyBorder="1"/>
    <xf numFmtId="7" fontId="1" fillId="55" borderId="0" xfId="0" applyNumberFormat="1" applyFont="1" applyFill="1"/>
    <xf numFmtId="172" fontId="1" fillId="4" borderId="24" xfId="0" applyNumberFormat="1" applyFont="1" applyFill="1" applyBorder="1" applyProtection="1">
      <protection locked="0"/>
    </xf>
    <xf numFmtId="1" fontId="1" fillId="55" borderId="0" xfId="0" applyNumberFormat="1" applyFont="1" applyFill="1"/>
    <xf numFmtId="0" fontId="1" fillId="4" borderId="35" xfId="0" applyFont="1" applyFill="1" applyBorder="1" applyProtection="1">
      <protection locked="0"/>
    </xf>
    <xf numFmtId="172" fontId="1" fillId="24" borderId="27" xfId="0" applyNumberFormat="1" applyFont="1" applyFill="1" applyBorder="1" applyProtection="1">
      <protection locked="0"/>
    </xf>
    <xf numFmtId="166" fontId="1" fillId="24" borderId="11" xfId="0" applyNumberFormat="1" applyFont="1" applyFill="1" applyBorder="1" applyProtection="1">
      <protection locked="0"/>
    </xf>
    <xf numFmtId="1" fontId="1" fillId="24" borderId="11" xfId="0" applyNumberFormat="1" applyFont="1" applyFill="1" applyBorder="1" applyProtection="1">
      <protection locked="0"/>
    </xf>
    <xf numFmtId="166" fontId="1" fillId="24" borderId="23" xfId="0" applyNumberFormat="1" applyFont="1" applyFill="1" applyBorder="1" applyProtection="1">
      <protection locked="0"/>
    </xf>
    <xf numFmtId="1" fontId="1" fillId="24" borderId="23" xfId="0" applyNumberFormat="1" applyFont="1" applyFill="1" applyBorder="1" applyProtection="1">
      <protection locked="0"/>
    </xf>
    <xf numFmtId="166" fontId="1" fillId="55" borderId="6" xfId="0" applyNumberFormat="1" applyFont="1" applyFill="1" applyBorder="1"/>
    <xf numFmtId="1" fontId="1" fillId="55" borderId="2" xfId="0" applyNumberFormat="1" applyFont="1" applyFill="1" applyBorder="1"/>
    <xf numFmtId="166" fontId="1" fillId="55" borderId="8" xfId="0" applyNumberFormat="1" applyFont="1" applyFill="1" applyBorder="1"/>
    <xf numFmtId="4" fontId="1" fillId="55" borderId="8" xfId="0" applyNumberFormat="1" applyFont="1" applyFill="1" applyBorder="1"/>
    <xf numFmtId="0" fontId="1" fillId="24" borderId="68" xfId="0" applyFont="1" applyFill="1" applyBorder="1" applyProtection="1">
      <protection locked="0"/>
    </xf>
    <xf numFmtId="4" fontId="1" fillId="24" borderId="23" xfId="0" applyNumberFormat="1" applyFont="1" applyFill="1" applyBorder="1" applyProtection="1">
      <protection locked="0"/>
    </xf>
    <xf numFmtId="166" fontId="1" fillId="24" borderId="103" xfId="0" applyNumberFormat="1" applyFont="1" applyFill="1" applyBorder="1" applyProtection="1">
      <protection locked="0"/>
    </xf>
    <xf numFmtId="4" fontId="1" fillId="24" borderId="1" xfId="0" applyNumberFormat="1" applyFont="1" applyFill="1" applyBorder="1" applyProtection="1">
      <protection locked="0"/>
    </xf>
    <xf numFmtId="44" fontId="1" fillId="17" borderId="1" xfId="4" applyFont="1" applyFill="1" applyBorder="1" applyAlignment="1">
      <alignment horizontal="center" vertical="center"/>
    </xf>
    <xf numFmtId="9" fontId="1" fillId="17" borderId="1" xfId="2" applyFont="1" applyFill="1" applyBorder="1" applyAlignment="1">
      <alignment horizontal="center" vertical="center"/>
    </xf>
    <xf numFmtId="0" fontId="1" fillId="4" borderId="0" xfId="0" applyFont="1" applyFill="1" applyAlignment="1">
      <alignment horizontal="left" wrapText="1"/>
    </xf>
    <xf numFmtId="0" fontId="1" fillId="2" borderId="18" xfId="0" applyFont="1" applyFill="1" applyBorder="1"/>
    <xf numFmtId="0" fontId="1" fillId="24" borderId="18" xfId="0" applyFont="1" applyFill="1" applyBorder="1"/>
    <xf numFmtId="172" fontId="1" fillId="24" borderId="11" xfId="0" applyNumberFormat="1" applyFont="1" applyFill="1" applyBorder="1" applyAlignment="1" applyProtection="1">
      <alignment horizontal="right"/>
      <protection locked="0"/>
    </xf>
    <xf numFmtId="172" fontId="1" fillId="17" borderId="11" xfId="0" applyNumberFormat="1" applyFont="1" applyFill="1" applyBorder="1" applyAlignment="1">
      <alignment horizontal="right"/>
    </xf>
    <xf numFmtId="172" fontId="1" fillId="24" borderId="27" xfId="0" applyNumberFormat="1" applyFont="1" applyFill="1" applyBorder="1" applyAlignment="1" applyProtection="1">
      <alignment horizontal="right"/>
      <protection locked="0"/>
    </xf>
    <xf numFmtId="0" fontId="1" fillId="55" borderId="11" xfId="0" applyFont="1" applyFill="1" applyBorder="1"/>
    <xf numFmtId="1" fontId="1" fillId="17" borderId="11" xfId="0" applyNumberFormat="1" applyFont="1" applyFill="1" applyBorder="1" applyAlignment="1">
      <alignment horizontal="right"/>
    </xf>
    <xf numFmtId="0" fontId="1" fillId="4" borderId="18" xfId="0" applyFont="1" applyFill="1" applyBorder="1"/>
    <xf numFmtId="0" fontId="1" fillId="40" borderId="0" xfId="0" applyFont="1" applyFill="1" applyAlignment="1">
      <alignment vertical="top"/>
    </xf>
    <xf numFmtId="0" fontId="1" fillId="19" borderId="1" xfId="0" applyFont="1" applyFill="1" applyBorder="1" applyAlignment="1">
      <alignment horizontal="right"/>
    </xf>
    <xf numFmtId="17" fontId="1" fillId="19" borderId="1" xfId="0" applyNumberFormat="1" applyFont="1" applyFill="1" applyBorder="1" applyAlignment="1">
      <alignment horizontal="right"/>
    </xf>
    <xf numFmtId="169" fontId="1" fillId="0" borderId="1" xfId="0" applyNumberFormat="1" applyFont="1" applyBorder="1" applyProtection="1">
      <protection locked="0"/>
    </xf>
    <xf numFmtId="9" fontId="1" fillId="17" borderId="1" xfId="0" applyNumberFormat="1" applyFont="1" applyFill="1" applyBorder="1"/>
    <xf numFmtId="38" fontId="1" fillId="20" borderId="1" xfId="3" applyNumberFormat="1" applyFont="1" applyFill="1" applyBorder="1" applyProtection="1"/>
    <xf numFmtId="172" fontId="1" fillId="17" borderId="1" xfId="3" applyNumberFormat="1" applyFont="1" applyFill="1" applyBorder="1" applyProtection="1"/>
    <xf numFmtId="172" fontId="1" fillId="0" borderId="1" xfId="3" applyNumberFormat="1" applyFont="1" applyFill="1" applyBorder="1" applyProtection="1">
      <protection locked="0"/>
    </xf>
    <xf numFmtId="172" fontId="1" fillId="47" borderId="1" xfId="3" applyNumberFormat="1" applyFont="1" applyFill="1" applyBorder="1" applyProtection="1"/>
    <xf numFmtId="172" fontId="1" fillId="20" borderId="1" xfId="3" applyNumberFormat="1" applyFont="1" applyFill="1" applyBorder="1" applyProtection="1"/>
    <xf numFmtId="172" fontId="1" fillId="22" borderId="1" xfId="3" applyNumberFormat="1" applyFont="1" applyFill="1" applyBorder="1" applyProtection="1"/>
    <xf numFmtId="172" fontId="1" fillId="18" borderId="1" xfId="3" applyNumberFormat="1" applyFont="1" applyFill="1" applyBorder="1" applyProtection="1"/>
    <xf numFmtId="38" fontId="1" fillId="0" borderId="1" xfId="3" applyNumberFormat="1" applyFont="1" applyFill="1" applyBorder="1" applyProtection="1">
      <protection locked="0"/>
    </xf>
    <xf numFmtId="172" fontId="1" fillId="17" borderId="1" xfId="3" applyNumberFormat="1" applyFont="1" applyFill="1" applyBorder="1" applyAlignment="1" applyProtection="1">
      <alignment horizontal="right"/>
    </xf>
    <xf numFmtId="172" fontId="1" fillId="40" borderId="0" xfId="3" applyNumberFormat="1" applyFont="1" applyFill="1" applyBorder="1" applyProtection="1"/>
    <xf numFmtId="38" fontId="1" fillId="40" borderId="0" xfId="3" applyNumberFormat="1" applyFont="1" applyFill="1" applyBorder="1" applyProtection="1"/>
    <xf numFmtId="172" fontId="1" fillId="0" borderId="1" xfId="3" applyNumberFormat="1" applyFont="1" applyBorder="1" applyProtection="1">
      <protection locked="0"/>
    </xf>
    <xf numFmtId="0" fontId="1" fillId="17" borderId="1" xfId="0" applyFont="1" applyFill="1" applyBorder="1"/>
    <xf numFmtId="10" fontId="1" fillId="17" borderId="1" xfId="2" applyNumberFormat="1" applyFont="1" applyFill="1" applyBorder="1" applyProtection="1"/>
    <xf numFmtId="0" fontId="1" fillId="47" borderId="1" xfId="0" applyFont="1" applyFill="1" applyBorder="1"/>
    <xf numFmtId="172" fontId="1" fillId="24" borderId="1" xfId="3" applyNumberFormat="1" applyFont="1" applyFill="1" applyBorder="1" applyProtection="1">
      <protection locked="0"/>
    </xf>
    <xf numFmtId="172" fontId="1" fillId="17" borderId="1" xfId="0" applyNumberFormat="1" applyFont="1" applyFill="1" applyBorder="1"/>
    <xf numFmtId="38" fontId="1" fillId="47" borderId="1" xfId="3" applyNumberFormat="1" applyFont="1" applyFill="1" applyBorder="1" applyProtection="1"/>
    <xf numFmtId="38" fontId="1" fillId="40" borderId="0" xfId="3" quotePrefix="1" applyNumberFormat="1" applyFont="1" applyFill="1" applyBorder="1" applyProtection="1"/>
    <xf numFmtId="38" fontId="1" fillId="17" borderId="1" xfId="3" applyNumberFormat="1" applyFont="1" applyFill="1" applyBorder="1" applyProtection="1"/>
    <xf numFmtId="0" fontId="1" fillId="40" borderId="1" xfId="0" applyFont="1" applyFill="1" applyBorder="1"/>
    <xf numFmtId="0" fontId="1" fillId="40" borderId="1" xfId="0" applyFont="1" applyFill="1" applyBorder="1" applyAlignment="1">
      <alignment horizontal="right"/>
    </xf>
    <xf numFmtId="10" fontId="1" fillId="40" borderId="1" xfId="2" applyNumberFormat="1" applyFont="1" applyFill="1" applyBorder="1" applyProtection="1"/>
    <xf numFmtId="38" fontId="1" fillId="40" borderId="1" xfId="3" applyNumberFormat="1" applyFont="1" applyFill="1" applyBorder="1" applyProtection="1"/>
    <xf numFmtId="172" fontId="1" fillId="40" borderId="1" xfId="3" applyNumberFormat="1" applyFont="1" applyFill="1" applyBorder="1" applyProtection="1"/>
    <xf numFmtId="172" fontId="1" fillId="40" borderId="1" xfId="0" applyNumberFormat="1" applyFont="1" applyFill="1" applyBorder="1"/>
    <xf numFmtId="171" fontId="1" fillId="47" borderId="1" xfId="3" applyNumberFormat="1" applyFont="1" applyFill="1" applyBorder="1" applyProtection="1"/>
    <xf numFmtId="171" fontId="1" fillId="17" borderId="1" xfId="3" quotePrefix="1" applyNumberFormat="1" applyFont="1" applyFill="1" applyBorder="1" applyProtection="1"/>
    <xf numFmtId="171" fontId="1" fillId="17" borderId="1" xfId="3" applyNumberFormat="1" applyFont="1" applyFill="1" applyBorder="1" applyProtection="1"/>
    <xf numFmtId="38" fontId="1" fillId="2" borderId="0" xfId="3" applyNumberFormat="1" applyFont="1" applyFill="1" applyBorder="1" applyProtection="1"/>
    <xf numFmtId="0" fontId="1" fillId="2" borderId="2" xfId="0" applyFont="1" applyFill="1" applyBorder="1"/>
    <xf numFmtId="0" fontId="1" fillId="2" borderId="21" xfId="0" applyFont="1" applyFill="1" applyBorder="1"/>
    <xf numFmtId="0" fontId="1" fillId="40" borderId="0" xfId="0" applyFont="1" applyFill="1" applyAlignment="1">
      <alignment vertical="top" wrapText="1"/>
    </xf>
    <xf numFmtId="0" fontId="1" fillId="2" borderId="9" xfId="0" applyFont="1" applyFill="1" applyBorder="1" applyAlignment="1">
      <alignment horizontal="right"/>
    </xf>
    <xf numFmtId="2" fontId="1" fillId="9" borderId="25" xfId="0" applyNumberFormat="1" applyFont="1" applyFill="1" applyBorder="1" applyAlignment="1">
      <alignment horizontal="center"/>
    </xf>
    <xf numFmtId="0" fontId="1" fillId="2" borderId="21" xfId="0" applyFont="1" applyFill="1" applyBorder="1" applyAlignment="1">
      <alignment horizontal="right"/>
    </xf>
    <xf numFmtId="0" fontId="1" fillId="40" borderId="0" xfId="0" applyFont="1" applyFill="1" applyAlignment="1">
      <alignment wrapText="1"/>
    </xf>
    <xf numFmtId="38" fontId="1" fillId="9" borderId="1" xfId="0" applyNumberFormat="1" applyFont="1" applyFill="1" applyBorder="1"/>
    <xf numFmtId="0" fontId="1" fillId="9" borderId="1" xfId="0" applyFont="1" applyFill="1" applyBorder="1"/>
    <xf numFmtId="0" fontId="1" fillId="40" borderId="0" xfId="0" applyFont="1" applyFill="1" applyAlignment="1">
      <alignment horizontal="left" vertical="top"/>
    </xf>
    <xf numFmtId="0" fontId="1" fillId="8" borderId="0" xfId="0" applyFont="1" applyFill="1"/>
    <xf numFmtId="0" fontId="1" fillId="40" borderId="4" xfId="0" applyFont="1" applyFill="1" applyBorder="1" applyAlignment="1">
      <alignment vertical="top" wrapText="1"/>
    </xf>
    <xf numFmtId="9" fontId="1" fillId="4" borderId="0" xfId="0" applyNumberFormat="1" applyFont="1" applyFill="1"/>
    <xf numFmtId="0" fontId="1" fillId="47" borderId="0" xfId="0" applyFont="1" applyFill="1"/>
    <xf numFmtId="0" fontId="1" fillId="47" borderId="0" xfId="0" applyFont="1" applyFill="1" applyAlignment="1">
      <alignment horizontal="right"/>
    </xf>
    <xf numFmtId="178" fontId="1" fillId="9" borderId="1" xfId="0" applyNumberFormat="1" applyFont="1" applyFill="1" applyBorder="1" applyAlignment="1">
      <alignment horizontal="center"/>
    </xf>
    <xf numFmtId="0" fontId="1" fillId="31" borderId="1" xfId="0" applyFont="1" applyFill="1" applyBorder="1" applyAlignment="1">
      <alignment horizontal="center"/>
    </xf>
    <xf numFmtId="14" fontId="1" fillId="31" borderId="1" xfId="0" applyNumberFormat="1" applyFont="1" applyFill="1" applyBorder="1" applyAlignment="1">
      <alignment horizontal="center"/>
    </xf>
    <xf numFmtId="172" fontId="1" fillId="9" borderId="1" xfId="0" applyNumberFormat="1" applyFont="1" applyFill="1" applyBorder="1" applyAlignment="1">
      <alignment horizontal="center"/>
    </xf>
    <xf numFmtId="172" fontId="1" fillId="0" borderId="84" xfId="0" applyNumberFormat="1" applyFont="1" applyBorder="1" applyAlignment="1">
      <alignment horizontal="center"/>
    </xf>
    <xf numFmtId="0" fontId="1" fillId="31" borderId="1" xfId="0" applyFont="1" applyFill="1" applyBorder="1"/>
    <xf numFmtId="14" fontId="1" fillId="31" borderId="1" xfId="0" applyNumberFormat="1" applyFont="1" applyFill="1" applyBorder="1"/>
    <xf numFmtId="167" fontId="1" fillId="31" borderId="21" xfId="0" applyNumberFormat="1" applyFont="1" applyFill="1" applyBorder="1"/>
    <xf numFmtId="10" fontId="1" fillId="31" borderId="1" xfId="0" applyNumberFormat="1" applyFont="1" applyFill="1" applyBorder="1"/>
    <xf numFmtId="167" fontId="1" fillId="9" borderId="1" xfId="0" applyNumberFormat="1" applyFont="1" applyFill="1" applyBorder="1"/>
    <xf numFmtId="0" fontId="1" fillId="51" borderId="0" xfId="0" applyFont="1" applyFill="1"/>
    <xf numFmtId="14" fontId="1" fillId="51" borderId="0" xfId="0" applyNumberFormat="1" applyFont="1" applyFill="1"/>
    <xf numFmtId="167" fontId="1" fillId="51" borderId="0" xfId="0" applyNumberFormat="1" applyFont="1" applyFill="1"/>
    <xf numFmtId="10" fontId="1" fillId="51" borderId="0" xfId="0" applyNumberFormat="1" applyFont="1" applyFill="1"/>
    <xf numFmtId="0" fontId="1" fillId="52" borderId="0" xfId="0" applyFont="1" applyFill="1"/>
    <xf numFmtId="14" fontId="1" fillId="47" borderId="0" xfId="0" applyNumberFormat="1" applyFont="1" applyFill="1"/>
    <xf numFmtId="167" fontId="1" fillId="47" borderId="0" xfId="0" applyNumberFormat="1" applyFont="1" applyFill="1"/>
    <xf numFmtId="10" fontId="1" fillId="47" borderId="0" xfId="0" applyNumberFormat="1" applyFont="1" applyFill="1"/>
    <xf numFmtId="14" fontId="3" fillId="31" borderId="1" xfId="0" applyNumberFormat="1" applyFont="1" applyFill="1" applyBorder="1" applyAlignment="1" applyProtection="1">
      <alignment horizontal="center"/>
      <protection locked="0"/>
    </xf>
    <xf numFmtId="1" fontId="0" fillId="0" borderId="0" xfId="0" quotePrefix="1" applyNumberFormat="1"/>
    <xf numFmtId="38" fontId="0" fillId="0" borderId="0" xfId="0" applyNumberFormat="1" applyAlignment="1">
      <alignment horizontal="center" vertical="top"/>
    </xf>
    <xf numFmtId="9" fontId="0" fillId="0" borderId="0" xfId="0" applyNumberFormat="1" applyAlignment="1">
      <alignment horizontal="center" vertical="top"/>
    </xf>
    <xf numFmtId="10" fontId="0" fillId="0" borderId="0" xfId="0" applyNumberFormat="1" applyAlignment="1">
      <alignment horizontal="center" vertical="top"/>
    </xf>
    <xf numFmtId="2" fontId="0" fillId="0" borderId="0" xfId="0" applyNumberFormat="1" applyAlignment="1">
      <alignment horizontal="center" vertical="top"/>
    </xf>
    <xf numFmtId="3" fontId="0" fillId="0" borderId="0" xfId="0" applyNumberFormat="1" applyAlignment="1">
      <alignment horizontal="center" vertical="top"/>
    </xf>
    <xf numFmtId="39" fontId="0" fillId="0" borderId="0" xfId="0" applyNumberFormat="1" applyAlignment="1">
      <alignment horizontal="center" vertical="top"/>
    </xf>
    <xf numFmtId="9" fontId="40" fillId="31" borderId="1" xfId="0" applyNumberFormat="1" applyFont="1" applyFill="1" applyBorder="1" applyAlignment="1" applyProtection="1">
      <alignment horizontal="right" vertical="center"/>
      <protection locked="0"/>
    </xf>
    <xf numFmtId="181" fontId="0" fillId="2" borderId="10" xfId="0" applyNumberFormat="1" applyFill="1" applyBorder="1" applyAlignment="1">
      <alignment horizontal="left"/>
    </xf>
    <xf numFmtId="181" fontId="0" fillId="2" borderId="22" xfId="0" applyNumberFormat="1" applyFill="1" applyBorder="1" applyAlignment="1">
      <alignment horizontal="left"/>
    </xf>
    <xf numFmtId="0" fontId="4" fillId="9" borderId="1" xfId="0" applyFont="1" applyFill="1" applyBorder="1" applyAlignment="1">
      <alignment horizontal="center"/>
    </xf>
    <xf numFmtId="0" fontId="20" fillId="2" borderId="0" xfId="0" applyFont="1" applyFill="1" applyAlignment="1">
      <alignment horizontal="right" vertical="top"/>
    </xf>
    <xf numFmtId="5" fontId="20" fillId="2" borderId="0" xfId="0" applyNumberFormat="1" applyFont="1" applyFill="1"/>
    <xf numFmtId="0" fontId="20" fillId="24" borderId="0" xfId="0" applyFont="1" applyFill="1"/>
    <xf numFmtId="8" fontId="20" fillId="2" borderId="0" xfId="4" applyNumberFormat="1" applyFont="1" applyFill="1"/>
    <xf numFmtId="0" fontId="20" fillId="24" borderId="0" xfId="0" applyFont="1" applyFill="1" applyAlignment="1">
      <alignment wrapText="1"/>
    </xf>
    <xf numFmtId="171" fontId="121" fillId="2" borderId="0" xfId="3" applyNumberFormat="1" applyFont="1" applyFill="1" applyAlignment="1">
      <alignment horizontal="right"/>
    </xf>
    <xf numFmtId="44" fontId="20" fillId="2" borderId="0" xfId="4" applyFont="1" applyFill="1"/>
    <xf numFmtId="9" fontId="20" fillId="2" borderId="0" xfId="2" applyFont="1" applyFill="1"/>
    <xf numFmtId="171" fontId="20" fillId="2" borderId="0" xfId="0" applyNumberFormat="1" applyFont="1" applyFill="1"/>
    <xf numFmtId="171" fontId="121" fillId="2" borderId="0" xfId="3" applyNumberFormat="1" applyFont="1" applyFill="1" applyBorder="1" applyAlignment="1">
      <alignment horizontal="right"/>
    </xf>
    <xf numFmtId="171" fontId="121" fillId="2" borderId="8" xfId="3" applyNumberFormat="1" applyFont="1" applyFill="1" applyBorder="1" applyAlignment="1">
      <alignment horizontal="right"/>
    </xf>
    <xf numFmtId="0" fontId="124" fillId="24" borderId="0" xfId="0" applyFont="1" applyFill="1"/>
    <xf numFmtId="0" fontId="219" fillId="24" borderId="0" xfId="0" applyFont="1" applyFill="1" applyAlignment="1">
      <alignment horizontal="right"/>
    </xf>
    <xf numFmtId="0" fontId="219" fillId="24" borderId="0" xfId="0" applyFont="1" applyFill="1"/>
    <xf numFmtId="3" fontId="124" fillId="24" borderId="0" xfId="0" applyNumberFormat="1" applyFont="1" applyFill="1"/>
    <xf numFmtId="0" fontId="124" fillId="2" borderId="0" xfId="0" quotePrefix="1" applyFont="1" applyFill="1"/>
    <xf numFmtId="172" fontId="124" fillId="24" borderId="0" xfId="0" applyNumberFormat="1" applyFont="1" applyFill="1"/>
    <xf numFmtId="0" fontId="0" fillId="13" borderId="0" xfId="0" applyFill="1"/>
    <xf numFmtId="5" fontId="32" fillId="53" borderId="22" xfId="5" applyNumberFormat="1" applyFont="1" applyFill="1" applyBorder="1" applyAlignment="1">
      <alignment horizontal="right"/>
    </xf>
    <xf numFmtId="174" fontId="32" fillId="17" borderId="22" xfId="5" applyNumberFormat="1" applyFont="1" applyFill="1" applyBorder="1" applyAlignment="1">
      <alignment horizontal="right"/>
    </xf>
    <xf numFmtId="6" fontId="32" fillId="17" borderId="22" xfId="5" applyNumberFormat="1" applyFont="1" applyFill="1" applyBorder="1" applyAlignment="1">
      <alignment horizontal="right"/>
    </xf>
    <xf numFmtId="0" fontId="32" fillId="47" borderId="5" xfId="5" applyFont="1" applyFill="1" applyBorder="1"/>
    <xf numFmtId="0" fontId="0" fillId="54" borderId="0" xfId="0" applyFill="1" applyProtection="1">
      <protection locked="0"/>
    </xf>
    <xf numFmtId="0" fontId="32" fillId="47" borderId="0" xfId="5" applyFont="1" applyFill="1"/>
    <xf numFmtId="0" fontId="100" fillId="25" borderId="104" xfId="5" applyFont="1" applyFill="1" applyBorder="1"/>
    <xf numFmtId="0" fontId="100" fillId="25" borderId="105" xfId="5" applyFont="1" applyFill="1" applyBorder="1"/>
    <xf numFmtId="6" fontId="32" fillId="17" borderId="7" xfId="5" applyNumberFormat="1" applyFont="1" applyFill="1" applyBorder="1" applyAlignment="1">
      <alignment horizontal="right"/>
    </xf>
    <xf numFmtId="0" fontId="100" fillId="25" borderId="31" xfId="5" applyFont="1" applyFill="1" applyBorder="1"/>
    <xf numFmtId="5" fontId="32" fillId="17" borderId="105" xfId="5" applyNumberFormat="1" applyFont="1" applyFill="1" applyBorder="1" applyAlignment="1">
      <alignment horizontal="right"/>
    </xf>
    <xf numFmtId="9" fontId="4" fillId="3" borderId="106" xfId="0" applyNumberFormat="1" applyFont="1" applyFill="1" applyBorder="1"/>
    <xf numFmtId="9" fontId="4" fillId="3" borderId="107" xfId="0" applyNumberFormat="1" applyFont="1" applyFill="1" applyBorder="1"/>
    <xf numFmtId="9" fontId="4" fillId="3" borderId="108" xfId="0" applyNumberFormat="1" applyFont="1" applyFill="1" applyBorder="1"/>
    <xf numFmtId="0" fontId="0" fillId="3" borderId="109" xfId="0" applyFill="1" applyBorder="1"/>
    <xf numFmtId="0" fontId="0" fillId="3" borderId="110" xfId="0" applyFill="1" applyBorder="1"/>
    <xf numFmtId="0" fontId="0" fillId="3" borderId="111" xfId="0" applyFill="1" applyBorder="1"/>
    <xf numFmtId="0" fontId="0" fillId="3" borderId="112" xfId="0" applyFill="1" applyBorder="1"/>
    <xf numFmtId="0" fontId="0" fillId="3" borderId="113" xfId="0" applyFill="1" applyBorder="1"/>
    <xf numFmtId="0" fontId="19" fillId="55" borderId="0" xfId="0" applyFont="1" applyFill="1"/>
    <xf numFmtId="172" fontId="1" fillId="17" borderId="27" xfId="0" applyNumberFormat="1" applyFont="1" applyFill="1" applyBorder="1" applyAlignment="1" applyProtection="1">
      <alignment horizontal="right"/>
      <protection locked="0"/>
    </xf>
    <xf numFmtId="0" fontId="220" fillId="48" borderId="1" xfId="0" applyFont="1" applyFill="1" applyBorder="1"/>
    <xf numFmtId="14" fontId="32" fillId="0" borderId="0" xfId="0" applyNumberFormat="1" applyFont="1" applyAlignment="1">
      <alignment horizontal="center" vertical="top"/>
    </xf>
    <xf numFmtId="0" fontId="14" fillId="2" borderId="44" xfId="1" applyFont="1" applyFill="1" applyBorder="1" applyAlignment="1" applyProtection="1">
      <alignment horizontal="center" vertical="center"/>
      <protection locked="0"/>
    </xf>
    <xf numFmtId="0" fontId="4" fillId="0" borderId="45" xfId="0" applyFont="1" applyBorder="1" applyAlignment="1">
      <alignment horizontal="left" vertical="center" wrapText="1"/>
    </xf>
    <xf numFmtId="0" fontId="36" fillId="39" borderId="30" xfId="0" applyFont="1" applyFill="1" applyBorder="1" applyAlignment="1">
      <alignment horizontal="center" vertical="center"/>
    </xf>
    <xf numFmtId="0" fontId="32" fillId="38" borderId="30" xfId="0"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applyFont="1" applyFill="1" applyBorder="1" applyAlignment="1">
      <alignment horizontal="center" vertical="center"/>
    </xf>
    <xf numFmtId="0" fontId="100" fillId="5" borderId="22" xfId="0" applyFont="1" applyFill="1" applyBorder="1" applyAlignment="1">
      <alignment horizontal="center"/>
    </xf>
    <xf numFmtId="0" fontId="100" fillId="5" borderId="21" xfId="0" applyFont="1"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0" fillId="2" borderId="18" xfId="0" applyFill="1" applyBorder="1" applyAlignment="1">
      <alignment horizontal="left"/>
    </xf>
    <xf numFmtId="0" fontId="0" fillId="40" borderId="0" xfId="0" applyFill="1" applyAlignment="1">
      <alignment horizontal="left" vertical="top" wrapText="1"/>
    </xf>
    <xf numFmtId="0" fontId="100" fillId="5" borderId="30" xfId="0" applyFont="1" applyFill="1" applyBorder="1" applyAlignment="1">
      <alignment horizontal="left" wrapText="1"/>
    </xf>
    <xf numFmtId="0" fontId="3" fillId="31" borderId="1" xfId="0" applyFont="1" applyFill="1" applyBorder="1" applyAlignment="1" applyProtection="1">
      <alignment horizontal="left"/>
      <protection locked="0"/>
    </xf>
    <xf numFmtId="0" fontId="3" fillId="31" borderId="1" xfId="0" applyFont="1" applyFill="1" applyBorder="1" applyAlignment="1" applyProtection="1">
      <alignment horizontal="center"/>
      <protection locked="0"/>
    </xf>
    <xf numFmtId="0" fontId="0" fillId="40" borderId="0" xfId="0" applyFill="1" applyAlignment="1">
      <alignment horizontal="center"/>
    </xf>
    <xf numFmtId="0" fontId="3" fillId="2" borderId="1" xfId="0" applyFont="1" applyFill="1" applyBorder="1" applyAlignment="1" applyProtection="1">
      <alignment horizontal="left"/>
      <protection locked="0"/>
    </xf>
    <xf numFmtId="0" fontId="3" fillId="40" borderId="0" xfId="0" applyFont="1" applyFill="1" applyAlignment="1">
      <alignment horizontal="right" vertical="center"/>
    </xf>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0" fontId="3" fillId="40" borderId="0" xfId="0" applyFont="1" applyFill="1" applyAlignment="1">
      <alignment horizontal="left"/>
    </xf>
    <xf numFmtId="0" fontId="3" fillId="31" borderId="5" xfId="0" applyFont="1" applyFill="1" applyBorder="1" applyAlignment="1" applyProtection="1">
      <alignment vertical="center"/>
      <protection locked="0"/>
    </xf>
    <xf numFmtId="0" fontId="3" fillId="2" borderId="1" xfId="0" applyFont="1" applyFill="1" applyBorder="1" applyAlignment="1" applyProtection="1">
      <alignment horizontal="left" vertical="center" wrapText="1"/>
      <protection locked="0"/>
    </xf>
    <xf numFmtId="0" fontId="0" fillId="3" borderId="0" xfId="0" applyFill="1" applyAlignment="1">
      <alignment horizontal="left" vertical="top"/>
    </xf>
    <xf numFmtId="172" fontId="1" fillId="17" borderId="1" xfId="0" applyNumberFormat="1" applyFont="1" applyFill="1" applyBorder="1" applyAlignment="1">
      <alignment horizontal="center"/>
    </xf>
    <xf numFmtId="0" fontId="59" fillId="40" borderId="0" xfId="0" applyFont="1" applyFill="1"/>
    <xf numFmtId="0" fontId="1" fillId="40" borderId="0" xfId="0" applyFont="1" applyFill="1"/>
    <xf numFmtId="0" fontId="59" fillId="40" borderId="0" xfId="0" applyFont="1" applyFill="1" applyAlignment="1">
      <alignment horizontal="right"/>
    </xf>
    <xf numFmtId="0" fontId="86" fillId="24" borderId="0" xfId="0" applyFont="1" applyFill="1" applyAlignment="1">
      <alignment horizontal="center"/>
    </xf>
    <xf numFmtId="0" fontId="1" fillId="40" borderId="0" xfId="0" applyFont="1" applyFill="1" applyAlignment="1">
      <alignment horizontal="right"/>
    </xf>
    <xf numFmtId="1" fontId="68" fillId="55" borderId="0" xfId="0" applyNumberFormat="1" applyFont="1" applyFill="1" applyAlignment="1">
      <alignment horizontal="left" vertical="center" wrapText="1"/>
    </xf>
    <xf numFmtId="0" fontId="90" fillId="25" borderId="1" xfId="0" applyFont="1" applyFill="1" applyBorder="1" applyAlignment="1">
      <alignment horizontal="center" vertical="center"/>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43" fillId="36" borderId="21" xfId="0" applyFont="1" applyFill="1" applyBorder="1" applyAlignment="1">
      <alignment horizontal="left" vertical="center"/>
    </xf>
    <xf numFmtId="0" fontId="50" fillId="13" borderId="21" xfId="0" applyFont="1" applyFill="1" applyBorder="1" applyAlignment="1">
      <alignment horizontal="left" vertical="center"/>
    </xf>
    <xf numFmtId="0" fontId="6" fillId="5" borderId="1" xfId="0" applyFont="1" applyFill="1" applyBorder="1" applyAlignment="1">
      <alignment horizontal="center" vertical="center"/>
    </xf>
    <xf numFmtId="0" fontId="20" fillId="2" borderId="1" xfId="0" applyFont="1" applyFill="1" applyBorder="1"/>
    <xf numFmtId="0" fontId="46" fillId="36" borderId="21" xfId="0" applyFont="1" applyFill="1" applyBorder="1" applyAlignment="1">
      <alignment horizontal="left" vertical="center"/>
    </xf>
    <xf numFmtId="0" fontId="52" fillId="36" borderId="21" xfId="0" applyFont="1" applyFill="1" applyBorder="1" applyAlignment="1">
      <alignment horizontal="left" vertical="center"/>
    </xf>
    <xf numFmtId="0" fontId="22" fillId="36" borderId="21" xfId="0" applyFont="1" applyFill="1" applyBorder="1" applyAlignment="1">
      <alignment horizontal="left"/>
    </xf>
    <xf numFmtId="0" fontId="6" fillId="5" borderId="1" xfId="0" applyFont="1" applyFill="1" applyBorder="1" applyAlignment="1">
      <alignment horizontal="center" vertical="center" wrapText="1"/>
    </xf>
    <xf numFmtId="0" fontId="50" fillId="13" borderId="30" xfId="0" applyFont="1" applyFill="1" applyBorder="1" applyAlignment="1">
      <alignment horizontal="left" vertical="center"/>
    </xf>
    <xf numFmtId="0" fontId="46" fillId="36" borderId="30" xfId="0" applyFont="1" applyFill="1" applyBorder="1" applyAlignment="1">
      <alignment horizontal="left" vertical="center"/>
    </xf>
    <xf numFmtId="0" fontId="44" fillId="12" borderId="1" xfId="8" applyFont="1" applyFill="1" applyBorder="1" applyAlignment="1">
      <alignment horizontal="left" vertical="center"/>
    </xf>
    <xf numFmtId="0" fontId="0" fillId="40" borderId="0" xfId="0" applyFill="1" applyAlignment="1">
      <alignment horizontal="left" wrapText="1"/>
    </xf>
    <xf numFmtId="0" fontId="0" fillId="40" borderId="0" xfId="0" applyFill="1" applyAlignment="1">
      <alignment horizontal="left"/>
    </xf>
    <xf numFmtId="0" fontId="5" fillId="2" borderId="0" xfId="0" applyFont="1" applyFill="1" applyAlignment="1">
      <alignment horizontal="center"/>
    </xf>
    <xf numFmtId="0" fontId="0" fillId="2" borderId="0" xfId="0" applyFill="1" applyAlignment="1">
      <alignment horizontal="center"/>
    </xf>
    <xf numFmtId="0" fontId="1" fillId="47" borderId="1" xfId="0" applyFont="1" applyFill="1" applyBorder="1" applyAlignment="1">
      <alignment horizontal="right"/>
    </xf>
    <xf numFmtId="0" fontId="0" fillId="2" borderId="1" xfId="0" applyFill="1" applyBorder="1"/>
    <xf numFmtId="0" fontId="100" fillId="5" borderId="1" xfId="0" applyFont="1" applyFill="1" applyBorder="1"/>
    <xf numFmtId="0" fontId="0" fillId="2" borderId="18" xfId="0" applyFill="1" applyBorder="1" applyAlignment="1">
      <alignment horizontal="center"/>
    </xf>
    <xf numFmtId="0" fontId="1" fillId="40" borderId="0" xfId="0" applyFont="1" applyFill="1" applyAlignment="1">
      <alignment horizontal="left" vertical="top" wrapText="1"/>
    </xf>
    <xf numFmtId="0" fontId="29" fillId="40" borderId="0" xfId="0" applyFont="1" applyFill="1"/>
    <xf numFmtId="0" fontId="0" fillId="9" borderId="1" xfId="0" applyFill="1" applyBorder="1" applyAlignment="1">
      <alignment horizontal="center" vertical="center"/>
    </xf>
    <xf numFmtId="10" fontId="1" fillId="9" borderId="1" xfId="0" applyNumberFormat="1" applyFont="1" applyFill="1" applyBorder="1" applyAlignment="1">
      <alignment horizontal="center"/>
    </xf>
    <xf numFmtId="38" fontId="1" fillId="9" borderId="1" xfId="0" applyNumberFormat="1" applyFont="1" applyFill="1" applyBorder="1" applyAlignment="1">
      <alignment horizontal="center"/>
    </xf>
    <xf numFmtId="0" fontId="100" fillId="5" borderId="1" xfId="0" applyFont="1" applyFill="1" applyBorder="1" applyAlignment="1">
      <alignment horizontal="center" vertical="center" wrapText="1"/>
    </xf>
    <xf numFmtId="0" fontId="100" fillId="5" borderId="1" xfId="0" applyFont="1" applyFill="1" applyBorder="1" applyAlignment="1">
      <alignment horizontal="center"/>
    </xf>
    <xf numFmtId="0" fontId="1" fillId="9" borderId="1" xfId="0" applyFont="1" applyFill="1" applyBorder="1" applyAlignment="1">
      <alignment horizontal="center"/>
    </xf>
    <xf numFmtId="0" fontId="0" fillId="9" borderId="1" xfId="0" applyFill="1" applyBorder="1" applyAlignment="1">
      <alignment horizontal="center"/>
    </xf>
    <xf numFmtId="0" fontId="0" fillId="3" borderId="0" xfId="0" applyFill="1" applyAlignment="1">
      <alignment horizontal="left"/>
    </xf>
    <xf numFmtId="0" fontId="0" fillId="9" borderId="1" xfId="0" applyFill="1" applyBorder="1" applyAlignment="1">
      <alignment horizontal="center" vertical="top"/>
    </xf>
    <xf numFmtId="0" fontId="0" fillId="2" borderId="1" xfId="0" applyFill="1" applyBorder="1" applyAlignment="1" applyProtection="1">
      <alignment horizontal="center" vertical="center"/>
      <protection locked="0"/>
    </xf>
    <xf numFmtId="0" fontId="100" fillId="5" borderId="1" xfId="0" applyFont="1" applyFill="1" applyBorder="1" applyAlignment="1">
      <alignment horizontal="center" wrapText="1"/>
    </xf>
    <xf numFmtId="0" fontId="0" fillId="3" borderId="1" xfId="0" applyFill="1" applyBorder="1" applyAlignment="1">
      <alignment horizontal="center" vertical="center"/>
    </xf>
    <xf numFmtId="0" fontId="0" fillId="3" borderId="22" xfId="0" applyFill="1" applyBorder="1" applyAlignment="1">
      <alignment horizontal="center" vertical="center"/>
    </xf>
    <xf numFmtId="0" fontId="4" fillId="40" borderId="0" xfId="0" applyFont="1" applyFill="1" applyAlignment="1">
      <alignment horizontal="left"/>
    </xf>
    <xf numFmtId="0" fontId="7" fillId="2" borderId="1" xfId="0" applyFont="1" applyFill="1" applyBorder="1" applyAlignment="1">
      <alignment horizontal="center"/>
    </xf>
    <xf numFmtId="0" fontId="100" fillId="5" borderId="22" xfId="0" applyFont="1" applyFill="1" applyBorder="1" applyAlignment="1">
      <alignment horizontal="center" vertical="center" wrapText="1"/>
    </xf>
    <xf numFmtId="0" fontId="203" fillId="5" borderId="30" xfId="0" applyFont="1" applyFill="1" applyBorder="1" applyAlignment="1">
      <alignment horizontal="center" vertical="center" wrapText="1"/>
    </xf>
    <xf numFmtId="0" fontId="7" fillId="9" borderId="1" xfId="0" applyFont="1" applyFill="1" applyBorder="1" applyAlignment="1">
      <alignment horizontal="center"/>
    </xf>
    <xf numFmtId="1" fontId="4" fillId="0" borderId="1" xfId="0" applyNumberFormat="1" applyFont="1" applyBorder="1" applyAlignment="1">
      <alignment horizontal="center" vertical="center"/>
    </xf>
    <xf numFmtId="0" fontId="14" fillId="2" borderId="40" xfId="1" applyFont="1" applyFill="1" applyBorder="1" applyAlignment="1" applyProtection="1">
      <alignment horizontal="center" vertical="center"/>
      <protection locked="0"/>
    </xf>
    <xf numFmtId="0" fontId="0" fillId="40" borderId="0" xfId="0" applyFill="1" applyAlignment="1">
      <alignment horizontal="left" vertical="top"/>
    </xf>
    <xf numFmtId="0" fontId="0" fillId="9" borderId="21" xfId="0" applyFill="1" applyBorder="1" applyAlignment="1">
      <alignment horizontal="center"/>
    </xf>
    <xf numFmtId="0" fontId="22" fillId="14" borderId="0" xfId="0" applyFont="1" applyFill="1" applyAlignment="1">
      <alignment horizontal="center"/>
    </xf>
    <xf numFmtId="0" fontId="22" fillId="0" borderId="0" xfId="0" applyFont="1" applyAlignment="1">
      <alignment horizontal="center" vertical="center" wrapText="1"/>
    </xf>
    <xf numFmtId="0" fontId="4" fillId="0" borderId="0" xfId="0" applyFont="1" applyAlignment="1">
      <alignment horizontal="center"/>
    </xf>
    <xf numFmtId="0" fontId="33" fillId="40" borderId="0" xfId="0" applyFont="1" applyFill="1" applyAlignment="1">
      <alignment vertical="top"/>
    </xf>
    <xf numFmtId="0" fontId="8" fillId="2" borderId="0" xfId="0" applyFont="1" applyFill="1" applyAlignment="1">
      <alignment horizontal="left"/>
    </xf>
    <xf numFmtId="0" fontId="161" fillId="2" borderId="0" xfId="0" applyFont="1" applyFill="1" applyAlignment="1">
      <alignment horizontal="left"/>
    </xf>
    <xf numFmtId="0" fontId="172" fillId="2" borderId="0" xfId="0" applyFont="1" applyFill="1" applyAlignment="1">
      <alignment horizontal="left"/>
    </xf>
    <xf numFmtId="0" fontId="223" fillId="2" borderId="0" xfId="0" applyFont="1" applyFill="1" applyAlignment="1">
      <alignment horizontal="left"/>
    </xf>
    <xf numFmtId="0" fontId="86" fillId="2" borderId="0" xfId="0" applyFont="1" applyFill="1" applyAlignment="1">
      <alignment horizontal="left"/>
    </xf>
    <xf numFmtId="38" fontId="5" fillId="2" borderId="0" xfId="0" applyNumberFormat="1" applyFont="1" applyFill="1" applyAlignment="1">
      <alignment horizontal="right"/>
    </xf>
    <xf numFmtId="6" fontId="5" fillId="2" borderId="0" xfId="0" applyNumberFormat="1" applyFont="1" applyFill="1" applyAlignment="1">
      <alignment horizontal="right"/>
    </xf>
    <xf numFmtId="0" fontId="5" fillId="2" borderId="0" xfId="0" quotePrefix="1" applyFont="1" applyFill="1" applyAlignment="1">
      <alignment horizontal="left"/>
    </xf>
    <xf numFmtId="167" fontId="5" fillId="2" borderId="0" xfId="0" applyNumberFormat="1" applyFont="1" applyFill="1" applyAlignment="1">
      <alignment horizontal="right"/>
    </xf>
    <xf numFmtId="0" fontId="5" fillId="2" borderId="0" xfId="0" applyFont="1" applyFill="1" applyAlignment="1">
      <alignment horizontal="left" vertical="top"/>
    </xf>
    <xf numFmtId="0" fontId="172" fillId="2" borderId="0" xfId="0" applyFont="1" applyFill="1" applyAlignment="1">
      <alignment horizontal="left" vertical="top"/>
    </xf>
    <xf numFmtId="0" fontId="100" fillId="2" borderId="0" xfId="0" applyFont="1" applyFill="1" applyAlignment="1">
      <alignment horizontal="left" vertical="top"/>
    </xf>
    <xf numFmtId="0" fontId="5" fillId="2" borderId="0" xfId="0" applyFont="1" applyFill="1" applyAlignment="1">
      <alignment horizontal="left" wrapText="1"/>
    </xf>
    <xf numFmtId="0" fontId="113" fillId="2" borderId="0" xfId="0" applyFont="1" applyFill="1" applyAlignment="1">
      <alignment vertical="center"/>
    </xf>
    <xf numFmtId="0" fontId="113" fillId="2" borderId="0" xfId="0" applyFont="1" applyFill="1" applyAlignment="1">
      <alignment horizontal="right" vertical="center"/>
    </xf>
    <xf numFmtId="0" fontId="113" fillId="2" borderId="0" xfId="0" applyFont="1" applyFill="1" applyAlignment="1">
      <alignment horizontal="left" vertical="top"/>
    </xf>
    <xf numFmtId="0" fontId="113" fillId="2" borderId="0" xfId="0" applyFont="1" applyFill="1" applyAlignment="1">
      <alignment horizontal="right"/>
    </xf>
    <xf numFmtId="0" fontId="5" fillId="2" borderId="0" xfId="0" applyFont="1" applyFill="1" applyAlignment="1">
      <alignment horizontal="left" vertical="center"/>
    </xf>
    <xf numFmtId="0" fontId="99" fillId="2" borderId="0" xfId="0" applyFont="1" applyFill="1" applyAlignment="1">
      <alignment horizontal="left" vertical="top"/>
    </xf>
    <xf numFmtId="0" fontId="99" fillId="2" borderId="0" xfId="0" applyFont="1" applyFill="1" applyAlignment="1">
      <alignment horizontal="right"/>
    </xf>
    <xf numFmtId="0" fontId="99" fillId="2" borderId="0" xfId="0" applyFont="1" applyFill="1" applyAlignment="1">
      <alignment vertical="center"/>
    </xf>
    <xf numFmtId="0" fontId="99" fillId="2" borderId="0" xfId="0" quotePrefix="1" applyFont="1" applyFill="1"/>
    <xf numFmtId="0" fontId="67" fillId="40" borderId="0" xfId="0" applyFont="1" applyFill="1"/>
    <xf numFmtId="0" fontId="36" fillId="39" borderId="30" xfId="0" applyFont="1" applyFill="1" applyBorder="1" applyAlignment="1">
      <alignment horizontal="center" vertical="center"/>
    </xf>
    <xf numFmtId="0" fontId="32" fillId="38" borderId="30" xfId="0" applyFont="1" applyFill="1" applyBorder="1" applyAlignment="1">
      <alignment horizontal="center" vertical="center"/>
    </xf>
    <xf numFmtId="0" fontId="32" fillId="38" borderId="30" xfId="0" quotePrefix="1" applyFont="1" applyFill="1" applyBorder="1" applyAlignment="1">
      <alignment horizontal="center" vertical="center"/>
    </xf>
    <xf numFmtId="0" fontId="36" fillId="39" borderId="56" xfId="0" applyFont="1" applyFill="1" applyBorder="1" applyAlignment="1">
      <alignment horizontal="center" vertical="center"/>
    </xf>
    <xf numFmtId="0" fontId="36" fillId="39" borderId="72" xfId="0" applyFont="1" applyFill="1" applyBorder="1" applyAlignment="1">
      <alignment horizontal="center" vertical="center"/>
    </xf>
    <xf numFmtId="0" fontId="36" fillId="39" borderId="73" xfId="0" applyFont="1" applyFill="1" applyBorder="1" applyAlignment="1">
      <alignment horizontal="center" vertical="center"/>
    </xf>
    <xf numFmtId="0" fontId="32" fillId="38" borderId="18" xfId="0" quotePrefix="1"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quotePrefix="1" applyFont="1" applyFill="1" applyBorder="1" applyAlignment="1">
      <alignment horizontal="center" vertical="center"/>
    </xf>
    <xf numFmtId="0" fontId="32" fillId="38" borderId="2" xfId="0" applyFont="1" applyFill="1" applyBorder="1" applyAlignment="1">
      <alignment horizontal="center" vertical="center"/>
    </xf>
    <xf numFmtId="0" fontId="188" fillId="39" borderId="30" xfId="0" applyFont="1" applyFill="1" applyBorder="1" applyAlignment="1">
      <alignment horizontal="center" vertical="center"/>
    </xf>
    <xf numFmtId="0" fontId="189" fillId="38" borderId="30" xfId="0" quotePrefix="1" applyFont="1" applyFill="1" applyBorder="1" applyAlignment="1">
      <alignment horizontal="center" vertical="center"/>
    </xf>
    <xf numFmtId="0" fontId="189" fillId="38" borderId="30" xfId="0" applyFont="1" applyFill="1" applyBorder="1" applyAlignment="1">
      <alignment horizontal="center" vertical="center"/>
    </xf>
    <xf numFmtId="0" fontId="4" fillId="0" borderId="31" xfId="0" applyFont="1" applyBorder="1" applyAlignment="1">
      <alignment horizontal="center"/>
    </xf>
    <xf numFmtId="0" fontId="4" fillId="0" borderId="33" xfId="0" applyFont="1" applyBorder="1" applyAlignment="1">
      <alignment horizontal="center"/>
    </xf>
    <xf numFmtId="0" fontId="4" fillId="0" borderId="32" xfId="0" applyFont="1" applyBorder="1" applyAlignment="1">
      <alignment horizontal="center"/>
    </xf>
    <xf numFmtId="0" fontId="6" fillId="5" borderId="21" xfId="0" applyFont="1" applyFill="1" applyBorder="1" applyAlignment="1">
      <alignment horizontal="center"/>
    </xf>
    <xf numFmtId="0" fontId="6" fillId="5" borderId="22" xfId="0" applyFont="1" applyFill="1" applyBorder="1" applyAlignment="1">
      <alignment horizontal="center"/>
    </xf>
    <xf numFmtId="0" fontId="13" fillId="2" borderId="6" xfId="1" applyFill="1" applyBorder="1" applyAlignment="1" applyProtection="1">
      <alignment horizontal="left"/>
      <protection locked="0"/>
    </xf>
    <xf numFmtId="0" fontId="13" fillId="2" borderId="2" xfId="1" applyFill="1" applyBorder="1" applyAlignment="1" applyProtection="1">
      <alignment horizontal="left"/>
      <protection locked="0"/>
    </xf>
    <xf numFmtId="0" fontId="13" fillId="2" borderId="7" xfId="1" applyFill="1" applyBorder="1" applyAlignment="1" applyProtection="1">
      <alignment horizontal="left"/>
      <protection locked="0"/>
    </xf>
    <xf numFmtId="0" fontId="13" fillId="2" borderId="8" xfId="1" applyFill="1" applyBorder="1" applyAlignment="1" applyProtection="1">
      <alignment horizontal="left"/>
      <protection locked="0"/>
    </xf>
    <xf numFmtId="0" fontId="0" fillId="0" borderId="0" xfId="0" applyAlignment="1" applyProtection="1">
      <alignment horizontal="left"/>
      <protection locked="0"/>
    </xf>
    <xf numFmtId="0" fontId="0" fillId="0" borderId="4" xfId="0" applyBorder="1" applyAlignment="1" applyProtection="1">
      <alignment horizontal="left"/>
      <protection locked="0"/>
    </xf>
    <xf numFmtId="0" fontId="17" fillId="2" borderId="8" xfId="1" applyFont="1" applyFill="1" applyBorder="1" applyAlignment="1" applyProtection="1">
      <alignment horizontal="left"/>
      <protection locked="0"/>
    </xf>
    <xf numFmtId="0" fontId="17" fillId="2" borderId="0" xfId="1" applyFont="1" applyFill="1" applyBorder="1" applyAlignment="1" applyProtection="1">
      <alignment horizontal="left"/>
      <protection locked="0"/>
    </xf>
    <xf numFmtId="0" fontId="17" fillId="2" borderId="15" xfId="1" applyFont="1" applyFill="1" applyBorder="1" applyAlignment="1" applyProtection="1">
      <alignment horizontal="left"/>
      <protection locked="0"/>
    </xf>
    <xf numFmtId="0" fontId="17" fillId="2" borderId="9" xfId="1" applyFont="1" applyFill="1" applyBorder="1" applyAlignment="1" applyProtection="1">
      <alignment horizontal="left"/>
      <protection locked="0"/>
    </xf>
    <xf numFmtId="0" fontId="0" fillId="0" borderId="18" xfId="0" applyBorder="1" applyAlignment="1" applyProtection="1">
      <alignment horizontal="left"/>
      <protection locked="0"/>
    </xf>
    <xf numFmtId="0" fontId="0" fillId="0" borderId="10" xfId="0" applyBorder="1" applyAlignment="1" applyProtection="1">
      <alignment horizontal="left"/>
      <protection locked="0"/>
    </xf>
    <xf numFmtId="0" fontId="17" fillId="2" borderId="4" xfId="1" applyFont="1" applyFill="1" applyBorder="1" applyAlignment="1" applyProtection="1">
      <alignment horizontal="left"/>
      <protection locked="0"/>
    </xf>
    <xf numFmtId="0" fontId="32" fillId="2" borderId="0" xfId="0" applyFont="1" applyFill="1" applyAlignment="1">
      <alignment horizontal="left" vertical="top"/>
    </xf>
    <xf numFmtId="0" fontId="32" fillId="2" borderId="4" xfId="0" applyFont="1" applyFill="1" applyBorder="1" applyAlignment="1">
      <alignment horizontal="left" vertical="top"/>
    </xf>
    <xf numFmtId="0" fontId="0" fillId="36" borderId="8" xfId="0" applyFill="1" applyBorder="1" applyAlignment="1">
      <alignment horizontal="left"/>
    </xf>
    <xf numFmtId="0" fontId="0" fillId="36" borderId="0" xfId="0" applyFill="1" applyAlignment="1">
      <alignment horizontal="left"/>
    </xf>
    <xf numFmtId="10" fontId="1" fillId="17" borderId="21" xfId="0" applyNumberFormat="1" applyFont="1" applyFill="1" applyBorder="1" applyAlignment="1">
      <alignment horizontal="right"/>
    </xf>
    <xf numFmtId="10" fontId="1" fillId="17" borderId="22" xfId="0" applyNumberFormat="1" applyFont="1" applyFill="1" applyBorder="1" applyAlignment="1">
      <alignment horizontal="right"/>
    </xf>
    <xf numFmtId="10" fontId="1" fillId="17" borderId="21" xfId="2" applyNumberFormat="1" applyFont="1" applyFill="1" applyBorder="1" applyAlignment="1" applyProtection="1">
      <alignment horizontal="right"/>
    </xf>
    <xf numFmtId="10" fontId="1" fillId="17" borderId="22" xfId="2" applyNumberFormat="1" applyFont="1" applyFill="1" applyBorder="1" applyAlignment="1" applyProtection="1">
      <alignment horizontal="right"/>
    </xf>
    <xf numFmtId="0" fontId="13" fillId="0" borderId="21" xfId="1" applyFill="1" applyBorder="1" applyAlignment="1">
      <alignment horizontal="center"/>
    </xf>
    <xf numFmtId="0" fontId="0" fillId="0" borderId="22" xfId="0" applyBorder="1" applyAlignment="1">
      <alignment horizontal="center"/>
    </xf>
    <xf numFmtId="0" fontId="4" fillId="40" borderId="18" xfId="0" applyFont="1" applyFill="1" applyBorder="1" applyAlignment="1">
      <alignment horizontal="center"/>
    </xf>
    <xf numFmtId="0" fontId="100" fillId="5" borderId="2" xfId="0" applyFont="1" applyFill="1" applyBorder="1" applyAlignment="1">
      <alignment horizontal="center"/>
    </xf>
    <xf numFmtId="0" fontId="100" fillId="5" borderId="7" xfId="0" applyFont="1" applyFill="1" applyBorder="1" applyAlignment="1">
      <alignment horizontal="center"/>
    </xf>
    <xf numFmtId="0" fontId="100" fillId="5" borderId="30" xfId="0" applyFont="1" applyFill="1" applyBorder="1" applyAlignment="1">
      <alignment horizontal="center"/>
    </xf>
    <xf numFmtId="0" fontId="100" fillId="5" borderId="22" xfId="0" applyFont="1" applyFill="1" applyBorder="1" applyAlignment="1">
      <alignment horizontal="center"/>
    </xf>
    <xf numFmtId="0" fontId="0" fillId="36" borderId="18" xfId="0" applyFill="1" applyBorder="1" applyAlignment="1">
      <alignment horizontal="center"/>
    </xf>
    <xf numFmtId="0" fontId="0" fillId="36" borderId="10" xfId="0" applyFill="1" applyBorder="1" applyAlignment="1">
      <alignment horizontal="center"/>
    </xf>
    <xf numFmtId="0" fontId="0" fillId="36" borderId="9" xfId="0" applyFill="1" applyBorder="1" applyAlignment="1">
      <alignment horizontal="left"/>
    </xf>
    <xf numFmtId="0" fontId="0" fillId="36" borderId="18" xfId="0" applyFill="1" applyBorder="1" applyAlignment="1">
      <alignment horizontal="left"/>
    </xf>
    <xf numFmtId="0" fontId="0" fillId="27" borderId="8" xfId="0" applyFill="1" applyBorder="1" applyAlignment="1">
      <alignment horizontal="left"/>
    </xf>
    <xf numFmtId="0" fontId="0" fillId="27" borderId="0" xfId="0" applyFill="1" applyAlignment="1">
      <alignment horizontal="left"/>
    </xf>
    <xf numFmtId="0" fontId="0" fillId="27" borderId="9" xfId="0" applyFill="1" applyBorder="1" applyAlignment="1">
      <alignment horizontal="left"/>
    </xf>
    <xf numFmtId="0" fontId="0" fillId="27" borderId="18" xfId="0" applyFill="1" applyBorder="1" applyAlignment="1">
      <alignment horizontal="left"/>
    </xf>
    <xf numFmtId="0" fontId="0" fillId="27" borderId="0" xfId="0" applyFill="1" applyAlignment="1">
      <alignment horizontal="center"/>
    </xf>
    <xf numFmtId="0" fontId="0" fillId="27" borderId="4" xfId="0" applyFill="1" applyBorder="1" applyAlignment="1">
      <alignment horizontal="center"/>
    </xf>
    <xf numFmtId="0" fontId="0" fillId="36" borderId="0" xfId="0" applyFill="1" applyAlignment="1">
      <alignment horizontal="center"/>
    </xf>
    <xf numFmtId="0" fontId="0" fillId="36" borderId="4" xfId="0" applyFill="1" applyBorder="1" applyAlignment="1">
      <alignment horizontal="center"/>
    </xf>
    <xf numFmtId="0" fontId="0" fillId="27" borderId="18" xfId="0" applyFill="1" applyBorder="1" applyAlignment="1">
      <alignment horizontal="center"/>
    </xf>
    <xf numFmtId="0" fontId="0" fillId="27" borderId="10" xfId="0" applyFill="1" applyBorder="1" applyAlignment="1">
      <alignment horizontal="center"/>
    </xf>
    <xf numFmtId="167" fontId="1" fillId="17" borderId="21" xfId="0" applyNumberFormat="1" applyFont="1" applyFill="1" applyBorder="1" applyAlignment="1">
      <alignment horizontal="right"/>
    </xf>
    <xf numFmtId="167" fontId="1" fillId="17" borderId="22" xfId="0" applyNumberFormat="1" applyFont="1" applyFill="1" applyBorder="1" applyAlignment="1">
      <alignment horizontal="right"/>
    </xf>
    <xf numFmtId="4" fontId="1" fillId="17" borderId="21" xfId="0" applyNumberFormat="1" applyFont="1" applyFill="1" applyBorder="1" applyAlignment="1">
      <alignment horizontal="right"/>
    </xf>
    <xf numFmtId="4" fontId="1" fillId="17" borderId="22" xfId="0" applyNumberFormat="1" applyFont="1" applyFill="1" applyBorder="1" applyAlignment="1">
      <alignment horizontal="right"/>
    </xf>
    <xf numFmtId="0" fontId="100" fillId="5" borderId="21" xfId="0" quotePrefix="1" applyFont="1" applyFill="1" applyBorder="1" applyAlignment="1">
      <alignment horizontal="center"/>
    </xf>
    <xf numFmtId="0" fontId="100" fillId="5" borderId="1" xfId="0" quotePrefix="1" applyFont="1" applyFill="1" applyBorder="1" applyAlignment="1">
      <alignment horizontal="center"/>
    </xf>
    <xf numFmtId="0" fontId="0" fillId="2" borderId="21" xfId="0" applyFill="1" applyBorder="1" applyAlignment="1">
      <alignment horizontal="left"/>
    </xf>
    <xf numFmtId="0" fontId="0" fillId="2" borderId="30" xfId="0" applyFill="1" applyBorder="1" applyAlignment="1">
      <alignment horizontal="left"/>
    </xf>
    <xf numFmtId="0" fontId="0" fillId="2" borderId="22" xfId="0" applyFill="1" applyBorder="1" applyAlignment="1">
      <alignment horizontal="left"/>
    </xf>
    <xf numFmtId="44" fontId="0" fillId="2" borderId="8" xfId="0" applyNumberFormat="1" applyFill="1" applyBorder="1" applyAlignment="1">
      <alignment horizontal="right"/>
    </xf>
    <xf numFmtId="44" fontId="0" fillId="2" borderId="4" xfId="0" applyNumberFormat="1" applyFill="1" applyBorder="1" applyAlignment="1">
      <alignment horizontal="right"/>
    </xf>
    <xf numFmtId="0" fontId="100" fillId="5" borderId="21" xfId="0" applyFont="1" applyFill="1" applyBorder="1" applyAlignment="1">
      <alignment horizontal="left"/>
    </xf>
    <xf numFmtId="0" fontId="100" fillId="5" borderId="30" xfId="0" applyFont="1" applyFill="1" applyBorder="1" applyAlignment="1">
      <alignment horizontal="left"/>
    </xf>
    <xf numFmtId="0" fontId="5" fillId="5" borderId="22" xfId="0" applyFont="1" applyFill="1" applyBorder="1" applyAlignment="1">
      <alignment horizontal="center"/>
    </xf>
    <xf numFmtId="0" fontId="0" fillId="2" borderId="8" xfId="0" applyFill="1" applyBorder="1" applyAlignment="1">
      <alignment horizontal="left"/>
    </xf>
    <xf numFmtId="0" fontId="0" fillId="2" borderId="0" xfId="0" applyFill="1" applyAlignment="1">
      <alignment horizontal="left"/>
    </xf>
    <xf numFmtId="0" fontId="4" fillId="40" borderId="9" xfId="0" applyFont="1" applyFill="1" applyBorder="1" applyAlignment="1">
      <alignment horizontal="left"/>
    </xf>
    <xf numFmtId="0" fontId="4" fillId="40" borderId="18" xfId="0" applyFont="1" applyFill="1" applyBorder="1" applyAlignment="1">
      <alignment horizontal="left"/>
    </xf>
    <xf numFmtId="0" fontId="4" fillId="40" borderId="10" xfId="0" applyFont="1" applyFill="1" applyBorder="1" applyAlignment="1">
      <alignment horizontal="left"/>
    </xf>
    <xf numFmtId="44" fontId="0" fillId="2" borderId="6" xfId="0" applyNumberFormat="1" applyFill="1" applyBorder="1" applyAlignment="1">
      <alignment horizontal="center"/>
    </xf>
    <xf numFmtId="44" fontId="0" fillId="2" borderId="7" xfId="0" applyNumberFormat="1" applyFill="1" applyBorder="1" applyAlignment="1">
      <alignment horizontal="center"/>
    </xf>
    <xf numFmtId="44" fontId="0" fillId="2" borderId="8" xfId="0" applyNumberFormat="1" applyFill="1" applyBorder="1" applyAlignment="1">
      <alignment horizontal="center"/>
    </xf>
    <xf numFmtId="44" fontId="0" fillId="2" borderId="4" xfId="0" applyNumberFormat="1" applyFill="1" applyBorder="1" applyAlignment="1">
      <alignment horizontal="center"/>
    </xf>
    <xf numFmtId="44" fontId="0" fillId="40" borderId="9" xfId="0" applyNumberFormat="1" applyFill="1" applyBorder="1" applyAlignment="1">
      <alignment horizontal="center"/>
    </xf>
    <xf numFmtId="44" fontId="0" fillId="40" borderId="10" xfId="0" applyNumberFormat="1" applyFill="1" applyBorder="1" applyAlignment="1">
      <alignment horizontal="center"/>
    </xf>
    <xf numFmtId="42" fontId="0" fillId="36" borderId="21" xfId="0" applyNumberFormat="1" applyFill="1" applyBorder="1" applyAlignment="1">
      <alignment horizontal="center"/>
    </xf>
    <xf numFmtId="42" fontId="0" fillId="36" borderId="22" xfId="0" applyNumberFormat="1" applyFill="1" applyBorder="1" applyAlignment="1">
      <alignment horizontal="center"/>
    </xf>
    <xf numFmtId="0" fontId="0" fillId="2" borderId="4" xfId="0" applyFill="1" applyBorder="1" applyAlignment="1">
      <alignment horizontal="left"/>
    </xf>
    <xf numFmtId="0" fontId="149" fillId="5" borderId="6" xfId="0" applyFont="1" applyFill="1" applyBorder="1" applyAlignment="1">
      <alignment horizontal="center" vertical="center"/>
    </xf>
    <xf numFmtId="0" fontId="149" fillId="5" borderId="2" xfId="0" applyFont="1" applyFill="1" applyBorder="1" applyAlignment="1">
      <alignment horizontal="center" vertical="center"/>
    </xf>
    <xf numFmtId="0" fontId="149" fillId="5" borderId="7" xfId="0" applyFont="1" applyFill="1" applyBorder="1" applyAlignment="1">
      <alignment horizontal="center" vertical="center"/>
    </xf>
    <xf numFmtId="0" fontId="149" fillId="5" borderId="8" xfId="0" applyFont="1" applyFill="1" applyBorder="1" applyAlignment="1">
      <alignment horizontal="center" vertical="center"/>
    </xf>
    <xf numFmtId="0" fontId="149" fillId="5" borderId="0" xfId="0" applyFont="1" applyFill="1" applyAlignment="1">
      <alignment horizontal="center" vertical="center"/>
    </xf>
    <xf numFmtId="0" fontId="149" fillId="5" borderId="4" xfId="0" applyFont="1" applyFill="1" applyBorder="1" applyAlignment="1">
      <alignment horizontal="center" vertical="center"/>
    </xf>
    <xf numFmtId="0" fontId="36" fillId="40" borderId="21" xfId="0" applyFont="1" applyFill="1" applyBorder="1" applyAlignment="1">
      <alignment horizontal="left"/>
    </xf>
    <xf numFmtId="0" fontId="36" fillId="40" borderId="30" xfId="0" applyFont="1" applyFill="1" applyBorder="1" applyAlignment="1">
      <alignment horizontal="left"/>
    </xf>
    <xf numFmtId="44" fontId="0" fillId="2" borderId="18" xfId="0" applyNumberFormat="1" applyFill="1" applyBorder="1" applyAlignment="1">
      <alignment horizontal="center"/>
    </xf>
    <xf numFmtId="44" fontId="0" fillId="2" borderId="10" xfId="0" applyNumberFormat="1" applyFill="1" applyBorder="1" applyAlignment="1">
      <alignment horizontal="center"/>
    </xf>
    <xf numFmtId="44" fontId="126" fillId="40" borderId="30" xfId="0" applyNumberFormat="1" applyFont="1" applyFill="1" applyBorder="1" applyAlignment="1">
      <alignment horizontal="center"/>
    </xf>
    <xf numFmtId="44" fontId="126" fillId="40" borderId="22" xfId="0" applyNumberFormat="1" applyFont="1" applyFill="1" applyBorder="1" applyAlignment="1">
      <alignment horizontal="center"/>
    </xf>
    <xf numFmtId="0" fontId="100" fillId="5" borderId="21" xfId="0" applyFont="1" applyFill="1" applyBorder="1" applyAlignment="1">
      <alignment horizontal="center" wrapText="1"/>
    </xf>
    <xf numFmtId="0" fontId="100" fillId="5" borderId="30" xfId="0" applyFont="1" applyFill="1" applyBorder="1" applyAlignment="1">
      <alignment horizontal="center" wrapText="1"/>
    </xf>
    <xf numFmtId="0" fontId="100" fillId="5" borderId="22" xfId="0" applyFont="1" applyFill="1" applyBorder="1" applyAlignment="1">
      <alignment horizontal="center" wrapText="1"/>
    </xf>
    <xf numFmtId="0" fontId="0" fillId="2" borderId="6" xfId="0" applyFill="1" applyBorder="1" applyAlignment="1">
      <alignment horizontal="left" vertical="center"/>
    </xf>
    <xf numFmtId="0" fontId="0" fillId="2" borderId="2" xfId="0" applyFill="1" applyBorder="1" applyAlignment="1">
      <alignment horizontal="left" vertical="center"/>
    </xf>
    <xf numFmtId="0" fontId="36" fillId="36" borderId="21" xfId="0" applyFont="1" applyFill="1" applyBorder="1" applyAlignment="1">
      <alignment horizontal="left" wrapText="1"/>
    </xf>
    <xf numFmtId="0" fontId="36" fillId="36" borderId="30" xfId="0" applyFont="1" applyFill="1" applyBorder="1" applyAlignment="1">
      <alignment horizontal="left" wrapText="1"/>
    </xf>
    <xf numFmtId="0" fontId="36" fillId="36" borderId="22" xfId="0" applyFont="1" applyFill="1" applyBorder="1" applyAlignment="1">
      <alignment horizontal="left" wrapText="1"/>
    </xf>
    <xf numFmtId="0" fontId="0" fillId="2" borderId="6" xfId="0" applyFill="1" applyBorder="1" applyAlignment="1">
      <alignment horizontal="left"/>
    </xf>
    <xf numFmtId="0" fontId="0" fillId="2" borderId="2" xfId="0" applyFill="1" applyBorder="1" applyAlignment="1">
      <alignment horizontal="left"/>
    </xf>
    <xf numFmtId="0" fontId="0" fillId="2" borderId="7" xfId="0" applyFill="1" applyBorder="1" applyAlignment="1">
      <alignment horizontal="left"/>
    </xf>
    <xf numFmtId="0" fontId="4" fillId="36" borderId="21" xfId="0" applyFont="1" applyFill="1" applyBorder="1" applyAlignment="1">
      <alignment horizontal="left"/>
    </xf>
    <xf numFmtId="0" fontId="4" fillId="36" borderId="30" xfId="0" applyFont="1" applyFill="1" applyBorder="1" applyAlignment="1">
      <alignment horizontal="left"/>
    </xf>
    <xf numFmtId="0" fontId="4" fillId="36" borderId="22" xfId="0" applyFont="1" applyFill="1" applyBorder="1" applyAlignment="1">
      <alignment horizontal="left"/>
    </xf>
    <xf numFmtId="0" fontId="100" fillId="5" borderId="6" xfId="0" applyFont="1" applyFill="1" applyBorder="1" applyAlignment="1">
      <alignment horizontal="center" wrapText="1"/>
    </xf>
    <xf numFmtId="0" fontId="100" fillId="5" borderId="2" xfId="0" applyFont="1" applyFill="1" applyBorder="1" applyAlignment="1">
      <alignment horizontal="center" wrapText="1"/>
    </xf>
    <xf numFmtId="0" fontId="100" fillId="5" borderId="7" xfId="0" applyFont="1" applyFill="1" applyBorder="1" applyAlignment="1">
      <alignment horizontal="center" wrapText="1"/>
    </xf>
    <xf numFmtId="189" fontId="0" fillId="2" borderId="6" xfId="0" applyNumberFormat="1" applyFill="1" applyBorder="1" applyAlignment="1">
      <alignment horizontal="right"/>
    </xf>
    <xf numFmtId="189" fontId="0" fillId="2" borderId="7" xfId="0" applyNumberFormat="1" applyFill="1" applyBorder="1" applyAlignment="1">
      <alignment horizontal="right"/>
    </xf>
    <xf numFmtId="189" fontId="0" fillId="2" borderId="9" xfId="0" applyNumberFormat="1" applyFill="1" applyBorder="1" applyAlignment="1">
      <alignment horizontal="right"/>
    </xf>
    <xf numFmtId="189" fontId="0" fillId="2" borderId="10" xfId="0" applyNumberFormat="1" applyFill="1" applyBorder="1" applyAlignment="1">
      <alignment horizontal="right"/>
    </xf>
    <xf numFmtId="0" fontId="36" fillId="36" borderId="21" xfId="0" applyFont="1" applyFill="1" applyBorder="1" applyAlignment="1">
      <alignment horizontal="center" wrapText="1"/>
    </xf>
    <xf numFmtId="0" fontId="36" fillId="36" borderId="22" xfId="0" applyFont="1" applyFill="1" applyBorder="1" applyAlignment="1">
      <alignment horizontal="center" wrapText="1"/>
    </xf>
    <xf numFmtId="0" fontId="0" fillId="2" borderId="9" xfId="0" applyFill="1" applyBorder="1" applyAlignment="1">
      <alignment horizontal="left"/>
    </xf>
    <xf numFmtId="0" fontId="0" fillId="2" borderId="18" xfId="0" applyFill="1" applyBorder="1" applyAlignment="1">
      <alignment horizontal="left"/>
    </xf>
    <xf numFmtId="0" fontId="1" fillId="4" borderId="12" xfId="0" applyFont="1" applyFill="1" applyBorder="1" applyAlignment="1" applyProtection="1">
      <alignment horizontal="center" vertical="top" wrapText="1"/>
      <protection locked="0"/>
    </xf>
    <xf numFmtId="0" fontId="1" fillId="4" borderId="19" xfId="0" applyFont="1" applyFill="1" applyBorder="1" applyAlignment="1" applyProtection="1">
      <alignment horizontal="center" vertical="top" wrapText="1"/>
      <protection locked="0"/>
    </xf>
    <xf numFmtId="0" fontId="1" fillId="4" borderId="13" xfId="0" applyFont="1" applyFill="1" applyBorder="1" applyAlignment="1" applyProtection="1">
      <alignment horizontal="center" vertical="top" wrapText="1"/>
      <protection locked="0"/>
    </xf>
    <xf numFmtId="0" fontId="1" fillId="4" borderId="14" xfId="0" applyFont="1" applyFill="1" applyBorder="1" applyAlignment="1" applyProtection="1">
      <alignment horizontal="center" vertical="top" wrapText="1"/>
      <protection locked="0"/>
    </xf>
    <xf numFmtId="0" fontId="1" fillId="4" borderId="0" xfId="0" applyFont="1" applyFill="1" applyAlignment="1" applyProtection="1">
      <alignment horizontal="center" vertical="top" wrapText="1"/>
      <protection locked="0"/>
    </xf>
    <xf numFmtId="0" fontId="1" fillId="4" borderId="15" xfId="0" applyFont="1" applyFill="1" applyBorder="1" applyAlignment="1" applyProtection="1">
      <alignment horizontal="center" vertical="top" wrapText="1"/>
      <protection locked="0"/>
    </xf>
    <xf numFmtId="0" fontId="1" fillId="4" borderId="16" xfId="0" applyFont="1" applyFill="1" applyBorder="1" applyAlignment="1" applyProtection="1">
      <alignment horizontal="center" vertical="top" wrapText="1"/>
      <protection locked="0"/>
    </xf>
    <xf numFmtId="0" fontId="1" fillId="4" borderId="20" xfId="0" applyFont="1" applyFill="1" applyBorder="1" applyAlignment="1" applyProtection="1">
      <alignment horizontal="center" vertical="top" wrapText="1"/>
      <protection locked="0"/>
    </xf>
    <xf numFmtId="0" fontId="1" fillId="4" borderId="17" xfId="0" applyFont="1" applyFill="1" applyBorder="1" applyAlignment="1" applyProtection="1">
      <alignment horizontal="center" vertical="top" wrapText="1"/>
      <protection locked="0"/>
    </xf>
    <xf numFmtId="0" fontId="0" fillId="0" borderId="4" xfId="0" applyBorder="1" applyAlignment="1">
      <alignment horizontal="left"/>
    </xf>
    <xf numFmtId="0" fontId="0" fillId="0" borderId="10" xfId="0" applyBorder="1" applyAlignment="1">
      <alignment horizontal="left"/>
    </xf>
    <xf numFmtId="0" fontId="0" fillId="0" borderId="18" xfId="0" applyBorder="1" applyAlignment="1">
      <alignment horizontal="left"/>
    </xf>
    <xf numFmtId="0" fontId="0" fillId="0" borderId="0" xfId="0" applyAlignment="1">
      <alignment horizontal="left"/>
    </xf>
    <xf numFmtId="0" fontId="0" fillId="0" borderId="4" xfId="0" applyBorder="1" applyAlignment="1">
      <alignment horizontal="right"/>
    </xf>
    <xf numFmtId="44" fontId="0" fillId="2" borderId="9" xfId="0" applyNumberFormat="1" applyFill="1" applyBorder="1" applyAlignment="1">
      <alignment horizontal="right"/>
    </xf>
    <xf numFmtId="0" fontId="0" fillId="0" borderId="10" xfId="0" applyBorder="1" applyAlignment="1">
      <alignment horizontal="right"/>
    </xf>
    <xf numFmtId="44" fontId="4" fillId="27" borderId="21" xfId="0" applyNumberFormat="1" applyFont="1" applyFill="1" applyBorder="1" applyAlignment="1">
      <alignment horizontal="right"/>
    </xf>
    <xf numFmtId="44" fontId="0" fillId="0" borderId="22" xfId="0" applyNumberFormat="1" applyBorder="1" applyAlignment="1">
      <alignment horizontal="right"/>
    </xf>
    <xf numFmtId="0" fontId="0" fillId="40" borderId="0" xfId="0" applyFill="1" applyAlignment="1">
      <alignment horizontal="left" vertical="top" wrapText="1"/>
    </xf>
    <xf numFmtId="0" fontId="0" fillId="36" borderId="21" xfId="0" applyFill="1" applyBorder="1" applyAlignment="1">
      <alignment horizontal="left"/>
    </xf>
    <xf numFmtId="0" fontId="0" fillId="36" borderId="30" xfId="0" applyFill="1" applyBorder="1" applyAlignment="1">
      <alignment horizontal="left"/>
    </xf>
    <xf numFmtId="0" fontId="0" fillId="36" borderId="30" xfId="0" applyFill="1" applyBorder="1" applyAlignment="1">
      <alignment horizontal="center"/>
    </xf>
    <xf numFmtId="0" fontId="0" fillId="36" borderId="22" xfId="0" applyFill="1" applyBorder="1" applyAlignment="1">
      <alignment horizontal="center"/>
    </xf>
    <xf numFmtId="0" fontId="1" fillId="4" borderId="12" xfId="0" applyFont="1" applyFill="1" applyBorder="1" applyAlignment="1" applyProtection="1">
      <alignment horizontal="left" vertical="top" wrapText="1"/>
      <protection locked="0"/>
    </xf>
    <xf numFmtId="0" fontId="1" fillId="4" borderId="19" xfId="0" applyFont="1" applyFill="1" applyBorder="1" applyAlignment="1" applyProtection="1">
      <alignment horizontal="left" vertical="top" wrapText="1"/>
      <protection locked="0"/>
    </xf>
    <xf numFmtId="0" fontId="1" fillId="4" borderId="13" xfId="0" applyFont="1" applyFill="1" applyBorder="1" applyAlignment="1" applyProtection="1">
      <alignment horizontal="left" vertical="top" wrapText="1"/>
      <protection locked="0"/>
    </xf>
    <xf numFmtId="0" fontId="1" fillId="4" borderId="14"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5" xfId="0" applyFont="1" applyFill="1" applyBorder="1" applyAlignment="1" applyProtection="1">
      <alignment horizontal="left" vertical="top" wrapText="1"/>
      <protection locked="0"/>
    </xf>
    <xf numFmtId="0" fontId="1" fillId="4" borderId="16" xfId="0" applyFont="1" applyFill="1" applyBorder="1" applyAlignment="1" applyProtection="1">
      <alignment horizontal="left" vertical="top" wrapText="1"/>
      <protection locked="0"/>
    </xf>
    <xf numFmtId="0" fontId="1" fillId="4" borderId="20" xfId="0" applyFont="1" applyFill="1" applyBorder="1" applyAlignment="1" applyProtection="1">
      <alignment horizontal="left" vertical="top" wrapText="1"/>
      <protection locked="0"/>
    </xf>
    <xf numFmtId="0" fontId="1" fillId="4" borderId="17" xfId="0" applyFont="1" applyFill="1" applyBorder="1" applyAlignment="1" applyProtection="1">
      <alignment horizontal="left" vertical="top" wrapText="1"/>
      <protection locked="0"/>
    </xf>
    <xf numFmtId="0" fontId="1" fillId="4" borderId="6" xfId="0" applyFont="1" applyFill="1" applyBorder="1" applyAlignment="1" applyProtection="1">
      <alignment horizontal="left" vertical="top" wrapText="1"/>
      <protection locked="0"/>
    </xf>
    <xf numFmtId="0" fontId="1" fillId="4" borderId="2"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1" fillId="4" borderId="8" xfId="0" applyFont="1" applyFill="1" applyBorder="1" applyAlignment="1" applyProtection="1">
      <alignment horizontal="left" vertical="top" wrapText="1"/>
      <protection locked="0"/>
    </xf>
    <xf numFmtId="0" fontId="1" fillId="4" borderId="4" xfId="0" applyFont="1" applyFill="1" applyBorder="1" applyAlignment="1" applyProtection="1">
      <alignment horizontal="left" vertical="top" wrapText="1"/>
      <protection locked="0"/>
    </xf>
    <xf numFmtId="0" fontId="1" fillId="4" borderId="9" xfId="0" applyFont="1" applyFill="1" applyBorder="1" applyAlignment="1" applyProtection="1">
      <alignment horizontal="left" vertical="top" wrapText="1"/>
      <protection locked="0"/>
    </xf>
    <xf numFmtId="0" fontId="1" fillId="4" borderId="18"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2" fontId="1" fillId="17" borderId="1" xfId="0" applyNumberFormat="1" applyFont="1" applyFill="1" applyBorder="1" applyAlignment="1">
      <alignment horizontal="right"/>
    </xf>
    <xf numFmtId="0" fontId="100" fillId="5" borderId="21" xfId="0" applyFont="1" applyFill="1" applyBorder="1" applyAlignment="1">
      <alignment horizontal="left" wrapText="1"/>
    </xf>
    <xf numFmtId="0" fontId="100" fillId="5" borderId="30" xfId="0" applyFont="1" applyFill="1" applyBorder="1" applyAlignment="1">
      <alignment horizontal="left" wrapText="1"/>
    </xf>
    <xf numFmtId="0" fontId="100" fillId="5" borderId="22" xfId="0" applyFont="1" applyFill="1" applyBorder="1" applyAlignment="1">
      <alignment horizontal="left" wrapText="1"/>
    </xf>
    <xf numFmtId="0" fontId="4" fillId="27" borderId="21" xfId="0" applyFont="1" applyFill="1" applyBorder="1" applyAlignment="1">
      <alignment horizontal="left" wrapText="1"/>
    </xf>
    <xf numFmtId="0" fontId="0" fillId="0" borderId="30" xfId="0" applyBorder="1" applyAlignment="1">
      <alignment horizontal="left" wrapText="1"/>
    </xf>
    <xf numFmtId="0" fontId="0" fillId="0" borderId="22" xfId="0" applyBorder="1" applyAlignment="1">
      <alignment horizontal="left" wrapText="1"/>
    </xf>
    <xf numFmtId="0" fontId="36" fillId="36" borderId="21" xfId="0" applyFont="1" applyFill="1" applyBorder="1" applyAlignment="1">
      <alignment horizontal="left"/>
    </xf>
    <xf numFmtId="0" fontId="0" fillId="0" borderId="30" xfId="0" applyBorder="1" applyAlignment="1">
      <alignment horizontal="left"/>
    </xf>
    <xf numFmtId="0" fontId="0" fillId="0" borderId="22" xfId="0" applyBorder="1" applyAlignment="1">
      <alignment horizontal="left"/>
    </xf>
    <xf numFmtId="167" fontId="1" fillId="17" borderId="1" xfId="0" applyNumberFormat="1" applyFont="1" applyFill="1" applyBorder="1" applyAlignment="1">
      <alignment horizontal="right"/>
    </xf>
    <xf numFmtId="0" fontId="0" fillId="0" borderId="2" xfId="0" applyBorder="1" applyAlignment="1">
      <alignment horizontal="left"/>
    </xf>
    <xf numFmtId="0" fontId="32" fillId="2" borderId="2" xfId="0" applyFont="1" applyFill="1" applyBorder="1" applyAlignment="1">
      <alignment vertical="top"/>
    </xf>
    <xf numFmtId="0" fontId="32" fillId="2" borderId="7" xfId="0" applyFont="1" applyFill="1" applyBorder="1" applyAlignment="1">
      <alignment vertical="top"/>
    </xf>
    <xf numFmtId="0" fontId="32" fillId="2" borderId="0" xfId="0" applyFont="1" applyFill="1" applyAlignment="1">
      <alignment vertical="top"/>
    </xf>
    <xf numFmtId="0" fontId="32" fillId="2" borderId="4" xfId="0" applyFont="1" applyFill="1" applyBorder="1" applyAlignment="1">
      <alignment vertical="top"/>
    </xf>
    <xf numFmtId="0" fontId="32" fillId="2" borderId="18" xfId="0" applyFont="1" applyFill="1" applyBorder="1" applyAlignment="1">
      <alignment vertical="top"/>
    </xf>
    <xf numFmtId="0" fontId="32" fillId="2" borderId="10" xfId="0" applyFont="1" applyFill="1" applyBorder="1" applyAlignment="1">
      <alignment vertical="top"/>
    </xf>
    <xf numFmtId="0" fontId="0" fillId="0" borderId="7" xfId="0" applyBorder="1" applyAlignment="1">
      <alignment horizontal="left"/>
    </xf>
    <xf numFmtId="0" fontId="0" fillId="8" borderId="0" xfId="0" applyFill="1" applyAlignment="1">
      <alignment horizontal="left"/>
    </xf>
    <xf numFmtId="0" fontId="0" fillId="8" borderId="4" xfId="0" applyFill="1" applyBorder="1" applyAlignment="1">
      <alignment horizontal="left"/>
    </xf>
    <xf numFmtId="0" fontId="100" fillId="5" borderId="21" xfId="0" applyFont="1" applyFill="1" applyBorder="1" applyAlignment="1">
      <alignment horizontal="center"/>
    </xf>
    <xf numFmtId="0" fontId="100" fillId="5" borderId="91" xfId="0" applyFont="1" applyFill="1" applyBorder="1" applyAlignment="1">
      <alignment horizontal="center"/>
    </xf>
    <xf numFmtId="0" fontId="100" fillId="5" borderId="91" xfId="0" applyFont="1" applyFill="1" applyBorder="1" applyAlignment="1">
      <alignment horizontal="left"/>
    </xf>
    <xf numFmtId="0" fontId="0" fillId="36" borderId="2" xfId="0" applyFill="1" applyBorder="1" applyAlignment="1">
      <alignment horizontal="center" wrapText="1"/>
    </xf>
    <xf numFmtId="0" fontId="0" fillId="36" borderId="7" xfId="0" applyFill="1" applyBorder="1" applyAlignment="1">
      <alignment horizontal="center" wrapText="1"/>
    </xf>
    <xf numFmtId="0" fontId="0" fillId="36" borderId="18" xfId="0" applyFill="1" applyBorder="1" applyAlignment="1">
      <alignment horizontal="center" wrapText="1"/>
    </xf>
    <xf numFmtId="0" fontId="0" fillId="36" borderId="10" xfId="0" applyFill="1" applyBorder="1" applyAlignment="1">
      <alignment horizontal="center" wrapText="1"/>
    </xf>
    <xf numFmtId="0" fontId="0" fillId="31" borderId="12" xfId="0" applyFill="1" applyBorder="1" applyAlignment="1" applyProtection="1">
      <alignment horizontal="left" vertical="top" wrapText="1"/>
      <protection locked="0"/>
    </xf>
    <xf numFmtId="0" fontId="0" fillId="31" borderId="19" xfId="0" applyFill="1" applyBorder="1" applyAlignment="1" applyProtection="1">
      <alignment horizontal="left" vertical="top" wrapText="1"/>
      <protection locked="0"/>
    </xf>
    <xf numFmtId="0" fontId="0" fillId="31" borderId="13" xfId="0" applyFill="1" applyBorder="1" applyAlignment="1" applyProtection="1">
      <alignment horizontal="left" vertical="top" wrapText="1"/>
      <protection locked="0"/>
    </xf>
    <xf numFmtId="0" fontId="0" fillId="31" borderId="14" xfId="0" applyFill="1" applyBorder="1" applyAlignment="1" applyProtection="1">
      <alignment horizontal="left" vertical="top" wrapText="1"/>
      <protection locked="0"/>
    </xf>
    <xf numFmtId="0" fontId="0" fillId="31" borderId="0" xfId="0" applyFill="1" applyAlignment="1" applyProtection="1">
      <alignment horizontal="left" vertical="top" wrapText="1"/>
      <protection locked="0"/>
    </xf>
    <xf numFmtId="0" fontId="0" fillId="31" borderId="15" xfId="0" applyFill="1" applyBorder="1" applyAlignment="1" applyProtection="1">
      <alignment horizontal="left" vertical="top" wrapText="1"/>
      <protection locked="0"/>
    </xf>
    <xf numFmtId="0" fontId="0" fillId="31" borderId="16" xfId="0" applyFill="1" applyBorder="1" applyAlignment="1" applyProtection="1">
      <alignment horizontal="left" vertical="top" wrapText="1"/>
      <protection locked="0"/>
    </xf>
    <xf numFmtId="0" fontId="0" fillId="31" borderId="20" xfId="0" applyFill="1" applyBorder="1" applyAlignment="1" applyProtection="1">
      <alignment horizontal="left" vertical="top" wrapText="1"/>
      <protection locked="0"/>
    </xf>
    <xf numFmtId="0" fontId="0" fillId="31" borderId="17" xfId="0" applyFill="1" applyBorder="1" applyAlignment="1" applyProtection="1">
      <alignment horizontal="left" vertical="top" wrapText="1"/>
      <protection locked="0"/>
    </xf>
    <xf numFmtId="44" fontId="0" fillId="2" borderId="2" xfId="0" applyNumberFormat="1" applyFill="1" applyBorder="1" applyAlignment="1">
      <alignment horizontal="center"/>
    </xf>
    <xf numFmtId="44" fontId="0" fillId="2" borderId="0" xfId="0" applyNumberFormat="1" applyFill="1" applyAlignment="1">
      <alignment horizontal="center"/>
    </xf>
    <xf numFmtId="0" fontId="32" fillId="2" borderId="9" xfId="0" applyFont="1" applyFill="1" applyBorder="1" applyAlignment="1">
      <alignment horizontal="left"/>
    </xf>
    <xf numFmtId="0" fontId="0" fillId="8" borderId="8" xfId="0" applyFill="1" applyBorder="1" applyAlignment="1">
      <alignment horizontal="left"/>
    </xf>
    <xf numFmtId="0" fontId="0" fillId="2" borderId="6"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3" fillId="31" borderId="21" xfId="0" applyFont="1" applyFill="1" applyBorder="1" applyAlignment="1" applyProtection="1">
      <alignment horizontal="left"/>
      <protection locked="0"/>
    </xf>
    <xf numFmtId="0" fontId="3" fillId="31" borderId="30" xfId="0" applyFont="1" applyFill="1" applyBorder="1" applyAlignment="1" applyProtection="1">
      <alignment horizontal="left"/>
      <protection locked="0"/>
    </xf>
    <xf numFmtId="0" fontId="3" fillId="31" borderId="22" xfId="0" applyFont="1" applyFill="1" applyBorder="1" applyAlignment="1" applyProtection="1">
      <alignment horizontal="left"/>
      <protection locked="0"/>
    </xf>
    <xf numFmtId="0" fontId="205" fillId="40" borderId="0" xfId="0" applyFont="1" applyFill="1" applyAlignment="1">
      <alignment horizontal="right" vertical="top"/>
    </xf>
    <xf numFmtId="0" fontId="3" fillId="31" borderId="53" xfId="0" applyFont="1" applyFill="1" applyBorder="1" applyAlignment="1" applyProtection="1">
      <alignment horizontal="left"/>
      <protection locked="0"/>
    </xf>
    <xf numFmtId="0" fontId="3" fillId="31" borderId="54" xfId="0" applyFont="1" applyFill="1" applyBorder="1" applyAlignment="1" applyProtection="1">
      <alignment horizontal="left"/>
      <protection locked="0"/>
    </xf>
    <xf numFmtId="0" fontId="3" fillId="31" borderId="55" xfId="0" applyFont="1" applyFill="1" applyBorder="1" applyAlignment="1" applyProtection="1">
      <alignment horizontal="left"/>
      <protection locked="0"/>
    </xf>
    <xf numFmtId="0" fontId="13" fillId="31" borderId="1" xfId="1" applyFill="1" applyBorder="1" applyAlignment="1" applyProtection="1">
      <alignment horizontal="left"/>
      <protection locked="0"/>
    </xf>
    <xf numFmtId="0" fontId="3" fillId="31" borderId="1" xfId="0" applyFont="1" applyFill="1" applyBorder="1" applyAlignment="1" applyProtection="1">
      <alignment horizontal="left"/>
      <protection locked="0"/>
    </xf>
    <xf numFmtId="0" fontId="206" fillId="40" borderId="2" xfId="0" applyFont="1" applyFill="1" applyBorder="1" applyAlignment="1">
      <alignment horizontal="center"/>
    </xf>
    <xf numFmtId="0" fontId="13" fillId="40" borderId="0" xfId="1" applyFill="1" applyAlignment="1" applyProtection="1">
      <alignment horizontal="left"/>
      <protection locked="0"/>
    </xf>
    <xf numFmtId="49" fontId="3" fillId="0" borderId="21" xfId="0" applyNumberFormat="1" applyFont="1" applyBorder="1" applyAlignment="1" applyProtection="1">
      <alignment horizontal="left" vertical="center"/>
      <protection locked="0"/>
    </xf>
    <xf numFmtId="49" fontId="3" fillId="0" borderId="30" xfId="0" applyNumberFormat="1" applyFont="1" applyBorder="1" applyAlignment="1" applyProtection="1">
      <alignment horizontal="left" vertical="center"/>
      <protection locked="0"/>
    </xf>
    <xf numFmtId="49" fontId="3" fillId="0" borderId="22" xfId="0" applyNumberFormat="1" applyFont="1" applyBorder="1" applyAlignment="1" applyProtection="1">
      <alignment horizontal="left" vertical="center"/>
      <protection locked="0"/>
    </xf>
    <xf numFmtId="0" fontId="0" fillId="40" borderId="0" xfId="0" applyFill="1" applyAlignment="1">
      <alignment horizontal="center" vertical="top" wrapText="1"/>
    </xf>
    <xf numFmtId="0" fontId="0" fillId="2" borderId="1" xfId="0" applyFill="1" applyBorder="1" applyAlignment="1" applyProtection="1">
      <alignment horizontal="left" vertical="top" wrapText="1"/>
      <protection locked="0"/>
    </xf>
    <xf numFmtId="0" fontId="3" fillId="31" borderId="1" xfId="0" applyFont="1" applyFill="1" applyBorder="1" applyAlignment="1" applyProtection="1">
      <alignment horizontal="center"/>
      <protection locked="0"/>
    </xf>
    <xf numFmtId="0" fontId="0" fillId="40" borderId="0" xfId="0" applyFill="1" applyAlignment="1">
      <alignment horizontal="center"/>
    </xf>
    <xf numFmtId="0" fontId="6" fillId="5" borderId="0" xfId="0" applyFont="1" applyFill="1" applyAlignment="1">
      <alignment horizontal="left" vertical="center" wrapText="1"/>
    </xf>
    <xf numFmtId="0" fontId="3" fillId="2" borderId="1" xfId="0" applyFont="1" applyFill="1" applyBorder="1" applyAlignment="1" applyProtection="1">
      <alignment horizontal="left"/>
      <protection locked="0"/>
    </xf>
    <xf numFmtId="0" fontId="3" fillId="2" borderId="6"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2" borderId="18"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top" wrapText="1"/>
      <protection locked="0"/>
    </xf>
    <xf numFmtId="0" fontId="3" fillId="40" borderId="0" xfId="0" applyFont="1" applyFill="1" applyAlignment="1">
      <alignment horizontal="left" vertical="top" wrapText="1"/>
    </xf>
    <xf numFmtId="0" fontId="13" fillId="2" borderId="1" xfId="1" applyFill="1" applyBorder="1" applyAlignment="1" applyProtection="1">
      <alignment horizontal="left"/>
      <protection locked="0"/>
    </xf>
    <xf numFmtId="0" fontId="0" fillId="2" borderId="6" xfId="0" quotePrefix="1" applyFill="1" applyBorder="1" applyAlignment="1" applyProtection="1">
      <alignment horizontal="left" vertical="top" wrapText="1"/>
      <protection locked="0"/>
    </xf>
    <xf numFmtId="0" fontId="0" fillId="2" borderId="8" xfId="0" quotePrefix="1" applyFill="1" applyBorder="1" applyAlignment="1" applyProtection="1">
      <alignment horizontal="left" vertical="top" wrapText="1"/>
      <protection locked="0"/>
    </xf>
    <xf numFmtId="0" fontId="0" fillId="2" borderId="9" xfId="0" quotePrefix="1" applyFill="1" applyBorder="1" applyAlignment="1" applyProtection="1">
      <alignment horizontal="left" vertical="top" wrapText="1"/>
      <protection locked="0"/>
    </xf>
    <xf numFmtId="0" fontId="0" fillId="2" borderId="2" xfId="0" quotePrefix="1" applyFill="1" applyBorder="1" applyAlignment="1" applyProtection="1">
      <alignment horizontal="left" vertical="top" wrapText="1"/>
      <protection locked="0"/>
    </xf>
    <xf numFmtId="0" fontId="0" fillId="2" borderId="7" xfId="0" quotePrefix="1" applyFill="1" applyBorder="1" applyAlignment="1" applyProtection="1">
      <alignment horizontal="left" vertical="top" wrapText="1"/>
      <protection locked="0"/>
    </xf>
    <xf numFmtId="0" fontId="0" fillId="2" borderId="0" xfId="0" quotePrefix="1" applyFill="1" applyAlignment="1" applyProtection="1">
      <alignment horizontal="left" vertical="top" wrapText="1"/>
      <protection locked="0"/>
    </xf>
    <xf numFmtId="0" fontId="0" fillId="2" borderId="4" xfId="0" quotePrefix="1" applyFill="1" applyBorder="1" applyAlignment="1" applyProtection="1">
      <alignment horizontal="left" vertical="top" wrapText="1"/>
      <protection locked="0"/>
    </xf>
    <xf numFmtId="0" fontId="0" fillId="2" borderId="18" xfId="0" quotePrefix="1" applyFill="1" applyBorder="1" applyAlignment="1" applyProtection="1">
      <alignment horizontal="left" vertical="top" wrapText="1"/>
      <protection locked="0"/>
    </xf>
    <xf numFmtId="0" fontId="0" fillId="2" borderId="10" xfId="0" quotePrefix="1" applyFill="1" applyBorder="1" applyAlignment="1" applyProtection="1">
      <alignment horizontal="left" vertical="top" wrapText="1"/>
      <protection locked="0"/>
    </xf>
    <xf numFmtId="164" fontId="3" fillId="40" borderId="0" xfId="0" applyNumberFormat="1" applyFont="1" applyFill="1" applyAlignment="1">
      <alignment horizontal="right"/>
    </xf>
    <xf numFmtId="0" fontId="3" fillId="40" borderId="0" xfId="1" applyFont="1" applyFill="1" applyBorder="1" applyAlignment="1">
      <alignment horizontal="right" vertical="center"/>
    </xf>
    <xf numFmtId="0" fontId="3" fillId="2" borderId="98" xfId="0" applyFont="1" applyFill="1" applyBorder="1" applyAlignment="1" applyProtection="1">
      <alignment horizontal="left" vertical="top" wrapText="1"/>
      <protection locked="0"/>
    </xf>
    <xf numFmtId="0" fontId="3" fillId="2" borderId="99" xfId="0" applyFont="1" applyFill="1" applyBorder="1" applyAlignment="1" applyProtection="1">
      <alignment horizontal="left" vertical="top" wrapText="1"/>
      <protection locked="0"/>
    </xf>
    <xf numFmtId="0" fontId="3" fillId="2" borderId="100" xfId="0" applyFont="1"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3" fillId="2" borderId="68" xfId="0" applyFont="1" applyFill="1" applyBorder="1" applyAlignment="1" applyProtection="1">
      <alignment horizontal="left" vertical="top" wrapText="1"/>
      <protection locked="0"/>
    </xf>
    <xf numFmtId="0" fontId="3" fillId="31" borderId="6" xfId="0" applyFont="1" applyFill="1" applyBorder="1" applyAlignment="1" applyProtection="1">
      <alignment horizontal="left" vertical="top" wrapText="1"/>
      <protection locked="0"/>
    </xf>
    <xf numFmtId="0" fontId="3" fillId="31" borderId="98" xfId="0" applyFont="1" applyFill="1" applyBorder="1" applyAlignment="1" applyProtection="1">
      <alignment horizontal="left" vertical="top" wrapText="1"/>
      <protection locked="0"/>
    </xf>
    <xf numFmtId="0" fontId="3" fillId="31" borderId="99" xfId="0" applyFont="1" applyFill="1" applyBorder="1" applyAlignment="1" applyProtection="1">
      <alignment horizontal="left" vertical="top" wrapText="1"/>
      <protection locked="0"/>
    </xf>
    <xf numFmtId="0" fontId="3" fillId="31" borderId="100" xfId="0" applyFont="1" applyFill="1" applyBorder="1" applyAlignment="1" applyProtection="1">
      <alignment horizontal="left" vertical="top" wrapText="1"/>
      <protection locked="0"/>
    </xf>
    <xf numFmtId="0" fontId="3" fillId="31" borderId="101" xfId="0" applyFont="1" applyFill="1" applyBorder="1" applyAlignment="1" applyProtection="1">
      <alignment horizontal="left" vertical="top" wrapText="1"/>
      <protection locked="0"/>
    </xf>
    <xf numFmtId="0" fontId="3" fillId="31" borderId="68" xfId="0" applyFont="1" applyFill="1" applyBorder="1" applyAlignment="1" applyProtection="1">
      <alignment horizontal="left" vertical="top" wrapText="1"/>
      <protection locked="0"/>
    </xf>
    <xf numFmtId="0" fontId="0" fillId="10" borderId="8" xfId="0" applyFill="1" applyBorder="1" applyAlignment="1">
      <alignment horizontal="left"/>
    </xf>
    <xf numFmtId="0" fontId="0" fillId="36" borderId="1" xfId="0" applyFill="1" applyBorder="1" applyAlignment="1">
      <alignment horizontal="left"/>
    </xf>
    <xf numFmtId="0" fontId="3" fillId="31" borderId="5" xfId="0" applyFont="1" applyFill="1" applyBorder="1" applyAlignment="1" applyProtection="1">
      <alignment horizontal="left" vertical="top" wrapText="1"/>
      <protection locked="0"/>
    </xf>
    <xf numFmtId="0" fontId="3" fillId="31" borderId="2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top" wrapText="1"/>
      <protection locked="0"/>
    </xf>
    <xf numFmtId="0" fontId="3" fillId="40" borderId="0" xfId="0" applyFont="1" applyFill="1" applyAlignment="1">
      <alignment horizontal="right" vertical="center"/>
    </xf>
    <xf numFmtId="0" fontId="3" fillId="31" borderId="5" xfId="0" applyFont="1" applyFill="1" applyBorder="1" applyAlignment="1" applyProtection="1">
      <alignment horizontal="center" vertical="center"/>
      <protection locked="0"/>
    </xf>
    <xf numFmtId="0" fontId="3" fillId="31" borderId="1" xfId="0" applyFont="1" applyFill="1" applyBorder="1" applyAlignment="1" applyProtection="1">
      <alignment horizontal="center" vertical="center"/>
      <protection locked="0"/>
    </xf>
    <xf numFmtId="0" fontId="0" fillId="36" borderId="1" xfId="0" applyFill="1" applyBorder="1"/>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49" fontId="3" fillId="0" borderId="6" xfId="0" applyNumberFormat="1" applyFont="1" applyBorder="1" applyAlignment="1" applyProtection="1">
      <alignment horizontal="left" vertical="top" wrapText="1"/>
      <protection locked="0"/>
    </xf>
    <xf numFmtId="49" fontId="3" fillId="0" borderId="5" xfId="0" applyNumberFormat="1" applyFont="1" applyBorder="1" applyAlignment="1" applyProtection="1">
      <alignment horizontal="left" vertical="top" wrapText="1"/>
      <protection locked="0"/>
    </xf>
    <xf numFmtId="49" fontId="3" fillId="0" borderId="21" xfId="0" applyNumberFormat="1" applyFont="1" applyBorder="1" applyAlignment="1" applyProtection="1">
      <alignment horizontal="left" vertical="top" wrapText="1"/>
      <protection locked="0"/>
    </xf>
    <xf numFmtId="49" fontId="3" fillId="0" borderId="1" xfId="0" applyNumberFormat="1" applyFont="1" applyBorder="1" applyAlignment="1" applyProtection="1">
      <alignment horizontal="left" vertical="top" wrapText="1"/>
      <protection locked="0"/>
    </xf>
    <xf numFmtId="0" fontId="0" fillId="40" borderId="0" xfId="1" applyFont="1" applyFill="1" applyBorder="1" applyAlignment="1">
      <alignment horizontal="right" vertical="center"/>
    </xf>
    <xf numFmtId="0" fontId="3" fillId="2" borderId="1"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protection locked="0"/>
    </xf>
    <xf numFmtId="0" fontId="3" fillId="2" borderId="30"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13" fillId="2" borderId="21" xfId="1" applyFill="1" applyBorder="1" applyAlignment="1" applyProtection="1">
      <alignment horizontal="left"/>
      <protection locked="0"/>
    </xf>
    <xf numFmtId="0" fontId="13" fillId="2" borderId="30" xfId="1" applyFill="1" applyBorder="1" applyAlignment="1" applyProtection="1">
      <alignment horizontal="left"/>
      <protection locked="0"/>
    </xf>
    <xf numFmtId="0" fontId="13" fillId="2" borderId="22" xfId="1" applyFill="1" applyBorder="1" applyAlignment="1" applyProtection="1">
      <alignment horizontal="left"/>
      <protection locked="0"/>
    </xf>
    <xf numFmtId="0" fontId="3" fillId="40" borderId="0" xfId="0" applyFont="1" applyFill="1" applyAlignment="1">
      <alignment horizontal="left" wrapText="1"/>
    </xf>
    <xf numFmtId="0" fontId="3" fillId="40" borderId="0" xfId="0" applyFont="1" applyFill="1" applyAlignment="1">
      <alignment horizontal="left"/>
    </xf>
    <xf numFmtId="0" fontId="13" fillId="40" borderId="0" xfId="1" applyFill="1" applyAlignment="1">
      <alignment horizontal="left" vertical="center"/>
    </xf>
    <xf numFmtId="0" fontId="13" fillId="40" borderId="18" xfId="1" applyFill="1" applyBorder="1" applyAlignment="1">
      <alignment horizontal="left" vertical="center"/>
    </xf>
    <xf numFmtId="0" fontId="3" fillId="31" borderId="5" xfId="0" applyFont="1" applyFill="1" applyBorder="1" applyAlignment="1" applyProtection="1">
      <alignment vertical="center"/>
      <protection locked="0"/>
    </xf>
    <xf numFmtId="0" fontId="3" fillId="31" borderId="3" xfId="0" applyFont="1" applyFill="1" applyBorder="1" applyAlignment="1" applyProtection="1">
      <alignment vertical="center"/>
      <protection locked="0"/>
    </xf>
    <xf numFmtId="0" fontId="3" fillId="31" borderId="1"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196" fillId="40" borderId="0" xfId="0" applyFont="1" applyFill="1" applyAlignment="1">
      <alignment horizontal="center" vertical="center"/>
    </xf>
    <xf numFmtId="0" fontId="3" fillId="31"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196" fillId="40" borderId="0" xfId="0" applyFont="1" applyFill="1" applyAlignment="1">
      <alignment horizontal="center" vertical="top"/>
    </xf>
    <xf numFmtId="0" fontId="3" fillId="31" borderId="2" xfId="0" applyFont="1" applyFill="1" applyBorder="1" applyAlignment="1" applyProtection="1">
      <alignment horizontal="left" vertical="top" wrapText="1"/>
      <protection locked="0"/>
    </xf>
    <xf numFmtId="0" fontId="3" fillId="31" borderId="7" xfId="0" applyFont="1" applyFill="1" applyBorder="1" applyAlignment="1" applyProtection="1">
      <alignment horizontal="left" vertical="top" wrapText="1"/>
      <protection locked="0"/>
    </xf>
    <xf numFmtId="0" fontId="3" fillId="31" borderId="8" xfId="0" applyFont="1" applyFill="1" applyBorder="1" applyAlignment="1" applyProtection="1">
      <alignment horizontal="left" vertical="top" wrapText="1"/>
      <protection locked="0"/>
    </xf>
    <xf numFmtId="0" fontId="3" fillId="31" borderId="0" xfId="0" applyFont="1" applyFill="1" applyAlignment="1" applyProtection="1">
      <alignment horizontal="left" vertical="top" wrapText="1"/>
      <protection locked="0"/>
    </xf>
    <xf numFmtId="0" fontId="3" fillId="31" borderId="4" xfId="0" applyFont="1" applyFill="1" applyBorder="1" applyAlignment="1" applyProtection="1">
      <alignment horizontal="left" vertical="top" wrapText="1"/>
      <protection locked="0"/>
    </xf>
    <xf numFmtId="0" fontId="3" fillId="31" borderId="9" xfId="0" applyFont="1" applyFill="1" applyBorder="1" applyAlignment="1" applyProtection="1">
      <alignment horizontal="left" vertical="top" wrapText="1"/>
      <protection locked="0"/>
    </xf>
    <xf numFmtId="0" fontId="3" fillId="31" borderId="18" xfId="0" applyFont="1" applyFill="1" applyBorder="1" applyAlignment="1" applyProtection="1">
      <alignment horizontal="left" vertical="top" wrapText="1"/>
      <protection locked="0"/>
    </xf>
    <xf numFmtId="0" fontId="3" fillId="31" borderId="10" xfId="0" applyFont="1" applyFill="1" applyBorder="1" applyAlignment="1" applyProtection="1">
      <alignment horizontal="left" vertical="top" wrapText="1"/>
      <protection locked="0"/>
    </xf>
    <xf numFmtId="0" fontId="3" fillId="2" borderId="21" xfId="0" applyFont="1" applyFill="1" applyBorder="1" applyAlignment="1" applyProtection="1">
      <alignment horizontal="center"/>
      <protection locked="0"/>
    </xf>
    <xf numFmtId="0" fontId="3" fillId="2" borderId="30"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40" borderId="4" xfId="0" applyFont="1" applyFill="1" applyBorder="1" applyAlignment="1">
      <alignment horizontal="right" vertical="top" wrapText="1"/>
    </xf>
    <xf numFmtId="0" fontId="3" fillId="40" borderId="4" xfId="0" applyFont="1" applyFill="1" applyBorder="1" applyAlignment="1">
      <alignment horizontal="right" wrapText="1"/>
    </xf>
    <xf numFmtId="0" fontId="0" fillId="3" borderId="0" xfId="0" applyFill="1" applyAlignment="1">
      <alignment horizontal="left" vertical="top"/>
    </xf>
    <xf numFmtId="0" fontId="0" fillId="3" borderId="4" xfId="0" applyFill="1" applyBorder="1" applyAlignment="1">
      <alignment horizontal="left" vertical="top"/>
    </xf>
    <xf numFmtId="167" fontId="4" fillId="3" borderId="0" xfId="0" applyNumberFormat="1" applyFont="1" applyFill="1" applyAlignment="1">
      <alignment horizontal="left" vertical="top"/>
    </xf>
    <xf numFmtId="167" fontId="4" fillId="3" borderId="4" xfId="0" applyNumberFormat="1" applyFont="1" applyFill="1" applyBorder="1" applyAlignment="1">
      <alignment horizontal="left" vertical="top"/>
    </xf>
    <xf numFmtId="0" fontId="0" fillId="9" borderId="6" xfId="0" applyFill="1" applyBorder="1" applyAlignment="1">
      <alignment horizontal="left" wrapText="1"/>
    </xf>
    <xf numFmtId="0" fontId="0" fillId="9" borderId="2" xfId="0" applyFill="1" applyBorder="1" applyAlignment="1">
      <alignment horizontal="left" wrapText="1"/>
    </xf>
    <xf numFmtId="0" fontId="0" fillId="9" borderId="7" xfId="0" applyFill="1" applyBorder="1" applyAlignment="1">
      <alignment horizontal="left" wrapText="1"/>
    </xf>
    <xf numFmtId="0" fontId="0" fillId="9" borderId="9" xfId="0" applyFill="1" applyBorder="1" applyAlignment="1">
      <alignment horizontal="left" wrapText="1"/>
    </xf>
    <xf numFmtId="0" fontId="0" fillId="9" borderId="18" xfId="0" applyFill="1" applyBorder="1" applyAlignment="1">
      <alignment horizontal="left" wrapText="1"/>
    </xf>
    <xf numFmtId="0" fontId="0" fillId="9" borderId="10" xfId="0" applyFill="1" applyBorder="1" applyAlignment="1">
      <alignment horizontal="left" wrapText="1"/>
    </xf>
    <xf numFmtId="0" fontId="4" fillId="3" borderId="0" xfId="0" applyFont="1" applyFill="1" applyAlignment="1">
      <alignment horizontal="left" vertical="top"/>
    </xf>
    <xf numFmtId="0" fontId="4" fillId="3" borderId="4" xfId="0" applyFont="1" applyFill="1" applyBorder="1" applyAlignment="1">
      <alignment horizontal="left" vertical="top"/>
    </xf>
    <xf numFmtId="0" fontId="1" fillId="24" borderId="1" xfId="0" applyFont="1" applyFill="1" applyBorder="1" applyAlignment="1" applyProtection="1">
      <alignment horizontal="left" vertical="top" wrapText="1"/>
      <protection locked="0"/>
    </xf>
    <xf numFmtId="172" fontId="1" fillId="17" borderId="1" xfId="0" applyNumberFormat="1" applyFont="1" applyFill="1" applyBorder="1" applyAlignment="1">
      <alignment horizontal="center"/>
    </xf>
    <xf numFmtId="6" fontId="1" fillId="17" borderId="1" xfId="0" applyNumberFormat="1" applyFont="1" applyFill="1" applyBorder="1" applyAlignment="1">
      <alignment horizontal="center"/>
    </xf>
    <xf numFmtId="0" fontId="1" fillId="17" borderId="1" xfId="0" applyFont="1" applyFill="1" applyBorder="1" applyAlignment="1">
      <alignment horizontal="center"/>
    </xf>
    <xf numFmtId="0" fontId="1" fillId="4" borderId="1" xfId="0" applyFont="1" applyFill="1" applyBorder="1" applyAlignment="1" applyProtection="1">
      <alignment horizontal="left" vertical="top" wrapText="1"/>
      <protection locked="0"/>
    </xf>
    <xf numFmtId="172" fontId="1" fillId="17" borderId="21" xfId="0" applyNumberFormat="1" applyFont="1" applyFill="1" applyBorder="1" applyAlignment="1">
      <alignment horizontal="center"/>
    </xf>
    <xf numFmtId="0" fontId="1" fillId="17" borderId="22" xfId="0" applyFont="1" applyFill="1" applyBorder="1" applyAlignment="1">
      <alignment horizontal="center"/>
    </xf>
    <xf numFmtId="0" fontId="1" fillId="4" borderId="1" xfId="0" applyFont="1" applyFill="1" applyBorder="1" applyAlignment="1" applyProtection="1">
      <alignment horizontal="left" vertical="center"/>
      <protection locked="0"/>
    </xf>
    <xf numFmtId="0" fontId="1" fillId="36" borderId="1" xfId="0" applyFont="1" applyFill="1" applyBorder="1"/>
    <xf numFmtId="0" fontId="59" fillId="40" borderId="18" xfId="0" applyFont="1" applyFill="1" applyBorder="1" applyAlignment="1">
      <alignment horizontal="center" vertical="center" wrapText="1"/>
    </xf>
    <xf numFmtId="0" fontId="59" fillId="40" borderId="2" xfId="0" applyFont="1" applyFill="1" applyBorder="1" applyAlignment="1">
      <alignment horizontal="right"/>
    </xf>
    <xf numFmtId="0" fontId="59" fillId="40" borderId="7" xfId="0" applyFont="1" applyFill="1" applyBorder="1" applyAlignment="1">
      <alignment horizontal="right"/>
    </xf>
    <xf numFmtId="0" fontId="1" fillId="36" borderId="21" xfId="0" applyFont="1" applyFill="1" applyBorder="1"/>
    <xf numFmtId="0" fontId="1" fillId="36" borderId="22" xfId="0" applyFont="1" applyFill="1" applyBorder="1"/>
    <xf numFmtId="0" fontId="59" fillId="40" borderId="18" xfId="0" applyFont="1" applyFill="1" applyBorder="1" applyAlignment="1">
      <alignment horizontal="left"/>
    </xf>
    <xf numFmtId="0" fontId="91" fillId="25" borderId="21" xfId="0" applyFont="1" applyFill="1" applyBorder="1" applyAlignment="1">
      <alignment horizontal="center" vertical="center"/>
    </xf>
    <xf numFmtId="0" fontId="86" fillId="5" borderId="30" xfId="0" applyFont="1" applyFill="1" applyBorder="1" applyAlignment="1">
      <alignment horizontal="center" vertical="center"/>
    </xf>
    <xf numFmtId="0" fontId="86" fillId="5" borderId="22" xfId="0" applyFont="1" applyFill="1" applyBorder="1" applyAlignment="1">
      <alignment horizontal="center" vertical="center"/>
    </xf>
    <xf numFmtId="0" fontId="34" fillId="36" borderId="1" xfId="0" applyFont="1" applyFill="1" applyBorder="1" applyAlignment="1">
      <alignment horizontal="center"/>
    </xf>
    <xf numFmtId="0" fontId="1" fillId="36" borderId="1" xfId="0" applyFont="1" applyFill="1" applyBorder="1" applyAlignment="1">
      <alignment horizontal="center"/>
    </xf>
    <xf numFmtId="0" fontId="59" fillId="40" borderId="0" xfId="0" applyFont="1" applyFill="1"/>
    <xf numFmtId="0" fontId="1" fillId="40" borderId="0" xfId="0" applyFont="1" applyFill="1"/>
    <xf numFmtId="0" fontId="59" fillId="40" borderId="0" xfId="0" applyFont="1" applyFill="1" applyAlignment="1">
      <alignment horizontal="right"/>
    </xf>
    <xf numFmtId="0" fontId="1" fillId="32" borderId="21" xfId="0" applyFont="1" applyFill="1" applyBorder="1" applyAlignment="1" applyProtection="1">
      <alignment horizontal="center"/>
      <protection locked="0"/>
    </xf>
    <xf numFmtId="0" fontId="1" fillId="32" borderId="30" xfId="0" applyFont="1" applyFill="1" applyBorder="1" applyProtection="1">
      <protection locked="0"/>
    </xf>
    <xf numFmtId="0" fontId="1" fillId="32" borderId="22" xfId="0" applyFont="1" applyFill="1" applyBorder="1" applyProtection="1">
      <protection locked="0"/>
    </xf>
    <xf numFmtId="175" fontId="1" fillId="32" borderId="9" xfId="0" applyNumberFormat="1" applyFont="1" applyFill="1" applyBorder="1" applyAlignment="1" applyProtection="1">
      <alignment horizontal="center"/>
      <protection locked="0"/>
    </xf>
    <xf numFmtId="175" fontId="1" fillId="32" borderId="10" xfId="0" applyNumberFormat="1" applyFont="1" applyFill="1" applyBorder="1" applyAlignment="1" applyProtection="1">
      <alignment horizontal="center"/>
      <protection locked="0"/>
    </xf>
    <xf numFmtId="0" fontId="1" fillId="32" borderId="30" xfId="0" applyFont="1" applyFill="1" applyBorder="1" applyAlignment="1" applyProtection="1">
      <alignment horizontal="center"/>
      <protection locked="0"/>
    </xf>
    <xf numFmtId="0" fontId="1" fillId="32" borderId="22" xfId="0" applyFont="1" applyFill="1" applyBorder="1" applyAlignment="1" applyProtection="1">
      <alignment horizontal="center"/>
      <protection locked="0"/>
    </xf>
    <xf numFmtId="0" fontId="86" fillId="24" borderId="0" xfId="0" applyFont="1" applyFill="1" applyAlignment="1">
      <alignment horizontal="center"/>
    </xf>
    <xf numFmtId="38" fontId="1" fillId="31" borderId="21" xfId="0" applyNumberFormat="1" applyFont="1" applyFill="1" applyBorder="1" applyAlignment="1" applyProtection="1">
      <alignment horizontal="center"/>
      <protection locked="0"/>
    </xf>
    <xf numFmtId="38" fontId="1" fillId="31" borderId="22" xfId="0" applyNumberFormat="1" applyFont="1" applyFill="1" applyBorder="1" applyAlignment="1" applyProtection="1">
      <alignment horizontal="center"/>
      <protection locked="0"/>
    </xf>
    <xf numFmtId="0" fontId="92" fillId="25" borderId="21" xfId="0" applyFont="1" applyFill="1" applyBorder="1" applyAlignment="1">
      <alignment horizontal="center" vertical="center" wrapText="1"/>
    </xf>
    <xf numFmtId="0" fontId="92" fillId="25" borderId="30" xfId="0" applyFont="1" applyFill="1" applyBorder="1" applyAlignment="1">
      <alignment horizontal="center" vertical="center" wrapText="1"/>
    </xf>
    <xf numFmtId="0" fontId="92" fillId="25" borderId="22" xfId="0" applyFont="1" applyFill="1" applyBorder="1" applyAlignment="1">
      <alignment horizontal="center" vertical="center" wrapText="1"/>
    </xf>
    <xf numFmtId="0" fontId="93" fillId="25" borderId="5" xfId="0" applyFont="1" applyFill="1" applyBorder="1" applyAlignment="1">
      <alignment horizontal="center" vertical="center" wrapText="1"/>
    </xf>
    <xf numFmtId="0" fontId="86" fillId="5" borderId="3" xfId="0" applyFont="1" applyFill="1" applyBorder="1" applyAlignment="1">
      <alignment wrapText="1"/>
    </xf>
    <xf numFmtId="172" fontId="93" fillId="25" borderId="21" xfId="0" applyNumberFormat="1" applyFont="1" applyFill="1" applyBorder="1" applyAlignment="1">
      <alignment horizontal="center"/>
    </xf>
    <xf numFmtId="0" fontId="86" fillId="25" borderId="30" xfId="0" applyFont="1" applyFill="1" applyBorder="1"/>
    <xf numFmtId="0" fontId="86" fillId="25" borderId="22" xfId="0" applyFont="1" applyFill="1" applyBorder="1"/>
    <xf numFmtId="0" fontId="93" fillId="25" borderId="0" xfId="0" applyFont="1" applyFill="1" applyAlignment="1">
      <alignment horizontal="center"/>
    </xf>
    <xf numFmtId="0" fontId="95" fillId="5" borderId="0" xfId="0" applyFont="1" applyFill="1" applyAlignment="1">
      <alignment horizontal="center"/>
    </xf>
    <xf numFmtId="0" fontId="93" fillId="25" borderId="21" xfId="0" applyFont="1" applyFill="1" applyBorder="1" applyAlignment="1">
      <alignment horizontal="center"/>
    </xf>
    <xf numFmtId="0" fontId="93" fillId="25" borderId="30" xfId="0" applyFont="1" applyFill="1" applyBorder="1" applyAlignment="1">
      <alignment horizontal="center"/>
    </xf>
    <xf numFmtId="0" fontId="94" fillId="25" borderId="1" xfId="0" applyFont="1" applyFill="1" applyBorder="1" applyAlignment="1">
      <alignment horizontal="center" vertical="center"/>
    </xf>
    <xf numFmtId="0" fontId="62" fillId="40" borderId="0" xfId="0" applyFont="1" applyFill="1" applyAlignment="1">
      <alignment horizontal="right" vertical="top" wrapText="1"/>
    </xf>
    <xf numFmtId="0" fontId="1" fillId="40" borderId="0" xfId="0" applyFont="1" applyFill="1" applyAlignment="1">
      <alignment horizontal="right"/>
    </xf>
    <xf numFmtId="0" fontId="1" fillId="40" borderId="4" xfId="0" applyFont="1" applyFill="1" applyBorder="1" applyAlignment="1">
      <alignment horizontal="right"/>
    </xf>
    <xf numFmtId="0" fontId="68" fillId="40" borderId="0" xfId="0" applyFont="1" applyFill="1" applyAlignment="1">
      <alignment horizontal="right" vertical="center"/>
    </xf>
    <xf numFmtId="0" fontId="68" fillId="40" borderId="4" xfId="0" applyFont="1" applyFill="1" applyBorder="1" applyAlignment="1">
      <alignment horizontal="right" vertical="center"/>
    </xf>
    <xf numFmtId="0" fontId="68" fillId="55" borderId="0" xfId="0" applyFont="1" applyFill="1" applyAlignment="1">
      <alignment horizontal="left" wrapText="1"/>
    </xf>
    <xf numFmtId="1" fontId="71" fillId="55" borderId="6" xfId="0" applyNumberFormat="1" applyFont="1" applyFill="1" applyBorder="1" applyAlignment="1">
      <alignment horizontal="left" vertical="center" wrapText="1"/>
    </xf>
    <xf numFmtId="1" fontId="68" fillId="55" borderId="2" xfId="0" applyNumberFormat="1" applyFont="1" applyFill="1" applyBorder="1" applyAlignment="1">
      <alignment horizontal="left" vertical="center" wrapText="1"/>
    </xf>
    <xf numFmtId="1" fontId="68" fillId="55" borderId="8" xfId="0" applyNumberFormat="1" applyFont="1" applyFill="1" applyBorder="1" applyAlignment="1">
      <alignment horizontal="left" vertical="center" wrapText="1"/>
    </xf>
    <xf numFmtId="1" fontId="68" fillId="55" borderId="0" xfId="0" applyNumberFormat="1" applyFont="1" applyFill="1" applyAlignment="1">
      <alignment horizontal="left" vertical="center" wrapText="1"/>
    </xf>
    <xf numFmtId="0" fontId="90" fillId="25" borderId="1" xfId="0" applyFont="1" applyFill="1" applyBorder="1" applyAlignment="1">
      <alignment horizontal="center" vertical="center"/>
    </xf>
    <xf numFmtId="0" fontId="29" fillId="55" borderId="0" xfId="0" applyFont="1" applyFill="1" applyAlignment="1">
      <alignment horizontal="center"/>
    </xf>
    <xf numFmtId="0" fontId="100" fillId="5" borderId="21" xfId="0" applyFont="1" applyFill="1" applyBorder="1" applyAlignment="1">
      <alignment horizontal="center" vertical="center"/>
    </xf>
    <xf numFmtId="0" fontId="100" fillId="5" borderId="22" xfId="0" applyFont="1" applyFill="1" applyBorder="1" applyAlignment="1">
      <alignment horizontal="center" vertical="center"/>
    </xf>
    <xf numFmtId="0" fontId="36" fillId="40" borderId="6" xfId="0" applyFont="1" applyFill="1" applyBorder="1" applyAlignment="1">
      <alignment horizontal="right" vertical="center"/>
    </xf>
    <xf numFmtId="0" fontId="36" fillId="40" borderId="7" xfId="0" applyFont="1" applyFill="1" applyBorder="1" applyAlignment="1">
      <alignment horizontal="right" vertical="center"/>
    </xf>
    <xf numFmtId="0" fontId="43" fillId="3" borderId="0" xfId="0" applyFont="1" applyFill="1" applyAlignment="1">
      <alignment horizontal="center" wrapText="1"/>
    </xf>
    <xf numFmtId="0" fontId="32" fillId="9" borderId="21" xfId="0" applyFont="1" applyFill="1" applyBorder="1" applyAlignment="1">
      <alignment horizontal="center" vertical="top"/>
    </xf>
    <xf numFmtId="0" fontId="32" fillId="9" borderId="30" xfId="0" applyFont="1" applyFill="1" applyBorder="1" applyAlignment="1">
      <alignment horizontal="center" vertical="top"/>
    </xf>
    <xf numFmtId="0" fontId="32" fillId="9" borderId="22" xfId="0" applyFont="1" applyFill="1" applyBorder="1" applyAlignment="1">
      <alignment horizontal="center" vertical="top"/>
    </xf>
    <xf numFmtId="0" fontId="32" fillId="0" borderId="6"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7" xfId="0" applyFont="1" applyBorder="1" applyAlignment="1" applyProtection="1">
      <alignment horizontal="center" vertical="top" wrapText="1"/>
      <protection locked="0"/>
    </xf>
    <xf numFmtId="0" fontId="32" fillId="0" borderId="8"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4" xfId="0" applyFont="1" applyBorder="1" applyAlignment="1" applyProtection="1">
      <alignment horizontal="center" vertical="top" wrapText="1"/>
      <protection locked="0"/>
    </xf>
    <xf numFmtId="0" fontId="32" fillId="0" borderId="9" xfId="0" applyFont="1" applyBorder="1" applyAlignment="1" applyProtection="1">
      <alignment horizontal="center" vertical="top" wrapText="1"/>
      <protection locked="0"/>
    </xf>
    <xf numFmtId="0" fontId="32" fillId="0" borderId="18" xfId="0" applyFont="1" applyBorder="1" applyAlignment="1" applyProtection="1">
      <alignment horizontal="center" vertical="top" wrapText="1"/>
      <protection locked="0"/>
    </xf>
    <xf numFmtId="0" fontId="32" fillId="0" borderId="10" xfId="0" applyFont="1" applyBorder="1" applyAlignment="1" applyProtection="1">
      <alignment horizontal="center" vertical="top" wrapText="1"/>
      <protection locked="0"/>
    </xf>
    <xf numFmtId="0" fontId="119" fillId="40" borderId="64" xfId="0" applyFont="1" applyFill="1" applyBorder="1" applyAlignment="1">
      <alignment horizontal="center" vertical="center" wrapText="1"/>
    </xf>
    <xf numFmtId="0" fontId="119" fillId="40" borderId="63" xfId="0" applyFont="1" applyFill="1" applyBorder="1" applyAlignment="1">
      <alignment horizontal="center" vertical="center" wrapText="1"/>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119" fillId="40" borderId="62" xfId="0" applyFont="1" applyFill="1" applyBorder="1" applyAlignment="1">
      <alignment horizontal="center" vertical="center" wrapText="1"/>
    </xf>
    <xf numFmtId="0" fontId="118" fillId="40" borderId="65" xfId="0" applyFont="1" applyFill="1" applyBorder="1" applyAlignment="1">
      <alignment horizontal="center" vertical="center" textRotation="45" wrapText="1"/>
    </xf>
    <xf numFmtId="0" fontId="118" fillId="40" borderId="66" xfId="0" applyFont="1" applyFill="1" applyBorder="1" applyAlignment="1">
      <alignment horizontal="center" vertical="center" textRotation="45" wrapText="1"/>
    </xf>
    <xf numFmtId="0" fontId="118" fillId="40" borderId="67" xfId="0" applyFont="1" applyFill="1" applyBorder="1" applyAlignment="1">
      <alignment horizontal="center" vertical="center" textRotation="45" wrapText="1"/>
    </xf>
    <xf numFmtId="0" fontId="119" fillId="40" borderId="5" xfId="0" applyFont="1" applyFill="1" applyBorder="1" applyAlignment="1">
      <alignment horizontal="center" vertical="center" wrapText="1"/>
    </xf>
    <xf numFmtId="0" fontId="119" fillId="40" borderId="28" xfId="0" applyFont="1" applyFill="1" applyBorder="1" applyAlignment="1">
      <alignment horizontal="center" vertical="center" wrapText="1"/>
    </xf>
    <xf numFmtId="0" fontId="119" fillId="40" borderId="3" xfId="0" applyFont="1" applyFill="1" applyBorder="1" applyAlignment="1">
      <alignment horizontal="center" vertical="center" wrapText="1"/>
    </xf>
    <xf numFmtId="0" fontId="119" fillId="40" borderId="59" xfId="0" applyFont="1" applyFill="1" applyBorder="1" applyAlignment="1">
      <alignment horizontal="center" vertical="center"/>
    </xf>
    <xf numFmtId="0" fontId="36" fillId="40" borderId="21" xfId="0" applyFont="1" applyFill="1" applyBorder="1" applyAlignment="1">
      <alignment horizontal="right" vertical="center"/>
    </xf>
    <xf numFmtId="0" fontId="36" fillId="40" borderId="22" xfId="0" applyFont="1" applyFill="1" applyBorder="1" applyAlignment="1">
      <alignment horizontal="right" vertical="center"/>
    </xf>
    <xf numFmtId="0" fontId="118" fillId="40" borderId="58" xfId="0" applyFont="1" applyFill="1" applyBorder="1" applyAlignment="1">
      <alignment horizontal="center" vertical="center" textRotation="45" wrapText="1"/>
    </xf>
    <xf numFmtId="0" fontId="118" fillId="40" borderId="60" xfId="0" applyFont="1" applyFill="1" applyBorder="1" applyAlignment="1">
      <alignment horizontal="center" vertical="center" textRotation="45" wrapText="1"/>
    </xf>
    <xf numFmtId="0" fontId="118" fillId="40" borderId="61" xfId="0" applyFont="1" applyFill="1" applyBorder="1" applyAlignment="1">
      <alignment horizontal="center" vertical="center" textRotation="45" wrapText="1"/>
    </xf>
    <xf numFmtId="0" fontId="119" fillId="40" borderId="62" xfId="0" applyFont="1" applyFill="1" applyBorder="1" applyAlignment="1">
      <alignment horizontal="center" vertical="center"/>
    </xf>
    <xf numFmtId="0" fontId="119" fillId="40" borderId="64" xfId="0" applyFont="1" applyFill="1" applyBorder="1" applyAlignment="1">
      <alignment horizontal="center" vertical="center"/>
    </xf>
    <xf numFmtId="0" fontId="119" fillId="40" borderId="63" xfId="0" applyFont="1" applyFill="1" applyBorder="1" applyAlignment="1">
      <alignment horizontal="center" vertical="center"/>
    </xf>
    <xf numFmtId="0" fontId="119" fillId="40" borderId="59" xfId="0" applyFont="1" applyFill="1" applyBorder="1" applyAlignment="1">
      <alignment horizontal="center" vertical="center" wrapText="1"/>
    </xf>
    <xf numFmtId="0" fontId="118" fillId="40" borderId="58" xfId="0" applyFont="1" applyFill="1" applyBorder="1" applyAlignment="1">
      <alignment horizontal="center" vertical="center" textRotation="45"/>
    </xf>
    <xf numFmtId="0" fontId="118" fillId="40" borderId="60" xfId="0" applyFont="1" applyFill="1" applyBorder="1" applyAlignment="1">
      <alignment horizontal="center" vertical="center" textRotation="45"/>
    </xf>
    <xf numFmtId="0" fontId="118" fillId="40" borderId="61" xfId="0" applyFont="1" applyFill="1" applyBorder="1" applyAlignment="1">
      <alignment horizontal="center" vertical="center" textRotation="45"/>
    </xf>
    <xf numFmtId="0" fontId="32" fillId="36" borderId="21" xfId="0" applyFont="1" applyFill="1" applyBorder="1" applyAlignment="1">
      <alignment horizontal="left"/>
    </xf>
    <xf numFmtId="0" fontId="42" fillId="11" borderId="21" xfId="0" applyFont="1" applyFill="1" applyBorder="1" applyAlignment="1">
      <alignment horizontal="left" vertical="center"/>
    </xf>
    <xf numFmtId="0" fontId="42" fillId="11" borderId="9" xfId="0" applyFont="1" applyFill="1" applyBorder="1" applyAlignment="1">
      <alignment horizontal="left" vertical="center"/>
    </xf>
    <xf numFmtId="0" fontId="0" fillId="24" borderId="1" xfId="0" applyFill="1" applyBorder="1" applyAlignment="1" applyProtection="1">
      <alignment horizontal="left" vertical="top" wrapText="1"/>
      <protection locked="0"/>
    </xf>
    <xf numFmtId="0" fontId="32" fillId="36" borderId="6" xfId="0" applyFont="1" applyFill="1" applyBorder="1" applyAlignment="1">
      <alignment horizontal="left"/>
    </xf>
    <xf numFmtId="0" fontId="32" fillId="36" borderId="9" xfId="0" applyFont="1" applyFill="1" applyBorder="1" applyAlignment="1">
      <alignment horizontal="left"/>
    </xf>
    <xf numFmtId="0" fontId="43" fillId="36" borderId="21" xfId="0" applyFont="1" applyFill="1" applyBorder="1" applyAlignment="1">
      <alignment horizontal="left" vertical="center"/>
    </xf>
    <xf numFmtId="0" fontId="23" fillId="11" borderId="21" xfId="0" applyFont="1" applyFill="1" applyBorder="1" applyAlignment="1">
      <alignment horizontal="right" vertical="center"/>
    </xf>
    <xf numFmtId="0" fontId="23" fillId="13" borderId="1" xfId="0" applyFont="1" applyFill="1" applyBorder="1" applyAlignment="1">
      <alignment horizontal="left" vertical="center"/>
    </xf>
    <xf numFmtId="0" fontId="23" fillId="13" borderId="21" xfId="0" applyFont="1" applyFill="1" applyBorder="1" applyAlignment="1">
      <alignment horizontal="left" vertical="center"/>
    </xf>
    <xf numFmtId="0" fontId="44" fillId="12" borderId="1" xfId="0" applyFont="1" applyFill="1" applyBorder="1" applyAlignment="1">
      <alignment horizontal="left" vertical="center"/>
    </xf>
    <xf numFmtId="0" fontId="44" fillId="12" borderId="21" xfId="0" applyFont="1" applyFill="1" applyBorder="1" applyAlignment="1">
      <alignment horizontal="left" vertical="center"/>
    </xf>
    <xf numFmtId="0" fontId="43" fillId="36" borderId="1" xfId="0" applyFont="1" applyFill="1" applyBorder="1" applyAlignment="1">
      <alignment horizontal="left" vertical="center"/>
    </xf>
    <xf numFmtId="0" fontId="50" fillId="13" borderId="1" xfId="0" applyFont="1" applyFill="1" applyBorder="1" applyAlignment="1">
      <alignment horizontal="left" vertical="center"/>
    </xf>
    <xf numFmtId="0" fontId="50" fillId="13" borderId="21" xfId="0" applyFont="1" applyFill="1" applyBorder="1" applyAlignment="1">
      <alignment horizontal="left" vertical="center"/>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20" fillId="2" borderId="1" xfId="0" applyFont="1" applyFill="1" applyBorder="1"/>
    <xf numFmtId="0" fontId="20" fillId="2" borderId="5" xfId="0" applyFont="1" applyFill="1" applyBorder="1"/>
    <xf numFmtId="0" fontId="46" fillId="36" borderId="21" xfId="0" applyFont="1" applyFill="1" applyBorder="1" applyAlignment="1">
      <alignment horizontal="left" vertical="center"/>
    </xf>
    <xf numFmtId="10" fontId="46" fillId="9" borderId="21" xfId="2" applyNumberFormat="1" applyFont="1" applyFill="1" applyBorder="1" applyAlignment="1">
      <alignment horizontal="center" vertical="center"/>
    </xf>
    <xf numFmtId="44" fontId="46" fillId="9" borderId="21" xfId="2" applyNumberFormat="1" applyFont="1" applyFill="1" applyBorder="1" applyAlignment="1">
      <alignment horizontal="center" vertical="center"/>
    </xf>
    <xf numFmtId="44" fontId="46" fillId="9" borderId="22" xfId="2" applyNumberFormat="1" applyFont="1" applyFill="1" applyBorder="1" applyAlignment="1">
      <alignment horizontal="center" vertical="center"/>
    </xf>
    <xf numFmtId="0" fontId="48" fillId="36" borderId="1" xfId="0" applyFont="1" applyFill="1" applyBorder="1" applyAlignment="1">
      <alignment horizontal="left"/>
    </xf>
    <xf numFmtId="0" fontId="48" fillId="36" borderId="21" xfId="0" applyFont="1" applyFill="1" applyBorder="1" applyAlignment="1">
      <alignment horizontal="left"/>
    </xf>
    <xf numFmtId="0" fontId="52" fillId="36" borderId="21" xfId="0" applyFont="1" applyFill="1" applyBorder="1" applyAlignment="1">
      <alignment horizontal="left" vertical="center"/>
    </xf>
    <xf numFmtId="0" fontId="23" fillId="11" borderId="1" xfId="0" applyFont="1" applyFill="1" applyBorder="1" applyAlignment="1">
      <alignment horizontal="right" vertical="center"/>
    </xf>
    <xf numFmtId="0" fontId="22" fillId="36" borderId="21" xfId="0" applyFont="1" applyFill="1" applyBorder="1" applyAlignment="1">
      <alignment horizontal="left"/>
    </xf>
    <xf numFmtId="0" fontId="46" fillId="36" borderId="1" xfId="0" applyFont="1" applyFill="1" applyBorder="1" applyAlignment="1">
      <alignment horizontal="left" vertical="center"/>
    </xf>
    <xf numFmtId="0" fontId="41" fillId="55" borderId="0" xfId="0" applyFont="1" applyFill="1" applyAlignment="1">
      <alignment horizontal="center" vertical="center" wrapText="1"/>
    </xf>
    <xf numFmtId="0" fontId="6" fillId="5" borderId="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85" fillId="5" borderId="1" xfId="0" applyFont="1" applyFill="1" applyBorder="1" applyAlignment="1">
      <alignment horizontal="center" vertical="center" wrapText="1"/>
    </xf>
    <xf numFmtId="0" fontId="104" fillId="36" borderId="21" xfId="0" applyFont="1" applyFill="1" applyBorder="1" applyAlignment="1">
      <alignment horizontal="left" vertical="center"/>
    </xf>
    <xf numFmtId="0" fontId="50" fillId="13" borderId="30" xfId="0" applyFont="1" applyFill="1" applyBorder="1" applyAlignment="1">
      <alignment horizontal="left" vertical="center"/>
    </xf>
    <xf numFmtId="0" fontId="164" fillId="40" borderId="0" xfId="0" applyFont="1" applyFill="1" applyAlignment="1">
      <alignment horizontal="left"/>
    </xf>
    <xf numFmtId="0" fontId="46" fillId="36" borderId="30" xfId="0" applyFont="1" applyFill="1" applyBorder="1" applyAlignment="1">
      <alignment horizontal="left" vertical="center"/>
    </xf>
    <xf numFmtId="0" fontId="18" fillId="2" borderId="0" xfId="0" applyFont="1" applyFill="1" applyAlignment="1">
      <alignment horizontal="left"/>
    </xf>
    <xf numFmtId="0" fontId="46" fillId="36" borderId="21" xfId="0" applyFont="1" applyFill="1" applyBorder="1" applyAlignment="1">
      <alignment horizontal="left" vertical="center" indent="1"/>
    </xf>
    <xf numFmtId="0" fontId="44" fillId="12" borderId="1" xfId="8" applyFont="1" applyFill="1" applyBorder="1" applyAlignment="1">
      <alignment horizontal="left" vertical="center"/>
    </xf>
    <xf numFmtId="0" fontId="46" fillId="36" borderId="3" xfId="0" applyFont="1" applyFill="1" applyBorder="1" applyAlignment="1">
      <alignment horizontal="left" vertical="center"/>
    </xf>
    <xf numFmtId="0" fontId="104" fillId="36" borderId="1" xfId="0" applyFont="1" applyFill="1" applyBorder="1" applyAlignment="1">
      <alignment horizontal="left"/>
    </xf>
    <xf numFmtId="0" fontId="0" fillId="40" borderId="18" xfId="0" applyFill="1" applyBorder="1" applyAlignment="1">
      <alignment horizontal="left"/>
    </xf>
    <xf numFmtId="0" fontId="100" fillId="5" borderId="22" xfId="0" applyFont="1" applyFill="1" applyBorder="1" applyAlignment="1">
      <alignment horizontal="left"/>
    </xf>
    <xf numFmtId="0" fontId="6" fillId="5" borderId="30" xfId="0" applyFont="1" applyFill="1" applyBorder="1" applyAlignment="1">
      <alignment horizontal="center"/>
    </xf>
    <xf numFmtId="0" fontId="32" fillId="2" borderId="12"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protection locked="0"/>
    </xf>
    <xf numFmtId="0" fontId="32" fillId="2" borderId="13" xfId="0" applyFont="1" applyFill="1" applyBorder="1" applyAlignment="1" applyProtection="1">
      <alignment horizontal="left" vertical="top" wrapText="1"/>
      <protection locked="0"/>
    </xf>
    <xf numFmtId="0" fontId="32" fillId="2" borderId="14" xfId="0" applyFont="1" applyFill="1" applyBorder="1" applyAlignment="1" applyProtection="1">
      <alignment horizontal="left" vertical="top" wrapText="1"/>
      <protection locked="0"/>
    </xf>
    <xf numFmtId="0" fontId="32" fillId="2" borderId="0" xfId="0" applyFont="1" applyFill="1" applyAlignment="1" applyProtection="1">
      <alignment horizontal="left" vertical="top" wrapText="1"/>
      <protection locked="0"/>
    </xf>
    <xf numFmtId="0" fontId="32" fillId="2" borderId="15" xfId="0" applyFont="1" applyFill="1" applyBorder="1" applyAlignment="1" applyProtection="1">
      <alignment horizontal="left" vertical="top" wrapText="1"/>
      <protection locked="0"/>
    </xf>
    <xf numFmtId="0" fontId="32" fillId="2" borderId="16" xfId="0" applyFont="1" applyFill="1" applyBorder="1" applyAlignment="1" applyProtection="1">
      <alignment horizontal="left" vertical="top" wrapText="1"/>
      <protection locked="0"/>
    </xf>
    <xf numFmtId="0" fontId="32" fillId="2" borderId="20"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9"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1" fillId="2" borderId="14" xfId="0" applyFont="1" applyFill="1" applyBorder="1" applyAlignment="1" applyProtection="1">
      <alignment horizontal="left" vertical="top" wrapText="1"/>
      <protection locked="0"/>
    </xf>
    <xf numFmtId="0" fontId="1" fillId="2" borderId="0" xfId="0" applyFont="1" applyFill="1" applyAlignment="1" applyProtection="1">
      <alignment horizontal="left" vertical="top" wrapText="1"/>
      <protection locked="0"/>
    </xf>
    <xf numFmtId="0" fontId="1" fillId="2" borderId="15" xfId="0" applyFont="1" applyFill="1" applyBorder="1" applyAlignment="1" applyProtection="1">
      <alignment horizontal="left" vertical="top" wrapText="1"/>
      <protection locked="0"/>
    </xf>
    <xf numFmtId="0" fontId="1" fillId="2" borderId="16" xfId="0" applyFont="1" applyFill="1" applyBorder="1" applyAlignment="1" applyProtection="1">
      <alignment horizontal="left" vertical="top" wrapText="1"/>
      <protection locked="0"/>
    </xf>
    <xf numFmtId="0" fontId="1" fillId="2" borderId="20" xfId="0" applyFont="1" applyFill="1" applyBorder="1" applyAlignment="1" applyProtection="1">
      <alignment horizontal="left" vertical="top" wrapText="1"/>
      <protection locked="0"/>
    </xf>
    <xf numFmtId="0" fontId="1" fillId="2" borderId="17" xfId="0" applyFont="1" applyFill="1" applyBorder="1" applyAlignment="1" applyProtection="1">
      <alignment horizontal="left" vertical="top" wrapText="1"/>
      <protection locked="0"/>
    </xf>
    <xf numFmtId="0" fontId="0" fillId="40" borderId="0" xfId="0" quotePrefix="1" applyFill="1" applyAlignment="1">
      <alignment horizontal="left" wrapText="1"/>
    </xf>
    <xf numFmtId="0" fontId="0" fillId="40" borderId="0" xfId="0" applyFill="1" applyAlignment="1">
      <alignment horizontal="left" wrapText="1"/>
    </xf>
    <xf numFmtId="0" fontId="0" fillId="40" borderId="0" xfId="0" quotePrefix="1" applyFill="1" applyAlignment="1">
      <alignment horizontal="left"/>
    </xf>
    <xf numFmtId="0" fontId="0" fillId="40" borderId="0" xfId="0" applyFill="1" applyAlignment="1">
      <alignment horizontal="left"/>
    </xf>
    <xf numFmtId="0" fontId="14" fillId="40" borderId="18" xfId="0" applyFont="1" applyFill="1" applyBorder="1" applyAlignment="1">
      <alignment horizontal="left"/>
    </xf>
    <xf numFmtId="0" fontId="1" fillId="24" borderId="6" xfId="0" applyFont="1" applyFill="1" applyBorder="1" applyAlignment="1" applyProtection="1">
      <alignment horizontal="left" vertical="top" wrapText="1"/>
      <protection locked="0"/>
    </xf>
    <xf numFmtId="0" fontId="1" fillId="24" borderId="2" xfId="0" applyFont="1" applyFill="1" applyBorder="1" applyAlignment="1" applyProtection="1">
      <alignment horizontal="left" vertical="top" wrapText="1"/>
      <protection locked="0"/>
    </xf>
    <xf numFmtId="0" fontId="1" fillId="24" borderId="7" xfId="0" applyFont="1" applyFill="1" applyBorder="1" applyAlignment="1" applyProtection="1">
      <alignment horizontal="left" vertical="top" wrapText="1"/>
      <protection locked="0"/>
    </xf>
    <xf numFmtId="0" fontId="1" fillId="24" borderId="8" xfId="0" applyFont="1" applyFill="1" applyBorder="1" applyAlignment="1" applyProtection="1">
      <alignment horizontal="left" vertical="top" wrapText="1"/>
      <protection locked="0"/>
    </xf>
    <xf numFmtId="0" fontId="1" fillId="24" borderId="0" xfId="0" applyFont="1" applyFill="1" applyAlignment="1" applyProtection="1">
      <alignment horizontal="left" vertical="top" wrapText="1"/>
      <protection locked="0"/>
    </xf>
    <xf numFmtId="0" fontId="1" fillId="24" borderId="4" xfId="0" applyFont="1" applyFill="1" applyBorder="1" applyAlignment="1" applyProtection="1">
      <alignment horizontal="left" vertical="top" wrapText="1"/>
      <protection locked="0"/>
    </xf>
    <xf numFmtId="0" fontId="1" fillId="24" borderId="9" xfId="0" applyFont="1" applyFill="1" applyBorder="1" applyAlignment="1" applyProtection="1">
      <alignment horizontal="left" vertical="top" wrapText="1"/>
      <protection locked="0"/>
    </xf>
    <xf numFmtId="0" fontId="1" fillId="24" borderId="18" xfId="0" applyFont="1" applyFill="1" applyBorder="1" applyAlignment="1" applyProtection="1">
      <alignment horizontal="left" vertical="top" wrapText="1"/>
      <protection locked="0"/>
    </xf>
    <xf numFmtId="0" fontId="1" fillId="24" borderId="10" xfId="0" applyFont="1" applyFill="1" applyBorder="1" applyAlignment="1" applyProtection="1">
      <alignment horizontal="left" vertical="top" wrapText="1"/>
      <protection locked="0"/>
    </xf>
    <xf numFmtId="0" fontId="33" fillId="4" borderId="0" xfId="0" applyFont="1" applyFill="1" applyAlignment="1">
      <alignment horizontal="center"/>
    </xf>
    <xf numFmtId="0" fontId="1" fillId="4" borderId="0" xfId="0" applyFont="1" applyFill="1" applyAlignment="1">
      <alignment horizontal="center" wrapText="1"/>
    </xf>
    <xf numFmtId="0" fontId="1" fillId="4" borderId="0" xfId="0" applyFont="1" applyFill="1" applyAlignment="1">
      <alignment horizontal="center"/>
    </xf>
    <xf numFmtId="0" fontId="1" fillId="24" borderId="11" xfId="0" applyFont="1" applyFill="1" applyBorder="1" applyAlignment="1" applyProtection="1">
      <alignment horizontal="left" vertical="top" wrapText="1"/>
      <protection locked="0"/>
    </xf>
    <xf numFmtId="0" fontId="90" fillId="25" borderId="12" xfId="0" applyFont="1" applyFill="1" applyBorder="1" applyAlignment="1">
      <alignment horizontal="left"/>
    </xf>
    <xf numFmtId="0" fontId="90" fillId="25" borderId="13" xfId="0" applyFont="1" applyFill="1" applyBorder="1" applyAlignment="1">
      <alignment horizontal="left"/>
    </xf>
    <xf numFmtId="0" fontId="90" fillId="25" borderId="24" xfId="0" applyFont="1" applyFill="1" applyBorder="1" applyAlignment="1">
      <alignment horizontal="left"/>
    </xf>
    <xf numFmtId="0" fontId="90" fillId="25" borderId="27" xfId="0" applyFont="1" applyFill="1" applyBorder="1" applyAlignment="1">
      <alignment horizontal="left"/>
    </xf>
    <xf numFmtId="0" fontId="5" fillId="2" borderId="0" xfId="0" applyFont="1" applyFill="1" applyAlignment="1">
      <alignment horizontal="center"/>
    </xf>
    <xf numFmtId="0" fontId="2" fillId="0" borderId="12"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 fillId="0" borderId="17" xfId="0" applyFont="1" applyBorder="1" applyAlignment="1" applyProtection="1">
      <alignment horizontal="left" vertical="top" wrapText="1"/>
      <protection locked="0"/>
    </xf>
    <xf numFmtId="0" fontId="2" fillId="24" borderId="6" xfId="0" applyFont="1" applyFill="1" applyBorder="1" applyAlignment="1" applyProtection="1">
      <alignment horizontal="left" vertical="top" wrapText="1"/>
      <protection locked="0"/>
    </xf>
    <xf numFmtId="0" fontId="2" fillId="24" borderId="2" xfId="0" applyFont="1" applyFill="1" applyBorder="1" applyAlignment="1" applyProtection="1">
      <alignment horizontal="left" vertical="top" wrapText="1"/>
      <protection locked="0"/>
    </xf>
    <xf numFmtId="0" fontId="2" fillId="24" borderId="7" xfId="0" applyFont="1" applyFill="1" applyBorder="1" applyAlignment="1" applyProtection="1">
      <alignment horizontal="left" vertical="top" wrapText="1"/>
      <protection locked="0"/>
    </xf>
    <xf numFmtId="0" fontId="2" fillId="24" borderId="8" xfId="0" applyFont="1" applyFill="1" applyBorder="1" applyAlignment="1" applyProtection="1">
      <alignment horizontal="left" vertical="top" wrapText="1"/>
      <protection locked="0"/>
    </xf>
    <xf numFmtId="0" fontId="2" fillId="24" borderId="0" xfId="0" applyFont="1" applyFill="1" applyAlignment="1" applyProtection="1">
      <alignment horizontal="left" vertical="top" wrapText="1"/>
      <protection locked="0"/>
    </xf>
    <xf numFmtId="0" fontId="2" fillId="24" borderId="4" xfId="0" applyFont="1" applyFill="1" applyBorder="1" applyAlignment="1" applyProtection="1">
      <alignment horizontal="left" vertical="top" wrapText="1"/>
      <protection locked="0"/>
    </xf>
    <xf numFmtId="0" fontId="2" fillId="24" borderId="9" xfId="0" applyFont="1" applyFill="1" applyBorder="1" applyAlignment="1" applyProtection="1">
      <alignment horizontal="left" vertical="top" wrapText="1"/>
      <protection locked="0"/>
    </xf>
    <xf numFmtId="0" fontId="2" fillId="24" borderId="18" xfId="0" applyFont="1" applyFill="1" applyBorder="1" applyAlignment="1" applyProtection="1">
      <alignment horizontal="left" vertical="top" wrapText="1"/>
      <protection locked="0"/>
    </xf>
    <xf numFmtId="0" fontId="2" fillId="24" borderId="10" xfId="0" applyFont="1" applyFill="1" applyBorder="1" applyAlignment="1" applyProtection="1">
      <alignment horizontal="left" vertical="top" wrapText="1"/>
      <protection locked="0"/>
    </xf>
    <xf numFmtId="0" fontId="2" fillId="24" borderId="1" xfId="0" applyFont="1" applyFill="1" applyBorder="1" applyAlignment="1" applyProtection="1">
      <alignment horizontal="left" vertical="top" wrapText="1"/>
      <protection locked="0"/>
    </xf>
    <xf numFmtId="0" fontId="100" fillId="25" borderId="21" xfId="0" applyFont="1" applyFill="1" applyBorder="1" applyAlignment="1">
      <alignment horizontal="left"/>
    </xf>
    <xf numFmtId="0" fontId="100" fillId="25" borderId="30" xfId="0" applyFont="1" applyFill="1" applyBorder="1" applyAlignment="1">
      <alignment horizontal="left"/>
    </xf>
    <xf numFmtId="0" fontId="100" fillId="25" borderId="22" xfId="0" applyFont="1" applyFill="1" applyBorder="1" applyAlignment="1">
      <alignment horizontal="left"/>
    </xf>
    <xf numFmtId="0" fontId="213" fillId="25" borderId="22" xfId="5" applyFont="1" applyFill="1" applyBorder="1" applyAlignment="1">
      <alignment horizontal="left" vertical="center" wrapText="1"/>
    </xf>
    <xf numFmtId="0" fontId="96" fillId="25" borderId="1" xfId="5" applyFont="1" applyFill="1" applyBorder="1" applyAlignment="1">
      <alignment horizontal="left" vertical="center" wrapText="1"/>
    </xf>
    <xf numFmtId="0" fontId="0" fillId="24" borderId="18" xfId="0" applyFill="1" applyBorder="1" applyAlignment="1">
      <alignment vertical="top" wrapText="1"/>
    </xf>
    <xf numFmtId="0" fontId="0" fillId="24" borderId="10" xfId="0" applyFill="1" applyBorder="1" applyAlignment="1">
      <alignment vertical="top" wrapText="1"/>
    </xf>
    <xf numFmtId="0" fontId="0" fillId="24" borderId="0" xfId="0" applyFill="1" applyAlignment="1">
      <alignment vertical="top" wrapText="1"/>
    </xf>
    <xf numFmtId="0" fontId="0" fillId="24" borderId="4" xfId="0" applyFill="1" applyBorder="1" applyAlignment="1">
      <alignment vertical="top" wrapText="1"/>
    </xf>
    <xf numFmtId="6" fontId="0" fillId="2" borderId="30" xfId="0" applyNumberFormat="1" applyFill="1" applyBorder="1" applyAlignment="1">
      <alignment horizontal="center"/>
    </xf>
    <xf numFmtId="6" fontId="0" fillId="2" borderId="22" xfId="0" applyNumberFormat="1" applyFill="1" applyBorder="1" applyAlignment="1">
      <alignment horizontal="center"/>
    </xf>
    <xf numFmtId="0" fontId="32" fillId="2" borderId="21" xfId="0" applyFont="1" applyFill="1" applyBorder="1" applyAlignment="1">
      <alignment horizontal="left" vertical="top" wrapText="1"/>
    </xf>
    <xf numFmtId="0" fontId="32" fillId="2" borderId="30" xfId="0" applyFont="1" applyFill="1" applyBorder="1" applyAlignment="1">
      <alignment horizontal="left" vertical="top" wrapText="1"/>
    </xf>
    <xf numFmtId="5" fontId="4" fillId="46" borderId="18" xfId="4" applyNumberFormat="1" applyFont="1" applyFill="1" applyBorder="1" applyAlignment="1" applyProtection="1">
      <alignment horizontal="center"/>
    </xf>
    <xf numFmtId="5" fontId="4" fillId="46" borderId="10" xfId="4" applyNumberFormat="1" applyFont="1" applyFill="1" applyBorder="1" applyAlignment="1" applyProtection="1">
      <alignment horizontal="center"/>
    </xf>
    <xf numFmtId="6" fontId="4" fillId="0" borderId="2" xfId="4" applyNumberFormat="1" applyFont="1" applyFill="1" applyBorder="1" applyAlignment="1" applyProtection="1">
      <alignment horizontal="center" vertical="center"/>
    </xf>
    <xf numFmtId="6" fontId="4" fillId="0" borderId="7" xfId="4" applyNumberFormat="1" applyFont="1" applyFill="1" applyBorder="1" applyAlignment="1" applyProtection="1">
      <alignment horizontal="center" vertical="center"/>
    </xf>
    <xf numFmtId="6" fontId="0" fillId="0" borderId="30" xfId="0" applyNumberFormat="1" applyBorder="1" applyAlignment="1">
      <alignment horizontal="center"/>
    </xf>
    <xf numFmtId="6" fontId="0" fillId="0" borderId="22" xfId="0" applyNumberFormat="1" applyBorder="1" applyAlignment="1">
      <alignment horizontal="center"/>
    </xf>
    <xf numFmtId="0" fontId="0" fillId="2" borderId="21" xfId="0" applyFill="1" applyBorder="1" applyAlignment="1">
      <alignment horizontal="left" vertical="top" wrapText="1"/>
    </xf>
    <xf numFmtId="0" fontId="0" fillId="2" borderId="30" xfId="0" applyFill="1" applyBorder="1" applyAlignment="1">
      <alignment horizontal="left" vertical="top" wrapText="1"/>
    </xf>
    <xf numFmtId="0" fontId="4" fillId="2" borderId="6" xfId="0" applyFont="1" applyFill="1" applyBorder="1" applyAlignment="1">
      <alignment horizontal="left" vertical="center"/>
    </xf>
    <xf numFmtId="0" fontId="4" fillId="2" borderId="2" xfId="0" applyFont="1" applyFill="1" applyBorder="1" applyAlignment="1">
      <alignment horizontal="left" vertical="center"/>
    </xf>
    <xf numFmtId="0" fontId="4" fillId="46" borderId="9" xfId="0" applyFont="1" applyFill="1" applyBorder="1" applyAlignment="1">
      <alignment horizontal="left"/>
    </xf>
    <xf numFmtId="0" fontId="4" fillId="46" borderId="18" xfId="0" applyFont="1" applyFill="1" applyBorder="1" applyAlignment="1">
      <alignment horizontal="left"/>
    </xf>
    <xf numFmtId="38" fontId="0" fillId="2" borderId="18" xfId="0" applyNumberFormat="1" applyFill="1" applyBorder="1" applyAlignment="1">
      <alignment horizontal="center" vertical="center"/>
    </xf>
    <xf numFmtId="38" fontId="0" fillId="2" borderId="10" xfId="0" applyNumberFormat="1" applyFill="1" applyBorder="1" applyAlignment="1">
      <alignment horizontal="center" vertical="center"/>
    </xf>
    <xf numFmtId="6" fontId="0" fillId="2" borderId="2" xfId="0" applyNumberFormat="1" applyFill="1" applyBorder="1" applyAlignment="1">
      <alignment horizontal="center" vertical="center"/>
    </xf>
    <xf numFmtId="6" fontId="0" fillId="2" borderId="7" xfId="0" applyNumberFormat="1" applyFill="1" applyBorder="1" applyAlignment="1">
      <alignment horizontal="center" vertical="center"/>
    </xf>
    <xf numFmtId="6" fontId="0" fillId="46" borderId="0" xfId="0" applyNumberFormat="1" applyFill="1" applyAlignment="1">
      <alignment horizontal="center" vertical="center"/>
    </xf>
    <xf numFmtId="6" fontId="0" fillId="46" borderId="4" xfId="0" applyNumberFormat="1" applyFill="1" applyBorder="1" applyAlignment="1">
      <alignment horizontal="center" vertical="center"/>
    </xf>
    <xf numFmtId="6" fontId="4" fillId="2" borderId="18" xfId="0" applyNumberFormat="1" applyFont="1" applyFill="1" applyBorder="1" applyAlignment="1">
      <alignment horizontal="center"/>
    </xf>
    <xf numFmtId="6" fontId="4" fillId="2" borderId="10" xfId="0" applyNumberFormat="1" applyFont="1" applyFill="1" applyBorder="1" applyAlignment="1">
      <alignment horizontal="center"/>
    </xf>
    <xf numFmtId="0" fontId="0" fillId="46" borderId="8" xfId="0" applyFill="1" applyBorder="1" applyAlignment="1">
      <alignment horizontal="left" vertical="center"/>
    </xf>
    <xf numFmtId="0" fontId="0" fillId="46" borderId="0" xfId="0" applyFill="1" applyAlignment="1">
      <alignment horizontal="left" vertical="center"/>
    </xf>
    <xf numFmtId="0" fontId="4" fillId="2" borderId="9" xfId="0" applyFont="1" applyFill="1" applyBorder="1" applyAlignment="1">
      <alignment horizontal="left"/>
    </xf>
    <xf numFmtId="0" fontId="4" fillId="2" borderId="18" xfId="0" applyFont="1" applyFill="1" applyBorder="1" applyAlignment="1">
      <alignment horizontal="left"/>
    </xf>
    <xf numFmtId="0" fontId="0" fillId="46" borderId="9" xfId="0" applyFill="1" applyBorder="1" applyAlignment="1">
      <alignment horizontal="left" vertical="top"/>
    </xf>
    <xf numFmtId="0" fontId="0" fillId="46" borderId="18" xfId="0" applyFill="1" applyBorder="1" applyAlignment="1">
      <alignment horizontal="left" vertical="top"/>
    </xf>
    <xf numFmtId="1" fontId="0" fillId="46" borderId="18" xfId="0" applyNumberFormat="1" applyFill="1" applyBorder="1" applyAlignment="1">
      <alignment horizontal="center" vertical="top"/>
    </xf>
    <xf numFmtId="1" fontId="0" fillId="46" borderId="10" xfId="0" applyNumberFormat="1" applyFill="1" applyBorder="1" applyAlignment="1">
      <alignment horizontal="center" vertical="top"/>
    </xf>
    <xf numFmtId="6" fontId="0" fillId="2" borderId="30" xfId="0" applyNumberFormat="1" applyFill="1" applyBorder="1" applyAlignment="1">
      <alignment horizontal="center" vertical="top"/>
    </xf>
    <xf numFmtId="6" fontId="0" fillId="2" borderId="22" xfId="0" applyNumberFormat="1" applyFill="1" applyBorder="1" applyAlignment="1">
      <alignment horizontal="center" vertical="top"/>
    </xf>
    <xf numFmtId="0" fontId="0" fillId="46" borderId="8" xfId="0" applyFill="1" applyBorder="1" applyAlignment="1">
      <alignment horizontal="left" vertical="top" wrapText="1"/>
    </xf>
    <xf numFmtId="0" fontId="0" fillId="46" borderId="0" xfId="0" applyFill="1" applyAlignment="1">
      <alignment horizontal="left" vertical="top" wrapText="1"/>
    </xf>
    <xf numFmtId="0" fontId="0" fillId="2" borderId="8" xfId="0" applyFill="1" applyBorder="1" applyAlignment="1">
      <alignment horizontal="left" vertical="top" wrapText="1"/>
    </xf>
    <xf numFmtId="0" fontId="0" fillId="2" borderId="0" xfId="0" applyFill="1" applyAlignment="1">
      <alignment horizontal="left" vertical="top" wrapText="1"/>
    </xf>
    <xf numFmtId="0" fontId="0" fillId="2" borderId="6" xfId="0" applyFill="1" applyBorder="1" applyAlignment="1">
      <alignment horizontal="left" vertical="top" wrapText="1"/>
    </xf>
    <xf numFmtId="0" fontId="0" fillId="2" borderId="2" xfId="0" applyFill="1" applyBorder="1" applyAlignment="1">
      <alignment horizontal="left" vertical="top" wrapText="1"/>
    </xf>
    <xf numFmtId="0" fontId="0" fillId="46" borderId="9" xfId="0" applyFill="1" applyBorder="1" applyAlignment="1">
      <alignment horizontal="left" vertical="top" wrapText="1"/>
    </xf>
    <xf numFmtId="0" fontId="0" fillId="46" borderId="18" xfId="0" applyFill="1" applyBorder="1" applyAlignment="1">
      <alignment horizontal="left" vertical="top" wrapText="1"/>
    </xf>
    <xf numFmtId="0" fontId="0" fillId="2" borderId="2" xfId="0" applyFill="1" applyBorder="1" applyAlignment="1">
      <alignment horizontal="center" vertical="top"/>
    </xf>
    <xf numFmtId="0" fontId="0" fillId="2" borderId="7" xfId="0" applyFill="1" applyBorder="1" applyAlignment="1">
      <alignment horizontal="center" vertical="top"/>
    </xf>
    <xf numFmtId="0" fontId="0" fillId="46" borderId="0" xfId="0" applyFill="1" applyAlignment="1">
      <alignment horizontal="center" vertical="top"/>
    </xf>
    <xf numFmtId="0" fontId="0" fillId="46" borderId="4" xfId="0" applyFill="1" applyBorder="1" applyAlignment="1">
      <alignment horizontal="center" vertical="top"/>
    </xf>
    <xf numFmtId="0" fontId="0" fillId="2" borderId="0" xfId="0" applyFill="1" applyAlignment="1">
      <alignment horizontal="center"/>
    </xf>
    <xf numFmtId="0" fontId="0" fillId="2" borderId="4" xfId="0" applyFill="1" applyBorder="1" applyAlignment="1">
      <alignment horizontal="center"/>
    </xf>
    <xf numFmtId="0" fontId="0" fillId="46" borderId="18" xfId="0" applyFill="1" applyBorder="1" applyAlignment="1">
      <alignment horizontal="center" vertical="top"/>
    </xf>
    <xf numFmtId="0" fontId="0" fillId="46" borderId="10" xfId="0" applyFill="1" applyBorder="1" applyAlignment="1">
      <alignment horizontal="center" vertical="top"/>
    </xf>
    <xf numFmtId="0" fontId="0" fillId="2" borderId="9" xfId="0" applyFill="1" applyBorder="1" applyAlignment="1">
      <alignment horizontal="left" vertical="center"/>
    </xf>
    <xf numFmtId="0" fontId="0" fillId="2" borderId="18" xfId="0" applyFill="1" applyBorder="1" applyAlignment="1">
      <alignment horizontal="left" vertical="center"/>
    </xf>
    <xf numFmtId="0" fontId="0" fillId="2" borderId="2" xfId="0" applyFill="1" applyBorder="1" applyAlignment="1">
      <alignment horizontal="center" vertical="center"/>
    </xf>
    <xf numFmtId="0" fontId="0" fillId="2" borderId="7" xfId="0" applyFill="1" applyBorder="1" applyAlignment="1">
      <alignment horizontal="center" vertical="center"/>
    </xf>
    <xf numFmtId="0" fontId="0" fillId="46" borderId="0" xfId="0" applyFill="1" applyAlignment="1">
      <alignment horizontal="center" vertical="center"/>
    </xf>
    <xf numFmtId="0" fontId="0" fillId="46" borderId="4" xfId="0" applyFill="1" applyBorder="1" applyAlignment="1">
      <alignment horizontal="center" vertical="center"/>
    </xf>
    <xf numFmtId="1" fontId="0" fillId="2" borderId="2" xfId="0" applyNumberFormat="1" applyFill="1" applyBorder="1" applyAlignment="1">
      <alignment horizontal="center" vertical="top"/>
    </xf>
    <xf numFmtId="1" fontId="0" fillId="2" borderId="7" xfId="0" applyNumberFormat="1" applyFill="1" applyBorder="1" applyAlignment="1">
      <alignment horizontal="center" vertical="top"/>
    </xf>
    <xf numFmtId="1" fontId="0" fillId="46" borderId="0" xfId="0" applyNumberFormat="1" applyFill="1" applyAlignment="1">
      <alignment horizontal="center" vertical="top"/>
    </xf>
    <xf numFmtId="1" fontId="0" fillId="46" borderId="4" xfId="0" applyNumberFormat="1" applyFill="1" applyBorder="1" applyAlignment="1">
      <alignment horizontal="center" vertical="top"/>
    </xf>
    <xf numFmtId="1" fontId="0" fillId="2" borderId="0" xfId="0" applyNumberFormat="1" applyFill="1" applyAlignment="1">
      <alignment horizontal="center" vertical="top"/>
    </xf>
    <xf numFmtId="1" fontId="0" fillId="2" borderId="4" xfId="0" applyNumberFormat="1" applyFill="1" applyBorder="1" applyAlignment="1">
      <alignment horizontal="center" vertical="top"/>
    </xf>
    <xf numFmtId="0" fontId="0" fillId="2" borderId="6" xfId="0" applyFill="1" applyBorder="1" applyAlignment="1">
      <alignment horizontal="left" vertical="top"/>
    </xf>
    <xf numFmtId="0" fontId="0" fillId="2" borderId="2" xfId="0" applyFill="1" applyBorder="1" applyAlignment="1">
      <alignment horizontal="left" vertical="top"/>
    </xf>
    <xf numFmtId="0" fontId="0" fillId="46" borderId="8" xfId="0" applyFill="1" applyBorder="1" applyAlignment="1">
      <alignment horizontal="left" vertical="top"/>
    </xf>
    <xf numFmtId="0" fontId="0" fillId="46" borderId="0" xfId="0" applyFill="1" applyAlignment="1">
      <alignment horizontal="left" vertical="top"/>
    </xf>
    <xf numFmtId="0" fontId="0" fillId="2" borderId="8" xfId="0" applyFill="1" applyBorder="1" applyAlignment="1">
      <alignment horizontal="left" vertical="top"/>
    </xf>
    <xf numFmtId="0" fontId="0" fillId="2" borderId="0" xfId="0" applyFill="1" applyAlignment="1">
      <alignment horizontal="left" vertical="top"/>
    </xf>
    <xf numFmtId="0" fontId="0" fillId="2" borderId="21" xfId="0" applyFill="1" applyBorder="1" applyAlignment="1">
      <alignment vertical="top" wrapText="1"/>
    </xf>
    <xf numFmtId="0" fontId="0" fillId="2" borderId="30" xfId="0" applyFill="1" applyBorder="1" applyAlignment="1">
      <alignment vertical="top" wrapText="1"/>
    </xf>
    <xf numFmtId="0" fontId="0" fillId="46" borderId="21" xfId="0" applyFill="1" applyBorder="1" applyAlignment="1">
      <alignment vertical="top" wrapText="1"/>
    </xf>
    <xf numFmtId="0" fontId="0" fillId="46" borderId="30" xfId="0" applyFill="1" applyBorder="1" applyAlignment="1">
      <alignment vertical="top" wrapText="1"/>
    </xf>
    <xf numFmtId="0" fontId="0" fillId="31" borderId="1" xfId="0" applyFill="1" applyBorder="1" applyAlignment="1" applyProtection="1">
      <alignment horizontal="center" vertical="center"/>
      <protection locked="0"/>
    </xf>
    <xf numFmtId="0" fontId="0" fillId="2" borderId="6" xfId="0" applyFill="1" applyBorder="1" applyAlignment="1">
      <alignment vertical="top" wrapText="1"/>
    </xf>
    <xf numFmtId="0" fontId="0" fillId="2" borderId="2" xfId="0" applyFill="1" applyBorder="1" applyAlignment="1">
      <alignment vertical="top" wrapText="1"/>
    </xf>
    <xf numFmtId="0" fontId="0" fillId="2" borderId="4" xfId="0" applyFill="1" applyBorder="1" applyAlignment="1">
      <alignment horizontal="left" vertical="top" wrapText="1"/>
    </xf>
    <xf numFmtId="0" fontId="0" fillId="2" borderId="9" xfId="0" applyFill="1" applyBorder="1" applyAlignment="1">
      <alignment horizontal="left" vertical="top" wrapText="1"/>
    </xf>
    <xf numFmtId="0" fontId="0" fillId="2" borderId="18" xfId="0" applyFill="1" applyBorder="1" applyAlignment="1">
      <alignment horizontal="left" vertical="top" wrapText="1"/>
    </xf>
    <xf numFmtId="0" fontId="0" fillId="2" borderId="10" xfId="0" applyFill="1" applyBorder="1" applyAlignment="1">
      <alignment horizontal="left" vertical="top" wrapText="1"/>
    </xf>
    <xf numFmtId="6" fontId="0" fillId="31" borderId="1" xfId="0" applyNumberFormat="1" applyFill="1" applyBorder="1" applyAlignment="1" applyProtection="1">
      <alignment horizontal="center" vertical="center"/>
      <protection locked="0"/>
    </xf>
    <xf numFmtId="0" fontId="54" fillId="24" borderId="0" xfId="0" applyFont="1" applyFill="1" applyAlignment="1">
      <alignment horizontal="left"/>
    </xf>
    <xf numFmtId="0" fontId="11" fillId="2" borderId="0" xfId="1" applyFont="1" applyFill="1" applyAlignment="1" applyProtection="1">
      <alignment horizontal="left"/>
      <protection locked="0"/>
    </xf>
    <xf numFmtId="0" fontId="102" fillId="24" borderId="8" xfId="0" applyFont="1" applyFill="1" applyBorder="1" applyAlignment="1">
      <alignment horizontal="left"/>
    </xf>
    <xf numFmtId="0" fontId="102" fillId="24" borderId="0" xfId="0" applyFont="1" applyFill="1" applyAlignment="1">
      <alignment horizontal="left"/>
    </xf>
    <xf numFmtId="0" fontId="102" fillId="24" borderId="4" xfId="0" applyFont="1" applyFill="1" applyBorder="1" applyAlignment="1">
      <alignment horizontal="left"/>
    </xf>
    <xf numFmtId="0" fontId="0" fillId="55" borderId="0" xfId="0" applyFill="1" applyAlignment="1">
      <alignment horizontal="left" vertical="center"/>
    </xf>
    <xf numFmtId="0" fontId="0" fillId="2" borderId="21" xfId="0" applyFill="1" applyBorder="1" applyAlignment="1">
      <alignment horizontal="left" vertical="top"/>
    </xf>
    <xf numFmtId="0" fontId="0" fillId="2" borderId="30" xfId="0" applyFill="1" applyBorder="1" applyAlignment="1">
      <alignment horizontal="left" vertical="top"/>
    </xf>
    <xf numFmtId="0" fontId="0" fillId="24" borderId="6" xfId="0" applyFill="1" applyBorder="1" applyAlignment="1">
      <alignment horizontal="left"/>
    </xf>
    <xf numFmtId="0" fontId="0" fillId="24" borderId="2" xfId="0" applyFill="1" applyBorder="1" applyAlignment="1">
      <alignment horizontal="left"/>
    </xf>
    <xf numFmtId="0" fontId="0" fillId="24" borderId="7" xfId="0" applyFill="1" applyBorder="1" applyAlignment="1">
      <alignment horizontal="left"/>
    </xf>
    <xf numFmtId="0" fontId="0" fillId="24" borderId="8" xfId="0" applyFill="1" applyBorder="1" applyAlignment="1">
      <alignment horizontal="left"/>
    </xf>
    <xf numFmtId="0" fontId="0" fillId="24" borderId="0" xfId="0" applyFill="1" applyAlignment="1">
      <alignment horizontal="left"/>
    </xf>
    <xf numFmtId="0" fontId="0" fillId="24" borderId="4" xfId="0" applyFill="1" applyBorder="1" applyAlignment="1">
      <alignment horizontal="left"/>
    </xf>
    <xf numFmtId="0" fontId="19" fillId="2" borderId="6"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7" xfId="0" applyFont="1" applyFill="1" applyBorder="1" applyAlignment="1">
      <alignment horizontal="left" vertical="top" wrapText="1"/>
    </xf>
    <xf numFmtId="0" fontId="1" fillId="2" borderId="6" xfId="0" applyFont="1" applyFill="1" applyBorder="1" applyAlignment="1" applyProtection="1">
      <alignment horizontal="left" vertical="top" wrapText="1"/>
      <protection locked="0"/>
    </xf>
    <xf numFmtId="0" fontId="1" fillId="2" borderId="2" xfId="0" applyFont="1" applyFill="1" applyBorder="1" applyAlignment="1" applyProtection="1">
      <alignment horizontal="left" vertical="top" wrapText="1"/>
      <protection locked="0"/>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4"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0" fontId="1" fillId="2" borderId="18" xfId="0" applyFont="1" applyFill="1" applyBorder="1" applyAlignment="1" applyProtection="1">
      <alignment horizontal="left" vertical="top" wrapText="1"/>
      <protection locked="0"/>
    </xf>
    <xf numFmtId="0" fontId="1" fillId="2" borderId="10" xfId="0" applyFont="1" applyFill="1" applyBorder="1" applyAlignment="1" applyProtection="1">
      <alignment horizontal="left" vertical="top" wrapText="1"/>
      <protection locked="0"/>
    </xf>
    <xf numFmtId="0" fontId="1" fillId="47" borderId="1" xfId="0" applyFont="1" applyFill="1" applyBorder="1" applyAlignment="1">
      <alignment horizontal="right"/>
    </xf>
    <xf numFmtId="0" fontId="1" fillId="19" borderId="21" xfId="0" applyFont="1" applyFill="1" applyBorder="1" applyAlignment="1">
      <alignment horizontal="right"/>
    </xf>
    <xf numFmtId="0" fontId="1" fillId="19" borderId="22" xfId="0" applyFont="1" applyFill="1" applyBorder="1" applyAlignment="1">
      <alignment horizontal="right"/>
    </xf>
    <xf numFmtId="0" fontId="0" fillId="9" borderId="5" xfId="0" applyFill="1" applyBorder="1" applyAlignment="1">
      <alignment horizontal="center" vertical="center"/>
    </xf>
    <xf numFmtId="0" fontId="0" fillId="9" borderId="28" xfId="0" applyFill="1" applyBorder="1" applyAlignment="1">
      <alignment horizontal="center" vertical="center"/>
    </xf>
    <xf numFmtId="0" fontId="0" fillId="2" borderId="1" xfId="0" applyFill="1" applyBorder="1"/>
    <xf numFmtId="0" fontId="14" fillId="2" borderId="6"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4" xfId="0" applyFont="1" applyFill="1" applyBorder="1" applyAlignment="1">
      <alignment horizontal="left" vertical="top"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100" fillId="5" borderId="1" xfId="0" applyFont="1" applyFill="1" applyBorder="1"/>
    <xf numFmtId="0" fontId="0" fillId="2" borderId="9" xfId="0" applyFill="1" applyBorder="1" applyAlignment="1">
      <alignment horizontal="center"/>
    </xf>
    <xf numFmtId="0" fontId="0" fillId="2" borderId="18" xfId="0" applyFill="1" applyBorder="1" applyAlignment="1">
      <alignment horizontal="center"/>
    </xf>
    <xf numFmtId="0" fontId="0" fillId="2" borderId="10" xfId="0" applyFill="1" applyBorder="1" applyAlignment="1">
      <alignment horizontal="center"/>
    </xf>
    <xf numFmtId="0" fontId="14" fillId="2" borderId="9" xfId="0" applyFont="1" applyFill="1" applyBorder="1" applyAlignment="1">
      <alignment horizontal="left" vertical="top" wrapText="1"/>
    </xf>
    <xf numFmtId="0" fontId="14" fillId="2" borderId="18" xfId="0" applyFont="1" applyFill="1" applyBorder="1" applyAlignment="1">
      <alignment horizontal="left" vertical="top" wrapText="1"/>
    </xf>
    <xf numFmtId="0" fontId="100" fillId="5" borderId="1" xfId="0" applyFont="1" applyFill="1" applyBorder="1" applyAlignment="1">
      <alignment horizontal="left"/>
    </xf>
    <xf numFmtId="0" fontId="0" fillId="9" borderId="102" xfId="0" applyFill="1" applyBorder="1" applyAlignment="1">
      <alignment horizontal="center" vertical="center"/>
    </xf>
    <xf numFmtId="0" fontId="0" fillId="2" borderId="10" xfId="0" applyFill="1" applyBorder="1" applyAlignment="1">
      <alignment horizontal="left"/>
    </xf>
    <xf numFmtId="0" fontId="100" fillId="5" borderId="83" xfId="0" applyFont="1" applyFill="1" applyBorder="1" applyAlignment="1">
      <alignment horizontal="left"/>
    </xf>
    <xf numFmtId="0" fontId="1" fillId="40" borderId="0" xfId="0" applyFont="1" applyFill="1" applyAlignment="1">
      <alignment horizontal="left" vertical="top" wrapText="1"/>
    </xf>
    <xf numFmtId="0" fontId="0" fillId="14" borderId="1" xfId="0" applyFill="1" applyBorder="1" applyAlignment="1" applyProtection="1">
      <alignment horizontal="center"/>
      <protection locked="0"/>
    </xf>
    <xf numFmtId="0" fontId="29" fillId="40" borderId="0" xfId="0" applyFont="1" applyFill="1"/>
    <xf numFmtId="0" fontId="1" fillId="2" borderId="0" xfId="0" applyFont="1" applyFill="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4" fillId="2" borderId="6" xfId="0" applyFont="1" applyFill="1" applyBorder="1" applyAlignment="1">
      <alignment horizontal="left"/>
    </xf>
    <xf numFmtId="0" fontId="6" fillId="5" borderId="21" xfId="0" applyFont="1" applyFill="1" applyBorder="1" applyAlignment="1">
      <alignment horizontal="left"/>
    </xf>
    <xf numFmtId="0" fontId="6" fillId="5" borderId="30" xfId="0" applyFont="1" applyFill="1" applyBorder="1" applyAlignment="1">
      <alignment horizontal="left"/>
    </xf>
    <xf numFmtId="0" fontId="6" fillId="5" borderId="22" xfId="0" applyFont="1" applyFill="1" applyBorder="1" applyAlignment="1">
      <alignment horizontal="left"/>
    </xf>
    <xf numFmtId="0" fontId="4" fillId="2" borderId="0" xfId="0" applyFont="1" applyFill="1" applyAlignment="1">
      <alignment horizontal="left"/>
    </xf>
    <xf numFmtId="0" fontId="29" fillId="40" borderId="0" xfId="0" applyFont="1" applyFill="1" applyAlignment="1">
      <alignment horizontal="left" wrapText="1"/>
    </xf>
    <xf numFmtId="0" fontId="0" fillId="2" borderId="6" xfId="0" applyFill="1" applyBorder="1" applyAlignment="1">
      <alignment horizontal="left" vertical="center" wrapText="1"/>
    </xf>
    <xf numFmtId="0" fontId="0" fillId="2" borderId="2"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18" xfId="0" applyFill="1" applyBorder="1" applyAlignment="1">
      <alignment horizontal="left" vertical="center" wrapText="1"/>
    </xf>
    <xf numFmtId="0" fontId="0" fillId="2" borderId="10" xfId="0" applyFill="1" applyBorder="1" applyAlignment="1">
      <alignment horizontal="left" vertical="center" wrapText="1"/>
    </xf>
    <xf numFmtId="0" fontId="0" fillId="9" borderId="3" xfId="0" applyFill="1" applyBorder="1" applyAlignment="1">
      <alignment horizontal="center" vertical="center"/>
    </xf>
    <xf numFmtId="0" fontId="33" fillId="40" borderId="0" xfId="0" applyFont="1" applyFill="1" applyAlignment="1">
      <alignment horizontal="left"/>
    </xf>
    <xf numFmtId="0" fontId="0" fillId="9" borderId="1" xfId="0" applyFill="1" applyBorder="1" applyAlignment="1">
      <alignment horizontal="center" vertical="center"/>
    </xf>
    <xf numFmtId="0" fontId="0" fillId="2" borderId="1" xfId="0" applyFill="1" applyBorder="1" applyAlignment="1">
      <alignment horizontal="left" vertical="center" wrapText="1"/>
    </xf>
    <xf numFmtId="0" fontId="71" fillId="40" borderId="0" xfId="0" applyFont="1" applyFill="1" applyAlignment="1">
      <alignment horizontal="left" vertical="top" wrapText="1"/>
    </xf>
    <xf numFmtId="0" fontId="0" fillId="14" borderId="1" xfId="0" applyFill="1" applyBorder="1" applyAlignment="1" applyProtection="1">
      <alignment horizontal="left"/>
      <protection locked="0"/>
    </xf>
    <xf numFmtId="0" fontId="68" fillId="9" borderId="1" xfId="0" applyFont="1" applyFill="1" applyBorder="1" applyAlignment="1">
      <alignment horizontal="center"/>
    </xf>
    <xf numFmtId="9" fontId="1" fillId="9" borderId="1" xfId="0" applyNumberFormat="1" applyFont="1" applyFill="1" applyBorder="1" applyAlignment="1">
      <alignment horizontal="center"/>
    </xf>
    <xf numFmtId="10" fontId="1" fillId="9" borderId="1" xfId="0" applyNumberFormat="1" applyFont="1" applyFill="1" applyBorder="1" applyAlignment="1">
      <alignment horizontal="center"/>
    </xf>
    <xf numFmtId="9" fontId="1" fillId="2" borderId="1" xfId="0" applyNumberFormat="1" applyFont="1" applyFill="1" applyBorder="1" applyAlignment="1">
      <alignment horizontal="center"/>
    </xf>
    <xf numFmtId="38" fontId="1" fillId="9" borderId="1" xfId="0" applyNumberFormat="1" applyFont="1" applyFill="1" applyBorder="1" applyAlignment="1">
      <alignment horizontal="center"/>
    </xf>
    <xf numFmtId="0" fontId="0" fillId="2" borderId="5"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xf numFmtId="0" fontId="100" fillId="5" borderId="1" xfId="0" applyFont="1" applyFill="1" applyBorder="1" applyAlignment="1">
      <alignment horizontal="center" vertical="center" wrapText="1"/>
    </xf>
    <xf numFmtId="0" fontId="100" fillId="5" borderId="1" xfId="0" applyFont="1" applyFill="1" applyBorder="1" applyAlignment="1">
      <alignment horizontal="center"/>
    </xf>
    <xf numFmtId="9" fontId="0" fillId="9" borderId="1" xfId="2" applyFont="1" applyFill="1" applyBorder="1" applyAlignment="1">
      <alignment horizontal="center" vertical="center"/>
    </xf>
    <xf numFmtId="0" fontId="100" fillId="5" borderId="6" xfId="0" applyFont="1" applyFill="1" applyBorder="1" applyAlignment="1">
      <alignment horizontal="center" vertical="center" wrapText="1"/>
    </xf>
    <xf numFmtId="0" fontId="100" fillId="5" borderId="5" xfId="0" applyFont="1" applyFill="1" applyBorder="1" applyAlignment="1">
      <alignment horizontal="center" vertical="center" wrapText="1"/>
    </xf>
    <xf numFmtId="0" fontId="100" fillId="5" borderId="21" xfId="0" applyFont="1" applyFill="1" applyBorder="1" applyAlignment="1">
      <alignment horizontal="center" vertical="center" wrapText="1"/>
    </xf>
    <xf numFmtId="0" fontId="100" fillId="5" borderId="1" xfId="0" applyFont="1" applyFill="1" applyBorder="1" applyAlignment="1">
      <alignment horizontal="center" vertical="center"/>
    </xf>
    <xf numFmtId="0" fontId="1" fillId="9" borderId="1" xfId="0" applyFont="1" applyFill="1" applyBorder="1" applyAlignment="1">
      <alignment horizontal="center"/>
    </xf>
    <xf numFmtId="0" fontId="0" fillId="40" borderId="8" xfId="0" applyFill="1" applyBorder="1" applyAlignment="1">
      <alignment horizontal="right"/>
    </xf>
    <xf numFmtId="9" fontId="0" fillId="9" borderId="1" xfId="2" applyFont="1" applyFill="1" applyBorder="1" applyAlignment="1">
      <alignment horizontal="right"/>
    </xf>
    <xf numFmtId="0" fontId="0" fillId="9" borderId="1" xfId="0" applyFill="1" applyBorder="1" applyAlignment="1">
      <alignment horizontal="center"/>
    </xf>
    <xf numFmtId="38" fontId="0" fillId="9" borderId="1" xfId="0" applyNumberFormat="1" applyFill="1" applyBorder="1" applyAlignment="1">
      <alignment horizontal="center"/>
    </xf>
    <xf numFmtId="9" fontId="0" fillId="9" borderId="1" xfId="0" applyNumberFormat="1" applyFill="1" applyBorder="1" applyAlignment="1">
      <alignment horizontal="center"/>
    </xf>
    <xf numFmtId="0" fontId="1" fillId="3" borderId="92" xfId="0" applyFont="1" applyFill="1" applyBorder="1" applyAlignment="1">
      <alignment horizontal="left" vertical="top" wrapText="1"/>
    </xf>
    <xf numFmtId="0" fontId="1" fillId="3" borderId="93" xfId="0" applyFont="1" applyFill="1" applyBorder="1" applyAlignment="1">
      <alignment horizontal="left" vertical="top" wrapText="1"/>
    </xf>
    <xf numFmtId="0" fontId="1" fillId="3" borderId="94" xfId="0" applyFont="1" applyFill="1" applyBorder="1" applyAlignment="1">
      <alignment horizontal="left" vertical="top" wrapText="1"/>
    </xf>
    <xf numFmtId="0" fontId="0" fillId="3" borderId="21" xfId="0" applyFill="1" applyBorder="1" applyAlignment="1">
      <alignment horizontal="left" vertical="top"/>
    </xf>
    <xf numFmtId="0" fontId="0" fillId="3" borderId="30" xfId="0" applyFill="1" applyBorder="1" applyAlignment="1">
      <alignment horizontal="left" vertical="top"/>
    </xf>
    <xf numFmtId="0" fontId="0" fillId="3" borderId="22" xfId="0" applyFill="1" applyBorder="1" applyAlignment="1">
      <alignment horizontal="left" vertical="top"/>
    </xf>
    <xf numFmtId="0" fontId="0" fillId="14" borderId="1" xfId="0" applyFill="1" applyBorder="1" applyAlignment="1" applyProtection="1">
      <alignment horizontal="left" vertical="top"/>
      <protection locked="0"/>
    </xf>
    <xf numFmtId="0" fontId="0" fillId="3" borderId="1" xfId="0" applyFill="1" applyBorder="1" applyAlignment="1">
      <alignment horizontal="left" wrapText="1"/>
    </xf>
    <xf numFmtId="0" fontId="0" fillId="3" borderId="21" xfId="0" applyFill="1" applyBorder="1" applyAlignment="1">
      <alignment horizontal="left" wrapText="1"/>
    </xf>
    <xf numFmtId="0" fontId="0" fillId="3" borderId="1" xfId="0" applyFill="1" applyBorder="1" applyAlignment="1">
      <alignment horizontal="left" vertical="top"/>
    </xf>
    <xf numFmtId="0" fontId="0" fillId="3" borderId="6" xfId="0" applyFill="1" applyBorder="1" applyAlignment="1">
      <alignment horizontal="left"/>
    </xf>
    <xf numFmtId="0" fontId="0" fillId="3" borderId="2" xfId="0" applyFill="1" applyBorder="1" applyAlignment="1">
      <alignment horizontal="left"/>
    </xf>
    <xf numFmtId="0" fontId="0" fillId="3" borderId="7" xfId="0" applyFill="1" applyBorder="1" applyAlignment="1">
      <alignment horizontal="left"/>
    </xf>
    <xf numFmtId="0" fontId="0" fillId="3" borderId="8" xfId="0" applyFill="1" applyBorder="1" applyAlignment="1">
      <alignment horizontal="left"/>
    </xf>
    <xf numFmtId="0" fontId="0" fillId="3" borderId="0" xfId="0" applyFill="1" applyAlignment="1">
      <alignment horizontal="left"/>
    </xf>
    <xf numFmtId="0" fontId="0" fillId="3" borderId="4" xfId="0" applyFill="1" applyBorder="1" applyAlignment="1">
      <alignment horizontal="left"/>
    </xf>
    <xf numFmtId="0" fontId="0" fillId="9" borderId="1" xfId="0" applyFill="1" applyBorder="1" applyAlignment="1">
      <alignment horizontal="center" vertical="top"/>
    </xf>
    <xf numFmtId="0" fontId="6" fillId="5" borderId="6" xfId="0" applyFont="1" applyFill="1" applyBorder="1" applyAlignment="1">
      <alignment horizontal="left" wrapText="1"/>
    </xf>
    <xf numFmtId="0" fontId="6" fillId="5" borderId="2" xfId="0" applyFont="1" applyFill="1" applyBorder="1" applyAlignment="1">
      <alignment horizontal="left" wrapText="1"/>
    </xf>
    <xf numFmtId="0" fontId="6" fillId="5" borderId="7" xfId="0" applyFont="1" applyFill="1" applyBorder="1" applyAlignment="1">
      <alignment horizontal="left" wrapText="1"/>
    </xf>
    <xf numFmtId="0" fontId="6" fillId="5" borderId="9" xfId="0" applyFont="1" applyFill="1" applyBorder="1" applyAlignment="1">
      <alignment horizontal="left" wrapText="1"/>
    </xf>
    <xf numFmtId="0" fontId="6" fillId="5" borderId="18" xfId="0" applyFont="1" applyFill="1" applyBorder="1" applyAlignment="1">
      <alignment horizontal="left" wrapText="1"/>
    </xf>
    <xf numFmtId="0" fontId="6" fillId="5" borderId="10" xfId="0" applyFont="1" applyFill="1" applyBorder="1" applyAlignment="1">
      <alignment horizontal="left" wrapText="1"/>
    </xf>
    <xf numFmtId="0" fontId="0" fillId="3" borderId="1" xfId="0" applyFill="1" applyBorder="1" applyAlignment="1">
      <alignment horizontal="left" vertical="top" wrapText="1"/>
    </xf>
    <xf numFmtId="0" fontId="0" fillId="2" borderId="1" xfId="0" applyFill="1" applyBorder="1" applyAlignment="1" applyProtection="1">
      <alignment horizontal="center" vertical="center"/>
      <protection locked="0"/>
    </xf>
    <xf numFmtId="0" fontId="0" fillId="2" borderId="1" xfId="0" applyFill="1" applyBorder="1" applyAlignment="1">
      <alignment horizontal="left" vertical="top" wrapText="1"/>
    </xf>
    <xf numFmtId="0" fontId="68" fillId="40" borderId="0" xfId="0" applyFont="1" applyFill="1" applyAlignment="1">
      <alignment horizontal="left" vertical="top" wrapText="1"/>
    </xf>
    <xf numFmtId="0" fontId="1" fillId="3" borderId="1" xfId="0" applyFont="1" applyFill="1" applyBorder="1" applyAlignment="1">
      <alignment horizontal="left" vertical="top" wrapText="1"/>
    </xf>
    <xf numFmtId="0" fontId="0" fillId="2" borderId="21" xfId="0" applyFill="1" applyBorder="1" applyAlignment="1" applyProtection="1">
      <alignment horizontal="left" wrapText="1"/>
      <protection locked="0"/>
    </xf>
    <xf numFmtId="0" fontId="0" fillId="2" borderId="30" xfId="0" applyFill="1" applyBorder="1" applyAlignment="1" applyProtection="1">
      <alignment horizontal="left" wrapText="1"/>
      <protection locked="0"/>
    </xf>
    <xf numFmtId="0" fontId="0" fillId="2" borderId="22" xfId="0" applyFill="1" applyBorder="1" applyAlignment="1" applyProtection="1">
      <alignment horizontal="left" wrapText="1"/>
      <protection locked="0"/>
    </xf>
    <xf numFmtId="0" fontId="100" fillId="5" borderId="1" xfId="0" applyFont="1" applyFill="1" applyBorder="1" applyAlignment="1">
      <alignment horizontal="center" wrapText="1"/>
    </xf>
    <xf numFmtId="0" fontId="68" fillId="3" borderId="1" xfId="0" applyFont="1" applyFill="1" applyBorder="1" applyAlignment="1">
      <alignment horizontal="left" vertical="top" wrapText="1"/>
    </xf>
    <xf numFmtId="0" fontId="68" fillId="3" borderId="1" xfId="0" applyFont="1" applyFill="1" applyBorder="1" applyAlignment="1">
      <alignment horizontal="left" vertical="top"/>
    </xf>
    <xf numFmtId="0" fontId="6" fillId="5" borderId="1" xfId="0" applyFont="1" applyFill="1" applyBorder="1" applyAlignment="1">
      <alignment horizontal="center" wrapText="1"/>
    </xf>
    <xf numFmtId="0" fontId="1" fillId="3" borderId="21" xfId="0" applyFont="1" applyFill="1" applyBorder="1" applyAlignment="1">
      <alignment horizontal="left" vertical="top" wrapText="1"/>
    </xf>
    <xf numFmtId="0" fontId="1" fillId="3" borderId="30" xfId="0" applyFont="1" applyFill="1" applyBorder="1" applyAlignment="1">
      <alignment horizontal="left" vertical="top" wrapText="1"/>
    </xf>
    <xf numFmtId="0" fontId="0" fillId="0" borderId="22" xfId="0" applyBorder="1" applyAlignment="1">
      <alignment horizontal="left" vertical="top" wrapText="1"/>
    </xf>
    <xf numFmtId="0" fontId="0" fillId="0" borderId="30" xfId="0" applyBorder="1" applyAlignment="1">
      <alignment horizontal="left" vertical="top" wrapText="1"/>
    </xf>
    <xf numFmtId="0" fontId="1" fillId="3" borderId="22" xfId="0" applyFont="1" applyFill="1" applyBorder="1" applyAlignment="1">
      <alignment horizontal="left" vertical="top" wrapText="1"/>
    </xf>
    <xf numFmtId="0" fontId="100" fillId="5" borderId="6" xfId="0" applyFont="1" applyFill="1" applyBorder="1" applyAlignment="1">
      <alignment horizontal="left"/>
    </xf>
    <xf numFmtId="0" fontId="100" fillId="5" borderId="2" xfId="0" applyFont="1" applyFill="1" applyBorder="1" applyAlignment="1">
      <alignment horizontal="left"/>
    </xf>
    <xf numFmtId="0" fontId="100" fillId="5" borderId="7" xfId="0" applyFont="1" applyFill="1" applyBorder="1" applyAlignment="1">
      <alignment horizontal="left"/>
    </xf>
    <xf numFmtId="0" fontId="100" fillId="5" borderId="5" xfId="0" applyFont="1" applyFill="1" applyBorder="1" applyAlignment="1">
      <alignment horizontal="center" wrapText="1"/>
    </xf>
    <xf numFmtId="0" fontId="6" fillId="5" borderId="5" xfId="0" applyFont="1" applyFill="1" applyBorder="1" applyAlignment="1">
      <alignment horizontal="center" wrapText="1"/>
    </xf>
    <xf numFmtId="0" fontId="6" fillId="5" borderId="8" xfId="0" applyFont="1" applyFill="1" applyBorder="1" applyAlignment="1">
      <alignment horizontal="left" wrapText="1"/>
    </xf>
    <xf numFmtId="0" fontId="6" fillId="5" borderId="0" xfId="0" applyFont="1" applyFill="1" applyAlignment="1">
      <alignment horizontal="left" wrapText="1"/>
    </xf>
    <xf numFmtId="0" fontId="6" fillId="5" borderId="4" xfId="0" applyFont="1" applyFill="1" applyBorder="1" applyAlignment="1">
      <alignment horizontal="left" wrapText="1"/>
    </xf>
    <xf numFmtId="0" fontId="1" fillId="3" borderId="83" xfId="0" applyFont="1" applyFill="1" applyBorder="1" applyAlignment="1">
      <alignment horizontal="left" vertical="top" wrapText="1"/>
    </xf>
    <xf numFmtId="0" fontId="1" fillId="3" borderId="91" xfId="0" applyFont="1" applyFill="1" applyBorder="1" applyAlignment="1">
      <alignment horizontal="left" vertical="top" wrapText="1"/>
    </xf>
    <xf numFmtId="0" fontId="100" fillId="2" borderId="0" xfId="0" applyFont="1" applyFill="1" applyAlignment="1">
      <alignment horizontal="center" wrapText="1"/>
    </xf>
    <xf numFmtId="0" fontId="6" fillId="5" borderId="1" xfId="0" applyFont="1" applyFill="1" applyBorder="1" applyAlignment="1">
      <alignment horizontal="left" wrapText="1"/>
    </xf>
    <xf numFmtId="0" fontId="68" fillId="3" borderId="1" xfId="0" applyFont="1" applyFill="1" applyBorder="1" applyAlignment="1">
      <alignment horizontal="left"/>
    </xf>
    <xf numFmtId="0" fontId="71" fillId="3" borderId="1" xfId="0" applyFont="1" applyFill="1" applyBorder="1" applyAlignment="1">
      <alignment horizontal="left" vertical="top" wrapText="1"/>
    </xf>
    <xf numFmtId="0" fontId="0" fillId="3" borderId="1" xfId="0" applyFill="1" applyBorder="1" applyAlignment="1">
      <alignment horizontal="center" vertical="center"/>
    </xf>
    <xf numFmtId="0" fontId="1" fillId="3" borderId="95" xfId="0" applyFont="1" applyFill="1" applyBorder="1" applyAlignment="1">
      <alignment horizontal="left" vertical="top" wrapText="1"/>
    </xf>
    <xf numFmtId="0" fontId="1" fillId="3" borderId="96" xfId="0" applyFont="1" applyFill="1" applyBorder="1" applyAlignment="1">
      <alignment horizontal="left" vertical="top" wrapText="1"/>
    </xf>
    <xf numFmtId="0" fontId="1" fillId="3" borderId="97" xfId="0" applyFont="1" applyFill="1" applyBorder="1" applyAlignment="1">
      <alignment horizontal="left" vertical="top" wrapText="1"/>
    </xf>
    <xf numFmtId="0" fontId="0" fillId="2" borderId="21" xfId="0" applyFill="1" applyBorder="1" applyAlignment="1" applyProtection="1">
      <alignment horizontal="left"/>
      <protection locked="0"/>
    </xf>
    <xf numFmtId="0" fontId="0" fillId="2" borderId="30" xfId="0" applyFill="1" applyBorder="1" applyAlignment="1" applyProtection="1">
      <alignment horizontal="left"/>
      <protection locked="0"/>
    </xf>
    <xf numFmtId="0" fontId="0" fillId="2" borderId="22" xfId="0" applyFill="1" applyBorder="1" applyAlignment="1" applyProtection="1">
      <alignment horizontal="left"/>
      <protection locked="0"/>
    </xf>
    <xf numFmtId="0" fontId="0" fillId="14" borderId="21" xfId="0" applyFill="1" applyBorder="1" applyAlignment="1" applyProtection="1">
      <alignment horizontal="left" vertical="top"/>
      <protection locked="0"/>
    </xf>
    <xf numFmtId="0" fontId="0" fillId="14" borderId="30" xfId="0" applyFill="1" applyBorder="1" applyAlignment="1" applyProtection="1">
      <alignment horizontal="left" vertical="top"/>
      <protection locked="0"/>
    </xf>
    <xf numFmtId="0" fontId="0" fillId="14" borderId="22" xfId="0" applyFill="1" applyBorder="1" applyAlignment="1" applyProtection="1">
      <alignment horizontal="left" vertical="top"/>
      <protection locked="0"/>
    </xf>
    <xf numFmtId="0" fontId="0" fillId="3" borderId="30" xfId="0" applyFill="1" applyBorder="1" applyAlignment="1">
      <alignment horizontal="center" vertical="center"/>
    </xf>
    <xf numFmtId="0" fontId="0" fillId="3" borderId="22"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3" borderId="18" xfId="0" applyFill="1" applyBorder="1" applyAlignment="1">
      <alignment horizontal="center"/>
    </xf>
    <xf numFmtId="0" fontId="0" fillId="3" borderId="10" xfId="0" applyFill="1" applyBorder="1" applyAlignment="1">
      <alignment horizontal="center"/>
    </xf>
    <xf numFmtId="0" fontId="29" fillId="3" borderId="21" xfId="0" applyFont="1" applyFill="1" applyBorder="1" applyAlignment="1">
      <alignment horizontal="left"/>
    </xf>
    <xf numFmtId="0" fontId="29" fillId="3" borderId="30" xfId="0" applyFont="1" applyFill="1" applyBorder="1" applyAlignment="1">
      <alignment horizontal="left"/>
    </xf>
    <xf numFmtId="0" fontId="29" fillId="3" borderId="22" xfId="0" applyFont="1" applyFill="1" applyBorder="1" applyAlignment="1">
      <alignment horizontal="left"/>
    </xf>
    <xf numFmtId="0" fontId="0" fillId="3" borderId="6" xfId="0" applyFill="1" applyBorder="1" applyAlignment="1">
      <alignment horizontal="left" wrapText="1"/>
    </xf>
    <xf numFmtId="0" fontId="0" fillId="3" borderId="2" xfId="0" applyFill="1" applyBorder="1" applyAlignment="1">
      <alignment horizontal="left" wrapText="1"/>
    </xf>
    <xf numFmtId="0" fontId="0" fillId="3" borderId="7" xfId="0" applyFill="1" applyBorder="1" applyAlignment="1">
      <alignment horizontal="left" wrapText="1"/>
    </xf>
    <xf numFmtId="0" fontId="0" fillId="3" borderId="9" xfId="0" applyFill="1" applyBorder="1" applyAlignment="1">
      <alignment horizontal="left" wrapText="1"/>
    </xf>
    <xf numFmtId="0" fontId="0" fillId="3" borderId="18" xfId="0" applyFill="1" applyBorder="1" applyAlignment="1">
      <alignment horizontal="left" wrapText="1"/>
    </xf>
    <xf numFmtId="0" fontId="0" fillId="3" borderId="10" xfId="0" applyFill="1" applyBorder="1" applyAlignment="1">
      <alignment horizontal="left" wrapText="1"/>
    </xf>
    <xf numFmtId="0" fontId="4" fillId="40" borderId="0" xfId="0" applyFont="1" applyFill="1" applyAlignment="1">
      <alignment horizontal="left"/>
    </xf>
    <xf numFmtId="0" fontId="19" fillId="40" borderId="0" xfId="0" applyFont="1" applyFill="1" applyAlignment="1">
      <alignment horizontal="left"/>
    </xf>
    <xf numFmtId="0" fontId="7" fillId="9" borderId="9" xfId="0" applyFont="1" applyFill="1" applyBorder="1" applyAlignment="1">
      <alignment horizontal="center"/>
    </xf>
    <xf numFmtId="0" fontId="7" fillId="2" borderId="1" xfId="0" applyFont="1" applyFill="1" applyBorder="1" applyAlignment="1">
      <alignment horizontal="center"/>
    </xf>
    <xf numFmtId="0" fontId="169" fillId="2" borderId="0" xfId="0" applyFont="1" applyFill="1" applyAlignment="1">
      <alignment horizontal="left"/>
    </xf>
    <xf numFmtId="0" fontId="169" fillId="2" borderId="8" xfId="0" applyFont="1" applyFill="1" applyBorder="1" applyAlignment="1">
      <alignment horizontal="left"/>
    </xf>
    <xf numFmtId="0" fontId="0" fillId="8" borderId="1" xfId="0" applyFill="1" applyBorder="1" applyAlignment="1" applyProtection="1">
      <alignment horizontal="center"/>
      <protection locked="0"/>
    </xf>
    <xf numFmtId="0" fontId="0" fillId="8" borderId="1" xfId="0" applyFill="1" applyBorder="1" applyAlignment="1" applyProtection="1">
      <alignment horizontal="center" vertical="center"/>
      <protection locked="0"/>
    </xf>
    <xf numFmtId="0" fontId="0" fillId="3" borderId="21" xfId="0" applyFill="1" applyBorder="1" applyAlignment="1">
      <alignment horizontal="center" vertical="center"/>
    </xf>
    <xf numFmtId="0" fontId="100" fillId="5" borderId="22" xfId="0" applyFont="1" applyFill="1" applyBorder="1" applyAlignment="1">
      <alignment horizontal="center" vertical="center" wrapText="1"/>
    </xf>
    <xf numFmtId="0" fontId="0" fillId="3" borderId="21" xfId="4" applyNumberFormat="1" applyFont="1" applyFill="1" applyBorder="1" applyAlignment="1">
      <alignment horizontal="center" vertical="center"/>
    </xf>
    <xf numFmtId="0" fontId="0" fillId="3" borderId="22" xfId="4" applyNumberFormat="1" applyFont="1" applyFill="1" applyBorder="1" applyAlignment="1">
      <alignment horizontal="center" vertical="center"/>
    </xf>
    <xf numFmtId="0" fontId="9" fillId="2" borderId="0" xfId="0" applyFont="1" applyFill="1" applyAlignment="1">
      <alignment horizontal="left" vertical="center"/>
    </xf>
    <xf numFmtId="0" fontId="9" fillId="2" borderId="8" xfId="0" applyFont="1" applyFill="1" applyBorder="1" applyAlignment="1">
      <alignment horizontal="left" vertical="center"/>
    </xf>
    <xf numFmtId="0" fontId="1" fillId="40" borderId="0" xfId="0" applyFont="1" applyFill="1" applyAlignment="1">
      <alignment horizontal="left" vertical="center" wrapText="1"/>
    </xf>
    <xf numFmtId="0" fontId="1" fillId="40" borderId="8" xfId="0" applyFont="1" applyFill="1" applyBorder="1" applyAlignment="1">
      <alignment horizontal="left" vertical="center" wrapText="1"/>
    </xf>
    <xf numFmtId="0" fontId="1" fillId="40" borderId="0" xfId="0" applyFont="1" applyFill="1" applyAlignment="1">
      <alignment horizontal="left" vertical="center"/>
    </xf>
    <xf numFmtId="0" fontId="1" fillId="40" borderId="9" xfId="0" applyFont="1" applyFill="1" applyBorder="1" applyAlignment="1">
      <alignment horizontal="left" vertical="center"/>
    </xf>
    <xf numFmtId="0" fontId="1" fillId="3" borderId="21" xfId="0" applyFont="1" applyFill="1" applyBorder="1" applyAlignment="1">
      <alignment horizontal="center"/>
    </xf>
    <xf numFmtId="0" fontId="1" fillId="3" borderId="1" xfId="0" applyFont="1" applyFill="1" applyBorder="1" applyAlignment="1">
      <alignment horizontal="center"/>
    </xf>
    <xf numFmtId="0" fontId="203" fillId="5" borderId="30" xfId="0" applyFont="1" applyFill="1" applyBorder="1" applyAlignment="1">
      <alignment horizontal="center" vertical="center" wrapText="1"/>
    </xf>
    <xf numFmtId="0" fontId="203" fillId="5" borderId="22" xfId="0" applyFont="1" applyFill="1" applyBorder="1" applyAlignment="1">
      <alignment horizontal="center" vertical="center" wrapText="1"/>
    </xf>
    <xf numFmtId="0" fontId="7" fillId="9" borderId="1" xfId="0" applyFont="1" applyFill="1" applyBorder="1" applyAlignment="1">
      <alignment horizontal="center"/>
    </xf>
    <xf numFmtId="0" fontId="1" fillId="3" borderId="21" xfId="0" applyFont="1" applyFill="1" applyBorder="1" applyAlignment="1">
      <alignment horizontal="center" vertical="center"/>
    </xf>
    <xf numFmtId="0" fontId="1" fillId="3" borderId="22" xfId="0" applyFont="1" applyFill="1" applyBorder="1" applyAlignment="1">
      <alignment horizontal="center" vertical="center"/>
    </xf>
    <xf numFmtId="0" fontId="100" fillId="5" borderId="21" xfId="0" applyFont="1" applyFill="1" applyBorder="1" applyAlignment="1">
      <alignment horizontal="left" vertical="center"/>
    </xf>
    <xf numFmtId="0" fontId="100" fillId="5" borderId="30" xfId="0" applyFont="1" applyFill="1" applyBorder="1" applyAlignment="1">
      <alignment horizontal="left" vertical="center"/>
    </xf>
    <xf numFmtId="0" fontId="100" fillId="5" borderId="22" xfId="0" applyFont="1" applyFill="1" applyBorder="1" applyAlignment="1">
      <alignment horizontal="left" vertical="center"/>
    </xf>
    <xf numFmtId="0" fontId="0" fillId="9" borderId="21" xfId="3" applyNumberFormat="1" applyFont="1" applyFill="1" applyBorder="1" applyAlignment="1">
      <alignment horizontal="center" vertical="center"/>
    </xf>
    <xf numFmtId="0" fontId="0" fillId="9" borderId="30" xfId="3" applyNumberFormat="1" applyFont="1" applyFill="1" applyBorder="1" applyAlignment="1">
      <alignment horizontal="center" vertical="center"/>
    </xf>
    <xf numFmtId="0" fontId="0" fillId="9" borderId="22" xfId="3" applyNumberFormat="1" applyFont="1" applyFill="1" applyBorder="1" applyAlignment="1">
      <alignment horizontal="center" vertical="center"/>
    </xf>
    <xf numFmtId="44" fontId="0" fillId="9" borderId="21" xfId="4" applyFont="1" applyFill="1" applyBorder="1" applyAlignment="1">
      <alignment horizontal="center" vertical="center"/>
    </xf>
    <xf numFmtId="44" fontId="0" fillId="9" borderId="30" xfId="4" applyFont="1" applyFill="1" applyBorder="1" applyAlignment="1">
      <alignment horizontal="center" vertical="center"/>
    </xf>
    <xf numFmtId="44" fontId="0" fillId="9" borderId="22" xfId="4" applyFont="1" applyFill="1" applyBorder="1" applyAlignment="1">
      <alignment horizontal="center" vertical="center"/>
    </xf>
    <xf numFmtId="39" fontId="0" fillId="9" borderId="21" xfId="3" applyNumberFormat="1" applyFont="1" applyFill="1" applyBorder="1" applyAlignment="1">
      <alignment horizontal="center" vertical="center"/>
    </xf>
    <xf numFmtId="39" fontId="0" fillId="9" borderId="30" xfId="3" applyNumberFormat="1" applyFont="1" applyFill="1" applyBorder="1" applyAlignment="1">
      <alignment horizontal="center" vertical="center"/>
    </xf>
    <xf numFmtId="39" fontId="0" fillId="9" borderId="22" xfId="3" applyNumberFormat="1" applyFont="1" applyFill="1" applyBorder="1" applyAlignment="1">
      <alignment horizontal="center" vertical="center"/>
    </xf>
    <xf numFmtId="49" fontId="0" fillId="9" borderId="21" xfId="3" applyNumberFormat="1" applyFont="1" applyFill="1" applyBorder="1" applyAlignment="1">
      <alignment horizontal="center" vertical="center"/>
    </xf>
    <xf numFmtId="49" fontId="0" fillId="9" borderId="30" xfId="3" applyNumberFormat="1" applyFont="1" applyFill="1" applyBorder="1" applyAlignment="1">
      <alignment horizontal="center" vertical="center"/>
    </xf>
    <xf numFmtId="49" fontId="0" fillId="9" borderId="22" xfId="3" applyNumberFormat="1" applyFont="1" applyFill="1" applyBorder="1" applyAlignment="1">
      <alignment horizontal="center" vertical="center"/>
    </xf>
    <xf numFmtId="0" fontId="0" fillId="3" borderId="3" xfId="0" applyFill="1" applyBorder="1" applyAlignment="1">
      <alignment horizontal="left" wrapText="1"/>
    </xf>
    <xf numFmtId="0" fontId="0" fillId="8" borderId="21" xfId="0" applyFill="1" applyBorder="1" applyAlignment="1" applyProtection="1">
      <alignment horizontal="center"/>
      <protection locked="0"/>
    </xf>
    <xf numFmtId="0" fontId="29" fillId="3" borderId="6"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148" fillId="2" borderId="0" xfId="0" applyFont="1" applyFill="1" applyAlignment="1">
      <alignment horizontal="center" vertical="center" wrapText="1"/>
    </xf>
    <xf numFmtId="0" fontId="18" fillId="8" borderId="0" xfId="0" applyFont="1" applyFill="1" applyAlignment="1">
      <alignment horizontal="left"/>
    </xf>
    <xf numFmtId="0" fontId="7" fillId="2" borderId="9" xfId="0" applyFont="1" applyFill="1" applyBorder="1" applyAlignment="1">
      <alignment horizont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9" xfId="0" applyFill="1" applyBorder="1" applyAlignment="1">
      <alignment horizontal="center" vertical="center"/>
    </xf>
    <xf numFmtId="0" fontId="0" fillId="9" borderId="10" xfId="0" applyFill="1" applyBorder="1" applyAlignment="1">
      <alignment horizontal="center" vertical="center"/>
    </xf>
    <xf numFmtId="0" fontId="0" fillId="29" borderId="1" xfId="0" applyFill="1" applyBorder="1" applyAlignment="1">
      <alignment horizontal="left" vertical="center" wrapText="1"/>
    </xf>
    <xf numFmtId="0" fontId="0" fillId="29" borderId="41" xfId="0" applyFill="1" applyBorder="1" applyAlignment="1">
      <alignment horizontal="left" vertical="center" wrapText="1"/>
    </xf>
    <xf numFmtId="0" fontId="148" fillId="5" borderId="76" xfId="0" applyFont="1" applyFill="1" applyBorder="1" applyAlignment="1">
      <alignment horizontal="center" vertical="center" wrapText="1"/>
    </xf>
    <xf numFmtId="0" fontId="148" fillId="5" borderId="77" xfId="0" applyFont="1" applyFill="1" applyBorder="1" applyAlignment="1">
      <alignment horizontal="center" vertical="center" wrapText="1"/>
    </xf>
    <xf numFmtId="0" fontId="0" fillId="29" borderId="1" xfId="0" applyFill="1" applyBorder="1" applyAlignment="1">
      <alignment horizontal="left" wrapText="1"/>
    </xf>
    <xf numFmtId="0" fontId="0" fillId="29" borderId="41" xfId="0" applyFill="1" applyBorder="1" applyAlignment="1">
      <alignment horizontal="left" wrapText="1"/>
    </xf>
    <xf numFmtId="0" fontId="148" fillId="5" borderId="29" xfId="0" applyFont="1" applyFill="1" applyBorder="1" applyAlignment="1">
      <alignment horizontal="center" vertical="center" wrapText="1"/>
    </xf>
    <xf numFmtId="0" fontId="148" fillId="5" borderId="48" xfId="0" applyFont="1" applyFill="1" applyBorder="1" applyAlignment="1">
      <alignment horizontal="center" vertical="center" wrapText="1"/>
    </xf>
    <xf numFmtId="0" fontId="148" fillId="5" borderId="49" xfId="0" applyFont="1" applyFill="1" applyBorder="1" applyAlignment="1">
      <alignment horizontal="center" vertical="center" wrapText="1"/>
    </xf>
    <xf numFmtId="0" fontId="148" fillId="5" borderId="50" xfId="0" applyFont="1" applyFill="1" applyBorder="1" applyAlignment="1">
      <alignment horizontal="center" vertical="center" wrapText="1"/>
    </xf>
    <xf numFmtId="0" fontId="148" fillId="5" borderId="51" xfId="0" applyFont="1" applyFill="1" applyBorder="1" applyAlignment="1">
      <alignment horizontal="center" vertical="center" wrapText="1"/>
    </xf>
    <xf numFmtId="0" fontId="148" fillId="5" borderId="52" xfId="0" applyFont="1" applyFill="1" applyBorder="1" applyAlignment="1">
      <alignment horizontal="center" vertical="center" wrapText="1"/>
    </xf>
    <xf numFmtId="0" fontId="0" fillId="29" borderId="34" xfId="0" applyFill="1" applyBorder="1" applyAlignment="1">
      <alignment horizontal="left" vertical="center" wrapText="1"/>
    </xf>
    <xf numFmtId="0" fontId="0" fillId="29" borderId="38" xfId="0" applyFill="1" applyBorder="1" applyAlignment="1">
      <alignment horizontal="left" vertical="center" wrapText="1"/>
    </xf>
    <xf numFmtId="0" fontId="0" fillId="29" borderId="21" xfId="0" applyFill="1" applyBorder="1" applyAlignment="1">
      <alignment horizontal="left" vertical="center" wrapText="1"/>
    </xf>
    <xf numFmtId="0" fontId="0" fillId="29" borderId="30" xfId="0" applyFill="1" applyBorder="1" applyAlignment="1">
      <alignment horizontal="left" vertical="center" wrapText="1"/>
    </xf>
    <xf numFmtId="0" fontId="0" fillId="29" borderId="74" xfId="0" applyFill="1" applyBorder="1" applyAlignment="1">
      <alignment horizontal="left" vertical="center" wrapText="1"/>
    </xf>
    <xf numFmtId="0" fontId="0" fillId="28" borderId="40" xfId="0" applyFill="1" applyBorder="1" applyAlignment="1">
      <alignment horizontal="left" vertical="center"/>
    </xf>
    <xf numFmtId="0" fontId="0" fillId="28" borderId="1" xfId="0" applyFill="1" applyBorder="1" applyAlignment="1">
      <alignment horizontal="left" vertical="center"/>
    </xf>
    <xf numFmtId="0" fontId="0" fillId="28" borderId="41" xfId="0" applyFill="1" applyBorder="1" applyAlignment="1">
      <alignment horizontal="left" vertical="center"/>
    </xf>
    <xf numFmtId="0" fontId="0" fillId="29" borderId="21" xfId="0" applyFill="1" applyBorder="1" applyAlignment="1">
      <alignment horizontal="left" wrapText="1"/>
    </xf>
    <xf numFmtId="0" fontId="0" fillId="29" borderId="30" xfId="0" applyFill="1" applyBorder="1" applyAlignment="1">
      <alignment horizontal="left" wrapText="1"/>
    </xf>
    <xf numFmtId="0" fontId="0" fillId="29" borderId="74" xfId="0" applyFill="1" applyBorder="1" applyAlignment="1">
      <alignment horizontal="left" wrapText="1"/>
    </xf>
    <xf numFmtId="0" fontId="0" fillId="29" borderId="45" xfId="0" applyFill="1" applyBorder="1" applyAlignment="1">
      <alignment horizontal="left" vertical="center"/>
    </xf>
    <xf numFmtId="0" fontId="0" fillId="29" borderId="46" xfId="0" applyFill="1" applyBorder="1" applyAlignment="1">
      <alignment horizontal="left" vertical="center"/>
    </xf>
    <xf numFmtId="0" fontId="0" fillId="29" borderId="1" xfId="0" applyFill="1" applyBorder="1" applyAlignment="1">
      <alignment horizontal="left" vertical="center"/>
    </xf>
    <xf numFmtId="0" fontId="0" fillId="29" borderId="41" xfId="0" applyFill="1" applyBorder="1" applyAlignment="1">
      <alignment horizontal="left" vertical="center"/>
    </xf>
    <xf numFmtId="0" fontId="0" fillId="28" borderId="42" xfId="0" applyFill="1" applyBorder="1" applyAlignment="1">
      <alignment horizontal="left" vertical="center"/>
    </xf>
    <xf numFmtId="0" fontId="0" fillId="28" borderId="30" xfId="0" applyFill="1" applyBorder="1" applyAlignment="1">
      <alignment horizontal="left" vertical="center"/>
    </xf>
    <xf numFmtId="0" fontId="0" fillId="28" borderId="74" xfId="0" applyFill="1" applyBorder="1" applyAlignment="1">
      <alignment horizontal="left" vertical="center"/>
    </xf>
    <xf numFmtId="0" fontId="32" fillId="29" borderId="34" xfId="0" applyFont="1" applyFill="1" applyBorder="1" applyAlignment="1">
      <alignment horizontal="left" vertical="top" wrapText="1"/>
    </xf>
    <xf numFmtId="0" fontId="32" fillId="29" borderId="38" xfId="0" applyFont="1" applyFill="1" applyBorder="1" applyAlignment="1">
      <alignment horizontal="left" vertical="top" wrapText="1"/>
    </xf>
    <xf numFmtId="0" fontId="36" fillId="29" borderId="1" xfId="0" applyFont="1" applyFill="1" applyBorder="1" applyAlignment="1">
      <alignment horizontal="left" vertical="top" wrapText="1"/>
    </xf>
    <xf numFmtId="0" fontId="32" fillId="29" borderId="1" xfId="0" applyFont="1" applyFill="1" applyBorder="1" applyAlignment="1">
      <alignment horizontal="left" vertical="top" wrapText="1"/>
    </xf>
    <xf numFmtId="0" fontId="32" fillId="29" borderId="41" xfId="0" applyFont="1" applyFill="1" applyBorder="1" applyAlignment="1">
      <alignment horizontal="left" vertical="top" wrapText="1"/>
    </xf>
    <xf numFmtId="0" fontId="36" fillId="29" borderId="45" xfId="0" applyFont="1" applyFill="1" applyBorder="1" applyAlignment="1">
      <alignment horizontal="left" vertical="top" wrapText="1"/>
    </xf>
    <xf numFmtId="0" fontId="32" fillId="29" borderId="45" xfId="0" applyFont="1" applyFill="1" applyBorder="1" applyAlignment="1">
      <alignment horizontal="left" vertical="top" wrapText="1"/>
    </xf>
    <xf numFmtId="0" fontId="32" fillId="29" borderId="46" xfId="0" applyFont="1" applyFill="1" applyBorder="1" applyAlignment="1">
      <alignment horizontal="left" vertical="top" wrapText="1"/>
    </xf>
    <xf numFmtId="0" fontId="36" fillId="29" borderId="5" xfId="0" applyFont="1" applyFill="1" applyBorder="1" applyAlignment="1">
      <alignment horizontal="left" vertical="top" wrapText="1"/>
    </xf>
    <xf numFmtId="0" fontId="32" fillId="29" borderId="5" xfId="0" applyFont="1" applyFill="1" applyBorder="1" applyAlignment="1">
      <alignment horizontal="left" vertical="top" wrapText="1"/>
    </xf>
    <xf numFmtId="0" fontId="32" fillId="29" borderId="114" xfId="0" applyFont="1" applyFill="1" applyBorder="1" applyAlignment="1">
      <alignment horizontal="left" vertical="top" wrapText="1"/>
    </xf>
    <xf numFmtId="1"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2" borderId="1" xfId="0" applyFont="1" applyFill="1" applyBorder="1" applyAlignment="1">
      <alignment horizontal="left" vertical="center" wrapText="1"/>
    </xf>
    <xf numFmtId="0" fontId="0" fillId="29" borderId="1" xfId="0" applyFill="1" applyBorder="1" applyAlignment="1">
      <alignment horizontal="left" vertical="top" wrapText="1"/>
    </xf>
    <xf numFmtId="0" fontId="0" fillId="29" borderId="41" xfId="0" applyFill="1" applyBorder="1" applyAlignment="1">
      <alignment horizontal="left" vertical="top" wrapText="1"/>
    </xf>
    <xf numFmtId="0" fontId="221" fillId="29" borderId="1" xfId="0" applyFont="1" applyFill="1" applyBorder="1" applyAlignment="1">
      <alignment horizontal="left" vertical="top" wrapText="1"/>
    </xf>
    <xf numFmtId="0" fontId="36" fillId="29" borderId="41" xfId="0" applyFont="1" applyFill="1" applyBorder="1" applyAlignment="1">
      <alignment horizontal="left" vertical="top" wrapText="1"/>
    </xf>
    <xf numFmtId="1" fontId="4" fillId="0" borderId="5" xfId="0" applyNumberFormat="1" applyFont="1" applyBorder="1" applyAlignment="1">
      <alignment horizontal="center" vertical="center"/>
    </xf>
    <xf numFmtId="1" fontId="4" fillId="0" borderId="28" xfId="0" applyNumberFormat="1" applyFont="1" applyBorder="1" applyAlignment="1">
      <alignment horizontal="center" vertical="center"/>
    </xf>
    <xf numFmtId="1" fontId="4" fillId="0" borderId="3" xfId="0" applyNumberFormat="1" applyFont="1" applyBorder="1" applyAlignment="1">
      <alignment horizontal="center" vertical="center"/>
    </xf>
    <xf numFmtId="0" fontId="14" fillId="2" borderId="79" xfId="1" applyFont="1" applyFill="1" applyBorder="1" applyAlignment="1" applyProtection="1">
      <alignment horizontal="center" vertical="center"/>
      <protection locked="0"/>
    </xf>
    <xf numFmtId="0" fontId="126" fillId="29" borderId="1" xfId="0" applyFont="1" applyFill="1" applyBorder="1" applyAlignment="1">
      <alignment horizontal="left" vertical="top" wrapText="1"/>
    </xf>
    <xf numFmtId="0" fontId="4" fillId="2" borderId="3" xfId="0" applyFont="1" applyFill="1" applyBorder="1" applyAlignment="1">
      <alignment horizontal="left" vertical="center" wrapText="1"/>
    </xf>
    <xf numFmtId="0" fontId="14" fillId="2" borderId="40" xfId="1" applyFont="1" applyFill="1" applyBorder="1" applyAlignment="1" applyProtection="1">
      <alignment horizontal="center" vertical="center"/>
      <protection locked="0"/>
    </xf>
    <xf numFmtId="0" fontId="14" fillId="2" borderId="78" xfId="1" applyFont="1" applyFill="1" applyBorder="1" applyAlignment="1" applyProtection="1">
      <alignment horizontal="center" vertical="center"/>
      <protection locked="0"/>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2" borderId="5" xfId="0" applyFont="1" applyFill="1" applyBorder="1" applyAlignment="1">
      <alignment horizontal="left" vertical="center" wrapText="1"/>
    </xf>
    <xf numFmtId="0" fontId="4" fillId="2" borderId="87" xfId="0" applyFont="1" applyFill="1" applyBorder="1" applyAlignment="1">
      <alignment horizontal="left" vertical="center" wrapText="1"/>
    </xf>
    <xf numFmtId="0" fontId="4" fillId="2" borderId="28" xfId="0" applyFont="1" applyFill="1" applyBorder="1" applyAlignment="1">
      <alignment horizontal="left" vertical="center" wrapText="1"/>
    </xf>
    <xf numFmtId="1" fontId="4" fillId="0" borderId="87" xfId="0" applyNumberFormat="1" applyFont="1" applyBorder="1" applyAlignment="1">
      <alignment horizontal="center" vertical="center"/>
    </xf>
    <xf numFmtId="0" fontId="14" fillId="2" borderId="88" xfId="1" applyFont="1" applyFill="1" applyBorder="1" applyAlignment="1" applyProtection="1">
      <alignment horizontal="center" vertical="center"/>
      <protection locked="0"/>
    </xf>
    <xf numFmtId="0" fontId="36" fillId="29" borderId="114" xfId="0" applyFont="1" applyFill="1" applyBorder="1" applyAlignment="1">
      <alignment horizontal="left" vertical="top" wrapText="1"/>
    </xf>
    <xf numFmtId="0" fontId="16" fillId="2" borderId="40" xfId="1" applyFont="1" applyFill="1" applyBorder="1" applyAlignment="1" applyProtection="1">
      <alignment horizontal="center" vertical="center"/>
      <protection locked="0"/>
    </xf>
    <xf numFmtId="0" fontId="4" fillId="29" borderId="1" xfId="0" applyFont="1" applyFill="1" applyBorder="1" applyAlignment="1">
      <alignment horizontal="left" vertical="top" wrapText="1"/>
    </xf>
    <xf numFmtId="0" fontId="222" fillId="29" borderId="3" xfId="0" applyFont="1" applyFill="1" applyBorder="1" applyAlignment="1">
      <alignment horizontal="left" vertical="top" wrapText="1"/>
    </xf>
    <xf numFmtId="0" fontId="32" fillId="29" borderId="3" xfId="0" applyFont="1" applyFill="1" applyBorder="1" applyAlignment="1">
      <alignment horizontal="left" vertical="top" wrapText="1"/>
    </xf>
    <xf numFmtId="0" fontId="32" fillId="29" borderId="115" xfId="0" applyFont="1" applyFill="1" applyBorder="1" applyAlignment="1">
      <alignment horizontal="left" vertical="top" wrapText="1"/>
    </xf>
    <xf numFmtId="0" fontId="0" fillId="2" borderId="21" xfId="0" applyFill="1" applyBorder="1" applyAlignment="1" applyProtection="1">
      <alignment horizontal="center"/>
      <protection locked="0"/>
    </xf>
    <xf numFmtId="0" fontId="0" fillId="2" borderId="30"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6" xfId="0" applyFill="1" applyBorder="1" applyAlignment="1" applyProtection="1">
      <alignment horizontal="left" wrapText="1"/>
      <protection locked="0"/>
    </xf>
    <xf numFmtId="0" fontId="0" fillId="2" borderId="2" xfId="0" applyFill="1" applyBorder="1" applyAlignment="1" applyProtection="1">
      <alignment horizontal="left" wrapText="1"/>
      <protection locked="0"/>
    </xf>
    <xf numFmtId="0" fontId="0" fillId="2" borderId="7" xfId="0"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0" fillId="40" borderId="0" xfId="0" applyFill="1" applyAlignment="1">
      <alignment horizontal="left" vertical="top"/>
    </xf>
    <xf numFmtId="0" fontId="0" fillId="9" borderId="21" xfId="0" applyFill="1" applyBorder="1" applyAlignment="1">
      <alignment horizontal="center"/>
    </xf>
    <xf numFmtId="0" fontId="0" fillId="9" borderId="30" xfId="0" applyFill="1" applyBorder="1" applyAlignment="1">
      <alignment horizontal="center"/>
    </xf>
    <xf numFmtId="0" fontId="0" fillId="9" borderId="22" xfId="0" applyFill="1" applyBorder="1" applyAlignment="1">
      <alignment horizontal="center"/>
    </xf>
    <xf numFmtId="0" fontId="22" fillId="14" borderId="0" xfId="0" applyFont="1" applyFill="1" applyAlignment="1">
      <alignment horizontal="center"/>
    </xf>
    <xf numFmtId="0" fontId="22" fillId="14" borderId="0" xfId="0" applyFont="1" applyFill="1" applyAlignment="1">
      <alignment horizont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wrapText="1"/>
    </xf>
    <xf numFmtId="0" fontId="0" fillId="14" borderId="0" xfId="0" applyFill="1" applyAlignment="1">
      <alignment horizontal="center"/>
    </xf>
    <xf numFmtId="0" fontId="62" fillId="0" borderId="0" xfId="0" applyFont="1" applyAlignment="1">
      <alignment wrapText="1"/>
    </xf>
    <xf numFmtId="0" fontId="76" fillId="14" borderId="0" xfId="0" applyFont="1" applyFill="1" applyAlignment="1">
      <alignment horizontal="center" wrapText="1"/>
    </xf>
    <xf numFmtId="0" fontId="0" fillId="14" borderId="0" xfId="0" applyFill="1" applyAlignment="1">
      <alignment horizontal="center" wrapText="1"/>
    </xf>
    <xf numFmtId="0" fontId="4" fillId="0" borderId="0" xfId="0" applyFont="1" applyAlignment="1">
      <alignment horizontal="center"/>
    </xf>
    <xf numFmtId="0" fontId="4" fillId="35" borderId="0" xfId="0" applyFont="1" applyFill="1" applyAlignment="1">
      <alignment horizontal="center"/>
    </xf>
  </cellXfs>
  <cellStyles count="11">
    <cellStyle name="60% - Accent4 2" xfId="10" xr:uid="{913D27FC-0C6F-449A-9BB1-1C2682400F23}"/>
    <cellStyle name="Comma" xfId="3" builtinId="3"/>
    <cellStyle name="Comma 2" xfId="6" xr:uid="{0F7F0130-B010-4BBD-BD0C-099EF48A1487}"/>
    <cellStyle name="Currency" xfId="4" builtinId="4"/>
    <cellStyle name="Currency 2" xfId="7" xr:uid="{E1CE7DC4-B62E-4FF9-BFC9-3A32F58EDED6}"/>
    <cellStyle name="Hyperlink" xfId="1" builtinId="8"/>
    <cellStyle name="Normal" xfId="0" builtinId="0"/>
    <cellStyle name="Normal 2" xfId="5" xr:uid="{4D1932E3-2B08-47CE-9775-7A5B05BC001A}"/>
    <cellStyle name="Normal 3" xfId="9" xr:uid="{805C707D-1EBE-4CE8-9F8A-162A21295DF4}"/>
    <cellStyle name="Normal_Sources &amp; Uses" xfId="8" xr:uid="{E0732F2F-C6F2-4CEB-B1A8-6D20AC706E1C}"/>
    <cellStyle name="Percent" xfId="2" builtinId="5"/>
  </cellStyles>
  <dxfs count="390">
    <dxf>
      <fill>
        <patternFill>
          <bgColor rgb="FFFF0000"/>
        </patternFill>
      </fill>
    </dxf>
    <dxf>
      <fill>
        <patternFill patternType="darkDown">
          <bgColor theme="0" tint="-0.49998474074526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b/>
        <i val="0"/>
        <strike val="0"/>
        <color rgb="FFC00000"/>
      </font>
    </dxf>
    <dxf>
      <font>
        <b/>
        <i val="0"/>
        <color rgb="FFFF0000"/>
      </font>
    </dxf>
    <dxf>
      <font>
        <b/>
        <i val="0"/>
        <color rgb="FFC00000"/>
      </font>
    </dxf>
    <dxf>
      <font>
        <b/>
        <i val="0"/>
        <strike val="0"/>
        <color rgb="FFC00000"/>
      </font>
    </dxf>
    <dxf>
      <font>
        <color rgb="FF056A38"/>
      </font>
      <fill>
        <patternFill patternType="solid">
          <fgColor auto="1"/>
          <bgColor theme="9" tint="0.79998168889431442"/>
        </patternFill>
      </fill>
    </dxf>
    <dxf>
      <font>
        <color rgb="FFFF0000"/>
      </font>
      <fill>
        <patternFill patternType="solid">
          <fgColor auto="1"/>
          <bgColor rgb="FFFFCCCC"/>
        </patternFill>
      </fill>
    </dxf>
    <dxf>
      <font>
        <color rgb="FF056A38"/>
      </font>
      <fill>
        <patternFill>
          <bgColor theme="9" tint="0.79998168889431442"/>
        </patternFill>
      </fill>
    </dxf>
    <dxf>
      <font>
        <color rgb="FFFF0000"/>
      </font>
      <fill>
        <patternFill>
          <bgColor rgb="FFFFCCCC"/>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0"/>
        </patternFill>
      </fill>
    </dxf>
    <dxf>
      <fill>
        <patternFill>
          <bgColor theme="0"/>
        </patternFill>
      </fill>
    </dxf>
    <dxf>
      <fill>
        <patternFill>
          <bgColor theme="0"/>
        </patternFill>
      </fill>
    </dxf>
    <dxf>
      <numFmt numFmtId="190" formatCode="#&quot;%&quot;"/>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0" formatCode="#&quot;%&quot;"/>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0" formatCode="#&quot;%&quot;"/>
    </dxf>
    <dxf>
      <fill>
        <patternFill>
          <bgColor theme="1"/>
        </patternFill>
      </fill>
    </dxf>
    <dxf>
      <fill>
        <patternFill>
          <bgColor theme="0"/>
        </patternFill>
      </fill>
    </dxf>
    <dxf>
      <fill>
        <patternFill>
          <bgColor theme="0"/>
        </patternFill>
      </fill>
    </dxf>
    <dxf>
      <numFmt numFmtId="190" formatCode="#&quot;%&quot;"/>
    </dxf>
    <dxf>
      <fill>
        <patternFill>
          <bgColor theme="0"/>
        </patternFill>
      </fill>
    </dxf>
    <dxf>
      <fill>
        <patternFill>
          <bgColor theme="0"/>
        </patternFill>
      </fill>
    </dxf>
    <dxf>
      <fill>
        <patternFill>
          <bgColor theme="1"/>
        </patternFill>
      </fill>
    </dxf>
    <dxf>
      <numFmt numFmtId="190" formatCode="#&quot;%&quo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FFFF99"/>
      </font>
    </dxf>
    <dxf>
      <fill>
        <patternFill>
          <bgColor rgb="FF00B050"/>
        </patternFill>
      </fill>
    </dxf>
    <dxf>
      <fill>
        <patternFill>
          <bgColor rgb="FF00B05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ill>
        <patternFill>
          <bgColor rgb="FF92D050"/>
        </patternFill>
      </fill>
    </dxf>
    <dxf>
      <font>
        <b/>
        <i val="0"/>
        <color rgb="FFC00000"/>
      </font>
    </dxf>
    <dxf>
      <font>
        <b/>
        <i val="0"/>
        <color rgb="FFC00000"/>
      </font>
    </dxf>
    <dxf>
      <fill>
        <patternFill>
          <bgColor rgb="FFFF00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C00000"/>
      </font>
      <fill>
        <patternFill>
          <fgColor rgb="FFFFCCCC"/>
          <bgColor rgb="FFFFCCCC"/>
        </patternFill>
      </fill>
    </dxf>
    <dxf>
      <font>
        <strike val="0"/>
      </font>
      <fill>
        <patternFill>
          <bgColor rgb="FF92D050"/>
        </patternFill>
      </fill>
    </dxf>
    <dxf>
      <font>
        <color rgb="FFC00000"/>
      </font>
      <fill>
        <patternFill>
          <fgColor rgb="FFFFCCCC"/>
          <bgColor rgb="FFFFCCCC"/>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strike val="0"/>
        <color rgb="FFC00000"/>
      </font>
    </dxf>
    <dxf>
      <font>
        <b/>
        <i val="0"/>
        <strike val="0"/>
        <color rgb="FFC00000"/>
      </font>
    </dxf>
    <dxf>
      <font>
        <b/>
        <i val="0"/>
        <strike val="0"/>
        <color rgb="FFC00000"/>
      </font>
    </dxf>
    <dxf>
      <font>
        <b/>
        <i val="0"/>
        <strike val="0"/>
        <color rgb="FFC00000"/>
      </font>
    </dxf>
    <dxf>
      <font>
        <b/>
        <i val="0"/>
        <strike val="0"/>
        <color rgb="FFC00000"/>
      </font>
    </dxf>
    <dxf>
      <font>
        <b/>
        <i val="0"/>
        <color rgb="FFC00000"/>
      </font>
    </dxf>
    <dxf>
      <fill>
        <patternFill>
          <bgColor rgb="FFFFFF00"/>
        </patternFill>
      </fill>
    </dxf>
    <dxf>
      <fill>
        <patternFill>
          <bgColor theme="9" tint="0.39994506668294322"/>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patternType="solid">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border>
        <left style="thin">
          <color auto="1"/>
        </left>
        <right style="thin">
          <color auto="1"/>
        </right>
        <top style="thin">
          <color auto="1"/>
        </top>
        <bottom style="thin">
          <color auto="1"/>
        </bottom>
      </border>
    </dxf>
    <dxf>
      <font>
        <color theme="1"/>
      </font>
      <fill>
        <patternFill patternType="solid">
          <bgColor rgb="FF92D050"/>
        </patternFill>
      </fill>
    </dxf>
    <dxf>
      <font>
        <color theme="1"/>
      </font>
      <fill>
        <patternFill patternType="solid">
          <bgColor theme="2"/>
        </patternFill>
      </fill>
    </dxf>
    <dxf>
      <font>
        <color auto="1"/>
      </font>
    </dxf>
    <dxf>
      <font>
        <color theme="1"/>
      </font>
      <fill>
        <patternFill patternType="solid">
          <bgColor theme="0"/>
        </patternFill>
      </fill>
      <border>
        <left style="thin">
          <color rgb="FF000000"/>
        </left>
        <right style="thin">
          <color rgb="FF000000"/>
        </right>
        <top style="thin">
          <color rgb="FF000000"/>
        </top>
        <bottom style="thin">
          <color rgb="FF000000"/>
        </bottom>
      </border>
    </dxf>
    <dxf>
      <font>
        <b/>
        <i/>
      </font>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auto="1"/>
        <name val="Calibri"/>
        <family val="2"/>
        <scheme val="none"/>
      </font>
      <fill>
        <patternFill patternType="solid">
          <fgColor indexed="64"/>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s>
  <tableStyles count="0" defaultTableStyle="TableStyleMedium2" defaultPivotStyle="PivotStyleLight16"/>
  <colors>
    <mruColors>
      <color rgb="FFF2F2F2"/>
      <color rgb="FFFFFF99"/>
      <color rgb="FF056A38"/>
      <color rgb="FF91262E"/>
      <color rgb="FFFFFFFF"/>
      <color rgb="FFD9D9D9"/>
      <color rgb="FFF2EDDC"/>
      <color rgb="FFFFCCCC"/>
      <color rgb="FF808184"/>
      <color rgb="FFDFD2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447675</xdr:colOff>
      <xdr:row>7</xdr:row>
      <xdr:rowOff>85725</xdr:rowOff>
    </xdr:from>
    <xdr:to>
      <xdr:col>6</xdr:col>
      <xdr:colOff>130175</xdr:colOff>
      <xdr:row>14</xdr:row>
      <xdr:rowOff>169320</xdr:rowOff>
    </xdr:to>
    <xdr:pic>
      <xdr:nvPicPr>
        <xdr:cNvPr id="3" name="image1.jpeg">
          <a:extLst>
            <a:ext uri="{FF2B5EF4-FFF2-40B4-BE49-F238E27FC236}">
              <a16:creationId xmlns:a16="http://schemas.microsoft.com/office/drawing/2014/main" id="{AEBF396C-1FA2-4334-A048-B5493DB111D4}"/>
            </a:ext>
          </a:extLst>
        </xdr:cNvPr>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695450" y="1447800"/>
          <a:ext cx="2040890" cy="15923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F5E532-D07E-4D7B-B835-63FEE36E4080}" name="Table3" displayName="Table3" ref="BA121:BA133" headerRowCount="0" totalsRowShown="0" headerRowDxfId="389" dataDxfId="388">
  <tableColumns count="1">
    <tableColumn id="1" xr3:uid="{59DFED0B-240C-443F-887A-288A7E461CB2}" name="Column1" headerRowDxfId="387" dataDxfId="386">
      <calculatedColumnFormula>_xlfn.XLOOKUP(AZ121,$AX$121:$AX$133,'12. Funding Sources'!$C$11:$C$23,"")</calculatedColumnFormula>
    </tableColumn>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hedacom.sharepoint.com/Master%20Smartdox%20Templates/efrancis/AppData/Local/Microsoft/Windows/INetCache/Content.Outlook/:x:/s/2025-2026HTCTechUpdate/ERxfXJi3HeRMv_lkhB3S0FYBA_Hkf0_DBcpqp_E89QLytw" TargetMode="External"/><Relationship Id="rId1" Type="http://schemas.openxmlformats.org/officeDocument/2006/relationships/hyperlink" Target="https://whedacom.sharepoint.com/Master%20Smartdox%20Templates/efrancis/AppData/Local/Microsoft/Windows/INetCache/Content.Outlook/:x:/s/2025-2026HTCTechUpdate/ERxfXJi3HeRMv_lkhB3S0FYBA_Hkf0_DBcpqp_E89QLytw"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F295F-4ECA-4CF9-B687-99D6A8AAC500}">
  <sheetPr codeName="Sheet14"/>
  <dimension ref="A1:L92"/>
  <sheetViews>
    <sheetView workbookViewId="0"/>
  </sheetViews>
  <sheetFormatPr defaultColWidth="8.85546875" defaultRowHeight="15"/>
  <cols>
    <col min="1" max="1" width="9" style="303" bestFit="1" customWidth="1"/>
    <col min="2" max="2" width="10.140625" style="303" bestFit="1" customWidth="1"/>
    <col min="3" max="3" width="15.5703125" style="303" hidden="1" customWidth="1"/>
    <col min="4" max="4" width="16.140625" style="303" hidden="1" customWidth="1"/>
    <col min="5" max="5" width="11.5703125" style="304" bestFit="1" customWidth="1"/>
    <col min="6" max="6" width="12.28515625" style="309" hidden="1" customWidth="1"/>
    <col min="7" max="7" width="28.85546875" style="307" bestFit="1" customWidth="1"/>
    <col min="8" max="8" width="101.140625" style="305" customWidth="1"/>
    <col min="9" max="9" width="20.140625" style="303" bestFit="1" customWidth="1"/>
    <col min="10" max="10" width="18.42578125" style="303" bestFit="1" customWidth="1"/>
    <col min="11" max="11" width="13.5703125" style="303" bestFit="1" customWidth="1"/>
    <col min="12" max="12" width="18.42578125" style="303" bestFit="1" customWidth="1"/>
    <col min="13" max="16384" width="8.85546875" style="303"/>
  </cols>
  <sheetData>
    <row r="1" spans="1:12" s="300" customFormat="1">
      <c r="A1" s="300" t="s">
        <v>0</v>
      </c>
      <c r="B1" s="300" t="s">
        <v>1</v>
      </c>
      <c r="C1" s="300" t="s">
        <v>2</v>
      </c>
      <c r="D1" s="300" t="s">
        <v>3</v>
      </c>
      <c r="E1" s="301" t="s">
        <v>4</v>
      </c>
      <c r="F1" s="308" t="s">
        <v>5</v>
      </c>
      <c r="G1" s="316" t="s">
        <v>6</v>
      </c>
      <c r="H1" s="302" t="s">
        <v>7</v>
      </c>
      <c r="I1" s="300" t="s">
        <v>8</v>
      </c>
      <c r="J1" s="300" t="s">
        <v>9</v>
      </c>
      <c r="K1" s="300" t="s">
        <v>10</v>
      </c>
      <c r="L1" s="300" t="s">
        <v>11</v>
      </c>
    </row>
    <row r="2" spans="1:12" ht="30">
      <c r="B2" s="303" t="s">
        <v>12</v>
      </c>
      <c r="C2" s="303">
        <v>0.85</v>
      </c>
      <c r="D2" s="303" t="s">
        <v>13</v>
      </c>
      <c r="E2" s="304">
        <v>44075</v>
      </c>
      <c r="H2" s="305" t="s">
        <v>14</v>
      </c>
      <c r="I2" s="303" t="s">
        <v>15</v>
      </c>
      <c r="J2" s="303" t="s">
        <v>16</v>
      </c>
      <c r="K2" s="303" t="s">
        <v>15</v>
      </c>
      <c r="L2" s="303" t="s">
        <v>17</v>
      </c>
    </row>
    <row r="3" spans="1:12" ht="30">
      <c r="B3" s="303" t="s">
        <v>18</v>
      </c>
      <c r="C3" s="303" t="s">
        <v>12</v>
      </c>
      <c r="D3" s="303" t="s">
        <v>19</v>
      </c>
      <c r="E3" s="304">
        <v>44076</v>
      </c>
      <c r="H3" s="305" t="s">
        <v>20</v>
      </c>
      <c r="I3" s="303" t="s">
        <v>21</v>
      </c>
      <c r="J3" s="303" t="s">
        <v>22</v>
      </c>
      <c r="K3" s="303" t="s">
        <v>15</v>
      </c>
    </row>
    <row r="4" spans="1:12" ht="30">
      <c r="B4" s="303" t="s">
        <v>23</v>
      </c>
      <c r="C4" s="303" t="s">
        <v>18</v>
      </c>
      <c r="D4" s="303" t="s">
        <v>13</v>
      </c>
      <c r="E4" s="304">
        <v>44076</v>
      </c>
      <c r="G4" s="307" t="s">
        <v>24</v>
      </c>
      <c r="H4" s="305" t="s">
        <v>25</v>
      </c>
      <c r="I4" s="303" t="s">
        <v>26</v>
      </c>
      <c r="J4" s="303" t="s">
        <v>17</v>
      </c>
      <c r="K4" s="303" t="s">
        <v>15</v>
      </c>
      <c r="L4" s="303" t="s">
        <v>17</v>
      </c>
    </row>
    <row r="5" spans="1:12" ht="30">
      <c r="B5" s="303" t="s">
        <v>27</v>
      </c>
      <c r="C5" s="303" t="s">
        <v>23</v>
      </c>
      <c r="D5" s="303" t="s">
        <v>13</v>
      </c>
      <c r="E5" s="304">
        <v>44077</v>
      </c>
      <c r="G5" s="307" t="s">
        <v>28</v>
      </c>
      <c r="H5" s="305" t="s">
        <v>29</v>
      </c>
      <c r="I5" s="303" t="s">
        <v>30</v>
      </c>
      <c r="J5" s="303" t="s">
        <v>17</v>
      </c>
      <c r="K5" s="303" t="s">
        <v>15</v>
      </c>
      <c r="L5" s="303" t="s">
        <v>30</v>
      </c>
    </row>
    <row r="6" spans="1:12">
      <c r="B6" s="303" t="s">
        <v>31</v>
      </c>
      <c r="C6" s="303" t="s">
        <v>27</v>
      </c>
      <c r="D6" s="303" t="s">
        <v>19</v>
      </c>
      <c r="E6" s="304">
        <v>44077</v>
      </c>
      <c r="H6" s="305" t="s">
        <v>32</v>
      </c>
      <c r="I6" s="303" t="s">
        <v>30</v>
      </c>
      <c r="J6" s="303" t="s">
        <v>17</v>
      </c>
      <c r="K6" s="303" t="s">
        <v>15</v>
      </c>
      <c r="L6" s="303" t="s">
        <v>30</v>
      </c>
    </row>
    <row r="7" spans="1:12">
      <c r="B7" s="303" t="s">
        <v>33</v>
      </c>
      <c r="C7" s="303" t="s">
        <v>31</v>
      </c>
      <c r="D7" s="303" t="s">
        <v>19</v>
      </c>
      <c r="E7" s="304">
        <v>44078</v>
      </c>
      <c r="H7" s="305" t="s">
        <v>34</v>
      </c>
      <c r="I7" s="303" t="s">
        <v>30</v>
      </c>
      <c r="J7" s="303" t="s">
        <v>17</v>
      </c>
      <c r="K7" s="303" t="s">
        <v>15</v>
      </c>
      <c r="L7" s="303" t="s">
        <v>30</v>
      </c>
    </row>
    <row r="8" spans="1:12" ht="30">
      <c r="B8" s="303" t="s">
        <v>35</v>
      </c>
      <c r="C8" s="303" t="s">
        <v>33</v>
      </c>
      <c r="D8" s="303" t="s">
        <v>19</v>
      </c>
      <c r="E8" s="304">
        <v>44078</v>
      </c>
      <c r="H8" s="305" t="s">
        <v>36</v>
      </c>
      <c r="I8" s="303" t="s">
        <v>26</v>
      </c>
      <c r="J8" s="303" t="s">
        <v>17</v>
      </c>
      <c r="K8" s="303" t="s">
        <v>15</v>
      </c>
      <c r="L8" s="303" t="s">
        <v>17</v>
      </c>
    </row>
    <row r="9" spans="1:12" ht="60">
      <c r="B9" s="303" t="s">
        <v>37</v>
      </c>
      <c r="C9" s="303" t="s">
        <v>35</v>
      </c>
      <c r="D9" s="303" t="s">
        <v>19</v>
      </c>
      <c r="E9" s="304">
        <v>44091</v>
      </c>
      <c r="H9" s="305" t="s">
        <v>38</v>
      </c>
      <c r="I9" s="303" t="s">
        <v>39</v>
      </c>
      <c r="J9" s="303" t="s">
        <v>17</v>
      </c>
      <c r="K9" s="303" t="s">
        <v>15</v>
      </c>
      <c r="L9" s="303" t="s">
        <v>39</v>
      </c>
    </row>
    <row r="10" spans="1:12">
      <c r="B10" s="303" t="s">
        <v>40</v>
      </c>
      <c r="C10" s="303" t="s">
        <v>37</v>
      </c>
      <c r="D10" s="303" t="s">
        <v>19</v>
      </c>
      <c r="E10" s="304">
        <v>44091</v>
      </c>
      <c r="H10" s="305" t="s">
        <v>41</v>
      </c>
      <c r="I10" s="303" t="s">
        <v>42</v>
      </c>
      <c r="J10" s="303" t="s">
        <v>17</v>
      </c>
      <c r="K10" s="303" t="s">
        <v>15</v>
      </c>
      <c r="L10" s="303" t="s">
        <v>17</v>
      </c>
    </row>
    <row r="11" spans="1:12" ht="90">
      <c r="B11" s="303" t="s">
        <v>43</v>
      </c>
      <c r="C11" s="303" t="s">
        <v>40</v>
      </c>
      <c r="D11" s="303" t="s">
        <v>19</v>
      </c>
      <c r="E11" s="304">
        <v>44095</v>
      </c>
      <c r="H11" s="302" t="s">
        <v>44</v>
      </c>
      <c r="I11" s="303" t="s">
        <v>45</v>
      </c>
      <c r="J11" s="303" t="s">
        <v>42</v>
      </c>
      <c r="K11" s="303" t="s">
        <v>15</v>
      </c>
      <c r="L11" s="303" t="s">
        <v>45</v>
      </c>
    </row>
    <row r="12" spans="1:12" ht="30">
      <c r="B12" s="303" t="s">
        <v>46</v>
      </c>
      <c r="C12" s="303" t="s">
        <v>43</v>
      </c>
      <c r="D12" s="303" t="s">
        <v>19</v>
      </c>
      <c r="E12" s="304">
        <v>44098</v>
      </c>
      <c r="H12" s="305" t="s">
        <v>47</v>
      </c>
      <c r="I12" s="303" t="s">
        <v>45</v>
      </c>
      <c r="J12" s="303" t="s">
        <v>17</v>
      </c>
      <c r="K12" s="303" t="s">
        <v>15</v>
      </c>
    </row>
    <row r="13" spans="1:12">
      <c r="B13" s="303" t="s">
        <v>48</v>
      </c>
      <c r="C13" s="303" t="s">
        <v>46</v>
      </c>
      <c r="D13" s="303" t="s">
        <v>13</v>
      </c>
      <c r="E13" s="304">
        <v>44102</v>
      </c>
      <c r="H13" s="305" t="s">
        <v>49</v>
      </c>
      <c r="I13" s="303" t="s">
        <v>50</v>
      </c>
      <c r="J13" s="303" t="s">
        <v>17</v>
      </c>
      <c r="K13" s="303" t="s">
        <v>15</v>
      </c>
      <c r="L13" s="303" t="s">
        <v>17</v>
      </c>
    </row>
    <row r="14" spans="1:12">
      <c r="B14" s="303" t="s">
        <v>51</v>
      </c>
      <c r="C14" s="303" t="s">
        <v>48</v>
      </c>
      <c r="D14" s="303" t="s">
        <v>19</v>
      </c>
      <c r="E14" s="304">
        <v>44103</v>
      </c>
      <c r="H14" s="305" t="s">
        <v>52</v>
      </c>
      <c r="I14" s="303" t="s">
        <v>45</v>
      </c>
      <c r="J14" s="303" t="s">
        <v>17</v>
      </c>
      <c r="K14" s="303" t="s">
        <v>15</v>
      </c>
      <c r="L14" s="303" t="s">
        <v>45</v>
      </c>
    </row>
    <row r="15" spans="1:12">
      <c r="B15" s="303" t="s">
        <v>53</v>
      </c>
      <c r="C15" s="303" t="s">
        <v>51</v>
      </c>
      <c r="D15" s="303" t="s">
        <v>13</v>
      </c>
      <c r="E15" s="304">
        <v>44110</v>
      </c>
      <c r="H15" s="305" t="s">
        <v>54</v>
      </c>
      <c r="I15" s="303" t="s">
        <v>55</v>
      </c>
      <c r="J15" s="303" t="s">
        <v>17</v>
      </c>
      <c r="K15" s="303" t="s">
        <v>15</v>
      </c>
      <c r="L15" s="303" t="s">
        <v>55</v>
      </c>
    </row>
    <row r="16" spans="1:12" ht="409.5">
      <c r="B16" s="303" t="s">
        <v>56</v>
      </c>
      <c r="C16" s="303" t="s">
        <v>53</v>
      </c>
      <c r="D16" s="303" t="s">
        <v>19</v>
      </c>
      <c r="E16" s="304">
        <v>44111</v>
      </c>
      <c r="H16" s="305" t="s">
        <v>57</v>
      </c>
      <c r="I16" s="303" t="s">
        <v>58</v>
      </c>
      <c r="J16" s="303" t="s">
        <v>42</v>
      </c>
      <c r="K16" s="303" t="s">
        <v>15</v>
      </c>
      <c r="L16" s="303" t="s">
        <v>39</v>
      </c>
    </row>
    <row r="17" spans="2:12">
      <c r="B17" s="303" t="s">
        <v>59</v>
      </c>
      <c r="C17" s="303" t="s">
        <v>56</v>
      </c>
      <c r="D17" s="303" t="s">
        <v>13</v>
      </c>
      <c r="E17" s="304">
        <v>44112</v>
      </c>
      <c r="H17" s="305" t="s">
        <v>60</v>
      </c>
      <c r="I17" s="303" t="s">
        <v>42</v>
      </c>
      <c r="J17" s="303" t="s">
        <v>42</v>
      </c>
      <c r="K17" s="303" t="s">
        <v>15</v>
      </c>
      <c r="L17" s="303" t="s">
        <v>42</v>
      </c>
    </row>
    <row r="18" spans="2:12">
      <c r="B18" s="303" t="s">
        <v>61</v>
      </c>
      <c r="C18" s="303" t="s">
        <v>59</v>
      </c>
      <c r="D18" s="303" t="s">
        <v>19</v>
      </c>
      <c r="E18" s="304">
        <v>44116</v>
      </c>
      <c r="H18" s="305" t="s">
        <v>62</v>
      </c>
      <c r="I18" s="303" t="s">
        <v>50</v>
      </c>
      <c r="J18" s="303" t="s">
        <v>50</v>
      </c>
      <c r="K18" s="303" t="s">
        <v>15</v>
      </c>
      <c r="L18" s="303" t="s">
        <v>50</v>
      </c>
    </row>
    <row r="19" spans="2:12">
      <c r="B19" s="303" t="s">
        <v>63</v>
      </c>
      <c r="C19" s="303" t="s">
        <v>61</v>
      </c>
      <c r="D19" s="303" t="s">
        <v>13</v>
      </c>
      <c r="E19" s="304">
        <v>44117</v>
      </c>
      <c r="H19" s="305" t="s">
        <v>64</v>
      </c>
      <c r="I19" s="303" t="s">
        <v>42</v>
      </c>
      <c r="J19" s="303" t="s">
        <v>42</v>
      </c>
      <c r="K19" s="303" t="s">
        <v>15</v>
      </c>
      <c r="L19" s="303" t="s">
        <v>42</v>
      </c>
    </row>
    <row r="20" spans="2:12">
      <c r="B20" s="303" t="s">
        <v>65</v>
      </c>
      <c r="C20" s="303" t="s">
        <v>63</v>
      </c>
      <c r="D20" s="303" t="s">
        <v>19</v>
      </c>
      <c r="E20" s="304">
        <v>44119</v>
      </c>
      <c r="H20" s="305" t="s">
        <v>66</v>
      </c>
      <c r="I20" s="303" t="s">
        <v>42</v>
      </c>
      <c r="J20" s="303" t="s">
        <v>42</v>
      </c>
      <c r="K20" s="303" t="s">
        <v>15</v>
      </c>
      <c r="L20" s="303" t="s">
        <v>50</v>
      </c>
    </row>
    <row r="21" spans="2:12" ht="225">
      <c r="B21" s="303" t="s">
        <v>67</v>
      </c>
      <c r="C21" s="303" t="s">
        <v>65</v>
      </c>
      <c r="D21" s="303" t="s">
        <v>19</v>
      </c>
      <c r="E21" s="304">
        <v>44133</v>
      </c>
      <c r="H21" s="305" t="s">
        <v>68</v>
      </c>
      <c r="I21" s="303" t="s">
        <v>42</v>
      </c>
      <c r="J21" s="303" t="s">
        <v>42</v>
      </c>
      <c r="K21" s="303" t="s">
        <v>15</v>
      </c>
      <c r="L21" s="303" t="s">
        <v>39</v>
      </c>
    </row>
    <row r="22" spans="2:12" ht="409.5">
      <c r="B22" s="303" t="s">
        <v>69</v>
      </c>
      <c r="C22" s="303" t="s">
        <v>67</v>
      </c>
      <c r="D22" s="303" t="s">
        <v>19</v>
      </c>
      <c r="E22" s="304">
        <v>44133</v>
      </c>
      <c r="H22" s="305" t="s">
        <v>70</v>
      </c>
      <c r="I22" s="303" t="s">
        <v>42</v>
      </c>
      <c r="J22" s="303" t="s">
        <v>42</v>
      </c>
      <c r="K22" s="303" t="s">
        <v>15</v>
      </c>
      <c r="L22" s="303" t="s">
        <v>50</v>
      </c>
    </row>
    <row r="23" spans="2:12" ht="30">
      <c r="B23" s="303" t="s">
        <v>71</v>
      </c>
      <c r="C23" s="303" t="s">
        <v>69</v>
      </c>
      <c r="D23" s="303" t="s">
        <v>19</v>
      </c>
      <c r="E23" s="304">
        <v>44146</v>
      </c>
      <c r="G23" s="307" t="s">
        <v>72</v>
      </c>
      <c r="H23" s="305" t="s">
        <v>73</v>
      </c>
      <c r="I23" s="303" t="s">
        <v>50</v>
      </c>
      <c r="J23" s="303" t="s">
        <v>42</v>
      </c>
      <c r="K23" s="303" t="s">
        <v>15</v>
      </c>
      <c r="L23" s="303" t="s">
        <v>50</v>
      </c>
    </row>
    <row r="24" spans="2:12">
      <c r="B24" s="303" t="s">
        <v>74</v>
      </c>
      <c r="C24" s="303" t="s">
        <v>71</v>
      </c>
      <c r="D24" s="303" t="s">
        <v>19</v>
      </c>
      <c r="E24" s="304">
        <v>44151</v>
      </c>
      <c r="H24" s="305" t="s">
        <v>75</v>
      </c>
      <c r="I24" s="303" t="s">
        <v>76</v>
      </c>
      <c r="J24" s="303" t="s">
        <v>42</v>
      </c>
      <c r="K24" s="303" t="s">
        <v>15</v>
      </c>
      <c r="L24" s="303" t="s">
        <v>50</v>
      </c>
    </row>
    <row r="25" spans="2:12" ht="45">
      <c r="B25" s="303" t="s">
        <v>77</v>
      </c>
      <c r="C25" s="303" t="s">
        <v>74</v>
      </c>
      <c r="D25" s="303" t="s">
        <v>19</v>
      </c>
      <c r="E25" s="304">
        <v>44153</v>
      </c>
      <c r="G25" s="307" t="s">
        <v>78</v>
      </c>
      <c r="H25" s="305" t="s">
        <v>79</v>
      </c>
      <c r="I25" s="303" t="s">
        <v>39</v>
      </c>
      <c r="J25" s="303" t="s">
        <v>42</v>
      </c>
      <c r="K25" s="303" t="s">
        <v>15</v>
      </c>
      <c r="L25" s="303" t="s">
        <v>50</v>
      </c>
    </row>
    <row r="26" spans="2:12" ht="60">
      <c r="B26" s="303" t="s">
        <v>80</v>
      </c>
      <c r="C26" s="303" t="s">
        <v>77</v>
      </c>
      <c r="D26" s="303" t="s">
        <v>19</v>
      </c>
      <c r="E26" s="304">
        <v>44014</v>
      </c>
      <c r="F26" s="309" t="s">
        <v>22</v>
      </c>
      <c r="G26" s="307" t="s">
        <v>78</v>
      </c>
      <c r="H26" s="305" t="s">
        <v>81</v>
      </c>
      <c r="I26" s="303" t="s">
        <v>50</v>
      </c>
      <c r="J26" s="303" t="s">
        <v>50</v>
      </c>
      <c r="K26" s="303" t="s">
        <v>82</v>
      </c>
      <c r="L26" s="303" t="s">
        <v>50</v>
      </c>
    </row>
    <row r="27" spans="2:12" ht="30">
      <c r="B27" s="303" t="s">
        <v>83</v>
      </c>
      <c r="C27" s="303" t="s">
        <v>84</v>
      </c>
      <c r="D27" s="303" t="s">
        <v>13</v>
      </c>
      <c r="E27" s="304">
        <v>44449</v>
      </c>
      <c r="F27" s="309" t="s">
        <v>22</v>
      </c>
      <c r="G27" s="307" t="s">
        <v>85</v>
      </c>
      <c r="H27" s="305" t="s">
        <v>86</v>
      </c>
      <c r="I27" s="303" t="s">
        <v>87</v>
      </c>
      <c r="J27" s="303" t="s">
        <v>87</v>
      </c>
      <c r="K27" s="303" t="s">
        <v>82</v>
      </c>
    </row>
    <row r="28" spans="2:12" ht="45">
      <c r="B28" s="303" t="s">
        <v>83</v>
      </c>
      <c r="C28" s="303" t="s">
        <v>84</v>
      </c>
      <c r="D28" s="303" t="s">
        <v>13</v>
      </c>
      <c r="E28" s="304">
        <v>44466</v>
      </c>
      <c r="F28" s="309">
        <v>47</v>
      </c>
      <c r="G28" s="307" t="s">
        <v>88</v>
      </c>
      <c r="H28" s="305" t="s">
        <v>89</v>
      </c>
      <c r="I28" s="303" t="s">
        <v>87</v>
      </c>
      <c r="J28" s="303" t="s">
        <v>87</v>
      </c>
      <c r="K28" s="303" t="s">
        <v>82</v>
      </c>
    </row>
    <row r="29" spans="2:12">
      <c r="B29" s="303" t="s">
        <v>83</v>
      </c>
      <c r="C29" s="303" t="s">
        <v>84</v>
      </c>
      <c r="D29" s="303" t="s">
        <v>13</v>
      </c>
      <c r="E29" s="304">
        <v>44466</v>
      </c>
      <c r="F29" s="309">
        <v>50</v>
      </c>
      <c r="G29" s="307" t="s">
        <v>90</v>
      </c>
      <c r="H29" s="305" t="s">
        <v>91</v>
      </c>
      <c r="I29" s="303" t="s">
        <v>87</v>
      </c>
      <c r="J29" s="303" t="s">
        <v>87</v>
      </c>
      <c r="K29" s="303" t="s">
        <v>82</v>
      </c>
    </row>
    <row r="30" spans="2:12">
      <c r="B30" s="303" t="s">
        <v>83</v>
      </c>
      <c r="C30" s="303" t="s">
        <v>84</v>
      </c>
      <c r="D30" s="303" t="s">
        <v>13</v>
      </c>
      <c r="E30" s="304">
        <v>44466</v>
      </c>
      <c r="F30" s="309">
        <v>51</v>
      </c>
      <c r="G30" s="307" t="s">
        <v>92</v>
      </c>
      <c r="H30" s="305" t="s">
        <v>91</v>
      </c>
      <c r="I30" s="303" t="s">
        <v>87</v>
      </c>
      <c r="J30" s="303" t="s">
        <v>87</v>
      </c>
      <c r="K30" s="303" t="s">
        <v>82</v>
      </c>
    </row>
    <row r="31" spans="2:12" ht="30">
      <c r="B31" s="303" t="s">
        <v>83</v>
      </c>
      <c r="C31" s="303" t="s">
        <v>84</v>
      </c>
      <c r="D31" s="303" t="s">
        <v>13</v>
      </c>
      <c r="E31" s="304">
        <v>44467</v>
      </c>
      <c r="F31" s="309">
        <v>46</v>
      </c>
      <c r="G31" s="307" t="s">
        <v>24</v>
      </c>
      <c r="H31" s="305" t="s">
        <v>93</v>
      </c>
      <c r="I31" s="303" t="s">
        <v>87</v>
      </c>
      <c r="J31" s="303" t="s">
        <v>87</v>
      </c>
      <c r="K31" s="303" t="s">
        <v>94</v>
      </c>
    </row>
    <row r="32" spans="2:12" ht="30">
      <c r="B32" s="303" t="s">
        <v>83</v>
      </c>
      <c r="C32" s="303" t="s">
        <v>84</v>
      </c>
      <c r="D32" s="303" t="s">
        <v>13</v>
      </c>
      <c r="E32" s="304">
        <v>44467</v>
      </c>
      <c r="F32" s="309">
        <v>49</v>
      </c>
      <c r="G32" s="307" t="s">
        <v>95</v>
      </c>
      <c r="H32" s="305" t="s">
        <v>96</v>
      </c>
      <c r="I32" s="303" t="s">
        <v>87</v>
      </c>
      <c r="J32" s="303" t="s">
        <v>87</v>
      </c>
      <c r="K32" s="303" t="s">
        <v>82</v>
      </c>
    </row>
    <row r="33" spans="2:12">
      <c r="B33" s="303" t="s">
        <v>83</v>
      </c>
      <c r="C33" s="303" t="s">
        <v>84</v>
      </c>
      <c r="D33" s="303" t="s">
        <v>13</v>
      </c>
      <c r="E33" s="304">
        <v>44467</v>
      </c>
      <c r="F33" s="309">
        <v>53</v>
      </c>
      <c r="G33" s="307" t="s">
        <v>97</v>
      </c>
      <c r="H33" s="306" t="s">
        <v>98</v>
      </c>
      <c r="I33" s="303" t="s">
        <v>87</v>
      </c>
      <c r="J33" s="303" t="s">
        <v>87</v>
      </c>
      <c r="K33" s="303" t="s">
        <v>82</v>
      </c>
    </row>
    <row r="34" spans="2:12">
      <c r="B34" s="303" t="s">
        <v>83</v>
      </c>
      <c r="C34" s="303" t="s">
        <v>84</v>
      </c>
      <c r="D34" s="303" t="s">
        <v>13</v>
      </c>
      <c r="E34" s="304">
        <v>44467</v>
      </c>
      <c r="F34" s="309">
        <v>54</v>
      </c>
      <c r="G34" s="307" t="s">
        <v>97</v>
      </c>
      <c r="H34" s="306" t="s">
        <v>99</v>
      </c>
      <c r="I34" s="303" t="s">
        <v>87</v>
      </c>
      <c r="J34" s="303" t="s">
        <v>87</v>
      </c>
      <c r="K34" s="303" t="s">
        <v>82</v>
      </c>
    </row>
    <row r="35" spans="2:12" ht="30">
      <c r="B35" s="303" t="s">
        <v>83</v>
      </c>
      <c r="C35" s="303" t="s">
        <v>84</v>
      </c>
      <c r="D35" s="303" t="s">
        <v>13</v>
      </c>
      <c r="E35" s="304">
        <v>44467</v>
      </c>
      <c r="F35" s="309">
        <v>57</v>
      </c>
      <c r="G35" s="307" t="s">
        <v>100</v>
      </c>
      <c r="H35" s="306" t="s">
        <v>101</v>
      </c>
      <c r="I35" s="303" t="s">
        <v>87</v>
      </c>
      <c r="J35" s="303" t="s">
        <v>87</v>
      </c>
      <c r="K35" s="303" t="s">
        <v>82</v>
      </c>
    </row>
    <row r="36" spans="2:12" ht="30">
      <c r="B36" s="303" t="s">
        <v>83</v>
      </c>
      <c r="C36" s="303" t="s">
        <v>84</v>
      </c>
      <c r="D36" s="303" t="s">
        <v>13</v>
      </c>
      <c r="E36" s="304">
        <v>44467</v>
      </c>
      <c r="F36" s="309">
        <v>58</v>
      </c>
      <c r="G36" s="307" t="s">
        <v>102</v>
      </c>
      <c r="H36" s="305" t="s">
        <v>103</v>
      </c>
      <c r="I36" s="303" t="s">
        <v>87</v>
      </c>
      <c r="J36" s="303" t="s">
        <v>87</v>
      </c>
      <c r="K36" s="303" t="s">
        <v>82</v>
      </c>
    </row>
    <row r="37" spans="2:12" ht="60">
      <c r="B37" s="303" t="s">
        <v>83</v>
      </c>
      <c r="C37" s="303" t="s">
        <v>84</v>
      </c>
      <c r="D37" s="303" t="s">
        <v>13</v>
      </c>
      <c r="E37" s="304">
        <v>44469</v>
      </c>
      <c r="F37" s="309">
        <v>52</v>
      </c>
      <c r="G37" s="307" t="s">
        <v>104</v>
      </c>
      <c r="H37" s="305" t="s">
        <v>105</v>
      </c>
      <c r="I37" s="303" t="s">
        <v>87</v>
      </c>
      <c r="J37" s="303" t="s">
        <v>87</v>
      </c>
      <c r="K37" s="303" t="s">
        <v>82</v>
      </c>
    </row>
    <row r="38" spans="2:12" ht="45">
      <c r="B38" s="303" t="s">
        <v>83</v>
      </c>
      <c r="C38" s="303" t="s">
        <v>84</v>
      </c>
      <c r="D38" s="303" t="s">
        <v>13</v>
      </c>
      <c r="E38" s="304">
        <v>44469</v>
      </c>
      <c r="F38" s="309">
        <v>60</v>
      </c>
      <c r="G38" s="307" t="s">
        <v>106</v>
      </c>
      <c r="H38" s="305" t="s">
        <v>107</v>
      </c>
      <c r="I38" s="303" t="s">
        <v>87</v>
      </c>
      <c r="J38" s="303" t="s">
        <v>87</v>
      </c>
      <c r="K38" s="303" t="s">
        <v>82</v>
      </c>
    </row>
    <row r="39" spans="2:12" ht="105">
      <c r="B39" s="303" t="s">
        <v>83</v>
      </c>
      <c r="E39" s="304">
        <v>44470</v>
      </c>
      <c r="F39" s="317" t="s">
        <v>108</v>
      </c>
      <c r="G39" s="307" t="s">
        <v>109</v>
      </c>
      <c r="H39" s="310" t="s">
        <v>110</v>
      </c>
      <c r="I39" s="303" t="s">
        <v>87</v>
      </c>
      <c r="J39" s="303" t="s">
        <v>87</v>
      </c>
      <c r="K39" s="303" t="s">
        <v>82</v>
      </c>
    </row>
    <row r="40" spans="2:12" ht="30">
      <c r="B40" s="303" t="s">
        <v>83</v>
      </c>
      <c r="E40" s="304">
        <v>44470</v>
      </c>
      <c r="F40" s="309" t="s">
        <v>22</v>
      </c>
      <c r="G40" s="307" t="s">
        <v>111</v>
      </c>
      <c r="H40" s="310" t="s">
        <v>112</v>
      </c>
      <c r="I40" s="303" t="s">
        <v>82</v>
      </c>
      <c r="J40" s="303" t="s">
        <v>82</v>
      </c>
      <c r="K40" s="303" t="s">
        <v>82</v>
      </c>
      <c r="L40" s="303" t="s">
        <v>82</v>
      </c>
    </row>
    <row r="41" spans="2:12" ht="45">
      <c r="B41" s="303" t="s">
        <v>83</v>
      </c>
      <c r="E41" s="304">
        <v>44470</v>
      </c>
      <c r="F41" s="309">
        <v>48</v>
      </c>
      <c r="G41" s="307" t="s">
        <v>24</v>
      </c>
      <c r="H41" s="305" t="s">
        <v>113</v>
      </c>
      <c r="I41" s="303" t="s">
        <v>87</v>
      </c>
      <c r="J41" s="303" t="s">
        <v>87</v>
      </c>
      <c r="K41" s="303" t="s">
        <v>82</v>
      </c>
    </row>
    <row r="42" spans="2:12" ht="30">
      <c r="B42" s="303" t="s">
        <v>83</v>
      </c>
      <c r="E42" s="304">
        <v>44470</v>
      </c>
      <c r="F42" s="309">
        <v>63</v>
      </c>
      <c r="G42" s="307" t="s">
        <v>114</v>
      </c>
      <c r="H42" s="305" t="s">
        <v>115</v>
      </c>
      <c r="I42" s="303" t="s">
        <v>87</v>
      </c>
      <c r="J42" s="303" t="s">
        <v>87</v>
      </c>
      <c r="K42" s="303" t="s">
        <v>82</v>
      </c>
    </row>
    <row r="43" spans="2:12" ht="45">
      <c r="B43" s="303" t="s">
        <v>83</v>
      </c>
      <c r="E43" s="304">
        <v>44473</v>
      </c>
      <c r="F43" s="309">
        <v>61</v>
      </c>
      <c r="G43" s="307" t="s">
        <v>28</v>
      </c>
      <c r="H43" s="305" t="s">
        <v>116</v>
      </c>
      <c r="I43" s="303" t="s">
        <v>87</v>
      </c>
      <c r="J43" s="303" t="s">
        <v>87</v>
      </c>
      <c r="K43" s="303" t="s">
        <v>82</v>
      </c>
    </row>
    <row r="44" spans="2:12">
      <c r="B44" s="303" t="s">
        <v>83</v>
      </c>
      <c r="E44" s="304">
        <v>44473</v>
      </c>
      <c r="F44" s="309">
        <v>59</v>
      </c>
      <c r="G44" s="307" t="s">
        <v>117</v>
      </c>
      <c r="H44" s="305" t="s">
        <v>118</v>
      </c>
      <c r="I44" s="303" t="s">
        <v>87</v>
      </c>
      <c r="J44" s="303" t="s">
        <v>87</v>
      </c>
      <c r="K44" s="303" t="s">
        <v>82</v>
      </c>
    </row>
    <row r="45" spans="2:12">
      <c r="B45" s="303" t="s">
        <v>119</v>
      </c>
      <c r="E45" s="337">
        <v>44474</v>
      </c>
      <c r="F45" s="338">
        <v>62</v>
      </c>
      <c r="G45" s="339" t="s">
        <v>120</v>
      </c>
      <c r="H45" s="340" t="s">
        <v>121</v>
      </c>
      <c r="I45" s="341" t="s">
        <v>87</v>
      </c>
      <c r="J45" s="341" t="s">
        <v>87</v>
      </c>
      <c r="K45" s="341" t="s">
        <v>82</v>
      </c>
      <c r="L45" s="341"/>
    </row>
    <row r="46" spans="2:12">
      <c r="B46" s="303" t="s">
        <v>119</v>
      </c>
      <c r="E46" s="304">
        <v>44474</v>
      </c>
      <c r="F46" s="309">
        <v>64</v>
      </c>
      <c r="G46" s="307" t="s">
        <v>122</v>
      </c>
      <c r="H46" s="305" t="s">
        <v>123</v>
      </c>
      <c r="I46" s="303" t="s">
        <v>87</v>
      </c>
      <c r="J46" s="303" t="s">
        <v>87</v>
      </c>
      <c r="K46" s="303" t="s">
        <v>82</v>
      </c>
    </row>
    <row r="47" spans="2:12" ht="45">
      <c r="B47" s="303" t="s">
        <v>119</v>
      </c>
      <c r="E47" s="304">
        <v>44474</v>
      </c>
      <c r="F47" s="309">
        <v>72</v>
      </c>
      <c r="G47" s="307" t="s">
        <v>124</v>
      </c>
      <c r="H47" s="305" t="s">
        <v>125</v>
      </c>
      <c r="I47" s="303" t="s">
        <v>87</v>
      </c>
      <c r="J47" s="303" t="s">
        <v>87</v>
      </c>
      <c r="K47" s="303" t="s">
        <v>82</v>
      </c>
    </row>
    <row r="48" spans="2:12" ht="45">
      <c r="B48" s="303" t="s">
        <v>119</v>
      </c>
      <c r="E48" s="304">
        <v>44474</v>
      </c>
      <c r="F48" s="309">
        <v>76</v>
      </c>
      <c r="G48" s="307" t="s">
        <v>126</v>
      </c>
      <c r="H48" s="305" t="s">
        <v>127</v>
      </c>
      <c r="I48" s="303" t="s">
        <v>87</v>
      </c>
      <c r="J48" s="303" t="s">
        <v>87</v>
      </c>
      <c r="K48" s="303" t="s">
        <v>82</v>
      </c>
    </row>
    <row r="49" spans="2:12" ht="60">
      <c r="B49" s="303" t="s">
        <v>119</v>
      </c>
      <c r="E49" s="304">
        <v>44475</v>
      </c>
      <c r="F49" s="309">
        <v>67</v>
      </c>
      <c r="G49" s="307" t="s">
        <v>128</v>
      </c>
      <c r="H49" s="305" t="s">
        <v>129</v>
      </c>
      <c r="I49" s="303" t="s">
        <v>87</v>
      </c>
      <c r="J49" s="303" t="s">
        <v>87</v>
      </c>
      <c r="K49" s="303" t="s">
        <v>82</v>
      </c>
    </row>
    <row r="50" spans="2:12">
      <c r="B50" s="303" t="s">
        <v>119</v>
      </c>
      <c r="E50" s="304">
        <v>44475</v>
      </c>
      <c r="F50" s="309">
        <v>70</v>
      </c>
      <c r="G50" s="307" t="s">
        <v>130</v>
      </c>
      <c r="H50" s="342" t="s">
        <v>131</v>
      </c>
      <c r="I50" s="303" t="s">
        <v>87</v>
      </c>
      <c r="J50" s="303" t="s">
        <v>87</v>
      </c>
      <c r="K50" s="303" t="s">
        <v>82</v>
      </c>
    </row>
    <row r="51" spans="2:12">
      <c r="B51" s="303" t="s">
        <v>119</v>
      </c>
      <c r="E51" s="304">
        <v>44475</v>
      </c>
      <c r="F51" s="309">
        <v>71</v>
      </c>
      <c r="G51" s="307" t="s">
        <v>104</v>
      </c>
      <c r="H51" s="305" t="s">
        <v>132</v>
      </c>
      <c r="I51" s="303" t="s">
        <v>87</v>
      </c>
      <c r="J51" s="303" t="s">
        <v>87</v>
      </c>
      <c r="K51" s="303" t="s">
        <v>82</v>
      </c>
    </row>
    <row r="52" spans="2:12" ht="45">
      <c r="B52" s="303" t="s">
        <v>119</v>
      </c>
      <c r="E52" s="304">
        <v>44477</v>
      </c>
      <c r="F52" s="309" t="s">
        <v>22</v>
      </c>
      <c r="G52" s="307" t="s">
        <v>133</v>
      </c>
      <c r="H52" s="305" t="s">
        <v>134</v>
      </c>
      <c r="I52" s="303" t="s">
        <v>82</v>
      </c>
      <c r="J52" s="303" t="s">
        <v>82</v>
      </c>
      <c r="K52" s="303" t="s">
        <v>82</v>
      </c>
      <c r="L52" s="303" t="s">
        <v>82</v>
      </c>
    </row>
    <row r="53" spans="2:12">
      <c r="B53" s="303" t="s">
        <v>119</v>
      </c>
      <c r="E53" s="304">
        <v>44477</v>
      </c>
      <c r="F53" s="309" t="s">
        <v>22</v>
      </c>
      <c r="G53" s="307" t="s">
        <v>135</v>
      </c>
      <c r="H53" s="305" t="s">
        <v>136</v>
      </c>
      <c r="I53" s="303" t="s">
        <v>82</v>
      </c>
      <c r="J53" s="303" t="s">
        <v>82</v>
      </c>
      <c r="K53" s="303" t="s">
        <v>82</v>
      </c>
      <c r="L53" s="303" t="s">
        <v>82</v>
      </c>
    </row>
    <row r="54" spans="2:12">
      <c r="B54" s="303" t="s">
        <v>137</v>
      </c>
      <c r="E54" s="304">
        <v>44484</v>
      </c>
      <c r="F54" s="309" t="s">
        <v>22</v>
      </c>
      <c r="G54" s="307" t="s">
        <v>138</v>
      </c>
      <c r="H54" s="305" t="s">
        <v>139</v>
      </c>
      <c r="I54" s="303" t="s">
        <v>140</v>
      </c>
      <c r="J54" s="303" t="s">
        <v>82</v>
      </c>
      <c r="K54" s="303" t="s">
        <v>82</v>
      </c>
      <c r="L54" s="303" t="s">
        <v>82</v>
      </c>
    </row>
    <row r="55" spans="2:12" ht="30">
      <c r="B55" s="303" t="s">
        <v>141</v>
      </c>
      <c r="E55" s="304">
        <v>44484</v>
      </c>
      <c r="F55" s="309" t="s">
        <v>22</v>
      </c>
      <c r="G55" s="307" t="s">
        <v>109</v>
      </c>
      <c r="H55" s="305" t="s">
        <v>142</v>
      </c>
      <c r="I55" s="303" t="s">
        <v>26</v>
      </c>
      <c r="J55" s="303" t="s">
        <v>39</v>
      </c>
      <c r="K55" s="303" t="s">
        <v>82</v>
      </c>
      <c r="L55" s="303" t="s">
        <v>39</v>
      </c>
    </row>
    <row r="56" spans="2:12" ht="30">
      <c r="B56" s="303" t="s">
        <v>141</v>
      </c>
      <c r="E56" s="304">
        <v>44484</v>
      </c>
      <c r="F56" s="309" t="s">
        <v>22</v>
      </c>
      <c r="G56" s="307" t="s">
        <v>109</v>
      </c>
      <c r="H56" s="305" t="s">
        <v>143</v>
      </c>
      <c r="I56" s="303" t="s">
        <v>26</v>
      </c>
      <c r="J56" s="303" t="s">
        <v>39</v>
      </c>
      <c r="K56" s="303" t="s">
        <v>82</v>
      </c>
      <c r="L56" s="303" t="s">
        <v>39</v>
      </c>
    </row>
    <row r="57" spans="2:12">
      <c r="B57" s="303" t="s">
        <v>141</v>
      </c>
      <c r="E57" s="304">
        <v>44484</v>
      </c>
      <c r="F57" s="309">
        <v>54</v>
      </c>
      <c r="G57" s="307" t="s">
        <v>97</v>
      </c>
      <c r="H57" s="305" t="s">
        <v>144</v>
      </c>
      <c r="I57" s="303" t="s">
        <v>140</v>
      </c>
      <c r="J57" s="303" t="s">
        <v>82</v>
      </c>
      <c r="K57" s="303" t="s">
        <v>82</v>
      </c>
      <c r="L57" s="303" t="s">
        <v>39</v>
      </c>
    </row>
    <row r="58" spans="2:12" ht="45">
      <c r="B58" s="303" t="s">
        <v>145</v>
      </c>
      <c r="E58" s="304">
        <v>44488</v>
      </c>
      <c r="F58" s="309" t="s">
        <v>22</v>
      </c>
      <c r="G58" s="307" t="s">
        <v>138</v>
      </c>
      <c r="H58" s="305" t="s">
        <v>146</v>
      </c>
      <c r="I58" s="303" t="s">
        <v>39</v>
      </c>
      <c r="J58" s="303" t="s">
        <v>55</v>
      </c>
      <c r="K58" s="303" t="s">
        <v>82</v>
      </c>
      <c r="L58" s="303" t="s">
        <v>39</v>
      </c>
    </row>
    <row r="59" spans="2:12">
      <c r="B59" s="303" t="s">
        <v>145</v>
      </c>
      <c r="E59" s="304">
        <v>44488</v>
      </c>
      <c r="F59" s="309" t="s">
        <v>22</v>
      </c>
      <c r="G59" s="307" t="s">
        <v>138</v>
      </c>
      <c r="H59" s="305" t="s">
        <v>147</v>
      </c>
      <c r="I59" s="303" t="s">
        <v>39</v>
      </c>
      <c r="J59" s="303" t="s">
        <v>55</v>
      </c>
      <c r="K59" s="303" t="s">
        <v>82</v>
      </c>
      <c r="L59" s="303" t="s">
        <v>39</v>
      </c>
    </row>
    <row r="60" spans="2:12">
      <c r="B60" s="303" t="s">
        <v>145</v>
      </c>
      <c r="E60" s="304">
        <v>44488</v>
      </c>
      <c r="F60" s="309" t="s">
        <v>22</v>
      </c>
      <c r="G60" s="307" t="s">
        <v>109</v>
      </c>
      <c r="H60" s="305" t="s">
        <v>148</v>
      </c>
      <c r="I60" s="303" t="s">
        <v>39</v>
      </c>
      <c r="J60" s="303" t="s">
        <v>55</v>
      </c>
      <c r="K60" s="303" t="s">
        <v>82</v>
      </c>
      <c r="L60" s="303" t="s">
        <v>39</v>
      </c>
    </row>
    <row r="61" spans="2:12">
      <c r="B61" s="303" t="s">
        <v>145</v>
      </c>
      <c r="E61" s="304">
        <v>44488</v>
      </c>
      <c r="F61" s="309" t="s">
        <v>22</v>
      </c>
      <c r="G61" s="307" t="s">
        <v>126</v>
      </c>
      <c r="H61" s="305" t="s">
        <v>149</v>
      </c>
      <c r="I61" s="303" t="s">
        <v>39</v>
      </c>
      <c r="J61" s="303" t="s">
        <v>55</v>
      </c>
      <c r="K61" s="303" t="s">
        <v>82</v>
      </c>
      <c r="L61" s="303" t="s">
        <v>39</v>
      </c>
    </row>
    <row r="62" spans="2:12">
      <c r="B62" s="303" t="s">
        <v>145</v>
      </c>
      <c r="E62" s="304">
        <v>44488</v>
      </c>
      <c r="F62" s="309" t="s">
        <v>22</v>
      </c>
      <c r="G62" s="307" t="s">
        <v>126</v>
      </c>
      <c r="H62" s="305" t="s">
        <v>150</v>
      </c>
      <c r="I62" s="303" t="s">
        <v>39</v>
      </c>
      <c r="J62" s="303" t="s">
        <v>55</v>
      </c>
      <c r="K62" s="303" t="s">
        <v>82</v>
      </c>
      <c r="L62" s="303" t="s">
        <v>39</v>
      </c>
    </row>
    <row r="63" spans="2:12" ht="45">
      <c r="B63" s="303" t="s">
        <v>151</v>
      </c>
      <c r="E63" s="304">
        <v>44488</v>
      </c>
      <c r="F63" s="309" t="s">
        <v>22</v>
      </c>
      <c r="G63" s="307" t="s">
        <v>152</v>
      </c>
      <c r="H63" s="305" t="s">
        <v>153</v>
      </c>
      <c r="I63" s="303" t="s">
        <v>39</v>
      </c>
      <c r="J63" s="303" t="s">
        <v>55</v>
      </c>
      <c r="K63" s="303" t="s">
        <v>82</v>
      </c>
      <c r="L63" s="303" t="s">
        <v>39</v>
      </c>
    </row>
    <row r="64" spans="2:12" ht="30">
      <c r="B64" s="303" t="s">
        <v>154</v>
      </c>
      <c r="E64" s="304">
        <v>44489</v>
      </c>
      <c r="F64" s="309" t="s">
        <v>22</v>
      </c>
      <c r="G64" s="307" t="s">
        <v>155</v>
      </c>
      <c r="H64" s="305" t="s">
        <v>156</v>
      </c>
      <c r="I64" s="303" t="s">
        <v>39</v>
      </c>
      <c r="J64" s="303" t="s">
        <v>55</v>
      </c>
      <c r="K64" s="303" t="s">
        <v>82</v>
      </c>
      <c r="L64" s="303" t="s">
        <v>39</v>
      </c>
    </row>
    <row r="65" spans="1:12" ht="30">
      <c r="B65" s="303" t="s">
        <v>157</v>
      </c>
      <c r="E65" s="304">
        <v>44490</v>
      </c>
      <c r="F65" s="309" t="s">
        <v>22</v>
      </c>
      <c r="G65" s="307" t="s">
        <v>126</v>
      </c>
      <c r="H65" s="305" t="s">
        <v>158</v>
      </c>
      <c r="I65" s="303" t="s">
        <v>39</v>
      </c>
      <c r="J65" s="303" t="s">
        <v>55</v>
      </c>
      <c r="K65" s="303" t="s">
        <v>82</v>
      </c>
      <c r="L65" s="303" t="s">
        <v>39</v>
      </c>
    </row>
    <row r="66" spans="1:12">
      <c r="B66" s="303" t="s">
        <v>157</v>
      </c>
      <c r="E66" s="304">
        <v>44490</v>
      </c>
      <c r="F66" s="309" t="s">
        <v>22</v>
      </c>
      <c r="G66" s="307" t="s">
        <v>159</v>
      </c>
      <c r="H66" s="305" t="s">
        <v>160</v>
      </c>
      <c r="I66" s="303" t="s">
        <v>39</v>
      </c>
      <c r="J66" s="303" t="s">
        <v>55</v>
      </c>
      <c r="K66" s="303" t="s">
        <v>82</v>
      </c>
      <c r="L66" s="303" t="s">
        <v>39</v>
      </c>
    </row>
    <row r="67" spans="1:12" ht="30">
      <c r="B67" s="303" t="s">
        <v>161</v>
      </c>
      <c r="E67" s="304">
        <v>44495</v>
      </c>
      <c r="F67" s="309" t="s">
        <v>22</v>
      </c>
      <c r="G67" s="307" t="s">
        <v>162</v>
      </c>
      <c r="H67" s="305" t="s">
        <v>163</v>
      </c>
      <c r="I67" s="303" t="s">
        <v>39</v>
      </c>
      <c r="J67" s="303" t="s">
        <v>55</v>
      </c>
      <c r="K67" s="303" t="s">
        <v>82</v>
      </c>
      <c r="L67" s="303" t="s">
        <v>39</v>
      </c>
    </row>
    <row r="68" spans="1:12" ht="30">
      <c r="B68" s="303" t="s">
        <v>83</v>
      </c>
      <c r="C68" s="303" t="s">
        <v>84</v>
      </c>
      <c r="D68" s="303" t="s">
        <v>13</v>
      </c>
      <c r="E68" s="304">
        <v>44505</v>
      </c>
      <c r="F68" s="309" t="s">
        <v>22</v>
      </c>
      <c r="G68" s="307" t="s">
        <v>138</v>
      </c>
      <c r="H68" s="305" t="s">
        <v>164</v>
      </c>
      <c r="I68" s="303" t="s">
        <v>39</v>
      </c>
      <c r="J68" s="303" t="s">
        <v>39</v>
      </c>
      <c r="K68" s="303" t="s">
        <v>82</v>
      </c>
      <c r="L68" s="303" t="s">
        <v>39</v>
      </c>
    </row>
    <row r="69" spans="1:12" ht="45">
      <c r="B69" s="303" t="s">
        <v>165</v>
      </c>
      <c r="E69" s="304">
        <v>44775</v>
      </c>
      <c r="F69" s="309" t="s">
        <v>166</v>
      </c>
      <c r="G69" s="307" t="s">
        <v>138</v>
      </c>
      <c r="H69" s="305" t="s">
        <v>167</v>
      </c>
      <c r="I69" s="303" t="s">
        <v>168</v>
      </c>
      <c r="J69" s="303" t="s">
        <v>82</v>
      </c>
      <c r="K69" s="303" t="s">
        <v>82</v>
      </c>
      <c r="L69" s="303" t="s">
        <v>82</v>
      </c>
    </row>
    <row r="70" spans="1:12" ht="45">
      <c r="B70" s="303" t="s">
        <v>169</v>
      </c>
      <c r="E70" s="304">
        <v>44796</v>
      </c>
      <c r="F70" s="309" t="s">
        <v>22</v>
      </c>
      <c r="G70" s="307" t="s">
        <v>124</v>
      </c>
      <c r="H70" s="305" t="s">
        <v>125</v>
      </c>
      <c r="I70" s="303" t="s">
        <v>87</v>
      </c>
      <c r="J70" s="303" t="s">
        <v>87</v>
      </c>
      <c r="K70" s="303" t="s">
        <v>170</v>
      </c>
    </row>
    <row r="71" spans="1:12">
      <c r="A71" s="303">
        <v>2024</v>
      </c>
      <c r="B71" s="303" t="s">
        <v>171</v>
      </c>
      <c r="E71" s="304">
        <v>45186</v>
      </c>
      <c r="F71" s="309" t="s">
        <v>22</v>
      </c>
      <c r="G71" s="307" t="s">
        <v>162</v>
      </c>
      <c r="H71" s="305" t="s">
        <v>172</v>
      </c>
      <c r="I71" s="303" t="s">
        <v>87</v>
      </c>
      <c r="J71" s="303" t="s">
        <v>173</v>
      </c>
      <c r="K71" s="303" t="s">
        <v>174</v>
      </c>
      <c r="L71" s="303" t="s">
        <v>174</v>
      </c>
    </row>
    <row r="72" spans="1:12">
      <c r="A72" s="303">
        <v>2024</v>
      </c>
      <c r="B72" s="303" t="s">
        <v>175</v>
      </c>
      <c r="E72" s="304">
        <v>45195</v>
      </c>
      <c r="F72" s="309" t="s">
        <v>22</v>
      </c>
      <c r="G72" s="307" t="s">
        <v>162</v>
      </c>
      <c r="H72" s="305" t="s">
        <v>172</v>
      </c>
      <c r="I72" s="303" t="s">
        <v>87</v>
      </c>
      <c r="J72" s="303" t="s">
        <v>173</v>
      </c>
      <c r="K72" s="303" t="s">
        <v>174</v>
      </c>
      <c r="L72" s="303" t="s">
        <v>174</v>
      </c>
    </row>
    <row r="73" spans="1:12">
      <c r="A73" s="303">
        <v>2024</v>
      </c>
      <c r="B73" s="303" t="s">
        <v>176</v>
      </c>
      <c r="E73" s="304">
        <v>45195</v>
      </c>
      <c r="F73" s="309" t="s">
        <v>22</v>
      </c>
      <c r="G73" s="307" t="s">
        <v>162</v>
      </c>
      <c r="H73" s="305" t="s">
        <v>172</v>
      </c>
      <c r="I73" s="303" t="s">
        <v>87</v>
      </c>
      <c r="J73" s="303" t="s">
        <v>173</v>
      </c>
      <c r="K73" s="303" t="s">
        <v>174</v>
      </c>
      <c r="L73" s="303" t="s">
        <v>174</v>
      </c>
    </row>
    <row r="74" spans="1:12">
      <c r="A74" s="303">
        <v>2024</v>
      </c>
      <c r="B74" s="303" t="s">
        <v>177</v>
      </c>
      <c r="E74" s="304">
        <v>45198</v>
      </c>
      <c r="F74" s="309" t="s">
        <v>22</v>
      </c>
      <c r="G74" s="307" t="s">
        <v>162</v>
      </c>
      <c r="H74" s="305" t="s">
        <v>172</v>
      </c>
      <c r="I74" s="303" t="s">
        <v>87</v>
      </c>
      <c r="J74" s="303" t="s">
        <v>87</v>
      </c>
      <c r="K74" s="303" t="s">
        <v>174</v>
      </c>
      <c r="L74" s="303" t="s">
        <v>174</v>
      </c>
    </row>
    <row r="75" spans="1:12">
      <c r="A75" s="303">
        <v>2024</v>
      </c>
      <c r="B75" s="303" t="s">
        <v>178</v>
      </c>
      <c r="E75" s="304">
        <v>45198</v>
      </c>
      <c r="G75" s="307" t="s">
        <v>78</v>
      </c>
      <c r="H75" s="305" t="s">
        <v>179</v>
      </c>
      <c r="I75" s="303" t="s">
        <v>87</v>
      </c>
      <c r="J75" s="303" t="s">
        <v>87</v>
      </c>
      <c r="K75" s="303" t="s">
        <v>174</v>
      </c>
      <c r="L75" s="303" t="s">
        <v>174</v>
      </c>
    </row>
    <row r="76" spans="1:12">
      <c r="A76" s="303">
        <v>2024</v>
      </c>
      <c r="B76" s="303" t="s">
        <v>180</v>
      </c>
      <c r="E76" s="304">
        <v>45378</v>
      </c>
      <c r="G76" s="307" t="s">
        <v>181</v>
      </c>
      <c r="H76" s="305" t="s">
        <v>182</v>
      </c>
      <c r="I76" s="303" t="s">
        <v>55</v>
      </c>
      <c r="J76" s="303" t="s">
        <v>55</v>
      </c>
      <c r="K76" s="303" t="s">
        <v>82</v>
      </c>
    </row>
    <row r="77" spans="1:12" ht="45">
      <c r="A77" s="303">
        <v>2025</v>
      </c>
      <c r="B77" s="303" t="s">
        <v>183</v>
      </c>
      <c r="E77" s="304">
        <v>45485</v>
      </c>
      <c r="G77" s="307" t="s">
        <v>184</v>
      </c>
      <c r="H77" s="305" t="s">
        <v>185</v>
      </c>
      <c r="I77" s="303" t="s">
        <v>87</v>
      </c>
      <c r="J77" s="303" t="s">
        <v>55</v>
      </c>
      <c r="K77" s="303" t="s">
        <v>186</v>
      </c>
      <c r="L77" s="697" t="s">
        <v>187</v>
      </c>
    </row>
    <row r="78" spans="1:12" ht="90">
      <c r="A78" s="303">
        <v>2025</v>
      </c>
      <c r="B78" s="303" t="s">
        <v>183</v>
      </c>
      <c r="E78" s="304">
        <v>45492</v>
      </c>
      <c r="G78" s="307" t="s">
        <v>188</v>
      </c>
      <c r="H78" s="305" t="s">
        <v>189</v>
      </c>
      <c r="I78" s="303" t="s">
        <v>190</v>
      </c>
      <c r="J78" s="303" t="s">
        <v>55</v>
      </c>
      <c r="K78" s="303" t="s">
        <v>186</v>
      </c>
      <c r="L78" s="697" t="s">
        <v>187</v>
      </c>
    </row>
    <row r="79" spans="1:12">
      <c r="A79" s="303">
        <v>2025</v>
      </c>
      <c r="B79" s="303" t="s">
        <v>183</v>
      </c>
      <c r="E79" s="304">
        <v>45492</v>
      </c>
      <c r="G79" s="307" t="s">
        <v>191</v>
      </c>
      <c r="H79" t="s">
        <v>192</v>
      </c>
      <c r="I79" s="303" t="s">
        <v>193</v>
      </c>
      <c r="J79" s="303" t="s">
        <v>55</v>
      </c>
      <c r="K79" s="303" t="s">
        <v>186</v>
      </c>
      <c r="L79" s="697" t="s">
        <v>187</v>
      </c>
    </row>
    <row r="80" spans="1:12">
      <c r="A80" s="303">
        <v>2025</v>
      </c>
      <c r="B80" s="303" t="s">
        <v>183</v>
      </c>
      <c r="E80" s="304">
        <v>45509</v>
      </c>
      <c r="G80" s="307" t="s">
        <v>194</v>
      </c>
      <c r="H80" s="305" t="s">
        <v>195</v>
      </c>
      <c r="I80" s="303" t="s">
        <v>193</v>
      </c>
      <c r="J80" s="303" t="s">
        <v>55</v>
      </c>
      <c r="K80" s="303" t="s">
        <v>186</v>
      </c>
      <c r="L80" s="697" t="s">
        <v>187</v>
      </c>
    </row>
    <row r="81" spans="1:12">
      <c r="A81" s="303">
        <v>2025</v>
      </c>
      <c r="B81" s="303" t="s">
        <v>183</v>
      </c>
      <c r="E81" s="304">
        <v>45516</v>
      </c>
      <c r="G81" s="307" t="s">
        <v>196</v>
      </c>
      <c r="H81" s="787" t="s">
        <v>197</v>
      </c>
      <c r="I81" s="303" t="s">
        <v>174</v>
      </c>
      <c r="J81" s="303" t="s">
        <v>198</v>
      </c>
      <c r="K81" s="303" t="s">
        <v>174</v>
      </c>
      <c r="L81" s="303" t="s">
        <v>174</v>
      </c>
    </row>
    <row r="82" spans="1:12">
      <c r="A82" s="303">
        <v>2025</v>
      </c>
      <c r="B82" s="303" t="s">
        <v>183</v>
      </c>
      <c r="E82" s="304">
        <v>45516</v>
      </c>
      <c r="G82" s="307" t="s">
        <v>199</v>
      </c>
      <c r="H82" s="787" t="s">
        <v>197</v>
      </c>
      <c r="I82" s="303" t="s">
        <v>174</v>
      </c>
      <c r="J82" s="303" t="s">
        <v>198</v>
      </c>
      <c r="K82" s="303" t="s">
        <v>174</v>
      </c>
      <c r="L82" s="303" t="s">
        <v>174</v>
      </c>
    </row>
    <row r="83" spans="1:12" ht="45">
      <c r="A83" s="303">
        <v>2025</v>
      </c>
      <c r="B83" s="303" t="s">
        <v>200</v>
      </c>
      <c r="E83" s="304">
        <v>45627</v>
      </c>
      <c r="G83" s="307" t="s">
        <v>201</v>
      </c>
      <c r="H83" s="305" t="s">
        <v>202</v>
      </c>
      <c r="I83" s="303" t="s">
        <v>55</v>
      </c>
      <c r="J83" s="303" t="s">
        <v>55</v>
      </c>
      <c r="K83" s="303" t="s">
        <v>82</v>
      </c>
      <c r="L83" s="303" t="s">
        <v>82</v>
      </c>
    </row>
    <row r="84" spans="1:12" ht="75">
      <c r="A84" s="303">
        <v>2025</v>
      </c>
      <c r="B84" s="303" t="s">
        <v>200</v>
      </c>
      <c r="E84" s="304">
        <v>45627</v>
      </c>
      <c r="G84" s="307" t="s">
        <v>203</v>
      </c>
      <c r="H84" s="305" t="s">
        <v>204</v>
      </c>
      <c r="I84" s="303" t="s">
        <v>55</v>
      </c>
      <c r="J84" s="303" t="s">
        <v>55</v>
      </c>
      <c r="K84" s="303" t="s">
        <v>82</v>
      </c>
      <c r="L84" s="303" t="s">
        <v>82</v>
      </c>
    </row>
    <row r="85" spans="1:12" ht="30">
      <c r="A85" s="303">
        <v>2025</v>
      </c>
      <c r="B85" s="303" t="s">
        <v>200</v>
      </c>
      <c r="E85" s="304">
        <v>45637</v>
      </c>
      <c r="G85" s="307" t="s">
        <v>28</v>
      </c>
      <c r="H85" s="305" t="s">
        <v>205</v>
      </c>
      <c r="I85" s="303" t="s">
        <v>55</v>
      </c>
      <c r="J85" s="303" t="s">
        <v>55</v>
      </c>
      <c r="K85" s="303" t="s">
        <v>206</v>
      </c>
      <c r="L85" s="303" t="s">
        <v>206</v>
      </c>
    </row>
    <row r="86" spans="1:12" ht="30">
      <c r="A86" s="303">
        <v>2025</v>
      </c>
      <c r="B86" s="303" t="s">
        <v>200</v>
      </c>
      <c r="E86" s="304">
        <v>45637</v>
      </c>
      <c r="G86" s="307" t="s">
        <v>181</v>
      </c>
      <c r="H86" s="305" t="s">
        <v>207</v>
      </c>
      <c r="I86" s="303" t="s">
        <v>55</v>
      </c>
      <c r="J86" s="303" t="s">
        <v>55</v>
      </c>
      <c r="K86" s="303" t="s">
        <v>206</v>
      </c>
      <c r="L86" s="303" t="s">
        <v>206</v>
      </c>
    </row>
    <row r="87" spans="1:12">
      <c r="A87" s="303">
        <v>2025</v>
      </c>
      <c r="B87" s="303" t="s">
        <v>200</v>
      </c>
      <c r="E87" s="304">
        <v>45637</v>
      </c>
      <c r="G87" s="307" t="s">
        <v>208</v>
      </c>
      <c r="H87" s="305" t="s">
        <v>209</v>
      </c>
      <c r="I87" s="303" t="s">
        <v>55</v>
      </c>
      <c r="J87" s="303" t="s">
        <v>55</v>
      </c>
      <c r="K87" s="303" t="s">
        <v>206</v>
      </c>
      <c r="L87" s="303" t="s">
        <v>206</v>
      </c>
    </row>
    <row r="88" spans="1:12" ht="30">
      <c r="A88" s="303">
        <v>2025</v>
      </c>
      <c r="B88" s="303" t="s">
        <v>200</v>
      </c>
      <c r="E88" s="304">
        <v>45638</v>
      </c>
      <c r="G88" s="307" t="s">
        <v>210</v>
      </c>
      <c r="H88" s="305" t="s">
        <v>211</v>
      </c>
      <c r="I88" s="303" t="s">
        <v>186</v>
      </c>
      <c r="K88" s="303" t="s">
        <v>82</v>
      </c>
      <c r="L88" s="303" t="s">
        <v>82</v>
      </c>
    </row>
    <row r="89" spans="1:12" ht="90">
      <c r="A89" s="303">
        <v>2025</v>
      </c>
      <c r="B89" s="303" t="s">
        <v>200</v>
      </c>
      <c r="E89" s="304">
        <v>45660</v>
      </c>
      <c r="G89" s="307" t="s">
        <v>212</v>
      </c>
      <c r="H89" s="305" t="s">
        <v>213</v>
      </c>
      <c r="I89" s="303" t="s">
        <v>55</v>
      </c>
      <c r="J89" s="303" t="s">
        <v>55</v>
      </c>
      <c r="K89" s="303" t="s">
        <v>82</v>
      </c>
      <c r="L89" s="303" t="s">
        <v>82</v>
      </c>
    </row>
    <row r="90" spans="1:12">
      <c r="A90" s="303">
        <v>2025</v>
      </c>
      <c r="B90" s="303" t="s">
        <v>200</v>
      </c>
      <c r="E90" s="304">
        <v>45660</v>
      </c>
      <c r="G90" s="307" t="s">
        <v>201</v>
      </c>
      <c r="H90" s="305" t="s">
        <v>214</v>
      </c>
      <c r="I90" s="303" t="s">
        <v>55</v>
      </c>
      <c r="J90" s="303" t="s">
        <v>55</v>
      </c>
      <c r="K90" s="303" t="s">
        <v>82</v>
      </c>
      <c r="L90" s="303" t="s">
        <v>82</v>
      </c>
    </row>
    <row r="91" spans="1:12" ht="105">
      <c r="A91" s="303">
        <v>2025</v>
      </c>
      <c r="B91" s="303" t="s">
        <v>200</v>
      </c>
      <c r="E91" s="304">
        <v>45660</v>
      </c>
      <c r="G91" s="307" t="s">
        <v>215</v>
      </c>
      <c r="H91" s="305" t="s">
        <v>216</v>
      </c>
      <c r="I91" s="303" t="s">
        <v>55</v>
      </c>
      <c r="J91" s="303" t="s">
        <v>55</v>
      </c>
      <c r="K91" s="303" t="s">
        <v>82</v>
      </c>
      <c r="L91" s="303" t="s">
        <v>82</v>
      </c>
    </row>
    <row r="92" spans="1:12">
      <c r="A92" s="303">
        <v>2025</v>
      </c>
      <c r="B92" s="303" t="s">
        <v>200</v>
      </c>
      <c r="E92" s="304">
        <v>45660</v>
      </c>
      <c r="G92" s="307" t="s">
        <v>217</v>
      </c>
      <c r="H92" s="55" t="s">
        <v>218</v>
      </c>
      <c r="I92" s="303" t="s">
        <v>55</v>
      </c>
      <c r="J92" s="303" t="s">
        <v>55</v>
      </c>
      <c r="K92" s="303" t="s">
        <v>82</v>
      </c>
      <c r="L92" s="303" t="s">
        <v>82</v>
      </c>
    </row>
  </sheetData>
  <sheetProtection algorithmName="SHA-512" hashValue="9UyJxSqO2FMfDycEBLREnjngfWiS7xfVN+J3R5SyMSz48e1otZjl2ALspfCRBsD2DDhbk2Y5PotfNOUiSWbGaA==" saltValue="UWjquZuLTqAgQcYnY0o5Kg==" spinCount="100000" sheet="1" objects="1" scenarios="1" selectLockedCells="1"/>
  <phoneticPr fontId="12" type="noConversion"/>
  <hyperlinks>
    <hyperlink ref="H81" r:id="rId1" display="HTC Tech Update Requirements List.xlsx (Sharepoint)" xr:uid="{F9A5254D-55A9-43F6-8901-FB8855FFD9FB}"/>
    <hyperlink ref="H82" r:id="rId2" display="HTC Tech Update Requirements List.xlsx (Sharepoint)" xr:uid="{8F3B17AD-FE74-42CD-9E9F-9218801175C3}"/>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5834-7BA5-D040-8BBD-CA3A61C0DF33}">
  <sheetPr codeName="Sheet5">
    <pageSetUpPr fitToPage="1"/>
  </sheetPr>
  <dimension ref="A1:AH481"/>
  <sheetViews>
    <sheetView workbookViewId="0">
      <selection activeCell="D22" sqref="D22:H22"/>
    </sheetView>
  </sheetViews>
  <sheetFormatPr defaultColWidth="8.85546875" defaultRowHeight="15"/>
  <cols>
    <col min="1" max="1" width="5.7109375" style="3" customWidth="1"/>
    <col min="2" max="2" width="30.42578125" bestFit="1" customWidth="1"/>
    <col min="3" max="4" width="20.85546875" customWidth="1"/>
    <col min="5" max="5" width="21.140625" customWidth="1"/>
    <col min="6" max="6" width="20.85546875" customWidth="1"/>
    <col min="7" max="7" width="12.42578125" customWidth="1"/>
    <col min="8" max="8" width="36.5703125" customWidth="1"/>
    <col min="9" max="9" width="5.28515625" customWidth="1"/>
    <col min="10" max="12" width="8.7109375" style="3" customWidth="1"/>
    <col min="13" max="13" width="9" style="3" customWidth="1"/>
    <col min="14" max="18" width="9" style="97" customWidth="1"/>
    <col min="19" max="31" width="8.85546875" style="97"/>
    <col min="32" max="16384" width="8.85546875" style="3"/>
  </cols>
  <sheetData>
    <row r="1" spans="1:34" ht="28.5">
      <c r="B1" s="4" t="str">
        <f>'1. TOC'!B1</f>
        <v>WHEDA 2025 Multifamily Application</v>
      </c>
      <c r="C1" s="4"/>
      <c r="D1" s="3"/>
      <c r="E1" s="115" t="str">
        <f>'1. TOC'!L1</f>
        <v>v25.1.12</v>
      </c>
      <c r="F1" s="947" t="str">
        <f>HYPERLINK("#Table_of_Contents", Table_of_Contents)</f>
        <v>Table of Contents</v>
      </c>
      <c r="G1" s="3"/>
      <c r="H1" s="3"/>
      <c r="I1" s="3"/>
      <c r="AF1" s="97"/>
      <c r="AG1" s="97"/>
      <c r="AH1" s="97"/>
    </row>
    <row r="2" spans="1:34" ht="21">
      <c r="B2" s="876" t="str">
        <f>_xlfn.CONCAT(IF(ISBLANK(WHEDA_Project_Number),"",_xlfn.CONCAT(WHEDA_Project_Number," - ")), Project_Name, IF(ISBLANK(Credit_percentage_applied_for),"",_xlfn.CONCAT(" - ", Credit_percentage_applied_for," HTC")))</f>
        <v/>
      </c>
      <c r="C2" s="5"/>
      <c r="D2" s="3"/>
      <c r="E2" s="3"/>
      <c r="F2" s="3"/>
      <c r="G2" s="3"/>
      <c r="H2" s="3"/>
      <c r="I2" s="3"/>
      <c r="J2" s="97"/>
      <c r="K2" s="97"/>
      <c r="L2" s="97"/>
      <c r="M2" s="97"/>
      <c r="AF2" s="97"/>
      <c r="AG2" s="97"/>
      <c r="AH2" s="97"/>
    </row>
    <row r="3" spans="1:34" ht="18.75">
      <c r="A3" s="98"/>
      <c r="C3" s="7"/>
      <c r="D3" s="7"/>
      <c r="E3" s="7"/>
      <c r="F3" s="7"/>
      <c r="G3" s="7"/>
      <c r="H3" s="7"/>
      <c r="I3" s="7"/>
      <c r="J3" s="97"/>
      <c r="K3" s="97"/>
      <c r="L3" s="97"/>
      <c r="M3" s="97"/>
      <c r="AF3" s="97"/>
      <c r="AG3" s="97"/>
      <c r="AH3" s="97"/>
    </row>
    <row r="4" spans="1:34" ht="28.5">
      <c r="A4" s="929"/>
      <c r="B4" s="4" t="s">
        <v>1609</v>
      </c>
      <c r="D4" s="3"/>
      <c r="E4" s="3"/>
      <c r="F4" s="3"/>
      <c r="G4" s="3"/>
      <c r="H4" s="3"/>
      <c r="I4" s="3"/>
      <c r="AF4" s="97"/>
      <c r="AG4" s="97"/>
      <c r="AH4" s="97"/>
    </row>
    <row r="5" spans="1:34" ht="61.9" customHeight="1">
      <c r="A5" s="929"/>
      <c r="B5" s="2025" t="s">
        <v>3719</v>
      </c>
      <c r="C5" s="2025"/>
      <c r="D5" s="2025"/>
      <c r="E5" s="2025"/>
      <c r="F5" s="2025"/>
      <c r="G5" s="2025"/>
      <c r="H5" s="2025"/>
      <c r="I5" s="2025"/>
      <c r="J5" s="14"/>
      <c r="K5" s="14"/>
      <c r="L5" s="14"/>
      <c r="M5" s="14"/>
      <c r="AF5" s="97"/>
      <c r="AG5" s="97"/>
      <c r="AH5" s="97"/>
    </row>
    <row r="6" spans="1:34" ht="18.75">
      <c r="A6" s="930"/>
      <c r="B6" s="8" t="s">
        <v>3720</v>
      </c>
      <c r="C6" s="156"/>
      <c r="D6" s="166"/>
      <c r="E6" s="11"/>
      <c r="F6" s="11"/>
      <c r="G6" s="11"/>
      <c r="H6" s="9"/>
      <c r="I6" s="9"/>
      <c r="J6" s="9"/>
      <c r="K6" s="9"/>
      <c r="L6" s="9"/>
      <c r="M6" s="9"/>
      <c r="AF6" s="97"/>
      <c r="AG6" s="97"/>
      <c r="AH6" s="97"/>
    </row>
    <row r="7" spans="1:34" ht="15.75">
      <c r="A7" s="930"/>
      <c r="B7" s="1027"/>
      <c r="C7" s="1041"/>
      <c r="D7" s="1039"/>
      <c r="E7" s="1039"/>
      <c r="F7" s="1039"/>
      <c r="G7" s="1039"/>
      <c r="H7" s="1027"/>
      <c r="I7" s="1027"/>
      <c r="AF7" s="97"/>
      <c r="AG7" s="97"/>
      <c r="AH7" s="97"/>
    </row>
    <row r="8" spans="1:34" ht="15.75">
      <c r="A8" s="930"/>
      <c r="B8" s="1027"/>
      <c r="C8" s="1705" t="s">
        <v>3721</v>
      </c>
      <c r="D8" s="2015"/>
      <c r="E8" s="2015"/>
      <c r="F8" s="2015"/>
      <c r="G8" s="2015"/>
      <c r="H8" s="2015"/>
      <c r="I8" s="1027"/>
      <c r="AF8" s="97"/>
      <c r="AG8" s="97"/>
      <c r="AH8" s="97"/>
    </row>
    <row r="9" spans="1:34" ht="15.75">
      <c r="A9" s="930"/>
      <c r="B9" s="1027"/>
      <c r="C9" s="1705"/>
      <c r="D9" s="1039"/>
      <c r="E9" s="1705"/>
      <c r="F9" s="1039"/>
      <c r="G9" s="1039"/>
      <c r="H9" s="1027"/>
      <c r="I9" s="1027"/>
      <c r="AF9" s="97"/>
      <c r="AG9" s="97"/>
      <c r="AH9" s="97"/>
    </row>
    <row r="10" spans="1:34" ht="15.75">
      <c r="A10" s="930"/>
      <c r="B10" s="1027"/>
      <c r="C10" s="1705" t="s">
        <v>3597</v>
      </c>
      <c r="D10" s="2015"/>
      <c r="E10" s="2015"/>
      <c r="F10" s="2015"/>
      <c r="G10" s="2015"/>
      <c r="H10" s="2015"/>
      <c r="I10" s="1027"/>
      <c r="AF10" s="97"/>
      <c r="AG10" s="97"/>
      <c r="AH10" s="97"/>
    </row>
    <row r="11" spans="1:34" ht="15.75">
      <c r="A11" s="930"/>
      <c r="B11" s="1027"/>
      <c r="C11" s="1705" t="s">
        <v>3599</v>
      </c>
      <c r="D11" s="261"/>
      <c r="E11" s="1705" t="s">
        <v>3600</v>
      </c>
      <c r="F11" s="261"/>
      <c r="G11" s="1706" t="s">
        <v>3603</v>
      </c>
      <c r="H11" s="262"/>
      <c r="I11" s="1027"/>
      <c r="AF11" s="97"/>
      <c r="AG11" s="97"/>
      <c r="AH11" s="97"/>
    </row>
    <row r="12" spans="1:34" ht="15.75">
      <c r="A12" s="930"/>
      <c r="B12" s="1027"/>
      <c r="C12" s="1705"/>
      <c r="D12" s="1039"/>
      <c r="E12" s="1705"/>
      <c r="F12" s="1039"/>
      <c r="G12" s="1039"/>
      <c r="H12" s="1027"/>
      <c r="I12" s="1027"/>
      <c r="AF12" s="97"/>
      <c r="AG12" s="97"/>
      <c r="AH12" s="97"/>
    </row>
    <row r="13" spans="1:34" ht="15.75">
      <c r="A13" s="930"/>
      <c r="B13" s="1027"/>
      <c r="C13" s="1051" t="s">
        <v>3722</v>
      </c>
      <c r="D13" s="1039"/>
      <c r="E13" s="1705"/>
      <c r="F13" s="1039"/>
      <c r="G13" s="1039"/>
      <c r="H13" s="1027"/>
      <c r="I13" s="1027"/>
      <c r="AF13" s="97"/>
      <c r="AG13" s="97"/>
      <c r="AH13" s="97"/>
    </row>
    <row r="14" spans="1:34" ht="15.75">
      <c r="A14" s="930"/>
      <c r="B14" s="1038"/>
      <c r="C14" s="1706" t="s">
        <v>1854</v>
      </c>
      <c r="D14" s="261"/>
      <c r="E14" s="1705" t="s">
        <v>3616</v>
      </c>
      <c r="F14" s="261"/>
      <c r="G14" s="1706" t="s">
        <v>3617</v>
      </c>
      <c r="H14" s="165"/>
      <c r="I14" s="1027"/>
      <c r="AF14" s="97"/>
      <c r="AG14" s="97"/>
      <c r="AH14" s="97"/>
    </row>
    <row r="15" spans="1:34" ht="15.75">
      <c r="A15" s="930"/>
      <c r="B15" s="1027"/>
      <c r="C15" s="1706" t="s">
        <v>3723</v>
      </c>
      <c r="D15" s="957"/>
      <c r="E15" s="1706" t="s">
        <v>3724</v>
      </c>
      <c r="F15" s="818"/>
      <c r="G15" s="1706" t="s">
        <v>3725</v>
      </c>
      <c r="H15" s="818"/>
      <c r="I15" s="1027"/>
      <c r="AF15" s="97"/>
      <c r="AG15" s="97"/>
      <c r="AH15" s="97"/>
    </row>
    <row r="16" spans="1:34" ht="15.75">
      <c r="A16" s="930"/>
      <c r="B16" s="1027"/>
      <c r="C16" s="1705" t="s">
        <v>3726</v>
      </c>
      <c r="D16" s="2014"/>
      <c r="E16" s="2014"/>
      <c r="F16" s="1039"/>
      <c r="G16" s="1039"/>
      <c r="H16" s="1027"/>
      <c r="I16" s="1027"/>
      <c r="AF16" s="97"/>
      <c r="AG16" s="97"/>
      <c r="AH16" s="97"/>
    </row>
    <row r="17" spans="1:34" ht="15.75">
      <c r="A17" s="930"/>
      <c r="B17" s="1027"/>
      <c r="C17" s="1705"/>
      <c r="D17" s="1039"/>
      <c r="E17" s="1039"/>
      <c r="F17" s="1039"/>
      <c r="G17" s="1039"/>
      <c r="H17" s="1027"/>
      <c r="I17" s="1027"/>
      <c r="AF17" s="97"/>
      <c r="AG17" s="97"/>
      <c r="AH17" s="97"/>
    </row>
    <row r="18" spans="1:34" ht="18.75">
      <c r="A18" s="930"/>
      <c r="B18" s="8" t="s">
        <v>3727</v>
      </c>
      <c r="C18" s="3"/>
      <c r="D18" s="3"/>
      <c r="E18" s="3"/>
      <c r="F18" s="3"/>
      <c r="G18" s="3"/>
      <c r="H18" s="3"/>
      <c r="I18" s="3"/>
      <c r="AF18" s="97"/>
      <c r="AG18" s="97"/>
      <c r="AH18" s="97"/>
    </row>
    <row r="19" spans="1:34">
      <c r="A19" s="930"/>
      <c r="B19" s="1027"/>
      <c r="C19" s="1027"/>
      <c r="D19" s="1027"/>
      <c r="E19" s="1027"/>
      <c r="F19" s="1027"/>
      <c r="G19" s="1027"/>
      <c r="H19" s="1027"/>
      <c r="I19" s="1027"/>
      <c r="J19" s="272"/>
      <c r="AF19" s="97"/>
      <c r="AG19" s="97"/>
      <c r="AH19" s="97"/>
    </row>
    <row r="20" spans="1:34" ht="18.75">
      <c r="A20" s="930"/>
      <c r="B20" s="1026"/>
      <c r="C20" s="1706" t="s">
        <v>3728</v>
      </c>
      <c r="D20" s="261"/>
      <c r="E20" s="1039"/>
      <c r="F20" s="1039"/>
      <c r="G20" s="1039"/>
      <c r="H20" s="1039"/>
      <c r="I20" s="1027"/>
      <c r="AF20" s="97"/>
      <c r="AG20" s="97"/>
      <c r="AH20" s="97"/>
    </row>
    <row r="21" spans="1:34" ht="15.75">
      <c r="A21" s="930"/>
      <c r="B21" s="1027"/>
      <c r="C21" s="1039"/>
      <c r="D21" s="1039"/>
      <c r="E21" s="1050"/>
      <c r="F21" s="1050"/>
      <c r="G21" s="1050"/>
      <c r="H21" s="1050"/>
      <c r="I21" s="1027"/>
      <c r="K21" s="9"/>
      <c r="L21" s="9"/>
      <c r="M21" s="9"/>
      <c r="AF21" s="97"/>
      <c r="AG21" s="97"/>
      <c r="AH21" s="97"/>
    </row>
    <row r="22" spans="1:34" ht="15.75">
      <c r="A22" s="930"/>
      <c r="B22" s="1027"/>
      <c r="C22" s="1706" t="s">
        <v>3721</v>
      </c>
      <c r="D22" s="2026"/>
      <c r="E22" s="2026"/>
      <c r="F22" s="2026"/>
      <c r="G22" s="2026"/>
      <c r="H22" s="2026"/>
      <c r="I22" s="1027"/>
      <c r="K22" s="9"/>
      <c r="L22" s="9"/>
      <c r="M22" s="9"/>
      <c r="AF22" s="97"/>
      <c r="AG22" s="97"/>
      <c r="AH22" s="97"/>
    </row>
    <row r="23" spans="1:34" ht="15.75">
      <c r="A23" s="930"/>
      <c r="B23" s="1027"/>
      <c r="C23" s="1705"/>
      <c r="D23" s="1039"/>
      <c r="E23" s="1705"/>
      <c r="F23" s="1039"/>
      <c r="G23" s="1039"/>
      <c r="H23" s="1039"/>
      <c r="I23" s="1027"/>
      <c r="K23" s="9"/>
      <c r="L23" s="9"/>
      <c r="M23" s="9"/>
      <c r="AF23" s="97"/>
      <c r="AG23" s="97"/>
      <c r="AH23" s="97"/>
    </row>
    <row r="24" spans="1:34" ht="15.75">
      <c r="A24" s="930"/>
      <c r="B24" s="1027"/>
      <c r="C24" s="1705" t="s">
        <v>3597</v>
      </c>
      <c r="D24" s="2026"/>
      <c r="E24" s="2026"/>
      <c r="F24" s="2026"/>
      <c r="G24" s="2026"/>
      <c r="H24" s="2026"/>
      <c r="I24" s="1027"/>
      <c r="K24" s="9"/>
      <c r="L24" s="9"/>
      <c r="M24" s="9"/>
      <c r="AF24" s="97"/>
      <c r="AG24" s="97"/>
      <c r="AH24" s="97"/>
    </row>
    <row r="25" spans="1:34" ht="15.75">
      <c r="A25" s="930"/>
      <c r="B25" s="1027"/>
      <c r="C25" s="1705" t="s">
        <v>3599</v>
      </c>
      <c r="D25" s="165"/>
      <c r="E25" s="1705" t="s">
        <v>3600</v>
      </c>
      <c r="F25" s="165"/>
      <c r="G25" s="1706" t="str">
        <f>+G11</f>
        <v xml:space="preserve">Zip Code </v>
      </c>
      <c r="H25" s="174"/>
      <c r="I25" s="1027"/>
      <c r="K25" s="9"/>
      <c r="L25" s="9"/>
      <c r="M25" s="9"/>
      <c r="AF25" s="97"/>
      <c r="AG25" s="97"/>
      <c r="AH25" s="97"/>
    </row>
    <row r="26" spans="1:34" ht="15.75">
      <c r="A26" s="930"/>
      <c r="B26" s="1027"/>
      <c r="C26" s="1705"/>
      <c r="D26" s="1039"/>
      <c r="E26" s="1705"/>
      <c r="F26" s="1039"/>
      <c r="G26" s="1039"/>
      <c r="H26" s="1039"/>
      <c r="I26" s="1027"/>
      <c r="AF26" s="97"/>
      <c r="AG26" s="97"/>
      <c r="AH26" s="97"/>
    </row>
    <row r="27" spans="1:34" ht="15.75">
      <c r="A27" s="930"/>
      <c r="B27" s="1027"/>
      <c r="C27" s="1051" t="s">
        <v>3722</v>
      </c>
      <c r="D27" s="1039"/>
      <c r="E27" s="1705"/>
      <c r="F27" s="1039"/>
      <c r="G27" s="1039"/>
      <c r="H27" s="1039"/>
      <c r="I27" s="1027"/>
      <c r="AF27" s="97"/>
      <c r="AG27" s="97"/>
      <c r="AH27" s="97"/>
    </row>
    <row r="28" spans="1:34" ht="15.75">
      <c r="A28" s="930"/>
      <c r="B28" s="1027"/>
      <c r="C28" s="1052" t="s">
        <v>1854</v>
      </c>
      <c r="D28" s="165"/>
      <c r="E28" s="1705" t="s">
        <v>3616</v>
      </c>
      <c r="F28" s="165"/>
      <c r="G28" s="1706" t="s">
        <v>3617</v>
      </c>
      <c r="H28" s="165"/>
      <c r="I28" s="1027"/>
      <c r="AF28" s="97"/>
      <c r="AG28" s="97"/>
      <c r="AH28" s="97"/>
    </row>
    <row r="29" spans="1:34" ht="15.75">
      <c r="A29" s="930"/>
      <c r="B29" s="1027"/>
      <c r="C29" s="1706" t="s">
        <v>3723</v>
      </c>
      <c r="D29" s="958"/>
      <c r="E29" s="1706" t="s">
        <v>3724</v>
      </c>
      <c r="F29" s="818"/>
      <c r="G29" s="1706" t="s">
        <v>3725</v>
      </c>
      <c r="H29" s="818"/>
      <c r="I29" s="1027"/>
      <c r="K29" s="9"/>
      <c r="L29" s="9"/>
      <c r="M29" s="9"/>
      <c r="AF29" s="97"/>
      <c r="AG29" s="97"/>
      <c r="AH29" s="97"/>
    </row>
    <row r="30" spans="1:34" ht="15.75">
      <c r="A30" s="930"/>
      <c r="B30" s="1027"/>
      <c r="C30" s="1705" t="s">
        <v>3726</v>
      </c>
      <c r="D30" s="2037"/>
      <c r="E30" s="2037"/>
      <c r="F30" s="1039"/>
      <c r="G30" s="1039"/>
      <c r="H30" s="1039"/>
      <c r="I30" s="1027"/>
      <c r="K30" s="9"/>
      <c r="L30" s="9"/>
      <c r="M30" s="9"/>
      <c r="AF30" s="97"/>
      <c r="AG30" s="97"/>
      <c r="AH30" s="97"/>
    </row>
    <row r="31" spans="1:34" ht="15.75">
      <c r="A31" s="930"/>
      <c r="B31" s="1027"/>
      <c r="C31" s="1039"/>
      <c r="D31" s="1050"/>
      <c r="E31" s="1050"/>
      <c r="F31" s="1050"/>
      <c r="G31" s="1050"/>
      <c r="H31" s="1050"/>
      <c r="I31" s="1038"/>
      <c r="J31" s="9"/>
      <c r="K31" s="9"/>
      <c r="L31" s="9"/>
      <c r="M31" s="9"/>
      <c r="AF31" s="97"/>
      <c r="AG31" s="97"/>
      <c r="AH31" s="97"/>
    </row>
    <row r="32" spans="1:34" ht="18.75">
      <c r="A32" s="932"/>
      <c r="B32" s="8" t="s">
        <v>3727</v>
      </c>
      <c r="C32" s="3"/>
      <c r="D32" s="3"/>
      <c r="E32" s="3"/>
      <c r="F32" s="3"/>
      <c r="G32" s="3"/>
      <c r="H32" s="3"/>
      <c r="I32" s="3"/>
      <c r="J32" s="9"/>
      <c r="K32" s="9"/>
      <c r="AF32" s="97"/>
      <c r="AG32" s="97"/>
      <c r="AH32" s="97"/>
    </row>
    <row r="33" spans="1:34">
      <c r="A33" s="932"/>
      <c r="B33" s="1027"/>
      <c r="C33" s="1027"/>
      <c r="D33" s="1027"/>
      <c r="E33" s="1027"/>
      <c r="F33" s="1027"/>
      <c r="G33" s="1027"/>
      <c r="H33" s="1027"/>
      <c r="I33" s="1027"/>
      <c r="AF33" s="97"/>
      <c r="AG33" s="97"/>
      <c r="AH33" s="97"/>
    </row>
    <row r="34" spans="1:34" ht="18.75">
      <c r="A34" s="932"/>
      <c r="B34" s="1026"/>
      <c r="C34" s="1706" t="s">
        <v>3728</v>
      </c>
      <c r="D34" s="165"/>
      <c r="E34" s="1039"/>
      <c r="F34" s="1039"/>
      <c r="G34" s="1039"/>
      <c r="H34" s="1039"/>
      <c r="I34" s="1027"/>
      <c r="AF34" s="97"/>
      <c r="AG34" s="97"/>
      <c r="AH34" s="97"/>
    </row>
    <row r="35" spans="1:34" ht="15.95" customHeight="1">
      <c r="A35" s="932"/>
      <c r="B35" s="1027"/>
      <c r="C35" s="1039"/>
      <c r="D35" s="1039"/>
      <c r="E35" s="1050"/>
      <c r="F35" s="1050"/>
      <c r="G35" s="1050"/>
      <c r="H35" s="1050"/>
      <c r="I35" s="1027"/>
      <c r="AF35" s="97"/>
      <c r="AG35" s="97"/>
      <c r="AH35" s="97"/>
    </row>
    <row r="36" spans="1:34" ht="15.95" customHeight="1">
      <c r="A36" s="930"/>
      <c r="B36" s="1027"/>
      <c r="C36" s="1706" t="s">
        <v>3721</v>
      </c>
      <c r="D36" s="2026"/>
      <c r="E36" s="2026"/>
      <c r="F36" s="2026"/>
      <c r="G36" s="2026"/>
      <c r="H36" s="2026"/>
      <c r="I36" s="1027"/>
      <c r="AF36" s="97"/>
      <c r="AG36" s="97"/>
      <c r="AH36" s="97"/>
    </row>
    <row r="37" spans="1:34" ht="15.95" customHeight="1">
      <c r="A37" s="930"/>
      <c r="B37" s="1027"/>
      <c r="C37" s="1705"/>
      <c r="D37" s="1039"/>
      <c r="E37" s="1705"/>
      <c r="F37" s="1039"/>
      <c r="G37" s="1039"/>
      <c r="H37" s="1039"/>
      <c r="I37" s="1027"/>
      <c r="AF37" s="97"/>
      <c r="AG37" s="97"/>
      <c r="AH37" s="97"/>
    </row>
    <row r="38" spans="1:34" ht="15.95" customHeight="1">
      <c r="A38" s="930"/>
      <c r="B38" s="1027"/>
      <c r="C38" s="1705" t="s">
        <v>3597</v>
      </c>
      <c r="D38" s="2026"/>
      <c r="E38" s="2026"/>
      <c r="F38" s="2026"/>
      <c r="G38" s="2026"/>
      <c r="H38" s="2026"/>
      <c r="I38" s="1027"/>
      <c r="AF38" s="97"/>
      <c r="AG38" s="97"/>
      <c r="AH38" s="97"/>
    </row>
    <row r="39" spans="1:34" ht="15.75">
      <c r="A39" s="930"/>
      <c r="B39" s="1027"/>
      <c r="C39" s="1705" t="s">
        <v>3599</v>
      </c>
      <c r="D39" s="165"/>
      <c r="E39" s="1705" t="s">
        <v>3600</v>
      </c>
      <c r="F39" s="165"/>
      <c r="G39" s="1706" t="str">
        <f>+G25</f>
        <v xml:space="preserve">Zip Code </v>
      </c>
      <c r="H39" s="174"/>
      <c r="I39" s="1027"/>
      <c r="AF39" s="97"/>
      <c r="AG39" s="97"/>
      <c r="AH39" s="97"/>
    </row>
    <row r="40" spans="1:34" ht="15" customHeight="1">
      <c r="B40" s="1027"/>
      <c r="C40" s="1705"/>
      <c r="D40" s="1039"/>
      <c r="E40" s="1705"/>
      <c r="F40" s="1039"/>
      <c r="G40" s="1039"/>
      <c r="H40" s="1039"/>
      <c r="I40" s="1027"/>
      <c r="AF40" s="97"/>
      <c r="AG40" s="97"/>
      <c r="AH40" s="97"/>
    </row>
    <row r="41" spans="1:34" ht="15.95" customHeight="1">
      <c r="B41" s="1027"/>
      <c r="C41" s="1051" t="s">
        <v>3722</v>
      </c>
      <c r="D41" s="1039"/>
      <c r="E41" s="1705"/>
      <c r="F41" s="1039"/>
      <c r="G41" s="1039"/>
      <c r="H41" s="1039"/>
      <c r="I41" s="1027"/>
      <c r="AF41" s="97"/>
      <c r="AG41" s="97"/>
      <c r="AH41" s="97"/>
    </row>
    <row r="42" spans="1:34" ht="15" customHeight="1">
      <c r="B42" s="1027"/>
      <c r="C42" s="1052" t="s">
        <v>1854</v>
      </c>
      <c r="D42" s="165"/>
      <c r="E42" s="1705" t="s">
        <v>3616</v>
      </c>
      <c r="F42" s="165"/>
      <c r="G42" s="1706" t="s">
        <v>3617</v>
      </c>
      <c r="H42" s="165"/>
      <c r="I42" s="1027"/>
      <c r="AF42" s="97"/>
      <c r="AG42" s="97"/>
      <c r="AH42" s="97"/>
    </row>
    <row r="43" spans="1:34" ht="15.75">
      <c r="B43" s="1027"/>
      <c r="C43" s="1706" t="s">
        <v>3723</v>
      </c>
      <c r="D43" s="958"/>
      <c r="E43" s="1706" t="s">
        <v>3724</v>
      </c>
      <c r="F43" s="818"/>
      <c r="G43" s="1706" t="s">
        <v>3725</v>
      </c>
      <c r="H43" s="818"/>
      <c r="I43" s="1027"/>
      <c r="AF43" s="97"/>
      <c r="AG43" s="97"/>
      <c r="AH43" s="97"/>
    </row>
    <row r="44" spans="1:34" ht="15" customHeight="1">
      <c r="B44" s="1027"/>
      <c r="C44" s="1705" t="s">
        <v>3726</v>
      </c>
      <c r="D44" s="2037"/>
      <c r="E44" s="2026"/>
      <c r="F44" s="1039"/>
      <c r="G44" s="1039"/>
      <c r="H44" s="1039"/>
      <c r="I44" s="1027"/>
      <c r="AF44" s="97"/>
      <c r="AG44" s="97"/>
      <c r="AH44" s="97"/>
    </row>
    <row r="45" spans="1:34" ht="15.75">
      <c r="B45" s="1027"/>
      <c r="C45" s="1039"/>
      <c r="D45" s="1050"/>
      <c r="E45" s="1050"/>
      <c r="F45" s="1050"/>
      <c r="G45" s="1050"/>
      <c r="H45" s="1050"/>
      <c r="I45" s="1038"/>
    </row>
    <row r="46" spans="1:34" ht="18.75">
      <c r="B46" s="8" t="s">
        <v>3727</v>
      </c>
      <c r="C46" s="3"/>
      <c r="D46" s="3"/>
      <c r="E46" s="3"/>
      <c r="F46" s="3"/>
      <c r="G46" s="3"/>
      <c r="H46" s="3"/>
      <c r="I46" s="3"/>
    </row>
    <row r="47" spans="1:34" ht="15.95" customHeight="1">
      <c r="B47" s="1027"/>
      <c r="C47" s="1027"/>
      <c r="D47" s="1027"/>
      <c r="E47" s="1027"/>
      <c r="F47" s="1027"/>
      <c r="G47" s="1027"/>
      <c r="H47" s="1027"/>
      <c r="I47" s="1027"/>
    </row>
    <row r="48" spans="1:34" ht="15.95" customHeight="1">
      <c r="B48" s="1026"/>
      <c r="C48" s="1706" t="s">
        <v>3728</v>
      </c>
      <c r="D48" s="165"/>
      <c r="E48" s="1039"/>
      <c r="F48" s="1039"/>
      <c r="G48" s="1039"/>
      <c r="H48" s="1039"/>
      <c r="I48" s="1027"/>
    </row>
    <row r="49" spans="2:16" ht="15.95" customHeight="1">
      <c r="B49" s="1027"/>
      <c r="C49" s="1039"/>
      <c r="D49" s="1039"/>
      <c r="E49" s="1050"/>
      <c r="F49" s="1050"/>
      <c r="G49" s="1050"/>
      <c r="H49" s="1050"/>
      <c r="I49" s="1027"/>
    </row>
    <row r="50" spans="2:16" ht="15" customHeight="1">
      <c r="B50" s="1027"/>
      <c r="C50" s="1052" t="s">
        <v>3721</v>
      </c>
      <c r="D50" s="2026"/>
      <c r="E50" s="2026"/>
      <c r="F50" s="2026"/>
      <c r="G50" s="2026"/>
      <c r="H50" s="2026"/>
      <c r="I50" s="1027"/>
    </row>
    <row r="51" spans="2:16" ht="15" customHeight="1">
      <c r="B51" s="1027"/>
      <c r="C51" s="1705"/>
      <c r="D51" s="1039"/>
      <c r="E51" s="1705"/>
      <c r="F51" s="1039"/>
      <c r="G51" s="1039"/>
      <c r="H51" s="1039"/>
      <c r="I51" s="1027"/>
      <c r="J51" s="970"/>
    </row>
    <row r="52" spans="2:16" ht="15" customHeight="1">
      <c r="B52" s="1027"/>
      <c r="C52" s="1705" t="s">
        <v>3597</v>
      </c>
      <c r="D52" s="2026"/>
      <c r="E52" s="2026"/>
      <c r="F52" s="2026"/>
      <c r="G52" s="2026"/>
      <c r="H52" s="2026"/>
      <c r="I52" s="1027"/>
      <c r="J52" s="970"/>
    </row>
    <row r="53" spans="2:16" ht="15.75">
      <c r="B53" s="1027"/>
      <c r="C53" s="1705" t="s">
        <v>3599</v>
      </c>
      <c r="D53" s="165"/>
      <c r="E53" s="1705" t="s">
        <v>3600</v>
      </c>
      <c r="F53" s="165"/>
      <c r="G53" s="1706" t="str">
        <f>+G39</f>
        <v xml:space="preserve">Zip Code </v>
      </c>
      <c r="H53" s="174"/>
      <c r="I53" s="1027"/>
      <c r="J53" s="970"/>
    </row>
    <row r="54" spans="2:16" ht="15.75">
      <c r="B54" s="1027"/>
      <c r="C54" s="1705"/>
      <c r="D54" s="1039"/>
      <c r="E54" s="1705"/>
      <c r="F54" s="1039"/>
      <c r="G54" s="1039"/>
      <c r="H54" s="1039"/>
      <c r="I54" s="1027"/>
      <c r="J54" s="970"/>
    </row>
    <row r="55" spans="2:16" ht="15.75">
      <c r="B55" s="1027"/>
      <c r="C55" s="1051" t="s">
        <v>3722</v>
      </c>
      <c r="D55" s="1039"/>
      <c r="E55" s="1705"/>
      <c r="F55" s="1039"/>
      <c r="G55" s="1039"/>
      <c r="H55" s="1039"/>
      <c r="I55" s="1027"/>
    </row>
    <row r="56" spans="2:16" ht="15.75">
      <c r="B56" s="1027"/>
      <c r="C56" s="1052" t="s">
        <v>1854</v>
      </c>
      <c r="D56" s="165"/>
      <c r="E56" s="1705" t="s">
        <v>3616</v>
      </c>
      <c r="F56" s="165"/>
      <c r="G56" s="1706" t="s">
        <v>3617</v>
      </c>
      <c r="H56" s="165"/>
      <c r="I56" s="1027"/>
    </row>
    <row r="57" spans="2:16" ht="15.75">
      <c r="B57" s="1027"/>
      <c r="C57" s="1706" t="s">
        <v>3723</v>
      </c>
      <c r="D57" s="958"/>
      <c r="E57" s="1706" t="s">
        <v>3724</v>
      </c>
      <c r="F57" s="818"/>
      <c r="G57" s="1706" t="s">
        <v>3725</v>
      </c>
      <c r="H57" s="818"/>
      <c r="I57" s="1027"/>
    </row>
    <row r="58" spans="2:16" ht="15.75">
      <c r="B58" s="1027"/>
      <c r="C58" s="1705" t="s">
        <v>3726</v>
      </c>
      <c r="D58" s="2037"/>
      <c r="E58" s="2026"/>
      <c r="F58" s="1039"/>
      <c r="G58" s="1039"/>
      <c r="H58" s="1039"/>
      <c r="I58" s="1027"/>
    </row>
    <row r="59" spans="2:16" ht="15.75">
      <c r="B59" s="1027"/>
      <c r="C59" s="1039"/>
      <c r="D59" s="1050"/>
      <c r="E59" s="1050"/>
      <c r="F59" s="1050"/>
      <c r="G59" s="1050"/>
      <c r="H59" s="1050"/>
      <c r="I59" s="1038"/>
    </row>
    <row r="60" spans="2:16" ht="18.75">
      <c r="B60" s="8" t="s">
        <v>3729</v>
      </c>
      <c r="C60" s="3"/>
      <c r="D60" s="3"/>
      <c r="E60" s="3"/>
      <c r="F60" s="3"/>
      <c r="G60" s="3"/>
      <c r="H60" s="3"/>
      <c r="I60" s="3"/>
      <c r="J60" s="970"/>
      <c r="K60" s="970"/>
      <c r="L60" s="970"/>
      <c r="M60" s="970"/>
      <c r="N60" s="318"/>
      <c r="O60" s="318"/>
      <c r="P60" s="318"/>
    </row>
    <row r="61" spans="2:16">
      <c r="B61" s="1027"/>
      <c r="C61" s="1027"/>
      <c r="D61" s="1027"/>
      <c r="E61" s="1027"/>
      <c r="F61" s="1027"/>
      <c r="G61" s="1027"/>
      <c r="H61" s="1027"/>
      <c r="I61" s="1027"/>
      <c r="J61" s="970"/>
      <c r="K61" s="970"/>
    </row>
    <row r="62" spans="2:16" ht="15.75">
      <c r="B62" s="2036" t="s">
        <v>740</v>
      </c>
      <c r="C62" s="2036"/>
      <c r="D62" s="2036"/>
      <c r="E62" s="261"/>
      <c r="F62" s="1054" t="b">
        <f>Judgements="Yes"</f>
        <v>0</v>
      </c>
      <c r="G62" s="1027"/>
      <c r="H62" s="1027"/>
      <c r="I62" s="1027"/>
    </row>
    <row r="63" spans="2:16" ht="15.75">
      <c r="B63" s="2036"/>
      <c r="C63" s="2036"/>
      <c r="D63" s="2036"/>
      <c r="E63" s="1041"/>
      <c r="F63" s="1054"/>
      <c r="G63" s="1027"/>
      <c r="H63" s="1027"/>
      <c r="I63" s="1027"/>
    </row>
    <row r="64" spans="2:16" ht="15.75">
      <c r="B64" s="1027"/>
      <c r="C64" s="1053"/>
      <c r="D64" s="1053"/>
      <c r="E64" s="1041"/>
      <c r="F64" s="1054"/>
      <c r="G64" s="1027"/>
      <c r="H64" s="1027"/>
      <c r="I64" s="1027"/>
    </row>
    <row r="65" spans="2:9" ht="15.75">
      <c r="B65" s="2036" t="s">
        <v>743</v>
      </c>
      <c r="C65" s="2036"/>
      <c r="D65" s="2036"/>
      <c r="E65" s="261"/>
      <c r="F65" s="1054" t="b">
        <f>Litigation="Yes"</f>
        <v>0</v>
      </c>
      <c r="G65" s="1027"/>
      <c r="H65" s="1027"/>
      <c r="I65" s="1027"/>
    </row>
    <row r="66" spans="2:9" ht="15.75">
      <c r="B66" s="2036"/>
      <c r="C66" s="2036"/>
      <c r="D66" s="2036"/>
      <c r="E66" s="1039"/>
      <c r="F66" s="1054"/>
      <c r="G66" s="1027"/>
      <c r="H66" s="1027"/>
      <c r="I66" s="1027"/>
    </row>
    <row r="67" spans="2:9" ht="15.75">
      <c r="B67" s="1053"/>
      <c r="C67" s="1053"/>
      <c r="D67" s="1053"/>
      <c r="E67" s="1039"/>
      <c r="F67" s="1054"/>
      <c r="G67" s="1027"/>
      <c r="H67" s="1027"/>
      <c r="I67" s="1027"/>
    </row>
    <row r="68" spans="2:9" ht="15.75">
      <c r="B68" s="2036" t="s">
        <v>745</v>
      </c>
      <c r="C68" s="2036"/>
      <c r="D68" s="2036"/>
      <c r="E68" s="261"/>
      <c r="F68" s="1054" t="b">
        <f>Environmental_Issues="Yes"</f>
        <v>0</v>
      </c>
      <c r="G68" s="1027"/>
      <c r="H68" s="1027"/>
      <c r="I68" s="1027"/>
    </row>
    <row r="69" spans="2:9">
      <c r="B69" s="2036"/>
      <c r="C69" s="2036"/>
      <c r="D69" s="2036"/>
      <c r="E69" s="1027"/>
      <c r="F69" s="1027"/>
      <c r="G69" s="1027"/>
      <c r="H69" s="1027"/>
      <c r="I69" s="1027"/>
    </row>
    <row r="70" spans="2:9" ht="15.75">
      <c r="B70" s="1053"/>
      <c r="C70" s="1053"/>
      <c r="D70" s="1053"/>
      <c r="E70" s="1027"/>
      <c r="F70" s="1027"/>
      <c r="G70" s="1027"/>
      <c r="H70" s="1027"/>
      <c r="I70" s="1027"/>
    </row>
    <row r="71" spans="2:9" ht="15.75">
      <c r="B71" s="1027"/>
      <c r="C71" s="1053"/>
      <c r="D71" s="1053"/>
      <c r="E71" s="1706"/>
      <c r="F71" s="1027"/>
      <c r="G71" s="1027"/>
      <c r="H71" s="1027"/>
      <c r="I71" s="1027"/>
    </row>
    <row r="72" spans="2:9" ht="15.75">
      <c r="B72" s="1027"/>
      <c r="C72" s="1041"/>
      <c r="D72" s="1039"/>
      <c r="E72" s="1027"/>
      <c r="F72" s="1046"/>
      <c r="G72" s="1027"/>
      <c r="H72" s="1027"/>
      <c r="I72" s="1046"/>
    </row>
    <row r="73" spans="2:9">
      <c r="B73" s="1027"/>
      <c r="C73" s="2036" t="s">
        <v>747</v>
      </c>
      <c r="D73" s="2036"/>
      <c r="E73" s="2027"/>
      <c r="F73" s="2028"/>
      <c r="G73" s="2028"/>
      <c r="H73" s="2029"/>
      <c r="I73" s="1027"/>
    </row>
    <row r="74" spans="2:9">
      <c r="B74" s="1027"/>
      <c r="C74" s="2036"/>
      <c r="D74" s="2036"/>
      <c r="E74" s="2030"/>
      <c r="F74" s="2031"/>
      <c r="G74" s="2031"/>
      <c r="H74" s="2032"/>
      <c r="I74" s="1027"/>
    </row>
    <row r="75" spans="2:9">
      <c r="B75" s="1027"/>
      <c r="C75" s="2036"/>
      <c r="D75" s="2036"/>
      <c r="E75" s="2030"/>
      <c r="F75" s="2031"/>
      <c r="G75" s="2031"/>
      <c r="H75" s="2032"/>
      <c r="I75" s="1027"/>
    </row>
    <row r="76" spans="2:9">
      <c r="B76" s="1027"/>
      <c r="C76" s="2036"/>
      <c r="D76" s="2036"/>
      <c r="E76" s="2030"/>
      <c r="F76" s="2031"/>
      <c r="G76" s="2031"/>
      <c r="H76" s="2032"/>
      <c r="I76" s="1733"/>
    </row>
    <row r="77" spans="2:9">
      <c r="B77" s="1027"/>
      <c r="C77" s="2036"/>
      <c r="D77" s="2036"/>
      <c r="E77" s="2030"/>
      <c r="F77" s="2031"/>
      <c r="G77" s="2031"/>
      <c r="H77" s="2032"/>
      <c r="I77" s="1733"/>
    </row>
    <row r="78" spans="2:9" ht="18.75">
      <c r="B78" s="1026"/>
      <c r="C78" s="2036"/>
      <c r="D78" s="2036"/>
      <c r="E78" s="2033"/>
      <c r="F78" s="2034"/>
      <c r="G78" s="2034"/>
      <c r="H78" s="2035"/>
      <c r="I78" s="1733"/>
    </row>
    <row r="79" spans="2:9">
      <c r="B79" s="1027"/>
      <c r="C79" s="1027"/>
      <c r="D79" s="1027"/>
      <c r="E79" s="1733"/>
      <c r="F79" s="1733"/>
      <c r="G79" s="1733"/>
      <c r="H79" s="1733"/>
      <c r="I79" s="1733"/>
    </row>
    <row r="80" spans="2:9" ht="18.75">
      <c r="B80" s="8" t="s">
        <v>3730</v>
      </c>
      <c r="C80" s="19"/>
      <c r="D80" s="3"/>
      <c r="E80" s="970"/>
      <c r="F80" s="970"/>
      <c r="G80" s="970"/>
      <c r="H80" s="3"/>
      <c r="I80" s="3"/>
    </row>
    <row r="81" spans="2:13">
      <c r="B81" s="1027"/>
      <c r="C81" s="1055"/>
      <c r="D81" s="1027"/>
      <c r="E81" s="1027"/>
      <c r="F81" s="1027"/>
      <c r="G81" s="1027"/>
      <c r="H81" s="1027"/>
      <c r="I81" s="1027"/>
    </row>
    <row r="82" spans="2:13">
      <c r="B82" s="1027"/>
      <c r="C82" s="2038"/>
      <c r="D82" s="2041"/>
      <c r="E82" s="2041"/>
      <c r="F82" s="2041"/>
      <c r="G82" s="2041"/>
      <c r="H82" s="2042"/>
      <c r="I82" s="1027"/>
    </row>
    <row r="83" spans="2:13">
      <c r="B83" s="1027"/>
      <c r="C83" s="2039"/>
      <c r="D83" s="2043"/>
      <c r="E83" s="2043"/>
      <c r="F83" s="2043"/>
      <c r="G83" s="2043"/>
      <c r="H83" s="2044"/>
      <c r="I83" s="1027"/>
    </row>
    <row r="84" spans="2:13">
      <c r="B84" s="1027"/>
      <c r="C84" s="2039"/>
      <c r="D84" s="2043"/>
      <c r="E84" s="2043"/>
      <c r="F84" s="2043"/>
      <c r="G84" s="2043"/>
      <c r="H84" s="2044"/>
      <c r="I84" s="1027"/>
    </row>
    <row r="85" spans="2:13">
      <c r="B85" s="1027"/>
      <c r="C85" s="2039"/>
      <c r="D85" s="2043"/>
      <c r="E85" s="2043"/>
      <c r="F85" s="2043"/>
      <c r="G85" s="2043"/>
      <c r="H85" s="2044"/>
      <c r="I85" s="1027"/>
    </row>
    <row r="86" spans="2:13">
      <c r="B86" s="1027"/>
      <c r="C86" s="2039"/>
      <c r="D86" s="2043"/>
      <c r="E86" s="2043"/>
      <c r="F86" s="2043"/>
      <c r="G86" s="2043"/>
      <c r="H86" s="2044"/>
      <c r="I86" s="1027"/>
    </row>
    <row r="87" spans="2:13">
      <c r="B87" s="1027"/>
      <c r="C87" s="2039"/>
      <c r="D87" s="2043"/>
      <c r="E87" s="2043"/>
      <c r="F87" s="2043"/>
      <c r="G87" s="2043"/>
      <c r="H87" s="2044"/>
      <c r="I87" s="1027"/>
    </row>
    <row r="88" spans="2:13">
      <c r="B88" s="1027"/>
      <c r="C88" s="2039"/>
      <c r="D88" s="2043"/>
      <c r="E88" s="2043"/>
      <c r="F88" s="2043"/>
      <c r="G88" s="2043"/>
      <c r="H88" s="2044"/>
      <c r="I88" s="1027"/>
    </row>
    <row r="89" spans="2:13">
      <c r="B89" s="1027"/>
      <c r="C89" s="2040"/>
      <c r="D89" s="2045"/>
      <c r="E89" s="2045"/>
      <c r="F89" s="2045"/>
      <c r="G89" s="2045"/>
      <c r="H89" s="2046"/>
      <c r="I89" s="1027"/>
    </row>
    <row r="90" spans="2:13">
      <c r="B90" s="1027"/>
      <c r="C90" s="1055"/>
      <c r="D90" s="1027"/>
      <c r="E90" s="1027"/>
      <c r="F90" s="1027"/>
      <c r="G90" s="1027"/>
      <c r="H90" s="1027"/>
      <c r="I90" s="1703"/>
    </row>
    <row r="91" spans="2:13">
      <c r="B91" s="3"/>
      <c r="C91" s="19"/>
      <c r="D91" s="3"/>
      <c r="E91" s="3"/>
      <c r="F91" s="3"/>
      <c r="G91" s="3"/>
      <c r="H91" s="1740"/>
      <c r="I91" s="1740"/>
      <c r="J91" s="97"/>
      <c r="K91" s="97"/>
      <c r="L91" s="97"/>
      <c r="M91" s="97"/>
    </row>
    <row r="92" spans="2:13">
      <c r="B92" s="16" t="s">
        <v>3731</v>
      </c>
      <c r="C92" s="20"/>
      <c r="D92" s="7"/>
      <c r="E92" s="7"/>
      <c r="F92" s="7"/>
      <c r="G92" s="7"/>
      <c r="H92" s="1736"/>
      <c r="I92" s="1736"/>
      <c r="J92" s="97"/>
      <c r="K92" s="97"/>
      <c r="L92" s="97"/>
      <c r="M92" s="97"/>
    </row>
    <row r="93" spans="2:13" ht="18.75">
      <c r="B93" s="8" t="s">
        <v>3732</v>
      </c>
      <c r="C93" s="19"/>
      <c r="D93" s="3"/>
      <c r="E93" s="970"/>
      <c r="F93" s="970"/>
      <c r="G93" s="970"/>
      <c r="H93" s="1736"/>
      <c r="I93" s="1736"/>
    </row>
    <row r="94" spans="2:13">
      <c r="B94" s="1027"/>
      <c r="C94" s="1055"/>
      <c r="D94" s="1027"/>
      <c r="E94" s="1027"/>
      <c r="F94" s="1027"/>
      <c r="G94" s="1027"/>
      <c r="H94" s="1703"/>
      <c r="I94" s="1703"/>
    </row>
    <row r="95" spans="2:13">
      <c r="B95" s="1027"/>
      <c r="C95" s="2038"/>
      <c r="D95" s="1999"/>
      <c r="E95" s="1999"/>
      <c r="F95" s="1999"/>
      <c r="G95" s="1999"/>
      <c r="H95" s="2000"/>
      <c r="I95" s="1703"/>
    </row>
    <row r="96" spans="2:13">
      <c r="B96" s="1027"/>
      <c r="C96" s="2039"/>
      <c r="D96" s="2002"/>
      <c r="E96" s="2002"/>
      <c r="F96" s="2002"/>
      <c r="G96" s="2002"/>
      <c r="H96" s="2003"/>
      <c r="I96" s="1703"/>
    </row>
    <row r="97" spans="2:9">
      <c r="B97" s="1027"/>
      <c r="C97" s="2039"/>
      <c r="D97" s="2002"/>
      <c r="E97" s="2002"/>
      <c r="F97" s="2002"/>
      <c r="G97" s="2002"/>
      <c r="H97" s="2003"/>
      <c r="I97" s="1703"/>
    </row>
    <row r="98" spans="2:9">
      <c r="B98" s="1027"/>
      <c r="C98" s="2040"/>
      <c r="D98" s="2005"/>
      <c r="E98" s="2005"/>
      <c r="F98" s="2005"/>
      <c r="G98" s="2005"/>
      <c r="H98" s="2006"/>
      <c r="I98" s="1703"/>
    </row>
    <row r="99" spans="2:9">
      <c r="B99" s="1027"/>
      <c r="C99" s="1055"/>
      <c r="D99" s="1027"/>
      <c r="E99" s="1027"/>
      <c r="F99" s="1027"/>
      <c r="G99" s="1027"/>
      <c r="H99" s="1703"/>
      <c r="I99" s="1703"/>
    </row>
    <row r="100" spans="2:9" ht="15.75">
      <c r="B100" s="3"/>
      <c r="C100" s="168"/>
      <c r="D100" s="166"/>
      <c r="E100" s="3"/>
      <c r="F100" s="3"/>
      <c r="G100" s="3"/>
      <c r="H100" s="1736"/>
      <c r="I100" s="1736"/>
    </row>
    <row r="101" spans="2:9">
      <c r="B101" s="3"/>
      <c r="C101" s="3"/>
      <c r="D101" s="3"/>
      <c r="E101" s="3"/>
      <c r="F101" s="3"/>
      <c r="G101" s="3"/>
      <c r="H101" s="3"/>
      <c r="I101" s="3"/>
    </row>
    <row r="102" spans="2:9">
      <c r="B102" s="3"/>
      <c r="C102" s="3"/>
      <c r="D102" s="3"/>
      <c r="E102" s="3"/>
      <c r="F102" s="3"/>
      <c r="G102" s="3"/>
      <c r="H102" s="3"/>
      <c r="I102" s="3"/>
    </row>
    <row r="103" spans="2:9">
      <c r="B103" s="3"/>
      <c r="C103" s="3"/>
      <c r="D103" s="3"/>
      <c r="E103" s="3"/>
      <c r="F103" s="3"/>
      <c r="G103" s="3"/>
      <c r="H103" s="3"/>
      <c r="I103" s="3"/>
    </row>
    <row r="104" spans="2:9">
      <c r="B104" s="3"/>
      <c r="C104" s="3"/>
      <c r="D104" s="3"/>
      <c r="E104" s="3"/>
      <c r="F104" s="3"/>
      <c r="G104" s="3"/>
      <c r="H104" s="3"/>
      <c r="I104" s="3"/>
    </row>
    <row r="105" spans="2:9">
      <c r="B105" s="3"/>
      <c r="C105" s="3"/>
      <c r="D105" s="3"/>
      <c r="E105" s="3"/>
      <c r="F105" s="3"/>
      <c r="G105" s="3"/>
      <c r="H105" s="3"/>
      <c r="I105" s="3"/>
    </row>
    <row r="106" spans="2:9">
      <c r="B106" s="3"/>
      <c r="C106" s="3"/>
      <c r="D106" s="3"/>
      <c r="E106" s="3"/>
      <c r="F106" s="3"/>
      <c r="G106" s="3"/>
      <c r="H106" s="3"/>
      <c r="I106" s="3"/>
    </row>
    <row r="107" spans="2:9">
      <c r="B107" s="3"/>
      <c r="C107" s="3"/>
      <c r="D107" s="3"/>
      <c r="E107" s="3"/>
      <c r="F107" s="3"/>
      <c r="G107" s="3"/>
      <c r="H107" s="3"/>
      <c r="I107" s="3"/>
    </row>
    <row r="108" spans="2:9">
      <c r="B108" s="3"/>
      <c r="C108" s="3"/>
      <c r="D108" s="3"/>
      <c r="E108" s="3"/>
      <c r="F108" s="3"/>
      <c r="G108" s="3"/>
      <c r="H108" s="3"/>
      <c r="I108" s="3"/>
    </row>
    <row r="109" spans="2:9">
      <c r="B109" s="3"/>
      <c r="C109" s="3"/>
      <c r="D109" s="3"/>
      <c r="E109" s="3"/>
      <c r="F109" s="3"/>
      <c r="G109" s="3"/>
      <c r="H109" s="3"/>
      <c r="I109" s="3"/>
    </row>
    <row r="110" spans="2:9">
      <c r="B110" s="3"/>
      <c r="C110" s="3"/>
      <c r="D110" s="3"/>
      <c r="E110" s="3"/>
      <c r="F110" s="3"/>
      <c r="G110" s="3"/>
      <c r="H110" s="3"/>
      <c r="I110" s="3"/>
    </row>
    <row r="111" spans="2:9">
      <c r="B111" s="3"/>
      <c r="C111" s="3"/>
      <c r="D111" s="3"/>
      <c r="E111" s="3"/>
      <c r="F111" s="3"/>
      <c r="G111" s="3"/>
      <c r="H111" s="3"/>
      <c r="I111" s="3"/>
    </row>
    <row r="112" spans="2:9">
      <c r="B112" s="3"/>
      <c r="C112" s="3"/>
      <c r="D112" s="3"/>
      <c r="E112" s="3"/>
      <c r="F112" s="3"/>
      <c r="G112" s="3"/>
      <c r="H112" s="3"/>
      <c r="I112" s="3"/>
    </row>
    <row r="113" spans="2:9">
      <c r="B113" s="3"/>
      <c r="C113" s="3"/>
      <c r="D113" s="3"/>
      <c r="E113" s="3"/>
      <c r="F113" s="3"/>
      <c r="G113" s="3"/>
      <c r="H113" s="3"/>
      <c r="I113" s="3"/>
    </row>
    <row r="114" spans="2:9">
      <c r="B114" s="3"/>
      <c r="C114" s="3"/>
      <c r="D114" s="3"/>
      <c r="E114" s="3"/>
      <c r="F114" s="3"/>
      <c r="G114" s="3"/>
      <c r="H114" s="3"/>
      <c r="I114" s="3"/>
    </row>
    <row r="115" spans="2:9">
      <c r="B115" s="3"/>
      <c r="C115" s="3"/>
      <c r="D115" s="3"/>
      <c r="E115" s="3"/>
      <c r="F115" s="3"/>
      <c r="G115" s="3"/>
      <c r="H115" s="3"/>
      <c r="I115" s="3"/>
    </row>
    <row r="116" spans="2:9">
      <c r="B116" s="3"/>
      <c r="C116" s="3"/>
      <c r="D116" s="3"/>
      <c r="E116" s="3"/>
      <c r="F116" s="3"/>
      <c r="G116" s="3"/>
      <c r="H116" s="3"/>
      <c r="I116" s="3"/>
    </row>
    <row r="117" spans="2:9">
      <c r="B117" s="3"/>
      <c r="C117" s="3"/>
      <c r="D117" s="3"/>
      <c r="E117" s="3"/>
      <c r="F117" s="3"/>
      <c r="G117" s="3"/>
      <c r="H117" s="3"/>
      <c r="I117" s="3"/>
    </row>
    <row r="118" spans="2:9">
      <c r="B118" s="3"/>
      <c r="C118" s="3"/>
      <c r="D118" s="3"/>
      <c r="E118" s="3"/>
      <c r="F118" s="3"/>
      <c r="G118" s="3"/>
      <c r="H118" s="3"/>
      <c r="I118" s="3"/>
    </row>
    <row r="119" spans="2:9">
      <c r="B119" s="3"/>
      <c r="C119" s="3"/>
      <c r="D119" s="3"/>
      <c r="E119" s="3"/>
      <c r="F119" s="3"/>
      <c r="G119" s="3"/>
      <c r="H119" s="3"/>
      <c r="I119" s="3"/>
    </row>
    <row r="120" spans="2:9">
      <c r="B120" s="3"/>
      <c r="C120" s="3"/>
      <c r="D120" s="3"/>
      <c r="E120" s="3"/>
      <c r="F120" s="3"/>
      <c r="G120" s="3"/>
      <c r="H120" s="3"/>
      <c r="I120" s="3"/>
    </row>
    <row r="121" spans="2:9">
      <c r="B121" s="3"/>
      <c r="C121" s="3"/>
      <c r="D121" s="3"/>
      <c r="E121" s="3"/>
      <c r="F121" s="3"/>
      <c r="G121" s="3"/>
      <c r="H121" s="3"/>
      <c r="I121" s="3"/>
    </row>
    <row r="122" spans="2:9">
      <c r="B122" s="3"/>
      <c r="C122" s="3"/>
      <c r="D122" s="3"/>
      <c r="E122" s="3"/>
      <c r="F122" s="3"/>
      <c r="G122" s="3"/>
      <c r="H122" s="3"/>
      <c r="I122" s="3"/>
    </row>
    <row r="123" spans="2:9">
      <c r="B123" s="3"/>
      <c r="C123" s="3"/>
      <c r="D123" s="3"/>
      <c r="E123" s="3"/>
      <c r="F123" s="3"/>
      <c r="G123" s="3"/>
      <c r="H123" s="3"/>
      <c r="I123" s="3"/>
    </row>
    <row r="124" spans="2:9">
      <c r="B124" s="3"/>
      <c r="C124" s="3"/>
      <c r="D124" s="3"/>
      <c r="E124" s="3"/>
      <c r="F124" s="3"/>
      <c r="G124" s="3"/>
      <c r="H124" s="3"/>
      <c r="I124" s="3"/>
    </row>
    <row r="125" spans="2:9">
      <c r="B125" s="3"/>
      <c r="C125" s="3"/>
      <c r="D125" s="3"/>
      <c r="E125" s="3"/>
      <c r="F125" s="3"/>
      <c r="G125" s="3"/>
      <c r="H125" s="3"/>
      <c r="I125" s="3"/>
    </row>
    <row r="126" spans="2:9">
      <c r="B126" s="3"/>
      <c r="C126" s="3"/>
      <c r="D126" s="3"/>
      <c r="E126" s="3"/>
      <c r="F126" s="3"/>
      <c r="G126" s="3"/>
      <c r="H126" s="3"/>
      <c r="I126" s="3"/>
    </row>
    <row r="127" spans="2:9">
      <c r="B127" s="3"/>
      <c r="C127" s="3"/>
      <c r="D127" s="3"/>
      <c r="E127" s="3"/>
      <c r="F127" s="3"/>
      <c r="G127" s="3"/>
      <c r="H127" s="3"/>
      <c r="I127" s="3"/>
    </row>
    <row r="128" spans="2:9">
      <c r="B128" s="3"/>
      <c r="C128" s="3"/>
      <c r="D128" s="3"/>
      <c r="E128" s="3"/>
      <c r="F128" s="3"/>
      <c r="G128" s="3"/>
      <c r="H128" s="3"/>
      <c r="I128" s="3"/>
    </row>
    <row r="129" spans="2:9">
      <c r="B129" s="3"/>
      <c r="C129" s="3"/>
      <c r="D129" s="3"/>
      <c r="E129" s="3"/>
      <c r="F129" s="3"/>
      <c r="G129" s="3"/>
      <c r="H129" s="3"/>
      <c r="I129" s="3"/>
    </row>
    <row r="130" spans="2:9">
      <c r="B130" s="3"/>
      <c r="C130" s="3"/>
      <c r="D130" s="3"/>
      <c r="E130" s="3"/>
      <c r="F130" s="3"/>
      <c r="G130" s="3"/>
      <c r="H130" s="3"/>
      <c r="I130" s="3"/>
    </row>
    <row r="131" spans="2:9">
      <c r="B131" s="3"/>
      <c r="C131" s="3"/>
      <c r="D131" s="3"/>
      <c r="E131" s="3"/>
      <c r="F131" s="3"/>
      <c r="G131" s="3"/>
      <c r="H131" s="3"/>
      <c r="I131" s="3"/>
    </row>
    <row r="132" spans="2:9">
      <c r="B132" s="3"/>
      <c r="C132" s="3"/>
      <c r="D132" s="3"/>
      <c r="E132" s="3"/>
      <c r="F132" s="3"/>
      <c r="G132" s="3"/>
      <c r="H132" s="3"/>
      <c r="I132" s="3"/>
    </row>
    <row r="133" spans="2:9">
      <c r="B133" s="3"/>
      <c r="C133" s="3"/>
      <c r="D133" s="3"/>
      <c r="E133" s="3"/>
      <c r="F133" s="3"/>
      <c r="G133" s="3"/>
      <c r="H133" s="3"/>
      <c r="I133" s="3"/>
    </row>
    <row r="134" spans="2:9">
      <c r="B134" s="3"/>
      <c r="C134" s="3"/>
      <c r="D134" s="3"/>
      <c r="E134" s="3"/>
      <c r="F134" s="3"/>
      <c r="G134" s="3"/>
      <c r="H134" s="3"/>
      <c r="I134" s="3"/>
    </row>
    <row r="135" spans="2:9">
      <c r="B135" s="3"/>
      <c r="C135" s="3"/>
      <c r="D135" s="3"/>
      <c r="E135" s="3"/>
      <c r="F135" s="3"/>
      <c r="G135" s="3"/>
      <c r="H135" s="3"/>
      <c r="I135" s="3"/>
    </row>
    <row r="136" spans="2:9">
      <c r="B136" s="3"/>
      <c r="C136" s="3"/>
      <c r="D136" s="3"/>
      <c r="E136" s="3"/>
      <c r="F136" s="3"/>
      <c r="G136" s="3"/>
      <c r="H136" s="3"/>
      <c r="I136" s="3"/>
    </row>
    <row r="137" spans="2:9">
      <c r="B137" s="3"/>
      <c r="C137" s="3"/>
      <c r="D137" s="3"/>
      <c r="E137" s="3"/>
      <c r="F137" s="3"/>
      <c r="G137" s="3"/>
      <c r="H137" s="3"/>
      <c r="I137" s="3"/>
    </row>
    <row r="138" spans="2:9">
      <c r="B138" s="3"/>
      <c r="C138" s="3"/>
      <c r="D138" s="3"/>
      <c r="E138" s="3"/>
      <c r="F138" s="3"/>
      <c r="G138" s="3"/>
      <c r="H138" s="3"/>
      <c r="I138" s="3"/>
    </row>
    <row r="139" spans="2:9">
      <c r="B139" s="3"/>
      <c r="C139" s="3"/>
      <c r="D139" s="3"/>
      <c r="E139" s="3"/>
      <c r="F139" s="3"/>
      <c r="G139" s="3"/>
      <c r="H139" s="3"/>
      <c r="I139" s="3"/>
    </row>
    <row r="140" spans="2:9">
      <c r="B140" s="3"/>
      <c r="C140" s="3"/>
      <c r="D140" s="3"/>
      <c r="E140" s="3"/>
      <c r="F140" s="3"/>
      <c r="G140" s="3"/>
      <c r="H140" s="3"/>
      <c r="I140" s="3"/>
    </row>
    <row r="141" spans="2:9">
      <c r="B141" s="3"/>
      <c r="C141" s="3"/>
      <c r="D141" s="3"/>
      <c r="E141" s="3"/>
      <c r="F141" s="3"/>
      <c r="G141" s="3"/>
      <c r="H141" s="3"/>
      <c r="I141" s="3"/>
    </row>
    <row r="142" spans="2:9">
      <c r="B142" s="3"/>
      <c r="C142" s="3"/>
      <c r="D142" s="3"/>
      <c r="E142" s="3"/>
      <c r="F142" s="3"/>
      <c r="G142" s="3"/>
      <c r="H142" s="3"/>
      <c r="I142" s="3"/>
    </row>
    <row r="143" spans="2:9">
      <c r="B143" s="3"/>
      <c r="C143" s="3"/>
      <c r="D143" s="3"/>
      <c r="E143" s="3"/>
      <c r="F143" s="3"/>
      <c r="G143" s="3"/>
      <c r="H143" s="3"/>
      <c r="I143" s="3"/>
    </row>
    <row r="144" spans="2:9">
      <c r="B144" s="3"/>
      <c r="C144" s="3"/>
      <c r="D144" s="3"/>
      <c r="E144" s="3"/>
      <c r="F144" s="3"/>
      <c r="G144" s="3"/>
      <c r="H144" s="3"/>
      <c r="I144" s="3"/>
    </row>
    <row r="145" spans="2:9">
      <c r="B145" s="3"/>
      <c r="C145" s="3"/>
      <c r="D145" s="3"/>
      <c r="E145" s="3"/>
      <c r="F145" s="3"/>
      <c r="G145" s="3"/>
      <c r="H145" s="3"/>
      <c r="I145" s="3"/>
    </row>
    <row r="146" spans="2:9">
      <c r="B146" s="3"/>
      <c r="C146" s="3"/>
      <c r="D146" s="3"/>
      <c r="E146" s="3"/>
      <c r="F146" s="3"/>
      <c r="G146" s="3"/>
      <c r="H146" s="3"/>
      <c r="I146" s="3"/>
    </row>
    <row r="147" spans="2:9">
      <c r="B147" s="3"/>
      <c r="C147" s="3"/>
      <c r="D147" s="3"/>
      <c r="E147" s="3"/>
      <c r="F147" s="3"/>
      <c r="G147" s="3"/>
      <c r="H147" s="3"/>
      <c r="I147" s="3"/>
    </row>
    <row r="148" spans="2:9">
      <c r="B148" s="3"/>
      <c r="C148" s="3"/>
      <c r="D148" s="3"/>
      <c r="E148" s="3"/>
      <c r="F148" s="3"/>
      <c r="G148" s="3"/>
      <c r="H148" s="3"/>
      <c r="I148" s="3"/>
    </row>
    <row r="149" spans="2:9">
      <c r="B149" s="3"/>
      <c r="C149" s="3"/>
      <c r="D149" s="3"/>
      <c r="E149" s="3"/>
      <c r="F149" s="3"/>
      <c r="G149" s="3"/>
      <c r="H149" s="3"/>
      <c r="I149" s="3"/>
    </row>
    <row r="150" spans="2:9">
      <c r="B150" s="3"/>
      <c r="C150" s="3"/>
      <c r="D150" s="3"/>
      <c r="E150" s="3"/>
      <c r="F150" s="3"/>
      <c r="G150" s="3"/>
      <c r="H150" s="3"/>
      <c r="I150" s="3"/>
    </row>
    <row r="151" spans="2:9">
      <c r="B151" s="3"/>
      <c r="C151" s="3"/>
      <c r="D151" s="3"/>
      <c r="E151" s="3"/>
      <c r="F151" s="3"/>
      <c r="G151" s="3"/>
      <c r="H151" s="3"/>
      <c r="I151" s="3"/>
    </row>
    <row r="152" spans="2:9">
      <c r="B152" s="3"/>
      <c r="C152" s="3"/>
      <c r="D152" s="3"/>
      <c r="E152" s="3"/>
      <c r="F152" s="3"/>
      <c r="G152" s="3"/>
      <c r="H152" s="3"/>
      <c r="I152" s="3"/>
    </row>
    <row r="153" spans="2:9">
      <c r="B153" s="3"/>
      <c r="C153" s="3"/>
      <c r="D153" s="3"/>
      <c r="E153" s="3"/>
      <c r="F153" s="3"/>
      <c r="G153" s="3"/>
      <c r="H153" s="3"/>
      <c r="I153" s="3"/>
    </row>
    <row r="154" spans="2:9">
      <c r="B154" s="3"/>
      <c r="C154" s="3"/>
      <c r="D154" s="3"/>
      <c r="E154" s="3"/>
      <c r="F154" s="3"/>
      <c r="G154" s="3"/>
      <c r="H154" s="3"/>
      <c r="I154" s="3"/>
    </row>
    <row r="155" spans="2:9">
      <c r="B155" s="3"/>
      <c r="C155" s="3"/>
      <c r="D155" s="3"/>
      <c r="E155" s="3"/>
      <c r="F155" s="3"/>
      <c r="G155" s="3"/>
      <c r="H155" s="3"/>
      <c r="I155" s="3"/>
    </row>
    <row r="156" spans="2:9">
      <c r="B156" s="3"/>
      <c r="C156" s="3"/>
      <c r="D156" s="3"/>
      <c r="E156" s="3"/>
      <c r="F156" s="3"/>
      <c r="G156" s="3"/>
      <c r="H156" s="3"/>
      <c r="I156" s="3"/>
    </row>
    <row r="157" spans="2:9">
      <c r="B157" s="3"/>
      <c r="C157" s="3"/>
      <c r="D157" s="3"/>
      <c r="E157" s="3"/>
      <c r="F157" s="3"/>
      <c r="G157" s="3"/>
      <c r="H157" s="3"/>
      <c r="I157" s="3"/>
    </row>
    <row r="158" spans="2:9">
      <c r="B158" s="3"/>
      <c r="C158" s="3"/>
      <c r="D158" s="3"/>
      <c r="E158" s="3"/>
      <c r="F158" s="3"/>
      <c r="G158" s="3"/>
      <c r="H158" s="3"/>
      <c r="I158" s="3"/>
    </row>
    <row r="159" spans="2:9">
      <c r="B159" s="3"/>
      <c r="C159" s="3"/>
      <c r="D159" s="3"/>
      <c r="E159" s="3"/>
      <c r="F159" s="3"/>
      <c r="G159" s="3"/>
      <c r="H159" s="3"/>
      <c r="I159" s="3"/>
    </row>
    <row r="160" spans="2:9">
      <c r="B160" s="3"/>
      <c r="C160" s="3"/>
      <c r="D160" s="3"/>
      <c r="E160" s="3"/>
      <c r="F160" s="3"/>
      <c r="G160" s="3"/>
      <c r="H160" s="3"/>
      <c r="I160" s="3"/>
    </row>
    <row r="161" spans="2:9">
      <c r="B161" s="3"/>
      <c r="C161" s="3"/>
      <c r="D161" s="3"/>
      <c r="E161" s="3"/>
      <c r="F161" s="3"/>
      <c r="G161" s="3"/>
      <c r="H161" s="3"/>
      <c r="I161" s="3"/>
    </row>
    <row r="162" spans="2:9">
      <c r="B162" s="3"/>
      <c r="C162" s="3"/>
      <c r="D162" s="3"/>
      <c r="E162" s="3"/>
      <c r="F162" s="3"/>
      <c r="G162" s="3"/>
      <c r="H162" s="3"/>
      <c r="I162" s="3"/>
    </row>
    <row r="163" spans="2:9">
      <c r="B163" s="3"/>
      <c r="C163" s="3"/>
      <c r="D163" s="3"/>
      <c r="E163" s="3"/>
      <c r="F163" s="3"/>
      <c r="G163" s="3"/>
      <c r="H163" s="3"/>
      <c r="I163" s="3"/>
    </row>
    <row r="164" spans="2:9">
      <c r="B164" s="3"/>
      <c r="C164" s="3"/>
      <c r="D164" s="3"/>
      <c r="E164" s="3"/>
      <c r="F164" s="3"/>
      <c r="G164" s="3"/>
      <c r="H164" s="3"/>
      <c r="I164" s="3"/>
    </row>
    <row r="165" spans="2:9">
      <c r="B165" s="3"/>
      <c r="C165" s="3"/>
      <c r="D165" s="3"/>
      <c r="E165" s="3"/>
      <c r="F165" s="3"/>
      <c r="G165" s="3"/>
      <c r="H165" s="3"/>
      <c r="I165" s="3"/>
    </row>
    <row r="166" spans="2:9">
      <c r="B166" s="3"/>
      <c r="C166" s="3"/>
      <c r="D166" s="3"/>
      <c r="E166" s="3"/>
      <c r="F166" s="3"/>
      <c r="G166" s="3"/>
      <c r="H166" s="3"/>
      <c r="I166" s="3"/>
    </row>
    <row r="167" spans="2:9">
      <c r="B167" s="3"/>
      <c r="C167" s="3"/>
      <c r="D167" s="3"/>
      <c r="E167" s="3"/>
      <c r="F167" s="3"/>
      <c r="G167" s="3"/>
      <c r="H167" s="3"/>
      <c r="I167" s="3"/>
    </row>
    <row r="168" spans="2:9">
      <c r="B168" s="3"/>
      <c r="C168" s="3"/>
      <c r="D168" s="3"/>
      <c r="E168" s="3"/>
      <c r="F168" s="3"/>
      <c r="G168" s="3"/>
      <c r="H168" s="3"/>
      <c r="I168" s="3"/>
    </row>
    <row r="169" spans="2:9">
      <c r="B169" s="3"/>
      <c r="C169" s="3"/>
      <c r="D169" s="3"/>
      <c r="E169" s="3"/>
      <c r="F169" s="3"/>
      <c r="G169" s="3"/>
      <c r="H169" s="3"/>
      <c r="I169" s="3"/>
    </row>
    <row r="170" spans="2:9">
      <c r="B170" s="3"/>
      <c r="C170" s="3"/>
      <c r="D170" s="3"/>
      <c r="E170" s="3"/>
      <c r="F170" s="3"/>
      <c r="G170" s="3"/>
      <c r="H170" s="3"/>
      <c r="I170" s="3"/>
    </row>
    <row r="171" spans="2:9">
      <c r="B171" s="3"/>
      <c r="C171" s="3"/>
      <c r="D171" s="3"/>
      <c r="E171" s="3"/>
      <c r="F171" s="3"/>
      <c r="G171" s="3"/>
      <c r="H171" s="3"/>
      <c r="I171" s="3"/>
    </row>
    <row r="172" spans="2:9">
      <c r="B172" s="3"/>
      <c r="C172" s="3"/>
      <c r="D172" s="3"/>
      <c r="E172" s="3"/>
      <c r="F172" s="3"/>
      <c r="G172" s="3"/>
      <c r="H172" s="3"/>
      <c r="I172" s="3"/>
    </row>
    <row r="173" spans="2:9">
      <c r="B173" s="3"/>
      <c r="C173" s="3"/>
      <c r="D173" s="3"/>
      <c r="E173" s="3"/>
      <c r="F173" s="3"/>
      <c r="G173" s="3"/>
      <c r="H173" s="3"/>
      <c r="I173" s="3"/>
    </row>
    <row r="174" spans="2:9">
      <c r="B174" s="3"/>
      <c r="C174" s="3"/>
      <c r="D174" s="3"/>
      <c r="E174" s="3"/>
      <c r="F174" s="3"/>
      <c r="G174" s="3"/>
      <c r="H174" s="3"/>
      <c r="I174" s="3"/>
    </row>
    <row r="175" spans="2:9">
      <c r="B175" s="3"/>
      <c r="C175" s="3"/>
      <c r="D175" s="3"/>
      <c r="E175" s="3"/>
      <c r="F175" s="3"/>
      <c r="G175" s="3"/>
      <c r="H175" s="3"/>
      <c r="I175" s="3"/>
    </row>
    <row r="176" spans="2:9">
      <c r="B176" s="3"/>
      <c r="C176" s="3"/>
      <c r="D176" s="3"/>
      <c r="E176" s="3"/>
      <c r="F176" s="3"/>
      <c r="G176" s="3"/>
      <c r="H176" s="3"/>
      <c r="I176" s="3"/>
    </row>
    <row r="177" spans="2:9">
      <c r="B177" s="3"/>
      <c r="C177" s="3"/>
      <c r="D177" s="3"/>
      <c r="E177" s="3"/>
      <c r="F177" s="3"/>
      <c r="G177" s="3"/>
      <c r="H177" s="3"/>
      <c r="I177" s="3"/>
    </row>
    <row r="178" spans="2:9">
      <c r="B178" s="3"/>
      <c r="C178" s="3"/>
      <c r="D178" s="3"/>
      <c r="E178" s="3"/>
      <c r="F178" s="3"/>
      <c r="G178" s="3"/>
      <c r="H178" s="3"/>
      <c r="I178" s="3"/>
    </row>
    <row r="179" spans="2:9">
      <c r="B179" s="3"/>
      <c r="C179" s="3"/>
      <c r="D179" s="3"/>
      <c r="E179" s="3"/>
      <c r="F179" s="3"/>
      <c r="G179" s="3"/>
      <c r="H179" s="3"/>
      <c r="I179" s="3"/>
    </row>
    <row r="180" spans="2:9">
      <c r="B180" s="3"/>
      <c r="C180" s="3"/>
      <c r="D180" s="3"/>
      <c r="E180" s="3"/>
      <c r="F180" s="3"/>
      <c r="G180" s="3"/>
      <c r="H180" s="3"/>
      <c r="I180" s="3"/>
    </row>
    <row r="181" spans="2:9">
      <c r="B181" s="3"/>
      <c r="C181" s="3"/>
      <c r="D181" s="3"/>
      <c r="E181" s="3"/>
      <c r="F181" s="3"/>
      <c r="G181" s="3"/>
      <c r="H181" s="3"/>
      <c r="I181" s="3"/>
    </row>
    <row r="182" spans="2:9">
      <c r="B182" s="3"/>
      <c r="C182" s="3"/>
      <c r="D182" s="3"/>
      <c r="E182" s="3"/>
      <c r="F182" s="3"/>
      <c r="G182" s="3"/>
      <c r="H182" s="3"/>
      <c r="I182" s="3"/>
    </row>
    <row r="183" spans="2:9">
      <c r="B183" s="3"/>
      <c r="C183" s="3"/>
      <c r="D183" s="3"/>
      <c r="E183" s="3"/>
      <c r="F183" s="3"/>
      <c r="G183" s="3"/>
      <c r="H183" s="3"/>
      <c r="I183" s="3"/>
    </row>
    <row r="184" spans="2:9">
      <c r="B184" s="3"/>
      <c r="C184" s="3"/>
      <c r="D184" s="3"/>
      <c r="E184" s="3"/>
      <c r="F184" s="3"/>
      <c r="G184" s="3"/>
      <c r="H184" s="3"/>
      <c r="I184" s="3"/>
    </row>
    <row r="185" spans="2:9">
      <c r="B185" s="3"/>
      <c r="C185" s="3"/>
      <c r="D185" s="3"/>
      <c r="E185" s="3"/>
      <c r="F185" s="3"/>
      <c r="G185" s="3"/>
      <c r="H185" s="3"/>
      <c r="I185" s="3"/>
    </row>
    <row r="186" spans="2:9">
      <c r="B186" s="3"/>
      <c r="C186" s="3"/>
      <c r="D186" s="3"/>
      <c r="E186" s="3"/>
      <c r="F186" s="3"/>
      <c r="G186" s="3"/>
      <c r="H186" s="3"/>
      <c r="I186" s="3"/>
    </row>
    <row r="187" spans="2:9">
      <c r="B187" s="3"/>
      <c r="C187" s="3"/>
      <c r="D187" s="3"/>
      <c r="E187" s="3"/>
      <c r="F187" s="3"/>
      <c r="G187" s="3"/>
      <c r="H187" s="3"/>
      <c r="I187" s="3"/>
    </row>
    <row r="188" spans="2:9">
      <c r="B188" s="3"/>
      <c r="C188" s="3"/>
      <c r="D188" s="3"/>
      <c r="E188" s="3"/>
      <c r="F188" s="3"/>
      <c r="G188" s="3"/>
      <c r="H188" s="3"/>
      <c r="I188" s="3"/>
    </row>
    <row r="189" spans="2:9">
      <c r="B189" s="3"/>
      <c r="C189" s="3"/>
      <c r="D189" s="3"/>
      <c r="E189" s="3"/>
      <c r="F189" s="3"/>
      <c r="G189" s="3"/>
      <c r="H189" s="3"/>
      <c r="I189" s="3"/>
    </row>
    <row r="190" spans="2:9">
      <c r="B190" s="3"/>
      <c r="C190" s="3"/>
      <c r="D190" s="3"/>
      <c r="E190" s="3"/>
      <c r="F190" s="3"/>
      <c r="G190" s="3"/>
      <c r="H190" s="3"/>
      <c r="I190" s="3"/>
    </row>
    <row r="191" spans="2:9">
      <c r="B191" s="3"/>
      <c r="C191" s="3"/>
      <c r="D191" s="3"/>
      <c r="E191" s="3"/>
      <c r="F191" s="3"/>
      <c r="G191" s="3"/>
      <c r="H191" s="3"/>
      <c r="I191" s="3"/>
    </row>
    <row r="192" spans="2:9">
      <c r="B192" s="3"/>
      <c r="C192" s="3"/>
      <c r="D192" s="3"/>
      <c r="E192" s="3"/>
      <c r="F192" s="3"/>
      <c r="G192" s="3"/>
      <c r="H192" s="3"/>
      <c r="I192" s="3"/>
    </row>
    <row r="193" spans="2:9">
      <c r="B193" s="3"/>
      <c r="C193" s="3"/>
      <c r="D193" s="3"/>
      <c r="E193" s="3"/>
      <c r="F193" s="3"/>
      <c r="G193" s="3"/>
      <c r="H193" s="3"/>
      <c r="I193" s="3"/>
    </row>
    <row r="194" spans="2:9">
      <c r="B194" s="3"/>
      <c r="C194" s="3"/>
      <c r="D194" s="3"/>
      <c r="E194" s="3"/>
      <c r="F194" s="3"/>
      <c r="G194" s="3"/>
      <c r="H194" s="3"/>
      <c r="I194" s="3"/>
    </row>
    <row r="195" spans="2:9">
      <c r="B195" s="3"/>
      <c r="C195" s="3"/>
      <c r="D195" s="3"/>
      <c r="E195" s="3"/>
      <c r="F195" s="3"/>
      <c r="G195" s="3"/>
      <c r="H195" s="3"/>
      <c r="I195" s="3"/>
    </row>
    <row r="196" spans="2:9">
      <c r="B196" s="3"/>
      <c r="C196" s="3"/>
      <c r="D196" s="3"/>
      <c r="E196" s="3"/>
      <c r="F196" s="3"/>
      <c r="G196" s="3"/>
      <c r="H196" s="3"/>
      <c r="I196" s="3"/>
    </row>
    <row r="197" spans="2:9">
      <c r="B197" s="3"/>
      <c r="C197" s="3"/>
      <c r="D197" s="3"/>
      <c r="E197" s="3"/>
      <c r="F197" s="3"/>
      <c r="G197" s="3"/>
      <c r="H197" s="3"/>
      <c r="I197" s="3"/>
    </row>
    <row r="198" spans="2:9">
      <c r="B198" s="3"/>
      <c r="C198" s="3"/>
      <c r="D198" s="3"/>
      <c r="E198" s="3"/>
      <c r="F198" s="3"/>
      <c r="G198" s="3"/>
      <c r="H198" s="3"/>
      <c r="I198" s="3"/>
    </row>
    <row r="199" spans="2:9">
      <c r="B199" s="3"/>
      <c r="C199" s="3"/>
      <c r="D199" s="3"/>
      <c r="E199" s="3"/>
      <c r="F199" s="3"/>
      <c r="G199" s="3"/>
      <c r="H199" s="3"/>
      <c r="I199" s="3"/>
    </row>
    <row r="200" spans="2:9">
      <c r="B200" s="3"/>
      <c r="C200" s="3"/>
      <c r="D200" s="3"/>
      <c r="E200" s="3"/>
      <c r="F200" s="3"/>
      <c r="G200" s="3"/>
      <c r="H200" s="3"/>
      <c r="I200" s="3"/>
    </row>
    <row r="201" spans="2:9">
      <c r="B201" s="3"/>
      <c r="C201" s="3"/>
      <c r="D201" s="3"/>
      <c r="E201" s="3"/>
      <c r="F201" s="3"/>
      <c r="G201" s="3"/>
      <c r="H201" s="3"/>
      <c r="I201" s="3"/>
    </row>
    <row r="202" spans="2:9">
      <c r="B202" s="3"/>
      <c r="C202" s="3"/>
      <c r="D202" s="3"/>
      <c r="E202" s="3"/>
      <c r="F202" s="3"/>
      <c r="G202" s="3"/>
      <c r="H202" s="3"/>
      <c r="I202" s="3"/>
    </row>
    <row r="203" spans="2:9">
      <c r="B203" s="3"/>
      <c r="C203" s="3"/>
      <c r="D203" s="3"/>
      <c r="E203" s="3"/>
      <c r="F203" s="3"/>
      <c r="G203" s="3"/>
      <c r="H203" s="3"/>
      <c r="I203" s="3"/>
    </row>
    <row r="204" spans="2:9">
      <c r="B204" s="3"/>
      <c r="C204" s="3"/>
      <c r="D204" s="3"/>
      <c r="E204" s="3"/>
      <c r="F204" s="3"/>
      <c r="G204" s="3"/>
      <c r="H204" s="3"/>
      <c r="I204" s="3"/>
    </row>
    <row r="205" spans="2:9">
      <c r="B205" s="3"/>
      <c r="C205" s="3"/>
      <c r="D205" s="3"/>
      <c r="E205" s="3"/>
      <c r="F205" s="3"/>
      <c r="G205" s="3"/>
      <c r="H205" s="3"/>
      <c r="I205" s="3"/>
    </row>
    <row r="206" spans="2:9">
      <c r="B206" s="3"/>
      <c r="C206" s="3"/>
      <c r="D206" s="3"/>
      <c r="E206" s="3"/>
      <c r="F206" s="3"/>
      <c r="G206" s="3"/>
      <c r="H206" s="3"/>
      <c r="I206" s="3"/>
    </row>
    <row r="207" spans="2:9">
      <c r="B207" s="3"/>
      <c r="C207" s="3"/>
      <c r="D207" s="3"/>
      <c r="E207" s="3"/>
      <c r="F207" s="3"/>
      <c r="G207" s="3"/>
      <c r="H207" s="3"/>
      <c r="I207" s="3"/>
    </row>
    <row r="208" spans="2:9">
      <c r="B208" s="3"/>
      <c r="C208" s="3"/>
      <c r="D208" s="3"/>
      <c r="E208" s="3"/>
      <c r="F208" s="3"/>
      <c r="G208" s="3"/>
      <c r="H208" s="3"/>
      <c r="I208" s="3"/>
    </row>
    <row r="209" spans="2:9">
      <c r="B209" s="3"/>
      <c r="C209" s="3"/>
      <c r="D209" s="3"/>
      <c r="E209" s="3"/>
      <c r="F209" s="3"/>
      <c r="G209" s="3"/>
      <c r="H209" s="3"/>
      <c r="I209" s="3"/>
    </row>
    <row r="210" spans="2:9">
      <c r="B210" s="3"/>
      <c r="C210" s="3"/>
      <c r="D210" s="3"/>
      <c r="E210" s="3"/>
      <c r="F210" s="3"/>
      <c r="G210" s="3"/>
      <c r="H210" s="3"/>
      <c r="I210" s="3"/>
    </row>
    <row r="211" spans="2:9">
      <c r="B211" s="3"/>
      <c r="C211" s="3"/>
      <c r="D211" s="3"/>
      <c r="E211" s="3"/>
      <c r="F211" s="3"/>
      <c r="G211" s="3"/>
      <c r="H211" s="3"/>
      <c r="I211" s="3"/>
    </row>
    <row r="212" spans="2:9">
      <c r="B212" s="3"/>
      <c r="C212" s="3"/>
      <c r="D212" s="3"/>
      <c r="E212" s="3"/>
      <c r="F212" s="3"/>
      <c r="G212" s="3"/>
      <c r="H212" s="3"/>
      <c r="I212" s="3"/>
    </row>
    <row r="213" spans="2:9">
      <c r="B213" s="3"/>
      <c r="C213" s="3"/>
      <c r="D213" s="3"/>
      <c r="E213" s="3"/>
      <c r="F213" s="3"/>
      <c r="G213" s="3"/>
      <c r="H213" s="3"/>
      <c r="I213" s="3"/>
    </row>
    <row r="214" spans="2:9">
      <c r="B214" s="3"/>
      <c r="C214" s="3"/>
      <c r="D214" s="3"/>
      <c r="E214" s="3"/>
      <c r="F214" s="3"/>
      <c r="G214" s="3"/>
      <c r="H214" s="3"/>
      <c r="I214" s="3"/>
    </row>
    <row r="215" spans="2:9">
      <c r="B215" s="3"/>
      <c r="C215" s="3"/>
      <c r="D215" s="3"/>
      <c r="E215" s="3"/>
      <c r="F215" s="3"/>
      <c r="G215" s="3"/>
      <c r="H215" s="3"/>
      <c r="I215" s="3"/>
    </row>
    <row r="216" spans="2:9">
      <c r="B216" s="3"/>
      <c r="C216" s="3"/>
      <c r="D216" s="3"/>
      <c r="E216" s="3"/>
      <c r="F216" s="3"/>
      <c r="G216" s="3"/>
      <c r="H216" s="3"/>
      <c r="I216" s="3"/>
    </row>
    <row r="217" spans="2:9">
      <c r="B217" s="3"/>
      <c r="C217" s="3"/>
      <c r="D217" s="3"/>
      <c r="E217" s="3"/>
      <c r="F217" s="3"/>
      <c r="G217" s="3"/>
      <c r="H217" s="3"/>
      <c r="I217" s="3"/>
    </row>
    <row r="218" spans="2:9">
      <c r="B218" s="3"/>
      <c r="C218" s="3"/>
      <c r="D218" s="3"/>
      <c r="E218" s="3"/>
      <c r="F218" s="3"/>
      <c r="G218" s="3"/>
      <c r="H218" s="3"/>
      <c r="I218" s="3"/>
    </row>
    <row r="219" spans="2:9">
      <c r="B219" s="3"/>
      <c r="C219" s="3"/>
      <c r="D219" s="3"/>
      <c r="E219" s="3"/>
      <c r="F219" s="3"/>
      <c r="G219" s="3"/>
      <c r="H219" s="3"/>
      <c r="I219" s="3"/>
    </row>
    <row r="220" spans="2:9">
      <c r="B220" s="3"/>
      <c r="C220" s="3"/>
      <c r="D220" s="3"/>
      <c r="E220" s="3"/>
      <c r="F220" s="3"/>
      <c r="G220" s="3"/>
      <c r="H220" s="3"/>
      <c r="I220" s="3"/>
    </row>
    <row r="221" spans="2:9">
      <c r="B221" s="3"/>
      <c r="C221" s="3"/>
      <c r="D221" s="3"/>
      <c r="E221" s="3"/>
      <c r="F221" s="3"/>
      <c r="G221" s="3"/>
      <c r="H221" s="3"/>
      <c r="I221" s="3"/>
    </row>
    <row r="222" spans="2:9">
      <c r="B222" s="3"/>
      <c r="C222" s="3"/>
      <c r="D222" s="3"/>
      <c r="E222" s="3"/>
      <c r="F222" s="3"/>
      <c r="G222" s="3"/>
      <c r="H222" s="3"/>
      <c r="I222" s="3"/>
    </row>
    <row r="223" spans="2:9">
      <c r="B223" s="3"/>
      <c r="C223" s="3"/>
      <c r="D223" s="3"/>
      <c r="E223" s="3"/>
      <c r="F223" s="3"/>
      <c r="G223" s="3"/>
      <c r="H223" s="3"/>
      <c r="I223" s="3"/>
    </row>
    <row r="224" spans="2:9">
      <c r="B224" s="3"/>
      <c r="C224" s="3"/>
      <c r="D224" s="3"/>
      <c r="E224" s="3"/>
      <c r="F224" s="3"/>
      <c r="G224" s="3"/>
      <c r="H224" s="3"/>
      <c r="I224" s="3"/>
    </row>
    <row r="225" spans="2:9">
      <c r="B225" s="3"/>
      <c r="C225" s="3"/>
      <c r="D225" s="3"/>
      <c r="E225" s="3"/>
      <c r="F225" s="3"/>
      <c r="G225" s="3"/>
      <c r="H225" s="3"/>
      <c r="I225" s="3"/>
    </row>
    <row r="226" spans="2:9">
      <c r="B226" s="3"/>
      <c r="C226" s="3"/>
      <c r="D226" s="3"/>
      <c r="E226" s="3"/>
      <c r="F226" s="3"/>
      <c r="G226" s="3"/>
      <c r="H226" s="3"/>
      <c r="I226" s="3"/>
    </row>
    <row r="227" spans="2:9">
      <c r="B227" s="3"/>
      <c r="C227" s="3"/>
      <c r="D227" s="3"/>
      <c r="E227" s="3"/>
      <c r="F227" s="3"/>
      <c r="G227" s="3"/>
      <c r="H227" s="3"/>
      <c r="I227" s="3"/>
    </row>
    <row r="228" spans="2:9">
      <c r="B228" s="3"/>
      <c r="C228" s="3"/>
      <c r="D228" s="3"/>
      <c r="E228" s="3"/>
      <c r="F228" s="3"/>
      <c r="G228" s="3"/>
      <c r="H228" s="3"/>
      <c r="I228" s="3"/>
    </row>
    <row r="229" spans="2:9">
      <c r="B229" s="3"/>
      <c r="C229" s="3"/>
      <c r="D229" s="3"/>
      <c r="E229" s="3"/>
      <c r="F229" s="3"/>
      <c r="G229" s="3"/>
      <c r="H229" s="3"/>
      <c r="I229" s="3"/>
    </row>
    <row r="230" spans="2:9">
      <c r="B230" s="3"/>
      <c r="C230" s="3"/>
      <c r="D230" s="3"/>
      <c r="E230" s="3"/>
      <c r="F230" s="3"/>
      <c r="G230" s="3"/>
      <c r="H230" s="3"/>
      <c r="I230" s="3"/>
    </row>
    <row r="231" spans="2:9">
      <c r="B231" s="3"/>
      <c r="C231" s="3"/>
      <c r="D231" s="3"/>
      <c r="E231" s="3"/>
      <c r="F231" s="3"/>
      <c r="G231" s="3"/>
      <c r="H231" s="3"/>
      <c r="I231" s="3"/>
    </row>
    <row r="232" spans="2:9">
      <c r="B232" s="3"/>
      <c r="C232" s="3"/>
      <c r="D232" s="3"/>
      <c r="E232" s="3"/>
      <c r="F232" s="3"/>
      <c r="G232" s="3"/>
      <c r="H232" s="3"/>
      <c r="I232" s="3"/>
    </row>
    <row r="233" spans="2:9">
      <c r="B233" s="3"/>
      <c r="C233" s="3"/>
      <c r="D233" s="3"/>
      <c r="E233" s="3"/>
      <c r="F233" s="3"/>
      <c r="G233" s="3"/>
      <c r="H233" s="3"/>
      <c r="I233" s="3"/>
    </row>
    <row r="234" spans="2:9">
      <c r="B234" s="3"/>
      <c r="C234" s="3"/>
      <c r="D234" s="3"/>
      <c r="E234" s="3"/>
      <c r="F234" s="3"/>
      <c r="G234" s="3"/>
      <c r="H234" s="3"/>
      <c r="I234" s="3"/>
    </row>
    <row r="235" spans="2:9">
      <c r="B235" s="3"/>
      <c r="C235" s="3"/>
      <c r="D235" s="3"/>
      <c r="E235" s="3"/>
      <c r="F235" s="3"/>
      <c r="G235" s="3"/>
      <c r="H235" s="3"/>
      <c r="I235" s="3"/>
    </row>
    <row r="236" spans="2:9">
      <c r="B236" s="3"/>
      <c r="C236" s="3"/>
      <c r="D236" s="3"/>
      <c r="E236" s="3"/>
      <c r="F236" s="3"/>
      <c r="G236" s="3"/>
      <c r="H236" s="3"/>
      <c r="I236" s="3"/>
    </row>
    <row r="237" spans="2:9">
      <c r="B237" s="3"/>
      <c r="C237" s="3"/>
      <c r="D237" s="3"/>
      <c r="E237" s="3"/>
      <c r="F237" s="3"/>
      <c r="G237" s="3"/>
      <c r="H237" s="3"/>
      <c r="I237" s="3"/>
    </row>
    <row r="238" spans="2:9">
      <c r="B238" s="3"/>
      <c r="C238" s="3"/>
      <c r="D238" s="3"/>
      <c r="E238" s="3"/>
      <c r="F238" s="3"/>
      <c r="G238" s="3"/>
      <c r="H238" s="3"/>
      <c r="I238" s="3"/>
    </row>
    <row r="239" spans="2:9">
      <c r="B239" s="3"/>
      <c r="C239" s="3"/>
      <c r="D239" s="3"/>
      <c r="E239" s="3"/>
      <c r="F239" s="3"/>
      <c r="G239" s="3"/>
      <c r="H239" s="3"/>
      <c r="I239" s="3"/>
    </row>
    <row r="240" spans="2:9">
      <c r="B240" s="3"/>
      <c r="C240" s="3"/>
      <c r="D240" s="3"/>
      <c r="E240" s="3"/>
      <c r="F240" s="3"/>
      <c r="G240" s="3"/>
      <c r="H240" s="3"/>
      <c r="I240" s="3"/>
    </row>
    <row r="241" spans="2:9">
      <c r="B241" s="3"/>
      <c r="C241" s="3"/>
      <c r="D241" s="3"/>
      <c r="E241" s="3"/>
      <c r="F241" s="3"/>
      <c r="G241" s="3"/>
      <c r="H241" s="3"/>
      <c r="I241" s="3"/>
    </row>
    <row r="242" spans="2:9">
      <c r="B242" s="3"/>
      <c r="C242" s="3"/>
      <c r="D242" s="3"/>
      <c r="E242" s="3"/>
      <c r="F242" s="3"/>
      <c r="G242" s="3"/>
      <c r="H242" s="3"/>
      <c r="I242" s="3"/>
    </row>
    <row r="243" spans="2:9">
      <c r="B243" s="3"/>
      <c r="C243" s="3"/>
      <c r="D243" s="3"/>
      <c r="E243" s="3"/>
      <c r="F243" s="3"/>
      <c r="G243" s="3"/>
      <c r="H243" s="3"/>
      <c r="I243" s="3"/>
    </row>
    <row r="244" spans="2:9">
      <c r="B244" s="3"/>
      <c r="C244" s="3"/>
      <c r="D244" s="3"/>
      <c r="E244" s="3"/>
      <c r="F244" s="3"/>
      <c r="G244" s="3"/>
      <c r="H244" s="3"/>
      <c r="I244" s="3"/>
    </row>
    <row r="245" spans="2:9">
      <c r="B245" s="3"/>
      <c r="C245" s="3"/>
      <c r="D245" s="3"/>
      <c r="E245" s="3"/>
      <c r="F245" s="3"/>
      <c r="G245" s="3"/>
      <c r="H245" s="3"/>
      <c r="I245" s="3"/>
    </row>
    <row r="246" spans="2:9">
      <c r="B246" s="3"/>
      <c r="C246" s="3"/>
      <c r="D246" s="3"/>
      <c r="E246" s="3"/>
      <c r="F246" s="3"/>
      <c r="G246" s="3"/>
      <c r="H246" s="3"/>
      <c r="I246" s="3"/>
    </row>
    <row r="247" spans="2:9">
      <c r="B247" s="3"/>
      <c r="C247" s="3"/>
      <c r="D247" s="3"/>
      <c r="E247" s="3"/>
      <c r="F247" s="3"/>
      <c r="G247" s="3"/>
      <c r="H247" s="3"/>
      <c r="I247" s="3"/>
    </row>
    <row r="248" spans="2:9">
      <c r="B248" s="3"/>
      <c r="C248" s="3"/>
      <c r="D248" s="3"/>
      <c r="E248" s="3"/>
      <c r="F248" s="3"/>
      <c r="G248" s="3"/>
      <c r="H248" s="3"/>
      <c r="I248" s="3"/>
    </row>
    <row r="249" spans="2:9">
      <c r="B249" s="3"/>
      <c r="C249" s="3"/>
      <c r="D249" s="3"/>
      <c r="E249" s="3"/>
      <c r="F249" s="3"/>
      <c r="G249" s="3"/>
      <c r="H249" s="3"/>
      <c r="I249" s="3"/>
    </row>
    <row r="250" spans="2:9">
      <c r="B250" s="3"/>
      <c r="C250" s="3"/>
      <c r="D250" s="3"/>
      <c r="E250" s="3"/>
      <c r="F250" s="3"/>
      <c r="G250" s="3"/>
      <c r="H250" s="3"/>
      <c r="I250" s="3"/>
    </row>
    <row r="251" spans="2:9">
      <c r="B251" s="3"/>
      <c r="C251" s="3"/>
      <c r="D251" s="3"/>
      <c r="E251" s="3"/>
      <c r="F251" s="3"/>
      <c r="G251" s="3"/>
      <c r="H251" s="3"/>
      <c r="I251" s="3"/>
    </row>
    <row r="252" spans="2:9">
      <c r="B252" s="3"/>
      <c r="C252" s="3"/>
      <c r="D252" s="3"/>
      <c r="E252" s="3"/>
      <c r="F252" s="3"/>
      <c r="G252" s="3"/>
      <c r="H252" s="3"/>
      <c r="I252" s="3"/>
    </row>
    <row r="253" spans="2:9">
      <c r="B253" s="3"/>
      <c r="C253" s="3"/>
      <c r="D253" s="3"/>
      <c r="E253" s="3"/>
      <c r="F253" s="3"/>
      <c r="G253" s="3"/>
      <c r="H253" s="3"/>
      <c r="I253" s="3"/>
    </row>
    <row r="254" spans="2:9">
      <c r="B254" s="3"/>
      <c r="C254" s="3"/>
      <c r="D254" s="3"/>
      <c r="E254" s="3"/>
      <c r="F254" s="3"/>
      <c r="G254" s="3"/>
      <c r="H254" s="3"/>
      <c r="I254" s="3"/>
    </row>
    <row r="255" spans="2:9">
      <c r="B255" s="3"/>
      <c r="C255" s="3"/>
      <c r="D255" s="3"/>
      <c r="E255" s="3"/>
      <c r="F255" s="3"/>
      <c r="G255" s="3"/>
      <c r="H255" s="3"/>
      <c r="I255" s="3"/>
    </row>
    <row r="256" spans="2:9">
      <c r="B256" s="3"/>
      <c r="C256" s="3"/>
      <c r="D256" s="3"/>
      <c r="E256" s="3"/>
      <c r="F256" s="3"/>
      <c r="G256" s="3"/>
      <c r="H256" s="3"/>
      <c r="I256" s="3"/>
    </row>
    <row r="257" spans="2:9">
      <c r="B257" s="3"/>
      <c r="C257" s="3"/>
      <c r="D257" s="3"/>
      <c r="E257" s="3"/>
      <c r="F257" s="3"/>
      <c r="G257" s="3"/>
      <c r="H257" s="3"/>
      <c r="I257" s="3"/>
    </row>
    <row r="258" spans="2:9">
      <c r="B258" s="3"/>
      <c r="C258" s="3"/>
      <c r="D258" s="3"/>
      <c r="E258" s="3"/>
      <c r="F258" s="3"/>
      <c r="G258" s="3"/>
      <c r="H258" s="3"/>
      <c r="I258" s="3"/>
    </row>
    <row r="259" spans="2:9">
      <c r="B259" s="3"/>
      <c r="C259" s="3"/>
      <c r="D259" s="3"/>
      <c r="E259" s="3"/>
      <c r="F259" s="3"/>
      <c r="G259" s="3"/>
      <c r="H259" s="3"/>
      <c r="I259" s="3"/>
    </row>
    <row r="260" spans="2:9">
      <c r="B260" s="3"/>
      <c r="C260" s="3"/>
      <c r="D260" s="3"/>
      <c r="E260" s="3"/>
      <c r="F260" s="3"/>
      <c r="G260" s="3"/>
      <c r="H260" s="3"/>
      <c r="I260" s="3"/>
    </row>
    <row r="261" spans="2:9">
      <c r="B261" s="3"/>
      <c r="C261" s="3"/>
      <c r="D261" s="3"/>
      <c r="E261" s="3"/>
      <c r="F261" s="3"/>
      <c r="G261" s="3"/>
      <c r="H261" s="3"/>
      <c r="I261" s="3"/>
    </row>
    <row r="262" spans="2:9">
      <c r="B262" s="3"/>
      <c r="C262" s="3"/>
      <c r="D262" s="3"/>
      <c r="E262" s="3"/>
      <c r="F262" s="3"/>
      <c r="G262" s="3"/>
      <c r="H262" s="3"/>
      <c r="I262" s="3"/>
    </row>
    <row r="263" spans="2:9">
      <c r="B263" s="3"/>
      <c r="C263" s="3"/>
      <c r="D263" s="3"/>
      <c r="E263" s="3"/>
      <c r="F263" s="3"/>
      <c r="G263" s="3"/>
      <c r="H263" s="3"/>
      <c r="I263" s="3"/>
    </row>
    <row r="264" spans="2:9">
      <c r="B264" s="3"/>
      <c r="C264" s="3"/>
      <c r="D264" s="3"/>
      <c r="E264" s="3"/>
      <c r="F264" s="3"/>
      <c r="G264" s="3"/>
      <c r="H264" s="3"/>
      <c r="I264" s="3"/>
    </row>
    <row r="265" spans="2:9">
      <c r="B265" s="3"/>
      <c r="C265" s="3"/>
      <c r="D265" s="3"/>
      <c r="E265" s="3"/>
      <c r="F265" s="3"/>
      <c r="G265" s="3"/>
      <c r="H265" s="3"/>
      <c r="I265" s="3"/>
    </row>
    <row r="266" spans="2:9">
      <c r="B266" s="3"/>
      <c r="C266" s="3"/>
      <c r="D266" s="3"/>
      <c r="E266" s="3"/>
      <c r="F266" s="3"/>
      <c r="G266" s="3"/>
      <c r="H266" s="3"/>
      <c r="I266" s="3"/>
    </row>
    <row r="267" spans="2:9">
      <c r="B267" s="3"/>
      <c r="C267" s="3"/>
      <c r="D267" s="3"/>
      <c r="E267" s="3"/>
      <c r="F267" s="3"/>
      <c r="G267" s="3"/>
      <c r="H267" s="3"/>
      <c r="I267" s="3"/>
    </row>
    <row r="268" spans="2:9">
      <c r="B268" s="3"/>
      <c r="C268" s="3"/>
      <c r="D268" s="3"/>
      <c r="E268" s="3"/>
      <c r="F268" s="3"/>
      <c r="G268" s="3"/>
      <c r="H268" s="3"/>
      <c r="I268" s="3"/>
    </row>
    <row r="269" spans="2:9">
      <c r="B269" s="3"/>
      <c r="C269" s="3"/>
      <c r="D269" s="3"/>
      <c r="E269" s="3"/>
      <c r="F269" s="3"/>
      <c r="G269" s="3"/>
      <c r="H269" s="3"/>
      <c r="I269" s="3"/>
    </row>
    <row r="270" spans="2:9">
      <c r="B270" s="3"/>
      <c r="C270" s="3"/>
      <c r="D270" s="3"/>
      <c r="E270" s="3"/>
      <c r="F270" s="3"/>
      <c r="G270" s="3"/>
      <c r="H270" s="3"/>
      <c r="I270" s="3"/>
    </row>
    <row r="271" spans="2:9">
      <c r="B271" s="3"/>
      <c r="C271" s="3"/>
      <c r="D271" s="3"/>
      <c r="E271" s="3"/>
      <c r="F271" s="3"/>
      <c r="G271" s="3"/>
      <c r="H271" s="3"/>
      <c r="I271" s="3"/>
    </row>
    <row r="272" spans="2:9">
      <c r="B272" s="3"/>
      <c r="C272" s="3"/>
      <c r="D272" s="3"/>
      <c r="E272" s="3"/>
      <c r="F272" s="3"/>
      <c r="G272" s="3"/>
      <c r="H272" s="3"/>
      <c r="I272" s="3"/>
    </row>
    <row r="273" spans="2:9">
      <c r="B273" s="3"/>
      <c r="C273" s="3"/>
      <c r="D273" s="3"/>
      <c r="E273" s="3"/>
      <c r="F273" s="3"/>
      <c r="G273" s="3"/>
      <c r="H273" s="3"/>
      <c r="I273" s="3"/>
    </row>
    <row r="274" spans="2:9">
      <c r="B274" s="3"/>
      <c r="C274" s="3"/>
      <c r="D274" s="3"/>
      <c r="E274" s="3"/>
      <c r="F274" s="3"/>
      <c r="G274" s="3"/>
      <c r="H274" s="3"/>
      <c r="I274" s="3"/>
    </row>
    <row r="275" spans="2:9">
      <c r="B275" s="3"/>
      <c r="C275" s="3"/>
      <c r="D275" s="3"/>
      <c r="E275" s="3"/>
      <c r="F275" s="3"/>
      <c r="G275" s="3"/>
      <c r="H275" s="3"/>
      <c r="I275" s="3"/>
    </row>
    <row r="276" spans="2:9">
      <c r="B276" s="3"/>
      <c r="C276" s="3"/>
      <c r="D276" s="3"/>
      <c r="E276" s="3"/>
      <c r="F276" s="3"/>
      <c r="G276" s="3"/>
      <c r="H276" s="3"/>
      <c r="I276" s="3"/>
    </row>
    <row r="277" spans="2:9">
      <c r="B277" s="3"/>
      <c r="C277" s="3"/>
      <c r="D277" s="3"/>
      <c r="E277" s="3"/>
      <c r="F277" s="3"/>
      <c r="G277" s="3"/>
      <c r="H277" s="3"/>
      <c r="I277" s="3"/>
    </row>
    <row r="278" spans="2:9">
      <c r="B278" s="3"/>
      <c r="C278" s="3"/>
      <c r="D278" s="3"/>
      <c r="E278" s="3"/>
      <c r="F278" s="3"/>
      <c r="G278" s="3"/>
      <c r="H278" s="3"/>
      <c r="I278" s="3"/>
    </row>
    <row r="279" spans="2:9">
      <c r="B279" s="3"/>
      <c r="C279" s="3"/>
      <c r="D279" s="3"/>
      <c r="E279" s="3"/>
      <c r="F279" s="3"/>
      <c r="G279" s="3"/>
      <c r="H279" s="3"/>
      <c r="I279" s="3"/>
    </row>
    <row r="280" spans="2:9">
      <c r="B280" s="3"/>
      <c r="C280" s="3"/>
      <c r="D280" s="3"/>
      <c r="E280" s="3"/>
      <c r="F280" s="3"/>
      <c r="G280" s="3"/>
      <c r="H280" s="3"/>
      <c r="I280" s="3"/>
    </row>
    <row r="281" spans="2:9">
      <c r="B281" s="3"/>
      <c r="C281" s="3"/>
      <c r="D281" s="3"/>
      <c r="E281" s="3"/>
      <c r="F281" s="3"/>
      <c r="G281" s="3"/>
      <c r="H281" s="3"/>
      <c r="I281" s="3"/>
    </row>
    <row r="282" spans="2:9">
      <c r="B282" s="3"/>
      <c r="C282" s="3"/>
      <c r="D282" s="3"/>
      <c r="E282" s="3"/>
      <c r="F282" s="3"/>
      <c r="G282" s="3"/>
      <c r="H282" s="3"/>
      <c r="I282" s="3"/>
    </row>
    <row r="283" spans="2:9">
      <c r="B283" s="3"/>
      <c r="C283" s="3"/>
      <c r="D283" s="3"/>
      <c r="E283" s="3"/>
      <c r="F283" s="3"/>
      <c r="G283" s="3"/>
      <c r="H283" s="3"/>
      <c r="I283" s="3"/>
    </row>
    <row r="284" spans="2:9">
      <c r="B284" s="3"/>
      <c r="C284" s="3"/>
      <c r="D284" s="3"/>
      <c r="E284" s="3"/>
      <c r="F284" s="3"/>
      <c r="G284" s="3"/>
      <c r="H284" s="3"/>
      <c r="I284" s="3"/>
    </row>
    <row r="285" spans="2:9">
      <c r="B285" s="3"/>
      <c r="C285" s="3"/>
      <c r="D285" s="3"/>
      <c r="E285" s="3"/>
      <c r="F285" s="3"/>
      <c r="G285" s="3"/>
      <c r="H285" s="3"/>
      <c r="I285" s="3"/>
    </row>
    <row r="286" spans="2:9">
      <c r="B286" s="3"/>
      <c r="C286" s="3"/>
      <c r="D286" s="3"/>
      <c r="E286" s="3"/>
      <c r="F286" s="3"/>
      <c r="G286" s="3"/>
      <c r="H286" s="3"/>
      <c r="I286" s="3"/>
    </row>
    <row r="287" spans="2:9">
      <c r="B287" s="3"/>
      <c r="C287" s="3"/>
      <c r="D287" s="3"/>
      <c r="E287" s="3"/>
      <c r="F287" s="3"/>
      <c r="G287" s="3"/>
      <c r="H287" s="3"/>
      <c r="I287" s="3"/>
    </row>
    <row r="288" spans="2:9">
      <c r="B288" s="3"/>
      <c r="C288" s="3"/>
      <c r="D288" s="3"/>
      <c r="E288" s="3"/>
      <c r="F288" s="3"/>
      <c r="G288" s="3"/>
      <c r="H288" s="3"/>
      <c r="I288" s="3"/>
    </row>
    <row r="289" spans="2:9">
      <c r="B289" s="3"/>
      <c r="C289" s="3"/>
      <c r="D289" s="3"/>
      <c r="E289" s="3"/>
      <c r="F289" s="3"/>
      <c r="G289" s="3"/>
      <c r="H289" s="3"/>
      <c r="I289" s="3"/>
    </row>
    <row r="290" spans="2:9">
      <c r="B290" s="3"/>
      <c r="C290" s="3"/>
      <c r="D290" s="3"/>
      <c r="E290" s="3"/>
      <c r="F290" s="3"/>
      <c r="G290" s="3"/>
      <c r="H290" s="3"/>
      <c r="I290" s="3"/>
    </row>
    <row r="291" spans="2:9">
      <c r="B291" s="3"/>
      <c r="C291" s="3"/>
      <c r="D291" s="3"/>
      <c r="E291" s="3"/>
      <c r="F291" s="3"/>
      <c r="G291" s="3"/>
      <c r="H291" s="3"/>
      <c r="I291" s="3"/>
    </row>
    <row r="292" spans="2:9">
      <c r="B292" s="3"/>
      <c r="C292" s="3"/>
      <c r="D292" s="3"/>
      <c r="E292" s="3"/>
      <c r="F292" s="3"/>
      <c r="G292" s="3"/>
      <c r="H292" s="3"/>
      <c r="I292" s="3"/>
    </row>
    <row r="293" spans="2:9">
      <c r="B293" s="3"/>
      <c r="C293" s="3"/>
      <c r="D293" s="3"/>
      <c r="E293" s="3"/>
      <c r="F293" s="3"/>
      <c r="G293" s="3"/>
      <c r="H293" s="3"/>
      <c r="I293" s="3"/>
    </row>
    <row r="294" spans="2:9">
      <c r="B294" s="3"/>
      <c r="C294" s="3"/>
      <c r="D294" s="3"/>
      <c r="E294" s="3"/>
      <c r="F294" s="3"/>
      <c r="G294" s="3"/>
      <c r="H294" s="3"/>
      <c r="I294" s="3"/>
    </row>
    <row r="295" spans="2:9">
      <c r="B295" s="3"/>
      <c r="C295" s="3"/>
      <c r="D295" s="3"/>
      <c r="E295" s="3"/>
      <c r="F295" s="3"/>
      <c r="G295" s="3"/>
      <c r="H295" s="3"/>
      <c r="I295" s="3"/>
    </row>
    <row r="296" spans="2:9">
      <c r="B296" s="3"/>
      <c r="C296" s="3"/>
      <c r="D296" s="3"/>
      <c r="E296" s="3"/>
      <c r="F296" s="3"/>
      <c r="G296" s="3"/>
      <c r="H296" s="3"/>
      <c r="I296" s="3"/>
    </row>
    <row r="297" spans="2:9">
      <c r="B297" s="3"/>
      <c r="C297" s="3"/>
      <c r="D297" s="3"/>
      <c r="E297" s="3"/>
      <c r="F297" s="3"/>
      <c r="G297" s="3"/>
      <c r="H297" s="3"/>
      <c r="I297" s="3"/>
    </row>
    <row r="298" spans="2:9">
      <c r="B298" s="3"/>
      <c r="C298" s="3"/>
      <c r="D298" s="3"/>
      <c r="E298" s="3"/>
      <c r="F298" s="3"/>
      <c r="G298" s="3"/>
      <c r="H298" s="3"/>
      <c r="I298" s="3"/>
    </row>
    <row r="299" spans="2:9">
      <c r="B299" s="3"/>
      <c r="C299" s="3"/>
      <c r="D299" s="3"/>
      <c r="E299" s="3"/>
      <c r="F299" s="3"/>
      <c r="G299" s="3"/>
      <c r="H299" s="3"/>
      <c r="I299" s="3"/>
    </row>
    <row r="300" spans="2:9">
      <c r="B300" s="3"/>
      <c r="C300" s="3"/>
      <c r="D300" s="3"/>
      <c r="E300" s="3"/>
      <c r="F300" s="3"/>
      <c r="G300" s="3"/>
      <c r="H300" s="3"/>
      <c r="I300" s="3"/>
    </row>
    <row r="301" spans="2:9">
      <c r="B301" s="3"/>
      <c r="C301" s="3"/>
      <c r="D301" s="3"/>
      <c r="E301" s="3"/>
      <c r="F301" s="3"/>
      <c r="G301" s="3"/>
      <c r="H301" s="3"/>
      <c r="I301" s="3"/>
    </row>
    <row r="302" spans="2:9">
      <c r="B302" s="3"/>
      <c r="C302" s="3"/>
      <c r="D302" s="3"/>
      <c r="E302" s="3"/>
      <c r="F302" s="3"/>
      <c r="G302" s="3"/>
      <c r="H302" s="3"/>
      <c r="I302" s="3"/>
    </row>
    <row r="303" spans="2:9">
      <c r="B303" s="3"/>
      <c r="C303" s="3"/>
      <c r="D303" s="3"/>
      <c r="E303" s="3"/>
      <c r="F303" s="3"/>
      <c r="G303" s="3"/>
      <c r="H303" s="3"/>
      <c r="I303" s="3"/>
    </row>
    <row r="304" spans="2:9">
      <c r="B304" s="3"/>
      <c r="C304" s="3"/>
      <c r="D304" s="3"/>
      <c r="E304" s="3"/>
      <c r="F304" s="3"/>
      <c r="G304" s="3"/>
      <c r="H304" s="3"/>
      <c r="I304" s="3"/>
    </row>
    <row r="305" spans="2:9">
      <c r="B305" s="3"/>
      <c r="C305" s="3"/>
      <c r="D305" s="3"/>
      <c r="E305" s="3"/>
      <c r="F305" s="3"/>
      <c r="G305" s="3"/>
      <c r="H305" s="3"/>
      <c r="I305" s="3"/>
    </row>
    <row r="306" spans="2:9">
      <c r="B306" s="3"/>
      <c r="C306" s="3"/>
      <c r="D306" s="3"/>
      <c r="E306" s="3"/>
      <c r="F306" s="3"/>
      <c r="G306" s="3"/>
      <c r="H306" s="3"/>
      <c r="I306" s="3"/>
    </row>
    <row r="307" spans="2:9">
      <c r="B307" s="3"/>
      <c r="C307" s="3"/>
      <c r="D307" s="3"/>
      <c r="E307" s="3"/>
      <c r="F307" s="3"/>
      <c r="G307" s="3"/>
      <c r="H307" s="3"/>
      <c r="I307" s="3"/>
    </row>
    <row r="308" spans="2:9">
      <c r="B308" s="3"/>
      <c r="C308" s="3"/>
      <c r="D308" s="3"/>
      <c r="E308" s="3"/>
      <c r="F308" s="3"/>
      <c r="G308" s="3"/>
      <c r="H308" s="3"/>
      <c r="I308" s="3"/>
    </row>
    <row r="309" spans="2:9">
      <c r="B309" s="3"/>
      <c r="C309" s="3"/>
      <c r="D309" s="3"/>
      <c r="E309" s="3"/>
      <c r="F309" s="3"/>
      <c r="G309" s="3"/>
      <c r="H309" s="3"/>
      <c r="I309" s="3"/>
    </row>
    <row r="310" spans="2:9">
      <c r="B310" s="3"/>
      <c r="C310" s="3"/>
      <c r="D310" s="3"/>
      <c r="E310" s="3"/>
      <c r="F310" s="3"/>
      <c r="G310" s="3"/>
      <c r="H310" s="3"/>
      <c r="I310" s="3"/>
    </row>
    <row r="311" spans="2:9">
      <c r="B311" s="3"/>
      <c r="C311" s="3"/>
      <c r="D311" s="3"/>
      <c r="E311" s="3"/>
      <c r="F311" s="3"/>
      <c r="G311" s="3"/>
      <c r="H311" s="3"/>
      <c r="I311" s="3"/>
    </row>
    <row r="312" spans="2:9">
      <c r="B312" s="3"/>
      <c r="C312" s="3"/>
      <c r="D312" s="3"/>
      <c r="E312" s="3"/>
      <c r="F312" s="3"/>
      <c r="G312" s="3"/>
      <c r="H312" s="3"/>
      <c r="I312" s="3"/>
    </row>
    <row r="313" spans="2:9">
      <c r="B313" s="3"/>
      <c r="C313" s="3"/>
      <c r="D313" s="3"/>
      <c r="E313" s="3"/>
      <c r="F313" s="3"/>
      <c r="G313" s="3"/>
      <c r="H313" s="3"/>
      <c r="I313" s="3"/>
    </row>
    <row r="314" spans="2:9">
      <c r="B314" s="3"/>
      <c r="C314" s="3"/>
      <c r="D314" s="3"/>
      <c r="E314" s="3"/>
      <c r="F314" s="3"/>
      <c r="G314" s="3"/>
      <c r="H314" s="3"/>
      <c r="I314" s="3"/>
    </row>
    <row r="315" spans="2:9">
      <c r="B315" s="3"/>
      <c r="C315" s="3"/>
      <c r="D315" s="3"/>
      <c r="E315" s="3"/>
      <c r="F315" s="3"/>
      <c r="G315" s="3"/>
      <c r="H315" s="3"/>
      <c r="I315" s="3"/>
    </row>
    <row r="316" spans="2:9">
      <c r="B316" s="3"/>
      <c r="C316" s="3"/>
      <c r="D316" s="3"/>
      <c r="E316" s="3"/>
      <c r="F316" s="3"/>
      <c r="G316" s="3"/>
      <c r="H316" s="3"/>
      <c r="I316" s="3"/>
    </row>
    <row r="317" spans="2:9">
      <c r="B317" s="3"/>
      <c r="C317" s="3"/>
      <c r="D317" s="3"/>
      <c r="E317" s="3"/>
      <c r="F317" s="3"/>
      <c r="G317" s="3"/>
      <c r="H317" s="3"/>
      <c r="I317" s="3"/>
    </row>
    <row r="318" spans="2:9">
      <c r="B318" s="3"/>
      <c r="C318" s="3"/>
      <c r="D318" s="3"/>
      <c r="E318" s="3"/>
      <c r="F318" s="3"/>
      <c r="G318" s="3"/>
      <c r="H318" s="3"/>
      <c r="I318" s="3"/>
    </row>
    <row r="319" spans="2:9">
      <c r="B319" s="3"/>
      <c r="C319" s="3"/>
      <c r="D319" s="3"/>
      <c r="E319" s="3"/>
      <c r="F319" s="3"/>
      <c r="G319" s="3"/>
      <c r="H319" s="3"/>
      <c r="I319" s="3"/>
    </row>
    <row r="320" spans="2:9">
      <c r="B320" s="3"/>
      <c r="C320" s="3"/>
      <c r="D320" s="3"/>
      <c r="E320" s="3"/>
      <c r="F320" s="3"/>
      <c r="G320" s="3"/>
      <c r="H320" s="3"/>
      <c r="I320" s="3"/>
    </row>
    <row r="321" spans="2:9">
      <c r="B321" s="3"/>
      <c r="C321" s="3"/>
      <c r="D321" s="3"/>
      <c r="E321" s="3"/>
      <c r="F321" s="3"/>
      <c r="G321" s="3"/>
      <c r="H321" s="3"/>
      <c r="I321" s="3"/>
    </row>
    <row r="322" spans="2:9">
      <c r="B322" s="3"/>
      <c r="C322" s="3"/>
      <c r="D322" s="3"/>
      <c r="E322" s="3"/>
      <c r="F322" s="3"/>
      <c r="G322" s="3"/>
      <c r="H322" s="3"/>
      <c r="I322" s="3"/>
    </row>
    <row r="323" spans="2:9">
      <c r="B323" s="3"/>
      <c r="C323" s="3"/>
      <c r="D323" s="3"/>
      <c r="E323" s="3"/>
      <c r="F323" s="3"/>
      <c r="G323" s="3"/>
      <c r="H323" s="3"/>
      <c r="I323" s="3"/>
    </row>
    <row r="324" spans="2:9">
      <c r="B324" s="3"/>
      <c r="C324" s="3"/>
      <c r="D324" s="3"/>
      <c r="E324" s="3"/>
      <c r="F324" s="3"/>
      <c r="G324" s="3"/>
      <c r="H324" s="3"/>
      <c r="I324" s="3"/>
    </row>
    <row r="325" spans="2:9">
      <c r="B325" s="3"/>
      <c r="C325" s="3"/>
      <c r="D325" s="3"/>
      <c r="E325" s="3"/>
      <c r="F325" s="3"/>
      <c r="G325" s="3"/>
      <c r="H325" s="3"/>
      <c r="I325" s="3"/>
    </row>
    <row r="326" spans="2:9">
      <c r="B326" s="3"/>
      <c r="C326" s="3"/>
      <c r="D326" s="3"/>
      <c r="E326" s="3"/>
      <c r="F326" s="3"/>
      <c r="G326" s="3"/>
      <c r="H326" s="3"/>
      <c r="I326" s="3"/>
    </row>
    <row r="327" spans="2:9">
      <c r="B327" s="3"/>
      <c r="C327" s="3"/>
      <c r="D327" s="3"/>
      <c r="E327" s="3"/>
      <c r="F327" s="3"/>
      <c r="G327" s="3"/>
      <c r="H327" s="3"/>
      <c r="I327" s="3"/>
    </row>
    <row r="328" spans="2:9">
      <c r="B328" s="3"/>
      <c r="C328" s="3"/>
      <c r="D328" s="3"/>
      <c r="E328" s="3"/>
      <c r="F328" s="3"/>
      <c r="G328" s="3"/>
      <c r="H328" s="3"/>
      <c r="I328" s="3"/>
    </row>
    <row r="329" spans="2:9">
      <c r="B329" s="3"/>
      <c r="C329" s="3"/>
      <c r="D329" s="3"/>
      <c r="E329" s="3"/>
      <c r="F329" s="3"/>
      <c r="G329" s="3"/>
      <c r="H329" s="3"/>
      <c r="I329" s="3"/>
    </row>
    <row r="330" spans="2:9">
      <c r="B330" s="3"/>
      <c r="C330" s="3"/>
      <c r="D330" s="3"/>
      <c r="E330" s="3"/>
      <c r="F330" s="3"/>
      <c r="G330" s="3"/>
      <c r="H330" s="3"/>
      <c r="I330" s="3"/>
    </row>
    <row r="331" spans="2:9">
      <c r="B331" s="3"/>
      <c r="C331" s="3"/>
      <c r="D331" s="3"/>
      <c r="E331" s="3"/>
      <c r="F331" s="3"/>
      <c r="G331" s="3"/>
      <c r="H331" s="3"/>
      <c r="I331" s="3"/>
    </row>
    <row r="332" spans="2:9">
      <c r="B332" s="3"/>
      <c r="C332" s="3"/>
      <c r="D332" s="3"/>
      <c r="E332" s="3"/>
      <c r="F332" s="3"/>
      <c r="G332" s="3"/>
      <c r="H332" s="3"/>
      <c r="I332" s="3"/>
    </row>
    <row r="333" spans="2:9">
      <c r="B333" s="3"/>
      <c r="C333" s="3"/>
      <c r="D333" s="3"/>
      <c r="E333" s="3"/>
      <c r="F333" s="3"/>
      <c r="G333" s="3"/>
      <c r="H333" s="3"/>
      <c r="I333" s="3"/>
    </row>
    <row r="334" spans="2:9">
      <c r="B334" s="3"/>
      <c r="C334" s="3"/>
      <c r="D334" s="3"/>
      <c r="E334" s="3"/>
      <c r="F334" s="3"/>
      <c r="G334" s="3"/>
      <c r="H334" s="3"/>
      <c r="I334" s="3"/>
    </row>
    <row r="335" spans="2:9">
      <c r="B335" s="3"/>
      <c r="C335" s="3"/>
      <c r="D335" s="3"/>
      <c r="E335" s="3"/>
      <c r="F335" s="3"/>
      <c r="G335" s="3"/>
      <c r="H335" s="3"/>
      <c r="I335" s="3"/>
    </row>
    <row r="336" spans="2:9">
      <c r="B336" s="3"/>
      <c r="C336" s="3"/>
      <c r="D336" s="3"/>
      <c r="E336" s="3"/>
      <c r="F336" s="3"/>
      <c r="G336" s="3"/>
      <c r="H336" s="3"/>
      <c r="I336" s="3"/>
    </row>
    <row r="337" spans="2:9">
      <c r="B337" s="3"/>
      <c r="C337" s="3"/>
      <c r="D337" s="3"/>
      <c r="E337" s="3"/>
      <c r="F337" s="3"/>
      <c r="G337" s="3"/>
      <c r="H337" s="3"/>
      <c r="I337" s="3"/>
    </row>
    <row r="338" spans="2:9">
      <c r="B338" s="3"/>
      <c r="C338" s="3"/>
      <c r="D338" s="3"/>
      <c r="E338" s="3"/>
      <c r="F338" s="3"/>
      <c r="G338" s="3"/>
      <c r="H338" s="3"/>
      <c r="I338" s="3"/>
    </row>
    <row r="339" spans="2:9">
      <c r="B339" s="3"/>
      <c r="C339" s="3"/>
      <c r="D339" s="3"/>
      <c r="E339" s="3"/>
      <c r="F339" s="3"/>
      <c r="G339" s="3"/>
      <c r="H339" s="3"/>
      <c r="I339" s="3"/>
    </row>
    <row r="340" spans="2:9">
      <c r="B340" s="3"/>
      <c r="C340" s="3"/>
      <c r="D340" s="3"/>
      <c r="E340" s="3"/>
      <c r="F340" s="3"/>
      <c r="G340" s="3"/>
      <c r="H340" s="3"/>
      <c r="I340" s="3"/>
    </row>
    <row r="341" spans="2:9">
      <c r="B341" s="3"/>
      <c r="C341" s="3"/>
      <c r="D341" s="3"/>
      <c r="E341" s="3"/>
      <c r="F341" s="3"/>
      <c r="G341" s="3"/>
      <c r="H341" s="3"/>
      <c r="I341" s="3"/>
    </row>
    <row r="342" spans="2:9">
      <c r="B342" s="3"/>
      <c r="C342" s="3"/>
      <c r="D342" s="3"/>
      <c r="E342" s="3"/>
      <c r="F342" s="3"/>
      <c r="G342" s="3"/>
      <c r="H342" s="3"/>
      <c r="I342" s="3"/>
    </row>
    <row r="343" spans="2:9">
      <c r="B343" s="3"/>
      <c r="C343" s="3"/>
      <c r="D343" s="3"/>
      <c r="E343" s="3"/>
      <c r="F343" s="3"/>
      <c r="G343" s="3"/>
      <c r="H343" s="3"/>
      <c r="I343" s="3"/>
    </row>
    <row r="344" spans="2:9">
      <c r="B344" s="3"/>
      <c r="C344" s="3"/>
      <c r="D344" s="3"/>
      <c r="E344" s="3"/>
      <c r="F344" s="3"/>
      <c r="G344" s="3"/>
      <c r="H344" s="3"/>
      <c r="I344" s="3"/>
    </row>
    <row r="345" spans="2:9">
      <c r="B345" s="3"/>
      <c r="C345" s="3"/>
      <c r="D345" s="3"/>
      <c r="E345" s="3"/>
      <c r="F345" s="3"/>
      <c r="G345" s="3"/>
      <c r="H345" s="3"/>
      <c r="I345" s="3"/>
    </row>
    <row r="346" spans="2:9">
      <c r="B346" s="3"/>
      <c r="C346" s="3"/>
      <c r="D346" s="3"/>
      <c r="E346" s="3"/>
      <c r="F346" s="3"/>
      <c r="G346" s="3"/>
      <c r="H346" s="3"/>
      <c r="I346" s="3"/>
    </row>
    <row r="347" spans="2:9">
      <c r="B347" s="3"/>
      <c r="C347" s="3"/>
      <c r="D347" s="3"/>
      <c r="E347" s="3"/>
      <c r="F347" s="3"/>
      <c r="G347" s="3"/>
      <c r="H347" s="3"/>
      <c r="I347" s="3"/>
    </row>
    <row r="348" spans="2:9">
      <c r="B348" s="3"/>
      <c r="C348" s="3"/>
      <c r="D348" s="3"/>
      <c r="E348" s="3"/>
      <c r="F348" s="3"/>
      <c r="G348" s="3"/>
      <c r="H348" s="3"/>
      <c r="I348" s="3"/>
    </row>
    <row r="349" spans="2:9">
      <c r="B349" s="3"/>
      <c r="C349" s="3"/>
      <c r="D349" s="3"/>
      <c r="E349" s="3"/>
      <c r="F349" s="3"/>
      <c r="G349" s="3"/>
      <c r="H349" s="3"/>
      <c r="I349" s="3"/>
    </row>
    <row r="350" spans="2:9">
      <c r="B350" s="3"/>
      <c r="C350" s="3"/>
      <c r="D350" s="3"/>
      <c r="E350" s="3"/>
      <c r="F350" s="3"/>
      <c r="G350" s="3"/>
      <c r="H350" s="3"/>
      <c r="I350" s="3"/>
    </row>
    <row r="351" spans="2:9">
      <c r="B351" s="3"/>
      <c r="C351" s="3"/>
      <c r="D351" s="3"/>
      <c r="E351" s="3"/>
      <c r="F351" s="3"/>
      <c r="G351" s="3"/>
      <c r="H351" s="3"/>
      <c r="I351" s="3"/>
    </row>
    <row r="352" spans="2:9">
      <c r="B352" s="3"/>
      <c r="C352" s="3"/>
      <c r="D352" s="3"/>
      <c r="E352" s="3"/>
      <c r="F352" s="3"/>
      <c r="G352" s="3"/>
      <c r="H352" s="3"/>
      <c r="I352" s="3"/>
    </row>
    <row r="353" spans="2:9">
      <c r="B353" s="3"/>
      <c r="C353" s="3"/>
      <c r="D353" s="3"/>
      <c r="E353" s="3"/>
      <c r="F353" s="3"/>
      <c r="G353" s="3"/>
      <c r="H353" s="3"/>
      <c r="I353" s="3"/>
    </row>
    <row r="354" spans="2:9">
      <c r="B354" s="3"/>
      <c r="C354" s="3"/>
      <c r="D354" s="3"/>
      <c r="E354" s="3"/>
      <c r="F354" s="3"/>
      <c r="G354" s="3"/>
      <c r="H354" s="3"/>
      <c r="I354" s="3"/>
    </row>
    <row r="355" spans="2:9">
      <c r="B355" s="3"/>
      <c r="C355" s="3"/>
      <c r="D355" s="3"/>
      <c r="E355" s="3"/>
      <c r="F355" s="3"/>
      <c r="G355" s="3"/>
      <c r="H355" s="3"/>
      <c r="I355" s="3"/>
    </row>
    <row r="356" spans="2:9">
      <c r="B356" s="3"/>
      <c r="C356" s="3"/>
      <c r="D356" s="3"/>
      <c r="E356" s="3"/>
      <c r="F356" s="3"/>
      <c r="G356" s="3"/>
      <c r="H356" s="3"/>
      <c r="I356" s="3"/>
    </row>
    <row r="357" spans="2:9">
      <c r="B357" s="3"/>
      <c r="C357" s="3"/>
      <c r="D357" s="3"/>
      <c r="E357" s="3"/>
      <c r="F357" s="3"/>
      <c r="G357" s="3"/>
      <c r="H357" s="3"/>
      <c r="I357" s="3"/>
    </row>
    <row r="358" spans="2:9">
      <c r="B358" s="3"/>
      <c r="C358" s="3"/>
      <c r="D358" s="3"/>
      <c r="E358" s="3"/>
      <c r="F358" s="3"/>
      <c r="G358" s="3"/>
      <c r="H358" s="3"/>
      <c r="I358" s="3"/>
    </row>
    <row r="359" spans="2:9">
      <c r="B359" s="3"/>
      <c r="C359" s="3"/>
      <c r="D359" s="3"/>
      <c r="E359" s="3"/>
      <c r="F359" s="3"/>
      <c r="G359" s="3"/>
      <c r="H359" s="3"/>
      <c r="I359" s="3"/>
    </row>
    <row r="360" spans="2:9">
      <c r="B360" s="3"/>
      <c r="C360" s="3"/>
      <c r="D360" s="3"/>
      <c r="E360" s="3"/>
      <c r="F360" s="3"/>
      <c r="G360" s="3"/>
      <c r="H360" s="3"/>
      <c r="I360" s="3"/>
    </row>
    <row r="361" spans="2:9">
      <c r="B361" s="3"/>
      <c r="C361" s="3"/>
      <c r="D361" s="3"/>
      <c r="E361" s="3"/>
      <c r="F361" s="3"/>
      <c r="G361" s="3"/>
      <c r="H361" s="3"/>
      <c r="I361" s="3"/>
    </row>
    <row r="362" spans="2:9">
      <c r="B362" s="3"/>
      <c r="C362" s="3"/>
      <c r="D362" s="3"/>
      <c r="E362" s="3"/>
      <c r="F362" s="3"/>
      <c r="G362" s="3"/>
      <c r="H362" s="3"/>
      <c r="I362" s="3"/>
    </row>
    <row r="363" spans="2:9">
      <c r="B363" s="3"/>
      <c r="C363" s="3"/>
      <c r="D363" s="3"/>
      <c r="E363" s="3"/>
      <c r="F363" s="3"/>
      <c r="G363" s="3"/>
      <c r="H363" s="3"/>
      <c r="I363" s="3"/>
    </row>
    <row r="364" spans="2:9">
      <c r="B364" s="3"/>
      <c r="C364" s="3"/>
      <c r="D364" s="3"/>
      <c r="E364" s="3"/>
      <c r="F364" s="3"/>
      <c r="G364" s="3"/>
      <c r="H364" s="3"/>
      <c r="I364" s="3"/>
    </row>
    <row r="365" spans="2:9">
      <c r="B365" s="3"/>
      <c r="C365" s="3"/>
      <c r="D365" s="3"/>
      <c r="E365" s="3"/>
      <c r="F365" s="3"/>
      <c r="G365" s="3"/>
      <c r="H365" s="3"/>
      <c r="I365" s="3"/>
    </row>
    <row r="366" spans="2:9">
      <c r="B366" s="3"/>
      <c r="C366" s="3"/>
      <c r="D366" s="3"/>
      <c r="E366" s="3"/>
      <c r="F366" s="3"/>
      <c r="G366" s="3"/>
      <c r="H366" s="3"/>
      <c r="I366" s="3"/>
    </row>
    <row r="367" spans="2:9">
      <c r="B367" s="3"/>
      <c r="C367" s="3"/>
      <c r="D367" s="3"/>
      <c r="E367" s="3"/>
      <c r="F367" s="3"/>
      <c r="G367" s="3"/>
      <c r="H367" s="3"/>
      <c r="I367" s="3"/>
    </row>
    <row r="368" spans="2:9">
      <c r="B368" s="3"/>
      <c r="C368" s="3"/>
      <c r="D368" s="3"/>
      <c r="E368" s="3"/>
      <c r="F368" s="3"/>
      <c r="G368" s="3"/>
      <c r="H368" s="3"/>
      <c r="I368" s="3"/>
    </row>
    <row r="369" spans="2:9">
      <c r="B369" s="3"/>
      <c r="C369" s="3"/>
      <c r="D369" s="3"/>
      <c r="E369" s="3"/>
      <c r="F369" s="3"/>
      <c r="G369" s="3"/>
      <c r="H369" s="3"/>
      <c r="I369" s="3"/>
    </row>
    <row r="370" spans="2:9">
      <c r="B370" s="3"/>
      <c r="C370" s="3"/>
      <c r="D370" s="3"/>
      <c r="E370" s="3"/>
      <c r="F370" s="3"/>
      <c r="G370" s="3"/>
      <c r="H370" s="3"/>
      <c r="I370" s="3"/>
    </row>
    <row r="371" spans="2:9">
      <c r="B371" s="3"/>
      <c r="C371" s="3"/>
      <c r="D371" s="3"/>
      <c r="E371" s="3"/>
      <c r="F371" s="3"/>
      <c r="G371" s="3"/>
      <c r="H371" s="3"/>
      <c r="I371" s="3"/>
    </row>
    <row r="372" spans="2:9">
      <c r="B372" s="3"/>
      <c r="C372" s="3"/>
      <c r="D372" s="3"/>
      <c r="E372" s="3"/>
      <c r="F372" s="3"/>
      <c r="G372" s="3"/>
      <c r="H372" s="3"/>
      <c r="I372" s="3"/>
    </row>
    <row r="373" spans="2:9">
      <c r="B373" s="3"/>
      <c r="C373" s="3"/>
      <c r="D373" s="3"/>
      <c r="E373" s="3"/>
      <c r="F373" s="3"/>
      <c r="G373" s="3"/>
      <c r="H373" s="3"/>
      <c r="I373" s="3"/>
    </row>
    <row r="374" spans="2:9">
      <c r="B374" s="3"/>
      <c r="C374" s="3"/>
      <c r="D374" s="3"/>
      <c r="E374" s="3"/>
      <c r="F374" s="3"/>
      <c r="G374" s="3"/>
      <c r="H374" s="3"/>
      <c r="I374" s="3"/>
    </row>
    <row r="375" spans="2:9">
      <c r="B375" s="3"/>
      <c r="C375" s="3"/>
      <c r="D375" s="3"/>
      <c r="E375" s="3"/>
      <c r="F375" s="3"/>
      <c r="G375" s="3"/>
      <c r="H375" s="3"/>
      <c r="I375" s="3"/>
    </row>
    <row r="376" spans="2:9">
      <c r="B376" s="3"/>
      <c r="C376" s="3"/>
      <c r="D376" s="3"/>
      <c r="E376" s="3"/>
      <c r="F376" s="3"/>
      <c r="G376" s="3"/>
      <c r="H376" s="3"/>
      <c r="I376" s="3"/>
    </row>
    <row r="377" spans="2:9">
      <c r="B377" s="3"/>
      <c r="C377" s="3"/>
      <c r="D377" s="3"/>
      <c r="E377" s="3"/>
      <c r="F377" s="3"/>
      <c r="G377" s="3"/>
      <c r="H377" s="3"/>
      <c r="I377" s="3"/>
    </row>
    <row r="378" spans="2:9">
      <c r="B378" s="3"/>
      <c r="C378" s="3"/>
      <c r="D378" s="3"/>
      <c r="E378" s="3"/>
      <c r="F378" s="3"/>
      <c r="G378" s="3"/>
      <c r="H378" s="3"/>
      <c r="I378" s="3"/>
    </row>
    <row r="379" spans="2:9">
      <c r="B379" s="3"/>
      <c r="C379" s="3"/>
      <c r="D379" s="3"/>
      <c r="E379" s="3"/>
      <c r="F379" s="3"/>
      <c r="G379" s="3"/>
      <c r="H379" s="3"/>
      <c r="I379" s="3"/>
    </row>
    <row r="380" spans="2:9">
      <c r="B380" s="3"/>
      <c r="C380" s="3"/>
      <c r="D380" s="3"/>
      <c r="E380" s="3"/>
      <c r="F380" s="3"/>
      <c r="G380" s="3"/>
      <c r="H380" s="3"/>
      <c r="I380" s="3"/>
    </row>
    <row r="381" spans="2:9">
      <c r="B381" s="3"/>
      <c r="C381" s="3"/>
      <c r="D381" s="3"/>
      <c r="E381" s="3"/>
      <c r="F381" s="3"/>
      <c r="G381" s="3"/>
      <c r="H381" s="3"/>
      <c r="I381" s="3"/>
    </row>
    <row r="382" spans="2:9">
      <c r="B382" s="3"/>
      <c r="C382" s="3"/>
      <c r="D382" s="3"/>
      <c r="E382" s="3"/>
      <c r="F382" s="3"/>
      <c r="G382" s="3"/>
      <c r="H382" s="3"/>
      <c r="I382" s="3"/>
    </row>
    <row r="383" spans="2:9">
      <c r="B383" s="3"/>
      <c r="C383" s="3"/>
      <c r="D383" s="3"/>
      <c r="E383" s="3"/>
      <c r="F383" s="3"/>
      <c r="G383" s="3"/>
      <c r="H383" s="3"/>
      <c r="I383" s="3"/>
    </row>
    <row r="384" spans="2:9">
      <c r="B384" s="3"/>
      <c r="C384" s="3"/>
      <c r="D384" s="3"/>
      <c r="E384" s="3"/>
      <c r="F384" s="3"/>
      <c r="G384" s="3"/>
      <c r="H384" s="3"/>
      <c r="I384" s="3"/>
    </row>
    <row r="385" spans="2:9">
      <c r="B385" s="3"/>
      <c r="C385" s="3"/>
      <c r="D385" s="3"/>
      <c r="E385" s="3"/>
      <c r="F385" s="3"/>
      <c r="G385" s="3"/>
      <c r="H385" s="3"/>
      <c r="I385" s="3"/>
    </row>
    <row r="386" spans="2:9">
      <c r="B386" s="3"/>
      <c r="C386" s="3"/>
      <c r="D386" s="3"/>
      <c r="E386" s="3"/>
      <c r="F386" s="3"/>
      <c r="G386" s="3"/>
      <c r="H386" s="3"/>
      <c r="I386" s="3"/>
    </row>
    <row r="387" spans="2:9">
      <c r="B387" s="3"/>
      <c r="C387" s="3"/>
      <c r="D387" s="3"/>
      <c r="E387" s="3"/>
      <c r="F387" s="3"/>
      <c r="G387" s="3"/>
      <c r="H387" s="3"/>
      <c r="I387" s="3"/>
    </row>
    <row r="388" spans="2:9">
      <c r="B388" s="3"/>
      <c r="C388" s="3"/>
      <c r="D388" s="3"/>
      <c r="E388" s="3"/>
      <c r="F388" s="3"/>
      <c r="G388" s="3"/>
      <c r="H388" s="3"/>
      <c r="I388" s="3"/>
    </row>
    <row r="389" spans="2:9">
      <c r="B389" s="3"/>
      <c r="C389" s="3"/>
      <c r="D389" s="3"/>
      <c r="E389" s="3"/>
      <c r="F389" s="3"/>
      <c r="G389" s="3"/>
      <c r="H389" s="3"/>
      <c r="I389" s="3"/>
    </row>
    <row r="390" spans="2:9">
      <c r="B390" s="3"/>
      <c r="C390" s="3"/>
      <c r="D390" s="3"/>
      <c r="E390" s="3"/>
      <c r="F390" s="3"/>
      <c r="G390" s="3"/>
      <c r="H390" s="3"/>
      <c r="I390" s="3"/>
    </row>
    <row r="391" spans="2:9">
      <c r="B391" s="3"/>
      <c r="C391" s="3"/>
      <c r="D391" s="3"/>
      <c r="E391" s="3"/>
      <c r="F391" s="3"/>
      <c r="G391" s="3"/>
      <c r="H391" s="3"/>
      <c r="I391" s="3"/>
    </row>
    <row r="392" spans="2:9">
      <c r="B392" s="3"/>
      <c r="C392" s="3"/>
      <c r="D392" s="3"/>
      <c r="E392" s="3"/>
      <c r="F392" s="3"/>
      <c r="G392" s="3"/>
      <c r="H392" s="3"/>
      <c r="I392" s="3"/>
    </row>
    <row r="393" spans="2:9">
      <c r="B393" s="3"/>
      <c r="C393" s="3"/>
      <c r="D393" s="3"/>
      <c r="E393" s="3"/>
      <c r="F393" s="3"/>
      <c r="G393" s="3"/>
      <c r="H393" s="3"/>
      <c r="I393" s="3"/>
    </row>
    <row r="394" spans="2:9">
      <c r="B394" s="3"/>
      <c r="C394" s="3"/>
      <c r="D394" s="3"/>
      <c r="E394" s="3"/>
      <c r="F394" s="3"/>
      <c r="G394" s="3"/>
      <c r="H394" s="3"/>
      <c r="I394" s="3"/>
    </row>
    <row r="395" spans="2:9">
      <c r="B395" s="3"/>
      <c r="C395" s="3"/>
      <c r="D395" s="3"/>
      <c r="E395" s="3"/>
      <c r="F395" s="3"/>
      <c r="G395" s="3"/>
      <c r="H395" s="3"/>
      <c r="I395" s="3"/>
    </row>
    <row r="396" spans="2:9">
      <c r="B396" s="3"/>
      <c r="C396" s="3"/>
      <c r="D396" s="3"/>
      <c r="E396" s="3"/>
      <c r="F396" s="3"/>
      <c r="G396" s="3"/>
      <c r="H396" s="3"/>
      <c r="I396" s="3"/>
    </row>
    <row r="397" spans="2:9">
      <c r="B397" s="3"/>
      <c r="C397" s="3"/>
      <c r="D397" s="3"/>
      <c r="E397" s="3"/>
      <c r="F397" s="3"/>
      <c r="G397" s="3"/>
      <c r="H397" s="3"/>
      <c r="I397" s="3"/>
    </row>
    <row r="398" spans="2:9">
      <c r="B398" s="3"/>
      <c r="C398" s="3"/>
      <c r="D398" s="3"/>
      <c r="E398" s="3"/>
      <c r="F398" s="3"/>
      <c r="G398" s="3"/>
      <c r="H398" s="3"/>
      <c r="I398" s="3"/>
    </row>
    <row r="399" spans="2:9">
      <c r="B399" s="3"/>
      <c r="C399" s="3"/>
      <c r="D399" s="3"/>
      <c r="E399" s="3"/>
      <c r="F399" s="3"/>
      <c r="G399" s="3"/>
      <c r="H399" s="3"/>
      <c r="I399" s="3"/>
    </row>
    <row r="400" spans="2:9">
      <c r="B400" s="3"/>
      <c r="C400" s="3"/>
      <c r="D400" s="3"/>
      <c r="E400" s="3"/>
      <c r="F400" s="3"/>
      <c r="G400" s="3"/>
      <c r="H400" s="3"/>
      <c r="I400" s="3"/>
    </row>
    <row r="401" spans="2:9">
      <c r="B401" s="3"/>
      <c r="C401" s="3"/>
      <c r="D401" s="3"/>
      <c r="E401" s="3"/>
      <c r="F401" s="3"/>
      <c r="G401" s="3"/>
      <c r="H401" s="3"/>
      <c r="I401" s="3"/>
    </row>
    <row r="402" spans="2:9">
      <c r="B402" s="3"/>
      <c r="C402" s="3"/>
      <c r="D402" s="3"/>
      <c r="E402" s="3"/>
      <c r="F402" s="3"/>
      <c r="G402" s="3"/>
      <c r="H402" s="3"/>
      <c r="I402" s="3"/>
    </row>
    <row r="403" spans="2:9">
      <c r="B403" s="3"/>
      <c r="C403" s="3"/>
      <c r="D403" s="3"/>
      <c r="E403" s="3"/>
      <c r="F403" s="3"/>
      <c r="G403" s="3"/>
      <c r="H403" s="3"/>
      <c r="I403" s="3"/>
    </row>
    <row r="404" spans="2:9">
      <c r="B404" s="3"/>
      <c r="C404" s="3"/>
      <c r="D404" s="3"/>
      <c r="E404" s="3"/>
      <c r="F404" s="3"/>
      <c r="G404" s="3"/>
      <c r="H404" s="3"/>
      <c r="I404" s="3"/>
    </row>
    <row r="405" spans="2:9">
      <c r="B405" s="3"/>
      <c r="C405" s="3"/>
      <c r="D405" s="3"/>
      <c r="E405" s="3"/>
      <c r="F405" s="3"/>
      <c r="G405" s="3"/>
      <c r="H405" s="3"/>
      <c r="I405" s="3"/>
    </row>
    <row r="406" spans="2:9">
      <c r="B406" s="3"/>
      <c r="C406" s="3"/>
      <c r="D406" s="3"/>
      <c r="E406" s="3"/>
      <c r="F406" s="3"/>
      <c r="G406" s="3"/>
      <c r="H406" s="3"/>
      <c r="I406" s="3"/>
    </row>
    <row r="407" spans="2:9">
      <c r="B407" s="3"/>
      <c r="C407" s="3"/>
      <c r="D407" s="3"/>
      <c r="E407" s="3"/>
      <c r="F407" s="3"/>
      <c r="G407" s="3"/>
      <c r="H407" s="3"/>
      <c r="I407" s="3"/>
    </row>
    <row r="408" spans="2:9">
      <c r="B408" s="3"/>
      <c r="C408" s="3"/>
      <c r="D408" s="3"/>
      <c r="E408" s="3"/>
      <c r="F408" s="3"/>
      <c r="G408" s="3"/>
      <c r="H408" s="3"/>
      <c r="I408" s="3"/>
    </row>
    <row r="409" spans="2:9">
      <c r="B409" s="3"/>
      <c r="C409" s="3"/>
      <c r="D409" s="3"/>
      <c r="E409" s="3"/>
      <c r="F409" s="3"/>
      <c r="G409" s="3"/>
      <c r="H409" s="3"/>
      <c r="I409" s="3"/>
    </row>
    <row r="410" spans="2:9">
      <c r="B410" s="3"/>
      <c r="C410" s="3"/>
      <c r="D410" s="3"/>
      <c r="E410" s="3"/>
      <c r="F410" s="3"/>
      <c r="G410" s="3"/>
      <c r="H410" s="3"/>
      <c r="I410" s="3"/>
    </row>
    <row r="411" spans="2:9">
      <c r="B411" s="3"/>
      <c r="C411" s="3"/>
      <c r="D411" s="3"/>
      <c r="E411" s="3"/>
      <c r="F411" s="3"/>
      <c r="G411" s="3"/>
      <c r="H411" s="3"/>
      <c r="I411" s="3"/>
    </row>
    <row r="412" spans="2:9">
      <c r="B412" s="3"/>
      <c r="C412" s="3"/>
      <c r="D412" s="3"/>
      <c r="E412" s="3"/>
      <c r="F412" s="3"/>
      <c r="G412" s="3"/>
      <c r="H412" s="3"/>
      <c r="I412" s="3"/>
    </row>
    <row r="413" spans="2:9">
      <c r="B413" s="3"/>
      <c r="C413" s="3"/>
      <c r="D413" s="3"/>
      <c r="E413" s="3"/>
      <c r="F413" s="3"/>
      <c r="G413" s="3"/>
      <c r="H413" s="3"/>
      <c r="I413" s="3"/>
    </row>
    <row r="414" spans="2:9">
      <c r="B414" s="3"/>
      <c r="C414" s="3"/>
      <c r="D414" s="3"/>
      <c r="E414" s="3"/>
      <c r="F414" s="3"/>
      <c r="G414" s="3"/>
      <c r="H414" s="3"/>
      <c r="I414" s="3"/>
    </row>
    <row r="415" spans="2:9">
      <c r="B415" s="3"/>
      <c r="C415" s="3"/>
      <c r="D415" s="3"/>
      <c r="E415" s="3"/>
      <c r="F415" s="3"/>
      <c r="G415" s="3"/>
      <c r="H415" s="3"/>
      <c r="I415" s="3"/>
    </row>
    <row r="416" spans="2:9">
      <c r="B416" s="3"/>
      <c r="C416" s="3"/>
      <c r="D416" s="3"/>
      <c r="E416" s="3"/>
      <c r="F416" s="3"/>
      <c r="G416" s="3"/>
      <c r="H416" s="3"/>
      <c r="I416" s="3"/>
    </row>
    <row r="417" spans="2:9">
      <c r="B417" s="3"/>
      <c r="C417" s="3"/>
      <c r="D417" s="3"/>
      <c r="E417" s="3"/>
      <c r="F417" s="3"/>
      <c r="G417" s="3"/>
      <c r="H417" s="3"/>
      <c r="I417" s="3"/>
    </row>
    <row r="418" spans="2:9">
      <c r="B418" s="3"/>
      <c r="C418" s="3"/>
      <c r="D418" s="3"/>
      <c r="E418" s="3"/>
      <c r="F418" s="3"/>
      <c r="G418" s="3"/>
      <c r="H418" s="3"/>
      <c r="I418" s="3"/>
    </row>
    <row r="419" spans="2:9">
      <c r="B419" s="3"/>
      <c r="C419" s="3"/>
      <c r="D419" s="3"/>
      <c r="E419" s="3"/>
      <c r="F419" s="3"/>
      <c r="G419" s="3"/>
      <c r="H419" s="3"/>
      <c r="I419" s="3"/>
    </row>
    <row r="420" spans="2:9">
      <c r="B420" s="3"/>
      <c r="C420" s="3"/>
      <c r="D420" s="3"/>
      <c r="E420" s="3"/>
      <c r="F420" s="3"/>
      <c r="G420" s="3"/>
      <c r="H420" s="3"/>
      <c r="I420" s="3"/>
    </row>
    <row r="421" spans="2:9">
      <c r="B421" s="3"/>
      <c r="C421" s="3"/>
      <c r="D421" s="3"/>
      <c r="E421" s="3"/>
      <c r="F421" s="3"/>
      <c r="G421" s="3"/>
      <c r="H421" s="3"/>
      <c r="I421" s="3"/>
    </row>
    <row r="422" spans="2:9">
      <c r="B422" s="3"/>
      <c r="C422" s="3"/>
      <c r="D422" s="3"/>
      <c r="E422" s="3"/>
      <c r="F422" s="3"/>
      <c r="G422" s="3"/>
      <c r="H422" s="3"/>
      <c r="I422" s="3"/>
    </row>
    <row r="423" spans="2:9">
      <c r="B423" s="3"/>
      <c r="C423" s="3"/>
      <c r="D423" s="3"/>
      <c r="E423" s="3"/>
      <c r="F423" s="3"/>
      <c r="G423" s="3"/>
      <c r="H423" s="3"/>
      <c r="I423" s="3"/>
    </row>
    <row r="424" spans="2:9">
      <c r="B424" s="3"/>
      <c r="C424" s="3"/>
      <c r="D424" s="3"/>
      <c r="E424" s="3"/>
      <c r="F424" s="3"/>
      <c r="G424" s="3"/>
      <c r="H424" s="3"/>
      <c r="I424" s="3"/>
    </row>
    <row r="425" spans="2:9">
      <c r="B425" s="3"/>
      <c r="C425" s="3"/>
      <c r="D425" s="3"/>
      <c r="E425" s="3"/>
      <c r="F425" s="3"/>
      <c r="G425" s="3"/>
      <c r="H425" s="3"/>
      <c r="I425" s="3"/>
    </row>
    <row r="426" spans="2:9">
      <c r="B426" s="3"/>
      <c r="C426" s="3"/>
      <c r="D426" s="3"/>
      <c r="E426" s="3"/>
      <c r="F426" s="3"/>
      <c r="G426" s="3"/>
      <c r="H426" s="3"/>
      <c r="I426" s="3"/>
    </row>
    <row r="427" spans="2:9">
      <c r="B427" s="3"/>
      <c r="C427" s="3"/>
      <c r="D427" s="3"/>
      <c r="E427" s="3"/>
      <c r="F427" s="3"/>
      <c r="G427" s="3"/>
      <c r="H427" s="3"/>
      <c r="I427" s="3"/>
    </row>
    <row r="428" spans="2:9">
      <c r="B428" s="3"/>
      <c r="C428" s="3"/>
      <c r="D428" s="3"/>
      <c r="E428" s="3"/>
      <c r="F428" s="3"/>
      <c r="G428" s="3"/>
      <c r="H428" s="3"/>
      <c r="I428" s="3"/>
    </row>
    <row r="429" spans="2:9">
      <c r="B429" s="3"/>
      <c r="C429" s="3"/>
      <c r="D429" s="3"/>
      <c r="E429" s="3"/>
      <c r="F429" s="3"/>
      <c r="G429" s="3"/>
      <c r="H429" s="3"/>
      <c r="I429" s="3"/>
    </row>
    <row r="430" spans="2:9">
      <c r="B430" s="3"/>
      <c r="C430" s="3"/>
      <c r="D430" s="3"/>
      <c r="E430" s="3"/>
      <c r="F430" s="3"/>
      <c r="G430" s="3"/>
      <c r="H430" s="3"/>
      <c r="I430" s="3"/>
    </row>
    <row r="431" spans="2:9">
      <c r="B431" s="3"/>
      <c r="C431" s="3"/>
      <c r="D431" s="3"/>
      <c r="E431" s="3"/>
      <c r="F431" s="3"/>
      <c r="G431" s="3"/>
      <c r="H431" s="3"/>
      <c r="I431" s="3"/>
    </row>
    <row r="432" spans="2:9">
      <c r="B432" s="3"/>
      <c r="C432" s="3"/>
      <c r="D432" s="3"/>
      <c r="E432" s="3"/>
      <c r="F432" s="3"/>
      <c r="G432" s="3"/>
      <c r="H432" s="3"/>
      <c r="I432" s="3"/>
    </row>
    <row r="433" spans="2:9">
      <c r="B433" s="3"/>
      <c r="C433" s="3"/>
      <c r="D433" s="3"/>
      <c r="E433" s="3"/>
      <c r="F433" s="3"/>
      <c r="G433" s="3"/>
      <c r="H433" s="3"/>
      <c r="I433" s="3"/>
    </row>
    <row r="434" spans="2:9">
      <c r="B434" s="3"/>
      <c r="C434" s="3"/>
      <c r="D434" s="3"/>
      <c r="E434" s="3"/>
      <c r="F434" s="3"/>
      <c r="G434" s="3"/>
      <c r="H434" s="3"/>
      <c r="I434" s="3"/>
    </row>
    <row r="435" spans="2:9">
      <c r="B435" s="3"/>
      <c r="C435" s="3"/>
      <c r="D435" s="3"/>
      <c r="E435" s="3"/>
      <c r="F435" s="3"/>
      <c r="G435" s="3"/>
      <c r="H435" s="3"/>
      <c r="I435" s="3"/>
    </row>
    <row r="436" spans="2:9">
      <c r="B436" s="3"/>
      <c r="C436" s="3"/>
      <c r="D436" s="3"/>
      <c r="E436" s="3"/>
      <c r="F436" s="3"/>
      <c r="G436" s="3"/>
      <c r="H436" s="3"/>
      <c r="I436" s="3"/>
    </row>
    <row r="437" spans="2:9">
      <c r="B437" s="3"/>
      <c r="C437" s="3"/>
      <c r="D437" s="3"/>
      <c r="E437" s="3"/>
      <c r="F437" s="3"/>
      <c r="G437" s="3"/>
      <c r="H437" s="3"/>
      <c r="I437" s="3"/>
    </row>
    <row r="438" spans="2:9">
      <c r="B438" s="3"/>
      <c r="C438" s="3"/>
      <c r="D438" s="3"/>
      <c r="E438" s="3"/>
      <c r="F438" s="3"/>
      <c r="G438" s="3"/>
      <c r="H438" s="3"/>
      <c r="I438" s="3"/>
    </row>
    <row r="439" spans="2:9">
      <c r="B439" s="3"/>
      <c r="C439" s="3"/>
      <c r="D439" s="3"/>
      <c r="E439" s="3"/>
      <c r="F439" s="3"/>
      <c r="G439" s="3"/>
      <c r="H439" s="3"/>
      <c r="I439" s="3"/>
    </row>
    <row r="440" spans="2:9">
      <c r="B440" s="3"/>
      <c r="C440" s="3"/>
      <c r="D440" s="3"/>
      <c r="E440" s="3"/>
      <c r="F440" s="3"/>
      <c r="G440" s="3"/>
      <c r="H440" s="3"/>
      <c r="I440" s="3"/>
    </row>
    <row r="441" spans="2:9">
      <c r="B441" s="3"/>
      <c r="C441" s="3"/>
      <c r="D441" s="3"/>
      <c r="E441" s="3"/>
      <c r="F441" s="3"/>
      <c r="G441" s="3"/>
      <c r="H441" s="3"/>
      <c r="I441" s="3"/>
    </row>
    <row r="442" spans="2:9">
      <c r="B442" s="3"/>
      <c r="C442" s="3"/>
      <c r="D442" s="3"/>
      <c r="E442" s="3"/>
      <c r="F442" s="3"/>
      <c r="G442" s="3"/>
      <c r="H442" s="3"/>
      <c r="I442" s="3"/>
    </row>
    <row r="443" spans="2:9">
      <c r="B443" s="3"/>
      <c r="C443" s="3"/>
      <c r="D443" s="3"/>
      <c r="E443" s="3"/>
      <c r="F443" s="3"/>
      <c r="G443" s="3"/>
      <c r="H443" s="3"/>
      <c r="I443" s="3"/>
    </row>
    <row r="444" spans="2:9">
      <c r="B444" s="3"/>
      <c r="C444" s="3"/>
      <c r="D444" s="3"/>
      <c r="E444" s="3"/>
      <c r="F444" s="3"/>
      <c r="G444" s="3"/>
      <c r="H444" s="3"/>
      <c r="I444" s="3"/>
    </row>
    <row r="445" spans="2:9">
      <c r="B445" s="3"/>
      <c r="C445" s="3"/>
      <c r="D445" s="3"/>
      <c r="E445" s="3"/>
      <c r="F445" s="3"/>
      <c r="G445" s="3"/>
      <c r="H445" s="3"/>
      <c r="I445" s="3"/>
    </row>
    <row r="446" spans="2:9">
      <c r="B446" s="3"/>
      <c r="C446" s="3"/>
      <c r="D446" s="3"/>
      <c r="E446" s="3"/>
      <c r="F446" s="3"/>
      <c r="G446" s="3"/>
      <c r="H446" s="3"/>
      <c r="I446" s="3"/>
    </row>
    <row r="447" spans="2:9">
      <c r="B447" s="3"/>
      <c r="C447" s="3"/>
      <c r="D447" s="3"/>
      <c r="E447" s="3"/>
      <c r="F447" s="3"/>
      <c r="G447" s="3"/>
      <c r="H447" s="3"/>
      <c r="I447" s="3"/>
    </row>
    <row r="448" spans="2:9">
      <c r="B448" s="3"/>
      <c r="C448" s="3"/>
      <c r="D448" s="3"/>
      <c r="E448" s="3"/>
      <c r="F448" s="3"/>
      <c r="G448" s="3"/>
      <c r="H448" s="3"/>
      <c r="I448" s="3"/>
    </row>
    <row r="449" spans="2:9">
      <c r="B449" s="3"/>
      <c r="C449" s="3"/>
      <c r="D449" s="3"/>
      <c r="E449" s="3"/>
      <c r="F449" s="3"/>
      <c r="G449" s="3"/>
      <c r="H449" s="3"/>
      <c r="I449" s="3"/>
    </row>
    <row r="450" spans="2:9">
      <c r="B450" s="3"/>
      <c r="C450" s="3"/>
      <c r="D450" s="3"/>
      <c r="E450" s="3"/>
      <c r="F450" s="3"/>
      <c r="G450" s="3"/>
      <c r="H450" s="3"/>
      <c r="I450" s="3"/>
    </row>
    <row r="451" spans="2:9">
      <c r="B451" s="3"/>
      <c r="C451" s="3"/>
      <c r="D451" s="3"/>
      <c r="E451" s="3"/>
      <c r="F451" s="3"/>
      <c r="G451" s="3"/>
      <c r="H451" s="3"/>
      <c r="I451" s="3"/>
    </row>
    <row r="452" spans="2:9">
      <c r="B452" s="3"/>
      <c r="C452" s="3"/>
      <c r="D452" s="3"/>
      <c r="E452" s="3"/>
      <c r="F452" s="3"/>
      <c r="G452" s="3"/>
      <c r="H452" s="3"/>
      <c r="I452" s="3"/>
    </row>
    <row r="453" spans="2:9">
      <c r="B453" s="3"/>
      <c r="C453" s="3"/>
      <c r="D453" s="3"/>
      <c r="E453" s="3"/>
      <c r="F453" s="3"/>
      <c r="G453" s="3"/>
      <c r="H453" s="3"/>
      <c r="I453" s="3"/>
    </row>
    <row r="454" spans="2:9">
      <c r="B454" s="3"/>
      <c r="C454" s="3"/>
      <c r="D454" s="3"/>
      <c r="E454" s="3"/>
      <c r="F454" s="3"/>
      <c r="G454" s="3"/>
      <c r="H454" s="3"/>
      <c r="I454" s="3"/>
    </row>
    <row r="455" spans="2:9">
      <c r="B455" s="3"/>
      <c r="C455" s="3"/>
      <c r="D455" s="3"/>
      <c r="E455" s="3"/>
      <c r="F455" s="3"/>
      <c r="G455" s="3"/>
      <c r="H455" s="3"/>
      <c r="I455" s="3"/>
    </row>
    <row r="456" spans="2:9">
      <c r="B456" s="3"/>
      <c r="C456" s="3"/>
      <c r="D456" s="3"/>
      <c r="E456" s="3"/>
      <c r="F456" s="3"/>
      <c r="G456" s="3"/>
      <c r="H456" s="3"/>
      <c r="I456" s="3"/>
    </row>
    <row r="457" spans="2:9">
      <c r="B457" s="3"/>
      <c r="C457" s="3"/>
      <c r="D457" s="3"/>
      <c r="E457" s="3"/>
      <c r="F457" s="3"/>
      <c r="G457" s="3"/>
      <c r="H457" s="3"/>
      <c r="I457" s="3"/>
    </row>
    <row r="458" spans="2:9">
      <c r="B458" s="3"/>
      <c r="C458" s="3"/>
      <c r="D458" s="3"/>
      <c r="E458" s="3"/>
      <c r="F458" s="3"/>
      <c r="G458" s="3"/>
      <c r="H458" s="3"/>
      <c r="I458" s="3"/>
    </row>
    <row r="459" spans="2:9">
      <c r="B459" s="3"/>
      <c r="C459" s="3"/>
      <c r="D459" s="3"/>
      <c r="E459" s="3"/>
      <c r="F459" s="3"/>
      <c r="G459" s="3"/>
      <c r="H459" s="3"/>
      <c r="I459" s="3"/>
    </row>
    <row r="460" spans="2:9">
      <c r="B460" s="3"/>
      <c r="C460" s="3"/>
      <c r="D460" s="3"/>
      <c r="E460" s="3"/>
      <c r="F460" s="3"/>
      <c r="G460" s="3"/>
      <c r="H460" s="3"/>
      <c r="I460" s="3"/>
    </row>
    <row r="461" spans="2:9">
      <c r="B461" s="3"/>
      <c r="C461" s="3"/>
      <c r="D461" s="3"/>
      <c r="E461" s="3"/>
      <c r="F461" s="3"/>
      <c r="G461" s="3"/>
      <c r="H461" s="3"/>
      <c r="I461" s="3"/>
    </row>
    <row r="462" spans="2:9">
      <c r="B462" s="3"/>
      <c r="C462" s="3"/>
      <c r="D462" s="3"/>
      <c r="E462" s="3"/>
      <c r="F462" s="3"/>
      <c r="G462" s="3"/>
      <c r="H462" s="3"/>
      <c r="I462" s="3"/>
    </row>
    <row r="463" spans="2:9">
      <c r="B463" s="3"/>
      <c r="C463" s="3"/>
      <c r="D463" s="3"/>
      <c r="E463" s="3"/>
      <c r="F463" s="3"/>
      <c r="G463" s="3"/>
      <c r="H463" s="3"/>
      <c r="I463" s="3"/>
    </row>
    <row r="464" spans="2:9">
      <c r="B464" s="3"/>
      <c r="C464" s="3"/>
      <c r="D464" s="3"/>
      <c r="E464" s="3"/>
      <c r="F464" s="3"/>
      <c r="G464" s="3"/>
      <c r="H464" s="3"/>
      <c r="I464" s="3"/>
    </row>
    <row r="465" spans="2:7">
      <c r="B465" s="3"/>
      <c r="C465" s="3"/>
      <c r="D465" s="3"/>
      <c r="E465" s="3"/>
      <c r="F465" s="3"/>
      <c r="G465" s="3"/>
    </row>
    <row r="466" spans="2:7">
      <c r="B466" s="3"/>
      <c r="C466" s="3"/>
      <c r="D466" s="3"/>
      <c r="E466" s="3"/>
      <c r="F466" s="3"/>
      <c r="G466" s="3"/>
    </row>
    <row r="467" spans="2:7">
      <c r="B467" s="3"/>
      <c r="C467" s="3"/>
      <c r="D467" s="3"/>
      <c r="E467" s="3"/>
      <c r="F467" s="3"/>
      <c r="G467" s="3"/>
    </row>
    <row r="468" spans="2:7">
      <c r="B468" s="3"/>
      <c r="C468" s="3"/>
      <c r="D468" s="3"/>
      <c r="E468" s="3"/>
      <c r="F468" s="3"/>
      <c r="G468" s="3"/>
    </row>
    <row r="469" spans="2:7">
      <c r="B469" s="3"/>
      <c r="C469" s="3"/>
      <c r="D469" s="3"/>
      <c r="E469" s="3"/>
      <c r="F469" s="3"/>
      <c r="G469" s="3"/>
    </row>
    <row r="470" spans="2:7">
      <c r="B470" s="3"/>
      <c r="C470" s="3"/>
      <c r="D470" s="3"/>
      <c r="E470" s="3"/>
      <c r="F470" s="3"/>
      <c r="G470" s="3"/>
    </row>
    <row r="471" spans="2:7">
      <c r="B471" s="3"/>
      <c r="C471" s="3"/>
      <c r="D471" s="3"/>
      <c r="E471" s="3"/>
      <c r="F471" s="3"/>
      <c r="G471" s="3"/>
    </row>
    <row r="472" spans="2:7">
      <c r="B472" s="3"/>
      <c r="C472" s="3"/>
      <c r="D472" s="3"/>
      <c r="E472" s="3"/>
      <c r="F472" s="3"/>
      <c r="G472" s="3"/>
    </row>
    <row r="473" spans="2:7">
      <c r="B473" s="3"/>
      <c r="C473" s="3"/>
      <c r="D473" s="3"/>
      <c r="E473" s="3"/>
      <c r="F473" s="3"/>
      <c r="G473" s="3"/>
    </row>
    <row r="474" spans="2:7">
      <c r="B474" s="3"/>
      <c r="C474" s="3"/>
      <c r="D474" s="3"/>
      <c r="E474" s="3"/>
      <c r="F474" s="3"/>
      <c r="G474" s="3"/>
    </row>
    <row r="475" spans="2:7">
      <c r="B475" s="3"/>
      <c r="C475" s="3"/>
      <c r="D475" s="3"/>
      <c r="E475" s="3"/>
      <c r="F475" s="3"/>
      <c r="G475" s="3"/>
    </row>
    <row r="476" spans="2:7">
      <c r="B476" s="3"/>
      <c r="C476" s="3"/>
      <c r="D476" s="3"/>
      <c r="E476" s="3"/>
      <c r="F476" s="3"/>
      <c r="G476" s="3"/>
    </row>
    <row r="477" spans="2:7">
      <c r="B477" s="3"/>
      <c r="C477" s="3"/>
      <c r="D477" s="3"/>
      <c r="E477" s="3"/>
      <c r="F477" s="3"/>
      <c r="G477" s="3"/>
    </row>
    <row r="478" spans="2:7">
      <c r="B478" s="3"/>
      <c r="C478" s="3"/>
      <c r="D478" s="3"/>
      <c r="E478" s="3"/>
      <c r="F478" s="3"/>
      <c r="G478" s="3"/>
    </row>
    <row r="479" spans="2:7">
      <c r="B479" s="3"/>
      <c r="C479" s="3"/>
      <c r="D479" s="3"/>
      <c r="E479" s="3"/>
      <c r="F479" s="3"/>
      <c r="G479" s="3"/>
    </row>
    <row r="480" spans="2:7">
      <c r="B480" s="3"/>
      <c r="C480" s="3"/>
      <c r="D480" s="3"/>
      <c r="E480" s="3"/>
      <c r="F480" s="3"/>
      <c r="G480" s="3"/>
    </row>
    <row r="481" spans="2:7">
      <c r="B481" s="3"/>
      <c r="C481" s="3"/>
      <c r="D481" s="3"/>
      <c r="E481" s="3"/>
      <c r="F481" s="3"/>
      <c r="G481" s="3"/>
    </row>
  </sheetData>
  <sheetProtection algorithmName="SHA-512" hashValue="8LgVKBsh8pVlhbX8pUApnHPCbmBvsEET40TTEeHrF0JOZrI+R1AgslU1CST7aev4U8WWlUhtK1wS5iK4ypBCAg==" saltValue="Nx7YqUZa/RipU8XoZ8/0Sw==" spinCount="100000" sheet="1" objects="1" scenarios="1" selectLockedCells="1"/>
  <mergeCells count="20">
    <mergeCell ref="C95:H98"/>
    <mergeCell ref="D16:E16"/>
    <mergeCell ref="D24:H24"/>
    <mergeCell ref="D30:E30"/>
    <mergeCell ref="C82:H89"/>
    <mergeCell ref="B5:I5"/>
    <mergeCell ref="D10:H10"/>
    <mergeCell ref="D8:H8"/>
    <mergeCell ref="D22:H22"/>
    <mergeCell ref="E73:H78"/>
    <mergeCell ref="C73:D78"/>
    <mergeCell ref="B65:D66"/>
    <mergeCell ref="B68:D69"/>
    <mergeCell ref="B62:D63"/>
    <mergeCell ref="D36:H36"/>
    <mergeCell ref="D38:H38"/>
    <mergeCell ref="D44:E44"/>
    <mergeCell ref="D50:H50"/>
    <mergeCell ref="D52:H52"/>
    <mergeCell ref="D58:E58"/>
  </mergeCells>
  <conditionalFormatting sqref="D22:H22 D25 F25 H25 F28 D28:D30">
    <cfRule type="expression" dxfId="375" priority="4">
      <formula>$D$20="Yes"</formula>
    </cfRule>
  </conditionalFormatting>
  <conditionalFormatting sqref="D24:H24">
    <cfRule type="expression" dxfId="374" priority="5">
      <formula>$D$20="Yes"</formula>
    </cfRule>
  </conditionalFormatting>
  <conditionalFormatting sqref="D36:H36 D38:H38 D39 F39 H39 F42 D42:D44">
    <cfRule type="expression" dxfId="373" priority="3">
      <formula>$D$34="Yes"</formula>
    </cfRule>
  </conditionalFormatting>
  <conditionalFormatting sqref="D50:H50 D52:H52 D53 F53 H53 F56 D56:D58">
    <cfRule type="expression" dxfId="372" priority="2">
      <formula>$D$48="Yes"</formula>
    </cfRule>
  </conditionalFormatting>
  <conditionalFormatting sqref="E73:H78">
    <cfRule type="expression" dxfId="371" priority="1">
      <formula>OR($F$62,$F$65,$F$68)</formula>
    </cfRule>
  </conditionalFormatting>
  <dataValidations count="3">
    <dataValidation type="custom" allowBlank="1" showInputMessage="1" showErrorMessage="1" sqref="D16:E16 D30:E30 D44:E44 D58:E58" xr:uid="{C69B9788-F244-384F-9B64-DEB2B2481D2B}">
      <formula1>ISNUMBER(MATCH("*@*.???",D16,0))</formula1>
    </dataValidation>
    <dataValidation type="custom" allowBlank="1" showInputMessage="1" showErrorMessage="1" sqref="F1 A4:A37" xr:uid="{1E10444A-1DE3-461E-9A7F-CB10DF622EC6}">
      <formula1>"&lt;0&gt;0"</formula1>
    </dataValidation>
    <dataValidation type="custom" allowBlank="1" showInputMessage="1" showErrorMessage="1" errorTitle="Phone Number Error" error="Please enter phone number with numeric values only." sqref="D57 D29 D43 D15" xr:uid="{1A5D23FB-E617-49A9-B45B-8D5E96C5E2C3}">
      <formula1>ISNUMBER(D15)</formula1>
    </dataValidation>
  </dataValidations>
  <pageMargins left="0.7" right="0.7" top="0.75" bottom="0.75" header="0.3" footer="0.3"/>
  <pageSetup scale="51" fitToHeight="0" orientation="portrait" copies="5" r:id="rId1"/>
  <headerFooter>
    <oddHeader>&amp;L&amp;G</oddHeader>
    <oddFooter>&amp;CWHEDA MULTIFAMILY APPLICATION&amp;R&amp;P of &amp;N</oddFooter>
  </headerFooter>
  <rowBreaks count="1" manualBreakCount="1">
    <brk id="79"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D1A49CFE-32C2-3747-B1A2-52691CA3D193}">
          <x14:formula1>
            <xm:f>'Dropdown Lists'!$A$2:$A$3</xm:f>
          </x14:formula1>
          <xm:sqref>H72 D48 D20 E62 E65 E68 D34</xm:sqref>
        </x14:dataValidation>
        <x14:dataValidation type="list" allowBlank="1" showInputMessage="1" showErrorMessage="1" xr:uid="{04746F3D-D8D5-4308-997F-E654EF172CC6}">
          <x14:formula1>
            <xm:f>'Dropdown Lists'!$U$3:$U$53</xm:f>
          </x14:formula1>
          <xm:sqref>F53 F39 F25 F11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5F20-F3F2-5441-86B3-7D8AB73E1D82}">
  <sheetPr codeName="Sheet6">
    <pageSetUpPr fitToPage="1"/>
  </sheetPr>
  <dimension ref="A1:R121"/>
  <sheetViews>
    <sheetView workbookViewId="0">
      <selection activeCell="E6" sqref="E6"/>
    </sheetView>
  </sheetViews>
  <sheetFormatPr defaultColWidth="8.85546875" defaultRowHeight="15"/>
  <cols>
    <col min="1" max="1" width="5.7109375" style="3" customWidth="1"/>
    <col min="2" max="2" width="19" style="3" customWidth="1"/>
    <col min="3" max="3" width="38.5703125" style="3" customWidth="1"/>
    <col min="4" max="4" width="20.85546875" style="3" customWidth="1"/>
    <col min="5" max="5" width="29.42578125" style="3" customWidth="1"/>
    <col min="6" max="6" width="25.85546875" style="3" customWidth="1"/>
    <col min="7" max="7" width="8" style="3" bestFit="1" customWidth="1"/>
    <col min="8" max="8" width="20.85546875" style="3" customWidth="1"/>
    <col min="9" max="9" width="8.85546875" style="3"/>
    <col min="10" max="10" width="15.85546875" style="3" bestFit="1" customWidth="1"/>
    <col min="11" max="11" width="14.85546875" style="97" customWidth="1"/>
    <col min="12" max="12" width="19.42578125" style="97" bestFit="1" customWidth="1"/>
    <col min="13" max="13" width="14.85546875" style="97" customWidth="1"/>
    <col min="14" max="14" width="23.85546875" style="3" bestFit="1" customWidth="1"/>
    <col min="15" max="15" width="14.5703125" style="3" customWidth="1"/>
    <col min="16" max="16" width="2" style="3" bestFit="1" customWidth="1"/>
    <col min="17" max="17" width="15" style="3" customWidth="1"/>
    <col min="18" max="16384" width="8.85546875" style="3"/>
  </cols>
  <sheetData>
    <row r="1" spans="1:18" ht="28.5">
      <c r="B1" s="4" t="str">
        <f>'1. TOC'!B1</f>
        <v>WHEDA 2025 Multifamily Application</v>
      </c>
      <c r="C1" s="4"/>
      <c r="E1" s="115" t="str">
        <f>'1. TOC'!L1</f>
        <v>v25.1.12</v>
      </c>
      <c r="F1" s="947" t="str">
        <f>HYPERLINK("#Table_of_Contents", Table_of_Contents)</f>
        <v>Table of Contents</v>
      </c>
    </row>
    <row r="2" spans="1:18" ht="21">
      <c r="B2" s="887" t="str">
        <f>_xlfn.CONCAT(IF(ISBLANK(WHEDA_Project_Number),"",_xlfn.CONCAT(WHEDA_Project_Number," - ")), Project_Name, IF(ISBLANK(Credit_percentage_applied_for),"",_xlfn.CONCAT(" - ", Credit_percentage_applied_for," HTC")))</f>
        <v/>
      </c>
      <c r="C2" s="5"/>
      <c r="F2"/>
      <c r="I2"/>
    </row>
    <row r="3" spans="1:18" ht="18.75">
      <c r="A3" s="98"/>
      <c r="B3" s="13"/>
      <c r="C3" s="7"/>
      <c r="D3" s="7"/>
      <c r="E3" s="7"/>
      <c r="F3" s="7"/>
      <c r="G3" s="7"/>
      <c r="H3" s="7"/>
      <c r="I3" s="7"/>
    </row>
    <row r="4" spans="1:18" ht="28.5">
      <c r="A4" s="929"/>
      <c r="B4" s="4" t="s">
        <v>751</v>
      </c>
    </row>
    <row r="5" spans="1:18" ht="15.75">
      <c r="A5" s="929"/>
      <c r="B5" s="1027"/>
      <c r="C5" s="1027"/>
      <c r="D5" s="1027"/>
      <c r="E5" s="1027"/>
      <c r="F5" s="1027"/>
      <c r="G5" s="1027"/>
      <c r="H5" s="1027"/>
      <c r="I5" s="1027"/>
    </row>
    <row r="6" spans="1:18" ht="15.95" customHeight="1">
      <c r="A6" s="929"/>
      <c r="B6" s="1027"/>
      <c r="C6" s="1056"/>
      <c r="D6" s="1705" t="s">
        <v>3733</v>
      </c>
      <c r="E6" s="263"/>
      <c r="F6" s="1056"/>
      <c r="G6" s="1056"/>
      <c r="H6" s="1056"/>
      <c r="I6" s="1056"/>
      <c r="J6" s="14"/>
      <c r="K6" s="1303"/>
      <c r="L6" s="1303"/>
    </row>
    <row r="7" spans="1:18" ht="15.75">
      <c r="A7" s="929"/>
      <c r="B7" s="1027"/>
      <c r="C7" s="2065" t="s">
        <v>3734</v>
      </c>
      <c r="D7" s="2065"/>
      <c r="E7" s="263"/>
      <c r="F7" s="1056"/>
      <c r="G7" s="1056"/>
      <c r="H7" s="1056"/>
      <c r="I7" s="1056"/>
      <c r="J7" s="14"/>
      <c r="K7" s="1303"/>
      <c r="L7" s="1303"/>
    </row>
    <row r="8" spans="1:18" ht="15.75">
      <c r="A8" s="929"/>
      <c r="B8" s="1027"/>
      <c r="C8" s="1057"/>
      <c r="D8" s="1057"/>
      <c r="E8" s="1056"/>
      <c r="F8" s="1056"/>
      <c r="G8" s="1056"/>
      <c r="H8" s="1056"/>
      <c r="I8" s="1056"/>
      <c r="J8" s="14"/>
      <c r="K8" s="1303"/>
      <c r="L8" s="1303"/>
    </row>
    <row r="9" spans="1:18" ht="15.95" customHeight="1">
      <c r="A9" s="930"/>
      <c r="B9" s="2065" t="s">
        <v>3735</v>
      </c>
      <c r="C9" s="2065"/>
      <c r="D9" s="2065"/>
      <c r="E9" s="2076"/>
      <c r="F9" s="2076"/>
      <c r="G9" s="1056"/>
      <c r="H9" s="1056"/>
      <c r="I9" s="1056"/>
      <c r="J9" s="14"/>
      <c r="K9" s="1303"/>
      <c r="L9" s="1303"/>
    </row>
    <row r="10" spans="1:18" ht="15.75">
      <c r="A10" s="930"/>
      <c r="B10" s="1027"/>
      <c r="C10" s="1041"/>
      <c r="D10" s="1041"/>
      <c r="E10" s="2076"/>
      <c r="F10" s="2076"/>
      <c r="G10" s="1041"/>
      <c r="H10" s="1041"/>
      <c r="I10" s="1041"/>
      <c r="J10" s="15"/>
      <c r="K10" s="1304"/>
      <c r="L10" s="1304"/>
    </row>
    <row r="11" spans="1:18" ht="15.95" customHeight="1">
      <c r="A11" s="930"/>
      <c r="B11" s="1027"/>
      <c r="C11" s="1058"/>
      <c r="D11" s="1058"/>
      <c r="E11" s="2076"/>
      <c r="F11" s="2076"/>
      <c r="G11" s="1039"/>
      <c r="H11" s="1027"/>
      <c r="I11" s="1027"/>
    </row>
    <row r="12" spans="1:18" ht="18.75">
      <c r="A12" s="930"/>
      <c r="B12" s="1026"/>
      <c r="C12" s="1026"/>
      <c r="D12" s="1026"/>
      <c r="E12" s="1026"/>
      <c r="F12" s="1026"/>
      <c r="G12" s="1050"/>
      <c r="H12" s="1038"/>
      <c r="I12" s="1038"/>
      <c r="J12" s="9"/>
    </row>
    <row r="13" spans="1:18" ht="15.75">
      <c r="A13" s="930"/>
      <c r="B13" s="1058"/>
      <c r="C13" s="1058" t="s">
        <v>3736</v>
      </c>
      <c r="D13" s="1039"/>
      <c r="E13" s="1039"/>
      <c r="F13" s="1027"/>
      <c r="G13" s="1039"/>
      <c r="H13" s="1027"/>
      <c r="I13" s="1027"/>
    </row>
    <row r="14" spans="1:18" ht="15.75">
      <c r="A14" s="930"/>
      <c r="B14" s="1027"/>
      <c r="C14" s="1027"/>
      <c r="D14" s="1706" t="s">
        <v>3737</v>
      </c>
      <c r="E14" s="261"/>
      <c r="F14" s="1027"/>
      <c r="G14" s="1039"/>
      <c r="H14" s="1027"/>
      <c r="I14" s="1027"/>
    </row>
    <row r="15" spans="1:18" ht="15.75">
      <c r="A15" s="930"/>
      <c r="B15" s="1027"/>
      <c r="C15" s="1027"/>
      <c r="D15" s="1706" t="s">
        <v>3738</v>
      </c>
      <c r="E15" s="261"/>
      <c r="F15" s="1027"/>
      <c r="G15" s="1039"/>
      <c r="H15" s="1027"/>
      <c r="I15" s="1027"/>
      <c r="N15" s="9"/>
      <c r="O15" s="9"/>
      <c r="P15" s="9"/>
      <c r="Q15" s="9"/>
      <c r="R15" s="9"/>
    </row>
    <row r="16" spans="1:18" ht="15.75">
      <c r="A16" s="930"/>
      <c r="B16" s="1027"/>
      <c r="C16" s="1027"/>
      <c r="D16" s="1706" t="s">
        <v>3739</v>
      </c>
      <c r="E16" s="261"/>
      <c r="F16" s="1027"/>
      <c r="G16" s="1039"/>
      <c r="H16" s="1039"/>
      <c r="I16" s="1027"/>
      <c r="Q16" s="9"/>
      <c r="R16" s="9"/>
    </row>
    <row r="17" spans="1:18" ht="15.75">
      <c r="A17" s="930"/>
      <c r="B17" s="1027"/>
      <c r="C17" s="1027"/>
      <c r="D17" s="1705" t="s">
        <v>3740</v>
      </c>
      <c r="E17" s="261"/>
      <c r="F17" s="1027"/>
      <c r="G17" s="1706"/>
      <c r="H17" s="1027"/>
      <c r="I17" s="1027"/>
      <c r="Q17" s="9"/>
      <c r="R17" s="9"/>
    </row>
    <row r="18" spans="1:18" ht="15.75">
      <c r="A18" s="930"/>
      <c r="B18" s="1027"/>
      <c r="C18" s="1027"/>
      <c r="D18" s="1705" t="s">
        <v>3741</v>
      </c>
      <c r="E18" s="261"/>
      <c r="F18" s="1027"/>
      <c r="G18" s="1706"/>
      <c r="H18" s="1027"/>
      <c r="I18" s="1027"/>
      <c r="Q18" s="9"/>
      <c r="R18" s="9"/>
    </row>
    <row r="19" spans="1:18" ht="15.75">
      <c r="A19" s="930"/>
      <c r="B19" s="1027"/>
      <c r="C19" s="1705"/>
      <c r="D19" s="1039"/>
      <c r="E19" s="1705"/>
      <c r="F19" s="1027"/>
      <c r="G19" s="1706"/>
      <c r="H19" s="1027"/>
      <c r="I19" s="1027"/>
      <c r="Q19" s="9"/>
      <c r="R19" s="9"/>
    </row>
    <row r="20" spans="1:18" ht="15.75">
      <c r="A20" s="930"/>
      <c r="B20" s="1027"/>
      <c r="C20" s="2065" t="s">
        <v>3742</v>
      </c>
      <c r="D20" s="2065"/>
      <c r="E20" s="1709"/>
      <c r="F20" s="1039"/>
      <c r="G20" s="1039"/>
      <c r="H20" s="1027"/>
      <c r="I20" s="1027"/>
      <c r="Q20" s="9"/>
      <c r="R20" s="9"/>
    </row>
    <row r="21" spans="1:18" ht="15.75" customHeight="1">
      <c r="A21" s="930"/>
      <c r="B21" s="1027"/>
      <c r="C21" s="1051"/>
      <c r="D21" s="1706" t="s">
        <v>3743</v>
      </c>
      <c r="E21" s="2027"/>
      <c r="F21" s="2077"/>
      <c r="G21" s="1039"/>
      <c r="H21" s="1027"/>
      <c r="I21" s="1027"/>
      <c r="Q21" s="9"/>
      <c r="R21" s="9"/>
    </row>
    <row r="22" spans="1:18" ht="15.75">
      <c r="A22" s="930"/>
      <c r="B22" s="1038"/>
      <c r="C22" s="1052"/>
      <c r="D22" s="1039"/>
      <c r="E22" s="2027"/>
      <c r="F22" s="2077"/>
      <c r="G22" s="1706"/>
      <c r="H22" s="1039"/>
      <c r="I22" s="1027"/>
      <c r="Q22" s="9"/>
      <c r="R22" s="9"/>
    </row>
    <row r="23" spans="1:18" ht="15.75">
      <c r="A23" s="930"/>
      <c r="B23" s="1027"/>
      <c r="C23" s="1027"/>
      <c r="D23" s="1027"/>
      <c r="E23" s="2078"/>
      <c r="F23" s="2076"/>
      <c r="G23" s="1706"/>
      <c r="H23" s="1061"/>
      <c r="I23" s="1027"/>
      <c r="Q23" s="9"/>
      <c r="R23" s="9"/>
    </row>
    <row r="24" spans="1:18" ht="15.75">
      <c r="A24" s="930"/>
      <c r="B24" s="1027"/>
      <c r="C24" s="1027"/>
      <c r="D24" s="1027"/>
      <c r="E24" s="1027"/>
      <c r="F24" s="1039"/>
      <c r="G24" s="1039"/>
      <c r="H24" s="1027"/>
      <c r="I24" s="1027"/>
      <c r="Q24" s="9"/>
      <c r="R24" s="9"/>
    </row>
    <row r="25" spans="1:18" ht="18.75">
      <c r="A25" s="930"/>
      <c r="B25" s="1026"/>
      <c r="C25" s="2047" t="s">
        <v>3744</v>
      </c>
      <c r="D25" s="2047"/>
      <c r="E25" s="1709"/>
      <c r="F25" s="1039"/>
      <c r="G25" s="1039"/>
      <c r="H25" s="1039"/>
      <c r="I25" s="1027"/>
      <c r="Q25" s="9"/>
      <c r="R25" s="9"/>
    </row>
    <row r="26" spans="1:18" ht="15.75">
      <c r="A26" s="930"/>
      <c r="B26" s="1027"/>
      <c r="C26" s="2075" t="s">
        <v>3745</v>
      </c>
      <c r="D26" s="2075"/>
      <c r="E26" s="2053"/>
      <c r="F26" s="2053"/>
      <c r="G26" s="1050"/>
      <c r="H26" s="1050"/>
      <c r="I26" s="1027"/>
    </row>
    <row r="27" spans="1:18" ht="15.75">
      <c r="A27" s="930"/>
      <c r="B27" s="1027"/>
      <c r="C27" s="1027"/>
      <c r="D27" s="1027"/>
      <c r="E27" s="2053"/>
      <c r="F27" s="2053"/>
      <c r="G27" s="1039"/>
      <c r="H27" s="1039"/>
      <c r="I27" s="1027"/>
    </row>
    <row r="28" spans="1:18" ht="15.75">
      <c r="A28" s="930"/>
      <c r="B28" s="1027"/>
      <c r="C28" s="1027"/>
      <c r="D28" s="1027"/>
      <c r="E28" s="2053"/>
      <c r="F28" s="2053"/>
      <c r="G28" s="1039"/>
      <c r="H28" s="1039"/>
      <c r="I28" s="1027"/>
    </row>
    <row r="29" spans="1:18" ht="15.75">
      <c r="A29" s="930"/>
      <c r="B29" s="1027"/>
      <c r="C29" s="2065" t="s">
        <v>3746</v>
      </c>
      <c r="D29" s="2065"/>
      <c r="E29" s="283"/>
      <c r="F29" s="1039"/>
      <c r="G29" s="1039"/>
      <c r="H29" s="1039"/>
      <c r="I29" s="1027"/>
    </row>
    <row r="30" spans="1:18" ht="15.75">
      <c r="A30" s="930"/>
      <c r="B30" s="1027"/>
      <c r="C30" s="2069" t="s">
        <v>3747</v>
      </c>
      <c r="D30" s="2069"/>
      <c r="E30" s="170"/>
      <c r="F30" s="1050"/>
      <c r="G30" s="1706"/>
      <c r="H30" s="1039"/>
      <c r="I30" s="1027"/>
    </row>
    <row r="31" spans="1:18" ht="15.75">
      <c r="A31" s="930"/>
      <c r="B31" s="1027"/>
      <c r="C31" s="1027"/>
      <c r="D31" s="1027"/>
      <c r="E31" s="1027"/>
      <c r="F31" s="1027"/>
      <c r="G31" s="1039"/>
      <c r="H31" s="1039"/>
      <c r="I31" s="1027"/>
    </row>
    <row r="32" spans="1:18" ht="15.75">
      <c r="A32" s="930"/>
      <c r="B32" s="1039"/>
      <c r="C32" s="1027"/>
      <c r="D32" s="1705" t="s">
        <v>3748</v>
      </c>
      <c r="E32" s="2071"/>
      <c r="F32" s="2072"/>
      <c r="G32" s="1039"/>
      <c r="H32" s="1039"/>
      <c r="I32" s="1027"/>
    </row>
    <row r="33" spans="1:16" ht="15.75">
      <c r="A33" s="930"/>
      <c r="B33" s="1039"/>
      <c r="C33" s="1705"/>
      <c r="D33" s="1039"/>
      <c r="E33" s="2071"/>
      <c r="F33" s="2072"/>
      <c r="G33" s="1039"/>
      <c r="H33" s="1039"/>
      <c r="I33" s="1027"/>
      <c r="N33" s="9"/>
      <c r="O33" s="9"/>
      <c r="P33" s="9"/>
    </row>
    <row r="34" spans="1:16" ht="15.75">
      <c r="A34" s="930"/>
      <c r="B34" s="1039"/>
      <c r="C34" s="1705"/>
      <c r="D34" s="1039"/>
      <c r="E34" s="2073"/>
      <c r="F34" s="2074"/>
      <c r="G34" s="1039"/>
      <c r="H34" s="1039"/>
      <c r="I34" s="1027"/>
      <c r="N34" s="9"/>
      <c r="O34" s="9"/>
      <c r="P34" s="9"/>
    </row>
    <row r="35" spans="1:16" ht="15.75">
      <c r="A35" s="930"/>
      <c r="B35" s="1039"/>
      <c r="C35" s="1039"/>
      <c r="D35" s="1039"/>
      <c r="E35" s="1039"/>
      <c r="F35" s="1039"/>
      <c r="G35" s="1039"/>
      <c r="H35" s="1039"/>
      <c r="I35" s="1027"/>
      <c r="N35" s="9"/>
      <c r="O35" s="9"/>
      <c r="P35" s="9"/>
    </row>
    <row r="36" spans="1:16" ht="15.75">
      <c r="A36" s="930"/>
      <c r="B36" s="1039"/>
      <c r="C36" s="1045" t="str">
        <f>IF('4. Project Description'!D6="Acquisition/Rehab", "Acquisition/Rehab Information", "N/A - Only Required for Acquisition/Rehab Projects")</f>
        <v>N/A - Only Required for Acquisition/Rehab Projects</v>
      </c>
      <c r="D36" s="1706"/>
      <c r="E36" s="1027"/>
      <c r="F36" s="1027"/>
      <c r="G36" s="1039"/>
      <c r="H36" s="1039"/>
      <c r="I36" s="1027"/>
      <c r="N36" s="9"/>
      <c r="O36" s="9"/>
      <c r="P36" s="9"/>
    </row>
    <row r="37" spans="1:16" ht="15.75">
      <c r="A37" s="930"/>
      <c r="B37" s="1027"/>
      <c r="C37" s="1027"/>
      <c r="D37" s="1706" t="s">
        <v>3749</v>
      </c>
      <c r="E37" s="688"/>
      <c r="F37" s="1027"/>
      <c r="G37" s="1039"/>
      <c r="H37" s="1039"/>
      <c r="I37" s="1027"/>
      <c r="N37" s="9"/>
      <c r="O37" s="9"/>
      <c r="P37" s="9"/>
    </row>
    <row r="38" spans="1:16" ht="15.75">
      <c r="A38" s="930"/>
      <c r="B38" s="1027"/>
      <c r="C38" s="1027"/>
      <c r="D38" s="1706" t="s">
        <v>3750</v>
      </c>
      <c r="E38" s="688"/>
      <c r="F38" s="1027"/>
      <c r="G38" s="1039"/>
      <c r="H38" s="1039"/>
      <c r="I38" s="1027"/>
      <c r="N38" s="9"/>
      <c r="O38" s="9"/>
      <c r="P38" s="9"/>
    </row>
    <row r="39" spans="1:16" ht="15.75">
      <c r="A39" s="930"/>
      <c r="B39" s="1027"/>
      <c r="C39" s="1027"/>
      <c r="D39" s="1706" t="s">
        <v>3751</v>
      </c>
      <c r="E39" s="63"/>
      <c r="F39" s="1059"/>
      <c r="G39" s="1039"/>
      <c r="H39" s="1039"/>
      <c r="I39" s="1027"/>
      <c r="N39" s="9"/>
      <c r="O39" s="9"/>
      <c r="P39" s="9"/>
    </row>
    <row r="40" spans="1:16" ht="15.75">
      <c r="A40" s="930"/>
      <c r="B40" s="1027"/>
      <c r="C40" s="1027"/>
      <c r="D40" s="1706" t="s">
        <v>3752</v>
      </c>
      <c r="E40" s="688"/>
      <c r="F40" s="1059"/>
      <c r="G40" s="1039"/>
      <c r="H40" s="1039"/>
      <c r="I40" s="1027"/>
      <c r="N40" s="9"/>
      <c r="O40" s="9"/>
      <c r="P40" s="9"/>
    </row>
    <row r="41" spans="1:16" ht="15.75">
      <c r="A41" s="930"/>
      <c r="B41" s="1027"/>
      <c r="C41" s="1706"/>
      <c r="D41" s="1706"/>
      <c r="E41" s="1706"/>
      <c r="F41" s="1059"/>
      <c r="G41" s="1039"/>
      <c r="H41" s="1039"/>
      <c r="I41" s="1027"/>
      <c r="N41" s="9"/>
      <c r="O41" s="9"/>
      <c r="P41" s="9"/>
    </row>
    <row r="42" spans="1:16" ht="15.75">
      <c r="A42" s="930"/>
      <c r="B42" s="1059"/>
      <c r="C42" s="1059"/>
      <c r="D42" s="1059"/>
      <c r="E42" s="1706"/>
      <c r="F42" s="1059"/>
      <c r="G42" s="1039"/>
      <c r="H42" s="1039"/>
      <c r="I42" s="1027"/>
      <c r="N42" s="9"/>
      <c r="O42" s="9"/>
      <c r="P42" s="9"/>
    </row>
    <row r="43" spans="1:16" ht="15.75">
      <c r="A43" s="930"/>
      <c r="B43" s="1045"/>
      <c r="C43" s="1045" t="s">
        <v>3753</v>
      </c>
      <c r="D43" s="1027"/>
      <c r="E43" s="1027"/>
      <c r="F43" s="1027"/>
      <c r="G43" s="1039"/>
      <c r="H43" s="1039"/>
      <c r="I43" s="1027"/>
      <c r="N43" s="9"/>
      <c r="O43" s="9"/>
      <c r="P43" s="9"/>
    </row>
    <row r="44" spans="1:16" ht="15.75" customHeight="1">
      <c r="A44" s="930"/>
      <c r="B44" s="1027"/>
      <c r="C44" s="2070" t="s">
        <v>3754</v>
      </c>
      <c r="D44" s="2070"/>
      <c r="E44" s="2066"/>
      <c r="F44" s="1039"/>
      <c r="G44" s="1039"/>
      <c r="H44" s="1039"/>
      <c r="I44" s="1027"/>
      <c r="J44" s="9"/>
      <c r="N44" s="9"/>
      <c r="O44" s="9"/>
      <c r="P44" s="9"/>
    </row>
    <row r="45" spans="1:16" ht="15.75">
      <c r="A45" s="932"/>
      <c r="B45" s="1027"/>
      <c r="C45" s="2070"/>
      <c r="D45" s="2070"/>
      <c r="E45" s="2067"/>
      <c r="F45" s="1039"/>
      <c r="G45" s="1039"/>
      <c r="H45" s="1039"/>
      <c r="I45" s="1027"/>
      <c r="J45" s="9"/>
      <c r="N45" s="9"/>
      <c r="O45" s="9"/>
      <c r="P45" s="9"/>
    </row>
    <row r="46" spans="1:16" ht="15.75">
      <c r="A46" s="932"/>
      <c r="B46" s="1027"/>
      <c r="C46" s="1707"/>
      <c r="D46" s="1707"/>
      <c r="E46" s="1039"/>
      <c r="F46" s="1039"/>
      <c r="G46" s="1039"/>
      <c r="H46" s="1039"/>
      <c r="I46" s="1027"/>
      <c r="J46" s="9"/>
      <c r="N46" s="9"/>
      <c r="O46" s="9"/>
      <c r="P46" s="9"/>
    </row>
    <row r="47" spans="1:16" ht="15.75">
      <c r="A47" s="932"/>
      <c r="B47" s="1027"/>
      <c r="C47" s="2048" t="str">
        <f>IF(E44="Yes","Briefly describe the situation ","Not required to be completed at this time ")</f>
        <v xml:space="preserve">Not required to be completed at this time </v>
      </c>
      <c r="D47" s="2048"/>
      <c r="E47" s="2027"/>
      <c r="F47" s="2049"/>
      <c r="G47" s="1039"/>
      <c r="H47" s="1039"/>
      <c r="I47" s="1027"/>
      <c r="J47" s="9"/>
      <c r="N47" s="9"/>
      <c r="O47" s="9"/>
      <c r="P47" s="9"/>
    </row>
    <row r="48" spans="1:16" ht="15.75">
      <c r="A48" s="932"/>
      <c r="B48" s="1027"/>
      <c r="C48" s="1027"/>
      <c r="D48" s="1027"/>
      <c r="E48" s="2050"/>
      <c r="F48" s="2051"/>
      <c r="G48" s="1039"/>
      <c r="H48" s="1039"/>
      <c r="I48" s="1027"/>
      <c r="J48" s="9"/>
      <c r="N48" s="9"/>
      <c r="O48" s="9"/>
      <c r="P48" s="9"/>
    </row>
    <row r="49" spans="1:16" ht="15.75">
      <c r="A49" s="932"/>
      <c r="B49" s="1027"/>
      <c r="C49" s="1027"/>
      <c r="D49" s="1027"/>
      <c r="E49" s="2052"/>
      <c r="F49" s="2053"/>
      <c r="G49" s="1039"/>
      <c r="H49" s="1039"/>
      <c r="I49" s="1027"/>
      <c r="J49" s="9"/>
      <c r="N49" s="9"/>
      <c r="O49" s="9"/>
      <c r="P49" s="9"/>
    </row>
    <row r="50" spans="1:16" ht="15.75">
      <c r="A50" s="932"/>
      <c r="B50" s="1027"/>
      <c r="C50" s="1039"/>
      <c r="D50" s="1039"/>
      <c r="E50" s="1039"/>
      <c r="F50" s="1039"/>
      <c r="G50" s="1039"/>
      <c r="H50" s="1039"/>
      <c r="I50" s="1027"/>
      <c r="J50" s="9"/>
      <c r="N50" s="9"/>
      <c r="O50" s="9"/>
      <c r="P50" s="9"/>
    </row>
    <row r="51" spans="1:16" ht="15.75">
      <c r="A51" s="930"/>
      <c r="B51" s="1027"/>
      <c r="C51" s="2047" t="s">
        <v>3755</v>
      </c>
      <c r="D51" s="2047"/>
      <c r="E51" s="2054"/>
      <c r="F51" s="2055"/>
      <c r="G51" s="1039"/>
      <c r="H51" s="1039"/>
      <c r="I51" s="1027"/>
      <c r="J51" s="9"/>
      <c r="N51" s="9"/>
      <c r="O51" s="9"/>
      <c r="P51" s="9"/>
    </row>
    <row r="52" spans="1:16" ht="15.75">
      <c r="A52" s="930"/>
      <c r="B52" s="1027"/>
      <c r="C52" s="1039"/>
      <c r="D52" s="1039"/>
      <c r="E52" s="2056"/>
      <c r="F52" s="2057"/>
      <c r="G52" s="1039"/>
      <c r="H52" s="1039"/>
      <c r="I52" s="1027"/>
      <c r="J52" s="9"/>
      <c r="N52" s="9"/>
      <c r="O52" s="9"/>
      <c r="P52" s="9"/>
    </row>
    <row r="53" spans="1:16" ht="15.75">
      <c r="A53" s="930"/>
      <c r="B53" s="1027"/>
      <c r="C53" s="1027"/>
      <c r="D53" s="1027"/>
      <c r="E53" s="2058"/>
      <c r="F53" s="2059"/>
      <c r="G53" s="1039"/>
      <c r="H53" s="1039"/>
      <c r="I53" s="1027"/>
      <c r="J53" s="9"/>
      <c r="N53" s="9"/>
      <c r="O53" s="9"/>
      <c r="P53" s="9"/>
    </row>
    <row r="54" spans="1:16" ht="15.75">
      <c r="A54" s="930"/>
      <c r="B54" s="1027"/>
      <c r="C54" s="1705"/>
      <c r="D54" s="1039"/>
      <c r="E54" s="1705"/>
      <c r="F54" s="1039"/>
      <c r="G54" s="1039"/>
      <c r="H54" s="1039"/>
      <c r="I54" s="1027"/>
      <c r="J54" s="9"/>
      <c r="N54" s="9"/>
      <c r="O54" s="9"/>
      <c r="P54" s="9"/>
    </row>
    <row r="55" spans="1:16" ht="15.6" customHeight="1">
      <c r="B55" s="1027"/>
      <c r="C55" s="1705"/>
      <c r="D55" s="1706" t="s">
        <v>3756</v>
      </c>
      <c r="E55" s="2054"/>
      <c r="F55" s="2054"/>
      <c r="G55" s="2054"/>
      <c r="H55" s="2062"/>
      <c r="I55" s="1027"/>
      <c r="J55" s="9"/>
      <c r="N55" s="9"/>
      <c r="O55" s="9"/>
      <c r="P55" s="9"/>
    </row>
    <row r="56" spans="1:16" ht="15.75">
      <c r="B56" s="1027"/>
      <c r="C56" s="1705" t="s">
        <v>3757</v>
      </c>
      <c r="D56" s="1708">
        <f>LEN(Property_Description)</f>
        <v>0</v>
      </c>
      <c r="E56" s="2054"/>
      <c r="F56" s="2054"/>
      <c r="G56" s="2054"/>
      <c r="H56" s="2062"/>
      <c r="I56" s="1027"/>
      <c r="J56" s="9"/>
      <c r="N56" s="9"/>
      <c r="O56" s="9"/>
      <c r="P56" s="9"/>
    </row>
    <row r="57" spans="1:16" ht="15.75">
      <c r="B57" s="1027"/>
      <c r="C57" s="1051"/>
      <c r="D57" s="1706"/>
      <c r="E57" s="2054"/>
      <c r="F57" s="2054"/>
      <c r="G57" s="2054"/>
      <c r="H57" s="2062"/>
      <c r="I57" s="1027"/>
      <c r="J57" s="9"/>
      <c r="N57" s="9"/>
      <c r="O57" s="9"/>
      <c r="P57" s="9"/>
    </row>
    <row r="58" spans="1:16" ht="15.75">
      <c r="B58" s="1027"/>
      <c r="C58" s="1051"/>
      <c r="D58" s="1706"/>
      <c r="E58" s="2054"/>
      <c r="F58" s="2054"/>
      <c r="G58" s="2054"/>
      <c r="H58" s="2062"/>
      <c r="I58" s="1027"/>
      <c r="J58" s="9"/>
      <c r="N58" s="9"/>
      <c r="O58" s="9"/>
      <c r="P58" s="9"/>
    </row>
    <row r="59" spans="1:16" ht="15.75">
      <c r="B59" s="1027"/>
      <c r="C59" s="1051"/>
      <c r="D59" s="1706"/>
      <c r="E59" s="2054"/>
      <c r="F59" s="2054"/>
      <c r="G59" s="2054"/>
      <c r="H59" s="2062"/>
      <c r="I59" s="1027"/>
      <c r="J59" s="9"/>
      <c r="N59" s="9"/>
      <c r="O59" s="9"/>
      <c r="P59" s="9"/>
    </row>
    <row r="60" spans="1:16" ht="15.75">
      <c r="B60" s="1027"/>
      <c r="C60" s="1051"/>
      <c r="D60" s="1706"/>
      <c r="E60" s="2054"/>
      <c r="F60" s="2054"/>
      <c r="G60" s="2054"/>
      <c r="H60" s="2062"/>
      <c r="I60" s="1027"/>
      <c r="J60" s="9"/>
      <c r="N60" s="9"/>
      <c r="O60" s="9"/>
      <c r="P60" s="9"/>
    </row>
    <row r="61" spans="1:16" ht="15.75">
      <c r="B61" s="1027"/>
      <c r="C61" s="1051"/>
      <c r="D61" s="1706"/>
      <c r="E61" s="2054"/>
      <c r="F61" s="2054"/>
      <c r="G61" s="2054"/>
      <c r="H61" s="2062"/>
      <c r="I61" s="1027"/>
      <c r="J61" s="9"/>
      <c r="N61" s="9"/>
      <c r="O61" s="9"/>
      <c r="P61" s="9"/>
    </row>
    <row r="62" spans="1:16" ht="15.75">
      <c r="B62" s="1027"/>
      <c r="C62" s="1051"/>
      <c r="D62" s="1706"/>
      <c r="E62" s="2054"/>
      <c r="F62" s="2054"/>
      <c r="G62" s="2054"/>
      <c r="H62" s="2062"/>
      <c r="I62" s="1027"/>
      <c r="J62" s="9"/>
      <c r="N62" s="9"/>
      <c r="O62" s="9"/>
      <c r="P62" s="9"/>
    </row>
    <row r="63" spans="1:16" ht="15.75">
      <c r="B63" s="1027"/>
      <c r="C63" s="1052"/>
      <c r="D63" s="1039"/>
      <c r="E63" s="2054"/>
      <c r="F63" s="2054"/>
      <c r="G63" s="2054"/>
      <c r="H63" s="2062"/>
      <c r="I63" s="1027"/>
      <c r="J63" s="9"/>
      <c r="N63" s="9"/>
      <c r="O63" s="9"/>
      <c r="P63" s="9"/>
    </row>
    <row r="64" spans="1:16" ht="15.75">
      <c r="B64" s="1027"/>
      <c r="C64" s="1051"/>
      <c r="D64" s="1706"/>
      <c r="E64" s="2054"/>
      <c r="F64" s="2054"/>
      <c r="G64" s="2054"/>
      <c r="H64" s="2062"/>
      <c r="I64" s="1027"/>
      <c r="J64" s="9"/>
      <c r="N64" s="9"/>
      <c r="O64" s="9"/>
      <c r="P64" s="9"/>
    </row>
    <row r="65" spans="2:16" ht="15.75">
      <c r="B65" s="1027"/>
      <c r="C65" s="1051"/>
      <c r="D65" s="1706"/>
      <c r="E65" s="2054"/>
      <c r="F65" s="2054"/>
      <c r="G65" s="2054"/>
      <c r="H65" s="2062"/>
      <c r="I65" s="1027"/>
      <c r="J65" s="9"/>
      <c r="N65" s="9"/>
      <c r="O65" s="9"/>
      <c r="P65" s="9"/>
    </row>
    <row r="66" spans="2:16" ht="15.75">
      <c r="B66" s="1027"/>
      <c r="C66" s="1051"/>
      <c r="D66" s="1706"/>
      <c r="E66" s="2054"/>
      <c r="F66" s="2054"/>
      <c r="G66" s="2054"/>
      <c r="H66" s="2062"/>
      <c r="I66" s="1027"/>
      <c r="J66" s="9"/>
      <c r="N66" s="9"/>
      <c r="O66" s="9"/>
      <c r="P66" s="9"/>
    </row>
    <row r="67" spans="2:16" ht="15.75">
      <c r="B67" s="1027"/>
      <c r="C67" s="1051"/>
      <c r="D67" s="1706"/>
      <c r="E67" s="2054"/>
      <c r="F67" s="2054"/>
      <c r="G67" s="2054"/>
      <c r="H67" s="2062"/>
      <c r="I67" s="1027"/>
      <c r="J67" s="9"/>
      <c r="N67" s="9"/>
      <c r="O67" s="9"/>
      <c r="P67" s="9"/>
    </row>
    <row r="68" spans="2:16" ht="15.75">
      <c r="B68" s="1027"/>
      <c r="C68" s="1051"/>
      <c r="D68" s="1706"/>
      <c r="E68" s="2054"/>
      <c r="F68" s="2054"/>
      <c r="G68" s="2054"/>
      <c r="H68" s="2062"/>
      <c r="I68" s="1027"/>
      <c r="J68" s="9"/>
      <c r="N68" s="9"/>
      <c r="O68" s="9"/>
      <c r="P68" s="9"/>
    </row>
    <row r="69" spans="2:16" ht="15.75">
      <c r="B69" s="1027"/>
      <c r="C69" s="1051"/>
      <c r="D69" s="1706"/>
      <c r="E69" s="2054"/>
      <c r="F69" s="2054"/>
      <c r="G69" s="2054"/>
      <c r="H69" s="2062"/>
      <c r="I69" s="1027"/>
      <c r="J69" s="9"/>
      <c r="N69" s="9"/>
      <c r="O69" s="9"/>
      <c r="P69" s="9"/>
    </row>
    <row r="70" spans="2:16" ht="15.75">
      <c r="B70" s="1027"/>
      <c r="C70" s="1051"/>
      <c r="D70" s="1706"/>
      <c r="E70" s="2054"/>
      <c r="F70" s="2054"/>
      <c r="G70" s="2054"/>
      <c r="H70" s="2062"/>
      <c r="I70" s="1027"/>
      <c r="J70" s="9"/>
      <c r="N70" s="9"/>
      <c r="O70" s="9"/>
      <c r="P70" s="9"/>
    </row>
    <row r="71" spans="2:16" ht="15.75">
      <c r="B71" s="1027"/>
      <c r="C71" s="1052"/>
      <c r="D71" s="1039"/>
      <c r="E71" s="2054"/>
      <c r="F71" s="2054"/>
      <c r="G71" s="2054"/>
      <c r="H71" s="2062"/>
      <c r="I71" s="1027"/>
      <c r="J71" s="9"/>
      <c r="N71" s="9"/>
      <c r="O71" s="9"/>
      <c r="P71" s="9"/>
    </row>
    <row r="72" spans="2:16" ht="15.75">
      <c r="B72" s="1027"/>
      <c r="C72" s="1051"/>
      <c r="D72" s="1706"/>
      <c r="E72" s="2054"/>
      <c r="F72" s="2054"/>
      <c r="G72" s="2054"/>
      <c r="H72" s="2062"/>
      <c r="I72" s="1027"/>
      <c r="J72" s="9"/>
      <c r="N72" s="9"/>
      <c r="O72" s="9"/>
      <c r="P72" s="9"/>
    </row>
    <row r="73" spans="2:16" ht="15.75">
      <c r="B73" s="1027"/>
      <c r="C73" s="1051"/>
      <c r="D73" s="1706"/>
      <c r="E73" s="2054"/>
      <c r="F73" s="2054"/>
      <c r="G73" s="2054"/>
      <c r="H73" s="2062"/>
      <c r="I73" s="1027"/>
      <c r="J73" s="9"/>
      <c r="N73" s="9"/>
      <c r="O73" s="9"/>
      <c r="P73" s="9"/>
    </row>
    <row r="74" spans="2:16" ht="15.75">
      <c r="B74" s="1027"/>
      <c r="C74" s="1051"/>
      <c r="D74" s="1706"/>
      <c r="E74" s="2054"/>
      <c r="F74" s="2054"/>
      <c r="G74" s="2054"/>
      <c r="H74" s="2062"/>
      <c r="I74" s="1027"/>
      <c r="J74" s="9"/>
      <c r="N74" s="9"/>
      <c r="O74" s="9"/>
      <c r="P74" s="9"/>
    </row>
    <row r="75" spans="2:16" ht="15.75">
      <c r="B75" s="1027"/>
      <c r="C75" s="1051"/>
      <c r="D75" s="1706"/>
      <c r="E75" s="2054"/>
      <c r="F75" s="2054"/>
      <c r="G75" s="2054"/>
      <c r="H75" s="2062"/>
      <c r="I75" s="1027"/>
      <c r="J75" s="9"/>
      <c r="N75" s="9"/>
      <c r="O75" s="9"/>
      <c r="P75" s="9"/>
    </row>
    <row r="76" spans="2:16" ht="15.75">
      <c r="B76" s="1027"/>
      <c r="C76" s="1051"/>
      <c r="D76" s="1706"/>
      <c r="E76" s="2054"/>
      <c r="F76" s="2054"/>
      <c r="G76" s="2054"/>
      <c r="H76" s="2062"/>
      <c r="I76" s="1027"/>
      <c r="J76" s="9"/>
      <c r="N76" s="9"/>
      <c r="O76" s="9"/>
      <c r="P76" s="9"/>
    </row>
    <row r="77" spans="2:16" ht="15.75">
      <c r="B77" s="1027"/>
      <c r="C77" s="1051"/>
      <c r="D77" s="1706"/>
      <c r="E77" s="2054"/>
      <c r="F77" s="2054"/>
      <c r="G77" s="2054"/>
      <c r="H77" s="2062"/>
      <c r="I77" s="1027"/>
      <c r="J77" s="9"/>
      <c r="N77" s="9"/>
      <c r="O77" s="9"/>
      <c r="P77" s="9"/>
    </row>
    <row r="78" spans="2:16" ht="15.75">
      <c r="B78" s="1027"/>
      <c r="C78" s="1051"/>
      <c r="D78" s="1706"/>
      <c r="E78" s="2054"/>
      <c r="F78" s="2054"/>
      <c r="G78" s="2054"/>
      <c r="H78" s="2062"/>
      <c r="I78" s="1027"/>
      <c r="J78" s="9"/>
      <c r="N78" s="9"/>
      <c r="O78" s="9"/>
      <c r="P78" s="9"/>
    </row>
    <row r="79" spans="2:16" ht="15.75">
      <c r="B79" s="1027"/>
      <c r="C79" s="1052"/>
      <c r="D79" s="1039"/>
      <c r="E79" s="2054"/>
      <c r="F79" s="2054"/>
      <c r="G79" s="2054"/>
      <c r="H79" s="2062"/>
      <c r="I79" s="1027"/>
      <c r="J79" s="9"/>
      <c r="N79" s="9"/>
      <c r="O79" s="9"/>
      <c r="P79" s="9"/>
    </row>
    <row r="80" spans="2:16" ht="15.75">
      <c r="B80" s="1027"/>
      <c r="C80" s="1051"/>
      <c r="D80" s="1706"/>
      <c r="E80" s="2054"/>
      <c r="F80" s="2054"/>
      <c r="G80" s="2054"/>
      <c r="H80" s="2062"/>
      <c r="I80" s="1027"/>
      <c r="J80" s="9"/>
      <c r="N80" s="9"/>
      <c r="O80" s="9"/>
      <c r="P80" s="9"/>
    </row>
    <row r="81" spans="2:16" ht="15.75">
      <c r="B81" s="1027"/>
      <c r="C81" s="1051"/>
      <c r="D81" s="1706"/>
      <c r="E81" s="2054"/>
      <c r="F81" s="2054"/>
      <c r="G81" s="2054"/>
      <c r="H81" s="2062"/>
      <c r="I81" s="1027"/>
      <c r="J81" s="9"/>
      <c r="N81" s="9"/>
      <c r="O81" s="9"/>
      <c r="P81" s="9"/>
    </row>
    <row r="82" spans="2:16" ht="15.75">
      <c r="B82" s="1027"/>
      <c r="C82" s="1051"/>
      <c r="D82" s="1706"/>
      <c r="E82" s="2054"/>
      <c r="F82" s="2054"/>
      <c r="G82" s="2054"/>
      <c r="H82" s="2062"/>
      <c r="I82" s="1027"/>
      <c r="J82" s="9"/>
      <c r="N82" s="9"/>
      <c r="O82" s="9"/>
      <c r="P82" s="9"/>
    </row>
    <row r="83" spans="2:16" ht="15.75">
      <c r="B83" s="1027"/>
      <c r="C83" s="1051"/>
      <c r="D83" s="1706"/>
      <c r="E83" s="2054"/>
      <c r="F83" s="2054"/>
      <c r="G83" s="2054"/>
      <c r="H83" s="2062"/>
      <c r="I83" s="1027"/>
      <c r="J83" s="9"/>
      <c r="N83" s="9"/>
      <c r="O83" s="9"/>
      <c r="P83" s="9"/>
    </row>
    <row r="84" spans="2:16" ht="15.75">
      <c r="B84" s="1027"/>
      <c r="C84" s="1051"/>
      <c r="D84" s="1706"/>
      <c r="E84" s="2054"/>
      <c r="F84" s="2054"/>
      <c r="G84" s="2054"/>
      <c r="H84" s="2062"/>
      <c r="I84" s="1027"/>
      <c r="J84" s="9"/>
      <c r="N84" s="9"/>
      <c r="O84" s="9"/>
      <c r="P84" s="9"/>
    </row>
    <row r="85" spans="2:16" ht="15.75">
      <c r="B85" s="1027"/>
      <c r="C85" s="1051"/>
      <c r="D85" s="1706"/>
      <c r="E85" s="2054"/>
      <c r="F85" s="2054"/>
      <c r="G85" s="2054"/>
      <c r="H85" s="2062"/>
      <c r="I85" s="1027"/>
      <c r="J85" s="9"/>
      <c r="N85" s="9"/>
      <c r="O85" s="9"/>
      <c r="P85" s="9"/>
    </row>
    <row r="86" spans="2:16" ht="15.75">
      <c r="B86" s="1027"/>
      <c r="C86" s="1051"/>
      <c r="D86" s="1706"/>
      <c r="E86" s="2054"/>
      <c r="F86" s="2054"/>
      <c r="G86" s="2054"/>
      <c r="H86" s="2062"/>
      <c r="I86" s="1027"/>
      <c r="J86" s="9"/>
      <c r="N86" s="9"/>
      <c r="O86" s="9"/>
      <c r="P86" s="9"/>
    </row>
    <row r="87" spans="2:16" ht="15.75">
      <c r="B87" s="1027"/>
      <c r="C87" s="1052"/>
      <c r="D87" s="1039"/>
      <c r="E87" s="2054"/>
      <c r="F87" s="2054"/>
      <c r="G87" s="2054"/>
      <c r="H87" s="2062"/>
      <c r="I87" s="1027"/>
      <c r="J87" s="9"/>
      <c r="N87" s="9"/>
      <c r="O87" s="9"/>
      <c r="P87" s="9"/>
    </row>
    <row r="88" spans="2:16" ht="15.75">
      <c r="B88" s="1027"/>
      <c r="C88" s="1706"/>
      <c r="D88" s="1060"/>
      <c r="E88" s="2063"/>
      <c r="F88" s="2063"/>
      <c r="G88" s="2063"/>
      <c r="H88" s="2064"/>
      <c r="I88" s="1027"/>
      <c r="J88" s="9"/>
      <c r="N88" s="9"/>
      <c r="O88" s="9"/>
      <c r="P88" s="9"/>
    </row>
    <row r="89" spans="2:16" ht="15.75">
      <c r="B89" s="1027"/>
      <c r="C89" s="1027"/>
      <c r="D89" s="1027"/>
      <c r="E89" s="1027"/>
      <c r="F89" s="1027"/>
      <c r="G89" s="1027"/>
      <c r="H89" s="1039"/>
      <c r="I89" s="1027"/>
      <c r="J89" s="9"/>
      <c r="N89" s="9"/>
      <c r="O89" s="9"/>
      <c r="P89" s="9"/>
    </row>
    <row r="90" spans="2:16" ht="18.75">
      <c r="B90" s="8" t="s">
        <v>3758</v>
      </c>
      <c r="F90" s="166"/>
      <c r="G90" s="166"/>
      <c r="H90" s="166"/>
      <c r="J90" s="9"/>
      <c r="N90" s="9"/>
      <c r="O90" s="9"/>
      <c r="P90" s="9"/>
    </row>
    <row r="91" spans="2:16">
      <c r="B91" s="1027"/>
      <c r="C91" s="1027"/>
      <c r="D91" s="1027"/>
      <c r="E91" s="1027"/>
      <c r="F91" s="1027"/>
      <c r="G91" s="1027"/>
      <c r="H91" s="1027"/>
      <c r="I91" s="1027"/>
      <c r="J91" s="9"/>
      <c r="N91" s="9"/>
      <c r="O91" s="9"/>
      <c r="P91" s="9"/>
    </row>
    <row r="92" spans="2:16">
      <c r="B92" s="1027"/>
      <c r="C92" s="2060"/>
      <c r="D92" s="2060"/>
      <c r="E92" s="2060"/>
      <c r="F92" s="80" t="s">
        <v>3759</v>
      </c>
      <c r="G92" s="1027"/>
      <c r="H92" s="1027"/>
      <c r="I92" s="1027"/>
      <c r="J92" s="9"/>
      <c r="N92" s="9"/>
      <c r="O92" s="9"/>
      <c r="P92" s="9"/>
    </row>
    <row r="93" spans="2:16">
      <c r="B93" s="1027"/>
      <c r="C93" s="2061" t="s">
        <v>3760</v>
      </c>
      <c r="D93" s="2061"/>
      <c r="E93" s="2061"/>
      <c r="F93" s="546"/>
      <c r="G93" s="1027"/>
      <c r="H93" s="1027"/>
      <c r="I93" s="1027"/>
      <c r="J93" s="9"/>
    </row>
    <row r="94" spans="2:16">
      <c r="B94" s="1027"/>
      <c r="C94" s="2061" t="s">
        <v>3761</v>
      </c>
      <c r="D94" s="2061"/>
      <c r="E94" s="2061"/>
      <c r="F94" s="546"/>
      <c r="G94" s="1027"/>
      <c r="H94" s="1027"/>
      <c r="I94" s="1027"/>
      <c r="J94" s="9"/>
    </row>
    <row r="95" spans="2:16">
      <c r="B95" s="1027"/>
      <c r="C95" s="2061" t="s">
        <v>3762</v>
      </c>
      <c r="D95" s="2061"/>
      <c r="E95" s="2061"/>
      <c r="F95" s="546"/>
      <c r="G95" s="1027"/>
      <c r="H95" s="1027"/>
      <c r="I95" s="1027"/>
      <c r="J95" s="9"/>
    </row>
    <row r="96" spans="2:16">
      <c r="B96" s="1027"/>
      <c r="C96" s="2068" t="s">
        <v>3763</v>
      </c>
      <c r="D96" s="2068"/>
      <c r="E96" s="2068"/>
      <c r="F96" s="546"/>
      <c r="G96" s="1027"/>
      <c r="H96" s="1027"/>
      <c r="I96" s="1027"/>
      <c r="J96" s="9"/>
    </row>
    <row r="97" spans="2:9">
      <c r="B97" s="1027"/>
      <c r="C97" s="2068" t="s">
        <v>3764</v>
      </c>
      <c r="D97" s="2068"/>
      <c r="E97" s="2068"/>
      <c r="F97" s="546"/>
      <c r="G97" s="1027"/>
      <c r="H97" s="1027"/>
      <c r="I97" s="1027"/>
    </row>
    <row r="98" spans="2:9">
      <c r="B98" s="1027"/>
      <c r="C98" s="2061" t="s">
        <v>3765</v>
      </c>
      <c r="D98" s="2061"/>
      <c r="E98" s="2061"/>
      <c r="F98" s="546"/>
      <c r="G98" s="1027"/>
      <c r="H98" s="1027"/>
      <c r="I98" s="1027"/>
    </row>
    <row r="99" spans="2:9">
      <c r="B99" s="1027"/>
      <c r="C99" s="2068" t="s">
        <v>3766</v>
      </c>
      <c r="D99" s="2068"/>
      <c r="E99" s="2068"/>
      <c r="F99" s="546"/>
      <c r="G99" s="1027"/>
      <c r="H99" s="1027"/>
      <c r="I99" s="1027"/>
    </row>
    <row r="100" spans="2:9">
      <c r="B100" s="1027"/>
      <c r="C100" s="1027" t="s">
        <v>3767</v>
      </c>
      <c r="D100" s="1027"/>
      <c r="E100" s="1027"/>
      <c r="F100" s="1027"/>
      <c r="G100" s="1027"/>
      <c r="H100" s="1027"/>
      <c r="I100" s="1027"/>
    </row>
    <row r="101" spans="2:9" ht="15.75">
      <c r="B101" s="1027"/>
      <c r="C101" s="1027"/>
      <c r="D101" s="1027"/>
      <c r="E101" s="1027"/>
      <c r="F101" s="1027"/>
      <c r="G101" s="1039"/>
      <c r="H101" s="1039"/>
      <c r="I101" s="1027"/>
    </row>
    <row r="102" spans="2:9" ht="18.75">
      <c r="B102" s="8" t="s">
        <v>3730</v>
      </c>
      <c r="E102" s="970"/>
      <c r="F102" s="970"/>
      <c r="G102" s="970"/>
    </row>
    <row r="103" spans="2:9">
      <c r="B103" s="1027"/>
      <c r="C103" s="1027"/>
      <c r="D103" s="1027"/>
      <c r="E103" s="1027"/>
      <c r="F103" s="1027"/>
      <c r="G103" s="1027"/>
      <c r="H103" s="1027"/>
      <c r="I103" s="1027"/>
    </row>
    <row r="104" spans="2:9">
      <c r="B104" s="1027"/>
      <c r="C104" s="1998"/>
      <c r="D104" s="1999"/>
      <c r="E104" s="1999"/>
      <c r="F104" s="1999"/>
      <c r="G104" s="1999"/>
      <c r="H104" s="2000"/>
      <c r="I104" s="1027"/>
    </row>
    <row r="105" spans="2:9">
      <c r="B105" s="1027"/>
      <c r="C105" s="2001"/>
      <c r="D105" s="2002"/>
      <c r="E105" s="2002"/>
      <c r="F105" s="2002"/>
      <c r="G105" s="2002"/>
      <c r="H105" s="2003"/>
      <c r="I105" s="1027"/>
    </row>
    <row r="106" spans="2:9">
      <c r="B106" s="1027"/>
      <c r="C106" s="2001"/>
      <c r="D106" s="2002"/>
      <c r="E106" s="2002"/>
      <c r="F106" s="2002"/>
      <c r="G106" s="2002"/>
      <c r="H106" s="2003"/>
      <c r="I106" s="1027"/>
    </row>
    <row r="107" spans="2:9">
      <c r="B107" s="1027"/>
      <c r="C107" s="2001"/>
      <c r="D107" s="2002"/>
      <c r="E107" s="2002"/>
      <c r="F107" s="2002"/>
      <c r="G107" s="2002"/>
      <c r="H107" s="2003"/>
      <c r="I107" s="1027"/>
    </row>
    <row r="108" spans="2:9">
      <c r="B108" s="1027"/>
      <c r="C108" s="2001"/>
      <c r="D108" s="2002"/>
      <c r="E108" s="2002"/>
      <c r="F108" s="2002"/>
      <c r="G108" s="2002"/>
      <c r="H108" s="2003"/>
      <c r="I108" s="1027"/>
    </row>
    <row r="109" spans="2:9">
      <c r="B109" s="1027"/>
      <c r="C109" s="2001"/>
      <c r="D109" s="2002"/>
      <c r="E109" s="2002"/>
      <c r="F109" s="2002"/>
      <c r="G109" s="2002"/>
      <c r="H109" s="2003"/>
      <c r="I109" s="1027"/>
    </row>
    <row r="110" spans="2:9">
      <c r="B110" s="1027"/>
      <c r="C110" s="2001"/>
      <c r="D110" s="2002"/>
      <c r="E110" s="2002"/>
      <c r="F110" s="2002"/>
      <c r="G110" s="2002"/>
      <c r="H110" s="2003"/>
      <c r="I110" s="1027"/>
    </row>
    <row r="111" spans="2:9">
      <c r="B111" s="1027"/>
      <c r="C111" s="2004"/>
      <c r="D111" s="2005"/>
      <c r="E111" s="2005"/>
      <c r="F111" s="2005"/>
      <c r="G111" s="2005"/>
      <c r="H111" s="2006"/>
      <c r="I111" s="1027"/>
    </row>
    <row r="112" spans="2:9">
      <c r="B112" s="1027"/>
      <c r="C112" s="1027"/>
      <c r="D112" s="1027"/>
      <c r="E112" s="1027"/>
      <c r="F112" s="1027"/>
      <c r="G112" s="1027"/>
      <c r="H112" s="1027"/>
      <c r="I112" s="1027"/>
    </row>
    <row r="114" spans="2:9">
      <c r="B114" s="16" t="s">
        <v>3637</v>
      </c>
      <c r="C114" s="7"/>
      <c r="D114" s="7"/>
      <c r="E114" s="7"/>
      <c r="F114" s="7"/>
      <c r="G114" s="7"/>
      <c r="H114" s="7"/>
      <c r="I114" s="7"/>
    </row>
    <row r="115" spans="2:9" ht="18.75">
      <c r="B115" s="8" t="s">
        <v>3732</v>
      </c>
      <c r="E115" s="970"/>
      <c r="F115" s="970"/>
      <c r="G115" s="970"/>
    </row>
    <row r="116" spans="2:9">
      <c r="B116" s="1027"/>
      <c r="C116" s="1027"/>
      <c r="D116" s="1027"/>
      <c r="E116" s="1027"/>
      <c r="F116" s="1027"/>
      <c r="G116" s="1027"/>
      <c r="H116" s="1027"/>
      <c r="I116" s="1027"/>
    </row>
    <row r="117" spans="2:9">
      <c r="B117" s="1027"/>
      <c r="C117" s="1998"/>
      <c r="D117" s="1999"/>
      <c r="E117" s="1999"/>
      <c r="F117" s="1999"/>
      <c r="G117" s="1999"/>
      <c r="H117" s="2000"/>
      <c r="I117" s="1027"/>
    </row>
    <row r="118" spans="2:9">
      <c r="B118" s="1027"/>
      <c r="C118" s="2001"/>
      <c r="D118" s="2002"/>
      <c r="E118" s="2002"/>
      <c r="F118" s="2002"/>
      <c r="G118" s="2002"/>
      <c r="H118" s="2003"/>
      <c r="I118" s="1027"/>
    </row>
    <row r="119" spans="2:9">
      <c r="B119" s="1027"/>
      <c r="C119" s="2001"/>
      <c r="D119" s="2002"/>
      <c r="E119" s="2002"/>
      <c r="F119" s="2002"/>
      <c r="G119" s="2002"/>
      <c r="H119" s="2003"/>
      <c r="I119" s="1027"/>
    </row>
    <row r="120" spans="2:9">
      <c r="B120" s="1027"/>
      <c r="C120" s="2004"/>
      <c r="D120" s="2005"/>
      <c r="E120" s="2005"/>
      <c r="F120" s="2005"/>
      <c r="G120" s="2005"/>
      <c r="H120" s="2006"/>
      <c r="I120" s="1027"/>
    </row>
    <row r="121" spans="2:9">
      <c r="B121" s="1027"/>
      <c r="C121" s="1027"/>
      <c r="D121" s="1027"/>
      <c r="E121" s="1027"/>
      <c r="F121" s="1027"/>
      <c r="G121" s="1027"/>
      <c r="H121" s="1027"/>
      <c r="I121" s="1027"/>
    </row>
  </sheetData>
  <sheetProtection algorithmName="SHA-512" hashValue="bHGElvrHsm57dNUbRASJwFpOUX4bnGnry7hYAxiM9t9OTX6PlpZ1OZPhT76dKpOVvEewbGaZcNKMe4xfAnD2iQ==" saltValue="6oCcbZ29gfq0G5vUz6FbJg==" spinCount="100000" sheet="1" objects="1" scenarios="1" selectLockedCells="1"/>
  <mergeCells count="28">
    <mergeCell ref="C7:D7"/>
    <mergeCell ref="E44:E45"/>
    <mergeCell ref="C98:E98"/>
    <mergeCell ref="C99:E99"/>
    <mergeCell ref="C96:E96"/>
    <mergeCell ref="C97:E97"/>
    <mergeCell ref="C29:D29"/>
    <mergeCell ref="C30:D30"/>
    <mergeCell ref="C44:D45"/>
    <mergeCell ref="E32:F34"/>
    <mergeCell ref="C26:D26"/>
    <mergeCell ref="E26:F28"/>
    <mergeCell ref="B9:D9"/>
    <mergeCell ref="E9:F11"/>
    <mergeCell ref="C20:D20"/>
    <mergeCell ref="E21:F23"/>
    <mergeCell ref="C25:D25"/>
    <mergeCell ref="C117:H120"/>
    <mergeCell ref="C47:D47"/>
    <mergeCell ref="E47:F49"/>
    <mergeCell ref="C51:D51"/>
    <mergeCell ref="E51:F53"/>
    <mergeCell ref="C104:H111"/>
    <mergeCell ref="C92:E92"/>
    <mergeCell ref="C93:E93"/>
    <mergeCell ref="C94:E94"/>
    <mergeCell ref="C95:E95"/>
    <mergeCell ref="E55:H88"/>
  </mergeCells>
  <conditionalFormatting sqref="E29:E30">
    <cfRule type="expression" dxfId="370" priority="19">
      <formula>$E$25="Yes"</formula>
    </cfRule>
  </conditionalFormatting>
  <conditionalFormatting sqref="E9:F11">
    <cfRule type="expression" dxfId="368" priority="215">
      <formula>$E$7&lt;$E$6</formula>
    </cfRule>
  </conditionalFormatting>
  <conditionalFormatting sqref="E21:F23">
    <cfRule type="expression" dxfId="367" priority="22">
      <formula>$E$20="Yes"</formula>
    </cfRule>
  </conditionalFormatting>
  <conditionalFormatting sqref="E26:F28">
    <cfRule type="expression" dxfId="366" priority="21">
      <formula>$E$25="Yes"</formula>
    </cfRule>
  </conditionalFormatting>
  <conditionalFormatting sqref="E32:F34">
    <cfRule type="expression" dxfId="365" priority="18">
      <formula>$E$25="Yes"</formula>
    </cfRule>
  </conditionalFormatting>
  <conditionalFormatting sqref="E47:F49">
    <cfRule type="expression" dxfId="364" priority="11">
      <formula>IF($E$44="Yes",TRUE,FALSE)</formula>
    </cfRule>
  </conditionalFormatting>
  <dataValidations count="9">
    <dataValidation type="list" allowBlank="1" showInputMessage="1" showErrorMessage="1" sqref="E20 E25 E44 E29:E30 E14:E18" xr:uid="{28F3C095-F713-4681-8956-B6AC1C2E19A5}">
      <formula1>YesNo</formula1>
    </dataValidation>
    <dataValidation type="custom" allowBlank="1" showInputMessage="1" showErrorMessage="1" sqref="F1 A4:A52" xr:uid="{E0018970-2E38-4C63-AC92-D01067A3D4B7}">
      <formula1>"&lt;0&gt;0"</formula1>
    </dataValidation>
    <dataValidation type="textLength" allowBlank="1" showInputMessage="1" showErrorMessage="1" errorTitle="Maximum character limit exceeded." error="The maximum character count for this field is 5000. Please reduce the character count on this field." sqref="E55" xr:uid="{910833B2-2180-4EC2-A5F8-B0EB4346DEC2}">
      <formula1>0</formula1>
      <formula2>5000</formula2>
    </dataValidation>
    <dataValidation type="custom" allowBlank="1" showInputMessage="1" showErrorMessage="1" errorTitle="Total Site Acreage Error" error="Please enter acreage as numeric value only." sqref="E6" xr:uid="{58950BC6-8788-4141-AD04-C2B20FCEBF17}">
      <formula1>ISNUMBER(E6)</formula1>
    </dataValidation>
    <dataValidation type="custom" allowBlank="1" showInputMessage="1" showErrorMessage="1" errorTitle="Total Buildable Acreage Error" error="Please enter acreage as numeric value only." sqref="E7" xr:uid="{427B2295-DC19-4DBA-8494-3E9DDC58E6A8}">
      <formula1>ISNUMBER(E7)</formula1>
    </dataValidation>
    <dataValidation type="custom" allowBlank="1" showInputMessage="1" showErrorMessage="1" errorTitle="Year Built Error" error="Please enter year built as numeric value only." sqref="E37" xr:uid="{F1BABC2F-76B0-4D80-971D-B7CA50420AD2}">
      <formula1>ISNUMBER(E37)</formula1>
    </dataValidation>
    <dataValidation type="custom" allowBlank="1" showInputMessage="1" showErrorMessage="1" errorTitle="Number of exisiting units error" error="Please enter numeric value only." sqref="E38:E40 B42:D42" xr:uid="{AB768A0C-9304-402B-92C3-0382849D5B10}">
      <formula1>ISNUMBER(B38)</formula1>
    </dataValidation>
    <dataValidation type="custom" allowBlank="1" showInputMessage="1" showErrorMessage="1" errorTitle="Current Occupancy Error" error="Please enter numeric value only." sqref="F39:F42 E40" xr:uid="{1DE073CC-2064-4854-8FE1-F21B52BA9432}">
      <formula1>ISNUMBER(E39)</formula1>
    </dataValidation>
    <dataValidation type="custom" allowBlank="1" showInputMessage="1" showErrorMessage="1" errorTitle="Distance in Miles Error" error="Please enter distance as numeric value to the closest tenth of a mile." sqref="F93:F99" xr:uid="{185083A2-A7E3-4447-B14D-F752DADED95E}">
      <formula1>ISNUMBER(F93)</formula1>
    </dataValidation>
  </dataValidations>
  <pageMargins left="0.7" right="0.7" top="0.75" bottom="0.75" header="0.3" footer="0.3"/>
  <pageSetup scale="52" fitToHeight="0" orientation="portrait" copies="5" r:id="rId1"/>
  <headerFooter>
    <oddHeader>&amp;L&amp;G</oddHeader>
    <oddFooter>&amp;CWHEDA MULTIFAMILY APPLICATION&amp;R&amp;P of &amp;N</oddFooter>
  </headerFooter>
  <rowBreaks count="1" manualBreakCount="1">
    <brk id="54" min="1" max="8"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46DD940E-92BF-480B-91E7-21DD487F3B4F}">
            <xm:f>'4. Project Description'!$D$6="Acquisition/Rehab"</xm:f>
            <x14:dxf>
              <fill>
                <patternFill>
                  <bgColor rgb="FF92D050"/>
                </patternFill>
              </fill>
            </x14:dxf>
          </x14:cfRule>
          <xm:sqref>E37:E40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6A7B-CF2D-42DD-95B0-D771BF3AA1D6}">
  <sheetPr codeName="Sheet1">
    <pageSetUpPr fitToPage="1"/>
  </sheetPr>
  <dimension ref="A1:AL103"/>
  <sheetViews>
    <sheetView workbookViewId="0">
      <selection activeCell="D6" sqref="D6:H6"/>
    </sheetView>
  </sheetViews>
  <sheetFormatPr defaultColWidth="9.140625" defaultRowHeight="15"/>
  <cols>
    <col min="1" max="1" width="4.28515625" style="3" customWidth="1"/>
    <col min="2" max="2" width="7.42578125" style="3" customWidth="1"/>
    <col min="3" max="3" width="81.42578125" style="3" customWidth="1"/>
    <col min="4" max="4" width="20.42578125" style="18" customWidth="1"/>
    <col min="5" max="5" width="18.42578125" style="3" customWidth="1"/>
    <col min="6" max="6" width="16" style="3" customWidth="1"/>
    <col min="7" max="7" width="18.42578125" style="3" bestFit="1" customWidth="1"/>
    <col min="8" max="8" width="17.42578125" style="3" customWidth="1"/>
    <col min="9" max="9" width="18.140625" style="3" bestFit="1" customWidth="1"/>
    <col min="10" max="10" width="16.42578125" style="3" customWidth="1"/>
    <col min="11" max="11" width="5" style="3" customWidth="1"/>
    <col min="12" max="12" width="19.42578125" style="3" bestFit="1" customWidth="1"/>
    <col min="13" max="13" width="14.5703125" style="3" customWidth="1"/>
    <col min="14" max="14" width="23.85546875" style="3" bestFit="1" customWidth="1"/>
    <col min="15" max="15" width="18" style="3" customWidth="1"/>
    <col min="16" max="38" width="9.140625" style="97"/>
    <col min="39" max="16384" width="9.140625" style="3"/>
  </cols>
  <sheetData>
    <row r="1" spans="1:13" ht="28.5">
      <c r="B1" s="4" t="str">
        <f>'1. TOC'!B1</f>
        <v>WHEDA 2025 Multifamily Application</v>
      </c>
      <c r="D1" s="115" t="str">
        <f>'1. TOC'!L1</f>
        <v>v25.1.12</v>
      </c>
      <c r="F1" s="947" t="str">
        <f>HYPERLINK("#Table_of_Contents", Table_of_Contents)</f>
        <v>Table of Contents</v>
      </c>
    </row>
    <row r="2" spans="1:13" ht="18.75">
      <c r="A2" s="5"/>
      <c r="B2" s="812" t="str">
        <f>_xlfn.CONCAT(IF(ISBLANK(WHEDA_Project_Number),"",_xlfn.CONCAT(WHEDA_Project_Number," - ")), Project_Name, IF(ISBLANK(Credit_percentage_applied_for),"",_xlfn.CONCAT(" - ", Credit_percentage_applied_for," HTC")))</f>
        <v/>
      </c>
      <c r="D2" s="3"/>
    </row>
    <row r="3" spans="1:13" ht="18.75">
      <c r="A3" s="850"/>
      <c r="B3" s="13"/>
      <c r="C3" s="7"/>
      <c r="D3" s="7"/>
      <c r="E3" s="7"/>
      <c r="F3" s="7"/>
      <c r="G3" s="7"/>
      <c r="H3" s="7"/>
      <c r="I3" s="7"/>
      <c r="J3" s="7"/>
      <c r="K3" s="7"/>
    </row>
    <row r="4" spans="1:13" ht="28.5">
      <c r="B4" s="4" t="s">
        <v>775</v>
      </c>
    </row>
    <row r="5" spans="1:13">
      <c r="B5" s="1027"/>
      <c r="C5" s="1027"/>
      <c r="D5" s="1027"/>
      <c r="E5" s="1027"/>
      <c r="F5" s="1027"/>
      <c r="G5" s="1027"/>
      <c r="H5" s="1027"/>
      <c r="I5" s="1027"/>
      <c r="J5" s="1027"/>
      <c r="K5" s="1027"/>
    </row>
    <row r="6" spans="1:13" ht="15.75">
      <c r="B6" s="1027"/>
      <c r="C6" s="1040" t="s">
        <v>3768</v>
      </c>
      <c r="D6" s="2079"/>
      <c r="E6" s="2080"/>
      <c r="F6" s="2080"/>
      <c r="G6" s="2080"/>
      <c r="H6" s="2081"/>
      <c r="I6" s="1027"/>
      <c r="J6" s="1027"/>
      <c r="K6" s="1027"/>
    </row>
    <row r="7" spans="1:13">
      <c r="B7" s="1027"/>
      <c r="C7" s="1027"/>
      <c r="D7" s="1027"/>
      <c r="E7" s="1027"/>
      <c r="F7" s="1027"/>
      <c r="G7" s="1027"/>
      <c r="H7" s="1027"/>
      <c r="I7" s="1027"/>
      <c r="J7" s="1027"/>
      <c r="K7" s="1027"/>
    </row>
    <row r="8" spans="1:13" ht="15.75">
      <c r="B8" s="1027"/>
      <c r="C8" s="1051" t="s">
        <v>3769</v>
      </c>
      <c r="D8" s="1040"/>
      <c r="E8" s="1027"/>
      <c r="F8" s="1027"/>
      <c r="G8" s="1027"/>
      <c r="H8" s="1027"/>
      <c r="I8" s="1027"/>
      <c r="J8" s="1027"/>
      <c r="K8" s="1027"/>
    </row>
    <row r="9" spans="1:13" ht="15.75">
      <c r="B9" s="1027"/>
      <c r="C9" s="1040" t="s">
        <v>3770</v>
      </c>
      <c r="D9" s="2079"/>
      <c r="E9" s="2080"/>
      <c r="F9" s="2080"/>
      <c r="G9" s="2080"/>
      <c r="H9" s="2081"/>
      <c r="I9" s="1027"/>
      <c r="J9" s="1027"/>
      <c r="K9" s="1027"/>
    </row>
    <row r="10" spans="1:13" ht="15.75">
      <c r="B10" s="1027"/>
      <c r="C10" s="1052"/>
      <c r="D10" s="1052"/>
      <c r="E10" s="1052"/>
      <c r="F10" s="1052"/>
      <c r="G10" s="1052"/>
      <c r="H10" s="1052"/>
      <c r="I10" s="1027"/>
      <c r="J10" s="1027"/>
      <c r="K10" s="1027"/>
    </row>
    <row r="11" spans="1:13" ht="15.75">
      <c r="B11" s="1027"/>
      <c r="C11" s="1705" t="s">
        <v>3597</v>
      </c>
      <c r="D11" s="2082"/>
      <c r="E11" s="2083"/>
      <c r="F11" s="2083"/>
      <c r="G11" s="2083"/>
      <c r="H11" s="2084"/>
      <c r="I11" s="1027"/>
      <c r="J11" s="1027"/>
      <c r="K11" s="1027"/>
    </row>
    <row r="12" spans="1:13" ht="15.75">
      <c r="B12" s="1027"/>
      <c r="C12" s="1705" t="s">
        <v>3599</v>
      </c>
      <c r="D12" s="819"/>
      <c r="E12" s="1705" t="s">
        <v>3600</v>
      </c>
      <c r="F12" s="819"/>
      <c r="G12" s="1706" t="s">
        <v>3771</v>
      </c>
      <c r="H12" s="820"/>
      <c r="I12" s="1027"/>
      <c r="J12" s="1027"/>
      <c r="K12" s="1027"/>
    </row>
    <row r="13" spans="1:13" ht="15.75">
      <c r="B13" s="1027"/>
      <c r="C13" s="1705"/>
      <c r="D13" s="1039"/>
      <c r="E13" s="1705"/>
      <c r="F13" s="1039"/>
      <c r="G13" s="1706"/>
      <c r="H13" s="1069"/>
      <c r="I13" s="1027"/>
      <c r="J13" s="1027"/>
      <c r="K13" s="1027"/>
    </row>
    <row r="14" spans="1:13" ht="15.75">
      <c r="B14" s="1027"/>
      <c r="C14" s="1051" t="s">
        <v>3772</v>
      </c>
      <c r="D14" s="1039"/>
      <c r="E14" s="1705"/>
      <c r="F14" s="1039"/>
      <c r="G14" s="1706"/>
      <c r="H14" s="1039"/>
      <c r="I14" s="1027"/>
      <c r="J14" s="1027"/>
      <c r="K14" s="1027"/>
    </row>
    <row r="15" spans="1:13" ht="15.75">
      <c r="B15" s="1027"/>
      <c r="C15" s="1052" t="s">
        <v>1854</v>
      </c>
      <c r="D15" s="165"/>
      <c r="E15" s="1705" t="s">
        <v>3616</v>
      </c>
      <c r="F15" s="165"/>
      <c r="G15" s="1706" t="s">
        <v>3617</v>
      </c>
      <c r="H15" s="165"/>
      <c r="I15" s="1039"/>
      <c r="J15" s="1705"/>
      <c r="K15" s="1039"/>
      <c r="L15" s="166"/>
      <c r="M15" s="166"/>
    </row>
    <row r="16" spans="1:13" ht="15.75">
      <c r="B16" s="1027"/>
      <c r="C16" s="1706" t="s">
        <v>3723</v>
      </c>
      <c r="D16" s="817"/>
      <c r="E16" s="1706" t="s">
        <v>3724</v>
      </c>
      <c r="F16" s="818"/>
      <c r="G16" s="1706" t="s">
        <v>3725</v>
      </c>
      <c r="H16" s="818"/>
      <c r="I16" s="1039"/>
      <c r="J16" s="1705"/>
      <c r="K16" s="1039"/>
      <c r="L16" s="166"/>
      <c r="M16" s="166"/>
    </row>
    <row r="17" spans="2:13" ht="15.75">
      <c r="B17" s="1027"/>
      <c r="C17" s="1705" t="s">
        <v>3726</v>
      </c>
      <c r="D17" s="2085"/>
      <c r="E17" s="2086"/>
      <c r="F17" s="2087"/>
      <c r="G17" s="1039"/>
      <c r="H17" s="1039"/>
      <c r="I17" s="1039"/>
      <c r="J17" s="1705"/>
      <c r="K17" s="1039"/>
      <c r="L17" s="166"/>
      <c r="M17" s="166"/>
    </row>
    <row r="18" spans="2:13">
      <c r="B18" s="1027"/>
      <c r="C18" s="1040"/>
      <c r="D18" s="1040"/>
      <c r="E18" s="1027"/>
      <c r="F18" s="1027"/>
      <c r="G18" s="1027"/>
      <c r="H18" s="1027"/>
      <c r="I18" s="1027"/>
      <c r="J18" s="1027"/>
      <c r="K18" s="1027"/>
    </row>
    <row r="19" spans="2:13">
      <c r="B19" s="1027"/>
      <c r="C19" s="1027"/>
      <c r="D19" s="1027"/>
      <c r="E19" s="1027"/>
      <c r="F19" s="1027"/>
      <c r="G19" s="1027"/>
      <c r="H19" s="1027"/>
      <c r="I19" s="1027"/>
      <c r="J19" s="1027"/>
      <c r="K19" s="1027"/>
    </row>
    <row r="20" spans="2:13" ht="45">
      <c r="B20" s="1027"/>
      <c r="C20" s="1062" t="s">
        <v>3773</v>
      </c>
      <c r="D20" s="261"/>
      <c r="E20" s="1027"/>
      <c r="F20" s="1027"/>
      <c r="G20" s="1027"/>
      <c r="H20" s="1027"/>
      <c r="I20" s="1027"/>
      <c r="J20" s="1027"/>
      <c r="K20" s="1027"/>
    </row>
    <row r="21" spans="2:13" ht="15.75">
      <c r="B21" s="1027"/>
      <c r="C21" s="1040" t="s">
        <v>3774</v>
      </c>
      <c r="D21" s="169"/>
      <c r="E21" s="1027"/>
      <c r="F21" s="1027"/>
      <c r="G21" s="1027"/>
      <c r="H21" s="1027"/>
      <c r="I21" s="1027"/>
      <c r="J21" s="1027"/>
      <c r="K21" s="1027"/>
    </row>
    <row r="22" spans="2:13">
      <c r="B22" s="1027"/>
      <c r="C22" s="1062"/>
      <c r="D22" s="1027"/>
      <c r="E22" s="1027"/>
      <c r="F22" s="1027"/>
      <c r="G22" s="1027"/>
      <c r="H22" s="1027"/>
      <c r="I22" s="1027"/>
      <c r="J22" s="1027"/>
      <c r="K22" s="1027"/>
    </row>
    <row r="23" spans="2:13" ht="15.75">
      <c r="B23" s="1027"/>
      <c r="C23" s="1040" t="s">
        <v>3775</v>
      </c>
      <c r="D23" s="261"/>
      <c r="E23" s="1027"/>
      <c r="F23" s="1027"/>
      <c r="G23" s="1057"/>
      <c r="H23" s="1027"/>
      <c r="I23" s="1027"/>
      <c r="J23" s="1027"/>
      <c r="K23" s="1027"/>
    </row>
    <row r="24" spans="2:13">
      <c r="B24" s="1027"/>
      <c r="C24" s="1040" t="s">
        <v>3776</v>
      </c>
      <c r="D24" s="1027"/>
      <c r="E24" s="1027"/>
      <c r="F24" s="1027"/>
      <c r="G24" s="1027"/>
      <c r="H24" s="1027"/>
      <c r="I24" s="1027"/>
      <c r="J24" s="1027"/>
      <c r="K24" s="1027"/>
    </row>
    <row r="25" spans="2:13" ht="16.5" customHeight="1">
      <c r="B25" s="1027"/>
      <c r="C25" s="1049" t="s">
        <v>3777</v>
      </c>
      <c r="D25" s="172"/>
      <c r="E25" s="1027"/>
      <c r="F25" s="1068" t="s">
        <v>3778</v>
      </c>
      <c r="G25" s="171"/>
      <c r="H25" s="1027"/>
      <c r="I25" s="1027"/>
      <c r="J25" s="1027"/>
      <c r="K25" s="1027"/>
    </row>
    <row r="26" spans="2:13">
      <c r="B26" s="1027"/>
      <c r="C26" s="1040" t="s">
        <v>3779</v>
      </c>
      <c r="D26" s="1027"/>
      <c r="E26" s="1027"/>
      <c r="F26" s="1027"/>
      <c r="G26" s="1070"/>
      <c r="H26" s="1027"/>
      <c r="I26" s="1027"/>
      <c r="J26" s="1027"/>
      <c r="K26" s="1027"/>
    </row>
    <row r="27" spans="2:13" ht="15.75">
      <c r="B27" s="1027"/>
      <c r="C27" s="1040" t="s">
        <v>3780</v>
      </c>
      <c r="D27" s="172"/>
      <c r="E27" s="1027"/>
      <c r="F27" s="1040" t="s">
        <v>3781</v>
      </c>
      <c r="G27" s="269"/>
      <c r="H27" s="1027"/>
      <c r="I27" s="1027"/>
      <c r="J27" s="1027"/>
      <c r="K27" s="1027"/>
    </row>
    <row r="28" spans="2:13" ht="20.25" customHeight="1">
      <c r="B28" s="1027"/>
      <c r="C28" s="1062"/>
      <c r="D28" s="1027"/>
      <c r="E28" s="1027"/>
      <c r="F28" s="1027"/>
      <c r="G28" s="1027"/>
      <c r="H28" s="1027"/>
      <c r="I28" s="1027"/>
      <c r="J28" s="1027"/>
      <c r="K28" s="1027"/>
    </row>
    <row r="29" spans="2:13" ht="15.75">
      <c r="B29" s="1027"/>
      <c r="C29" s="1063" t="s">
        <v>3782</v>
      </c>
      <c r="D29" s="1027"/>
      <c r="E29" s="1027"/>
      <c r="F29" s="1027"/>
      <c r="G29" s="1027"/>
      <c r="H29" s="1027"/>
      <c r="I29" s="1027"/>
      <c r="J29" s="1027"/>
      <c r="K29" s="1027"/>
    </row>
    <row r="30" spans="2:13" ht="15.75">
      <c r="B30" s="1027"/>
      <c r="C30" s="1706" t="s">
        <v>3783</v>
      </c>
      <c r="D30" s="171"/>
      <c r="E30" s="1027"/>
      <c r="F30" s="1027"/>
      <c r="G30" s="1027"/>
      <c r="H30" s="1027"/>
      <c r="I30" s="1027"/>
      <c r="J30" s="1027"/>
      <c r="K30" s="1027"/>
    </row>
    <row r="31" spans="2:13" ht="15.75">
      <c r="B31" s="1027"/>
      <c r="C31" s="1706" t="s">
        <v>3784</v>
      </c>
      <c r="D31" s="171"/>
      <c r="E31" s="1027"/>
      <c r="F31" s="1027"/>
      <c r="G31" s="1027"/>
      <c r="H31" s="1027"/>
      <c r="I31" s="1027"/>
      <c r="J31" s="1027"/>
      <c r="K31" s="1027"/>
      <c r="L31" s="9" t="s">
        <v>3785</v>
      </c>
    </row>
    <row r="32" spans="2:13">
      <c r="B32" s="1027"/>
      <c r="C32" s="1062"/>
      <c r="D32" s="1027"/>
      <c r="E32" s="1027"/>
      <c r="F32" s="1027"/>
      <c r="G32" s="1027"/>
      <c r="H32" s="1027"/>
      <c r="I32" s="1027"/>
      <c r="J32" s="1027"/>
      <c r="K32" s="1027"/>
      <c r="L32" s="9" t="b">
        <f>OR('4. Project Description'!$D$6="Adaptive Reuse",'4. Project Description'!$D$6="Acquisition/Rehab",'4. Project Description'!$D$6="Acquisition/New Construction",'4. Project Description'!$D$6="Adaptive Reuse/New Construction")</f>
        <v>0</v>
      </c>
    </row>
    <row r="33" spans="2:11" ht="15.75">
      <c r="B33" s="1027"/>
      <c r="C33" s="1064" t="s">
        <v>3786</v>
      </c>
      <c r="D33" s="1027"/>
      <c r="E33" s="1027"/>
      <c r="F33" s="1027"/>
      <c r="G33" s="1027"/>
      <c r="H33" s="1027"/>
      <c r="I33" s="1027"/>
      <c r="J33" s="1027"/>
      <c r="K33" s="1027"/>
    </row>
    <row r="34" spans="2:11" ht="15.75">
      <c r="B34" s="1027"/>
      <c r="C34" s="1706" t="s">
        <v>3787</v>
      </c>
      <c r="D34" s="169"/>
      <c r="E34" s="1027"/>
      <c r="F34" s="1027"/>
      <c r="G34" s="1027"/>
      <c r="H34" s="1027"/>
      <c r="I34" s="1027"/>
      <c r="J34" s="1027"/>
      <c r="K34" s="1027"/>
    </row>
    <row r="35" spans="2:11" ht="15.75">
      <c r="B35" s="1027"/>
      <c r="C35" s="1706" t="s">
        <v>3788</v>
      </c>
      <c r="D35" s="165"/>
      <c r="E35" s="1027"/>
      <c r="F35" s="1027"/>
      <c r="G35" s="1027"/>
      <c r="H35" s="1027"/>
      <c r="I35" s="1027"/>
      <c r="J35" s="1027"/>
      <c r="K35" s="1027"/>
    </row>
    <row r="36" spans="2:11" ht="10.5" customHeight="1">
      <c r="B36" s="1027"/>
      <c r="C36" s="1040"/>
      <c r="D36" s="1027"/>
      <c r="E36" s="1027"/>
      <c r="F36" s="1027"/>
      <c r="G36" s="1027"/>
      <c r="H36" s="1027"/>
      <c r="I36" s="1027"/>
      <c r="J36" s="1027"/>
      <c r="K36" s="1027"/>
    </row>
    <row r="37" spans="2:11" ht="16.5" customHeight="1">
      <c r="B37" s="1027"/>
      <c r="C37" s="2088" t="s">
        <v>3789</v>
      </c>
      <c r="D37" s="2089"/>
      <c r="E37" s="2089"/>
      <c r="F37" s="2089"/>
      <c r="G37" s="2089"/>
      <c r="H37" s="2089"/>
      <c r="I37" s="2089"/>
      <c r="J37" s="2089"/>
      <c r="K37" s="1027"/>
    </row>
    <row r="38" spans="2:11">
      <c r="B38" s="1027"/>
      <c r="C38" s="2089"/>
      <c r="D38" s="2089"/>
      <c r="E38" s="2089"/>
      <c r="F38" s="2089"/>
      <c r="G38" s="2089"/>
      <c r="H38" s="2089"/>
      <c r="I38" s="2089"/>
      <c r="J38" s="2089"/>
      <c r="K38" s="1027"/>
    </row>
    <row r="39" spans="2:11">
      <c r="B39" s="1027"/>
      <c r="C39" s="2089"/>
      <c r="D39" s="2089"/>
      <c r="E39" s="2089"/>
      <c r="F39" s="2089"/>
      <c r="G39" s="2089"/>
      <c r="H39" s="2089"/>
      <c r="I39" s="2089"/>
      <c r="J39" s="2089"/>
      <c r="K39" s="1027"/>
    </row>
    <row r="40" spans="2:11" ht="16.5" customHeight="1">
      <c r="B40" s="1027"/>
      <c r="C40" s="2089"/>
      <c r="D40" s="2089"/>
      <c r="E40" s="2089"/>
      <c r="F40" s="2089"/>
      <c r="G40" s="2089"/>
      <c r="H40" s="2089"/>
      <c r="I40" s="2089"/>
      <c r="J40" s="2089"/>
      <c r="K40" s="1027"/>
    </row>
    <row r="41" spans="2:11">
      <c r="B41" s="1027"/>
      <c r="C41" s="1734"/>
      <c r="D41" s="1734"/>
      <c r="E41" s="1734"/>
      <c r="F41" s="1734"/>
      <c r="G41" s="1734"/>
      <c r="H41" s="1734"/>
      <c r="I41" s="1734"/>
      <c r="J41" s="1734"/>
      <c r="K41" s="1027"/>
    </row>
    <row r="42" spans="2:11" ht="15.75">
      <c r="B42" s="1027"/>
      <c r="C42" s="1065" t="s">
        <v>3790</v>
      </c>
      <c r="D42" s="1027"/>
      <c r="E42" s="1027"/>
      <c r="F42" s="1027"/>
      <c r="G42" s="1027"/>
      <c r="H42" s="1027"/>
      <c r="I42" s="1027"/>
      <c r="J42" s="1027"/>
      <c r="K42" s="1027"/>
    </row>
    <row r="43" spans="2:11" ht="15.75">
      <c r="B43" s="1027"/>
      <c r="C43" s="1066" t="s">
        <v>3791</v>
      </c>
      <c r="D43" s="1027"/>
      <c r="E43" s="1027"/>
      <c r="F43" s="1027"/>
      <c r="G43" s="1027"/>
      <c r="H43" s="1027"/>
      <c r="I43" s="1027"/>
      <c r="J43" s="1027"/>
      <c r="K43" s="1027"/>
    </row>
    <row r="44" spans="2:11" ht="12.75" customHeight="1">
      <c r="B44" s="1027"/>
      <c r="C44" s="2090" t="str">
        <f>HYPERLINK("https://tools.usps.com/zip-code-lookup.htm?byaddress", "USPS Lookup to verify the Address, City, and Zip Code.")</f>
        <v>USPS Lookup to verify the Address, City, and Zip Code.</v>
      </c>
      <c r="D44" s="2090"/>
      <c r="E44" s="1027"/>
      <c r="F44" s="1027"/>
      <c r="G44" s="1027"/>
      <c r="H44" s="1027"/>
      <c r="I44" s="1027"/>
      <c r="J44" s="1027"/>
      <c r="K44" s="1027"/>
    </row>
    <row r="45" spans="2:11" ht="13.5" customHeight="1">
      <c r="B45" s="1027"/>
      <c r="C45" s="2091"/>
      <c r="D45" s="2091"/>
      <c r="E45" s="1027"/>
      <c r="F45" s="1027"/>
      <c r="G45" s="1027"/>
      <c r="H45" s="1027"/>
      <c r="I45" s="1027"/>
      <c r="J45" s="1027"/>
      <c r="K45" s="1027"/>
    </row>
    <row r="46" spans="2:11" ht="45">
      <c r="B46" s="1027"/>
      <c r="C46" s="742" t="s">
        <v>525</v>
      </c>
      <c r="D46" s="1746" t="s">
        <v>528</v>
      </c>
      <c r="E46" s="1746" t="s">
        <v>532</v>
      </c>
      <c r="F46" s="1746" t="s">
        <v>3792</v>
      </c>
      <c r="G46" s="1746" t="s">
        <v>3793</v>
      </c>
      <c r="H46" s="1746" t="s">
        <v>3794</v>
      </c>
      <c r="I46" s="1746" t="s">
        <v>3795</v>
      </c>
      <c r="J46" s="1746" t="s">
        <v>3796</v>
      </c>
      <c r="K46" s="1027"/>
    </row>
    <row r="47" spans="2:11" ht="15.75">
      <c r="B47" s="1027"/>
      <c r="C47" s="1300">
        <f>'3. Project Location'!D8</f>
        <v>0</v>
      </c>
      <c r="D47" s="1300">
        <f>'3. Project Location'!D11</f>
        <v>0</v>
      </c>
      <c r="E47" s="1300">
        <f>'3. Project Location'!F12</f>
        <v>0</v>
      </c>
      <c r="F47" s="1702"/>
      <c r="G47" s="1702"/>
      <c r="H47" s="1702"/>
      <c r="I47" s="1702"/>
      <c r="J47" s="1635"/>
      <c r="K47" s="1027"/>
    </row>
    <row r="48" spans="2:11" ht="15.75">
      <c r="B48" s="1027"/>
      <c r="C48" s="1710"/>
      <c r="D48" s="81"/>
      <c r="E48" s="169"/>
      <c r="F48" s="169"/>
      <c r="G48" s="169"/>
      <c r="H48" s="171"/>
      <c r="I48" s="81"/>
      <c r="J48" s="172"/>
      <c r="K48" s="1027"/>
    </row>
    <row r="49" spans="2:11" ht="15.75">
      <c r="B49" s="1027"/>
      <c r="C49" s="1710"/>
      <c r="D49" s="81"/>
      <c r="E49" s="169"/>
      <c r="F49" s="169"/>
      <c r="G49" s="169"/>
      <c r="H49" s="171"/>
      <c r="I49" s="81"/>
      <c r="J49" s="169"/>
      <c r="K49" s="1027"/>
    </row>
    <row r="50" spans="2:11" ht="15.75">
      <c r="B50" s="1027"/>
      <c r="C50" s="1710"/>
      <c r="D50" s="81"/>
      <c r="E50" s="169"/>
      <c r="F50" s="169"/>
      <c r="G50" s="169"/>
      <c r="H50" s="171"/>
      <c r="I50" s="81"/>
      <c r="J50" s="169"/>
      <c r="K50" s="1027"/>
    </row>
    <row r="51" spans="2:11" ht="15.75">
      <c r="B51" s="1027"/>
      <c r="C51" s="1710"/>
      <c r="D51" s="81"/>
      <c r="E51" s="169"/>
      <c r="F51" s="169"/>
      <c r="G51" s="169"/>
      <c r="H51" s="171"/>
      <c r="I51" s="81"/>
      <c r="J51" s="169"/>
      <c r="K51" s="1027"/>
    </row>
    <row r="52" spans="2:11" ht="15.75">
      <c r="B52" s="1027"/>
      <c r="C52" s="1710"/>
      <c r="D52" s="81"/>
      <c r="E52" s="169"/>
      <c r="F52" s="169"/>
      <c r="G52" s="169"/>
      <c r="H52" s="171"/>
      <c r="I52" s="81"/>
      <c r="J52" s="169"/>
      <c r="K52" s="1027"/>
    </row>
    <row r="53" spans="2:11" ht="15.75">
      <c r="B53" s="1027"/>
      <c r="C53" s="1710"/>
      <c r="D53" s="81"/>
      <c r="E53" s="169"/>
      <c r="F53" s="169"/>
      <c r="G53" s="169"/>
      <c r="H53" s="171"/>
      <c r="I53" s="81"/>
      <c r="J53" s="169"/>
      <c r="K53" s="1027"/>
    </row>
    <row r="54" spans="2:11" ht="15.75">
      <c r="B54" s="1027"/>
      <c r="C54" s="1710"/>
      <c r="D54" s="81"/>
      <c r="E54" s="169"/>
      <c r="F54" s="169"/>
      <c r="G54" s="169"/>
      <c r="H54" s="171"/>
      <c r="I54" s="81"/>
      <c r="J54" s="169"/>
      <c r="K54" s="1027"/>
    </row>
    <row r="55" spans="2:11" ht="15.75">
      <c r="B55" s="1027"/>
      <c r="C55" s="1710"/>
      <c r="D55" s="81"/>
      <c r="E55" s="169"/>
      <c r="F55" s="169"/>
      <c r="G55" s="169"/>
      <c r="H55" s="171"/>
      <c r="I55" s="81"/>
      <c r="J55" s="169"/>
      <c r="K55" s="1027"/>
    </row>
    <row r="56" spans="2:11" ht="15.75">
      <c r="B56" s="1027"/>
      <c r="C56" s="1710"/>
      <c r="D56" s="81"/>
      <c r="E56" s="169"/>
      <c r="F56" s="169"/>
      <c r="G56" s="169"/>
      <c r="H56" s="171"/>
      <c r="I56" s="81"/>
      <c r="J56" s="169"/>
      <c r="K56" s="1027"/>
    </row>
    <row r="57" spans="2:11" ht="15.75">
      <c r="B57" s="1027"/>
      <c r="C57" s="1710"/>
      <c r="D57" s="81"/>
      <c r="E57" s="169"/>
      <c r="F57" s="169"/>
      <c r="G57" s="169"/>
      <c r="H57" s="171"/>
      <c r="I57" s="81"/>
      <c r="J57" s="169"/>
      <c r="K57" s="1027"/>
    </row>
    <row r="58" spans="2:11" ht="15.75">
      <c r="B58" s="1027"/>
      <c r="C58" s="1710"/>
      <c r="D58" s="81"/>
      <c r="E58" s="169"/>
      <c r="F58" s="169"/>
      <c r="G58" s="169"/>
      <c r="H58" s="171"/>
      <c r="I58" s="81"/>
      <c r="J58" s="169"/>
      <c r="K58" s="1027"/>
    </row>
    <row r="59" spans="2:11" ht="15.75">
      <c r="B59" s="1027"/>
      <c r="C59" s="1710"/>
      <c r="D59" s="81"/>
      <c r="E59" s="169"/>
      <c r="F59" s="169"/>
      <c r="G59" s="169"/>
      <c r="H59" s="171"/>
      <c r="I59" s="81"/>
      <c r="J59" s="169"/>
      <c r="K59" s="1027"/>
    </row>
    <row r="60" spans="2:11" ht="15.75">
      <c r="B60" s="1027"/>
      <c r="C60" s="1710"/>
      <c r="D60" s="81"/>
      <c r="E60" s="169"/>
      <c r="F60" s="169"/>
      <c r="G60" s="169"/>
      <c r="H60" s="171"/>
      <c r="I60" s="81"/>
      <c r="J60" s="169"/>
      <c r="K60" s="1027"/>
    </row>
    <row r="61" spans="2:11" ht="15.75">
      <c r="B61" s="1027"/>
      <c r="C61" s="1710"/>
      <c r="D61" s="81"/>
      <c r="E61" s="169"/>
      <c r="F61" s="169"/>
      <c r="G61" s="169"/>
      <c r="H61" s="171"/>
      <c r="I61" s="81"/>
      <c r="J61" s="169"/>
      <c r="K61" s="1027"/>
    </row>
    <row r="62" spans="2:11" ht="15.75">
      <c r="B62" s="1027"/>
      <c r="C62" s="1710"/>
      <c r="D62" s="81"/>
      <c r="E62" s="169"/>
      <c r="F62" s="169"/>
      <c r="G62" s="169"/>
      <c r="H62" s="171"/>
      <c r="I62" s="81"/>
      <c r="J62" s="169"/>
      <c r="K62" s="1027"/>
    </row>
    <row r="63" spans="2:11" ht="15.75">
      <c r="B63" s="1027"/>
      <c r="C63" s="1710"/>
      <c r="D63" s="81"/>
      <c r="E63" s="169"/>
      <c r="F63" s="169"/>
      <c r="G63" s="169"/>
      <c r="H63" s="171"/>
      <c r="I63" s="81"/>
      <c r="J63" s="169"/>
      <c r="K63" s="1027"/>
    </row>
    <row r="64" spans="2:11" ht="15.75">
      <c r="B64" s="1027"/>
      <c r="C64" s="1710"/>
      <c r="D64" s="81"/>
      <c r="E64" s="169"/>
      <c r="F64" s="169"/>
      <c r="G64" s="169"/>
      <c r="H64" s="171"/>
      <c r="I64" s="81"/>
      <c r="J64" s="169"/>
      <c r="K64" s="1027"/>
    </row>
    <row r="65" spans="2:11" ht="15.75">
      <c r="B65" s="1027"/>
      <c r="C65" s="1710"/>
      <c r="D65" s="81"/>
      <c r="E65" s="169"/>
      <c r="F65" s="169"/>
      <c r="G65" s="169"/>
      <c r="H65" s="171"/>
      <c r="I65" s="81"/>
      <c r="J65" s="169"/>
      <c r="K65" s="1027"/>
    </row>
    <row r="66" spans="2:11" ht="15.75">
      <c r="B66" s="1027"/>
      <c r="C66" s="1710"/>
      <c r="D66" s="81"/>
      <c r="E66" s="169"/>
      <c r="F66" s="169"/>
      <c r="G66" s="169"/>
      <c r="H66" s="171"/>
      <c r="I66" s="81"/>
      <c r="J66" s="169"/>
      <c r="K66" s="1027"/>
    </row>
    <row r="67" spans="2:11" ht="15.75">
      <c r="B67" s="1027"/>
      <c r="C67" s="1710"/>
      <c r="D67" s="81"/>
      <c r="E67" s="169"/>
      <c r="F67" s="169"/>
      <c r="G67" s="169"/>
      <c r="H67" s="171"/>
      <c r="I67" s="81"/>
      <c r="J67" s="169"/>
      <c r="K67" s="1027"/>
    </row>
    <row r="68" spans="2:11" ht="15.75">
      <c r="B68" s="1027"/>
      <c r="C68" s="1710"/>
      <c r="D68" s="81"/>
      <c r="E68" s="169"/>
      <c r="F68" s="169"/>
      <c r="G68" s="169"/>
      <c r="H68" s="171"/>
      <c r="I68" s="81"/>
      <c r="J68" s="169"/>
      <c r="K68" s="1027"/>
    </row>
    <row r="69" spans="2:11" ht="15.75">
      <c r="B69" s="1027"/>
      <c r="C69" s="1710"/>
      <c r="D69" s="81"/>
      <c r="E69" s="169"/>
      <c r="F69" s="169"/>
      <c r="G69" s="169"/>
      <c r="H69" s="171"/>
      <c r="I69" s="81"/>
      <c r="J69" s="169"/>
      <c r="K69" s="1027"/>
    </row>
    <row r="70" spans="2:11" ht="15.75">
      <c r="B70" s="1027"/>
      <c r="C70" s="1710"/>
      <c r="D70" s="81"/>
      <c r="E70" s="169"/>
      <c r="F70" s="169"/>
      <c r="G70" s="169"/>
      <c r="H70" s="171"/>
      <c r="I70" s="81"/>
      <c r="J70" s="169"/>
      <c r="K70" s="1027"/>
    </row>
    <row r="71" spans="2:11" ht="15.75">
      <c r="B71" s="1027"/>
      <c r="C71" s="1710"/>
      <c r="D71" s="81"/>
      <c r="E71" s="169"/>
      <c r="F71" s="169"/>
      <c r="G71" s="169"/>
      <c r="H71" s="171"/>
      <c r="I71" s="81"/>
      <c r="J71" s="169"/>
      <c r="K71" s="1027"/>
    </row>
    <row r="72" spans="2:11" ht="15.75">
      <c r="B72" s="1027"/>
      <c r="C72" s="1710"/>
      <c r="D72" s="81"/>
      <c r="E72" s="169"/>
      <c r="F72" s="169"/>
      <c r="G72" s="169"/>
      <c r="H72" s="171"/>
      <c r="I72" s="81"/>
      <c r="J72" s="169"/>
      <c r="K72" s="1027"/>
    </row>
    <row r="73" spans="2:11" ht="15.75">
      <c r="B73" s="1027"/>
      <c r="C73" s="1710"/>
      <c r="D73" s="81"/>
      <c r="E73" s="169"/>
      <c r="F73" s="169"/>
      <c r="G73" s="169"/>
      <c r="H73" s="171"/>
      <c r="I73" s="81"/>
      <c r="J73" s="169"/>
      <c r="K73" s="1027"/>
    </row>
    <row r="74" spans="2:11" ht="15.75">
      <c r="B74" s="1027"/>
      <c r="C74" s="1710"/>
      <c r="D74" s="81"/>
      <c r="E74" s="169"/>
      <c r="F74" s="169"/>
      <c r="G74" s="169"/>
      <c r="H74" s="171"/>
      <c r="I74" s="81"/>
      <c r="J74" s="169"/>
      <c r="K74" s="1027"/>
    </row>
    <row r="75" spans="2:11" ht="15.75">
      <c r="B75" s="1027"/>
      <c r="C75" s="1710"/>
      <c r="D75" s="81"/>
      <c r="E75" s="169"/>
      <c r="F75" s="169"/>
      <c r="G75" s="169"/>
      <c r="H75" s="171"/>
      <c r="I75" s="81"/>
      <c r="J75" s="169"/>
      <c r="K75" s="1027"/>
    </row>
    <row r="76" spans="2:11" ht="15.75">
      <c r="B76" s="1027"/>
      <c r="C76" s="1710"/>
      <c r="D76" s="81"/>
      <c r="E76" s="169"/>
      <c r="F76" s="169"/>
      <c r="G76" s="169"/>
      <c r="H76" s="171"/>
      <c r="I76" s="81"/>
      <c r="J76" s="169"/>
      <c r="K76" s="1027"/>
    </row>
    <row r="77" spans="2:11" ht="15.75">
      <c r="B77" s="1027"/>
      <c r="C77" s="1710"/>
      <c r="D77" s="81"/>
      <c r="E77" s="169"/>
      <c r="F77" s="169"/>
      <c r="G77" s="169"/>
      <c r="H77" s="171"/>
      <c r="I77" s="81"/>
      <c r="J77" s="169"/>
      <c r="K77" s="1027"/>
    </row>
    <row r="78" spans="2:11" ht="15.75">
      <c r="B78" s="1027"/>
      <c r="C78" s="1710"/>
      <c r="D78" s="81"/>
      <c r="E78" s="169"/>
      <c r="F78" s="169"/>
      <c r="G78" s="169"/>
      <c r="H78" s="171"/>
      <c r="I78" s="81"/>
      <c r="J78" s="169"/>
      <c r="K78" s="1027"/>
    </row>
    <row r="79" spans="2:11" ht="15.75">
      <c r="B79" s="1027"/>
      <c r="C79" s="1710"/>
      <c r="D79" s="81"/>
      <c r="E79" s="169"/>
      <c r="F79" s="169"/>
      <c r="G79" s="169"/>
      <c r="H79" s="171"/>
      <c r="I79" s="81"/>
      <c r="J79" s="169"/>
      <c r="K79" s="1027"/>
    </row>
    <row r="80" spans="2:11" ht="15.75">
      <c r="B80" s="1027"/>
      <c r="C80" s="1710"/>
      <c r="D80" s="81"/>
      <c r="E80" s="169"/>
      <c r="F80" s="169"/>
      <c r="G80" s="169"/>
      <c r="H80" s="171"/>
      <c r="I80" s="81"/>
      <c r="J80" s="169"/>
      <c r="K80" s="1027"/>
    </row>
    <row r="81" spans="2:11">
      <c r="B81" s="1027"/>
      <c r="C81" s="1027"/>
      <c r="D81" s="1067"/>
      <c r="E81" s="1027"/>
      <c r="F81" s="1027"/>
      <c r="G81" s="1027"/>
      <c r="H81" s="1027"/>
      <c r="I81" s="1027"/>
      <c r="J81" s="1027"/>
      <c r="K81" s="1027"/>
    </row>
    <row r="82" spans="2:11" ht="18.75">
      <c r="B82" s="8" t="s">
        <v>1055</v>
      </c>
      <c r="C82" s="17"/>
      <c r="D82" s="17"/>
      <c r="F82" s="970"/>
      <c r="G82" s="970"/>
      <c r="H82" s="970"/>
    </row>
    <row r="83" spans="2:11">
      <c r="B83" s="1027"/>
      <c r="C83" s="1030" t="s">
        <v>3797</v>
      </c>
      <c r="D83" s="1027"/>
      <c r="E83" s="1027"/>
      <c r="F83" s="1027"/>
      <c r="G83" s="1027"/>
      <c r="H83" s="1027"/>
      <c r="I83" s="1027"/>
      <c r="J83" s="1027"/>
      <c r="K83" s="1027"/>
    </row>
    <row r="84" spans="2:11">
      <c r="B84" s="1027"/>
      <c r="C84" s="1998"/>
      <c r="D84" s="1999"/>
      <c r="E84" s="1999"/>
      <c r="F84" s="2000"/>
      <c r="G84" s="1027"/>
      <c r="H84" s="1027"/>
      <c r="I84" s="1027"/>
      <c r="J84" s="1027"/>
      <c r="K84" s="1027"/>
    </row>
    <row r="85" spans="2:11">
      <c r="B85" s="1027"/>
      <c r="C85" s="2001"/>
      <c r="D85" s="2002"/>
      <c r="E85" s="2002"/>
      <c r="F85" s="2003"/>
      <c r="G85" s="1027"/>
      <c r="H85" s="1027"/>
      <c r="I85" s="1027"/>
      <c r="J85" s="1027"/>
      <c r="K85" s="1027"/>
    </row>
    <row r="86" spans="2:11">
      <c r="B86" s="1027"/>
      <c r="C86" s="2001"/>
      <c r="D86" s="2002"/>
      <c r="E86" s="2002"/>
      <c r="F86" s="2003"/>
      <c r="G86" s="1027"/>
      <c r="H86" s="1027"/>
      <c r="I86" s="1027"/>
      <c r="J86" s="1027"/>
      <c r="K86" s="1027"/>
    </row>
    <row r="87" spans="2:11">
      <c r="B87" s="1027"/>
      <c r="C87" s="2001"/>
      <c r="D87" s="2002"/>
      <c r="E87" s="2002"/>
      <c r="F87" s="2003"/>
      <c r="G87" s="1027"/>
      <c r="H87" s="1027"/>
      <c r="I87" s="1027"/>
      <c r="J87" s="1027"/>
      <c r="K87" s="1027"/>
    </row>
    <row r="88" spans="2:11">
      <c r="B88" s="1027"/>
      <c r="C88" s="2001"/>
      <c r="D88" s="2002"/>
      <c r="E88" s="2002"/>
      <c r="F88" s="2003"/>
      <c r="G88" s="1027"/>
      <c r="H88" s="1027"/>
      <c r="I88" s="1027"/>
      <c r="J88" s="1027"/>
      <c r="K88" s="1027"/>
    </row>
    <row r="89" spans="2:11">
      <c r="B89" s="1027"/>
      <c r="C89" s="2001"/>
      <c r="D89" s="2002"/>
      <c r="E89" s="2002"/>
      <c r="F89" s="2003"/>
      <c r="G89" s="1027"/>
      <c r="H89" s="1027"/>
      <c r="I89" s="1027"/>
      <c r="J89" s="1027"/>
      <c r="K89" s="1027"/>
    </row>
    <row r="90" spans="2:11">
      <c r="B90" s="1027"/>
      <c r="C90" s="2001"/>
      <c r="D90" s="2002"/>
      <c r="E90" s="2002"/>
      <c r="F90" s="2003"/>
      <c r="G90" s="1027"/>
      <c r="H90" s="1027"/>
      <c r="I90" s="1027"/>
      <c r="J90" s="1027"/>
      <c r="K90" s="1027"/>
    </row>
    <row r="91" spans="2:11">
      <c r="B91" s="1027"/>
      <c r="C91" s="2004"/>
      <c r="D91" s="2005"/>
      <c r="E91" s="2005"/>
      <c r="F91" s="2006"/>
      <c r="G91" s="1027"/>
      <c r="H91" s="1027"/>
      <c r="I91" s="1027"/>
      <c r="J91" s="1027"/>
      <c r="K91" s="1027"/>
    </row>
    <row r="92" spans="2:11">
      <c r="B92" s="1027"/>
      <c r="C92" s="1027"/>
      <c r="D92" s="1027"/>
      <c r="E92" s="1027"/>
      <c r="F92" s="1027"/>
      <c r="G92" s="1027"/>
      <c r="H92" s="1027"/>
      <c r="I92" s="1027"/>
      <c r="J92" s="1027"/>
      <c r="K92" s="1027"/>
    </row>
    <row r="93" spans="2:11" ht="15.75">
      <c r="D93" s="3"/>
      <c r="F93" s="156"/>
      <c r="K93" s="62"/>
    </row>
    <row r="94" spans="2:11">
      <c r="B94" s="16" t="s">
        <v>3637</v>
      </c>
      <c r="C94" s="7"/>
      <c r="D94" s="7"/>
      <c r="E94" s="7"/>
      <c r="F94" s="7"/>
      <c r="G94" s="7"/>
      <c r="H94" s="7"/>
      <c r="I94" s="7"/>
      <c r="J94" s="7"/>
    </row>
    <row r="95" spans="2:11" ht="18.75">
      <c r="B95" s="8" t="s">
        <v>3638</v>
      </c>
      <c r="D95" s="3"/>
      <c r="F95" s="970"/>
      <c r="G95" s="970"/>
      <c r="H95" s="970"/>
    </row>
    <row r="96" spans="2:11">
      <c r="B96" s="1027"/>
      <c r="C96" s="1027"/>
      <c r="D96" s="1027"/>
      <c r="E96" s="1027"/>
      <c r="F96" s="1027"/>
      <c r="G96" s="1027"/>
      <c r="H96" s="1027"/>
      <c r="I96" s="1027"/>
      <c r="J96" s="1027"/>
      <c r="K96" s="1027"/>
    </row>
    <row r="97" spans="2:11">
      <c r="B97" s="1027"/>
      <c r="C97" s="2022"/>
      <c r="D97" s="2022"/>
      <c r="E97" s="2022"/>
      <c r="F97" s="2022"/>
      <c r="G97" s="1027"/>
      <c r="H97" s="1027"/>
      <c r="I97" s="1027"/>
      <c r="J97" s="1027"/>
      <c r="K97" s="1027"/>
    </row>
    <row r="98" spans="2:11">
      <c r="B98" s="1027"/>
      <c r="C98" s="2022"/>
      <c r="D98" s="2022"/>
      <c r="E98" s="2022"/>
      <c r="F98" s="2022"/>
      <c r="G98" s="1027"/>
      <c r="H98" s="1027"/>
      <c r="I98" s="1027"/>
      <c r="J98" s="1027"/>
      <c r="K98" s="1027"/>
    </row>
    <row r="99" spans="2:11">
      <c r="B99" s="1027"/>
      <c r="C99" s="2022"/>
      <c r="D99" s="2022"/>
      <c r="E99" s="2022"/>
      <c r="F99" s="2022"/>
      <c r="G99" s="1027"/>
      <c r="H99" s="1027"/>
      <c r="I99" s="1027"/>
      <c r="J99" s="1027"/>
      <c r="K99" s="1027"/>
    </row>
    <row r="100" spans="2:11">
      <c r="B100" s="1027"/>
      <c r="C100" s="2022"/>
      <c r="D100" s="2022"/>
      <c r="E100" s="2022"/>
      <c r="F100" s="2022"/>
      <c r="G100" s="1027"/>
      <c r="H100" s="1027"/>
      <c r="I100" s="1027"/>
      <c r="J100" s="1027"/>
      <c r="K100" s="1027"/>
    </row>
    <row r="101" spans="2:11">
      <c r="B101" s="1027"/>
      <c r="C101" s="1027"/>
      <c r="D101" s="1027"/>
      <c r="E101" s="1027"/>
      <c r="F101" s="1027"/>
      <c r="G101" s="1027"/>
      <c r="H101" s="1027"/>
      <c r="I101" s="1027"/>
      <c r="J101" s="1027"/>
      <c r="K101" s="1027"/>
    </row>
    <row r="102" spans="2:11" ht="15.75">
      <c r="D102" s="168"/>
      <c r="F102" s="166"/>
    </row>
    <row r="103" spans="2:11" ht="15.75">
      <c r="D103" s="173"/>
      <c r="E103" s="173"/>
      <c r="F103" s="166"/>
    </row>
  </sheetData>
  <sheetProtection algorithmName="SHA-512" hashValue="Qag3msHcA+hJbELcYOe0eOxz70QgjXbExlvMOgtNRLSZ77bg541e7YvpPxlZEDUpsXBKrP+uGey87hDTFHWdqQ==" saltValue="BDqB/mmglKlgkQv5Dqkv8Q==" spinCount="100000" sheet="1" objects="1" scenarios="1" selectLockedCells="1"/>
  <mergeCells count="8">
    <mergeCell ref="D6:H6"/>
    <mergeCell ref="D11:H11"/>
    <mergeCell ref="C97:F100"/>
    <mergeCell ref="C84:F91"/>
    <mergeCell ref="D17:F17"/>
    <mergeCell ref="D9:H9"/>
    <mergeCell ref="C37:J40"/>
    <mergeCell ref="C44:D45"/>
  </mergeCells>
  <phoneticPr fontId="12" type="noConversion"/>
  <conditionalFormatting sqref="D21">
    <cfRule type="expression" dxfId="330" priority="41">
      <formula>$D$20="Yes"</formula>
    </cfRule>
  </conditionalFormatting>
  <conditionalFormatting sqref="D25">
    <cfRule type="expression" dxfId="329" priority="40">
      <formula>$D$23="Yes"</formula>
    </cfRule>
  </conditionalFormatting>
  <conditionalFormatting sqref="D27">
    <cfRule type="expression" dxfId="328" priority="38">
      <formula>$D$23="No"</formula>
    </cfRule>
  </conditionalFormatting>
  <conditionalFormatting sqref="G25">
    <cfRule type="expression" dxfId="326" priority="39">
      <formula>$D$23="Yes"</formula>
    </cfRule>
  </conditionalFormatting>
  <conditionalFormatting sqref="G27">
    <cfRule type="expression" dxfId="325" priority="37">
      <formula>$D$23="No"</formula>
    </cfRule>
  </conditionalFormatting>
  <dataValidations count="6">
    <dataValidation type="list" allowBlank="1" showInputMessage="1" showErrorMessage="1" sqref="D23 D20 D35" xr:uid="{87A8DFD9-BE79-42E2-9EFC-5E54BFB2B13D}">
      <formula1>YesNo</formula1>
    </dataValidation>
    <dataValidation type="list" allowBlank="1" showInputMessage="1" showErrorMessage="1" sqref="I47:I80" xr:uid="{0897125A-E995-4D75-804E-E0CFF41F819D}">
      <formula1>TypeOfControl</formula1>
    </dataValidation>
    <dataValidation type="custom" allowBlank="1" showInputMessage="1" showErrorMessage="1" sqref="F1 C44" xr:uid="{FC0A6955-2F2A-4BCC-ADB9-6AB4E398A8E7}">
      <formula1>"&lt;0&gt;0"</formula1>
    </dataValidation>
    <dataValidation type="custom" allowBlank="1" showInputMessage="1" showErrorMessage="1" sqref="D17" xr:uid="{6519AF26-E1E2-45AD-AEAA-8E6C4A540404}">
      <formula1>ISNUMBER(MATCH("*@*.?*",D17,0))</formula1>
    </dataValidation>
    <dataValidation type="custom" allowBlank="1" showInputMessage="1" showErrorMessage="1" errorTitle="Numeric Value Error" error="Please enter numeric values only." sqref="D34 F47:G80" xr:uid="{3A801808-ABBD-4A00-B0EA-B36991057975}">
      <formula1>ISNUMBER(D34)</formula1>
    </dataValidation>
    <dataValidation type="custom" allowBlank="1" showInputMessage="1" showErrorMessage="1" errorTitle="Phone Number Error" error="Please enter phone number with numeric values only." sqref="D16" xr:uid="{6EF6DFBE-7039-4B69-A7A6-43FB6E7741C6}">
      <formula1>ISNUMBER(D16)</formula1>
    </dataValidation>
  </dataValidations>
  <pageMargins left="0.7" right="0.7" top="0.75" bottom="0.75" header="0.3" footer="0.3"/>
  <pageSetup scale="40" fitToHeight="0" orientation="portrait" r:id="rId1"/>
  <headerFooter>
    <oddHeader>&amp;L&amp;G</oddHeader>
    <oddFooter>&amp;CWHEDA MULTIFAMILY APPLICATION&amp;R&amp;P of &amp;N</oddFooter>
  </headerFooter>
  <colBreaks count="1" manualBreakCount="1">
    <brk id="11" min="3" max="87"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3" id="{89229EDF-C603-428C-ABA2-11D0D288815D}">
            <xm:f>IF('3. Project Location'!$H$6&gt;1,TRUE,FALSE)</xm:f>
            <x14:dxf>
              <font>
                <color theme="1"/>
              </font>
              <fill>
                <patternFill patternType="solid">
                  <bgColor rgb="FF92D050"/>
                </patternFill>
              </fill>
            </x14:dxf>
          </x14:cfRule>
          <xm:sqref>C48:J48</xm:sqref>
        </x14:conditionalFormatting>
        <x14:conditionalFormatting xmlns:xm="http://schemas.microsoft.com/office/excel/2006/main">
          <x14:cfRule type="expression" priority="34" id="{952A1C09-20A8-4F61-9A12-B59570BD7856}">
            <xm:f>IF('3. Project Location'!$H$6&gt;2,TRUE,FALSE)</xm:f>
            <x14:dxf>
              <font>
                <color theme="1"/>
              </font>
              <fill>
                <patternFill patternType="solid">
                  <bgColor rgb="FF92D050"/>
                </patternFill>
              </fill>
            </x14:dxf>
          </x14:cfRule>
          <xm:sqref>C49:J49</xm:sqref>
        </x14:conditionalFormatting>
        <x14:conditionalFormatting xmlns:xm="http://schemas.microsoft.com/office/excel/2006/main">
          <x14:cfRule type="expression" priority="32" id="{03A08FB2-3B37-4B2A-B86E-38365F5DD8D6}">
            <xm:f>IF('3. Project Location'!$H$6&gt;3,TRUE,FALSE)</xm:f>
            <x14:dxf>
              <font>
                <color theme="1"/>
              </font>
              <fill>
                <patternFill patternType="solid">
                  <bgColor rgb="FF92D050"/>
                </patternFill>
              </fill>
            </x14:dxf>
          </x14:cfRule>
          <xm:sqref>C50:J50</xm:sqref>
        </x14:conditionalFormatting>
        <x14:conditionalFormatting xmlns:xm="http://schemas.microsoft.com/office/excel/2006/main">
          <x14:cfRule type="expression" priority="31" id="{7A2C714E-58A9-4CCA-B354-0A494576A584}">
            <xm:f>IF('3. Project Location'!$H$6&gt;4,TRUE,FALSE)</xm:f>
            <x14:dxf>
              <font>
                <color theme="1"/>
              </font>
              <fill>
                <patternFill patternType="solid">
                  <bgColor rgb="FF92D050"/>
                </patternFill>
              </fill>
            </x14:dxf>
          </x14:cfRule>
          <xm:sqref>C51:J51</xm:sqref>
        </x14:conditionalFormatting>
        <x14:conditionalFormatting xmlns:xm="http://schemas.microsoft.com/office/excel/2006/main">
          <x14:cfRule type="expression" priority="30" id="{8D695A81-98F4-4EED-8A13-952D5508AD37}">
            <xm:f>IF('3. Project Location'!$H$6&gt;5,TRUE,FALSE)</xm:f>
            <x14:dxf>
              <font>
                <color theme="1"/>
              </font>
              <fill>
                <patternFill patternType="solid">
                  <bgColor rgb="FF92D050"/>
                </patternFill>
              </fill>
            </x14:dxf>
          </x14:cfRule>
          <xm:sqref>C52:J52</xm:sqref>
        </x14:conditionalFormatting>
        <x14:conditionalFormatting xmlns:xm="http://schemas.microsoft.com/office/excel/2006/main">
          <x14:cfRule type="expression" priority="29" id="{2936EBC8-037A-422E-8431-B4D086E0AC87}">
            <xm:f>IF('3. Project Location'!$H$6&gt;6,TRUE,FALSE)</xm:f>
            <x14:dxf>
              <font>
                <color theme="1"/>
              </font>
              <fill>
                <patternFill patternType="solid">
                  <bgColor rgb="FF92D050"/>
                </patternFill>
              </fill>
            </x14:dxf>
          </x14:cfRule>
          <xm:sqref>C53:J53</xm:sqref>
        </x14:conditionalFormatting>
        <x14:conditionalFormatting xmlns:xm="http://schemas.microsoft.com/office/excel/2006/main">
          <x14:cfRule type="expression" priority="28" id="{3F3C722C-C117-4720-8453-FAE79476DF39}">
            <xm:f>IF('3. Project Location'!$H$6&gt;7,TRUE,FALSE)</xm:f>
            <x14:dxf>
              <font>
                <color theme="1"/>
              </font>
              <fill>
                <patternFill patternType="solid">
                  <bgColor rgb="FF92D050"/>
                </patternFill>
              </fill>
            </x14:dxf>
          </x14:cfRule>
          <xm:sqref>C54:J54</xm:sqref>
        </x14:conditionalFormatting>
        <x14:conditionalFormatting xmlns:xm="http://schemas.microsoft.com/office/excel/2006/main">
          <x14:cfRule type="expression" priority="27" id="{2589DB97-EFC6-4256-80F7-98EE09A49FE1}">
            <xm:f>IF('3. Project Location'!$H$6&gt;8,TRUE,FALSE)</xm:f>
            <x14:dxf>
              <font>
                <color theme="1"/>
              </font>
              <fill>
                <patternFill patternType="solid">
                  <bgColor rgb="FF92D050"/>
                </patternFill>
              </fill>
            </x14:dxf>
          </x14:cfRule>
          <xm:sqref>C55:J55</xm:sqref>
        </x14:conditionalFormatting>
        <x14:conditionalFormatting xmlns:xm="http://schemas.microsoft.com/office/excel/2006/main">
          <x14:cfRule type="expression" priority="26" id="{F2942133-2A64-43A1-B778-EE3CECA85F24}">
            <xm:f>IF('3. Project Location'!$H$6&gt;9,TRUE,FALSE)</xm:f>
            <x14:dxf>
              <font>
                <color theme="1"/>
              </font>
              <fill>
                <patternFill patternType="solid">
                  <bgColor rgb="FF92D050"/>
                </patternFill>
              </fill>
            </x14:dxf>
          </x14:cfRule>
          <xm:sqref>C56:J56</xm:sqref>
        </x14:conditionalFormatting>
        <x14:conditionalFormatting xmlns:xm="http://schemas.microsoft.com/office/excel/2006/main">
          <x14:cfRule type="expression" priority="24" id="{BD5B9074-D19E-4557-B3E8-681C80BFEE09}">
            <xm:f>IF('3. Project Location'!$H$6&gt;10,TRUE,FALSE)</xm:f>
            <x14:dxf>
              <font>
                <color theme="1"/>
              </font>
              <fill>
                <patternFill patternType="solid">
                  <bgColor rgb="FF92D050"/>
                </patternFill>
              </fill>
            </x14:dxf>
          </x14:cfRule>
          <xm:sqref>C57:J57</xm:sqref>
        </x14:conditionalFormatting>
        <x14:conditionalFormatting xmlns:xm="http://schemas.microsoft.com/office/excel/2006/main">
          <x14:cfRule type="expression" priority="23" id="{BA683C03-7430-4E8F-8C22-D36659CD1D46}">
            <xm:f>IF('3. Project Location'!$H$6&gt;11,TRUE,FALSE)</xm:f>
            <x14:dxf>
              <font>
                <color theme="1"/>
              </font>
              <fill>
                <patternFill patternType="solid">
                  <bgColor rgb="FF92D050"/>
                </patternFill>
              </fill>
            </x14:dxf>
          </x14:cfRule>
          <xm:sqref>C58:J58</xm:sqref>
        </x14:conditionalFormatting>
        <x14:conditionalFormatting xmlns:xm="http://schemas.microsoft.com/office/excel/2006/main">
          <x14:cfRule type="expression" priority="22" id="{3C0FBD25-7303-4E84-ACB2-C61AA62E716A}">
            <xm:f>IF('3. Project Location'!$H$6&gt;12,TRUE,FALSE)</xm:f>
            <x14:dxf>
              <font>
                <color theme="1"/>
              </font>
              <fill>
                <patternFill patternType="solid">
                  <bgColor rgb="FF92D050"/>
                </patternFill>
              </fill>
            </x14:dxf>
          </x14:cfRule>
          <xm:sqref>C59:J59</xm:sqref>
        </x14:conditionalFormatting>
        <x14:conditionalFormatting xmlns:xm="http://schemas.microsoft.com/office/excel/2006/main">
          <x14:cfRule type="expression" priority="21" id="{C7C4FAE1-470E-4F80-85E1-1869B34983EB}">
            <xm:f>IF('3. Project Location'!$H$6&gt;13,TRUE,FALSE)</xm:f>
            <x14:dxf>
              <font>
                <color theme="1"/>
              </font>
              <fill>
                <patternFill patternType="solid">
                  <bgColor rgb="FF92D050"/>
                </patternFill>
              </fill>
            </x14:dxf>
          </x14:cfRule>
          <xm:sqref>C60:J60</xm:sqref>
        </x14:conditionalFormatting>
        <x14:conditionalFormatting xmlns:xm="http://schemas.microsoft.com/office/excel/2006/main">
          <x14:cfRule type="expression" priority="20" id="{B21CF67D-0B84-46CC-B235-A67649BFE8B4}">
            <xm:f>IF('3. Project Location'!$H$6&gt;14,TRUE,FALSE)</xm:f>
            <x14:dxf>
              <font>
                <color theme="1"/>
              </font>
              <fill>
                <patternFill patternType="solid">
                  <bgColor rgb="FF92D050"/>
                </patternFill>
              </fill>
            </x14:dxf>
          </x14:cfRule>
          <xm:sqref>C61:J61</xm:sqref>
        </x14:conditionalFormatting>
        <x14:conditionalFormatting xmlns:xm="http://schemas.microsoft.com/office/excel/2006/main">
          <x14:cfRule type="expression" priority="19" id="{0569E9C9-4E0D-444F-9E64-5758A331E187}">
            <xm:f>IF('3. Project Location'!$H$6&gt;15,TRUE,FALSE)</xm:f>
            <x14:dxf>
              <font>
                <color theme="1"/>
              </font>
              <fill>
                <patternFill patternType="solid">
                  <bgColor rgb="FF92D050"/>
                </patternFill>
              </fill>
            </x14:dxf>
          </x14:cfRule>
          <xm:sqref>C62:J62</xm:sqref>
        </x14:conditionalFormatting>
        <x14:conditionalFormatting xmlns:xm="http://schemas.microsoft.com/office/excel/2006/main">
          <x14:cfRule type="expression" priority="18" id="{0C47038A-4759-4C51-AD4B-B6EA286AFC9F}">
            <xm:f>IF('3. Project Location'!$H$6&gt;16,TRUE,FALSE)</xm:f>
            <x14:dxf>
              <font>
                <color theme="1"/>
              </font>
              <fill>
                <patternFill patternType="solid">
                  <bgColor rgb="FF92D050"/>
                </patternFill>
              </fill>
            </x14:dxf>
          </x14:cfRule>
          <xm:sqref>C63:J63</xm:sqref>
        </x14:conditionalFormatting>
        <x14:conditionalFormatting xmlns:xm="http://schemas.microsoft.com/office/excel/2006/main">
          <x14:cfRule type="expression" priority="17" id="{A3C96F3D-087C-44D6-A609-7EE643380E6A}">
            <xm:f>IF('3. Project Location'!$H$6&gt;17,TRUE,FALSE)</xm:f>
            <x14:dxf>
              <font>
                <color theme="1"/>
              </font>
              <fill>
                <patternFill patternType="solid">
                  <bgColor rgb="FF92D050"/>
                </patternFill>
              </fill>
            </x14:dxf>
          </x14:cfRule>
          <xm:sqref>C64:J64</xm:sqref>
        </x14:conditionalFormatting>
        <x14:conditionalFormatting xmlns:xm="http://schemas.microsoft.com/office/excel/2006/main">
          <x14:cfRule type="expression" priority="16" id="{A25A5529-51B9-420F-833C-BC6B904A8EA4}">
            <xm:f>IF('3. Project Location'!$H$6&gt;18,TRUE,FALSE)</xm:f>
            <x14:dxf>
              <font>
                <color theme="1"/>
              </font>
              <fill>
                <patternFill patternType="solid">
                  <bgColor rgb="FF92D050"/>
                </patternFill>
              </fill>
            </x14:dxf>
          </x14:cfRule>
          <xm:sqref>C65:J65</xm:sqref>
        </x14:conditionalFormatting>
        <x14:conditionalFormatting xmlns:xm="http://schemas.microsoft.com/office/excel/2006/main">
          <x14:cfRule type="expression" priority="15" id="{DDE447A6-524D-4CEE-BC74-CB35E92DEDBB}">
            <xm:f>IF('3. Project Location'!$H$6&gt;19,TRUE,FALSE)</xm:f>
            <x14:dxf>
              <font>
                <color theme="1"/>
              </font>
              <fill>
                <patternFill patternType="solid">
                  <bgColor rgb="FF92D050"/>
                </patternFill>
              </fill>
            </x14:dxf>
          </x14:cfRule>
          <xm:sqref>C66:J66</xm:sqref>
        </x14:conditionalFormatting>
        <x14:conditionalFormatting xmlns:xm="http://schemas.microsoft.com/office/excel/2006/main">
          <x14:cfRule type="expression" priority="14" id="{A3669BF6-33A3-4993-90B0-43AEF93B4397}">
            <xm:f>IF('3. Project Location'!$H$6&gt;20,TRUE,FALSE)</xm:f>
            <x14:dxf>
              <font>
                <color theme="1"/>
              </font>
              <fill>
                <patternFill patternType="solid">
                  <bgColor rgb="FF92D050"/>
                </patternFill>
              </fill>
            </x14:dxf>
          </x14:cfRule>
          <xm:sqref>C67:J67</xm:sqref>
        </x14:conditionalFormatting>
        <x14:conditionalFormatting xmlns:xm="http://schemas.microsoft.com/office/excel/2006/main">
          <x14:cfRule type="expression" priority="13" id="{2C9E387E-3C1E-427D-98AD-1F10B9088377}">
            <xm:f>IF('3. Project Location'!$H$6&gt;21,TRUE,FALSE)</xm:f>
            <x14:dxf>
              <font>
                <color theme="1"/>
              </font>
              <fill>
                <patternFill patternType="solid">
                  <bgColor rgb="FF92D050"/>
                </patternFill>
              </fill>
            </x14:dxf>
          </x14:cfRule>
          <xm:sqref>C68:J68</xm:sqref>
        </x14:conditionalFormatting>
        <x14:conditionalFormatting xmlns:xm="http://schemas.microsoft.com/office/excel/2006/main">
          <x14:cfRule type="expression" priority="12" id="{6F278A01-5A88-42B6-856B-C6D78F503C6B}">
            <xm:f>IF('3. Project Location'!$H$6&gt;22,TRUE,FALSE)</xm:f>
            <x14:dxf>
              <font>
                <color theme="1"/>
              </font>
              <fill>
                <patternFill patternType="solid">
                  <bgColor rgb="FF92D050"/>
                </patternFill>
              </fill>
            </x14:dxf>
          </x14:cfRule>
          <xm:sqref>C69:J69</xm:sqref>
        </x14:conditionalFormatting>
        <x14:conditionalFormatting xmlns:xm="http://schemas.microsoft.com/office/excel/2006/main">
          <x14:cfRule type="expression" priority="11" id="{495098C3-4C91-4A96-B6EF-46D56B3B5C42}">
            <xm:f>IF('3. Project Location'!$H$6&gt;23,TRUE,FALSE)</xm:f>
            <x14:dxf>
              <font>
                <color theme="1"/>
              </font>
              <fill>
                <patternFill patternType="solid">
                  <bgColor rgb="FF92D050"/>
                </patternFill>
              </fill>
            </x14:dxf>
          </x14:cfRule>
          <xm:sqref>C70:J70</xm:sqref>
        </x14:conditionalFormatting>
        <x14:conditionalFormatting xmlns:xm="http://schemas.microsoft.com/office/excel/2006/main">
          <x14:cfRule type="expression" priority="10" id="{1327F45F-8CDA-44BB-892D-6DB39BC086BC}">
            <xm:f>IF('3. Project Location'!$H$6&gt;24,TRUE,FALSE)</xm:f>
            <x14:dxf>
              <font>
                <color theme="1"/>
              </font>
              <fill>
                <patternFill patternType="solid">
                  <bgColor rgb="FF92D050"/>
                </patternFill>
              </fill>
            </x14:dxf>
          </x14:cfRule>
          <xm:sqref>C71:J71</xm:sqref>
        </x14:conditionalFormatting>
        <x14:conditionalFormatting xmlns:xm="http://schemas.microsoft.com/office/excel/2006/main">
          <x14:cfRule type="expression" priority="9" id="{C4669455-A388-410D-A1E0-E36C26B2B467}">
            <xm:f>IF('3. Project Location'!$H$6&gt;25,TRUE,FALSE)</xm:f>
            <x14:dxf>
              <font>
                <color theme="1"/>
              </font>
              <fill>
                <patternFill patternType="solid">
                  <bgColor rgb="FF92D050"/>
                </patternFill>
              </fill>
            </x14:dxf>
          </x14:cfRule>
          <xm:sqref>C72:J72</xm:sqref>
        </x14:conditionalFormatting>
        <x14:conditionalFormatting xmlns:xm="http://schemas.microsoft.com/office/excel/2006/main">
          <x14:cfRule type="expression" priority="8" id="{BD986D82-FF48-43C2-AD45-691B157CE39C}">
            <xm:f>IF('3. Project Location'!$H$6&gt;26,TRUE,FALSE)</xm:f>
            <x14:dxf>
              <font>
                <color theme="1"/>
              </font>
              <fill>
                <patternFill patternType="solid">
                  <bgColor rgb="FF92D050"/>
                </patternFill>
              </fill>
            </x14:dxf>
          </x14:cfRule>
          <xm:sqref>C73:J73</xm:sqref>
        </x14:conditionalFormatting>
        <x14:conditionalFormatting xmlns:xm="http://schemas.microsoft.com/office/excel/2006/main">
          <x14:cfRule type="expression" priority="7" id="{B95E6152-5BD7-405A-A92D-BF54A7CDEEC4}">
            <xm:f>IF('3. Project Location'!$H$6&gt;27,TRUE,FALSE)</xm:f>
            <x14:dxf>
              <font>
                <color theme="1"/>
              </font>
              <fill>
                <patternFill patternType="solid">
                  <bgColor rgb="FF92D050"/>
                </patternFill>
              </fill>
            </x14:dxf>
          </x14:cfRule>
          <xm:sqref>C74:J74</xm:sqref>
        </x14:conditionalFormatting>
        <x14:conditionalFormatting xmlns:xm="http://schemas.microsoft.com/office/excel/2006/main">
          <x14:cfRule type="expression" priority="6" id="{7DAA7D57-B646-4D8D-80FB-2B9563D4819A}">
            <xm:f>IF('3. Project Location'!$H$6&gt;28,TRUE,FALSE)</xm:f>
            <x14:dxf>
              <font>
                <color theme="1"/>
              </font>
              <fill>
                <patternFill patternType="solid">
                  <bgColor rgb="FF92D050"/>
                </patternFill>
              </fill>
            </x14:dxf>
          </x14:cfRule>
          <xm:sqref>C75:J75</xm:sqref>
        </x14:conditionalFormatting>
        <x14:conditionalFormatting xmlns:xm="http://schemas.microsoft.com/office/excel/2006/main">
          <x14:cfRule type="expression" priority="5" id="{12E79BF3-B519-47E7-B807-32530F99F15A}">
            <xm:f>IF('3. Project Location'!$H$6&gt;29,TRUE,FALSE)</xm:f>
            <x14:dxf>
              <font>
                <color theme="1"/>
              </font>
              <fill>
                <patternFill patternType="solid">
                  <bgColor rgb="FF92D050"/>
                </patternFill>
              </fill>
            </x14:dxf>
          </x14:cfRule>
          <xm:sqref>C76:J76</xm:sqref>
        </x14:conditionalFormatting>
        <x14:conditionalFormatting xmlns:xm="http://schemas.microsoft.com/office/excel/2006/main">
          <x14:cfRule type="expression" priority="4" id="{AF2592EF-D99C-4B52-872F-88BE0B06D85F}">
            <xm:f>IF('3. Project Location'!$H$6&gt;30,TRUE,FALSE)</xm:f>
            <x14:dxf>
              <font>
                <color theme="1"/>
              </font>
              <fill>
                <patternFill patternType="solid">
                  <bgColor rgb="FF92D050"/>
                </patternFill>
              </fill>
            </x14:dxf>
          </x14:cfRule>
          <xm:sqref>C77:J77</xm:sqref>
        </x14:conditionalFormatting>
        <x14:conditionalFormatting xmlns:xm="http://schemas.microsoft.com/office/excel/2006/main">
          <x14:cfRule type="expression" priority="3" id="{22142E86-5FB2-4BCE-9EA6-1F28AAA14BBA}">
            <xm:f>IF('3. Project Location'!$H$6&gt;31,TRUE,FALSE)</xm:f>
            <x14:dxf>
              <font>
                <color theme="1"/>
              </font>
              <fill>
                <patternFill patternType="solid">
                  <bgColor rgb="FF92D050"/>
                </patternFill>
              </fill>
            </x14:dxf>
          </x14:cfRule>
          <xm:sqref>C78:J78</xm:sqref>
        </x14:conditionalFormatting>
        <x14:conditionalFormatting xmlns:xm="http://schemas.microsoft.com/office/excel/2006/main">
          <x14:cfRule type="expression" priority="2" id="{9EF92DCB-66DE-47B7-8EDD-091B0693C3ED}">
            <xm:f>IF('3. Project Location'!$H$6&gt;32,TRUE,FALSE)</xm:f>
            <x14:dxf>
              <font>
                <color theme="1"/>
              </font>
              <fill>
                <patternFill patternType="solid">
                  <bgColor rgb="FF92D050"/>
                </patternFill>
              </fill>
            </x14:dxf>
          </x14:cfRule>
          <xm:sqref>C79:J79</xm:sqref>
        </x14:conditionalFormatting>
        <x14:conditionalFormatting xmlns:xm="http://schemas.microsoft.com/office/excel/2006/main">
          <x14:cfRule type="expression" priority="1" id="{11C57C7D-80B8-479F-8CA5-A216D7060DCB}">
            <xm:f>IF('3. Project Location'!$H$6&gt;33,TRUE,FALSE)</xm:f>
            <x14:dxf>
              <font>
                <color theme="1"/>
              </font>
              <fill>
                <patternFill patternType="solid">
                  <bgColor rgb="FF92D050"/>
                </patternFill>
              </fill>
            </x14:dxf>
          </x14:cfRule>
          <xm:sqref>C80:J80</xm:sqref>
        </x14:conditionalFormatting>
        <x14:conditionalFormatting xmlns:xm="http://schemas.microsoft.com/office/excel/2006/main">
          <x14:cfRule type="expression" priority="36" id="{1E6B509E-8A41-4033-884A-7C917A21CB90}">
            <xm:f>OR('4. Project Description'!$D$6="Adaptive Reuse",'4. Project Description'!$D$6="Acquisition/Rehab",'4. Project Description'!$D$6="Acquisition/New Construction",'4. Project Description'!$D$6="Adaptive Reuse/New Construction")</xm:f>
            <x14:dxf>
              <fill>
                <patternFill>
                  <bgColor rgb="FF92D050"/>
                </patternFill>
              </fill>
            </x14:dxf>
          </x14:cfRule>
          <xm:sqref>D30:D31 D34:D35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B694AD-6BE4-4D47-952F-AF58F2685B23}">
          <x14:formula1>
            <xm:f>'Dropdown Lists'!$A$2:$A$3</xm:f>
          </x14:formula1>
          <xm:sqref>F103 I95</xm:sqref>
        </x14:dataValidation>
        <x14:dataValidation type="list" allowBlank="1" showInputMessage="1" showErrorMessage="1" xr:uid="{0F403ECB-F6D7-41E2-9121-661523710CAC}">
          <x14:formula1>
            <xm:f>'Dropdown Lists'!$U$3:$U$53</xm:f>
          </x14:formula1>
          <xm:sqref>F12:F13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F934-B32E-4FD2-A5E3-9A94D0F82A09}">
  <sheetPr codeName="Sheet7">
    <pageSetUpPr fitToPage="1"/>
  </sheetPr>
  <dimension ref="A1:I56"/>
  <sheetViews>
    <sheetView workbookViewId="0">
      <selection activeCell="C6" sqref="C6"/>
    </sheetView>
  </sheetViews>
  <sheetFormatPr defaultColWidth="9.140625" defaultRowHeight="15"/>
  <cols>
    <col min="1" max="1" width="4.42578125" style="3" customWidth="1"/>
    <col min="2" max="2" width="85.5703125" style="3" customWidth="1"/>
    <col min="3" max="3" width="26.85546875" style="3" customWidth="1"/>
    <col min="4" max="4" width="39.5703125" style="3" customWidth="1"/>
    <col min="5" max="5" width="17.85546875" style="3" customWidth="1"/>
    <col min="6" max="7" width="9.140625" style="3"/>
    <col min="8" max="8" width="15.42578125" style="3" bestFit="1" customWidth="1"/>
    <col min="9" max="9" width="9.140625" style="3"/>
    <col min="10" max="10" width="15.85546875" style="3" bestFit="1" customWidth="1"/>
    <col min="11" max="11" width="9.140625" style="3"/>
    <col min="12" max="12" width="19.42578125" style="3" bestFit="1" customWidth="1"/>
    <col min="13" max="13" width="9.140625" style="3"/>
    <col min="14" max="14" width="23.85546875" style="3" bestFit="1" customWidth="1"/>
    <col min="15" max="16384" width="9.140625" style="3"/>
  </cols>
  <sheetData>
    <row r="1" spans="1:9" ht="28.5">
      <c r="B1" s="4" t="str">
        <f>'1. TOC'!B1</f>
        <v>WHEDA 2025 Multifamily Application</v>
      </c>
      <c r="D1" s="115" t="str">
        <f>'1. TOC'!L1</f>
        <v>v25.1.12</v>
      </c>
      <c r="E1" s="947" t="str">
        <f>HYPERLINK("#Table_of_Contents", Table_of_Contents)</f>
        <v>Table of Contents</v>
      </c>
    </row>
    <row r="2" spans="1:9" ht="18.75">
      <c r="B2" s="811" t="str">
        <f>_xlfn.CONCAT(IF(ISBLANK(WHEDA_Project_Number),"",_xlfn.CONCAT(WHEDA_Project_Number," - ")), Project_Name, IF(ISBLANK(Credit_percentage_applied_for),"",_xlfn.CONCAT(" - ", Credit_percentage_applied_for," HTC")))</f>
        <v/>
      </c>
      <c r="C2" s="5"/>
    </row>
    <row r="3" spans="1:9" ht="18.75">
      <c r="A3" s="98"/>
      <c r="B3" s="13"/>
      <c r="C3" s="7"/>
      <c r="D3" s="7"/>
      <c r="E3" s="7"/>
      <c r="F3" s="7"/>
      <c r="G3" s="7"/>
      <c r="H3" s="7"/>
      <c r="I3" s="7"/>
    </row>
    <row r="4" spans="1:9" ht="28.5">
      <c r="A4" s="929"/>
      <c r="B4" s="4" t="s">
        <v>777</v>
      </c>
    </row>
    <row r="5" spans="1:9" ht="15.75">
      <c r="A5" s="929"/>
      <c r="B5" s="1027"/>
      <c r="C5" s="1027"/>
      <c r="D5" s="1027"/>
      <c r="E5" s="1027"/>
      <c r="F5" s="1027"/>
      <c r="G5" s="1027"/>
      <c r="H5" s="1027"/>
      <c r="I5" s="1027"/>
    </row>
    <row r="6" spans="1:9" ht="15.75">
      <c r="A6" s="929"/>
      <c r="B6" s="1040" t="s">
        <v>3798</v>
      </c>
      <c r="C6" s="261"/>
      <c r="D6" s="1027"/>
      <c r="E6" s="1027"/>
      <c r="F6" s="1027"/>
      <c r="G6" s="1027"/>
      <c r="H6" s="1027"/>
      <c r="I6" s="1027"/>
    </row>
    <row r="7" spans="1:9" ht="15.75">
      <c r="A7" s="929"/>
      <c r="B7" s="1040"/>
      <c r="C7" s="1027"/>
      <c r="D7" s="1027"/>
      <c r="E7" s="1027"/>
      <c r="F7" s="1027"/>
      <c r="G7" s="1027"/>
      <c r="H7" s="1027"/>
      <c r="I7" s="1027"/>
    </row>
    <row r="8" spans="1:9" ht="15.75">
      <c r="A8" s="930"/>
      <c r="B8" s="1040" t="s">
        <v>3799</v>
      </c>
      <c r="C8" s="261"/>
      <c r="D8" s="1027"/>
      <c r="E8" s="1027"/>
      <c r="F8" s="1027"/>
      <c r="G8" s="1027"/>
      <c r="H8" s="1027"/>
      <c r="I8" s="1027"/>
    </row>
    <row r="9" spans="1:9">
      <c r="A9" s="930"/>
      <c r="B9" s="1040"/>
      <c r="C9" s="1027"/>
      <c r="D9" s="1027"/>
      <c r="E9" s="1027"/>
      <c r="F9" s="1027"/>
      <c r="G9" s="1027"/>
      <c r="H9" s="1027"/>
      <c r="I9" s="1027"/>
    </row>
    <row r="10" spans="1:9" ht="15.75" customHeight="1">
      <c r="A10" s="930"/>
      <c r="B10" s="1040" t="s">
        <v>3800</v>
      </c>
      <c r="C10" s="2092"/>
      <c r="D10" s="1027"/>
      <c r="E10" s="1027"/>
      <c r="F10" s="1027"/>
      <c r="G10" s="1027"/>
      <c r="H10" s="1027"/>
      <c r="I10" s="1027"/>
    </row>
    <row r="11" spans="1:9" ht="14.45" customHeight="1">
      <c r="A11" s="930"/>
      <c r="B11" s="1040" t="s">
        <v>3801</v>
      </c>
      <c r="C11" s="2093"/>
      <c r="D11" s="1027"/>
      <c r="E11" s="1027"/>
      <c r="F11" s="1027"/>
      <c r="G11" s="1027"/>
      <c r="H11" s="1027"/>
      <c r="I11" s="1027"/>
    </row>
    <row r="12" spans="1:9">
      <c r="A12" s="930"/>
      <c r="B12" s="1071"/>
      <c r="C12" s="1027"/>
      <c r="D12" s="1027"/>
      <c r="E12" s="1027"/>
      <c r="F12" s="1027"/>
      <c r="G12" s="1027"/>
      <c r="H12" s="1027"/>
      <c r="I12" s="1027"/>
    </row>
    <row r="13" spans="1:9" ht="15.75">
      <c r="A13" s="930"/>
      <c r="B13" s="1040" t="s">
        <v>3802</v>
      </c>
      <c r="C13" s="165"/>
      <c r="D13" s="1027"/>
      <c r="E13" s="1027"/>
      <c r="F13" s="1027"/>
      <c r="G13" s="1027"/>
      <c r="H13" s="1027"/>
      <c r="I13" s="1027"/>
    </row>
    <row r="14" spans="1:9" hidden="1">
      <c r="A14" s="930"/>
      <c r="B14" s="1027"/>
      <c r="C14" s="643"/>
      <c r="D14" s="1027"/>
      <c r="E14" s="1027"/>
      <c r="F14" s="1027"/>
      <c r="G14" s="1027"/>
      <c r="H14" s="1027"/>
      <c r="I14" s="1027"/>
    </row>
    <row r="15" spans="1:9" hidden="1">
      <c r="A15" s="930"/>
      <c r="B15" s="1040"/>
      <c r="C15" s="643"/>
      <c r="D15" s="1027"/>
      <c r="E15" s="1027"/>
      <c r="F15" s="1027"/>
      <c r="G15" s="1027"/>
      <c r="H15" s="1027"/>
      <c r="I15" s="1027"/>
    </row>
    <row r="16" spans="1:9">
      <c r="A16" s="930"/>
      <c r="B16" s="1040"/>
      <c r="C16" s="1027"/>
      <c r="D16" s="1027"/>
      <c r="E16" s="1027"/>
      <c r="F16" s="1027"/>
      <c r="G16" s="1027"/>
      <c r="H16" s="1027"/>
      <c r="I16" s="1027"/>
    </row>
    <row r="17" spans="1:9" ht="14.45" customHeight="1">
      <c r="A17" s="930"/>
      <c r="B17" s="1040" t="s">
        <v>3803</v>
      </c>
      <c r="C17" s="2095"/>
      <c r="D17" s="2095"/>
      <c r="E17" s="1027"/>
      <c r="F17" s="1027"/>
      <c r="G17" s="1027"/>
      <c r="H17" s="1027"/>
      <c r="I17" s="1027"/>
    </row>
    <row r="18" spans="1:9" ht="14.45" customHeight="1">
      <c r="A18" s="930"/>
      <c r="B18" s="1040" t="s">
        <v>3804</v>
      </c>
      <c r="C18" s="2095"/>
      <c r="D18" s="2095"/>
      <c r="E18" s="1027"/>
      <c r="F18" s="1027"/>
      <c r="G18" s="1027"/>
      <c r="H18" s="1027"/>
      <c r="I18" s="1027"/>
    </row>
    <row r="19" spans="1:9" ht="14.45" customHeight="1">
      <c r="A19" s="930"/>
      <c r="B19" s="1040"/>
      <c r="C19" s="2095"/>
      <c r="D19" s="2095"/>
      <c r="E19" s="1027"/>
      <c r="F19" s="1027"/>
      <c r="G19" s="1027"/>
      <c r="H19" s="1027"/>
      <c r="I19" s="1027"/>
    </row>
    <row r="20" spans="1:9">
      <c r="A20" s="930"/>
      <c r="B20" s="1040"/>
      <c r="C20" s="1027"/>
      <c r="D20" s="1027"/>
      <c r="E20" s="1027"/>
      <c r="F20" s="1027"/>
      <c r="G20" s="1027"/>
      <c r="H20" s="1027"/>
      <c r="I20" s="1027"/>
    </row>
    <row r="21" spans="1:9">
      <c r="A21" s="930"/>
      <c r="B21" s="1040" t="s">
        <v>3805</v>
      </c>
      <c r="C21" s="2094"/>
      <c r="D21" s="1027"/>
      <c r="E21" s="1027"/>
      <c r="F21" s="1027"/>
      <c r="G21" s="1027"/>
      <c r="H21" s="1027"/>
      <c r="I21" s="1027"/>
    </row>
    <row r="22" spans="1:9">
      <c r="A22" s="930"/>
      <c r="B22" s="1040" t="s">
        <v>3806</v>
      </c>
      <c r="C22" s="2094"/>
      <c r="D22" s="1734"/>
      <c r="E22" s="1027"/>
      <c r="F22" s="1027"/>
      <c r="G22" s="1027"/>
      <c r="H22" s="1027"/>
      <c r="I22" s="1027"/>
    </row>
    <row r="23" spans="1:9">
      <c r="A23" s="930"/>
      <c r="B23" s="1040"/>
      <c r="C23" s="1027"/>
      <c r="D23" s="1027"/>
      <c r="E23" s="1027"/>
      <c r="F23" s="1027"/>
      <c r="G23" s="1027"/>
      <c r="H23" s="1027"/>
      <c r="I23" s="1027"/>
    </row>
    <row r="24" spans="1:9" ht="15" customHeight="1">
      <c r="A24" s="930"/>
      <c r="B24" s="1040" t="s">
        <v>3807</v>
      </c>
      <c r="C24" s="2095"/>
      <c r="D24" s="2095"/>
      <c r="E24" s="1027"/>
      <c r="F24" s="1027"/>
      <c r="G24" s="1027"/>
      <c r="H24" s="1027"/>
      <c r="I24" s="1027"/>
    </row>
    <row r="25" spans="1:9" ht="15" customHeight="1">
      <c r="A25" s="930"/>
      <c r="B25" s="1040"/>
      <c r="C25" s="2095"/>
      <c r="D25" s="2095"/>
      <c r="E25" s="1027"/>
      <c r="F25" s="1027"/>
      <c r="G25" s="1027"/>
      <c r="H25" s="1027"/>
      <c r="I25" s="1027"/>
    </row>
    <row r="26" spans="1:9" ht="15" customHeight="1">
      <c r="A26" s="930"/>
      <c r="B26" s="1040"/>
      <c r="C26" s="2095"/>
      <c r="D26" s="2095"/>
      <c r="E26" s="1027"/>
      <c r="F26" s="1027"/>
      <c r="G26" s="1027"/>
      <c r="H26" s="1027"/>
      <c r="I26" s="1027"/>
    </row>
    <row r="27" spans="1:9">
      <c r="A27" s="930"/>
      <c r="B27" s="1040"/>
      <c r="C27" s="1027"/>
      <c r="D27" s="1027"/>
      <c r="E27" s="1027"/>
      <c r="F27" s="1027"/>
      <c r="G27" s="1027"/>
      <c r="H27" s="1027"/>
      <c r="I27" s="1027"/>
    </row>
    <row r="28" spans="1:9" ht="15.75">
      <c r="A28" s="930"/>
      <c r="B28" s="1040" t="s">
        <v>3808</v>
      </c>
      <c r="C28" s="261"/>
      <c r="D28" s="1027"/>
      <c r="E28" s="1027"/>
      <c r="F28" s="1027"/>
      <c r="G28" s="1027"/>
      <c r="H28" s="1027"/>
      <c r="I28" s="1027"/>
    </row>
    <row r="29" spans="1:9" hidden="1">
      <c r="A29" s="930"/>
      <c r="B29" s="1040"/>
      <c r="C29" s="643"/>
      <c r="D29" s="643"/>
      <c r="E29" s="1027"/>
      <c r="F29" s="1027"/>
      <c r="G29" s="1027"/>
      <c r="H29" s="1027"/>
      <c r="I29" s="1027"/>
    </row>
    <row r="30" spans="1:9">
      <c r="A30" s="930"/>
      <c r="B30" s="1040"/>
      <c r="C30" s="1027"/>
      <c r="D30" s="1027"/>
      <c r="E30" s="1027"/>
      <c r="F30" s="1027"/>
      <c r="G30" s="1027"/>
      <c r="H30" s="1027"/>
      <c r="I30" s="1027"/>
    </row>
    <row r="31" spans="1:9">
      <c r="A31" s="930"/>
      <c r="B31" s="1040" t="s">
        <v>3809</v>
      </c>
      <c r="C31" s="2095"/>
      <c r="D31" s="2095"/>
      <c r="E31" s="1027"/>
      <c r="F31" s="1027"/>
      <c r="G31" s="1027"/>
      <c r="H31" s="1027"/>
      <c r="I31" s="1027"/>
    </row>
    <row r="32" spans="1:9">
      <c r="A32" s="930"/>
      <c r="B32" s="1040"/>
      <c r="C32" s="2095"/>
      <c r="D32" s="2095"/>
      <c r="E32" s="1027"/>
      <c r="F32" s="1027"/>
      <c r="G32" s="1027"/>
      <c r="H32" s="1027"/>
      <c r="I32" s="1027"/>
    </row>
    <row r="33" spans="1:9">
      <c r="A33" s="930"/>
      <c r="B33" s="1040"/>
      <c r="C33" s="2095"/>
      <c r="D33" s="2095"/>
      <c r="E33" s="1027"/>
      <c r="F33" s="1027"/>
      <c r="G33" s="1027"/>
      <c r="H33" s="1027"/>
      <c r="I33" s="1027"/>
    </row>
    <row r="34" spans="1:9">
      <c r="A34" s="930"/>
      <c r="B34" s="1040"/>
      <c r="C34" s="1027"/>
      <c r="D34" s="1027"/>
      <c r="E34" s="1027"/>
      <c r="F34" s="1027"/>
      <c r="G34" s="1027"/>
      <c r="H34" s="1027"/>
      <c r="I34" s="1027"/>
    </row>
    <row r="35" spans="1:9" ht="18.75">
      <c r="A35" s="930"/>
      <c r="B35" s="8" t="s">
        <v>1055</v>
      </c>
      <c r="C35" s="17"/>
      <c r="E35" s="970"/>
      <c r="F35" s="970"/>
      <c r="G35" s="970"/>
    </row>
    <row r="36" spans="1:9">
      <c r="A36" s="930"/>
      <c r="B36" s="1027"/>
      <c r="C36" s="1030" t="s">
        <v>3797</v>
      </c>
      <c r="D36" s="1027"/>
      <c r="E36" s="1027"/>
      <c r="F36" s="1027"/>
      <c r="G36" s="1027"/>
      <c r="H36" s="1027"/>
      <c r="I36" s="1027"/>
    </row>
    <row r="37" spans="1:9">
      <c r="A37" s="930"/>
      <c r="B37" s="1027"/>
      <c r="C37" s="2022"/>
      <c r="D37" s="2022"/>
      <c r="E37" s="2022"/>
      <c r="F37" s="2022"/>
      <c r="G37" s="2022"/>
      <c r="H37" s="2022"/>
      <c r="I37" s="1027"/>
    </row>
    <row r="38" spans="1:9">
      <c r="A38" s="932"/>
      <c r="B38" s="1027"/>
      <c r="C38" s="2022"/>
      <c r="D38" s="2022"/>
      <c r="E38" s="2022"/>
      <c r="F38" s="2022"/>
      <c r="G38" s="2022"/>
      <c r="H38" s="2022"/>
      <c r="I38" s="1027"/>
    </row>
    <row r="39" spans="1:9">
      <c r="A39" s="932"/>
      <c r="B39" s="1027"/>
      <c r="C39" s="2022"/>
      <c r="D39" s="2022"/>
      <c r="E39" s="2022"/>
      <c r="F39" s="2022"/>
      <c r="G39" s="2022"/>
      <c r="H39" s="2022"/>
      <c r="I39" s="1027"/>
    </row>
    <row r="40" spans="1:9">
      <c r="A40" s="932"/>
      <c r="B40" s="1027"/>
      <c r="C40" s="2022"/>
      <c r="D40" s="2022"/>
      <c r="E40" s="2022"/>
      <c r="F40" s="2022"/>
      <c r="G40" s="2022"/>
      <c r="H40" s="2022"/>
      <c r="I40" s="1027"/>
    </row>
    <row r="41" spans="1:9">
      <c r="A41" s="932"/>
      <c r="B41" s="1027"/>
      <c r="C41" s="2022"/>
      <c r="D41" s="2022"/>
      <c r="E41" s="2022"/>
      <c r="F41" s="2022"/>
      <c r="G41" s="2022"/>
      <c r="H41" s="2022"/>
      <c r="I41" s="1027"/>
    </row>
    <row r="42" spans="1:9">
      <c r="A42" s="932"/>
      <c r="B42" s="1027"/>
      <c r="C42" s="2022"/>
      <c r="D42" s="2022"/>
      <c r="E42" s="2022"/>
      <c r="F42" s="2022"/>
      <c r="G42" s="2022"/>
      <c r="H42" s="2022"/>
      <c r="I42" s="1027"/>
    </row>
    <row r="43" spans="1:9">
      <c r="A43" s="930"/>
      <c r="B43" s="1027"/>
      <c r="C43" s="2022"/>
      <c r="D43" s="2022"/>
      <c r="E43" s="2022"/>
      <c r="F43" s="2022"/>
      <c r="G43" s="2022"/>
      <c r="H43" s="2022"/>
      <c r="I43" s="1027"/>
    </row>
    <row r="44" spans="1:9">
      <c r="A44" s="930"/>
      <c r="B44" s="1027"/>
      <c r="C44" s="2022"/>
      <c r="D44" s="2022"/>
      <c r="E44" s="2022"/>
      <c r="F44" s="2022"/>
      <c r="G44" s="2022"/>
      <c r="H44" s="2022"/>
      <c r="I44" s="1027"/>
    </row>
    <row r="45" spans="1:9">
      <c r="A45" s="930"/>
      <c r="B45" s="1027"/>
      <c r="C45" s="1027"/>
      <c r="D45" s="1027"/>
      <c r="E45" s="1027"/>
      <c r="F45" s="1027"/>
      <c r="G45" s="1027"/>
      <c r="H45" s="1027"/>
      <c r="I45" s="1027"/>
    </row>
    <row r="46" spans="1:9" ht="15.75">
      <c r="A46" s="930"/>
      <c r="E46" s="156"/>
    </row>
    <row r="47" spans="1:9">
      <c r="B47" s="16" t="s">
        <v>3637</v>
      </c>
      <c r="C47" s="7"/>
      <c r="D47" s="7"/>
      <c r="E47" s="7"/>
      <c r="F47" s="7"/>
      <c r="G47" s="7"/>
      <c r="H47" s="7"/>
      <c r="I47" s="7"/>
    </row>
    <row r="48" spans="1:9" ht="18.75">
      <c r="B48" s="8" t="s">
        <v>3638</v>
      </c>
      <c r="E48" s="970"/>
      <c r="F48" s="970"/>
      <c r="G48" s="970"/>
    </row>
    <row r="49" spans="2:9">
      <c r="B49" s="1027"/>
      <c r="C49" s="1027"/>
      <c r="D49" s="1027"/>
      <c r="E49" s="1027"/>
      <c r="F49" s="1027"/>
      <c r="G49" s="1027"/>
      <c r="H49" s="1027"/>
      <c r="I49" s="1027"/>
    </row>
    <row r="50" spans="2:9">
      <c r="B50" s="1027"/>
      <c r="C50" s="1998"/>
      <c r="D50" s="1999"/>
      <c r="E50" s="1999"/>
      <c r="F50" s="1999"/>
      <c r="G50" s="1999"/>
      <c r="H50" s="2000"/>
      <c r="I50" s="1027"/>
    </row>
    <row r="51" spans="2:9">
      <c r="B51" s="1027"/>
      <c r="C51" s="2001"/>
      <c r="D51" s="2002"/>
      <c r="E51" s="2002"/>
      <c r="F51" s="2002"/>
      <c r="G51" s="2002"/>
      <c r="H51" s="2003"/>
      <c r="I51" s="1027"/>
    </row>
    <row r="52" spans="2:9">
      <c r="B52" s="1027"/>
      <c r="C52" s="2001"/>
      <c r="D52" s="2002"/>
      <c r="E52" s="2002"/>
      <c r="F52" s="2002"/>
      <c r="G52" s="2002"/>
      <c r="H52" s="2003"/>
      <c r="I52" s="1027"/>
    </row>
    <row r="53" spans="2:9">
      <c r="B53" s="1027"/>
      <c r="C53" s="2004"/>
      <c r="D53" s="2005"/>
      <c r="E53" s="2005"/>
      <c r="F53" s="2005"/>
      <c r="G53" s="2005"/>
      <c r="H53" s="2006"/>
      <c r="I53" s="1027"/>
    </row>
    <row r="54" spans="2:9">
      <c r="B54" s="1027"/>
      <c r="C54" s="1027"/>
      <c r="D54" s="1027"/>
      <c r="E54" s="1027"/>
      <c r="F54" s="1027"/>
      <c r="G54" s="1027"/>
      <c r="H54" s="1027"/>
      <c r="I54" s="1027"/>
    </row>
    <row r="55" spans="2:9" ht="15.75">
      <c r="C55" s="168"/>
      <c r="E55" s="166"/>
    </row>
    <row r="56" spans="2:9" ht="15.75">
      <c r="C56" s="173"/>
      <c r="D56" s="173"/>
      <c r="E56" s="166"/>
    </row>
  </sheetData>
  <sheetProtection algorithmName="SHA-512" hashValue="GysUwjiA/yAigXvsV4IKI/epCEIm+l+XFQhkLcCW8P2UzU7EvldowX8KvOeNRmaNQ6qbpgpRgiAvYBPByHbapg==" saltValue="ttfW5Y5FRJbdAsj39/TRVg==" spinCount="100000" sheet="1" objects="1" scenarios="1" selectLockedCells="1"/>
  <mergeCells count="7">
    <mergeCell ref="C10:C11"/>
    <mergeCell ref="C21:C22"/>
    <mergeCell ref="C50:H53"/>
    <mergeCell ref="C17:D19"/>
    <mergeCell ref="C24:D26"/>
    <mergeCell ref="C31:D33"/>
    <mergeCell ref="C37:H44"/>
  </mergeCells>
  <conditionalFormatting sqref="C13">
    <cfRule type="expression" dxfId="324" priority="217">
      <formula>$C$10="Yes"</formula>
    </cfRule>
  </conditionalFormatting>
  <conditionalFormatting sqref="C17:D19">
    <cfRule type="expression" dxfId="323" priority="1">
      <formula>$C$13="Yes"</formula>
    </cfRule>
  </conditionalFormatting>
  <conditionalFormatting sqref="C24:D26">
    <cfRule type="expression" dxfId="322" priority="3">
      <formula>$C$21="Yes"</formula>
    </cfRule>
  </conditionalFormatting>
  <conditionalFormatting sqref="C31:D33">
    <cfRule type="expression" dxfId="321" priority="2">
      <formula>$C$28="Yes"</formula>
    </cfRule>
  </conditionalFormatting>
  <dataValidations count="2">
    <dataValidation type="list" allowBlank="1" showInputMessage="1" showErrorMessage="1" sqref="C8 C28 C21 C10 C13 C6" xr:uid="{07974795-D0C0-4E54-BA2C-140BC769A5B5}">
      <formula1>YesNo</formula1>
    </dataValidation>
    <dataValidation type="custom" allowBlank="1" showInputMessage="1" showErrorMessage="1" sqref="E1 A4:A44" xr:uid="{C73A8251-1AEB-4AA6-9ED4-CF29001568FA}">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colBreaks count="1" manualBreakCount="1">
    <brk id="9" min="3" max="4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D23CE83-F6F0-47D0-BDDB-8B15ABC45590}">
          <x14:formula1>
            <xm:f>'Dropdown Lists'!$A$2:$A$3</xm:f>
          </x14:formula1>
          <xm:sqref>E56 H48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21E-CC42-4D2A-8256-E635B0891F82}">
  <sheetPr codeName="Sheet8">
    <pageSetUpPr fitToPage="1"/>
  </sheetPr>
  <dimension ref="A1:L187"/>
  <sheetViews>
    <sheetView workbookViewId="0">
      <selection activeCell="C7" sqref="C7:G7"/>
    </sheetView>
  </sheetViews>
  <sheetFormatPr defaultColWidth="9.140625" defaultRowHeight="15"/>
  <cols>
    <col min="1" max="1" width="5.42578125" style="3" customWidth="1"/>
    <col min="2" max="2" width="50.85546875" style="3" customWidth="1"/>
    <col min="3" max="3" width="20.5703125" style="3" customWidth="1"/>
    <col min="4" max="4" width="21.5703125" style="3" customWidth="1"/>
    <col min="5" max="5" width="23.42578125" style="3" customWidth="1"/>
    <col min="6" max="6" width="18.140625" style="3" customWidth="1"/>
    <col min="7" max="7" width="12.28515625" style="3" customWidth="1"/>
    <col min="8" max="8" width="15.42578125" style="3" customWidth="1"/>
    <col min="9" max="9" width="37.140625" style="3" customWidth="1"/>
    <col min="10" max="10" width="4.7109375" style="3" customWidth="1"/>
    <col min="11" max="11" width="18.5703125" style="3" customWidth="1"/>
    <col min="12" max="12" width="19.42578125" style="3" bestFit="1" customWidth="1"/>
    <col min="13" max="13" width="9.140625" style="3"/>
    <col min="14" max="14" width="23.85546875" style="3" bestFit="1" customWidth="1"/>
    <col min="15" max="15" width="13.42578125" style="3" customWidth="1"/>
    <col min="16" max="16384" width="9.140625" style="3"/>
  </cols>
  <sheetData>
    <row r="1" spans="1:10" ht="28.5">
      <c r="B1" s="4" t="str">
        <f>'1. TOC'!B1</f>
        <v>WHEDA 2025 Multifamily Application</v>
      </c>
      <c r="C1" s="4"/>
      <c r="D1" s="115" t="str">
        <f>'1. TOC'!L1</f>
        <v>v25.1.12</v>
      </c>
      <c r="F1" s="947" t="str">
        <f>HYPERLINK("#Table_of_Contents", Table_of_Contents)</f>
        <v>Table of Contents</v>
      </c>
    </row>
    <row r="2" spans="1:10" ht="18.75">
      <c r="B2" s="889" t="str">
        <f>_xlfn.CONCAT(IF(ISBLANK(WHEDA_Project_Number),"",_xlfn.CONCAT(WHEDA_Project_Number," - ")), Project_Name, IF(ISBLANK(Credit_percentage_applied_for),"",_xlfn.CONCAT(" - ", Credit_percentage_applied_for," HTC")))</f>
        <v/>
      </c>
      <c r="C2" s="5"/>
      <c r="E2" s="877"/>
    </row>
    <row r="3" spans="1:10" ht="18.75">
      <c r="A3" s="98"/>
      <c r="B3" s="8"/>
      <c r="C3" s="7"/>
      <c r="D3" s="7"/>
      <c r="F3" s="7"/>
      <c r="G3" s="7"/>
      <c r="H3" s="7"/>
      <c r="I3" s="7"/>
      <c r="J3" s="7"/>
    </row>
    <row r="4" spans="1:10" ht="28.5">
      <c r="A4" s="929"/>
      <c r="B4" s="4" t="s">
        <v>3810</v>
      </c>
    </row>
    <row r="5" spans="1:10" ht="18.75">
      <c r="A5" s="929"/>
      <c r="B5" s="8" t="s">
        <v>779</v>
      </c>
    </row>
    <row r="6" spans="1:10" ht="15.75">
      <c r="A6" s="929"/>
      <c r="B6" s="1072" t="s">
        <v>3811</v>
      </c>
      <c r="C6" s="1027"/>
      <c r="D6" s="1027"/>
      <c r="E6" s="1027"/>
      <c r="F6" s="1027"/>
      <c r="G6" s="1027"/>
      <c r="H6" s="1027"/>
      <c r="I6" s="1027"/>
      <c r="J6" s="1027"/>
    </row>
    <row r="7" spans="1:10" ht="15.75">
      <c r="A7" s="929"/>
      <c r="B7" s="1073" t="s">
        <v>3812</v>
      </c>
      <c r="C7" s="2096"/>
      <c r="D7" s="2096"/>
      <c r="E7" s="2096"/>
      <c r="F7" s="2096"/>
      <c r="G7" s="2096"/>
      <c r="H7" s="1027"/>
      <c r="I7" s="1027"/>
      <c r="J7" s="1027"/>
    </row>
    <row r="8" spans="1:10" ht="15.75">
      <c r="A8" s="929"/>
      <c r="B8" s="1073" t="s">
        <v>3813</v>
      </c>
      <c r="C8" s="2097"/>
      <c r="D8" s="2097"/>
      <c r="E8" s="2097"/>
      <c r="F8" s="2097"/>
      <c r="G8" s="2097"/>
      <c r="H8" s="1027"/>
      <c r="I8" s="1027"/>
      <c r="J8" s="1027"/>
    </row>
    <row r="9" spans="1:10" ht="15.75">
      <c r="A9" s="930"/>
      <c r="B9" s="1073" t="s">
        <v>3814</v>
      </c>
      <c r="C9" s="2096"/>
      <c r="D9" s="2096"/>
      <c r="E9" s="2096"/>
      <c r="F9" s="2096"/>
      <c r="G9" s="2096"/>
      <c r="H9" s="1027"/>
      <c r="I9" s="1027"/>
      <c r="J9" s="1027"/>
    </row>
    <row r="10" spans="1:10" ht="15.75">
      <c r="A10" s="930"/>
      <c r="B10" s="1073"/>
      <c r="C10" s="1075"/>
      <c r="D10" s="1075"/>
      <c r="E10" s="1075"/>
      <c r="F10" s="1075"/>
      <c r="G10" s="1075"/>
      <c r="H10" s="1027"/>
      <c r="I10" s="1027"/>
      <c r="J10" s="1027"/>
    </row>
    <row r="11" spans="1:10" ht="15.75">
      <c r="A11" s="930"/>
      <c r="B11" s="1073" t="s">
        <v>3599</v>
      </c>
      <c r="C11" s="263"/>
      <c r="D11" s="1027"/>
      <c r="E11" s="1073" t="s">
        <v>3600</v>
      </c>
      <c r="F11" s="1025"/>
      <c r="G11" s="1074"/>
      <c r="H11" s="1073" t="s">
        <v>789</v>
      </c>
      <c r="I11" s="264"/>
      <c r="J11" s="1027"/>
    </row>
    <row r="12" spans="1:10" ht="15.75">
      <c r="A12" s="930"/>
      <c r="B12" s="1073" t="s">
        <v>3815</v>
      </c>
      <c r="C12" s="210"/>
      <c r="D12" s="1027"/>
      <c r="E12" s="1073" t="s">
        <v>3816</v>
      </c>
      <c r="F12" s="2007"/>
      <c r="G12" s="2009"/>
      <c r="H12" s="1073" t="s">
        <v>3817</v>
      </c>
      <c r="I12" s="261"/>
      <c r="J12" s="1027"/>
    </row>
    <row r="13" spans="1:10" ht="15.75">
      <c r="A13" s="930"/>
      <c r="B13" s="1073" t="s">
        <v>3818</v>
      </c>
      <c r="C13" s="263"/>
      <c r="D13" s="1027"/>
      <c r="E13" s="1073" t="s">
        <v>3819</v>
      </c>
      <c r="F13" s="934"/>
      <c r="G13" s="1074"/>
      <c r="H13" s="1027"/>
      <c r="I13" s="1027"/>
      <c r="J13" s="1027"/>
    </row>
    <row r="14" spans="1:10">
      <c r="A14" s="930"/>
      <c r="B14" s="1027"/>
      <c r="C14" s="1027"/>
      <c r="D14" s="1027"/>
      <c r="E14" s="1027"/>
      <c r="F14" s="1027"/>
      <c r="G14" s="1074"/>
      <c r="H14" s="1027"/>
      <c r="I14" s="1027"/>
      <c r="J14" s="1027"/>
    </row>
    <row r="15" spans="1:10">
      <c r="A15" s="930"/>
      <c r="B15" s="1027"/>
      <c r="C15" s="1027"/>
      <c r="D15" s="1027"/>
      <c r="E15" s="1027"/>
      <c r="F15" s="1027"/>
      <c r="G15" s="1027"/>
      <c r="H15" s="1027"/>
      <c r="I15" s="1027"/>
      <c r="J15" s="1027"/>
    </row>
    <row r="16" spans="1:10">
      <c r="A16" s="930"/>
      <c r="B16" s="2101" t="s">
        <v>3820</v>
      </c>
      <c r="C16" s="2101"/>
      <c r="D16" s="2101"/>
      <c r="E16" s="2101"/>
      <c r="F16" s="2101"/>
      <c r="G16" s="2101"/>
      <c r="H16" s="2101"/>
      <c r="I16" s="2101"/>
      <c r="J16" s="2101"/>
    </row>
    <row r="17" spans="1:12" ht="18.75">
      <c r="A17" s="930"/>
      <c r="B17" s="8"/>
    </row>
    <row r="18" spans="1:12" ht="15.75">
      <c r="A18" s="930"/>
      <c r="B18" s="1072" t="s">
        <v>3821</v>
      </c>
      <c r="C18" s="1027"/>
      <c r="D18" s="1027"/>
      <c r="E18" s="1027"/>
      <c r="F18" s="1027"/>
      <c r="G18" s="1027"/>
      <c r="H18" s="1027"/>
      <c r="I18" s="1027"/>
      <c r="J18" s="1027"/>
    </row>
    <row r="19" spans="1:12">
      <c r="A19" s="930"/>
      <c r="B19" s="1076"/>
      <c r="C19" s="1076"/>
      <c r="D19" s="1076"/>
      <c r="E19" s="1027"/>
      <c r="F19" s="1027"/>
      <c r="G19" s="1076"/>
      <c r="H19" s="1076"/>
      <c r="I19" s="1076"/>
      <c r="J19" s="1076"/>
      <c r="K19" s="23"/>
      <c r="L19" s="23"/>
    </row>
    <row r="20" spans="1:12" ht="15.75">
      <c r="A20" s="930"/>
      <c r="B20" s="1073" t="s">
        <v>3822</v>
      </c>
      <c r="C20" s="2096"/>
      <c r="D20" s="2096"/>
      <c r="E20" s="2096"/>
      <c r="F20" s="2096"/>
      <c r="G20" s="1027"/>
      <c r="H20" s="1027"/>
      <c r="I20" s="1027"/>
      <c r="J20" s="1076"/>
      <c r="K20" s="23"/>
      <c r="L20" s="23"/>
    </row>
    <row r="21" spans="1:12" ht="15.75">
      <c r="A21" s="930"/>
      <c r="B21" s="1077"/>
      <c r="C21" s="1027"/>
      <c r="D21" s="1027"/>
      <c r="E21" s="1027"/>
      <c r="F21" s="1027"/>
      <c r="G21" s="1027"/>
      <c r="H21" s="1027"/>
      <c r="I21" s="1027"/>
      <c r="J21" s="1076"/>
      <c r="K21" s="23"/>
      <c r="L21" s="23"/>
    </row>
    <row r="22" spans="1:12" ht="15.75">
      <c r="A22" s="930"/>
      <c r="B22" s="1073" t="s">
        <v>1854</v>
      </c>
      <c r="C22" s="263"/>
      <c r="D22" s="1074"/>
      <c r="E22" s="1073" t="s">
        <v>3616</v>
      </c>
      <c r="F22" s="263"/>
      <c r="G22" s="1027"/>
      <c r="H22" s="1073" t="s">
        <v>3823</v>
      </c>
      <c r="I22" s="266"/>
      <c r="J22" s="1076"/>
      <c r="K22" s="23"/>
      <c r="L22" s="23"/>
    </row>
    <row r="23" spans="1:12" ht="15.75">
      <c r="A23" s="930"/>
      <c r="B23" s="1073" t="s">
        <v>3814</v>
      </c>
      <c r="C23" s="2096"/>
      <c r="D23" s="2096"/>
      <c r="E23" s="2096"/>
      <c r="F23" s="2099"/>
      <c r="G23" s="2096"/>
      <c r="H23" s="1040"/>
      <c r="I23" s="1027"/>
      <c r="J23" s="1076"/>
      <c r="K23" s="23"/>
      <c r="L23" s="23"/>
    </row>
    <row r="24" spans="1:12" ht="15.75">
      <c r="A24" s="930"/>
      <c r="B24" s="1073" t="s">
        <v>3599</v>
      </c>
      <c r="C24" s="263"/>
      <c r="D24" s="1076"/>
      <c r="E24" s="1073" t="s">
        <v>3600</v>
      </c>
      <c r="F24" s="261"/>
      <c r="G24" s="1027"/>
      <c r="H24" s="1073" t="s">
        <v>789</v>
      </c>
      <c r="I24" s="263"/>
      <c r="J24" s="1076"/>
      <c r="K24" s="23"/>
      <c r="L24" s="23"/>
    </row>
    <row r="25" spans="1:12" ht="15.75">
      <c r="A25" s="930"/>
      <c r="B25" s="1073" t="s">
        <v>3824</v>
      </c>
      <c r="C25" s="265"/>
      <c r="D25" s="1076"/>
      <c r="E25" s="1073" t="s">
        <v>3725</v>
      </c>
      <c r="F25" s="966"/>
      <c r="G25" s="1027"/>
      <c r="H25" s="1073" t="s">
        <v>3825</v>
      </c>
      <c r="I25" s="253"/>
      <c r="J25" s="1076"/>
      <c r="K25" s="23"/>
      <c r="L25" s="23"/>
    </row>
    <row r="26" spans="1:12" ht="15.75">
      <c r="A26" s="930"/>
      <c r="B26" s="1073" t="s">
        <v>3826</v>
      </c>
      <c r="C26" s="261"/>
      <c r="D26" s="1027"/>
      <c r="E26" s="1073" t="s">
        <v>3827</v>
      </c>
      <c r="F26" s="210"/>
      <c r="G26" s="1027"/>
      <c r="H26" s="1073" t="s">
        <v>3828</v>
      </c>
      <c r="I26" s="693"/>
      <c r="J26" s="1076"/>
      <c r="K26" s="23"/>
      <c r="L26" s="23"/>
    </row>
    <row r="27" spans="1:12">
      <c r="A27" s="930"/>
      <c r="B27" s="1027"/>
      <c r="C27" s="1027"/>
      <c r="D27" s="1027"/>
      <c r="E27" s="1027"/>
      <c r="F27" s="1027"/>
      <c r="G27" s="1027"/>
      <c r="H27" s="1027"/>
      <c r="I27" s="1027"/>
      <c r="J27" s="1076"/>
      <c r="K27" s="23"/>
      <c r="L27" s="23"/>
    </row>
    <row r="28" spans="1:12">
      <c r="A28" s="930"/>
      <c r="B28" s="23"/>
      <c r="C28" s="23"/>
      <c r="D28" s="23"/>
      <c r="E28" s="24"/>
      <c r="F28" s="24"/>
      <c r="J28" s="23"/>
      <c r="K28" s="23"/>
      <c r="L28" s="23"/>
    </row>
    <row r="29" spans="1:12" ht="15.75">
      <c r="A29" s="930"/>
      <c r="B29" s="1072" t="s">
        <v>3821</v>
      </c>
      <c r="C29" s="1027"/>
      <c r="D29" s="1027"/>
      <c r="E29" s="1027"/>
      <c r="F29" s="1027"/>
      <c r="G29" s="1027"/>
      <c r="H29" s="1027"/>
      <c r="I29" s="1027"/>
      <c r="J29" s="1027"/>
    </row>
    <row r="30" spans="1:12">
      <c r="A30" s="930"/>
      <c r="B30" s="1076"/>
      <c r="C30" s="1076"/>
      <c r="D30" s="1076"/>
      <c r="E30" s="1027"/>
      <c r="F30" s="1027"/>
      <c r="G30" s="1076"/>
      <c r="H30" s="1076"/>
      <c r="I30" s="1076"/>
      <c r="J30" s="1076"/>
    </row>
    <row r="31" spans="1:12" ht="15.75">
      <c r="A31" s="930"/>
      <c r="B31" s="1073" t="s">
        <v>3822</v>
      </c>
      <c r="C31" s="2097"/>
      <c r="D31" s="2097"/>
      <c r="E31" s="2097"/>
      <c r="F31" s="2097"/>
      <c r="G31" s="1027"/>
      <c r="H31" s="1027"/>
      <c r="I31" s="1027"/>
      <c r="J31" s="1076"/>
    </row>
    <row r="32" spans="1:12" ht="15.75">
      <c r="A32" s="930"/>
      <c r="B32" s="1077"/>
      <c r="C32" s="1027"/>
      <c r="D32" s="1027"/>
      <c r="E32" s="1027"/>
      <c r="F32" s="1027"/>
      <c r="G32" s="1027"/>
      <c r="H32" s="1027"/>
      <c r="I32" s="1027"/>
      <c r="J32" s="1076"/>
    </row>
    <row r="33" spans="1:10" ht="15.75">
      <c r="A33" s="930"/>
      <c r="B33" s="1073" t="s">
        <v>1854</v>
      </c>
      <c r="C33" s="169"/>
      <c r="D33" s="1074"/>
      <c r="E33" s="1073" t="s">
        <v>3829</v>
      </c>
      <c r="F33" s="169"/>
      <c r="G33" s="1027"/>
      <c r="H33" s="1073" t="s">
        <v>3823</v>
      </c>
      <c r="I33" s="174"/>
      <c r="J33" s="1076"/>
    </row>
    <row r="34" spans="1:10" ht="15.75">
      <c r="A34" s="930"/>
      <c r="B34" s="1073" t="s">
        <v>3814</v>
      </c>
      <c r="C34" s="2097"/>
      <c r="D34" s="2097"/>
      <c r="E34" s="2097"/>
      <c r="F34" s="2097"/>
      <c r="G34" s="2097"/>
      <c r="H34" s="1027"/>
      <c r="I34" s="1027"/>
      <c r="J34" s="1076"/>
    </row>
    <row r="35" spans="1:10" ht="15.75">
      <c r="A35" s="930"/>
      <c r="B35" s="1073" t="s">
        <v>3599</v>
      </c>
      <c r="C35" s="169"/>
      <c r="D35" s="1076"/>
      <c r="E35" s="1073" t="s">
        <v>3600</v>
      </c>
      <c r="F35" s="165"/>
      <c r="G35" s="1027"/>
      <c r="H35" s="1073" t="s">
        <v>789</v>
      </c>
      <c r="I35" s="169"/>
      <c r="J35" s="1076"/>
    </row>
    <row r="36" spans="1:10" ht="15.75">
      <c r="A36" s="930"/>
      <c r="B36" s="1073" t="s">
        <v>3824</v>
      </c>
      <c r="C36" s="209"/>
      <c r="D36" s="1076"/>
      <c r="E36" s="1073" t="s">
        <v>3725</v>
      </c>
      <c r="F36" s="209"/>
      <c r="G36" s="1027"/>
      <c r="H36" s="1073" t="s">
        <v>3825</v>
      </c>
      <c r="I36" s="169"/>
      <c r="J36" s="1076"/>
    </row>
    <row r="37" spans="1:10" ht="15.75">
      <c r="A37" s="930"/>
      <c r="B37" s="1073" t="s">
        <v>3826</v>
      </c>
      <c r="C37" s="165"/>
      <c r="D37" s="1027"/>
      <c r="E37" s="1073" t="s">
        <v>3827</v>
      </c>
      <c r="F37" s="210" t="s">
        <v>3830</v>
      </c>
      <c r="G37" s="1027"/>
      <c r="H37" s="1073" t="s">
        <v>3828</v>
      </c>
      <c r="I37" s="694"/>
      <c r="J37" s="1076"/>
    </row>
    <row r="38" spans="1:10">
      <c r="A38" s="930"/>
      <c r="B38" s="1027"/>
      <c r="C38" s="1027"/>
      <c r="D38" s="1027"/>
      <c r="E38" s="1027"/>
      <c r="F38" s="1027"/>
      <c r="G38" s="1027"/>
      <c r="H38" s="1027"/>
      <c r="I38" s="1027"/>
      <c r="J38" s="1076"/>
    </row>
    <row r="39" spans="1:10">
      <c r="A39" s="932"/>
      <c r="B39" s="23"/>
      <c r="C39" s="23"/>
      <c r="D39" s="23"/>
      <c r="E39" s="24"/>
      <c r="F39" s="24"/>
      <c r="J39" s="23"/>
    </row>
    <row r="40" spans="1:10" ht="15.75">
      <c r="A40" s="932"/>
      <c r="B40" s="1072" t="s">
        <v>3821</v>
      </c>
      <c r="C40" s="1027"/>
      <c r="D40" s="1027"/>
      <c r="E40" s="1027"/>
      <c r="F40" s="1027"/>
      <c r="G40" s="1027"/>
      <c r="H40" s="1027"/>
      <c r="I40" s="1027"/>
      <c r="J40" s="1027"/>
    </row>
    <row r="41" spans="1:10">
      <c r="A41" s="932"/>
      <c r="B41" s="1076"/>
      <c r="C41" s="1076"/>
      <c r="D41" s="1076"/>
      <c r="E41" s="1027"/>
      <c r="F41" s="1027"/>
      <c r="G41" s="1076"/>
      <c r="H41" s="1076"/>
      <c r="I41" s="1076"/>
      <c r="J41" s="1076"/>
    </row>
    <row r="42" spans="1:10" ht="15.75">
      <c r="A42" s="932"/>
      <c r="B42" s="1073" t="s">
        <v>3822</v>
      </c>
      <c r="C42" s="2097"/>
      <c r="D42" s="2097"/>
      <c r="E42" s="2097"/>
      <c r="F42" s="2097"/>
      <c r="G42" s="1027"/>
      <c r="H42" s="1027"/>
      <c r="I42" s="1027"/>
      <c r="J42" s="1076"/>
    </row>
    <row r="43" spans="1:10">
      <c r="A43" s="932"/>
      <c r="B43" s="1073"/>
      <c r="C43" s="1027"/>
      <c r="D43" s="1027"/>
      <c r="E43" s="1027"/>
      <c r="F43" s="1027"/>
      <c r="G43" s="1027"/>
      <c r="H43" s="1027"/>
      <c r="I43" s="1027"/>
      <c r="J43" s="1076"/>
    </row>
    <row r="44" spans="1:10" ht="15.75">
      <c r="A44" s="930"/>
      <c r="B44" s="1073" t="s">
        <v>3831</v>
      </c>
      <c r="C44" s="169"/>
      <c r="D44" s="1074"/>
      <c r="E44" s="1073" t="s">
        <v>3616</v>
      </c>
      <c r="F44" s="169"/>
      <c r="G44" s="1027"/>
      <c r="H44" s="1073" t="s">
        <v>3823</v>
      </c>
      <c r="I44" s="254"/>
      <c r="J44" s="1076"/>
    </row>
    <row r="45" spans="1:10" ht="15.75">
      <c r="A45" s="930"/>
      <c r="B45" s="1073" t="s">
        <v>3832</v>
      </c>
      <c r="C45" s="2097"/>
      <c r="D45" s="2097"/>
      <c r="E45" s="2097"/>
      <c r="F45" s="2100"/>
      <c r="G45" s="2097"/>
      <c r="H45" s="1027"/>
      <c r="I45" s="1027"/>
      <c r="J45" s="1076"/>
    </row>
    <row r="46" spans="1:10" ht="15.75">
      <c r="A46" s="930"/>
      <c r="B46" s="1073" t="s">
        <v>3833</v>
      </c>
      <c r="C46" s="169"/>
      <c r="D46" s="1076"/>
      <c r="E46" s="1073" t="s">
        <v>3600</v>
      </c>
      <c r="F46" s="165"/>
      <c r="G46" s="1027"/>
      <c r="H46" s="1073" t="s">
        <v>789</v>
      </c>
      <c r="I46" s="169"/>
      <c r="J46" s="1076"/>
    </row>
    <row r="47" spans="1:10" ht="15.75">
      <c r="A47" s="930"/>
      <c r="B47" s="1073" t="s">
        <v>3824</v>
      </c>
      <c r="C47" s="256"/>
      <c r="D47" s="1076"/>
      <c r="E47" s="1073" t="s">
        <v>3725</v>
      </c>
      <c r="F47" s="966"/>
      <c r="G47" s="1027"/>
      <c r="H47" s="1073" t="s">
        <v>3825</v>
      </c>
      <c r="I47" s="169"/>
      <c r="J47" s="1076"/>
    </row>
    <row r="48" spans="1:10" ht="15.75">
      <c r="B48" s="1073" t="s">
        <v>3826</v>
      </c>
      <c r="C48" s="165"/>
      <c r="D48" s="1027"/>
      <c r="E48" s="1073" t="s">
        <v>3827</v>
      </c>
      <c r="F48" s="210"/>
      <c r="G48" s="1027"/>
      <c r="H48" s="1073" t="s">
        <v>3828</v>
      </c>
      <c r="I48" s="694"/>
      <c r="J48" s="1076"/>
    </row>
    <row r="49" spans="1:10">
      <c r="B49" s="1027"/>
      <c r="C49" s="1027"/>
      <c r="D49" s="1027"/>
      <c r="E49" s="1027"/>
      <c r="F49" s="1027"/>
      <c r="G49" s="1027"/>
      <c r="H49" s="1027"/>
      <c r="I49" s="1027"/>
      <c r="J49" s="1076"/>
    </row>
    <row r="50" spans="1:10" ht="18.75">
      <c r="B50" s="8"/>
    </row>
    <row r="51" spans="1:10" ht="15.75">
      <c r="B51" s="1078" t="s">
        <v>3834</v>
      </c>
      <c r="C51" s="1027"/>
      <c r="D51" s="1027"/>
      <c r="E51" s="1027"/>
      <c r="F51" s="1027"/>
      <c r="G51" s="1027"/>
      <c r="H51" s="1027"/>
      <c r="I51" s="1027"/>
      <c r="J51" s="1027"/>
    </row>
    <row r="52" spans="1:10">
      <c r="B52" s="1027"/>
      <c r="C52" s="1027"/>
      <c r="D52" s="1027"/>
      <c r="E52" s="1027"/>
      <c r="F52" s="1027"/>
      <c r="G52" s="1027"/>
      <c r="H52" s="1027"/>
      <c r="I52" s="1027"/>
      <c r="J52" s="1027"/>
    </row>
    <row r="53" spans="1:10">
      <c r="B53" s="2098" t="s">
        <v>3835</v>
      </c>
      <c r="C53" s="2098"/>
      <c r="D53" s="2098"/>
      <c r="E53" s="2098"/>
      <c r="F53" s="2098"/>
      <c r="G53" s="2098"/>
      <c r="H53" s="2098"/>
      <c r="I53" s="2098"/>
      <c r="J53" s="1027"/>
    </row>
    <row r="54" spans="1:10" s="547" customFormat="1" ht="18.75">
      <c r="A54" s="1430"/>
      <c r="B54" s="8" t="s">
        <v>174</v>
      </c>
    </row>
    <row r="55" spans="1:10" s="821" customFormat="1" ht="18.75">
      <c r="A55" s="933"/>
      <c r="B55" s="1072" t="s">
        <v>3496</v>
      </c>
      <c r="C55" s="1079"/>
      <c r="D55" s="1080"/>
      <c r="E55" s="1080"/>
      <c r="F55" s="1080"/>
      <c r="G55" s="1080"/>
      <c r="H55" s="1080"/>
      <c r="I55" s="1080"/>
      <c r="J55" s="1080"/>
    </row>
    <row r="56" spans="1:10" ht="15.75">
      <c r="A56" s="924"/>
      <c r="B56" s="1027"/>
      <c r="C56" s="1706" t="s">
        <v>3836</v>
      </c>
      <c r="D56" s="165"/>
      <c r="E56" s="1041"/>
      <c r="F56" s="1041"/>
      <c r="G56" s="1041"/>
      <c r="H56" s="1041"/>
      <c r="I56" s="1027"/>
      <c r="J56" s="1027"/>
    </row>
    <row r="57" spans="1:10" ht="15.75">
      <c r="A57" s="924"/>
      <c r="B57" s="1027"/>
      <c r="C57" s="1706"/>
      <c r="D57" s="1041"/>
      <c r="E57" s="1041"/>
      <c r="F57" s="1041"/>
      <c r="G57" s="1041"/>
      <c r="H57" s="1041"/>
      <c r="I57" s="1027"/>
      <c r="J57" s="1027"/>
    </row>
    <row r="58" spans="1:10" ht="15.75">
      <c r="A58" s="924"/>
      <c r="B58" s="1027"/>
      <c r="C58" s="1706" t="s">
        <v>3837</v>
      </c>
      <c r="D58" s="2007"/>
      <c r="E58" s="2008"/>
      <c r="F58" s="2008"/>
      <c r="G58" s="2008"/>
      <c r="H58" s="2009"/>
      <c r="I58" s="1027"/>
      <c r="J58" s="1027"/>
    </row>
    <row r="59" spans="1:10" ht="15.75">
      <c r="A59" s="924"/>
      <c r="B59" s="1027"/>
      <c r="C59" s="1705"/>
      <c r="D59" s="1039"/>
      <c r="E59" s="1705"/>
      <c r="F59" s="1039"/>
      <c r="G59" s="1039"/>
      <c r="H59" s="1027"/>
      <c r="I59" s="1027"/>
      <c r="J59" s="1027"/>
    </row>
    <row r="60" spans="1:10" ht="15.75">
      <c r="A60" s="924"/>
      <c r="B60" s="1027"/>
      <c r="C60" s="1705" t="s">
        <v>3597</v>
      </c>
      <c r="D60" s="2007"/>
      <c r="E60" s="2008"/>
      <c r="F60" s="2008"/>
      <c r="G60" s="2008"/>
      <c r="H60" s="2009"/>
      <c r="I60" s="1027"/>
      <c r="J60" s="1027"/>
    </row>
    <row r="61" spans="1:10" ht="15.75">
      <c r="A61" s="924"/>
      <c r="B61" s="1027"/>
      <c r="C61" s="1027"/>
      <c r="D61" s="1027"/>
      <c r="E61" s="1027"/>
      <c r="F61" s="1027"/>
      <c r="G61" s="1027"/>
      <c r="H61" s="1027"/>
      <c r="I61" s="1027"/>
      <c r="J61" s="1027"/>
    </row>
    <row r="62" spans="1:10" ht="15.75">
      <c r="A62" s="924"/>
      <c r="B62" s="1027"/>
      <c r="C62" s="1705" t="s">
        <v>3599</v>
      </c>
      <c r="D62" s="261"/>
      <c r="E62" s="1705" t="s">
        <v>3600</v>
      </c>
      <c r="F62" s="261"/>
      <c r="G62" s="1706" t="s">
        <v>789</v>
      </c>
      <c r="H62" s="266"/>
      <c r="I62" s="1027"/>
      <c r="J62" s="1027"/>
    </row>
    <row r="63" spans="1:10" ht="15.75">
      <c r="A63" s="924"/>
      <c r="B63" s="1027"/>
      <c r="C63" s="1027"/>
      <c r="D63" s="1027"/>
      <c r="E63" s="1027"/>
      <c r="F63" s="1027"/>
      <c r="G63" s="1027"/>
      <c r="H63" s="1027"/>
      <c r="I63" s="1027"/>
      <c r="J63" s="1027"/>
    </row>
    <row r="64" spans="1:10" ht="15.75">
      <c r="A64" s="924"/>
      <c r="B64" s="1027"/>
      <c r="C64" s="1706" t="s">
        <v>3723</v>
      </c>
      <c r="D64" s="935"/>
      <c r="E64" s="1705"/>
      <c r="F64" s="1705" t="s">
        <v>3726</v>
      </c>
      <c r="G64" s="2085"/>
      <c r="H64" s="2084"/>
      <c r="I64" s="1027"/>
      <c r="J64" s="1027"/>
    </row>
    <row r="65" spans="1:10" ht="15.75">
      <c r="A65" s="924"/>
      <c r="B65" s="1027"/>
      <c r="C65" s="1051"/>
      <c r="D65" s="1039"/>
      <c r="E65" s="1705"/>
      <c r="F65" s="1039"/>
      <c r="G65" s="1039"/>
      <c r="H65" s="1027"/>
      <c r="I65" s="1027"/>
      <c r="J65" s="1027"/>
    </row>
    <row r="66" spans="1:10" ht="15.75">
      <c r="A66" s="924"/>
      <c r="B66" s="1038"/>
      <c r="C66" s="1052" t="s">
        <v>3838</v>
      </c>
      <c r="D66" s="1704"/>
      <c r="E66" s="1705" t="s">
        <v>3839</v>
      </c>
      <c r="F66" s="1704"/>
      <c r="G66" s="1706"/>
      <c r="H66" s="1706"/>
      <c r="I66" s="1027"/>
      <c r="J66" s="1027"/>
    </row>
    <row r="67" spans="1:10" ht="15.75">
      <c r="A67" s="924"/>
      <c r="B67" s="1027"/>
      <c r="C67" s="1705"/>
      <c r="D67" s="1039"/>
      <c r="E67" s="1039"/>
      <c r="F67" s="1039"/>
      <c r="G67" s="1039"/>
      <c r="H67" s="1027"/>
      <c r="I67" s="1027"/>
      <c r="J67" s="1027"/>
    </row>
    <row r="68" spans="1:10" ht="15.75">
      <c r="A68" s="924"/>
      <c r="C68" s="167"/>
      <c r="D68" s="166"/>
      <c r="E68" s="166"/>
      <c r="F68" s="166"/>
      <c r="G68" s="166"/>
    </row>
    <row r="69" spans="1:10" ht="15.75">
      <c r="A69" s="924"/>
      <c r="B69" s="1072" t="s">
        <v>3840</v>
      </c>
      <c r="C69" s="1027"/>
      <c r="D69" s="1027"/>
      <c r="E69" s="1027"/>
      <c r="F69" s="1027"/>
      <c r="G69" s="1027"/>
      <c r="H69" s="1027"/>
      <c r="I69" s="1027"/>
      <c r="J69" s="1027"/>
    </row>
    <row r="70" spans="1:10" ht="18.75">
      <c r="A70" s="924"/>
      <c r="B70" s="1026"/>
      <c r="C70" s="1706" t="s">
        <v>3841</v>
      </c>
      <c r="D70" s="261"/>
      <c r="E70" s="1706" t="s">
        <v>3842</v>
      </c>
      <c r="F70" s="165"/>
      <c r="G70" s="1039"/>
      <c r="H70" s="1039"/>
      <c r="I70" s="1027"/>
      <c r="J70" s="1027"/>
    </row>
    <row r="71" spans="1:10" ht="15.75">
      <c r="A71" s="924"/>
      <c r="B71" s="1027"/>
      <c r="C71" s="1039"/>
      <c r="D71" s="1039"/>
      <c r="E71" s="1050"/>
      <c r="F71" s="1050"/>
      <c r="G71" s="1050"/>
      <c r="H71" s="1050"/>
      <c r="I71" s="1027"/>
      <c r="J71" s="1027"/>
    </row>
    <row r="72" spans="1:10" ht="15.75">
      <c r="A72" s="924"/>
      <c r="B72" s="1027"/>
      <c r="C72" s="1052" t="s">
        <v>3837</v>
      </c>
      <c r="D72" s="2082"/>
      <c r="E72" s="2083"/>
      <c r="F72" s="2083"/>
      <c r="G72" s="2083"/>
      <c r="H72" s="2084"/>
      <c r="I72" s="1027"/>
      <c r="J72" s="1027"/>
    </row>
    <row r="73" spans="1:10" ht="15.75">
      <c r="A73" s="924"/>
      <c r="B73" s="1027"/>
      <c r="C73" s="1705"/>
      <c r="D73" s="1039"/>
      <c r="E73" s="1705"/>
      <c r="F73" s="1039"/>
      <c r="G73" s="1039"/>
      <c r="H73" s="1027"/>
      <c r="I73" s="1027"/>
      <c r="J73" s="1027"/>
    </row>
    <row r="74" spans="1:10" ht="15.75">
      <c r="A74" s="924"/>
      <c r="B74" s="1027"/>
      <c r="C74" s="1705" t="s">
        <v>3597</v>
      </c>
      <c r="D74" s="2082"/>
      <c r="E74" s="2083"/>
      <c r="F74" s="2083"/>
      <c r="G74" s="2083"/>
      <c r="H74" s="2084"/>
      <c r="I74" s="1027"/>
      <c r="J74" s="1027"/>
    </row>
    <row r="75" spans="1:10" ht="15.75">
      <c r="A75" s="924"/>
      <c r="B75" s="1027"/>
      <c r="C75" s="1027"/>
      <c r="D75" s="1027"/>
      <c r="E75" s="1027"/>
      <c r="F75" s="1027"/>
      <c r="G75" s="1027"/>
      <c r="H75" s="1027"/>
      <c r="I75" s="1027"/>
      <c r="J75" s="1027"/>
    </row>
    <row r="76" spans="1:10" ht="15.75">
      <c r="A76" s="924"/>
      <c r="B76" s="1027"/>
      <c r="C76" s="1705" t="s">
        <v>3599</v>
      </c>
      <c r="D76" s="165"/>
      <c r="E76" s="1705" t="s">
        <v>3600</v>
      </c>
      <c r="F76" s="165"/>
      <c r="G76" s="1706" t="s">
        <v>789</v>
      </c>
      <c r="H76" s="174"/>
      <c r="I76" s="1027"/>
      <c r="J76" s="1027"/>
    </row>
    <row r="77" spans="1:10" ht="15.75">
      <c r="A77" s="924"/>
      <c r="B77" s="1027"/>
      <c r="C77" s="1027"/>
      <c r="D77" s="1027"/>
      <c r="E77" s="1027"/>
      <c r="F77" s="1027"/>
      <c r="G77" s="1027"/>
      <c r="H77" s="1027"/>
      <c r="I77" s="1027"/>
      <c r="J77" s="1027"/>
    </row>
    <row r="78" spans="1:10" ht="15.75">
      <c r="A78" s="924"/>
      <c r="B78" s="1027"/>
      <c r="C78" s="1706" t="s">
        <v>3723</v>
      </c>
      <c r="D78" s="936"/>
      <c r="E78" s="1705"/>
      <c r="F78" s="1705" t="s">
        <v>3726</v>
      </c>
      <c r="G78" s="2085"/>
      <c r="H78" s="2084"/>
      <c r="I78" s="1027"/>
      <c r="J78" s="1027"/>
    </row>
    <row r="79" spans="1:10" ht="15.75">
      <c r="A79" s="924"/>
      <c r="B79" s="1051"/>
      <c r="C79" s="1051"/>
      <c r="D79" s="1039"/>
      <c r="E79" s="1705"/>
      <c r="F79" s="1039"/>
      <c r="G79" s="1039"/>
      <c r="H79" s="1027"/>
      <c r="I79" s="1027"/>
      <c r="J79" s="1027"/>
    </row>
    <row r="80" spans="1:10" ht="15.75">
      <c r="A80" s="924"/>
      <c r="B80" s="1038"/>
      <c r="C80" s="1052" t="s">
        <v>3838</v>
      </c>
      <c r="D80" s="1704"/>
      <c r="E80" s="1705" t="s">
        <v>3839</v>
      </c>
      <c r="F80" s="1704"/>
      <c r="G80" s="1706"/>
      <c r="H80" s="1706"/>
      <c r="I80" s="1027"/>
      <c r="J80" s="1027"/>
    </row>
    <row r="81" spans="1:10" ht="15.75">
      <c r="A81" s="924"/>
      <c r="B81" s="1027"/>
      <c r="C81" s="1705"/>
      <c r="D81" s="1039"/>
      <c r="E81" s="1039"/>
      <c r="F81" s="1039"/>
      <c r="G81" s="1039"/>
      <c r="H81" s="1027"/>
      <c r="I81" s="1027"/>
      <c r="J81" s="1027"/>
    </row>
    <row r="82" spans="1:10" ht="15.75">
      <c r="A82" s="924"/>
    </row>
    <row r="83" spans="1:10" ht="15.75">
      <c r="A83" s="924"/>
      <c r="B83" s="1072" t="s">
        <v>3495</v>
      </c>
      <c r="C83" s="1027"/>
      <c r="D83" s="1027"/>
      <c r="E83" s="1027"/>
      <c r="F83" s="1027"/>
      <c r="G83" s="1027"/>
      <c r="H83" s="1027"/>
      <c r="I83" s="1027"/>
      <c r="J83" s="1027"/>
    </row>
    <row r="84" spans="1:10" ht="18.75">
      <c r="A84" s="924"/>
      <c r="B84" s="1026"/>
      <c r="C84" s="1706" t="s">
        <v>3842</v>
      </c>
      <c r="D84" s="261"/>
      <c r="E84" s="1027"/>
      <c r="F84" s="1027"/>
      <c r="G84" s="1039"/>
      <c r="H84" s="1039"/>
      <c r="I84" s="1027"/>
      <c r="J84" s="1027"/>
    </row>
    <row r="85" spans="1:10" ht="15.75">
      <c r="A85" s="924"/>
      <c r="B85" s="1027"/>
      <c r="C85" s="1039"/>
      <c r="D85" s="1039"/>
      <c r="E85" s="1050"/>
      <c r="F85" s="1050"/>
      <c r="G85" s="1050"/>
      <c r="H85" s="1050"/>
      <c r="I85" s="1027"/>
      <c r="J85" s="1027"/>
    </row>
    <row r="86" spans="1:10" ht="15.75">
      <c r="A86" s="924"/>
      <c r="B86" s="1027"/>
      <c r="C86" s="1052" t="s">
        <v>3837</v>
      </c>
      <c r="D86" s="2007"/>
      <c r="E86" s="2008"/>
      <c r="F86" s="2008"/>
      <c r="G86" s="2008"/>
      <c r="H86" s="2009"/>
      <c r="I86" s="1027"/>
      <c r="J86" s="1027"/>
    </row>
    <row r="87" spans="1:10" ht="15.75">
      <c r="A87" s="924"/>
      <c r="B87" s="1027"/>
      <c r="C87" s="1705"/>
      <c r="D87" s="1039"/>
      <c r="E87" s="1705"/>
      <c r="F87" s="1039"/>
      <c r="G87" s="1039"/>
      <c r="H87" s="1027"/>
      <c r="I87" s="1027"/>
      <c r="J87" s="1027"/>
    </row>
    <row r="88" spans="1:10" ht="15.75">
      <c r="A88" s="924"/>
      <c r="B88" s="1027"/>
      <c r="C88" s="1705" t="s">
        <v>3597</v>
      </c>
      <c r="D88" s="2007"/>
      <c r="E88" s="2008"/>
      <c r="F88" s="2008"/>
      <c r="G88" s="2008"/>
      <c r="H88" s="2009"/>
      <c r="I88" s="1027"/>
      <c r="J88" s="1027"/>
    </row>
    <row r="89" spans="1:10" ht="15.75">
      <c r="A89" s="924"/>
      <c r="B89" s="1027"/>
      <c r="C89" s="1027"/>
      <c r="D89" s="1027"/>
      <c r="E89" s="1027"/>
      <c r="F89" s="1027"/>
      <c r="G89" s="1027"/>
      <c r="H89" s="1027"/>
      <c r="I89" s="1027"/>
      <c r="J89" s="1027"/>
    </row>
    <row r="90" spans="1:10" ht="15.75">
      <c r="A90" s="924"/>
      <c r="B90" s="1027"/>
      <c r="C90" s="1705" t="s">
        <v>3599</v>
      </c>
      <c r="D90" s="261"/>
      <c r="E90" s="1705" t="s">
        <v>3600</v>
      </c>
      <c r="F90" s="261"/>
      <c r="G90" s="1706" t="s">
        <v>789</v>
      </c>
      <c r="H90" s="266"/>
      <c r="I90" s="1027"/>
      <c r="J90" s="1027"/>
    </row>
    <row r="91" spans="1:10" ht="15.75">
      <c r="A91" s="924"/>
      <c r="B91" s="1027"/>
      <c r="C91" s="1027"/>
      <c r="D91" s="1027"/>
      <c r="E91" s="1027"/>
      <c r="F91" s="1027"/>
      <c r="G91" s="1027"/>
      <c r="H91" s="1027"/>
      <c r="I91" s="1027"/>
      <c r="J91" s="1027"/>
    </row>
    <row r="92" spans="1:10" ht="15.75">
      <c r="A92" s="924"/>
      <c r="B92" s="1027"/>
      <c r="C92" s="1706" t="s">
        <v>3723</v>
      </c>
      <c r="D92" s="935"/>
      <c r="E92" s="1705"/>
      <c r="F92" s="1705" t="s">
        <v>3726</v>
      </c>
      <c r="G92" s="2085"/>
      <c r="H92" s="2084"/>
      <c r="I92" s="1027"/>
      <c r="J92" s="1027"/>
    </row>
    <row r="93" spans="1:10" ht="15.75">
      <c r="A93" s="924"/>
      <c r="B93" s="1027"/>
      <c r="C93" s="1051"/>
      <c r="D93" s="1039"/>
      <c r="E93" s="1705"/>
      <c r="F93" s="1039"/>
      <c r="G93" s="1039"/>
      <c r="H93" s="1027"/>
      <c r="I93" s="1027"/>
      <c r="J93" s="1027"/>
    </row>
    <row r="94" spans="1:10" ht="15.75">
      <c r="A94" s="924"/>
      <c r="B94" s="1038"/>
      <c r="C94" s="1052" t="s">
        <v>3838</v>
      </c>
      <c r="D94" s="165"/>
      <c r="E94" s="1705" t="s">
        <v>3839</v>
      </c>
      <c r="F94" s="165"/>
      <c r="G94" s="1706"/>
      <c r="H94" s="1706"/>
      <c r="I94" s="1027"/>
      <c r="J94" s="1027"/>
    </row>
    <row r="95" spans="1:10" ht="15.75">
      <c r="A95" s="924"/>
      <c r="B95" s="1027"/>
      <c r="C95" s="1705"/>
      <c r="D95" s="1039"/>
      <c r="E95" s="1039"/>
      <c r="F95" s="1039"/>
      <c r="G95" s="1039"/>
      <c r="H95" s="1027"/>
      <c r="I95" s="1027"/>
      <c r="J95" s="1027"/>
    </row>
    <row r="96" spans="1:10" ht="15.75">
      <c r="A96" s="924"/>
    </row>
    <row r="97" spans="1:10" ht="15.75">
      <c r="A97" s="924"/>
      <c r="B97" s="1072" t="s">
        <v>3843</v>
      </c>
      <c r="C97" s="1027"/>
      <c r="D97" s="1027"/>
      <c r="E97" s="1027"/>
      <c r="F97" s="1027"/>
      <c r="G97" s="1027"/>
      <c r="H97" s="1027"/>
      <c r="I97" s="1027"/>
      <c r="J97" s="1027"/>
    </row>
    <row r="98" spans="1:10" ht="18.75">
      <c r="A98" s="924"/>
      <c r="B98" s="1026"/>
      <c r="C98" s="1706" t="s">
        <v>3842</v>
      </c>
      <c r="D98" s="261"/>
      <c r="E98" s="1027"/>
      <c r="F98" s="1027"/>
      <c r="G98" s="1039"/>
      <c r="H98" s="1039"/>
      <c r="I98" s="1027"/>
      <c r="J98" s="1027"/>
    </row>
    <row r="99" spans="1:10" ht="15.75">
      <c r="A99" s="924"/>
      <c r="B99" s="1027"/>
      <c r="C99" s="1039"/>
      <c r="D99" s="1039"/>
      <c r="E99" s="1050"/>
      <c r="F99" s="1050"/>
      <c r="G99" s="1050"/>
      <c r="H99" s="1050"/>
      <c r="I99" s="1027"/>
      <c r="J99" s="1027"/>
    </row>
    <row r="100" spans="1:10" ht="15.75">
      <c r="A100" s="924"/>
      <c r="B100" s="1027"/>
      <c r="C100" s="1706" t="s">
        <v>3837</v>
      </c>
      <c r="D100" s="2007"/>
      <c r="E100" s="2008"/>
      <c r="F100" s="2008"/>
      <c r="G100" s="2008"/>
      <c r="H100" s="2009"/>
      <c r="I100" s="1027"/>
      <c r="J100" s="1027"/>
    </row>
    <row r="101" spans="1:10" ht="15.75">
      <c r="A101" s="924"/>
      <c r="B101" s="1027"/>
      <c r="C101" s="1705"/>
      <c r="D101" s="1039"/>
      <c r="E101" s="1705"/>
      <c r="F101" s="1039"/>
      <c r="G101" s="1039"/>
      <c r="H101" s="1027"/>
      <c r="I101" s="1027"/>
      <c r="J101" s="1027"/>
    </row>
    <row r="102" spans="1:10" ht="15.75">
      <c r="A102" s="924"/>
      <c r="B102" s="1027"/>
      <c r="C102" s="1705" t="s">
        <v>3597</v>
      </c>
      <c r="D102" s="2007"/>
      <c r="E102" s="2008"/>
      <c r="F102" s="2008"/>
      <c r="G102" s="2008"/>
      <c r="H102" s="2009"/>
      <c r="I102" s="1027"/>
      <c r="J102" s="1027"/>
    </row>
    <row r="103" spans="1:10" ht="15.75">
      <c r="A103" s="924"/>
      <c r="B103" s="1027"/>
      <c r="C103" s="1027"/>
      <c r="D103" s="1027"/>
      <c r="E103" s="1027"/>
      <c r="F103" s="1027"/>
      <c r="G103" s="1027"/>
      <c r="H103" s="1027"/>
      <c r="I103" s="1027"/>
      <c r="J103" s="1027"/>
    </row>
    <row r="104" spans="1:10" ht="15.75">
      <c r="A104" s="924"/>
      <c r="B104" s="1027"/>
      <c r="C104" s="1705" t="s">
        <v>3599</v>
      </c>
      <c r="D104" s="261"/>
      <c r="E104" s="1705" t="s">
        <v>3600</v>
      </c>
      <c r="F104" s="261"/>
      <c r="G104" s="1706" t="s">
        <v>789</v>
      </c>
      <c r="H104" s="266"/>
      <c r="I104" s="1027"/>
      <c r="J104" s="1027"/>
    </row>
    <row r="105" spans="1:10" ht="15.75">
      <c r="A105" s="924"/>
      <c r="B105" s="1027"/>
      <c r="C105" s="1027"/>
      <c r="D105" s="1027"/>
      <c r="E105" s="1027"/>
      <c r="F105" s="1027"/>
      <c r="G105" s="1027"/>
      <c r="H105" s="1027"/>
      <c r="I105" s="1027"/>
      <c r="J105" s="1027"/>
    </row>
    <row r="106" spans="1:10" ht="15.75">
      <c r="A106" s="924"/>
      <c r="B106" s="1027"/>
      <c r="C106" s="1706" t="s">
        <v>3723</v>
      </c>
      <c r="D106" s="935"/>
      <c r="E106" s="1705"/>
      <c r="F106" s="1705" t="s">
        <v>3726</v>
      </c>
      <c r="G106" s="2085"/>
      <c r="H106" s="2084"/>
      <c r="I106" s="1027"/>
      <c r="J106" s="1027"/>
    </row>
    <row r="107" spans="1:10" ht="15.75">
      <c r="A107" s="924"/>
      <c r="B107" s="1027"/>
      <c r="C107" s="1051"/>
      <c r="D107" s="1039"/>
      <c r="E107" s="1705"/>
      <c r="F107" s="1039"/>
      <c r="G107" s="1039"/>
      <c r="H107" s="1027"/>
      <c r="I107" s="1027"/>
      <c r="J107" s="1027"/>
    </row>
    <row r="108" spans="1:10" ht="15.75">
      <c r="A108" s="924"/>
      <c r="B108" s="1038"/>
      <c r="C108" s="1052" t="s">
        <v>3838</v>
      </c>
      <c r="D108" s="165"/>
      <c r="E108" s="1705" t="s">
        <v>3839</v>
      </c>
      <c r="F108" s="165"/>
      <c r="G108" s="1706"/>
      <c r="H108" s="1706"/>
      <c r="I108" s="1027"/>
      <c r="J108" s="1027"/>
    </row>
    <row r="109" spans="1:10" ht="15.75">
      <c r="A109" s="924"/>
      <c r="B109" s="1027"/>
      <c r="C109" s="1705"/>
      <c r="D109" s="1039"/>
      <c r="E109" s="1039"/>
      <c r="F109" s="1039"/>
      <c r="G109" s="1039"/>
      <c r="H109" s="1027"/>
      <c r="I109" s="1027"/>
      <c r="J109" s="1027"/>
    </row>
    <row r="110" spans="1:10" ht="15.75">
      <c r="A110" s="924"/>
    </row>
    <row r="111" spans="1:10" ht="15.75">
      <c r="A111" s="924"/>
      <c r="B111" s="1072" t="s">
        <v>3844</v>
      </c>
      <c r="C111" s="1027"/>
      <c r="D111" s="1027"/>
      <c r="E111" s="1027"/>
      <c r="F111" s="1027"/>
      <c r="G111" s="1027"/>
      <c r="H111" s="1027"/>
      <c r="I111" s="1027"/>
      <c r="J111" s="1027"/>
    </row>
    <row r="112" spans="1:10" ht="18.75">
      <c r="A112" s="924"/>
      <c r="B112" s="1026"/>
      <c r="C112" s="1706" t="s">
        <v>3845</v>
      </c>
      <c r="D112" s="261"/>
      <c r="E112" s="1706" t="s">
        <v>3842</v>
      </c>
      <c r="F112" s="165"/>
      <c r="G112" s="1039"/>
      <c r="H112" s="1039"/>
      <c r="I112" s="1027"/>
      <c r="J112" s="1027"/>
    </row>
    <row r="113" spans="1:10" ht="15.75">
      <c r="A113" s="924"/>
      <c r="B113" s="1027"/>
      <c r="C113" s="1039"/>
      <c r="D113" s="1039"/>
      <c r="E113" s="1050"/>
      <c r="F113" s="1050"/>
      <c r="G113" s="1050"/>
      <c r="H113" s="1050"/>
      <c r="I113" s="1027"/>
      <c r="J113" s="1027"/>
    </row>
    <row r="114" spans="1:10" ht="15.75">
      <c r="A114" s="924"/>
      <c r="B114" s="1027"/>
      <c r="C114" s="1706" t="s">
        <v>3837</v>
      </c>
      <c r="D114" s="2082"/>
      <c r="E114" s="2083"/>
      <c r="F114" s="2083"/>
      <c r="G114" s="2083"/>
      <c r="H114" s="2084"/>
      <c r="I114" s="1027"/>
      <c r="J114" s="1027"/>
    </row>
    <row r="115" spans="1:10" ht="15.75">
      <c r="A115" s="924"/>
      <c r="B115" s="1027"/>
      <c r="C115" s="1705"/>
      <c r="D115" s="1039"/>
      <c r="E115" s="1705"/>
      <c r="F115" s="1039"/>
      <c r="G115" s="1039"/>
      <c r="H115" s="1027"/>
      <c r="I115" s="1027"/>
      <c r="J115" s="1027"/>
    </row>
    <row r="116" spans="1:10" ht="15.75">
      <c r="A116" s="924"/>
      <c r="B116" s="1027"/>
      <c r="C116" s="1705" t="s">
        <v>3597</v>
      </c>
      <c r="D116" s="2082"/>
      <c r="E116" s="2083"/>
      <c r="F116" s="2083"/>
      <c r="G116" s="2083"/>
      <c r="H116" s="2084"/>
      <c r="I116" s="1027"/>
      <c r="J116" s="1027"/>
    </row>
    <row r="117" spans="1:10" ht="15.75">
      <c r="A117" s="924"/>
      <c r="B117" s="1027"/>
      <c r="C117" s="1027"/>
      <c r="D117" s="1027"/>
      <c r="E117" s="1027"/>
      <c r="F117" s="1027"/>
      <c r="G117" s="1027"/>
      <c r="H117" s="1027"/>
      <c r="I117" s="1027"/>
      <c r="J117" s="1027"/>
    </row>
    <row r="118" spans="1:10" ht="15.75">
      <c r="A118" s="924"/>
      <c r="B118" s="1027"/>
      <c r="C118" s="1705" t="s">
        <v>3599</v>
      </c>
      <c r="D118" s="165"/>
      <c r="E118" s="1705" t="s">
        <v>3600</v>
      </c>
      <c r="F118" s="165"/>
      <c r="G118" s="1706" t="s">
        <v>789</v>
      </c>
      <c r="H118" s="174"/>
      <c r="I118" s="1027"/>
      <c r="J118" s="1027"/>
    </row>
    <row r="119" spans="1:10" ht="15.75">
      <c r="A119" s="924"/>
      <c r="B119" s="1027"/>
      <c r="C119" s="1027"/>
      <c r="D119" s="1027"/>
      <c r="E119" s="1027"/>
      <c r="F119" s="1027"/>
      <c r="G119" s="1027"/>
      <c r="H119" s="1027"/>
      <c r="I119" s="1027"/>
      <c r="J119" s="1027"/>
    </row>
    <row r="120" spans="1:10" ht="15.75">
      <c r="A120" s="924"/>
      <c r="B120" s="1027"/>
      <c r="C120" s="1706" t="s">
        <v>3723</v>
      </c>
      <c r="D120" s="936"/>
      <c r="E120" s="1705"/>
      <c r="F120" s="1705" t="s">
        <v>3726</v>
      </c>
      <c r="G120" s="2085"/>
      <c r="H120" s="2084"/>
      <c r="I120" s="1027"/>
      <c r="J120" s="1027"/>
    </row>
    <row r="121" spans="1:10" ht="15.75">
      <c r="A121" s="924"/>
      <c r="B121" s="1027"/>
      <c r="C121" s="1051"/>
      <c r="D121" s="1039"/>
      <c r="E121" s="1705"/>
      <c r="F121" s="1039"/>
      <c r="G121" s="1039"/>
      <c r="H121" s="1027"/>
      <c r="I121" s="1027"/>
      <c r="J121" s="1027"/>
    </row>
    <row r="122" spans="1:10" ht="15.75">
      <c r="A122" s="924"/>
      <c r="B122" s="1038"/>
      <c r="C122" s="1052" t="s">
        <v>3838</v>
      </c>
      <c r="D122" s="165"/>
      <c r="E122" s="1705" t="s">
        <v>3839</v>
      </c>
      <c r="F122" s="165"/>
      <c r="G122" s="1706"/>
      <c r="H122" s="1706"/>
      <c r="I122" s="1027"/>
      <c r="J122" s="1027"/>
    </row>
    <row r="123" spans="1:10" ht="15.75">
      <c r="A123" s="924"/>
      <c r="B123" s="1027"/>
      <c r="C123" s="1705"/>
      <c r="D123" s="1039"/>
      <c r="E123" s="1039"/>
      <c r="F123" s="1039"/>
      <c r="G123" s="1039"/>
      <c r="H123" s="1027"/>
      <c r="I123" s="1027"/>
      <c r="J123" s="1027"/>
    </row>
    <row r="124" spans="1:10" ht="15.75">
      <c r="A124" s="924"/>
    </row>
    <row r="125" spans="1:10" ht="15.75">
      <c r="A125" s="924"/>
      <c r="B125" s="1072" t="s">
        <v>3846</v>
      </c>
      <c r="C125" s="1027"/>
      <c r="D125" s="1027"/>
      <c r="E125" s="1027"/>
      <c r="F125" s="1027"/>
      <c r="G125" s="1027"/>
      <c r="H125" s="1027"/>
      <c r="I125" s="1027"/>
      <c r="J125" s="1027"/>
    </row>
    <row r="126" spans="1:10" ht="18.75">
      <c r="A126" s="924"/>
      <c r="B126" s="1026"/>
      <c r="C126" s="1706" t="s">
        <v>3847</v>
      </c>
      <c r="D126" s="261"/>
      <c r="E126" s="1706" t="s">
        <v>3836</v>
      </c>
      <c r="F126" s="165"/>
      <c r="G126" s="1039"/>
      <c r="H126" s="1039"/>
      <c r="I126" s="1027"/>
      <c r="J126" s="1027"/>
    </row>
    <row r="127" spans="1:10" ht="15.75">
      <c r="A127" s="924"/>
      <c r="B127" s="1027"/>
      <c r="C127" s="1039"/>
      <c r="D127" s="1039"/>
      <c r="E127" s="1050"/>
      <c r="F127" s="1050"/>
      <c r="G127" s="1050"/>
      <c r="H127" s="1050"/>
      <c r="I127" s="1027"/>
      <c r="J127" s="1027"/>
    </row>
    <row r="128" spans="1:10" ht="15.75">
      <c r="A128" s="924"/>
      <c r="B128" s="1027"/>
      <c r="C128" s="1706" t="s">
        <v>3837</v>
      </c>
      <c r="D128" s="2082"/>
      <c r="E128" s="2083"/>
      <c r="F128" s="2083"/>
      <c r="G128" s="2083"/>
      <c r="H128" s="2084"/>
      <c r="I128" s="1027"/>
      <c r="J128" s="1027"/>
    </row>
    <row r="129" spans="1:10" ht="15.75">
      <c r="A129" s="924"/>
      <c r="B129" s="1027"/>
      <c r="C129" s="1705"/>
      <c r="D129" s="1039"/>
      <c r="E129" s="1705"/>
      <c r="F129" s="1039"/>
      <c r="G129" s="1039"/>
      <c r="H129" s="1027"/>
      <c r="I129" s="1027"/>
      <c r="J129" s="1027"/>
    </row>
    <row r="130" spans="1:10" ht="15.75">
      <c r="A130" s="924"/>
      <c r="B130" s="1027"/>
      <c r="C130" s="1705" t="s">
        <v>3597</v>
      </c>
      <c r="D130" s="2082"/>
      <c r="E130" s="2083"/>
      <c r="F130" s="2083"/>
      <c r="G130" s="2083"/>
      <c r="H130" s="2084"/>
      <c r="I130" s="1027"/>
      <c r="J130" s="1027"/>
    </row>
    <row r="131" spans="1:10" ht="15.75">
      <c r="A131" s="924"/>
      <c r="B131" s="1027"/>
      <c r="C131" s="1027"/>
      <c r="D131" s="1027"/>
      <c r="E131" s="1027"/>
      <c r="F131" s="1027"/>
      <c r="G131" s="1027"/>
      <c r="H131" s="1027"/>
      <c r="I131" s="1027"/>
      <c r="J131" s="1027"/>
    </row>
    <row r="132" spans="1:10" ht="15.75">
      <c r="A132" s="924"/>
      <c r="B132" s="1027"/>
      <c r="C132" s="1705" t="s">
        <v>3599</v>
      </c>
      <c r="D132" s="165"/>
      <c r="E132" s="1705" t="s">
        <v>3600</v>
      </c>
      <c r="F132" s="165"/>
      <c r="G132" s="1706" t="s">
        <v>789</v>
      </c>
      <c r="H132" s="174"/>
      <c r="I132" s="1027"/>
      <c r="J132" s="1027"/>
    </row>
    <row r="133" spans="1:10" ht="15.75">
      <c r="A133" s="924"/>
      <c r="B133" s="1027"/>
      <c r="C133" s="1027"/>
      <c r="D133" s="1027"/>
      <c r="E133" s="1027"/>
      <c r="F133" s="1027"/>
      <c r="G133" s="1027"/>
      <c r="H133" s="1027"/>
      <c r="I133" s="1027"/>
      <c r="J133" s="1027"/>
    </row>
    <row r="134" spans="1:10" ht="15.75">
      <c r="A134" s="924"/>
      <c r="B134" s="1027"/>
      <c r="C134" s="1706" t="s">
        <v>3723</v>
      </c>
      <c r="D134" s="936"/>
      <c r="E134" s="1705"/>
      <c r="F134" s="1705" t="s">
        <v>3726</v>
      </c>
      <c r="G134" s="2085"/>
      <c r="H134" s="2084"/>
      <c r="I134" s="1027"/>
      <c r="J134" s="1027"/>
    </row>
    <row r="135" spans="1:10" ht="15.75">
      <c r="A135" s="924"/>
      <c r="B135" s="1027"/>
      <c r="C135" s="1051"/>
      <c r="D135" s="1039"/>
      <c r="E135" s="1705"/>
      <c r="F135" s="1039"/>
      <c r="G135" s="1039"/>
      <c r="H135" s="1027"/>
      <c r="I135" s="1027"/>
      <c r="J135" s="1027"/>
    </row>
    <row r="136" spans="1:10" ht="15.75">
      <c r="A136" s="924"/>
      <c r="B136" s="1038"/>
      <c r="C136" s="1052" t="s">
        <v>3838</v>
      </c>
      <c r="D136" s="165"/>
      <c r="E136" s="1705" t="s">
        <v>3839</v>
      </c>
      <c r="F136" s="165"/>
      <c r="G136" s="1706"/>
      <c r="H136" s="1706"/>
      <c r="I136" s="1027"/>
      <c r="J136" s="1027"/>
    </row>
    <row r="137" spans="1:10" ht="15.75">
      <c r="A137" s="924"/>
      <c r="B137" s="1027"/>
      <c r="C137" s="1705"/>
      <c r="D137" s="1039"/>
      <c r="E137" s="1039"/>
      <c r="F137" s="1039"/>
      <c r="G137" s="1039"/>
      <c r="H137" s="1027"/>
      <c r="I137" s="1027"/>
      <c r="J137" s="1027"/>
    </row>
    <row r="138" spans="1:10" ht="15.75">
      <c r="A138" s="924"/>
    </row>
    <row r="139" spans="1:10" ht="15.75">
      <c r="A139" s="924"/>
      <c r="B139" s="1072" t="s">
        <v>3848</v>
      </c>
      <c r="C139" s="1027"/>
      <c r="D139" s="1027"/>
      <c r="E139" s="1027"/>
      <c r="F139" s="1027"/>
      <c r="G139" s="1027"/>
      <c r="H139" s="1027"/>
      <c r="I139" s="1027"/>
      <c r="J139" s="1027"/>
    </row>
    <row r="140" spans="1:10" ht="18.75">
      <c r="A140" s="924"/>
      <c r="B140" s="1026"/>
      <c r="C140" s="1706" t="s">
        <v>3842</v>
      </c>
      <c r="D140" s="261"/>
      <c r="E140" s="1027"/>
      <c r="F140" s="1027"/>
      <c r="G140" s="1039"/>
      <c r="H140" s="1039"/>
      <c r="I140" s="1027"/>
      <c r="J140" s="1027"/>
    </row>
    <row r="141" spans="1:10" ht="15.75">
      <c r="A141" s="924"/>
      <c r="B141" s="1027"/>
      <c r="C141" s="1039"/>
      <c r="D141" s="1039"/>
      <c r="E141" s="1050"/>
      <c r="F141" s="1050"/>
      <c r="G141" s="1050"/>
      <c r="H141" s="1050"/>
      <c r="I141" s="1027"/>
      <c r="J141" s="1027"/>
    </row>
    <row r="142" spans="1:10" ht="15.75">
      <c r="A142" s="924"/>
      <c r="B142" s="1027"/>
      <c r="C142" s="1706" t="s">
        <v>3837</v>
      </c>
      <c r="D142" s="2007"/>
      <c r="E142" s="2008"/>
      <c r="F142" s="2008"/>
      <c r="G142" s="2008"/>
      <c r="H142" s="2009"/>
      <c r="I142" s="1027"/>
      <c r="J142" s="1027"/>
    </row>
    <row r="143" spans="1:10" ht="15.75">
      <c r="A143" s="924"/>
      <c r="B143" s="1027"/>
      <c r="C143" s="1705"/>
      <c r="D143" s="1039"/>
      <c r="E143" s="1705"/>
      <c r="F143" s="1039"/>
      <c r="G143" s="1039"/>
      <c r="H143" s="1027"/>
      <c r="I143" s="1027"/>
      <c r="J143" s="1027"/>
    </row>
    <row r="144" spans="1:10" ht="15.75">
      <c r="A144" s="924"/>
      <c r="B144" s="1027"/>
      <c r="C144" s="1705" t="s">
        <v>3597</v>
      </c>
      <c r="D144" s="2007"/>
      <c r="E144" s="2008"/>
      <c r="F144" s="2008"/>
      <c r="G144" s="2008"/>
      <c r="H144" s="2009"/>
      <c r="I144" s="1027"/>
      <c r="J144" s="1027"/>
    </row>
    <row r="145" spans="1:10" ht="15.75">
      <c r="A145" s="924"/>
      <c r="B145" s="1027"/>
      <c r="C145" s="1027"/>
      <c r="D145" s="1027"/>
      <c r="E145" s="1027"/>
      <c r="F145" s="1027"/>
      <c r="G145" s="1027"/>
      <c r="H145" s="1027"/>
      <c r="I145" s="1027"/>
      <c r="J145" s="1027"/>
    </row>
    <row r="146" spans="1:10" ht="15.75">
      <c r="A146" s="924"/>
      <c r="B146" s="1027"/>
      <c r="C146" s="1705" t="s">
        <v>3599</v>
      </c>
      <c r="D146" s="261"/>
      <c r="E146" s="1705" t="s">
        <v>3600</v>
      </c>
      <c r="F146" s="261"/>
      <c r="G146" s="1706" t="s">
        <v>789</v>
      </c>
      <c r="H146" s="266"/>
      <c r="I146" s="1027"/>
      <c r="J146" s="1027"/>
    </row>
    <row r="147" spans="1:10" ht="15.75">
      <c r="A147" s="924"/>
      <c r="B147" s="1027"/>
      <c r="C147" s="1027"/>
      <c r="D147" s="1027"/>
      <c r="E147" s="1027"/>
      <c r="F147" s="1027"/>
      <c r="G147" s="1027"/>
      <c r="H147" s="1027"/>
      <c r="I147" s="1027"/>
      <c r="J147" s="1027"/>
    </row>
    <row r="148" spans="1:10" ht="15.75">
      <c r="A148" s="924"/>
      <c r="B148" s="1027"/>
      <c r="C148" s="1706" t="s">
        <v>3723</v>
      </c>
      <c r="D148" s="935"/>
      <c r="E148" s="1705"/>
      <c r="F148" s="1705" t="s">
        <v>3726</v>
      </c>
      <c r="G148" s="2085"/>
      <c r="H148" s="2084"/>
      <c r="I148" s="1027"/>
      <c r="J148" s="1027"/>
    </row>
    <row r="149" spans="1:10" ht="15.75">
      <c r="A149" s="924"/>
      <c r="B149" s="1027"/>
      <c r="C149" s="1051"/>
      <c r="D149" s="1039"/>
      <c r="E149" s="1705"/>
      <c r="F149" s="1039"/>
      <c r="G149" s="1039"/>
      <c r="H149" s="1039"/>
      <c r="I149" s="1027"/>
      <c r="J149" s="1027"/>
    </row>
    <row r="150" spans="1:10" ht="15.75">
      <c r="A150" s="924"/>
      <c r="B150" s="1038"/>
      <c r="C150" s="1052" t="s">
        <v>3838</v>
      </c>
      <c r="D150" s="165"/>
      <c r="E150" s="1705" t="s">
        <v>3839</v>
      </c>
      <c r="F150" s="165"/>
      <c r="G150" s="1706"/>
      <c r="H150" s="1706"/>
      <c r="I150" s="1027"/>
      <c r="J150" s="1027"/>
    </row>
    <row r="151" spans="1:10" ht="15.75">
      <c r="A151" s="924"/>
      <c r="B151" s="1027"/>
      <c r="C151" s="1705"/>
      <c r="D151" s="1039"/>
      <c r="E151" s="1039"/>
      <c r="F151" s="1039"/>
      <c r="G151" s="1039"/>
      <c r="H151" s="1027"/>
      <c r="I151" s="1027"/>
      <c r="J151" s="1027"/>
    </row>
    <row r="152" spans="1:10" ht="15.75">
      <c r="A152" s="924"/>
    </row>
    <row r="153" spans="1:10" ht="15.75">
      <c r="A153" s="924"/>
      <c r="B153" s="1072" t="s">
        <v>1841</v>
      </c>
      <c r="C153" s="1027"/>
      <c r="D153" s="1027"/>
      <c r="E153" s="1027"/>
      <c r="F153" s="1027"/>
      <c r="G153" s="1027"/>
      <c r="H153" s="1027"/>
      <c r="I153" s="1027"/>
      <c r="J153" s="1027"/>
    </row>
    <row r="154" spans="1:10" ht="18.75">
      <c r="A154" s="924"/>
      <c r="B154" s="1026"/>
      <c r="C154" s="1706" t="s">
        <v>3849</v>
      </c>
      <c r="D154" s="951"/>
      <c r="E154" s="1706" t="s">
        <v>3836</v>
      </c>
      <c r="F154" s="165"/>
      <c r="G154" s="1039"/>
      <c r="H154" s="1039"/>
      <c r="I154" s="1027"/>
      <c r="J154" s="1027"/>
    </row>
    <row r="155" spans="1:10" ht="15.75">
      <c r="A155" s="924"/>
      <c r="B155" s="1027"/>
      <c r="C155" s="1039"/>
      <c r="D155" s="1039"/>
      <c r="E155" s="1050"/>
      <c r="F155" s="1050"/>
      <c r="G155" s="1050"/>
      <c r="H155" s="1050"/>
      <c r="I155" s="1027"/>
      <c r="J155" s="1027"/>
    </row>
    <row r="156" spans="1:10" ht="15.75">
      <c r="A156" s="924"/>
      <c r="B156" s="1027"/>
      <c r="C156" s="1052" t="s">
        <v>3837</v>
      </c>
      <c r="D156" s="2082"/>
      <c r="E156" s="2083"/>
      <c r="F156" s="2083"/>
      <c r="G156" s="2083"/>
      <c r="H156" s="2084"/>
      <c r="I156" s="1027"/>
      <c r="J156" s="1027"/>
    </row>
    <row r="157" spans="1:10" ht="15.75">
      <c r="A157" s="924"/>
      <c r="B157" s="1027"/>
      <c r="C157" s="1705"/>
      <c r="D157" s="1039"/>
      <c r="E157" s="1705"/>
      <c r="F157" s="1039"/>
      <c r="G157" s="1039"/>
      <c r="H157" s="1027"/>
      <c r="I157" s="1027"/>
      <c r="J157" s="1027"/>
    </row>
    <row r="158" spans="1:10" ht="15.75">
      <c r="A158" s="924"/>
      <c r="B158" s="1027"/>
      <c r="C158" s="1705" t="s">
        <v>3597</v>
      </c>
      <c r="D158" s="2082"/>
      <c r="E158" s="2083"/>
      <c r="F158" s="2083"/>
      <c r="G158" s="2083"/>
      <c r="H158" s="2084"/>
      <c r="I158" s="1027"/>
      <c r="J158" s="1027"/>
    </row>
    <row r="159" spans="1:10" ht="15.75">
      <c r="A159" s="924"/>
      <c r="B159" s="1027"/>
      <c r="C159" s="1027"/>
      <c r="D159" s="1027"/>
      <c r="E159" s="1027"/>
      <c r="F159" s="1027"/>
      <c r="G159" s="1027"/>
      <c r="H159" s="1027"/>
      <c r="I159" s="1027"/>
      <c r="J159" s="1027"/>
    </row>
    <row r="160" spans="1:10" ht="15.75">
      <c r="A160" s="924"/>
      <c r="B160" s="1027"/>
      <c r="C160" s="1705" t="s">
        <v>3599</v>
      </c>
      <c r="D160" s="165"/>
      <c r="E160" s="1705" t="s">
        <v>3600</v>
      </c>
      <c r="F160" s="165"/>
      <c r="G160" s="1706" t="s">
        <v>789</v>
      </c>
      <c r="H160" s="174"/>
      <c r="I160" s="1027"/>
      <c r="J160" s="1027"/>
    </row>
    <row r="161" spans="1:11" ht="15.75">
      <c r="A161" s="924"/>
      <c r="B161" s="1027"/>
      <c r="C161" s="1027"/>
      <c r="D161" s="1027"/>
      <c r="E161" s="1027"/>
      <c r="F161" s="1027"/>
      <c r="G161" s="1027"/>
      <c r="H161" s="1027"/>
      <c r="I161" s="1027"/>
      <c r="J161" s="1027"/>
    </row>
    <row r="162" spans="1:11" ht="15.75">
      <c r="A162" s="924"/>
      <c r="B162" s="1027"/>
      <c r="C162" s="1706" t="s">
        <v>3723</v>
      </c>
      <c r="D162" s="936"/>
      <c r="E162" s="1705"/>
      <c r="F162" s="1705" t="s">
        <v>3726</v>
      </c>
      <c r="G162" s="2085"/>
      <c r="H162" s="2084"/>
      <c r="I162" s="1027"/>
      <c r="J162" s="1027"/>
    </row>
    <row r="163" spans="1:11" ht="15.75">
      <c r="A163" s="924"/>
      <c r="B163" s="1027"/>
      <c r="C163" s="1051"/>
      <c r="D163" s="1039"/>
      <c r="E163" s="1705"/>
      <c r="F163" s="1039"/>
      <c r="G163" s="1039"/>
      <c r="H163" s="1027"/>
      <c r="I163" s="1027"/>
      <c r="J163" s="1027"/>
    </row>
    <row r="164" spans="1:11" ht="15.75">
      <c r="A164" s="924"/>
      <c r="B164" s="1038"/>
      <c r="C164" s="1052" t="s">
        <v>3838</v>
      </c>
      <c r="D164" s="165"/>
      <c r="E164" s="1705" t="s">
        <v>3839</v>
      </c>
      <c r="F164" s="165"/>
      <c r="G164" s="1706"/>
      <c r="H164" s="1706"/>
      <c r="I164" s="1027"/>
      <c r="J164" s="1027"/>
    </row>
    <row r="165" spans="1:11" ht="15.75">
      <c r="A165" s="924"/>
      <c r="B165" s="1027"/>
      <c r="C165" s="1027"/>
      <c r="D165" s="1027"/>
      <c r="E165" s="1027"/>
      <c r="F165" s="1027"/>
      <c r="G165" s="1027"/>
      <c r="H165" s="1027"/>
      <c r="I165" s="1027"/>
      <c r="J165" s="1027"/>
    </row>
    <row r="166" spans="1:11" ht="18.75">
      <c r="B166" s="8" t="s">
        <v>3730</v>
      </c>
      <c r="C166" s="17"/>
      <c r="E166" s="970"/>
      <c r="F166" s="970"/>
      <c r="G166" s="970"/>
    </row>
    <row r="167" spans="1:11" ht="15.75" customHeight="1">
      <c r="B167" s="1027"/>
      <c r="C167" s="1030" t="s">
        <v>3850</v>
      </c>
      <c r="D167" s="1027"/>
      <c r="E167" s="1027"/>
      <c r="F167" s="1027"/>
      <c r="G167" s="1027"/>
      <c r="H167" s="1027"/>
      <c r="I167" s="1027"/>
      <c r="J167" s="1027"/>
    </row>
    <row r="168" spans="1:11" ht="15" customHeight="1">
      <c r="B168" s="1027"/>
      <c r="C168" s="2022"/>
      <c r="D168" s="2022"/>
      <c r="E168" s="2022"/>
      <c r="F168" s="2022"/>
      <c r="G168" s="2022"/>
      <c r="H168" s="2022"/>
      <c r="I168" s="1027"/>
      <c r="J168" s="1027"/>
    </row>
    <row r="169" spans="1:11" ht="15.75" customHeight="1">
      <c r="B169" s="1027"/>
      <c r="C169" s="2022"/>
      <c r="D169" s="2022"/>
      <c r="E169" s="2022"/>
      <c r="F169" s="2022"/>
      <c r="G169" s="2022"/>
      <c r="H169" s="2022"/>
      <c r="I169" s="1027"/>
      <c r="J169" s="1027"/>
    </row>
    <row r="170" spans="1:11">
      <c r="B170" s="1027"/>
      <c r="C170" s="2022"/>
      <c r="D170" s="2022"/>
      <c r="E170" s="2022"/>
      <c r="F170" s="2022"/>
      <c r="G170" s="2022"/>
      <c r="H170" s="2022"/>
      <c r="I170" s="1027"/>
      <c r="J170" s="1027"/>
      <c r="K170" s="115"/>
    </row>
    <row r="171" spans="1:11" ht="27.75" customHeight="1">
      <c r="B171" s="1027"/>
      <c r="C171" s="2022"/>
      <c r="D171" s="2022"/>
      <c r="E171" s="2022"/>
      <c r="F171" s="2022"/>
      <c r="G171" s="2022"/>
      <c r="H171" s="2022"/>
      <c r="I171" s="1027"/>
      <c r="J171" s="1027"/>
      <c r="K171" s="115"/>
    </row>
    <row r="172" spans="1:11">
      <c r="B172" s="1027"/>
      <c r="C172" s="2022"/>
      <c r="D172" s="2022"/>
      <c r="E172" s="2022"/>
      <c r="F172" s="2022"/>
      <c r="G172" s="2022"/>
      <c r="H172" s="2022"/>
      <c r="I172" s="1027"/>
      <c r="J172" s="1027"/>
    </row>
    <row r="173" spans="1:11" ht="15.75" customHeight="1">
      <c r="B173" s="1027"/>
      <c r="C173" s="2022"/>
      <c r="D173" s="2022"/>
      <c r="E173" s="2022"/>
      <c r="F173" s="2022"/>
      <c r="G173" s="2022"/>
      <c r="H173" s="2022"/>
      <c r="I173" s="1027"/>
      <c r="J173" s="1027"/>
    </row>
    <row r="174" spans="1:11" ht="15" customHeight="1">
      <c r="B174" s="1027"/>
      <c r="C174" s="2022"/>
      <c r="D174" s="2022"/>
      <c r="E174" s="2022"/>
      <c r="F174" s="2022"/>
      <c r="G174" s="2022"/>
      <c r="H174" s="2022"/>
      <c r="I174" s="1027"/>
      <c r="J174" s="1027"/>
    </row>
    <row r="175" spans="1:11" ht="15" customHeight="1">
      <c r="B175" s="1027"/>
      <c r="C175" s="2022"/>
      <c r="D175" s="2022"/>
      <c r="E175" s="2022"/>
      <c r="F175" s="2022"/>
      <c r="G175" s="2022"/>
      <c r="H175" s="2022"/>
      <c r="I175" s="1027"/>
      <c r="J175" s="1027"/>
    </row>
    <row r="176" spans="1:11">
      <c r="B176" s="1027"/>
      <c r="C176" s="1027"/>
      <c r="D176" s="1027"/>
      <c r="E176" s="1027"/>
      <c r="F176" s="1027"/>
      <c r="G176" s="1027"/>
      <c r="H176" s="1027"/>
      <c r="I176" s="1027"/>
      <c r="J176" s="1027"/>
    </row>
    <row r="177" spans="2:10" ht="15.75">
      <c r="E177" s="156"/>
      <c r="J177" s="62"/>
    </row>
    <row r="178" spans="2:10">
      <c r="B178" s="16" t="s">
        <v>3637</v>
      </c>
      <c r="C178" s="7"/>
      <c r="D178" s="7"/>
      <c r="E178" s="7"/>
      <c r="F178" s="7"/>
      <c r="G178" s="7"/>
      <c r="H178" s="7"/>
      <c r="I178" s="7"/>
    </row>
    <row r="179" spans="2:10" ht="18.75">
      <c r="B179" s="8" t="s">
        <v>3732</v>
      </c>
      <c r="E179" s="970"/>
      <c r="F179" s="970"/>
      <c r="G179" s="970"/>
    </row>
    <row r="180" spans="2:10">
      <c r="B180" s="1027"/>
      <c r="C180" s="1027"/>
      <c r="D180" s="1027"/>
      <c r="E180" s="1027"/>
      <c r="F180" s="1027"/>
      <c r="G180" s="1027"/>
      <c r="H180" s="1027"/>
      <c r="I180" s="1027"/>
      <c r="J180" s="1027"/>
    </row>
    <row r="181" spans="2:10">
      <c r="B181" s="1027"/>
      <c r="C181" s="1998"/>
      <c r="D181" s="1999"/>
      <c r="E181" s="1999"/>
      <c r="F181" s="1999"/>
      <c r="G181" s="1999"/>
      <c r="H181" s="2000"/>
      <c r="I181" s="1027"/>
      <c r="J181" s="1027"/>
    </row>
    <row r="182" spans="2:10">
      <c r="B182" s="1027"/>
      <c r="C182" s="2001"/>
      <c r="D182" s="2002"/>
      <c r="E182" s="2002"/>
      <c r="F182" s="2002"/>
      <c r="G182" s="2002"/>
      <c r="H182" s="2003"/>
      <c r="I182" s="1027"/>
      <c r="J182" s="1027"/>
    </row>
    <row r="183" spans="2:10">
      <c r="B183" s="1027"/>
      <c r="C183" s="2001"/>
      <c r="D183" s="2002"/>
      <c r="E183" s="2002"/>
      <c r="F183" s="2002"/>
      <c r="G183" s="2002"/>
      <c r="H183" s="2003"/>
      <c r="I183" s="1027"/>
      <c r="J183" s="1027"/>
    </row>
    <row r="184" spans="2:10">
      <c r="B184" s="1027"/>
      <c r="C184" s="2004"/>
      <c r="D184" s="2005"/>
      <c r="E184" s="2005"/>
      <c r="F184" s="2005"/>
      <c r="G184" s="2005"/>
      <c r="H184" s="2006"/>
      <c r="I184" s="1027"/>
      <c r="J184" s="1027"/>
    </row>
    <row r="185" spans="2:10">
      <c r="B185" s="1027"/>
      <c r="C185" s="1027"/>
      <c r="D185" s="1027"/>
      <c r="E185" s="1027"/>
      <c r="F185" s="1027"/>
      <c r="G185" s="1027"/>
      <c r="H185" s="1027"/>
      <c r="I185" s="1027"/>
      <c r="J185" s="1027"/>
    </row>
    <row r="186" spans="2:10" ht="15.75">
      <c r="C186" s="168"/>
      <c r="E186" s="166"/>
    </row>
    <row r="187" spans="2:10" ht="15.75">
      <c r="C187" s="173"/>
      <c r="D187" s="173"/>
      <c r="E187" s="166"/>
    </row>
  </sheetData>
  <sheetProtection algorithmName="SHA-512" hashValue="FnP2uKlXR4UNyTruFeIjE6xDxIBIkP9R5fUD8SdfhWybuPk1oXQ+8H6tXL8KCxR4yjqC4KDFHJdpc9ZE5n/kiQ==" saltValue="8BajC4dcIRNP9JvkLTAjrQ==" spinCount="100000" sheet="1" objects="1" scenarios="1" selectLockedCells="1"/>
  <mergeCells count="38">
    <mergeCell ref="F12:G12"/>
    <mergeCell ref="D72:H72"/>
    <mergeCell ref="D74:H74"/>
    <mergeCell ref="D128:H128"/>
    <mergeCell ref="D102:H102"/>
    <mergeCell ref="G106:H106"/>
    <mergeCell ref="D114:H114"/>
    <mergeCell ref="D116:H116"/>
    <mergeCell ref="G120:H120"/>
    <mergeCell ref="D156:H156"/>
    <mergeCell ref="D158:H158"/>
    <mergeCell ref="G162:H162"/>
    <mergeCell ref="G78:H78"/>
    <mergeCell ref="D86:H86"/>
    <mergeCell ref="D88:H88"/>
    <mergeCell ref="G92:H92"/>
    <mergeCell ref="D100:H100"/>
    <mergeCell ref="D130:H130"/>
    <mergeCell ref="G134:H134"/>
    <mergeCell ref="D142:H142"/>
    <mergeCell ref="D144:H144"/>
    <mergeCell ref="G148:H148"/>
    <mergeCell ref="C181:H184"/>
    <mergeCell ref="C7:G7"/>
    <mergeCell ref="C8:G8"/>
    <mergeCell ref="C9:G9"/>
    <mergeCell ref="B53:I53"/>
    <mergeCell ref="C23:G23"/>
    <mergeCell ref="C20:F20"/>
    <mergeCell ref="C31:F31"/>
    <mergeCell ref="C34:G34"/>
    <mergeCell ref="C42:F42"/>
    <mergeCell ref="C45:G45"/>
    <mergeCell ref="B16:J16"/>
    <mergeCell ref="C168:H175"/>
    <mergeCell ref="D58:H58"/>
    <mergeCell ref="D60:H60"/>
    <mergeCell ref="G64:H64"/>
  </mergeCells>
  <conditionalFormatting sqref="F70 D72 D74 D76 F76 H76 D78">
    <cfRule type="expression" dxfId="320" priority="4">
      <formula>$D$70="Yes"</formula>
    </cfRule>
  </conditionalFormatting>
  <conditionalFormatting sqref="F112 D114 D116 D118 F118 H118 D120">
    <cfRule type="expression" dxfId="319" priority="3">
      <formula>$D$112="Yes"</formula>
    </cfRule>
  </conditionalFormatting>
  <conditionalFormatting sqref="F126 D128 D130 D132 F132 H132 D134">
    <cfRule type="expression" dxfId="318" priority="2">
      <formula>$D$126="Yes"</formula>
    </cfRule>
  </conditionalFormatting>
  <conditionalFormatting sqref="F154 D156:H156 D158:H158 D160 F160 H160 D162">
    <cfRule type="expression" dxfId="317" priority="1">
      <formula>$D$154="Yes"</formula>
    </cfRule>
  </conditionalFormatting>
  <dataValidations count="11">
    <dataValidation type="list" allowBlank="1" showInputMessage="1" showErrorMessage="1" sqref="C26 C37 C48 F70 D70 D84 D98 D112 F112 D126 F126 D140 F154 D154" xr:uid="{177B1475-5C5E-4D0A-9D9E-46650B525D32}">
      <formula1>YesNo</formula1>
    </dataValidation>
    <dataValidation type="list" allowBlank="1" showInputMessage="1" showErrorMessage="1" sqref="I12" xr:uid="{E77899A8-95C8-4552-8701-812D2113675F}">
      <formula1>EntityStatus</formula1>
    </dataValidation>
    <dataValidation type="list" allowBlank="1" showInputMessage="1" showErrorMessage="1" sqref="F12" xr:uid="{3DB80635-62A7-4174-B89B-ADC1D00BA21A}">
      <formula1>EntityType</formula1>
    </dataValidation>
    <dataValidation type="list" allowBlank="1" showInputMessage="1" showErrorMessage="1" sqref="I33 I22 I44" xr:uid="{390EE516-28AC-40F8-9109-E61DAF5B3536}">
      <formula1>EntityPrincipalFunction</formula1>
    </dataValidation>
    <dataValidation type="custom" allowBlank="1" showInputMessage="1" showErrorMessage="1" sqref="F1 A54:A165 A4:A45" xr:uid="{D7CA704E-FACF-4523-B00E-615C2C817A5D}">
      <formula1>"&lt;0&gt;0"</formula1>
    </dataValidation>
    <dataValidation type="custom" allowBlank="1" showInputMessage="1" showErrorMessage="1" error="Please enter Federal Tax ID Number as numeric values only. If Fedral Tax ID is unknown or not yet assigned, enter 999999999." sqref="C12" xr:uid="{9898147D-5BD1-4111-B367-37983D629033}">
      <formula1>ISNUMBER(C12)</formula1>
    </dataValidation>
    <dataValidation type="custom" allowBlank="1" showInputMessage="1" showErrorMessage="1" errorTitle="Phone Number Error" error="Please enter phone number with numeric values only." sqref="C25 C36 C47 D64 D78 D92 D106 D120 D134 D148 D162" xr:uid="{BB6A94FA-C8D4-4465-BC08-2EEB926482E6}">
      <formula1>ISNUMBER(C25)</formula1>
    </dataValidation>
    <dataValidation type="custom" allowBlank="1" showInputMessage="1" showErrorMessage="1" sqref="G64:H64" xr:uid="{0287C418-A11E-40CF-A516-74CCEE428A0E}">
      <formula1>ISNUMBER(MATCH("*@*.??*",Management_Agent_Email_Address,0))</formula1>
    </dataValidation>
    <dataValidation type="custom" allowBlank="1" showInputMessage="1" showErrorMessage="1" sqref="G78:H78 G162:H162 G148:H148 G92:H92 G134:H134 G120:H120 G106:H106" xr:uid="{63637D4B-04A3-4719-876D-98ACBDB54D07}">
      <formula1>ISNUMBER(MATCH("*@*.??*",G78,0))</formula1>
    </dataValidation>
    <dataValidation type="custom" allowBlank="1" showInputMessage="1" showErrorMessage="1" errorTitle="Maximum Character Limit" error="The maximum character limit of 50 has been exceeded. Please reenter a valid value." sqref="D58:H58" xr:uid="{E50ED5C5-F8F8-464F-BEFA-849D8844FAF9}">
      <formula1>LEN(D58)&lt;=50</formula1>
    </dataValidation>
    <dataValidation type="custom" allowBlank="1" showInputMessage="1" showErrorMessage="1" errorTitle="Character Limit" error="The maximum character limit of 50 has been exceeded. Please reenter a valid value." sqref="D72:H72 D86:H86 D100:H100 D114:H114 D128:H128 D142:H142 D156:H156" xr:uid="{E36636B0-FB65-41B9-931E-DEB267A02CD6}">
      <formula1>LEN(D72)&lt;=50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6"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F3F10827-A04D-4B43-8439-D07D846A9EA6}">
          <x14:formula1>
            <xm:f>'Dropdown Lists'!$A$2:$A$3</xm:f>
          </x14:formula1>
          <xm:sqref>E187 H179 D56</xm:sqref>
        </x14:dataValidation>
        <x14:dataValidation type="list" allowBlank="1" showInputMessage="1" showErrorMessage="1" xr:uid="{224FB60B-3127-4E7B-905F-EFEF9226A0C0}">
          <x14:formula1>
            <xm:f>'Dropdown Lists'!$U$3:$U$53</xm:f>
          </x14:formula1>
          <xm:sqref>F11 F24 F35 F46 F62 F76 F90 F104 F118 F132 F146 F160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ACC1-AE05-4ACF-9FA3-7AACF91C7904}">
  <sheetPr codeName="Sheet10">
    <pageSetUpPr fitToPage="1"/>
  </sheetPr>
  <dimension ref="A1:M1439"/>
  <sheetViews>
    <sheetView workbookViewId="0">
      <selection activeCell="D7" sqref="D7:J14"/>
    </sheetView>
  </sheetViews>
  <sheetFormatPr defaultColWidth="9.140625" defaultRowHeight="15"/>
  <cols>
    <col min="1" max="1" width="6" customWidth="1"/>
    <col min="2" max="2" width="11.28515625" style="3" customWidth="1"/>
    <col min="3" max="3" width="38.42578125" style="3" customWidth="1"/>
    <col min="4" max="4" width="19.5703125" style="3" customWidth="1"/>
    <col min="5" max="5" width="17.42578125" style="3" customWidth="1"/>
    <col min="6" max="6" width="27.42578125" style="3" bestFit="1" customWidth="1"/>
    <col min="7" max="7" width="17.85546875" style="3" customWidth="1"/>
    <col min="8" max="8" width="15.42578125" style="3" bestFit="1" customWidth="1"/>
    <col min="9" max="9" width="18.42578125" style="3" customWidth="1"/>
    <col min="10" max="10" width="17.85546875" style="3" customWidth="1"/>
    <col min="11" max="11" width="5.7109375" style="3" customWidth="1"/>
    <col min="12" max="12" width="19.42578125" style="3" bestFit="1" customWidth="1"/>
    <col min="13" max="13" width="15" style="3" customWidth="1"/>
    <col min="14" max="14" width="23.85546875" style="3" bestFit="1" customWidth="1"/>
    <col min="15" max="16384" width="9.140625" style="3"/>
  </cols>
  <sheetData>
    <row r="1" spans="1:13" ht="28.5">
      <c r="A1" s="3"/>
      <c r="B1" s="4" t="str">
        <f>'1. TOC'!B1</f>
        <v>WHEDA 2025 Multifamily Application</v>
      </c>
      <c r="C1" s="4"/>
      <c r="E1" s="115" t="str">
        <f>'1. TOC'!L1</f>
        <v>v25.1.12</v>
      </c>
      <c r="F1" s="947" t="str">
        <f>HYPERLINK("#Table_of_Contents", Table_of_Contents)</f>
        <v>Table of Contents</v>
      </c>
    </row>
    <row r="2" spans="1:13" ht="18.75">
      <c r="A2" s="3"/>
      <c r="B2" s="811" t="str">
        <f>_xlfn.CONCAT(IF(ISBLANK(WHEDA_Project_Number),"",_xlfn.CONCAT(WHEDA_Project_Number," - ")), Project_Name, IF(ISBLANK(Credit_percentage_applied_for),"",_xlfn.CONCAT(" - ", Credit_percentage_applied_for," HTC")))</f>
        <v/>
      </c>
      <c r="C2" s="5"/>
    </row>
    <row r="3" spans="1:13" ht="18.75">
      <c r="A3" s="98"/>
      <c r="B3" s="13"/>
      <c r="C3" s="7"/>
      <c r="D3" s="7"/>
      <c r="E3" s="7"/>
      <c r="F3" s="7"/>
      <c r="G3" s="7"/>
      <c r="H3" s="7"/>
      <c r="I3" s="7"/>
      <c r="J3" s="7"/>
      <c r="K3" s="7"/>
    </row>
    <row r="4" spans="1:13" ht="21">
      <c r="A4" s="98"/>
      <c r="B4" s="815" t="s">
        <v>3851</v>
      </c>
    </row>
    <row r="5" spans="1:13" ht="18.75">
      <c r="A5" s="929"/>
      <c r="B5" s="8" t="s">
        <v>3852</v>
      </c>
    </row>
    <row r="6" spans="1:13" ht="15.75">
      <c r="A6" s="929"/>
      <c r="B6" s="1027"/>
      <c r="C6" s="1027"/>
      <c r="D6" s="1027"/>
      <c r="E6" s="1027"/>
      <c r="F6" s="1027"/>
      <c r="G6" s="1027"/>
      <c r="H6" s="1027"/>
      <c r="I6" s="1027"/>
      <c r="J6" s="1027"/>
      <c r="K6" s="1027"/>
    </row>
    <row r="7" spans="1:13" ht="15.75">
      <c r="A7" s="929"/>
      <c r="B7" s="1027"/>
      <c r="C7" s="2113" t="s">
        <v>3853</v>
      </c>
      <c r="D7" s="2054"/>
      <c r="E7" s="2102"/>
      <c r="F7" s="2102"/>
      <c r="G7" s="2102"/>
      <c r="H7" s="2102"/>
      <c r="I7" s="2102"/>
      <c r="J7" s="2103"/>
      <c r="K7" s="1039"/>
      <c r="M7" s="115"/>
    </row>
    <row r="8" spans="1:13" ht="15.75">
      <c r="A8" s="929"/>
      <c r="B8" s="1027"/>
      <c r="C8" s="2113"/>
      <c r="D8" s="2104"/>
      <c r="E8" s="2105"/>
      <c r="F8" s="2105"/>
      <c r="G8" s="2105"/>
      <c r="H8" s="2105"/>
      <c r="I8" s="2105"/>
      <c r="J8" s="2106"/>
      <c r="K8" s="1039"/>
      <c r="M8" s="115"/>
    </row>
    <row r="9" spans="1:13" ht="15.75">
      <c r="A9" s="930"/>
      <c r="B9" s="1027"/>
      <c r="C9" s="2113"/>
      <c r="D9" s="2104"/>
      <c r="E9" s="2105"/>
      <c r="F9" s="2105"/>
      <c r="G9" s="2105"/>
      <c r="H9" s="2105"/>
      <c r="I9" s="2105"/>
      <c r="J9" s="2106"/>
      <c r="K9" s="1039"/>
      <c r="M9" s="115"/>
    </row>
    <row r="10" spans="1:13" ht="15.75">
      <c r="A10" s="930"/>
      <c r="B10" s="1027"/>
      <c r="C10" s="1706"/>
      <c r="D10" s="2104"/>
      <c r="E10" s="2105"/>
      <c r="F10" s="2105"/>
      <c r="G10" s="2105"/>
      <c r="H10" s="2105"/>
      <c r="I10" s="2105"/>
      <c r="J10" s="2106"/>
      <c r="K10" s="1039"/>
      <c r="M10" s="115"/>
    </row>
    <row r="11" spans="1:13" ht="15.75">
      <c r="A11" s="930"/>
      <c r="B11" s="1027"/>
      <c r="C11" s="1706"/>
      <c r="D11" s="2104"/>
      <c r="E11" s="2105"/>
      <c r="F11" s="2105"/>
      <c r="G11" s="2105"/>
      <c r="H11" s="2105"/>
      <c r="I11" s="2105"/>
      <c r="J11" s="2106"/>
      <c r="K11" s="1039"/>
      <c r="M11" s="115"/>
    </row>
    <row r="12" spans="1:13" ht="15.75">
      <c r="A12" s="930"/>
      <c r="B12" s="1027"/>
      <c r="C12" s="1706"/>
      <c r="D12" s="2104"/>
      <c r="E12" s="2105"/>
      <c r="F12" s="2105"/>
      <c r="G12" s="2105"/>
      <c r="H12" s="2105"/>
      <c r="I12" s="2105"/>
      <c r="J12" s="2106"/>
      <c r="K12" s="1039"/>
      <c r="M12" s="115"/>
    </row>
    <row r="13" spans="1:13" ht="15.75">
      <c r="A13" s="930"/>
      <c r="B13" s="1027"/>
      <c r="C13" s="1706"/>
      <c r="D13" s="2104"/>
      <c r="E13" s="2105"/>
      <c r="F13" s="2105"/>
      <c r="G13" s="2105"/>
      <c r="H13" s="2105"/>
      <c r="I13" s="2105"/>
      <c r="J13" s="2106"/>
      <c r="K13" s="1039"/>
    </row>
    <row r="14" spans="1:13" ht="15.75">
      <c r="A14" s="930"/>
      <c r="B14" s="1027"/>
      <c r="C14" s="1706"/>
      <c r="D14" s="2107"/>
      <c r="E14" s="2108"/>
      <c r="F14" s="2108"/>
      <c r="G14" s="2108"/>
      <c r="H14" s="2108"/>
      <c r="I14" s="2108"/>
      <c r="J14" s="2109"/>
      <c r="K14" s="1039"/>
    </row>
    <row r="15" spans="1:13" ht="15.75">
      <c r="A15" s="930"/>
      <c r="B15" s="1034"/>
      <c r="C15" s="1027"/>
      <c r="D15" s="1083"/>
      <c r="E15" s="1083"/>
      <c r="F15" s="1083"/>
      <c r="G15" s="1708"/>
      <c r="H15" s="1027"/>
      <c r="I15" s="1027"/>
      <c r="J15" s="1027"/>
      <c r="K15" s="1039"/>
    </row>
    <row r="16" spans="1:13" ht="15.75">
      <c r="A16" s="930"/>
      <c r="B16" s="1036"/>
      <c r="C16" s="1034"/>
      <c r="D16" s="1034"/>
      <c r="E16" s="1034"/>
      <c r="F16" s="1034"/>
      <c r="G16" s="1034"/>
      <c r="H16" s="1027"/>
      <c r="I16" s="1027"/>
      <c r="J16" s="1027"/>
      <c r="K16" s="1034"/>
    </row>
    <row r="17" spans="1:12" ht="15.75">
      <c r="A17" s="930"/>
      <c r="B17" s="1027"/>
      <c r="C17" s="1706" t="s">
        <v>3854</v>
      </c>
      <c r="D17" s="165"/>
      <c r="E17" s="1039"/>
      <c r="F17" s="1706" t="s">
        <v>3855</v>
      </c>
      <c r="G17" s="165"/>
      <c r="H17" s="1027"/>
      <c r="I17" s="1027"/>
      <c r="J17" s="1027"/>
      <c r="K17" s="1708"/>
    </row>
    <row r="18" spans="1:12" ht="15.75">
      <c r="A18" s="930"/>
      <c r="B18" s="1027"/>
      <c r="C18" s="1706" t="s">
        <v>3856</v>
      </c>
      <c r="D18" s="165"/>
      <c r="E18" s="1039"/>
      <c r="F18" s="1706" t="s">
        <v>3857</v>
      </c>
      <c r="G18" s="165"/>
      <c r="H18" s="1027"/>
      <c r="I18" s="1027"/>
      <c r="J18" s="1027"/>
      <c r="K18" s="1039"/>
    </row>
    <row r="19" spans="1:12" ht="15.75">
      <c r="A19" s="930"/>
      <c r="B19" s="1027"/>
      <c r="C19" s="1706" t="s">
        <v>3858</v>
      </c>
      <c r="D19" s="165"/>
      <c r="E19" s="1039"/>
      <c r="F19" s="1706" t="s">
        <v>3859</v>
      </c>
      <c r="G19" s="165"/>
      <c r="H19" s="1027"/>
      <c r="I19" s="1027"/>
      <c r="J19" s="1027"/>
      <c r="K19" s="1039"/>
    </row>
    <row r="20" spans="1:12" ht="15.75">
      <c r="A20" s="930"/>
      <c r="B20" s="1027"/>
      <c r="C20" s="1706" t="s">
        <v>3860</v>
      </c>
      <c r="D20" s="165"/>
      <c r="E20" s="1039"/>
      <c r="F20" s="1706" t="s">
        <v>3861</v>
      </c>
      <c r="G20" s="165"/>
      <c r="H20" s="1027"/>
      <c r="I20" s="1027"/>
      <c r="J20" s="1027"/>
      <c r="K20" s="1039"/>
      <c r="L20" s="578">
        <f>ROUND(J22,0)*Number_Garages*12</f>
        <v>0</v>
      </c>
    </row>
    <row r="21" spans="1:12" ht="15.75">
      <c r="A21" s="930"/>
      <c r="B21" s="1027"/>
      <c r="C21" s="1706"/>
      <c r="D21" s="1706"/>
      <c r="E21" s="1706"/>
      <c r="F21" s="1706"/>
      <c r="G21" s="1706"/>
      <c r="H21" s="1027"/>
      <c r="I21" s="1027"/>
      <c r="J21" s="1027"/>
      <c r="K21" s="1039"/>
      <c r="L21" s="578">
        <f>ROUND(J23,0)*Number_Garages*12</f>
        <v>0</v>
      </c>
    </row>
    <row r="22" spans="1:12" ht="15.75">
      <c r="A22" s="930"/>
      <c r="B22" s="1027"/>
      <c r="C22" s="1706" t="s">
        <v>3862</v>
      </c>
      <c r="D22" s="165"/>
      <c r="E22" s="1039"/>
      <c r="F22" s="1706" t="s">
        <v>3863</v>
      </c>
      <c r="G22" s="165"/>
      <c r="H22" s="1027"/>
      <c r="I22" s="1706" t="s">
        <v>3864</v>
      </c>
      <c r="J22" s="984"/>
      <c r="K22" s="1039"/>
      <c r="L22" s="578">
        <f>ROUND(J24,0)*Number_Garages*12</f>
        <v>0</v>
      </c>
    </row>
    <row r="23" spans="1:12" ht="15.75">
      <c r="A23" s="930"/>
      <c r="B23" s="1038"/>
      <c r="C23" s="1706" t="s">
        <v>3865</v>
      </c>
      <c r="D23" s="165"/>
      <c r="E23" s="1039"/>
      <c r="F23" s="1706" t="s">
        <v>3863</v>
      </c>
      <c r="G23" s="165"/>
      <c r="H23" s="1027"/>
      <c r="I23" s="1706" t="s">
        <v>3864</v>
      </c>
      <c r="J23" s="984"/>
      <c r="K23" s="1050"/>
    </row>
    <row r="24" spans="1:12" ht="15.75">
      <c r="A24" s="930"/>
      <c r="B24" s="1027"/>
      <c r="C24" s="1706" t="s">
        <v>3866</v>
      </c>
      <c r="D24" s="165"/>
      <c r="E24" s="1039"/>
      <c r="F24" s="1706" t="s">
        <v>3863</v>
      </c>
      <c r="G24" s="165"/>
      <c r="H24" s="1027"/>
      <c r="I24" s="1706" t="s">
        <v>3864</v>
      </c>
      <c r="J24" s="984"/>
      <c r="K24" s="1039"/>
    </row>
    <row r="25" spans="1:12" ht="15.75">
      <c r="A25" s="930"/>
      <c r="B25" s="1027"/>
      <c r="C25" s="1706"/>
      <c r="D25" s="1706"/>
      <c r="E25" s="1706"/>
      <c r="F25" s="1706"/>
      <c r="G25" s="1706"/>
      <c r="H25" s="1706"/>
      <c r="I25" s="1706"/>
      <c r="J25" s="1706"/>
      <c r="K25" s="1039"/>
    </row>
    <row r="26" spans="1:12" ht="15.75">
      <c r="A26" s="930"/>
      <c r="B26" s="1027"/>
      <c r="C26" s="1081" t="s">
        <v>3867</v>
      </c>
      <c r="D26" s="211"/>
      <c r="E26" s="1039"/>
      <c r="F26" s="1039"/>
      <c r="G26" s="1039"/>
      <c r="H26" s="1027"/>
      <c r="I26" s="1706" t="s">
        <v>3868</v>
      </c>
      <c r="J26" s="985"/>
      <c r="K26" s="1039"/>
    </row>
    <row r="27" spans="1:12" ht="15.75">
      <c r="A27" s="930"/>
      <c r="B27" s="1027"/>
      <c r="C27" s="1081" t="s">
        <v>3869</v>
      </c>
      <c r="D27" s="165"/>
      <c r="E27" s="1039"/>
      <c r="F27" s="1039"/>
      <c r="G27" s="1039"/>
      <c r="H27" s="1027"/>
      <c r="I27" s="1706" t="s">
        <v>3868</v>
      </c>
      <c r="J27" s="984"/>
      <c r="K27" s="1039"/>
    </row>
    <row r="28" spans="1:12" ht="15.75">
      <c r="A28" s="930"/>
      <c r="B28" s="1027"/>
      <c r="C28" s="1706"/>
      <c r="D28" s="1039"/>
      <c r="E28" s="1706"/>
      <c r="F28" s="1706"/>
      <c r="G28" s="1706"/>
      <c r="H28" s="1027"/>
      <c r="I28" s="1027"/>
      <c r="J28" s="1027"/>
      <c r="K28" s="1039"/>
    </row>
    <row r="29" spans="1:12" ht="15.75">
      <c r="A29" s="930"/>
      <c r="B29" s="1027"/>
      <c r="C29" s="1706"/>
      <c r="D29" s="1039"/>
      <c r="E29" s="1039"/>
      <c r="F29" s="1081" t="s">
        <v>3870</v>
      </c>
      <c r="G29" s="165"/>
      <c r="H29" s="1027"/>
      <c r="I29" s="1705" t="s">
        <v>3871</v>
      </c>
      <c r="J29" s="165"/>
      <c r="K29" s="1039"/>
    </row>
    <row r="30" spans="1:12" ht="15.75">
      <c r="A30" s="930"/>
      <c r="B30" s="1027"/>
      <c r="C30" s="1081" t="s">
        <v>3872</v>
      </c>
      <c r="D30" s="165"/>
      <c r="E30" s="1039"/>
      <c r="F30" s="1705" t="s">
        <v>3873</v>
      </c>
      <c r="G30" s="165"/>
      <c r="H30" s="1027"/>
      <c r="I30" s="1081" t="s">
        <v>3874</v>
      </c>
      <c r="J30" s="165"/>
      <c r="K30" s="1039"/>
    </row>
    <row r="31" spans="1:12" ht="15.75">
      <c r="A31" s="930"/>
      <c r="B31" s="1038"/>
      <c r="C31" s="1081" t="s">
        <v>3875</v>
      </c>
      <c r="D31" s="165"/>
      <c r="E31" s="1039"/>
      <c r="F31" s="1081" t="s">
        <v>3876</v>
      </c>
      <c r="G31" s="165"/>
      <c r="H31" s="1027"/>
      <c r="I31" s="1084" t="s">
        <v>3877</v>
      </c>
      <c r="J31" s="165"/>
      <c r="K31" s="1039"/>
    </row>
    <row r="32" spans="1:12" ht="15.75">
      <c r="A32" s="930"/>
      <c r="B32" s="1027"/>
      <c r="C32" s="1705" t="s">
        <v>3878</v>
      </c>
      <c r="D32" s="165"/>
      <c r="E32" s="1039"/>
      <c r="F32" s="1039"/>
      <c r="G32" s="1039"/>
      <c r="H32" s="1027"/>
      <c r="I32" s="1705" t="s">
        <v>3879</v>
      </c>
      <c r="J32" s="165"/>
      <c r="K32" s="1708"/>
    </row>
    <row r="33" spans="1:13" ht="15.75">
      <c r="A33" s="930"/>
      <c r="B33" s="1027"/>
      <c r="C33" s="1705" t="s">
        <v>3880</v>
      </c>
      <c r="D33" s="165"/>
      <c r="E33" s="1039"/>
      <c r="F33" s="1705" t="s">
        <v>3881</v>
      </c>
      <c r="G33" s="165"/>
      <c r="H33" s="1027"/>
      <c r="I33" s="1705" t="s">
        <v>3882</v>
      </c>
      <c r="J33" s="165"/>
      <c r="K33" s="1039"/>
    </row>
    <row r="34" spans="1:13" ht="15.75">
      <c r="A34" s="930"/>
      <c r="B34" s="1027"/>
      <c r="C34" s="1705" t="s">
        <v>3883</v>
      </c>
      <c r="D34" s="165"/>
      <c r="E34" s="1039"/>
      <c r="F34" s="1705" t="s">
        <v>3884</v>
      </c>
      <c r="G34" s="165"/>
      <c r="H34" s="1027"/>
      <c r="I34" s="1705" t="s">
        <v>3885</v>
      </c>
      <c r="J34" s="165"/>
      <c r="K34" s="1039"/>
    </row>
    <row r="35" spans="1:13" ht="15.75">
      <c r="A35" s="930"/>
      <c r="B35" s="1027"/>
      <c r="C35" s="1705" t="s">
        <v>3886</v>
      </c>
      <c r="D35" s="165"/>
      <c r="E35" s="1039"/>
      <c r="F35" s="1705" t="s">
        <v>3887</v>
      </c>
      <c r="G35" s="165"/>
      <c r="H35" s="1027"/>
      <c r="I35" s="1705" t="s">
        <v>3888</v>
      </c>
      <c r="J35" s="165"/>
      <c r="K35" s="1039"/>
    </row>
    <row r="36" spans="1:13" ht="15.75">
      <c r="A36" s="930"/>
      <c r="B36" s="1038"/>
      <c r="C36" s="1705" t="s">
        <v>3889</v>
      </c>
      <c r="D36" s="165"/>
      <c r="E36" s="1039"/>
      <c r="F36" s="1705" t="s">
        <v>3890</v>
      </c>
      <c r="G36" s="165"/>
      <c r="H36" s="1027"/>
      <c r="I36" s="1705" t="s">
        <v>3891</v>
      </c>
      <c r="J36" s="165"/>
      <c r="K36" s="1050"/>
    </row>
    <row r="37" spans="1:13" ht="15.75">
      <c r="A37" s="930"/>
      <c r="B37" s="1027"/>
      <c r="C37" s="1705" t="s">
        <v>3892</v>
      </c>
      <c r="D37" s="165"/>
      <c r="E37" s="1039"/>
      <c r="F37" s="1039"/>
      <c r="G37" s="1039"/>
      <c r="H37" s="1027"/>
      <c r="I37" s="1705" t="s">
        <v>3893</v>
      </c>
      <c r="J37" s="165"/>
      <c r="K37" s="1039"/>
    </row>
    <row r="38" spans="1:13" ht="15.75">
      <c r="A38" s="930"/>
      <c r="B38" s="1027"/>
      <c r="C38" s="1705"/>
      <c r="D38" s="1705"/>
      <c r="E38" s="1705"/>
      <c r="F38" s="1705"/>
      <c r="G38" s="1705"/>
      <c r="H38" s="1027"/>
      <c r="I38" s="1027"/>
      <c r="J38" s="1027"/>
      <c r="K38" s="1039"/>
      <c r="M38" s="115"/>
    </row>
    <row r="39" spans="1:13" ht="15.75">
      <c r="A39" s="930"/>
      <c r="B39" s="1027"/>
      <c r="C39" s="2114" t="s">
        <v>3894</v>
      </c>
      <c r="D39" s="2027"/>
      <c r="E39" s="2028"/>
      <c r="F39" s="2028"/>
      <c r="G39" s="2028"/>
      <c r="H39" s="2028"/>
      <c r="I39" s="2028"/>
      <c r="J39" s="2029"/>
      <c r="K39" s="1039"/>
      <c r="M39" s="115"/>
    </row>
    <row r="40" spans="1:13" ht="15.75">
      <c r="A40" s="930"/>
      <c r="B40" s="1027"/>
      <c r="C40" s="2114"/>
      <c r="D40" s="2030"/>
      <c r="E40" s="2031"/>
      <c r="F40" s="2031"/>
      <c r="G40" s="2031"/>
      <c r="H40" s="2031"/>
      <c r="I40" s="2031"/>
      <c r="J40" s="2032"/>
      <c r="K40" s="1039"/>
      <c r="M40" s="115"/>
    </row>
    <row r="41" spans="1:13" ht="15.75">
      <c r="A41" s="930"/>
      <c r="B41" s="1027"/>
      <c r="C41" s="1706"/>
      <c r="D41" s="2030"/>
      <c r="E41" s="2031"/>
      <c r="F41" s="2031"/>
      <c r="G41" s="2031"/>
      <c r="H41" s="2031"/>
      <c r="I41" s="2031"/>
      <c r="J41" s="2032"/>
      <c r="K41" s="1039"/>
      <c r="M41" s="115"/>
    </row>
    <row r="42" spans="1:13" ht="15.75">
      <c r="A42" s="932"/>
      <c r="B42" s="1027"/>
      <c r="C42" s="1706"/>
      <c r="D42" s="2030"/>
      <c r="E42" s="2031"/>
      <c r="F42" s="2031"/>
      <c r="G42" s="2031"/>
      <c r="H42" s="2031"/>
      <c r="I42" s="2031"/>
      <c r="J42" s="2032"/>
      <c r="K42" s="1039"/>
      <c r="M42" s="115"/>
    </row>
    <row r="43" spans="1:13" ht="15.75">
      <c r="A43" s="932"/>
      <c r="B43" s="1027"/>
      <c r="C43" s="1706"/>
      <c r="D43" s="2030"/>
      <c r="E43" s="2031"/>
      <c r="F43" s="2031"/>
      <c r="G43" s="2031"/>
      <c r="H43" s="2031"/>
      <c r="I43" s="2031"/>
      <c r="J43" s="2032"/>
      <c r="K43" s="1039"/>
    </row>
    <row r="44" spans="1:13" ht="15.75">
      <c r="A44" s="932"/>
      <c r="B44" s="1027"/>
      <c r="C44" s="1706"/>
      <c r="D44" s="2030"/>
      <c r="E44" s="2031"/>
      <c r="F44" s="2031"/>
      <c r="G44" s="2031"/>
      <c r="H44" s="2031"/>
      <c r="I44" s="2031"/>
      <c r="J44" s="2032"/>
      <c r="K44" s="1039"/>
    </row>
    <row r="45" spans="1:13" ht="15.75">
      <c r="A45" s="932"/>
      <c r="B45" s="1027"/>
      <c r="C45" s="1706"/>
      <c r="D45" s="2030"/>
      <c r="E45" s="2031"/>
      <c r="F45" s="2031"/>
      <c r="G45" s="2031"/>
      <c r="H45" s="2031"/>
      <c r="I45" s="2031"/>
      <c r="J45" s="2032"/>
      <c r="K45" s="1708"/>
    </row>
    <row r="46" spans="1:13" ht="15.75">
      <c r="A46" s="932"/>
      <c r="B46" s="1027"/>
      <c r="C46" s="1706"/>
      <c r="D46" s="2033"/>
      <c r="E46" s="2034"/>
      <c r="F46" s="2034"/>
      <c r="G46" s="2034"/>
      <c r="H46" s="2034"/>
      <c r="I46" s="2034"/>
      <c r="J46" s="2035"/>
      <c r="K46" s="1039"/>
    </row>
    <row r="47" spans="1:13" ht="15.75">
      <c r="A47" s="930"/>
      <c r="B47" s="1027"/>
      <c r="C47" s="1705"/>
      <c r="D47" s="1705"/>
      <c r="E47" s="1039"/>
      <c r="F47" s="1705"/>
      <c r="G47" s="1705"/>
      <c r="H47" s="1027"/>
      <c r="I47" s="1027"/>
      <c r="J47" s="1027"/>
      <c r="K47" s="1039"/>
      <c r="M47" s="115"/>
    </row>
    <row r="48" spans="1:13" ht="15.75" customHeight="1">
      <c r="A48" s="930"/>
      <c r="B48" s="1027"/>
      <c r="C48" s="2114" t="s">
        <v>3895</v>
      </c>
      <c r="D48" s="2027"/>
      <c r="E48" s="2028"/>
      <c r="F48" s="2028"/>
      <c r="G48" s="2028"/>
      <c r="H48" s="2028"/>
      <c r="I48" s="2028"/>
      <c r="J48" s="2029"/>
      <c r="K48" s="1027"/>
      <c r="M48" s="115"/>
    </row>
    <row r="49" spans="1:13" ht="15.75">
      <c r="A49" s="930"/>
      <c r="B49" s="1027"/>
      <c r="C49" s="2114"/>
      <c r="D49" s="2030"/>
      <c r="E49" s="2031"/>
      <c r="F49" s="2031"/>
      <c r="G49" s="2031"/>
      <c r="H49" s="2031"/>
      <c r="I49" s="2031"/>
      <c r="J49" s="2032"/>
      <c r="K49" s="1039"/>
      <c r="M49" s="115"/>
    </row>
    <row r="50" spans="1:13" ht="15.75">
      <c r="A50" s="930"/>
      <c r="B50" s="1027"/>
      <c r="C50" s="1706"/>
      <c r="D50" s="2030"/>
      <c r="E50" s="2031"/>
      <c r="F50" s="2031"/>
      <c r="G50" s="2031"/>
      <c r="H50" s="2031"/>
      <c r="I50" s="2031"/>
      <c r="J50" s="2032"/>
      <c r="K50" s="1039"/>
      <c r="M50" s="115"/>
    </row>
    <row r="51" spans="1:13" ht="15.75">
      <c r="A51" s="3"/>
      <c r="B51" s="1027"/>
      <c r="C51" s="1706"/>
      <c r="D51" s="2030"/>
      <c r="E51" s="2031"/>
      <c r="F51" s="2031"/>
      <c r="G51" s="2031"/>
      <c r="H51" s="2031"/>
      <c r="I51" s="2031"/>
      <c r="J51" s="2032"/>
      <c r="K51" s="1039"/>
      <c r="M51" s="115"/>
    </row>
    <row r="52" spans="1:13" ht="15.75">
      <c r="A52" s="3"/>
      <c r="B52" s="1027"/>
      <c r="C52" s="1706"/>
      <c r="D52" s="2030"/>
      <c r="E52" s="2031"/>
      <c r="F52" s="2031"/>
      <c r="G52" s="2031"/>
      <c r="H52" s="2031"/>
      <c r="I52" s="2031"/>
      <c r="J52" s="2032"/>
      <c r="K52" s="1039"/>
    </row>
    <row r="53" spans="1:13" ht="15.75">
      <c r="A53" s="3"/>
      <c r="B53" s="1027"/>
      <c r="C53" s="1706"/>
      <c r="D53" s="2030"/>
      <c r="E53" s="2031"/>
      <c r="F53" s="2031"/>
      <c r="G53" s="2031"/>
      <c r="H53" s="2031"/>
      <c r="I53" s="2031"/>
      <c r="J53" s="2032"/>
      <c r="K53" s="1039"/>
    </row>
    <row r="54" spans="1:13" ht="15.75">
      <c r="A54" s="3"/>
      <c r="B54" s="1038"/>
      <c r="C54" s="1706"/>
      <c r="D54" s="2030"/>
      <c r="E54" s="2031"/>
      <c r="F54" s="2031"/>
      <c r="G54" s="2031"/>
      <c r="H54" s="2031"/>
      <c r="I54" s="2031"/>
      <c r="J54" s="2032"/>
      <c r="K54" s="1027"/>
    </row>
    <row r="55" spans="1:13" ht="15.75">
      <c r="A55" s="3"/>
      <c r="B55" s="1027"/>
      <c r="C55" s="1706"/>
      <c r="D55" s="2033"/>
      <c r="E55" s="2034"/>
      <c r="F55" s="2034"/>
      <c r="G55" s="2034"/>
      <c r="H55" s="2034"/>
      <c r="I55" s="2034"/>
      <c r="J55" s="2035"/>
      <c r="K55" s="1027"/>
    </row>
    <row r="56" spans="1:13">
      <c r="A56" s="3"/>
      <c r="B56" s="1027"/>
      <c r="C56" s="1027"/>
      <c r="D56" s="1027"/>
      <c r="E56" s="1027"/>
      <c r="F56" s="1027"/>
      <c r="G56" s="1027"/>
      <c r="H56" s="1027"/>
      <c r="I56" s="1027"/>
      <c r="J56" s="1027"/>
      <c r="K56" s="1027"/>
    </row>
    <row r="57" spans="1:13" ht="18.75">
      <c r="A57" s="929"/>
      <c r="B57" s="8" t="s">
        <v>3896</v>
      </c>
    </row>
    <row r="58" spans="1:13">
      <c r="A58" s="3"/>
      <c r="B58" s="1082" t="s">
        <v>3897</v>
      </c>
      <c r="C58" s="1027"/>
      <c r="D58" s="1027"/>
      <c r="E58" s="1027"/>
      <c r="F58" s="1027"/>
      <c r="G58" s="1027"/>
      <c r="H58" s="1027"/>
      <c r="I58" s="1027"/>
      <c r="J58" s="1027"/>
      <c r="K58" s="1027"/>
    </row>
    <row r="59" spans="1:13" ht="15.75">
      <c r="A59" s="3"/>
      <c r="B59" s="1027"/>
      <c r="C59" s="1705" t="s">
        <v>3898</v>
      </c>
      <c r="D59" s="165"/>
      <c r="E59" s="1039"/>
      <c r="F59" s="1705" t="s">
        <v>3899</v>
      </c>
      <c r="G59" s="165"/>
      <c r="H59" s="1027"/>
      <c r="I59" s="1705" t="s">
        <v>3900</v>
      </c>
      <c r="J59" s="165"/>
      <c r="K59" s="1027"/>
    </row>
    <row r="60" spans="1:13" ht="15.75">
      <c r="A60" s="3"/>
      <c r="B60" s="1027"/>
      <c r="C60" s="1705" t="s">
        <v>3901</v>
      </c>
      <c r="D60" s="165"/>
      <c r="E60" s="1039"/>
      <c r="F60" s="1705" t="s">
        <v>3902</v>
      </c>
      <c r="G60" s="165"/>
      <c r="H60" s="1027"/>
      <c r="I60" s="1705" t="s">
        <v>3903</v>
      </c>
      <c r="J60" s="165"/>
      <c r="K60" s="1027"/>
    </row>
    <row r="61" spans="1:13" ht="15.75">
      <c r="A61" s="3"/>
      <c r="B61" s="1027"/>
      <c r="C61" s="1705" t="s">
        <v>3904</v>
      </c>
      <c r="D61" s="165"/>
      <c r="E61" s="1039"/>
      <c r="F61" s="1705" t="s">
        <v>3905</v>
      </c>
      <c r="G61" s="165"/>
      <c r="H61" s="1027"/>
      <c r="I61" s="1705" t="s">
        <v>3906</v>
      </c>
      <c r="J61" s="165"/>
      <c r="K61" s="1027"/>
    </row>
    <row r="62" spans="1:13" ht="15.75">
      <c r="B62" s="1038"/>
      <c r="C62" s="1705" t="s">
        <v>3907</v>
      </c>
      <c r="D62" s="165"/>
      <c r="E62" s="1039"/>
      <c r="F62" s="1705" t="s">
        <v>3908</v>
      </c>
      <c r="G62" s="165"/>
      <c r="H62" s="1027"/>
      <c r="I62" s="1705" t="s">
        <v>3909</v>
      </c>
      <c r="J62" s="165"/>
      <c r="K62" s="1027"/>
    </row>
    <row r="63" spans="1:13" ht="15.75">
      <c r="B63" s="1027"/>
      <c r="C63" s="1705" t="s">
        <v>3910</v>
      </c>
      <c r="D63" s="165"/>
      <c r="E63" s="1039"/>
      <c r="F63" s="1705" t="s">
        <v>3911</v>
      </c>
      <c r="G63" s="165"/>
      <c r="H63" s="1027"/>
      <c r="I63" s="1705" t="s">
        <v>3912</v>
      </c>
      <c r="J63" s="165"/>
      <c r="K63" s="1027"/>
    </row>
    <row r="64" spans="1:13" ht="15.75">
      <c r="A64" s="3"/>
      <c r="B64" s="1027"/>
      <c r="C64" s="1705" t="s">
        <v>3913</v>
      </c>
      <c r="D64" s="165"/>
      <c r="E64" s="1039"/>
      <c r="F64" s="1705" t="s">
        <v>3914</v>
      </c>
      <c r="G64" s="165"/>
      <c r="H64" s="1027"/>
      <c r="I64" s="1027"/>
      <c r="J64" s="1027"/>
      <c r="K64" s="1027"/>
    </row>
    <row r="65" spans="1:11" ht="15.75">
      <c r="A65" s="3"/>
      <c r="B65" s="1027"/>
      <c r="C65" s="1705"/>
      <c r="D65" s="1039"/>
      <c r="E65" s="1039"/>
      <c r="F65" s="1039"/>
      <c r="G65" s="1039"/>
      <c r="H65" s="1027"/>
      <c r="I65" s="1027"/>
      <c r="J65" s="1027"/>
      <c r="K65" s="1027"/>
    </row>
    <row r="66" spans="1:11" ht="15.75">
      <c r="A66" s="3"/>
      <c r="B66" s="1082" t="s">
        <v>3915</v>
      </c>
      <c r="C66" s="1705"/>
      <c r="D66" s="1705"/>
      <c r="E66" s="1705"/>
      <c r="F66" s="1705"/>
      <c r="G66" s="1705"/>
      <c r="H66" s="1027"/>
      <c r="I66" s="1027"/>
      <c r="J66" s="1027"/>
      <c r="K66" s="1027"/>
    </row>
    <row r="67" spans="1:11" ht="15" customHeight="1">
      <c r="A67" s="3"/>
      <c r="B67" s="1038"/>
      <c r="C67" s="1705" t="s">
        <v>3916</v>
      </c>
      <c r="D67" s="165"/>
      <c r="E67" s="1039"/>
      <c r="F67" s="1705" t="s">
        <v>3917</v>
      </c>
      <c r="G67" s="211"/>
      <c r="H67" s="1027"/>
      <c r="I67" s="1705" t="s">
        <v>3918</v>
      </c>
      <c r="J67" s="211"/>
      <c r="K67" s="1027"/>
    </row>
    <row r="68" spans="1:11" ht="15" customHeight="1">
      <c r="A68" s="3"/>
      <c r="B68" s="1027"/>
      <c r="C68" s="1705" t="s">
        <v>3919</v>
      </c>
      <c r="D68" s="165"/>
      <c r="E68" s="1039"/>
      <c r="F68" s="1705" t="s">
        <v>3359</v>
      </c>
      <c r="G68" s="2110"/>
      <c r="H68" s="2111"/>
      <c r="I68" s="2111"/>
      <c r="J68" s="2112"/>
      <c r="K68" s="1027"/>
    </row>
    <row r="69" spans="1:11">
      <c r="A69" s="3"/>
      <c r="B69" s="1027"/>
      <c r="C69" s="1027"/>
      <c r="D69" s="1027"/>
      <c r="E69" s="1027"/>
      <c r="F69" s="1027"/>
      <c r="G69" s="1027"/>
      <c r="H69" s="1027"/>
      <c r="I69" s="1027"/>
      <c r="J69" s="1027"/>
      <c r="K69" s="1027"/>
    </row>
    <row r="70" spans="1:11" ht="15.75">
      <c r="A70" s="3"/>
      <c r="B70" s="1082" t="s">
        <v>3920</v>
      </c>
      <c r="C70" s="1705"/>
      <c r="D70" s="1705"/>
      <c r="E70" s="1705"/>
      <c r="F70" s="1705"/>
      <c r="G70" s="1705"/>
      <c r="H70" s="1027"/>
      <c r="I70" s="1027"/>
      <c r="J70" s="1027"/>
      <c r="K70" s="1027"/>
    </row>
    <row r="71" spans="1:11" ht="15.75">
      <c r="A71" s="3"/>
      <c r="B71" s="1038"/>
      <c r="C71" s="1705" t="s">
        <v>3921</v>
      </c>
      <c r="D71" s="165"/>
      <c r="E71" s="1039"/>
      <c r="F71" s="1705" t="s">
        <v>3922</v>
      </c>
      <c r="G71" s="165"/>
      <c r="H71" s="1027"/>
      <c r="I71" s="1705" t="s">
        <v>3923</v>
      </c>
      <c r="J71" s="165"/>
      <c r="K71" s="1027"/>
    </row>
    <row r="72" spans="1:11" ht="15.75">
      <c r="A72" s="3"/>
      <c r="B72" s="1027"/>
      <c r="C72" s="1705" t="s">
        <v>3924</v>
      </c>
      <c r="D72" s="165"/>
      <c r="E72" s="1039"/>
      <c r="F72" s="1705" t="s">
        <v>3925</v>
      </c>
      <c r="G72" s="165"/>
      <c r="H72" s="1027"/>
      <c r="I72" s="1705" t="s">
        <v>3926</v>
      </c>
      <c r="J72" s="165"/>
      <c r="K72" s="1027"/>
    </row>
    <row r="73" spans="1:11" ht="15.75">
      <c r="A73" s="3"/>
      <c r="B73" s="1027"/>
      <c r="C73" s="1705" t="s">
        <v>3927</v>
      </c>
      <c r="D73" s="165"/>
      <c r="E73" s="1027"/>
      <c r="F73" s="1027"/>
      <c r="G73" s="1027"/>
      <c r="H73" s="1027"/>
      <c r="I73" s="1027"/>
      <c r="J73" s="1027"/>
      <c r="K73" s="1027"/>
    </row>
    <row r="74" spans="1:11">
      <c r="A74" s="3"/>
      <c r="B74" s="1027"/>
      <c r="C74" s="1027"/>
      <c r="D74" s="1027"/>
      <c r="E74" s="1027"/>
      <c r="F74" s="1027"/>
      <c r="G74" s="1027"/>
      <c r="H74" s="1027"/>
      <c r="I74" s="1027"/>
      <c r="J74" s="1027"/>
      <c r="K74" s="1027"/>
    </row>
    <row r="75" spans="1:11">
      <c r="A75" s="3"/>
    </row>
    <row r="76" spans="1:11" ht="18.75">
      <c r="A76" s="3"/>
      <c r="B76" s="8" t="s">
        <v>3730</v>
      </c>
      <c r="C76" s="17"/>
      <c r="E76" s="970"/>
      <c r="F76" s="970"/>
      <c r="G76" s="970"/>
    </row>
    <row r="77" spans="1:11">
      <c r="A77" s="3"/>
      <c r="B77" s="1027"/>
      <c r="C77" s="1030" t="s">
        <v>3928</v>
      </c>
      <c r="D77" s="1027"/>
      <c r="E77" s="1027"/>
      <c r="F77" s="1027"/>
      <c r="G77" s="1027"/>
      <c r="H77" s="1027"/>
      <c r="I77" s="1027"/>
      <c r="J77" s="1027"/>
      <c r="K77" s="1027"/>
    </row>
    <row r="78" spans="1:11">
      <c r="A78" s="3"/>
      <c r="B78" s="1027"/>
      <c r="C78" s="2022"/>
      <c r="D78" s="2022"/>
      <c r="E78" s="2022"/>
      <c r="F78" s="2022"/>
      <c r="G78" s="2022"/>
      <c r="H78" s="1027"/>
      <c r="I78" s="1027"/>
      <c r="J78" s="1027"/>
      <c r="K78" s="1027"/>
    </row>
    <row r="79" spans="1:11">
      <c r="A79" s="3"/>
      <c r="B79" s="1027"/>
      <c r="C79" s="2022"/>
      <c r="D79" s="2022"/>
      <c r="E79" s="2022"/>
      <c r="F79" s="2022"/>
      <c r="G79" s="2022"/>
      <c r="H79" s="1027"/>
      <c r="I79" s="1027"/>
      <c r="J79" s="1027"/>
      <c r="K79" s="1027"/>
    </row>
    <row r="80" spans="1:11">
      <c r="A80" s="3"/>
      <c r="B80" s="1027"/>
      <c r="C80" s="2022"/>
      <c r="D80" s="2022"/>
      <c r="E80" s="2022"/>
      <c r="F80" s="2022"/>
      <c r="G80" s="2022"/>
      <c r="H80" s="1027"/>
      <c r="I80" s="1027"/>
      <c r="J80" s="1027"/>
      <c r="K80" s="1027"/>
    </row>
    <row r="81" spans="1:11">
      <c r="A81" s="3"/>
      <c r="B81" s="1027"/>
      <c r="C81" s="2022"/>
      <c r="D81" s="2022"/>
      <c r="E81" s="2022"/>
      <c r="F81" s="2022"/>
      <c r="G81" s="2022"/>
      <c r="H81" s="1027"/>
      <c r="I81" s="1027"/>
      <c r="J81" s="1027"/>
      <c r="K81" s="1027"/>
    </row>
    <row r="82" spans="1:11">
      <c r="A82" s="3"/>
      <c r="B82" s="1027"/>
      <c r="C82" s="2022"/>
      <c r="D82" s="2022"/>
      <c r="E82" s="2022"/>
      <c r="F82" s="2022"/>
      <c r="G82" s="2022"/>
      <c r="H82" s="1027"/>
      <c r="I82" s="1027"/>
      <c r="J82" s="1027"/>
      <c r="K82" s="1027"/>
    </row>
    <row r="83" spans="1:11">
      <c r="A83" s="3"/>
      <c r="B83" s="1027"/>
      <c r="C83" s="2022"/>
      <c r="D83" s="2022"/>
      <c r="E83" s="2022"/>
      <c r="F83" s="2022"/>
      <c r="G83" s="2022"/>
      <c r="H83" s="1027"/>
      <c r="I83" s="1027"/>
      <c r="J83" s="1027"/>
      <c r="K83" s="1027"/>
    </row>
    <row r="84" spans="1:11">
      <c r="A84" s="3"/>
      <c r="B84" s="1027"/>
      <c r="C84" s="2022"/>
      <c r="D84" s="2022"/>
      <c r="E84" s="2022"/>
      <c r="F84" s="2022"/>
      <c r="G84" s="2022"/>
      <c r="H84" s="1027"/>
      <c r="I84" s="1027"/>
      <c r="J84" s="1027"/>
      <c r="K84" s="1027"/>
    </row>
    <row r="85" spans="1:11">
      <c r="A85" s="3"/>
      <c r="B85" s="1027"/>
      <c r="C85" s="2022"/>
      <c r="D85" s="2022"/>
      <c r="E85" s="2022"/>
      <c r="F85" s="2022"/>
      <c r="G85" s="2022"/>
      <c r="H85" s="1027"/>
      <c r="I85" s="1027"/>
      <c r="J85" s="1027"/>
      <c r="K85" s="1027"/>
    </row>
    <row r="86" spans="1:11">
      <c r="A86" s="3"/>
      <c r="B86" s="1027"/>
      <c r="C86" s="1027"/>
      <c r="D86" s="1027"/>
      <c r="E86" s="1027"/>
      <c r="F86" s="1027"/>
      <c r="G86" s="1027"/>
      <c r="H86" s="1027"/>
      <c r="I86" s="1027"/>
      <c r="J86" s="1027"/>
      <c r="K86" s="1027"/>
    </row>
    <row r="87" spans="1:11" ht="15.75">
      <c r="A87" s="3"/>
      <c r="E87" s="156"/>
    </row>
    <row r="88" spans="1:11">
      <c r="A88" s="3"/>
      <c r="B88" s="16" t="s">
        <v>3637</v>
      </c>
      <c r="C88" s="7"/>
      <c r="D88" s="7"/>
      <c r="E88" s="7"/>
      <c r="F88" s="7"/>
      <c r="G88" s="7"/>
      <c r="H88" s="7"/>
      <c r="I88" s="7"/>
      <c r="J88" s="7"/>
      <c r="K88" s="7"/>
    </row>
    <row r="89" spans="1:11" ht="18.75">
      <c r="A89" s="3"/>
      <c r="B89" s="8" t="s">
        <v>3732</v>
      </c>
      <c r="E89" s="970"/>
      <c r="F89" s="970"/>
      <c r="G89" s="970"/>
      <c r="H89" s="970"/>
      <c r="I89" s="970"/>
      <c r="J89" s="970"/>
    </row>
    <row r="90" spans="1:11">
      <c r="A90" s="3"/>
      <c r="B90" s="1027"/>
      <c r="C90" s="1030"/>
      <c r="D90" s="1027"/>
      <c r="E90" s="1027"/>
      <c r="F90" s="1027"/>
      <c r="G90" s="1027"/>
      <c r="H90" s="1027"/>
      <c r="I90" s="1027"/>
      <c r="J90" s="1027"/>
      <c r="K90" s="1027"/>
    </row>
    <row r="91" spans="1:11">
      <c r="A91" s="3"/>
      <c r="B91" s="1027"/>
      <c r="C91" s="2022"/>
      <c r="D91" s="2022"/>
      <c r="E91" s="2022"/>
      <c r="F91" s="2022"/>
      <c r="G91" s="2022"/>
      <c r="H91" s="1027"/>
      <c r="I91" s="1027"/>
      <c r="J91" s="1027"/>
      <c r="K91" s="1027"/>
    </row>
    <row r="92" spans="1:11">
      <c r="A92" s="3"/>
      <c r="B92" s="1027"/>
      <c r="C92" s="2022"/>
      <c r="D92" s="2022"/>
      <c r="E92" s="2022"/>
      <c r="F92" s="2022"/>
      <c r="G92" s="2022"/>
      <c r="H92" s="1027"/>
      <c r="I92" s="1027"/>
      <c r="J92" s="1027"/>
      <c r="K92" s="1027"/>
    </row>
    <row r="93" spans="1:11">
      <c r="A93" s="3"/>
      <c r="B93" s="1027"/>
      <c r="C93" s="2022"/>
      <c r="D93" s="2022"/>
      <c r="E93" s="2022"/>
      <c r="F93" s="2022"/>
      <c r="G93" s="2022"/>
      <c r="H93" s="1027"/>
      <c r="I93" s="1027"/>
      <c r="J93" s="1027"/>
      <c r="K93" s="1027"/>
    </row>
    <row r="94" spans="1:11">
      <c r="A94" s="3"/>
      <c r="B94" s="1027"/>
      <c r="C94" s="2022"/>
      <c r="D94" s="2022"/>
      <c r="E94" s="2022"/>
      <c r="F94" s="2022"/>
      <c r="G94" s="2022"/>
      <c r="H94" s="1027"/>
      <c r="I94" s="1027"/>
      <c r="J94" s="1027"/>
      <c r="K94" s="1027"/>
    </row>
    <row r="95" spans="1:11">
      <c r="A95" s="3"/>
      <c r="B95" s="1027"/>
      <c r="C95" s="1027"/>
      <c r="D95" s="1027"/>
      <c r="E95" s="1027"/>
      <c r="F95" s="1027"/>
      <c r="G95" s="1027"/>
      <c r="H95" s="1027"/>
      <c r="I95" s="1027"/>
      <c r="J95" s="1027"/>
      <c r="K95" s="1027"/>
    </row>
    <row r="96" spans="1:11" ht="15.75">
      <c r="A96" s="3"/>
      <c r="C96" s="173"/>
      <c r="D96" s="173"/>
      <c r="E96" s="166"/>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sheetData>
  <sheetProtection algorithmName="SHA-512" hashValue="Buhk/mV+sH2mMaUOC0Op2oblvA0T920pmjLwFHUgfoSd3iwuN3PZ0IXpMkf3EdRvgPXojgZ3ucMOJ3Z6OG5PUg==" saltValue="Fduvn0fQka3sccrTiMf0sQ==" spinCount="100000" sheet="1" objects="1" scenarios="1" selectLockedCells="1"/>
  <mergeCells count="9">
    <mergeCell ref="C91:G94"/>
    <mergeCell ref="D7:J14"/>
    <mergeCell ref="D39:J46"/>
    <mergeCell ref="D48:J55"/>
    <mergeCell ref="G68:J68"/>
    <mergeCell ref="C78:G85"/>
    <mergeCell ref="C7:C9"/>
    <mergeCell ref="C39:C40"/>
    <mergeCell ref="C48:C49"/>
  </mergeCells>
  <conditionalFormatting sqref="G17:G20">
    <cfRule type="expression" dxfId="316" priority="2">
      <formula>D17="Yes"</formula>
    </cfRule>
  </conditionalFormatting>
  <conditionalFormatting sqref="G22:G24">
    <cfRule type="expression" dxfId="315" priority="7">
      <formula>D22="Yes"</formula>
    </cfRule>
  </conditionalFormatting>
  <conditionalFormatting sqref="J22:J24 J26:J27">
    <cfRule type="expression" dxfId="314" priority="4">
      <formula>D22="Yes"</formula>
    </cfRule>
  </conditionalFormatting>
  <dataValidations count="3">
    <dataValidation type="list" allowBlank="1" showInputMessage="1" showErrorMessage="1" sqref="D67:D68 G67 D71:D73 J71:J72 J29:J37 D26:D27 J59:J63 G59:G64 D59:D64 J67 G71:G72 D17:D20 D30:D37 D22:D24 G29:G31 G33:G36" xr:uid="{F9629904-33AB-4FF4-A247-C644A12A12F7}">
      <formula1>YesNo</formula1>
    </dataValidation>
    <dataValidation type="custom" allowBlank="1" showInputMessage="1" showErrorMessage="1" sqref="F1 A5:A48 A57" xr:uid="{9DE301F9-7345-4360-918D-D6B6F41FBE7E}">
      <formula1>"&lt;0&gt;0"</formula1>
    </dataValidation>
    <dataValidation type="custom" allowBlank="1" showInputMessage="1" showErrorMessage="1" errorTitle="Numeric Value Error" error="Please enter numeric values only." sqref="G17:G20 G22:G24 J22:J24 J26:J27" xr:uid="{6FDCFBB0-C793-4CBA-877D-946293AB95FA}">
      <formula1>ISNUMBER(G17)</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rowBreaks count="1" manualBreakCount="1">
    <brk id="87" min="1" max="10" man="1"/>
  </rowBreaks>
  <colBreaks count="1" manualBreakCount="1">
    <brk id="11" min="4" max="96"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91E947A3-A640-42DC-89D8-4BCF48D53087}">
          <x14:formula1>
            <xm:f>'Dropdown Lists'!$A$2:$A$3</xm:f>
          </x14:formula1>
          <xm:sqref>E96 K89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1090-2153-4D7F-8281-1908ADC1584A}">
  <sheetPr codeName="Sheet33"/>
  <dimension ref="A2:L64"/>
  <sheetViews>
    <sheetView workbookViewId="0"/>
  </sheetViews>
  <sheetFormatPr defaultRowHeight="15"/>
  <cols>
    <col min="1" max="1" width="9.85546875" bestFit="1" customWidth="1"/>
    <col min="2" max="2" width="18.140625" bestFit="1" customWidth="1"/>
    <col min="3" max="5" width="18.140625" customWidth="1"/>
    <col min="7" max="7" width="15" customWidth="1"/>
    <col min="8" max="8" width="12.42578125" customWidth="1"/>
    <col min="10" max="10" width="14.5703125" bestFit="1" customWidth="1"/>
  </cols>
  <sheetData>
    <row r="2" spans="1:12">
      <c r="F2" t="s">
        <v>3929</v>
      </c>
      <c r="G2" t="s">
        <v>3930</v>
      </c>
      <c r="H2" t="s">
        <v>1953</v>
      </c>
      <c r="I2" t="s">
        <v>1955</v>
      </c>
      <c r="J2" t="s">
        <v>1954</v>
      </c>
    </row>
    <row r="3" spans="1:12" ht="30">
      <c r="A3" t="s">
        <v>3931</v>
      </c>
      <c r="B3" t="s">
        <v>3932</v>
      </c>
      <c r="C3" t="s">
        <v>3933</v>
      </c>
      <c r="D3" t="s">
        <v>3934</v>
      </c>
      <c r="E3" t="s">
        <v>3935</v>
      </c>
      <c r="F3" s="672" t="s">
        <v>3936</v>
      </c>
      <c r="G3" s="672" t="s">
        <v>3930</v>
      </c>
      <c r="H3" s="672" t="s">
        <v>3937</v>
      </c>
      <c r="I3" s="672" t="s">
        <v>3938</v>
      </c>
      <c r="J3" s="672" t="s">
        <v>3939</v>
      </c>
      <c r="K3" s="672" t="s">
        <v>3940</v>
      </c>
    </row>
    <row r="4" spans="1:12">
      <c r="A4">
        <v>0</v>
      </c>
      <c r="B4">
        <v>0</v>
      </c>
      <c r="C4">
        <v>0</v>
      </c>
      <c r="D4">
        <v>0</v>
      </c>
      <c r="E4">
        <v>0</v>
      </c>
      <c r="F4" s="672">
        <v>5</v>
      </c>
      <c r="G4" s="672">
        <v>7</v>
      </c>
      <c r="H4" s="672">
        <v>8</v>
      </c>
      <c r="I4" s="672">
        <v>9</v>
      </c>
      <c r="J4" s="672">
        <v>11</v>
      </c>
      <c r="K4" s="672">
        <v>3</v>
      </c>
      <c r="L4" t="s">
        <v>3941</v>
      </c>
    </row>
    <row r="5" spans="1:12">
      <c r="A5">
        <f>A4+1</f>
        <v>1</v>
      </c>
      <c r="B5">
        <f>COUNT('11. Unit Mix'!E16:E65)</f>
        <v>0</v>
      </c>
      <c r="C5">
        <f>COUNT('11. Unit Mix'!E104:E113)</f>
        <v>0</v>
      </c>
      <c r="D5">
        <f>IF(B5=0,0,IF(A5&lt;=B5,D4+1,0))</f>
        <v>0</v>
      </c>
      <c r="E5">
        <f t="shared" ref="E5:E10" si="0">IF(D5=0,IF(A5&lt;=(B5+C5),E4+1,0), 0)</f>
        <v>0</v>
      </c>
      <c r="F5" s="1466" t="str" cm="1">
        <f t="array" aca="1" ref="F5" ca="1">IF($D5&gt;0,INDIRECT(ADDRESS($D5+15,F$4, 1, 1, "11. Unit Mix")), IF($E5&gt;0,INDIRECT(ADDRESS($E5+103,F$4, 1, 1, "11. Unit Mix")), ""))</f>
        <v/>
      </c>
      <c r="G5" s="1466" t="str" cm="1">
        <f t="array" aca="1" ref="G5" ca="1">IF($D5&gt;0,INDIRECT(ADDRESS($D5+15,G$4, 1, 1, "11. Unit Mix")), IF($E5&gt;0,INDIRECT(ADDRESS($E5+103,G$4, 1, 1, "11. Unit Mix")), ""))</f>
        <v/>
      </c>
      <c r="H5" s="1466" t="str" cm="1">
        <f t="array" aca="1" ref="H5" ca="1">IF($D5&gt;0,INDIRECT(ADDRESS($D5+15,H$4, 1, 1, "11. Unit Mix")), IF($E5&gt;0,INDIRECT(ADDRESS($E5+103,H$4, 1, 1, "11. Unit Mix")), ""))</f>
        <v/>
      </c>
      <c r="I5" s="1467" t="str" cm="1">
        <f t="array" aca="1" ref="I5" ca="1">IF($D5&gt;0,INDIRECT(ADDRESS($D5+15,I$4, 1, 1, "11. Unit Mix")), "")</f>
        <v/>
      </c>
      <c r="J5" s="1466" t="str" cm="1">
        <f t="array" aca="1" ref="J5" ca="1">IF($D5&gt;0,INDIRECT(ADDRESS($D5+15,J$4, 1, 1, "11. Unit Mix")), IF($E5&gt;0,INDIRECT(ADDRESS($E5+103,I$4, 1, 1, "11. Unit Mix")), ""))</f>
        <v/>
      </c>
      <c r="K5" s="1466" t="str" cm="1">
        <f t="array" aca="1" ref="K5" ca="1">IF($D5&gt;0,INDIRECT(ADDRESS($D5+15,K$4, 1, 1, "11. Unit Mix")), IF($E5&gt;0,INDIRECT(ADDRESS($E5+103,K$4, 1, 1, "11. Unit Mix")), ""))</f>
        <v/>
      </c>
      <c r="L5" t="s">
        <v>3942</v>
      </c>
    </row>
    <row r="6" spans="1:12">
      <c r="A6">
        <f>A5+1</f>
        <v>2</v>
      </c>
      <c r="B6">
        <f>B5</f>
        <v>0</v>
      </c>
      <c r="C6">
        <f>C5</f>
        <v>0</v>
      </c>
      <c r="D6">
        <f>IF(B6=0,0,IF(A6&lt;=B6,D5+1,0))</f>
        <v>0</v>
      </c>
      <c r="E6">
        <f t="shared" si="0"/>
        <v>0</v>
      </c>
      <c r="F6" s="1466" t="str" cm="1">
        <f t="array" aca="1" ref="F6" ca="1">IF($D6&gt;0,INDIRECT(ADDRESS($D6+15,F$4, 1, 1, "11. Unit Mix")), IF($E6&gt;0,INDIRECT(ADDRESS($E6+103,F$4, 1, 1, "11. Unit Mix")), ""))</f>
        <v/>
      </c>
      <c r="G6" s="1466" t="str" cm="1">
        <f t="array" aca="1" ref="G6" ca="1">IF($D6&gt;0,INDIRECT(ADDRESS($D6+15,G$4, 1, 1, "11. Unit Mix")), IF($E6&gt;0,INDIRECT(ADDRESS($E6+103,G$4, 1, 1, "11. Unit Mix")), ""))</f>
        <v/>
      </c>
      <c r="H6" s="1466" t="str" cm="1">
        <f t="array" aca="1" ref="H6" ca="1">IF($D6&gt;0,INDIRECT(ADDRESS($D6+15,H$4, 1, 1, "11. Unit Mix")), IF($E6&gt;0,INDIRECT(ADDRESS($E6+103,H$4, 1, 1, "11. Unit Mix")), ""))</f>
        <v/>
      </c>
      <c r="I6" s="1467" t="str" cm="1">
        <f t="array" aca="1" ref="I6" ca="1">IF($D6&gt;0,INDIRECT(ADDRESS($D6+15,I$4, 1, 1, "11. Unit Mix")), "")</f>
        <v/>
      </c>
      <c r="J6" s="1466" t="str" cm="1">
        <f t="array" aca="1" ref="J6" ca="1">IF($D6&gt;0,INDIRECT(ADDRESS($D6+15,J$4, 1, 1, "11. Unit Mix")), IF($E6&gt;0,INDIRECT(ADDRESS($E6+103,I$4, 1, 1, "11. Unit Mix")), ""))</f>
        <v/>
      </c>
      <c r="K6" s="1466" t="str" cm="1">
        <f t="array" aca="1" ref="K6" ca="1">IF($D6&gt;0,INDIRECT(ADDRESS($D6+15,K$4, 1, 1, "11. Unit Mix")), IF($E6&gt;0,INDIRECT(ADDRESS($E6+103,K$4, 1, 1, "11. Unit Mix")), ""))</f>
        <v/>
      </c>
    </row>
    <row r="7" spans="1:12">
      <c r="A7">
        <f t="shared" ref="A7:A64" si="1">A6+1</f>
        <v>3</v>
      </c>
      <c r="B7">
        <f t="shared" ref="B7:B64" si="2">B6</f>
        <v>0</v>
      </c>
      <c r="C7">
        <f t="shared" ref="C7:C64" si="3">C6</f>
        <v>0</v>
      </c>
      <c r="D7">
        <f t="shared" ref="D7:D64" si="4">IF(B7=0,0,IF(A7&lt;=B7,D6+1,0))</f>
        <v>0</v>
      </c>
      <c r="E7">
        <f t="shared" si="0"/>
        <v>0</v>
      </c>
      <c r="F7" s="1466" t="str" cm="1">
        <f t="array" aca="1" ref="F7" ca="1">IF($D7&gt;0,INDIRECT(ADDRESS($D7+15,F$4, 1, 1, "11. Unit Mix")), IF($E7&gt;0,INDIRECT(ADDRESS($E7+103,F$4, 1, 1, "11. Unit Mix")), ""))</f>
        <v/>
      </c>
      <c r="G7" s="1466" t="str" cm="1">
        <f t="array" aca="1" ref="G7" ca="1">IF($D7&gt;0,INDIRECT(ADDRESS($D7+15,G$4, 1, 1, "11. Unit Mix")), IF($E7&gt;0,INDIRECT(ADDRESS($E7+103,G$4, 1, 1, "11. Unit Mix")), ""))</f>
        <v/>
      </c>
      <c r="H7" s="1466" t="str" cm="1">
        <f t="array" aca="1" ref="H7" ca="1">IF($D7&gt;0,INDIRECT(ADDRESS($D7+15,H$4, 1, 1, "11. Unit Mix")), IF($E7&gt;0,INDIRECT(ADDRESS($E7+103,H$4, 1, 1, "11. Unit Mix")), ""))</f>
        <v/>
      </c>
      <c r="I7" s="1467" t="str" cm="1">
        <f t="array" aca="1" ref="I7" ca="1">IF($D7&gt;0,INDIRECT(ADDRESS($D7+15,I$4, 1, 1, "11. Unit Mix")), "")</f>
        <v/>
      </c>
      <c r="J7" s="1466" t="str" cm="1">
        <f t="array" aca="1" ref="J7" ca="1">IF($D7&gt;0,INDIRECT(ADDRESS($D7+15,J$4, 1, 1, "11. Unit Mix")), IF($E7&gt;0,INDIRECT(ADDRESS($E7+103,I$4, 1, 1, "11. Unit Mix")), ""))</f>
        <v/>
      </c>
      <c r="K7" s="1466" t="str" cm="1">
        <f t="array" aca="1" ref="K7" ca="1">IF($D7&gt;0,INDIRECT(ADDRESS($D7+15,K$4, 1, 1, "11. Unit Mix")), IF($E7&gt;0,INDIRECT(ADDRESS($E7+103,K$4, 1, 1, "11. Unit Mix")), ""))</f>
        <v/>
      </c>
    </row>
    <row r="8" spans="1:12">
      <c r="A8">
        <f t="shared" si="1"/>
        <v>4</v>
      </c>
      <c r="B8">
        <f t="shared" si="2"/>
        <v>0</v>
      </c>
      <c r="C8">
        <f t="shared" si="3"/>
        <v>0</v>
      </c>
      <c r="D8">
        <f t="shared" si="4"/>
        <v>0</v>
      </c>
      <c r="E8">
        <f t="shared" si="0"/>
        <v>0</v>
      </c>
      <c r="F8" s="1466" t="str" cm="1">
        <f t="array" aca="1" ref="F8" ca="1">IF($D8&gt;0,INDIRECT(ADDRESS($D8+15,F$4, 1, 1, "11. Unit Mix")), IF($E8&gt;0,INDIRECT(ADDRESS($E8+103,F$4, 1, 1, "11. Unit Mix")), ""))</f>
        <v/>
      </c>
      <c r="G8" s="1466" t="str" cm="1">
        <f t="array" aca="1" ref="G8" ca="1">IF($D8&gt;0,INDIRECT(ADDRESS($D8+15,G$4, 1, 1, "11. Unit Mix")), IF($E8&gt;0,INDIRECT(ADDRESS($E8+103,G$4, 1, 1, "11. Unit Mix")), ""))</f>
        <v/>
      </c>
      <c r="H8" s="1466" t="str" cm="1">
        <f t="array" aca="1" ref="H8" ca="1">IF($D8&gt;0,INDIRECT(ADDRESS($D8+15,H$4, 1, 1, "11. Unit Mix")), IF($E8&gt;0,INDIRECT(ADDRESS($E8+103,H$4, 1, 1, "11. Unit Mix")), ""))</f>
        <v/>
      </c>
      <c r="I8" s="1467" t="str" cm="1">
        <f t="array" aca="1" ref="I8" ca="1">IF($D8&gt;0,INDIRECT(ADDRESS($D8+15,I$4, 1, 1, "11. Unit Mix")), "")</f>
        <v/>
      </c>
      <c r="J8" s="1466" t="str" cm="1">
        <f t="array" aca="1" ref="J8" ca="1">IF($D8&gt;0,INDIRECT(ADDRESS($D8+15,J$4, 1, 1, "11. Unit Mix")), IF($E8&gt;0,INDIRECT(ADDRESS($E8+103,I$4, 1, 1, "11. Unit Mix")), ""))</f>
        <v/>
      </c>
      <c r="K8" s="1466" t="str" cm="1">
        <f t="array" aca="1" ref="K8" ca="1">IF($D8&gt;0,INDIRECT(ADDRESS($D8+15,K$4, 1, 1, "11. Unit Mix")), IF($E8&gt;0,INDIRECT(ADDRESS($E8+103,K$4, 1, 1, "11. Unit Mix")), ""))</f>
        <v/>
      </c>
    </row>
    <row r="9" spans="1:12">
      <c r="A9">
        <f t="shared" si="1"/>
        <v>5</v>
      </c>
      <c r="B9">
        <f t="shared" si="2"/>
        <v>0</v>
      </c>
      <c r="C9">
        <f t="shared" si="3"/>
        <v>0</v>
      </c>
      <c r="D9">
        <f t="shared" si="4"/>
        <v>0</v>
      </c>
      <c r="E9">
        <f t="shared" si="0"/>
        <v>0</v>
      </c>
      <c r="F9" s="1466" t="str" cm="1">
        <f t="array" aca="1" ref="F9" ca="1">IF($D9&gt;0,INDIRECT(ADDRESS($D9+15,F$4, 1, 1, "11. Unit Mix")), IF($E9&gt;0,INDIRECT(ADDRESS($E9+103,F$4, 1, 1, "11. Unit Mix")), ""))</f>
        <v/>
      </c>
      <c r="G9" s="1466" t="str" cm="1">
        <f t="array" aca="1" ref="G9" ca="1">IF($D9&gt;0,INDIRECT(ADDRESS($D9+15,G$4, 1, 1, "11. Unit Mix")), IF($E9&gt;0,INDIRECT(ADDRESS($E9+103,G$4, 1, 1, "11. Unit Mix")), ""))</f>
        <v/>
      </c>
      <c r="H9" s="1466" t="str" cm="1">
        <f t="array" aca="1" ref="H9" ca="1">IF($D9&gt;0,INDIRECT(ADDRESS($D9+15,H$4, 1, 1, "11. Unit Mix")), IF($E9&gt;0,INDIRECT(ADDRESS($E9+103,H$4, 1, 1, "11. Unit Mix")), ""))</f>
        <v/>
      </c>
      <c r="I9" s="1467" t="str" cm="1">
        <f t="array" aca="1" ref="I9" ca="1">IF($D9&gt;0,INDIRECT(ADDRESS($D9+15,I$4, 1, 1, "11. Unit Mix")), "")</f>
        <v/>
      </c>
      <c r="J9" s="1466" t="str" cm="1">
        <f t="array" aca="1" ref="J9" ca="1">IF($D9&gt;0,INDIRECT(ADDRESS($D9+15,J$4, 1, 1, "11. Unit Mix")), IF($E9&gt;0,INDIRECT(ADDRESS($E9+103,I$4, 1, 1, "11. Unit Mix")), ""))</f>
        <v/>
      </c>
      <c r="K9" s="1466" t="str" cm="1">
        <f t="array" aca="1" ref="K9" ca="1">IF($D9&gt;0,INDIRECT(ADDRESS($D9+15,K$4, 1, 1, "11. Unit Mix")), IF($E9&gt;0,INDIRECT(ADDRESS($E9+103,K$4, 1, 1, "11. Unit Mix")), ""))</f>
        <v/>
      </c>
    </row>
    <row r="10" spans="1:12">
      <c r="A10">
        <f t="shared" si="1"/>
        <v>6</v>
      </c>
      <c r="B10">
        <f t="shared" si="2"/>
        <v>0</v>
      </c>
      <c r="C10">
        <f t="shared" si="3"/>
        <v>0</v>
      </c>
      <c r="D10">
        <f t="shared" si="4"/>
        <v>0</v>
      </c>
      <c r="E10">
        <f t="shared" si="0"/>
        <v>0</v>
      </c>
      <c r="F10" s="1466" t="str" cm="1">
        <f t="array" aca="1" ref="F10" ca="1">IF($D10&gt;0,INDIRECT(ADDRESS($D10+15,F$4, 1, 1, "11. Unit Mix")), IF($E10&gt;0,INDIRECT(ADDRESS($E10+103,F$4, 1, 1, "11. Unit Mix")), ""))</f>
        <v/>
      </c>
      <c r="G10" s="1466" t="str" cm="1">
        <f t="array" aca="1" ref="G10" ca="1">IF($D10&gt;0,INDIRECT(ADDRESS($D10+15,G$4, 1, 1, "11. Unit Mix")), IF($E10&gt;0,INDIRECT(ADDRESS($E10+103,G$4, 1, 1, "11. Unit Mix")), ""))</f>
        <v/>
      </c>
      <c r="H10" s="1466" t="str" cm="1">
        <f t="array" aca="1" ref="H10" ca="1">IF($D10&gt;0,INDIRECT(ADDRESS($D10+15,H$4, 1, 1, "11. Unit Mix")), IF($E10&gt;0,INDIRECT(ADDRESS($E10+103,H$4, 1, 1, "11. Unit Mix")), ""))</f>
        <v/>
      </c>
      <c r="I10" s="1467" t="str" cm="1">
        <f t="array" aca="1" ref="I10" ca="1">IF($D10&gt;0,INDIRECT(ADDRESS($D10+15,I$4, 1, 1, "11. Unit Mix")), "")</f>
        <v/>
      </c>
      <c r="J10" s="1466" t="str" cm="1">
        <f t="array" aca="1" ref="J10" ca="1">IF($D10&gt;0,INDIRECT(ADDRESS($D10+15,J$4, 1, 1, "11. Unit Mix")), IF($E10&gt;0,INDIRECT(ADDRESS($E10+103,I$4, 1, 1, "11. Unit Mix")), ""))</f>
        <v/>
      </c>
      <c r="K10" s="1466" t="str" cm="1">
        <f t="array" aca="1" ref="K10" ca="1">IF($D10&gt;0,INDIRECT(ADDRESS($D10+15,K$4, 1, 1, "11. Unit Mix")), IF($E10&gt;0,INDIRECT(ADDRESS($E10+103,K$4, 1, 1, "11. Unit Mix")), ""))</f>
        <v/>
      </c>
    </row>
    <row r="11" spans="1:12">
      <c r="A11">
        <f t="shared" si="1"/>
        <v>7</v>
      </c>
      <c r="B11">
        <f t="shared" si="2"/>
        <v>0</v>
      </c>
      <c r="C11">
        <f t="shared" si="3"/>
        <v>0</v>
      </c>
      <c r="D11">
        <f t="shared" si="4"/>
        <v>0</v>
      </c>
      <c r="E11">
        <f t="shared" ref="E11:E64" si="5">IF(D11=0,IF(A11&lt;=(B11+C11),E10+1,0), 0)</f>
        <v>0</v>
      </c>
      <c r="F11" s="1466" t="str" cm="1">
        <f t="array" aca="1" ref="F11" ca="1">IF($D11&gt;0,INDIRECT(ADDRESS($D11+15,F$4, 1, 1, "11. Unit Mix")), IF($E11&gt;0,INDIRECT(ADDRESS($E11+103,F$4, 1, 1, "11. Unit Mix")), ""))</f>
        <v/>
      </c>
      <c r="G11" s="1466" t="str" cm="1">
        <f t="array" aca="1" ref="G11" ca="1">IF($D11&gt;0,INDIRECT(ADDRESS($D11+15,G$4, 1, 1, "11. Unit Mix")), IF($E11&gt;0,INDIRECT(ADDRESS($E11+103,G$4, 1, 1, "11. Unit Mix")), ""))</f>
        <v/>
      </c>
      <c r="H11" s="1466" t="str" cm="1">
        <f t="array" aca="1" ref="H11" ca="1">IF($D11&gt;0,INDIRECT(ADDRESS($D11+15,H$4, 1, 1, "11. Unit Mix")), IF($E11&gt;0,INDIRECT(ADDRESS($E11+103,H$4, 1, 1, "11. Unit Mix")), ""))</f>
        <v/>
      </c>
      <c r="I11" s="1467" t="str" cm="1">
        <f t="array" aca="1" ref="I11" ca="1">IF($D11&gt;0,INDIRECT(ADDRESS($D11+15,I$4, 1, 1, "11. Unit Mix")), "")</f>
        <v/>
      </c>
      <c r="J11" s="1466" t="str" cm="1">
        <f t="array" aca="1" ref="J11" ca="1">IF($D11&gt;0,INDIRECT(ADDRESS($D11+15,J$4, 1, 1, "11. Unit Mix")), IF($E11&gt;0,INDIRECT(ADDRESS($E11+103,I$4, 1, 1, "11. Unit Mix")), ""))</f>
        <v/>
      </c>
      <c r="K11" s="1466" t="str" cm="1">
        <f t="array" aca="1" ref="K11" ca="1">IF($D11&gt;0,INDIRECT(ADDRESS($D11+15,K$4, 1, 1, "11. Unit Mix")), IF($E11&gt;0,INDIRECT(ADDRESS($E11+103,K$4, 1, 1, "11. Unit Mix")), ""))</f>
        <v/>
      </c>
    </row>
    <row r="12" spans="1:12">
      <c r="A12">
        <f t="shared" si="1"/>
        <v>8</v>
      </c>
      <c r="B12">
        <f t="shared" si="2"/>
        <v>0</v>
      </c>
      <c r="C12">
        <f t="shared" si="3"/>
        <v>0</v>
      </c>
      <c r="D12">
        <f t="shared" si="4"/>
        <v>0</v>
      </c>
      <c r="E12">
        <f t="shared" si="5"/>
        <v>0</v>
      </c>
      <c r="F12" s="1466" t="str" cm="1">
        <f t="array" aca="1" ref="F12" ca="1">IF($D12&gt;0,INDIRECT(ADDRESS($D12+15,F$4, 1, 1, "11. Unit Mix")), IF($E12&gt;0,INDIRECT(ADDRESS($E12+103,F$4, 1, 1, "11. Unit Mix")), ""))</f>
        <v/>
      </c>
      <c r="G12" s="1466" t="str" cm="1">
        <f t="array" aca="1" ref="G12" ca="1">IF($D12&gt;0,INDIRECT(ADDRESS($D12+15,G$4, 1, 1, "11. Unit Mix")), IF($E12&gt;0,INDIRECT(ADDRESS($E12+103,G$4, 1, 1, "11. Unit Mix")), ""))</f>
        <v/>
      </c>
      <c r="H12" s="1466" t="str" cm="1">
        <f t="array" aca="1" ref="H12" ca="1">IF($D12&gt;0,INDIRECT(ADDRESS($D12+15,H$4, 1, 1, "11. Unit Mix")), IF($E12&gt;0,INDIRECT(ADDRESS($E12+103,H$4, 1, 1, "11. Unit Mix")), ""))</f>
        <v/>
      </c>
      <c r="I12" s="1467" t="str" cm="1">
        <f t="array" aca="1" ref="I12" ca="1">IF($D12&gt;0,INDIRECT(ADDRESS($D12+15,I$4, 1, 1, "11. Unit Mix")), "")</f>
        <v/>
      </c>
      <c r="J12" s="1466" t="str" cm="1">
        <f t="array" aca="1" ref="J12" ca="1">IF($D12&gt;0,INDIRECT(ADDRESS($D12+15,J$4, 1, 1, "11. Unit Mix")), IF($E12&gt;0,INDIRECT(ADDRESS($E12+103,I$4, 1, 1, "11. Unit Mix")), ""))</f>
        <v/>
      </c>
      <c r="K12" s="1466" t="str" cm="1">
        <f t="array" aca="1" ref="K12" ca="1">IF($D12&gt;0,INDIRECT(ADDRESS($D12+15,K$4, 1, 1, "11. Unit Mix")), IF($E12&gt;0,INDIRECT(ADDRESS($E12+103,K$4, 1, 1, "11. Unit Mix")), ""))</f>
        <v/>
      </c>
    </row>
    <row r="13" spans="1:12">
      <c r="A13">
        <f t="shared" si="1"/>
        <v>9</v>
      </c>
      <c r="B13">
        <f t="shared" si="2"/>
        <v>0</v>
      </c>
      <c r="C13">
        <f t="shared" si="3"/>
        <v>0</v>
      </c>
      <c r="D13">
        <f t="shared" si="4"/>
        <v>0</v>
      </c>
      <c r="E13">
        <f t="shared" si="5"/>
        <v>0</v>
      </c>
      <c r="F13" s="1466" t="str" cm="1">
        <f t="array" aca="1" ref="F13" ca="1">IF($D13&gt;0,INDIRECT(ADDRESS($D13+15,F$4, 1, 1, "11. Unit Mix")), IF($E13&gt;0,INDIRECT(ADDRESS($E13+103,F$4, 1, 1, "11. Unit Mix")), ""))</f>
        <v/>
      </c>
      <c r="G13" s="1466" t="str" cm="1">
        <f t="array" aca="1" ref="G13" ca="1">IF($D13&gt;0,INDIRECT(ADDRESS($D13+15,G$4, 1, 1, "11. Unit Mix")), IF($E13&gt;0,INDIRECT(ADDRESS($E13+103,G$4, 1, 1, "11. Unit Mix")), ""))</f>
        <v/>
      </c>
      <c r="H13" s="1466" t="str" cm="1">
        <f t="array" aca="1" ref="H13" ca="1">IF($D13&gt;0,INDIRECT(ADDRESS($D13+15,H$4, 1, 1, "11. Unit Mix")), IF($E13&gt;0,INDIRECT(ADDRESS($E13+103,H$4, 1, 1, "11. Unit Mix")), ""))</f>
        <v/>
      </c>
      <c r="I13" s="1467" t="str" cm="1">
        <f t="array" aca="1" ref="I13" ca="1">IF($D13&gt;0,INDIRECT(ADDRESS($D13+15,I$4, 1, 1, "11. Unit Mix")), "")</f>
        <v/>
      </c>
      <c r="J13" s="1466" t="str" cm="1">
        <f t="array" aca="1" ref="J13" ca="1">IF($D13&gt;0,INDIRECT(ADDRESS($D13+15,J$4, 1, 1, "11. Unit Mix")), IF($E13&gt;0,INDIRECT(ADDRESS($E13+103,I$4, 1, 1, "11. Unit Mix")), ""))</f>
        <v/>
      </c>
      <c r="K13" s="1466" t="str" cm="1">
        <f t="array" aca="1" ref="K13" ca="1">IF($D13&gt;0,INDIRECT(ADDRESS($D13+15,K$4, 1, 1, "11. Unit Mix")), IF($E13&gt;0,INDIRECT(ADDRESS($E13+103,K$4, 1, 1, "11. Unit Mix")), ""))</f>
        <v/>
      </c>
    </row>
    <row r="14" spans="1:12">
      <c r="A14">
        <f t="shared" si="1"/>
        <v>10</v>
      </c>
      <c r="B14">
        <f t="shared" si="2"/>
        <v>0</v>
      </c>
      <c r="C14">
        <f t="shared" si="3"/>
        <v>0</v>
      </c>
      <c r="D14">
        <f t="shared" si="4"/>
        <v>0</v>
      </c>
      <c r="E14">
        <f t="shared" si="5"/>
        <v>0</v>
      </c>
      <c r="F14" s="1466" t="str" cm="1">
        <f t="array" aca="1" ref="F14" ca="1">IF($D14&gt;0,INDIRECT(ADDRESS($D14+15,F$4, 1, 1, "11. Unit Mix")), IF($E14&gt;0,INDIRECT(ADDRESS($E14+103,F$4, 1, 1, "11. Unit Mix")), ""))</f>
        <v/>
      </c>
      <c r="G14" s="1466" t="str" cm="1">
        <f t="array" aca="1" ref="G14" ca="1">IF($D14&gt;0,INDIRECT(ADDRESS($D14+15,G$4, 1, 1, "11. Unit Mix")), IF($E14&gt;0,INDIRECT(ADDRESS($E14+103,G$4, 1, 1, "11. Unit Mix")), ""))</f>
        <v/>
      </c>
      <c r="H14" s="1466" t="str" cm="1">
        <f t="array" aca="1" ref="H14" ca="1">IF($D14&gt;0,INDIRECT(ADDRESS($D14+15,H$4, 1, 1, "11. Unit Mix")), IF($E14&gt;0,INDIRECT(ADDRESS($E14+103,H$4, 1, 1, "11. Unit Mix")), ""))</f>
        <v/>
      </c>
      <c r="I14" s="1467" t="str" cm="1">
        <f t="array" aca="1" ref="I14" ca="1">IF($D14&gt;0,INDIRECT(ADDRESS($D14+15,I$4, 1, 1, "11. Unit Mix")), "")</f>
        <v/>
      </c>
      <c r="J14" s="1466" t="str" cm="1">
        <f t="array" aca="1" ref="J14" ca="1">IF($D14&gt;0,INDIRECT(ADDRESS($D14+15,J$4, 1, 1, "11. Unit Mix")), IF($E14&gt;0,INDIRECT(ADDRESS($E14+103,I$4, 1, 1, "11. Unit Mix")), ""))</f>
        <v/>
      </c>
      <c r="K14" s="1466" t="str" cm="1">
        <f t="array" aca="1" ref="K14" ca="1">IF($D14&gt;0,INDIRECT(ADDRESS($D14+15,K$4, 1, 1, "11. Unit Mix")), IF($E14&gt;0,INDIRECT(ADDRESS($E14+103,K$4, 1, 1, "11. Unit Mix")), ""))</f>
        <v/>
      </c>
    </row>
    <row r="15" spans="1:12">
      <c r="A15">
        <f t="shared" si="1"/>
        <v>11</v>
      </c>
      <c r="B15">
        <f t="shared" si="2"/>
        <v>0</v>
      </c>
      <c r="C15">
        <f t="shared" si="3"/>
        <v>0</v>
      </c>
      <c r="D15">
        <f t="shared" si="4"/>
        <v>0</v>
      </c>
      <c r="E15">
        <f t="shared" si="5"/>
        <v>0</v>
      </c>
      <c r="F15" s="1466" t="str" cm="1">
        <f t="array" aca="1" ref="F15" ca="1">IF($D15&gt;0,INDIRECT(ADDRESS($D15+15,F$4, 1, 1, "11. Unit Mix")), IF($E15&gt;0,INDIRECT(ADDRESS($E15+103,F$4, 1, 1, "11. Unit Mix")), ""))</f>
        <v/>
      </c>
      <c r="G15" s="1466" t="str" cm="1">
        <f t="array" aca="1" ref="G15" ca="1">IF($D15&gt;0,INDIRECT(ADDRESS($D15+15,G$4, 1, 1, "11. Unit Mix")), IF($E15&gt;0,INDIRECT(ADDRESS($E15+103,G$4, 1, 1, "11. Unit Mix")), ""))</f>
        <v/>
      </c>
      <c r="H15" s="1466" t="str" cm="1">
        <f t="array" aca="1" ref="H15" ca="1">IF($D15&gt;0,INDIRECT(ADDRESS($D15+15,H$4, 1, 1, "11. Unit Mix")), IF($E15&gt;0,INDIRECT(ADDRESS($E15+103,H$4, 1, 1, "11. Unit Mix")), ""))</f>
        <v/>
      </c>
      <c r="I15" s="1467" t="str" cm="1">
        <f t="array" aca="1" ref="I15" ca="1">IF($D15&gt;0,INDIRECT(ADDRESS($D15+15,I$4, 1, 1, "11. Unit Mix")), "")</f>
        <v/>
      </c>
      <c r="J15" s="1466" t="str" cm="1">
        <f t="array" aca="1" ref="J15" ca="1">IF($D15&gt;0,INDIRECT(ADDRESS($D15+15,J$4, 1, 1, "11. Unit Mix")), IF($E15&gt;0,INDIRECT(ADDRESS($E15+103,I$4, 1, 1, "11. Unit Mix")), ""))</f>
        <v/>
      </c>
      <c r="K15" s="1466" t="str" cm="1">
        <f t="array" aca="1" ref="K15" ca="1">IF($D15&gt;0,INDIRECT(ADDRESS($D15+15,K$4, 1, 1, "11. Unit Mix")), IF($E15&gt;0,INDIRECT(ADDRESS($E15+103,K$4, 1, 1, "11. Unit Mix")), ""))</f>
        <v/>
      </c>
    </row>
    <row r="16" spans="1:12">
      <c r="A16">
        <f t="shared" si="1"/>
        <v>12</v>
      </c>
      <c r="B16">
        <f t="shared" si="2"/>
        <v>0</v>
      </c>
      <c r="C16">
        <f t="shared" si="3"/>
        <v>0</v>
      </c>
      <c r="D16">
        <f t="shared" si="4"/>
        <v>0</v>
      </c>
      <c r="E16">
        <f t="shared" si="5"/>
        <v>0</v>
      </c>
      <c r="F16" s="1466" t="str" cm="1">
        <f t="array" aca="1" ref="F16" ca="1">IF($D16&gt;0,INDIRECT(ADDRESS($D16+15,F$4, 1, 1, "11. Unit Mix")), IF($E16&gt;0,INDIRECT(ADDRESS($E16+103,F$4, 1, 1, "11. Unit Mix")), ""))</f>
        <v/>
      </c>
      <c r="G16" s="1466" t="str" cm="1">
        <f t="array" aca="1" ref="G16" ca="1">IF($D16&gt;0,INDIRECT(ADDRESS($D16+15,G$4, 1, 1, "11. Unit Mix")), IF($E16&gt;0,INDIRECT(ADDRESS($E16+103,G$4, 1, 1, "11. Unit Mix")), ""))</f>
        <v/>
      </c>
      <c r="H16" s="1466" t="str" cm="1">
        <f t="array" aca="1" ref="H16" ca="1">IF($D16&gt;0,INDIRECT(ADDRESS($D16+15,H$4, 1, 1, "11. Unit Mix")), IF($E16&gt;0,INDIRECT(ADDRESS($E16+103,H$4, 1, 1, "11. Unit Mix")), ""))</f>
        <v/>
      </c>
      <c r="I16" s="1467" t="str" cm="1">
        <f t="array" aca="1" ref="I16" ca="1">IF($D16&gt;0,INDIRECT(ADDRESS($D16+15,I$4, 1, 1, "11. Unit Mix")), "")</f>
        <v/>
      </c>
      <c r="J16" s="1466" t="str" cm="1">
        <f t="array" aca="1" ref="J16" ca="1">IF($D16&gt;0,INDIRECT(ADDRESS($D16+15,J$4, 1, 1, "11. Unit Mix")), IF($E16&gt;0,INDIRECT(ADDRESS($E16+103,I$4, 1, 1, "11. Unit Mix")), ""))</f>
        <v/>
      </c>
      <c r="K16" s="1466" t="str" cm="1">
        <f t="array" aca="1" ref="K16" ca="1">IF($D16&gt;0,INDIRECT(ADDRESS($D16+15,K$4, 1, 1, "11. Unit Mix")), IF($E16&gt;0,INDIRECT(ADDRESS($E16+103,K$4, 1, 1, "11. Unit Mix")), ""))</f>
        <v/>
      </c>
    </row>
    <row r="17" spans="1:11">
      <c r="A17">
        <f t="shared" si="1"/>
        <v>13</v>
      </c>
      <c r="B17">
        <f t="shared" si="2"/>
        <v>0</v>
      </c>
      <c r="C17">
        <f t="shared" si="3"/>
        <v>0</v>
      </c>
      <c r="D17">
        <f t="shared" si="4"/>
        <v>0</v>
      </c>
      <c r="E17">
        <f t="shared" si="5"/>
        <v>0</v>
      </c>
      <c r="F17" s="1466" t="str" cm="1">
        <f t="array" aca="1" ref="F17" ca="1">IF($D17&gt;0,INDIRECT(ADDRESS($D17+15,F$4, 1, 1, "11. Unit Mix")), IF($E17&gt;0,INDIRECT(ADDRESS($E17+103,F$4, 1, 1, "11. Unit Mix")), ""))</f>
        <v/>
      </c>
      <c r="G17" s="1466" t="str" cm="1">
        <f t="array" aca="1" ref="G17" ca="1">IF($D17&gt;0,INDIRECT(ADDRESS($D17+15,G$4, 1, 1, "11. Unit Mix")), IF($E17&gt;0,INDIRECT(ADDRESS($E17+103,G$4, 1, 1, "11. Unit Mix")), ""))</f>
        <v/>
      </c>
      <c r="H17" s="1466" t="str" cm="1">
        <f t="array" aca="1" ref="H17" ca="1">IF($D17&gt;0,INDIRECT(ADDRESS($D17+15,H$4, 1, 1, "11. Unit Mix")), IF($E17&gt;0,INDIRECT(ADDRESS($E17+103,H$4, 1, 1, "11. Unit Mix")), ""))</f>
        <v/>
      </c>
      <c r="I17" s="1467" t="str" cm="1">
        <f t="array" aca="1" ref="I17" ca="1">IF($D17&gt;0,INDIRECT(ADDRESS($D17+15,I$4, 1, 1, "11. Unit Mix")), "")</f>
        <v/>
      </c>
      <c r="J17" s="1466" t="str" cm="1">
        <f t="array" aca="1" ref="J17" ca="1">IF($D17&gt;0,INDIRECT(ADDRESS($D17+15,J$4, 1, 1, "11. Unit Mix")), IF($E17&gt;0,INDIRECT(ADDRESS($E17+103,I$4, 1, 1, "11. Unit Mix")), ""))</f>
        <v/>
      </c>
      <c r="K17" s="1466" t="str" cm="1">
        <f t="array" aca="1" ref="K17" ca="1">IF($D17&gt;0,INDIRECT(ADDRESS($D17+15,K$4, 1, 1, "11. Unit Mix")), IF($E17&gt;0,INDIRECT(ADDRESS($E17+103,K$4, 1, 1, "11. Unit Mix")), ""))</f>
        <v/>
      </c>
    </row>
    <row r="18" spans="1:11">
      <c r="A18">
        <f t="shared" si="1"/>
        <v>14</v>
      </c>
      <c r="B18">
        <f t="shared" si="2"/>
        <v>0</v>
      </c>
      <c r="C18">
        <f t="shared" si="3"/>
        <v>0</v>
      </c>
      <c r="D18">
        <f t="shared" si="4"/>
        <v>0</v>
      </c>
      <c r="E18">
        <f t="shared" si="5"/>
        <v>0</v>
      </c>
      <c r="F18" s="1466" t="str" cm="1">
        <f t="array" aca="1" ref="F18" ca="1">IF($D18&gt;0,INDIRECT(ADDRESS($D18+15,F$4, 1, 1, "11. Unit Mix")), IF($E18&gt;0,INDIRECT(ADDRESS($E18+103,F$4, 1, 1, "11. Unit Mix")), ""))</f>
        <v/>
      </c>
      <c r="G18" s="1466" t="str" cm="1">
        <f t="array" aca="1" ref="G18" ca="1">IF($D18&gt;0,INDIRECT(ADDRESS($D18+15,G$4, 1, 1, "11. Unit Mix")), IF($E18&gt;0,INDIRECT(ADDRESS($E18+103,G$4, 1, 1, "11. Unit Mix")), ""))</f>
        <v/>
      </c>
      <c r="H18" s="1466" t="str" cm="1">
        <f t="array" aca="1" ref="H18" ca="1">IF($D18&gt;0,INDIRECT(ADDRESS($D18+15,H$4, 1, 1, "11. Unit Mix")), IF($E18&gt;0,INDIRECT(ADDRESS($E18+103,H$4, 1, 1, "11. Unit Mix")), ""))</f>
        <v/>
      </c>
      <c r="I18" s="1467" t="str" cm="1">
        <f t="array" aca="1" ref="I18" ca="1">IF($D18&gt;0,INDIRECT(ADDRESS($D18+15,I$4, 1, 1, "11. Unit Mix")), "")</f>
        <v/>
      </c>
      <c r="J18" s="1466" t="str" cm="1">
        <f t="array" aca="1" ref="J18" ca="1">IF($D18&gt;0,INDIRECT(ADDRESS($D18+15,J$4, 1, 1, "11. Unit Mix")), IF($E18&gt;0,INDIRECT(ADDRESS($E18+103,I$4, 1, 1, "11. Unit Mix")), ""))</f>
        <v/>
      </c>
      <c r="K18" s="1466" t="str" cm="1">
        <f t="array" aca="1" ref="K18" ca="1">IF($D18&gt;0,INDIRECT(ADDRESS($D18+15,K$4, 1, 1, "11. Unit Mix")), IF($E18&gt;0,INDIRECT(ADDRESS($E18+103,K$4, 1, 1, "11. Unit Mix")), ""))</f>
        <v/>
      </c>
    </row>
    <row r="19" spans="1:11">
      <c r="A19">
        <f t="shared" si="1"/>
        <v>15</v>
      </c>
      <c r="B19">
        <f t="shared" si="2"/>
        <v>0</v>
      </c>
      <c r="C19">
        <f t="shared" si="3"/>
        <v>0</v>
      </c>
      <c r="D19">
        <f t="shared" si="4"/>
        <v>0</v>
      </c>
      <c r="E19">
        <f t="shared" si="5"/>
        <v>0</v>
      </c>
      <c r="F19" s="1466" t="str" cm="1">
        <f t="array" aca="1" ref="F19" ca="1">IF($D19&gt;0,INDIRECT(ADDRESS($D19+15,F$4, 1, 1, "11. Unit Mix")), IF($E19&gt;0,INDIRECT(ADDRESS($E19+103,F$4, 1, 1, "11. Unit Mix")), ""))</f>
        <v/>
      </c>
      <c r="G19" s="1466" t="str" cm="1">
        <f t="array" aca="1" ref="G19" ca="1">IF($D19&gt;0,INDIRECT(ADDRESS($D19+15,G$4, 1, 1, "11. Unit Mix")), IF($E19&gt;0,INDIRECT(ADDRESS($E19+103,G$4, 1, 1, "11. Unit Mix")), ""))</f>
        <v/>
      </c>
      <c r="H19" s="1466" t="str" cm="1">
        <f t="array" aca="1" ref="H19" ca="1">IF($D19&gt;0,INDIRECT(ADDRESS($D19+15,H$4, 1, 1, "11. Unit Mix")), IF($E19&gt;0,INDIRECT(ADDRESS($E19+103,H$4, 1, 1, "11. Unit Mix")), ""))</f>
        <v/>
      </c>
      <c r="I19" s="1467" t="str" cm="1">
        <f t="array" aca="1" ref="I19" ca="1">IF($D19&gt;0,INDIRECT(ADDRESS($D19+15,I$4, 1, 1, "11. Unit Mix")), "")</f>
        <v/>
      </c>
      <c r="J19" s="1466" t="str" cm="1">
        <f t="array" aca="1" ref="J19" ca="1">IF($D19&gt;0,INDIRECT(ADDRESS($D19+15,J$4, 1, 1, "11. Unit Mix")), IF($E19&gt;0,INDIRECT(ADDRESS($E19+103,I$4, 1, 1, "11. Unit Mix")), ""))</f>
        <v/>
      </c>
      <c r="K19" s="1466" t="str" cm="1">
        <f t="array" aca="1" ref="K19" ca="1">IF($D19&gt;0,INDIRECT(ADDRESS($D19+15,K$4, 1, 1, "11. Unit Mix")), IF($E19&gt;0,INDIRECT(ADDRESS($E19+103,K$4, 1, 1, "11. Unit Mix")), ""))</f>
        <v/>
      </c>
    </row>
    <row r="20" spans="1:11">
      <c r="A20">
        <f t="shared" si="1"/>
        <v>16</v>
      </c>
      <c r="B20">
        <f t="shared" si="2"/>
        <v>0</v>
      </c>
      <c r="C20">
        <f t="shared" si="3"/>
        <v>0</v>
      </c>
      <c r="D20">
        <f t="shared" si="4"/>
        <v>0</v>
      </c>
      <c r="E20">
        <f t="shared" si="5"/>
        <v>0</v>
      </c>
      <c r="F20" s="1466" t="str" cm="1">
        <f t="array" aca="1" ref="F20" ca="1">IF($D20&gt;0,INDIRECT(ADDRESS($D20+15,F$4, 1, 1, "11. Unit Mix")), IF($E20&gt;0,INDIRECT(ADDRESS($E20+103,F$4, 1, 1, "11. Unit Mix")), ""))</f>
        <v/>
      </c>
      <c r="G20" s="1466" t="str" cm="1">
        <f t="array" aca="1" ref="G20" ca="1">IF($D20&gt;0,INDIRECT(ADDRESS($D20+15,G$4, 1, 1, "11. Unit Mix")), IF($E20&gt;0,INDIRECT(ADDRESS($E20+103,G$4, 1, 1, "11. Unit Mix")), ""))</f>
        <v/>
      </c>
      <c r="H20" s="1466" t="str" cm="1">
        <f t="array" aca="1" ref="H20" ca="1">IF($D20&gt;0,INDIRECT(ADDRESS($D20+15,H$4, 1, 1, "11. Unit Mix")), IF($E20&gt;0,INDIRECT(ADDRESS($E20+103,H$4, 1, 1, "11. Unit Mix")), ""))</f>
        <v/>
      </c>
      <c r="I20" s="1467" t="str" cm="1">
        <f t="array" aca="1" ref="I20" ca="1">IF($D20&gt;0,INDIRECT(ADDRESS($D20+15,I$4, 1, 1, "11. Unit Mix")), "")</f>
        <v/>
      </c>
      <c r="J20" s="1466" t="str" cm="1">
        <f t="array" aca="1" ref="J20" ca="1">IF($D20&gt;0,INDIRECT(ADDRESS($D20+15,J$4, 1, 1, "11. Unit Mix")), IF($E20&gt;0,INDIRECT(ADDRESS($E20+103,I$4, 1, 1, "11. Unit Mix")), ""))</f>
        <v/>
      </c>
      <c r="K20" s="1466" t="str" cm="1">
        <f t="array" aca="1" ref="K20" ca="1">IF($D20&gt;0,INDIRECT(ADDRESS($D20+15,K$4, 1, 1, "11. Unit Mix")), IF($E20&gt;0,INDIRECT(ADDRESS($E20+103,K$4, 1, 1, "11. Unit Mix")), ""))</f>
        <v/>
      </c>
    </row>
    <row r="21" spans="1:11">
      <c r="A21">
        <f t="shared" si="1"/>
        <v>17</v>
      </c>
      <c r="B21">
        <f t="shared" si="2"/>
        <v>0</v>
      </c>
      <c r="C21">
        <f t="shared" si="3"/>
        <v>0</v>
      </c>
      <c r="D21">
        <f t="shared" si="4"/>
        <v>0</v>
      </c>
      <c r="E21">
        <f t="shared" si="5"/>
        <v>0</v>
      </c>
      <c r="F21" s="1466" t="str" cm="1">
        <f t="array" aca="1" ref="F21" ca="1">IF($D21&gt;0,INDIRECT(ADDRESS($D21+15,F$4, 1, 1, "11. Unit Mix")), IF($E21&gt;0,INDIRECT(ADDRESS($E21+103,F$4, 1, 1, "11. Unit Mix")), ""))</f>
        <v/>
      </c>
      <c r="G21" s="1466" t="str" cm="1">
        <f t="array" aca="1" ref="G21" ca="1">IF($D21&gt;0,INDIRECT(ADDRESS($D21+15,G$4, 1, 1, "11. Unit Mix")), IF($E21&gt;0,INDIRECT(ADDRESS($E21+103,G$4, 1, 1, "11. Unit Mix")), ""))</f>
        <v/>
      </c>
      <c r="H21" s="1466" t="str" cm="1">
        <f t="array" aca="1" ref="H21" ca="1">IF($D21&gt;0,INDIRECT(ADDRESS($D21+15,H$4, 1, 1, "11. Unit Mix")), IF($E21&gt;0,INDIRECT(ADDRESS($E21+103,H$4, 1, 1, "11. Unit Mix")), ""))</f>
        <v/>
      </c>
      <c r="I21" s="1467" t="str" cm="1">
        <f t="array" aca="1" ref="I21" ca="1">IF($D21&gt;0,INDIRECT(ADDRESS($D21+15,I$4, 1, 1, "11. Unit Mix")), "")</f>
        <v/>
      </c>
      <c r="J21" s="1466" t="str" cm="1">
        <f t="array" aca="1" ref="J21" ca="1">IF($D21&gt;0,INDIRECT(ADDRESS($D21+15,J$4, 1, 1, "11. Unit Mix")), IF($E21&gt;0,INDIRECT(ADDRESS($E21+103,I$4, 1, 1, "11. Unit Mix")), ""))</f>
        <v/>
      </c>
      <c r="K21" s="1466" t="str" cm="1">
        <f t="array" aca="1" ref="K21" ca="1">IF($D21&gt;0,INDIRECT(ADDRESS($D21+15,K$4, 1, 1, "11. Unit Mix")), IF($E21&gt;0,INDIRECT(ADDRESS($E21+103,K$4, 1, 1, "11. Unit Mix")), ""))</f>
        <v/>
      </c>
    </row>
    <row r="22" spans="1:11">
      <c r="A22">
        <f t="shared" si="1"/>
        <v>18</v>
      </c>
      <c r="B22">
        <f t="shared" si="2"/>
        <v>0</v>
      </c>
      <c r="C22">
        <f t="shared" si="3"/>
        <v>0</v>
      </c>
      <c r="D22">
        <f t="shared" si="4"/>
        <v>0</v>
      </c>
      <c r="E22">
        <f t="shared" si="5"/>
        <v>0</v>
      </c>
      <c r="F22" s="1466" t="str" cm="1">
        <f t="array" aca="1" ref="F22" ca="1">IF($D22&gt;0,INDIRECT(ADDRESS($D22+15,F$4, 1, 1, "11. Unit Mix")), IF($E22&gt;0,INDIRECT(ADDRESS($E22+103,F$4, 1, 1, "11. Unit Mix")), ""))</f>
        <v/>
      </c>
      <c r="G22" s="1466" t="str" cm="1">
        <f t="array" aca="1" ref="G22" ca="1">IF($D22&gt;0,INDIRECT(ADDRESS($D22+15,G$4, 1, 1, "11. Unit Mix")), IF($E22&gt;0,INDIRECT(ADDRESS($E22+103,G$4, 1, 1, "11. Unit Mix")), ""))</f>
        <v/>
      </c>
      <c r="H22" s="1466" t="str" cm="1">
        <f t="array" aca="1" ref="H22" ca="1">IF($D22&gt;0,INDIRECT(ADDRESS($D22+15,H$4, 1, 1, "11. Unit Mix")), IF($E22&gt;0,INDIRECT(ADDRESS($E22+103,H$4, 1, 1, "11. Unit Mix")), ""))</f>
        <v/>
      </c>
      <c r="I22" s="1467" t="str" cm="1">
        <f t="array" aca="1" ref="I22" ca="1">IF($D22&gt;0,INDIRECT(ADDRESS($D22+15,I$4, 1, 1, "11. Unit Mix")), "")</f>
        <v/>
      </c>
      <c r="J22" s="1466" t="str" cm="1">
        <f t="array" aca="1" ref="J22" ca="1">IF($D22&gt;0,INDIRECT(ADDRESS($D22+15,J$4, 1, 1, "11. Unit Mix")), IF($E22&gt;0,INDIRECT(ADDRESS($E22+103,I$4, 1, 1, "11. Unit Mix")), ""))</f>
        <v/>
      </c>
      <c r="K22" s="1466" t="str" cm="1">
        <f t="array" aca="1" ref="K22" ca="1">IF($D22&gt;0,INDIRECT(ADDRESS($D22+15,K$4, 1, 1, "11. Unit Mix")), IF($E22&gt;0,INDIRECT(ADDRESS($E22+103,K$4, 1, 1, "11. Unit Mix")), ""))</f>
        <v/>
      </c>
    </row>
    <row r="23" spans="1:11">
      <c r="A23">
        <f t="shared" si="1"/>
        <v>19</v>
      </c>
      <c r="B23">
        <f t="shared" si="2"/>
        <v>0</v>
      </c>
      <c r="C23">
        <f t="shared" si="3"/>
        <v>0</v>
      </c>
      <c r="D23">
        <f t="shared" si="4"/>
        <v>0</v>
      </c>
      <c r="E23">
        <f t="shared" si="5"/>
        <v>0</v>
      </c>
      <c r="F23" s="1466" t="str" cm="1">
        <f t="array" aca="1" ref="F23" ca="1">IF($D23&gt;0,INDIRECT(ADDRESS($D23+15,F$4, 1, 1, "11. Unit Mix")), IF($E23&gt;0,INDIRECT(ADDRESS($E23+103,F$4, 1, 1, "11. Unit Mix")), ""))</f>
        <v/>
      </c>
      <c r="G23" s="1466" t="str" cm="1">
        <f t="array" aca="1" ref="G23" ca="1">IF($D23&gt;0,INDIRECT(ADDRESS($D23+15,G$4, 1, 1, "11. Unit Mix")), IF($E23&gt;0,INDIRECT(ADDRESS($E23+103,G$4, 1, 1, "11. Unit Mix")), ""))</f>
        <v/>
      </c>
      <c r="H23" s="1466" t="str" cm="1">
        <f t="array" aca="1" ref="H23" ca="1">IF($D23&gt;0,INDIRECT(ADDRESS($D23+15,H$4, 1, 1, "11. Unit Mix")), IF($E23&gt;0,INDIRECT(ADDRESS($E23+103,H$4, 1, 1, "11. Unit Mix")), ""))</f>
        <v/>
      </c>
      <c r="I23" s="1467" t="str" cm="1">
        <f t="array" aca="1" ref="I23" ca="1">IF($D23&gt;0,INDIRECT(ADDRESS($D23+15,I$4, 1, 1, "11. Unit Mix")), "")</f>
        <v/>
      </c>
      <c r="J23" s="1466" t="str" cm="1">
        <f t="array" aca="1" ref="J23" ca="1">IF($D23&gt;0,INDIRECT(ADDRESS($D23+15,J$4, 1, 1, "11. Unit Mix")), IF($E23&gt;0,INDIRECT(ADDRESS($E23+103,I$4, 1, 1, "11. Unit Mix")), ""))</f>
        <v/>
      </c>
      <c r="K23" s="1466" t="str" cm="1">
        <f t="array" aca="1" ref="K23" ca="1">IF($D23&gt;0,INDIRECT(ADDRESS($D23+15,K$4, 1, 1, "11. Unit Mix")), IF($E23&gt;0,INDIRECT(ADDRESS($E23+103,K$4, 1, 1, "11. Unit Mix")), ""))</f>
        <v/>
      </c>
    </row>
    <row r="24" spans="1:11">
      <c r="A24">
        <f t="shared" si="1"/>
        <v>20</v>
      </c>
      <c r="B24">
        <f t="shared" si="2"/>
        <v>0</v>
      </c>
      <c r="C24">
        <f t="shared" si="3"/>
        <v>0</v>
      </c>
      <c r="D24">
        <f t="shared" si="4"/>
        <v>0</v>
      </c>
      <c r="E24">
        <f t="shared" si="5"/>
        <v>0</v>
      </c>
      <c r="F24" s="1466" t="str" cm="1">
        <f t="array" aca="1" ref="F24" ca="1">IF($D24&gt;0,INDIRECT(ADDRESS($D24+15,F$4, 1, 1, "11. Unit Mix")), IF($E24&gt;0,INDIRECT(ADDRESS($E24+103,F$4, 1, 1, "11. Unit Mix")), ""))</f>
        <v/>
      </c>
      <c r="G24" s="1466" t="str" cm="1">
        <f t="array" aca="1" ref="G24" ca="1">IF($D24&gt;0,INDIRECT(ADDRESS($D24+15,G$4, 1, 1, "11. Unit Mix")), IF($E24&gt;0,INDIRECT(ADDRESS($E24+103,G$4, 1, 1, "11. Unit Mix")), ""))</f>
        <v/>
      </c>
      <c r="H24" s="1466" t="str" cm="1">
        <f t="array" aca="1" ref="H24" ca="1">IF($D24&gt;0,INDIRECT(ADDRESS($D24+15,H$4, 1, 1, "11. Unit Mix")), IF($E24&gt;0,INDIRECT(ADDRESS($E24+103,H$4, 1, 1, "11. Unit Mix")), ""))</f>
        <v/>
      </c>
      <c r="I24" s="1467" t="str" cm="1">
        <f t="array" aca="1" ref="I24" ca="1">IF($D24&gt;0,INDIRECT(ADDRESS($D24+15,I$4, 1, 1, "11. Unit Mix")), "")</f>
        <v/>
      </c>
      <c r="J24" s="1466" t="str" cm="1">
        <f t="array" aca="1" ref="J24" ca="1">IF($D24&gt;0,INDIRECT(ADDRESS($D24+15,J$4, 1, 1, "11. Unit Mix")), IF($E24&gt;0,INDIRECT(ADDRESS($E24+103,I$4, 1, 1, "11. Unit Mix")), ""))</f>
        <v/>
      </c>
      <c r="K24" s="1466" t="str" cm="1">
        <f t="array" aca="1" ref="K24" ca="1">IF($D24&gt;0,INDIRECT(ADDRESS($D24+15,K$4, 1, 1, "11. Unit Mix")), IF($E24&gt;0,INDIRECT(ADDRESS($E24+103,K$4, 1, 1, "11. Unit Mix")), ""))</f>
        <v/>
      </c>
    </row>
    <row r="25" spans="1:11">
      <c r="A25">
        <f t="shared" si="1"/>
        <v>21</v>
      </c>
      <c r="B25">
        <f t="shared" si="2"/>
        <v>0</v>
      </c>
      <c r="C25">
        <f t="shared" si="3"/>
        <v>0</v>
      </c>
      <c r="D25">
        <f t="shared" si="4"/>
        <v>0</v>
      </c>
      <c r="E25">
        <f t="shared" si="5"/>
        <v>0</v>
      </c>
      <c r="F25" s="1466" t="str" cm="1">
        <f t="array" aca="1" ref="F25" ca="1">IF($D25&gt;0,INDIRECT(ADDRESS($D25+15,F$4, 1, 1, "11. Unit Mix")), IF($E25&gt;0,INDIRECT(ADDRESS($E25+103,F$4, 1, 1, "11. Unit Mix")), ""))</f>
        <v/>
      </c>
      <c r="G25" s="1466" t="str" cm="1">
        <f t="array" aca="1" ref="G25" ca="1">IF($D25&gt;0,INDIRECT(ADDRESS($D25+15,G$4, 1, 1, "11. Unit Mix")), IF($E25&gt;0,INDIRECT(ADDRESS($E25+103,G$4, 1, 1, "11. Unit Mix")), ""))</f>
        <v/>
      </c>
      <c r="H25" s="1466" t="str" cm="1">
        <f t="array" aca="1" ref="H25" ca="1">IF($D25&gt;0,INDIRECT(ADDRESS($D25+15,H$4, 1, 1, "11. Unit Mix")), IF($E25&gt;0,INDIRECT(ADDRESS($E25+103,H$4, 1, 1, "11. Unit Mix")), ""))</f>
        <v/>
      </c>
      <c r="I25" s="1467" t="str" cm="1">
        <f t="array" aca="1" ref="I25" ca="1">IF($D25&gt;0,INDIRECT(ADDRESS($D25+15,I$4, 1, 1, "11. Unit Mix")), "")</f>
        <v/>
      </c>
      <c r="J25" s="1466" t="str" cm="1">
        <f t="array" aca="1" ref="J25" ca="1">IF($D25&gt;0,INDIRECT(ADDRESS($D25+15,J$4, 1, 1, "11. Unit Mix")), IF($E25&gt;0,INDIRECT(ADDRESS($E25+103,I$4, 1, 1, "11. Unit Mix")), ""))</f>
        <v/>
      </c>
      <c r="K25" s="1466" t="str" cm="1">
        <f t="array" aca="1" ref="K25" ca="1">IF($D25&gt;0,INDIRECT(ADDRESS($D25+15,K$4, 1, 1, "11. Unit Mix")), IF($E25&gt;0,INDIRECT(ADDRESS($E25+103,K$4, 1, 1, "11. Unit Mix")), ""))</f>
        <v/>
      </c>
    </row>
    <row r="26" spans="1:11">
      <c r="A26">
        <f t="shared" si="1"/>
        <v>22</v>
      </c>
      <c r="B26">
        <f t="shared" si="2"/>
        <v>0</v>
      </c>
      <c r="C26">
        <f t="shared" si="3"/>
        <v>0</v>
      </c>
      <c r="D26">
        <f t="shared" si="4"/>
        <v>0</v>
      </c>
      <c r="E26">
        <f t="shared" si="5"/>
        <v>0</v>
      </c>
      <c r="F26" s="1466" t="str" cm="1">
        <f t="array" aca="1" ref="F26" ca="1">IF($D26&gt;0,INDIRECT(ADDRESS($D26+15,F$4, 1, 1, "11. Unit Mix")), IF($E26&gt;0,INDIRECT(ADDRESS($E26+103,F$4, 1, 1, "11. Unit Mix")), ""))</f>
        <v/>
      </c>
      <c r="G26" s="1466" t="str" cm="1">
        <f t="array" aca="1" ref="G26" ca="1">IF($D26&gt;0,INDIRECT(ADDRESS($D26+15,G$4, 1, 1, "11. Unit Mix")), IF($E26&gt;0,INDIRECT(ADDRESS($E26+103,G$4, 1, 1, "11. Unit Mix")), ""))</f>
        <v/>
      </c>
      <c r="H26" s="1466" t="str" cm="1">
        <f t="array" aca="1" ref="H26" ca="1">IF($D26&gt;0,INDIRECT(ADDRESS($D26+15,H$4, 1, 1, "11. Unit Mix")), IF($E26&gt;0,INDIRECT(ADDRESS($E26+103,H$4, 1, 1, "11. Unit Mix")), ""))</f>
        <v/>
      </c>
      <c r="I26" s="1467" t="str" cm="1">
        <f t="array" aca="1" ref="I26" ca="1">IF($D26&gt;0,INDIRECT(ADDRESS($D26+15,I$4, 1, 1, "11. Unit Mix")), "")</f>
        <v/>
      </c>
      <c r="J26" s="1466" t="str" cm="1">
        <f t="array" aca="1" ref="J26" ca="1">IF($D26&gt;0,INDIRECT(ADDRESS($D26+15,J$4, 1, 1, "11. Unit Mix")), IF($E26&gt;0,INDIRECT(ADDRESS($E26+103,I$4, 1, 1, "11. Unit Mix")), ""))</f>
        <v/>
      </c>
      <c r="K26" s="1466" t="str" cm="1">
        <f t="array" aca="1" ref="K26" ca="1">IF($D26&gt;0,INDIRECT(ADDRESS($D26+15,K$4, 1, 1, "11. Unit Mix")), IF($E26&gt;0,INDIRECT(ADDRESS($E26+103,K$4, 1, 1, "11. Unit Mix")), ""))</f>
        <v/>
      </c>
    </row>
    <row r="27" spans="1:11">
      <c r="A27">
        <f t="shared" si="1"/>
        <v>23</v>
      </c>
      <c r="B27">
        <f t="shared" si="2"/>
        <v>0</v>
      </c>
      <c r="C27">
        <f t="shared" si="3"/>
        <v>0</v>
      </c>
      <c r="D27">
        <f t="shared" si="4"/>
        <v>0</v>
      </c>
      <c r="E27">
        <f t="shared" si="5"/>
        <v>0</v>
      </c>
      <c r="F27" s="1466" t="str" cm="1">
        <f t="array" aca="1" ref="F27" ca="1">IF($D27&gt;0,INDIRECT(ADDRESS($D27+15,F$4, 1, 1, "11. Unit Mix")), IF($E27&gt;0,INDIRECT(ADDRESS($E27+103,F$4, 1, 1, "11. Unit Mix")), ""))</f>
        <v/>
      </c>
      <c r="G27" s="1466" t="str" cm="1">
        <f t="array" aca="1" ref="G27" ca="1">IF($D27&gt;0,INDIRECT(ADDRESS($D27+15,G$4, 1, 1, "11. Unit Mix")), IF($E27&gt;0,INDIRECT(ADDRESS($E27+103,G$4, 1, 1, "11. Unit Mix")), ""))</f>
        <v/>
      </c>
      <c r="H27" s="1466" t="str" cm="1">
        <f t="array" aca="1" ref="H27" ca="1">IF($D27&gt;0,INDIRECT(ADDRESS($D27+15,H$4, 1, 1, "11. Unit Mix")), IF($E27&gt;0,INDIRECT(ADDRESS($E27+103,H$4, 1, 1, "11. Unit Mix")), ""))</f>
        <v/>
      </c>
      <c r="I27" s="1467" t="str" cm="1">
        <f t="array" aca="1" ref="I27" ca="1">IF($D27&gt;0,INDIRECT(ADDRESS($D27+15,I$4, 1, 1, "11. Unit Mix")), "")</f>
        <v/>
      </c>
      <c r="J27" s="1466" t="str" cm="1">
        <f t="array" aca="1" ref="J27" ca="1">IF($D27&gt;0,INDIRECT(ADDRESS($D27+15,J$4, 1, 1, "11. Unit Mix")), IF($E27&gt;0,INDIRECT(ADDRESS($E27+103,I$4, 1, 1, "11. Unit Mix")), ""))</f>
        <v/>
      </c>
      <c r="K27" s="1466" t="str" cm="1">
        <f t="array" aca="1" ref="K27" ca="1">IF($D27&gt;0,INDIRECT(ADDRESS($D27+15,K$4, 1, 1, "11. Unit Mix")), IF($E27&gt;0,INDIRECT(ADDRESS($E27+103,K$4, 1, 1, "11. Unit Mix")), ""))</f>
        <v/>
      </c>
    </row>
    <row r="28" spans="1:11">
      <c r="A28">
        <f t="shared" si="1"/>
        <v>24</v>
      </c>
      <c r="B28">
        <f t="shared" si="2"/>
        <v>0</v>
      </c>
      <c r="C28">
        <f t="shared" si="3"/>
        <v>0</v>
      </c>
      <c r="D28">
        <f t="shared" si="4"/>
        <v>0</v>
      </c>
      <c r="E28">
        <f t="shared" si="5"/>
        <v>0</v>
      </c>
      <c r="F28" s="1466" t="str" cm="1">
        <f t="array" aca="1" ref="F28" ca="1">IF($D28&gt;0,INDIRECT(ADDRESS($D28+15,F$4, 1, 1, "11. Unit Mix")), IF($E28&gt;0,INDIRECT(ADDRESS($E28+103,F$4, 1, 1, "11. Unit Mix")), ""))</f>
        <v/>
      </c>
      <c r="G28" s="1466" t="str" cm="1">
        <f t="array" aca="1" ref="G28" ca="1">IF($D28&gt;0,INDIRECT(ADDRESS($D28+15,G$4, 1, 1, "11. Unit Mix")), IF($E28&gt;0,INDIRECT(ADDRESS($E28+103,G$4, 1, 1, "11. Unit Mix")), ""))</f>
        <v/>
      </c>
      <c r="H28" s="1466" t="str" cm="1">
        <f t="array" aca="1" ref="H28" ca="1">IF($D28&gt;0,INDIRECT(ADDRESS($D28+15,H$4, 1, 1, "11. Unit Mix")), IF($E28&gt;0,INDIRECT(ADDRESS($E28+103,H$4, 1, 1, "11. Unit Mix")), ""))</f>
        <v/>
      </c>
      <c r="I28" s="1467" t="str" cm="1">
        <f t="array" aca="1" ref="I28" ca="1">IF($D28&gt;0,INDIRECT(ADDRESS($D28+15,I$4, 1, 1, "11. Unit Mix")), "")</f>
        <v/>
      </c>
      <c r="J28" s="1466" t="str" cm="1">
        <f t="array" aca="1" ref="J28" ca="1">IF($D28&gt;0,INDIRECT(ADDRESS($D28+15,J$4, 1, 1, "11. Unit Mix")), IF($E28&gt;0,INDIRECT(ADDRESS($E28+103,I$4, 1, 1, "11. Unit Mix")), ""))</f>
        <v/>
      </c>
      <c r="K28" s="1466" t="str" cm="1">
        <f t="array" aca="1" ref="K28" ca="1">IF($D28&gt;0,INDIRECT(ADDRESS($D28+15,K$4, 1, 1, "11. Unit Mix")), IF($E28&gt;0,INDIRECT(ADDRESS($E28+103,K$4, 1, 1, "11. Unit Mix")), ""))</f>
        <v/>
      </c>
    </row>
    <row r="29" spans="1:11">
      <c r="A29">
        <f t="shared" si="1"/>
        <v>25</v>
      </c>
      <c r="B29">
        <f t="shared" si="2"/>
        <v>0</v>
      </c>
      <c r="C29">
        <f t="shared" si="3"/>
        <v>0</v>
      </c>
      <c r="D29">
        <f t="shared" si="4"/>
        <v>0</v>
      </c>
      <c r="E29">
        <f t="shared" si="5"/>
        <v>0</v>
      </c>
      <c r="F29" s="1466" t="str" cm="1">
        <f t="array" aca="1" ref="F29" ca="1">IF($D29&gt;0,INDIRECT(ADDRESS($D29+15,F$4, 1, 1, "11. Unit Mix")), IF($E29&gt;0,INDIRECT(ADDRESS($E29+103,F$4, 1, 1, "11. Unit Mix")), ""))</f>
        <v/>
      </c>
      <c r="G29" s="1466" t="str" cm="1">
        <f t="array" aca="1" ref="G29" ca="1">IF($D29&gt;0,INDIRECT(ADDRESS($D29+15,G$4, 1, 1, "11. Unit Mix")), IF($E29&gt;0,INDIRECT(ADDRESS($E29+103,G$4, 1, 1, "11. Unit Mix")), ""))</f>
        <v/>
      </c>
      <c r="H29" s="1466" t="str" cm="1">
        <f t="array" aca="1" ref="H29" ca="1">IF($D29&gt;0,INDIRECT(ADDRESS($D29+15,H$4, 1, 1, "11. Unit Mix")), IF($E29&gt;0,INDIRECT(ADDRESS($E29+103,H$4, 1, 1, "11. Unit Mix")), ""))</f>
        <v/>
      </c>
      <c r="I29" s="1467" t="str" cm="1">
        <f t="array" aca="1" ref="I29" ca="1">IF($D29&gt;0,INDIRECT(ADDRESS($D29+15,I$4, 1, 1, "11. Unit Mix")), "")</f>
        <v/>
      </c>
      <c r="J29" s="1466" t="str" cm="1">
        <f t="array" aca="1" ref="J29" ca="1">IF($D29&gt;0,INDIRECT(ADDRESS($D29+15,J$4, 1, 1, "11. Unit Mix")), IF($E29&gt;0,INDIRECT(ADDRESS($E29+103,I$4, 1, 1, "11. Unit Mix")), ""))</f>
        <v/>
      </c>
      <c r="K29" s="1466" t="str" cm="1">
        <f t="array" aca="1" ref="K29" ca="1">IF($D29&gt;0,INDIRECT(ADDRESS($D29+15,K$4, 1, 1, "11. Unit Mix")), IF($E29&gt;0,INDIRECT(ADDRESS($E29+103,K$4, 1, 1, "11. Unit Mix")), ""))</f>
        <v/>
      </c>
    </row>
    <row r="30" spans="1:11">
      <c r="A30">
        <f t="shared" si="1"/>
        <v>26</v>
      </c>
      <c r="B30">
        <f t="shared" si="2"/>
        <v>0</v>
      </c>
      <c r="C30">
        <f t="shared" si="3"/>
        <v>0</v>
      </c>
      <c r="D30">
        <f t="shared" si="4"/>
        <v>0</v>
      </c>
      <c r="E30">
        <f t="shared" si="5"/>
        <v>0</v>
      </c>
      <c r="F30" s="1466" t="str" cm="1">
        <f t="array" aca="1" ref="F30" ca="1">IF($D30&gt;0,INDIRECT(ADDRESS($D30+15,F$4, 1, 1, "11. Unit Mix")), IF($E30&gt;0,INDIRECT(ADDRESS($E30+103,F$4, 1, 1, "11. Unit Mix")), ""))</f>
        <v/>
      </c>
      <c r="G30" s="1466" t="str" cm="1">
        <f t="array" aca="1" ref="G30" ca="1">IF($D30&gt;0,INDIRECT(ADDRESS($D30+15,G$4, 1, 1, "11. Unit Mix")), IF($E30&gt;0,INDIRECT(ADDRESS($E30+103,G$4, 1, 1, "11. Unit Mix")), ""))</f>
        <v/>
      </c>
      <c r="H30" s="1466" t="str" cm="1">
        <f t="array" aca="1" ref="H30" ca="1">IF($D30&gt;0,INDIRECT(ADDRESS($D30+15,H$4, 1, 1, "11. Unit Mix")), IF($E30&gt;0,INDIRECT(ADDRESS($E30+103,H$4, 1, 1, "11. Unit Mix")), ""))</f>
        <v/>
      </c>
      <c r="I30" s="1467" t="str" cm="1">
        <f t="array" aca="1" ref="I30" ca="1">IF($D30&gt;0,INDIRECT(ADDRESS($D30+15,I$4, 1, 1, "11. Unit Mix")), "")</f>
        <v/>
      </c>
      <c r="J30" s="1466" t="str" cm="1">
        <f t="array" aca="1" ref="J30" ca="1">IF($D30&gt;0,INDIRECT(ADDRESS($D30+15,J$4, 1, 1, "11. Unit Mix")), IF($E30&gt;0,INDIRECT(ADDRESS($E30+103,I$4, 1, 1, "11. Unit Mix")), ""))</f>
        <v/>
      </c>
      <c r="K30" s="1466" t="str" cm="1">
        <f t="array" aca="1" ref="K30" ca="1">IF($D30&gt;0,INDIRECT(ADDRESS($D30+15,K$4, 1, 1, "11. Unit Mix")), IF($E30&gt;0,INDIRECT(ADDRESS($E30+103,K$4, 1, 1, "11. Unit Mix")), ""))</f>
        <v/>
      </c>
    </row>
    <row r="31" spans="1:11">
      <c r="A31">
        <f t="shared" si="1"/>
        <v>27</v>
      </c>
      <c r="B31">
        <f t="shared" si="2"/>
        <v>0</v>
      </c>
      <c r="C31">
        <f t="shared" si="3"/>
        <v>0</v>
      </c>
      <c r="D31">
        <f t="shared" si="4"/>
        <v>0</v>
      </c>
      <c r="E31">
        <f t="shared" si="5"/>
        <v>0</v>
      </c>
      <c r="F31" s="1466" t="str" cm="1">
        <f t="array" aca="1" ref="F31" ca="1">IF($D31&gt;0,INDIRECT(ADDRESS($D31+15,F$4, 1, 1, "11. Unit Mix")), IF($E31&gt;0,INDIRECT(ADDRESS($E31+103,F$4, 1, 1, "11. Unit Mix")), ""))</f>
        <v/>
      </c>
      <c r="G31" s="1466" t="str" cm="1">
        <f t="array" aca="1" ref="G31" ca="1">IF($D31&gt;0,INDIRECT(ADDRESS($D31+15,G$4, 1, 1, "11. Unit Mix")), IF($E31&gt;0,INDIRECT(ADDRESS($E31+103,G$4, 1, 1, "11. Unit Mix")), ""))</f>
        <v/>
      </c>
      <c r="H31" s="1466" t="str" cm="1">
        <f t="array" aca="1" ref="H31" ca="1">IF($D31&gt;0,INDIRECT(ADDRESS($D31+15,H$4, 1, 1, "11. Unit Mix")), IF($E31&gt;0,INDIRECT(ADDRESS($E31+103,H$4, 1, 1, "11. Unit Mix")), ""))</f>
        <v/>
      </c>
      <c r="I31" s="1467" t="str" cm="1">
        <f t="array" aca="1" ref="I31" ca="1">IF($D31&gt;0,INDIRECT(ADDRESS($D31+15,I$4, 1, 1, "11. Unit Mix")), "")</f>
        <v/>
      </c>
      <c r="J31" s="1466" t="str" cm="1">
        <f t="array" aca="1" ref="J31" ca="1">IF($D31&gt;0,INDIRECT(ADDRESS($D31+15,J$4, 1, 1, "11. Unit Mix")), IF($E31&gt;0,INDIRECT(ADDRESS($E31+103,I$4, 1, 1, "11. Unit Mix")), ""))</f>
        <v/>
      </c>
      <c r="K31" s="1466" t="str" cm="1">
        <f t="array" aca="1" ref="K31" ca="1">IF($D31&gt;0,INDIRECT(ADDRESS($D31+15,K$4, 1, 1, "11. Unit Mix")), IF($E31&gt;0,INDIRECT(ADDRESS($E31+103,K$4, 1, 1, "11. Unit Mix")), ""))</f>
        <v/>
      </c>
    </row>
    <row r="32" spans="1:11">
      <c r="A32">
        <f t="shared" si="1"/>
        <v>28</v>
      </c>
      <c r="B32">
        <f t="shared" si="2"/>
        <v>0</v>
      </c>
      <c r="C32">
        <f t="shared" si="3"/>
        <v>0</v>
      </c>
      <c r="D32">
        <f t="shared" si="4"/>
        <v>0</v>
      </c>
      <c r="E32">
        <f t="shared" si="5"/>
        <v>0</v>
      </c>
      <c r="F32" s="1466" t="str" cm="1">
        <f t="array" aca="1" ref="F32" ca="1">IF($D32&gt;0,INDIRECT(ADDRESS($D32+15,F$4, 1, 1, "11. Unit Mix")), IF($E32&gt;0,INDIRECT(ADDRESS($E32+103,F$4, 1, 1, "11. Unit Mix")), ""))</f>
        <v/>
      </c>
      <c r="G32" s="1466" t="str" cm="1">
        <f t="array" aca="1" ref="G32" ca="1">IF($D32&gt;0,INDIRECT(ADDRESS($D32+15,G$4, 1, 1, "11. Unit Mix")), IF($E32&gt;0,INDIRECT(ADDRESS($E32+103,G$4, 1, 1, "11. Unit Mix")), ""))</f>
        <v/>
      </c>
      <c r="H32" s="1466" t="str" cm="1">
        <f t="array" aca="1" ref="H32" ca="1">IF($D32&gt;0,INDIRECT(ADDRESS($D32+15,H$4, 1, 1, "11. Unit Mix")), IF($E32&gt;0,INDIRECT(ADDRESS($E32+103,H$4, 1, 1, "11. Unit Mix")), ""))</f>
        <v/>
      </c>
      <c r="I32" s="1467" t="str" cm="1">
        <f t="array" aca="1" ref="I32" ca="1">IF($D32&gt;0,INDIRECT(ADDRESS($D32+15,I$4, 1, 1, "11. Unit Mix")), "")</f>
        <v/>
      </c>
      <c r="J32" s="1466" t="str" cm="1">
        <f t="array" aca="1" ref="J32" ca="1">IF($D32&gt;0,INDIRECT(ADDRESS($D32+15,J$4, 1, 1, "11. Unit Mix")), IF($E32&gt;0,INDIRECT(ADDRESS($E32+103,I$4, 1, 1, "11. Unit Mix")), ""))</f>
        <v/>
      </c>
      <c r="K32" s="1466" t="str" cm="1">
        <f t="array" aca="1" ref="K32" ca="1">IF($D32&gt;0,INDIRECT(ADDRESS($D32+15,K$4, 1, 1, "11. Unit Mix")), IF($E32&gt;0,INDIRECT(ADDRESS($E32+103,K$4, 1, 1, "11. Unit Mix")), ""))</f>
        <v/>
      </c>
    </row>
    <row r="33" spans="1:11">
      <c r="A33">
        <f t="shared" si="1"/>
        <v>29</v>
      </c>
      <c r="B33">
        <f t="shared" si="2"/>
        <v>0</v>
      </c>
      <c r="C33">
        <f t="shared" si="3"/>
        <v>0</v>
      </c>
      <c r="D33">
        <f t="shared" si="4"/>
        <v>0</v>
      </c>
      <c r="E33">
        <f t="shared" si="5"/>
        <v>0</v>
      </c>
      <c r="F33" s="1466" t="str" cm="1">
        <f t="array" aca="1" ref="F33" ca="1">IF($D33&gt;0,INDIRECT(ADDRESS($D33+15,F$4, 1, 1, "11. Unit Mix")), IF($E33&gt;0,INDIRECT(ADDRESS($E33+103,F$4, 1, 1, "11. Unit Mix")), ""))</f>
        <v/>
      </c>
      <c r="G33" s="1466" t="str" cm="1">
        <f t="array" aca="1" ref="G33" ca="1">IF($D33&gt;0,INDIRECT(ADDRESS($D33+15,G$4, 1, 1, "11. Unit Mix")), IF($E33&gt;0,INDIRECT(ADDRESS($E33+103,G$4, 1, 1, "11. Unit Mix")), ""))</f>
        <v/>
      </c>
      <c r="H33" s="1466" t="str" cm="1">
        <f t="array" aca="1" ref="H33" ca="1">IF($D33&gt;0,INDIRECT(ADDRESS($D33+15,H$4, 1, 1, "11. Unit Mix")), IF($E33&gt;0,INDIRECT(ADDRESS($E33+103,H$4, 1, 1, "11. Unit Mix")), ""))</f>
        <v/>
      </c>
      <c r="I33" s="1467" t="str" cm="1">
        <f t="array" aca="1" ref="I33" ca="1">IF($D33&gt;0,INDIRECT(ADDRESS($D33+15,I$4, 1, 1, "11. Unit Mix")), "")</f>
        <v/>
      </c>
      <c r="J33" s="1466" t="str" cm="1">
        <f t="array" aca="1" ref="J33" ca="1">IF($D33&gt;0,INDIRECT(ADDRESS($D33+15,J$4, 1, 1, "11. Unit Mix")), IF($E33&gt;0,INDIRECT(ADDRESS($E33+103,I$4, 1, 1, "11. Unit Mix")), ""))</f>
        <v/>
      </c>
      <c r="K33" s="1466" t="str" cm="1">
        <f t="array" aca="1" ref="K33" ca="1">IF($D33&gt;0,INDIRECT(ADDRESS($D33+15,K$4, 1, 1, "11. Unit Mix")), IF($E33&gt;0,INDIRECT(ADDRESS($E33+103,K$4, 1, 1, "11. Unit Mix")), ""))</f>
        <v/>
      </c>
    </row>
    <row r="34" spans="1:11">
      <c r="A34">
        <f t="shared" si="1"/>
        <v>30</v>
      </c>
      <c r="B34">
        <f t="shared" si="2"/>
        <v>0</v>
      </c>
      <c r="C34">
        <f t="shared" si="3"/>
        <v>0</v>
      </c>
      <c r="D34">
        <f t="shared" si="4"/>
        <v>0</v>
      </c>
      <c r="E34">
        <f t="shared" si="5"/>
        <v>0</v>
      </c>
      <c r="F34" s="1466" t="str" cm="1">
        <f t="array" aca="1" ref="F34" ca="1">IF($D34&gt;0,INDIRECT(ADDRESS($D34+15,F$4, 1, 1, "11. Unit Mix")), IF($E34&gt;0,INDIRECT(ADDRESS($E34+103,F$4, 1, 1, "11. Unit Mix")), ""))</f>
        <v/>
      </c>
      <c r="G34" s="1466" t="str" cm="1">
        <f t="array" aca="1" ref="G34" ca="1">IF($D34&gt;0,INDIRECT(ADDRESS($D34+15,G$4, 1, 1, "11. Unit Mix")), IF($E34&gt;0,INDIRECT(ADDRESS($E34+103,G$4, 1, 1, "11. Unit Mix")), ""))</f>
        <v/>
      </c>
      <c r="H34" s="1466" t="str" cm="1">
        <f t="array" aca="1" ref="H34" ca="1">IF($D34&gt;0,INDIRECT(ADDRESS($D34+15,H$4, 1, 1, "11. Unit Mix")), IF($E34&gt;0,INDIRECT(ADDRESS($E34+103,H$4, 1, 1, "11. Unit Mix")), ""))</f>
        <v/>
      </c>
      <c r="I34" s="1467" t="str" cm="1">
        <f t="array" aca="1" ref="I34" ca="1">IF($D34&gt;0,INDIRECT(ADDRESS($D34+15,I$4, 1, 1, "11. Unit Mix")), "")</f>
        <v/>
      </c>
      <c r="J34" s="1466" t="str" cm="1">
        <f t="array" aca="1" ref="J34" ca="1">IF($D34&gt;0,INDIRECT(ADDRESS($D34+15,J$4, 1, 1, "11. Unit Mix")), IF($E34&gt;0,INDIRECT(ADDRESS($E34+103,I$4, 1, 1, "11. Unit Mix")), ""))</f>
        <v/>
      </c>
      <c r="K34" s="1466" t="str" cm="1">
        <f t="array" aca="1" ref="K34" ca="1">IF($D34&gt;0,INDIRECT(ADDRESS($D34+15,K$4, 1, 1, "11. Unit Mix")), IF($E34&gt;0,INDIRECT(ADDRESS($E34+103,K$4, 1, 1, "11. Unit Mix")), ""))</f>
        <v/>
      </c>
    </row>
    <row r="35" spans="1:11">
      <c r="A35">
        <f t="shared" si="1"/>
        <v>31</v>
      </c>
      <c r="B35">
        <f t="shared" si="2"/>
        <v>0</v>
      </c>
      <c r="C35">
        <f t="shared" si="3"/>
        <v>0</v>
      </c>
      <c r="D35">
        <f t="shared" si="4"/>
        <v>0</v>
      </c>
      <c r="E35">
        <f t="shared" si="5"/>
        <v>0</v>
      </c>
      <c r="F35" s="1466" t="str" cm="1">
        <f t="array" aca="1" ref="F35" ca="1">IF($D35&gt;0,INDIRECT(ADDRESS($D35+15,F$4, 1, 1, "11. Unit Mix")), IF($E35&gt;0,INDIRECT(ADDRESS($E35+103,F$4, 1, 1, "11. Unit Mix")), ""))</f>
        <v/>
      </c>
      <c r="G35" s="1466" t="str" cm="1">
        <f t="array" aca="1" ref="G35" ca="1">IF($D35&gt;0,INDIRECT(ADDRESS($D35+15,G$4, 1, 1, "11. Unit Mix")), IF($E35&gt;0,INDIRECT(ADDRESS($E35+103,G$4, 1, 1, "11. Unit Mix")), ""))</f>
        <v/>
      </c>
      <c r="H35" s="1466" t="str" cm="1">
        <f t="array" aca="1" ref="H35" ca="1">IF($D35&gt;0,INDIRECT(ADDRESS($D35+15,H$4, 1, 1, "11. Unit Mix")), IF($E35&gt;0,INDIRECT(ADDRESS($E35+103,H$4, 1, 1, "11. Unit Mix")), ""))</f>
        <v/>
      </c>
      <c r="I35" s="1467" t="str" cm="1">
        <f t="array" aca="1" ref="I35" ca="1">IF($D35&gt;0,INDIRECT(ADDRESS($D35+15,I$4, 1, 1, "11. Unit Mix")), "")</f>
        <v/>
      </c>
      <c r="J35" s="1466" t="str" cm="1">
        <f t="array" aca="1" ref="J35" ca="1">IF($D35&gt;0,INDIRECT(ADDRESS($D35+15,J$4, 1, 1, "11. Unit Mix")), IF($E35&gt;0,INDIRECT(ADDRESS($E35+103,I$4, 1, 1, "11. Unit Mix")), ""))</f>
        <v/>
      </c>
      <c r="K35" s="1466" t="str" cm="1">
        <f t="array" aca="1" ref="K35" ca="1">IF($D35&gt;0,INDIRECT(ADDRESS($D35+15,K$4, 1, 1, "11. Unit Mix")), IF($E35&gt;0,INDIRECT(ADDRESS($E35+103,K$4, 1, 1, "11. Unit Mix")), ""))</f>
        <v/>
      </c>
    </row>
    <row r="36" spans="1:11">
      <c r="A36">
        <f t="shared" si="1"/>
        <v>32</v>
      </c>
      <c r="B36">
        <f t="shared" si="2"/>
        <v>0</v>
      </c>
      <c r="C36">
        <f t="shared" si="3"/>
        <v>0</v>
      </c>
      <c r="D36">
        <f t="shared" si="4"/>
        <v>0</v>
      </c>
      <c r="E36">
        <f t="shared" si="5"/>
        <v>0</v>
      </c>
      <c r="F36" s="1466" t="str" cm="1">
        <f t="array" aca="1" ref="F36" ca="1">IF($D36&gt;0,INDIRECT(ADDRESS($D36+15,F$4, 1, 1, "11. Unit Mix")), IF($E36&gt;0,INDIRECT(ADDRESS($E36+103,F$4, 1, 1, "11. Unit Mix")), ""))</f>
        <v/>
      </c>
      <c r="G36" s="1466" t="str" cm="1">
        <f t="array" aca="1" ref="G36" ca="1">IF($D36&gt;0,INDIRECT(ADDRESS($D36+15,G$4, 1, 1, "11. Unit Mix")), IF($E36&gt;0,INDIRECT(ADDRESS($E36+103,G$4, 1, 1, "11. Unit Mix")), ""))</f>
        <v/>
      </c>
      <c r="H36" s="1466" t="str" cm="1">
        <f t="array" aca="1" ref="H36" ca="1">IF($D36&gt;0,INDIRECT(ADDRESS($D36+15,H$4, 1, 1, "11. Unit Mix")), IF($E36&gt;0,INDIRECT(ADDRESS($E36+103,H$4, 1, 1, "11. Unit Mix")), ""))</f>
        <v/>
      </c>
      <c r="I36" s="1467" t="str" cm="1">
        <f t="array" aca="1" ref="I36" ca="1">IF($D36&gt;0,INDIRECT(ADDRESS($D36+15,I$4, 1, 1, "11. Unit Mix")), "")</f>
        <v/>
      </c>
      <c r="J36" s="1466" t="str" cm="1">
        <f t="array" aca="1" ref="J36" ca="1">IF($D36&gt;0,INDIRECT(ADDRESS($D36+15,J$4, 1, 1, "11. Unit Mix")), IF($E36&gt;0,INDIRECT(ADDRESS($E36+103,I$4, 1, 1, "11. Unit Mix")), ""))</f>
        <v/>
      </c>
      <c r="K36" s="1466" t="str" cm="1">
        <f t="array" aca="1" ref="K36" ca="1">IF($D36&gt;0,INDIRECT(ADDRESS($D36+15,K$4, 1, 1, "11. Unit Mix")), IF($E36&gt;0,INDIRECT(ADDRESS($E36+103,K$4, 1, 1, "11. Unit Mix")), ""))</f>
        <v/>
      </c>
    </row>
    <row r="37" spans="1:11">
      <c r="A37">
        <f t="shared" si="1"/>
        <v>33</v>
      </c>
      <c r="B37">
        <f t="shared" si="2"/>
        <v>0</v>
      </c>
      <c r="C37">
        <f t="shared" si="3"/>
        <v>0</v>
      </c>
      <c r="D37">
        <f t="shared" si="4"/>
        <v>0</v>
      </c>
      <c r="E37">
        <f t="shared" si="5"/>
        <v>0</v>
      </c>
      <c r="F37" s="1466" t="str" cm="1">
        <f t="array" aca="1" ref="F37" ca="1">IF($D37&gt;0,INDIRECT(ADDRESS($D37+15,F$4, 1, 1, "11. Unit Mix")), IF($E37&gt;0,INDIRECT(ADDRESS($E37+103,F$4, 1, 1, "11. Unit Mix")), ""))</f>
        <v/>
      </c>
      <c r="G37" s="1466" t="str" cm="1">
        <f t="array" aca="1" ref="G37" ca="1">IF($D37&gt;0,INDIRECT(ADDRESS($D37+15,G$4, 1, 1, "11. Unit Mix")), IF($E37&gt;0,INDIRECT(ADDRESS($E37+103,G$4, 1, 1, "11. Unit Mix")), ""))</f>
        <v/>
      </c>
      <c r="H37" s="1466" t="str" cm="1">
        <f t="array" aca="1" ref="H37" ca="1">IF($D37&gt;0,INDIRECT(ADDRESS($D37+15,H$4, 1, 1, "11. Unit Mix")), IF($E37&gt;0,INDIRECT(ADDRESS($E37+103,H$4, 1, 1, "11. Unit Mix")), ""))</f>
        <v/>
      </c>
      <c r="I37" s="1467" t="str" cm="1">
        <f t="array" aca="1" ref="I37" ca="1">IF($D37&gt;0,INDIRECT(ADDRESS($D37+15,I$4, 1, 1, "11. Unit Mix")), "")</f>
        <v/>
      </c>
      <c r="J37" s="1466" t="str" cm="1">
        <f t="array" aca="1" ref="J37" ca="1">IF($D37&gt;0,INDIRECT(ADDRESS($D37+15,J$4, 1, 1, "11. Unit Mix")), IF($E37&gt;0,INDIRECT(ADDRESS($E37+103,I$4, 1, 1, "11. Unit Mix")), ""))</f>
        <v/>
      </c>
      <c r="K37" s="1466" t="str" cm="1">
        <f t="array" aca="1" ref="K37" ca="1">IF($D37&gt;0,INDIRECT(ADDRESS($D37+15,K$4, 1, 1, "11. Unit Mix")), IF($E37&gt;0,INDIRECT(ADDRESS($E37+103,K$4, 1, 1, "11. Unit Mix")), ""))</f>
        <v/>
      </c>
    </row>
    <row r="38" spans="1:11">
      <c r="A38">
        <f t="shared" si="1"/>
        <v>34</v>
      </c>
      <c r="B38">
        <f t="shared" si="2"/>
        <v>0</v>
      </c>
      <c r="C38">
        <f t="shared" si="3"/>
        <v>0</v>
      </c>
      <c r="D38">
        <f t="shared" si="4"/>
        <v>0</v>
      </c>
      <c r="E38">
        <f t="shared" si="5"/>
        <v>0</v>
      </c>
      <c r="F38" s="1466" t="str" cm="1">
        <f t="array" aca="1" ref="F38" ca="1">IF($D38&gt;0,INDIRECT(ADDRESS($D38+15,F$4, 1, 1, "11. Unit Mix")), IF($E38&gt;0,INDIRECT(ADDRESS($E38+103,F$4, 1, 1, "11. Unit Mix")), ""))</f>
        <v/>
      </c>
      <c r="G38" s="1466" t="str" cm="1">
        <f t="array" aca="1" ref="G38" ca="1">IF($D38&gt;0,INDIRECT(ADDRESS($D38+15,G$4, 1, 1, "11. Unit Mix")), IF($E38&gt;0,INDIRECT(ADDRESS($E38+103,G$4, 1, 1, "11. Unit Mix")), ""))</f>
        <v/>
      </c>
      <c r="H38" s="1466" t="str" cm="1">
        <f t="array" aca="1" ref="H38" ca="1">IF($D38&gt;0,INDIRECT(ADDRESS($D38+15,H$4, 1, 1, "11. Unit Mix")), IF($E38&gt;0,INDIRECT(ADDRESS($E38+103,H$4, 1, 1, "11. Unit Mix")), ""))</f>
        <v/>
      </c>
      <c r="I38" s="1467" t="str" cm="1">
        <f t="array" aca="1" ref="I38" ca="1">IF($D38&gt;0,INDIRECT(ADDRESS($D38+15,I$4, 1, 1, "11. Unit Mix")), "")</f>
        <v/>
      </c>
      <c r="J38" s="1466" t="str" cm="1">
        <f t="array" aca="1" ref="J38" ca="1">IF($D38&gt;0,INDIRECT(ADDRESS($D38+15,J$4, 1, 1, "11. Unit Mix")), IF($E38&gt;0,INDIRECT(ADDRESS($E38+103,I$4, 1, 1, "11. Unit Mix")), ""))</f>
        <v/>
      </c>
      <c r="K38" s="1466" t="str" cm="1">
        <f t="array" aca="1" ref="K38" ca="1">IF($D38&gt;0,INDIRECT(ADDRESS($D38+15,K$4, 1, 1, "11. Unit Mix")), IF($E38&gt;0,INDIRECT(ADDRESS($E38+103,K$4, 1, 1, "11. Unit Mix")), ""))</f>
        <v/>
      </c>
    </row>
    <row r="39" spans="1:11">
      <c r="A39">
        <f t="shared" si="1"/>
        <v>35</v>
      </c>
      <c r="B39">
        <f t="shared" si="2"/>
        <v>0</v>
      </c>
      <c r="C39">
        <f t="shared" si="3"/>
        <v>0</v>
      </c>
      <c r="D39">
        <f t="shared" si="4"/>
        <v>0</v>
      </c>
      <c r="E39">
        <f t="shared" si="5"/>
        <v>0</v>
      </c>
      <c r="F39" s="1466" t="str" cm="1">
        <f t="array" aca="1" ref="F39" ca="1">IF($D39&gt;0,INDIRECT(ADDRESS($D39+15,F$4, 1, 1, "11. Unit Mix")), IF($E39&gt;0,INDIRECT(ADDRESS($E39+103,F$4, 1, 1, "11. Unit Mix")), ""))</f>
        <v/>
      </c>
      <c r="G39" s="1466" t="str" cm="1">
        <f t="array" aca="1" ref="G39" ca="1">IF($D39&gt;0,INDIRECT(ADDRESS($D39+15,G$4, 1, 1, "11. Unit Mix")), IF($E39&gt;0,INDIRECT(ADDRESS($E39+103,G$4, 1, 1, "11. Unit Mix")), ""))</f>
        <v/>
      </c>
      <c r="H39" s="1466" t="str" cm="1">
        <f t="array" aca="1" ref="H39" ca="1">IF($D39&gt;0,INDIRECT(ADDRESS($D39+15,H$4, 1, 1, "11. Unit Mix")), IF($E39&gt;0,INDIRECT(ADDRESS($E39+103,H$4, 1, 1, "11. Unit Mix")), ""))</f>
        <v/>
      </c>
      <c r="I39" s="1467" t="str" cm="1">
        <f t="array" aca="1" ref="I39" ca="1">IF($D39&gt;0,INDIRECT(ADDRESS($D39+15,I$4, 1, 1, "11. Unit Mix")), "")</f>
        <v/>
      </c>
      <c r="J39" s="1466" t="str" cm="1">
        <f t="array" aca="1" ref="J39" ca="1">IF($D39&gt;0,INDIRECT(ADDRESS($D39+15,J$4, 1, 1, "11. Unit Mix")), IF($E39&gt;0,INDIRECT(ADDRESS($E39+103,I$4, 1, 1, "11. Unit Mix")), ""))</f>
        <v/>
      </c>
      <c r="K39" s="1466" t="str" cm="1">
        <f t="array" aca="1" ref="K39" ca="1">IF($D39&gt;0,INDIRECT(ADDRESS($D39+15,K$4, 1, 1, "11. Unit Mix")), IF($E39&gt;0,INDIRECT(ADDRESS($E39+103,K$4, 1, 1, "11. Unit Mix")), ""))</f>
        <v/>
      </c>
    </row>
    <row r="40" spans="1:11">
      <c r="A40">
        <f t="shared" si="1"/>
        <v>36</v>
      </c>
      <c r="B40">
        <f t="shared" si="2"/>
        <v>0</v>
      </c>
      <c r="C40">
        <f t="shared" si="3"/>
        <v>0</v>
      </c>
      <c r="D40">
        <f t="shared" si="4"/>
        <v>0</v>
      </c>
      <c r="E40">
        <f t="shared" si="5"/>
        <v>0</v>
      </c>
      <c r="F40" s="1466" t="str" cm="1">
        <f t="array" aca="1" ref="F40" ca="1">IF($D40&gt;0,INDIRECT(ADDRESS($D40+15,F$4, 1, 1, "11. Unit Mix")), IF($E40&gt;0,INDIRECT(ADDRESS($E40+103,F$4, 1, 1, "11. Unit Mix")), ""))</f>
        <v/>
      </c>
      <c r="G40" s="1466" t="str" cm="1">
        <f t="array" aca="1" ref="G40" ca="1">IF($D40&gt;0,INDIRECT(ADDRESS($D40+15,G$4, 1, 1, "11. Unit Mix")), IF($E40&gt;0,INDIRECT(ADDRESS($E40+103,G$4, 1, 1, "11. Unit Mix")), ""))</f>
        <v/>
      </c>
      <c r="H40" s="1466" t="str" cm="1">
        <f t="array" aca="1" ref="H40" ca="1">IF($D40&gt;0,INDIRECT(ADDRESS($D40+15,H$4, 1, 1, "11. Unit Mix")), IF($E40&gt;0,INDIRECT(ADDRESS($E40+103,H$4, 1, 1, "11. Unit Mix")), ""))</f>
        <v/>
      </c>
      <c r="I40" s="1467" t="str" cm="1">
        <f t="array" aca="1" ref="I40" ca="1">IF($D40&gt;0,INDIRECT(ADDRESS($D40+15,I$4, 1, 1, "11. Unit Mix")), "")</f>
        <v/>
      </c>
      <c r="J40" s="1466" t="str" cm="1">
        <f t="array" aca="1" ref="J40" ca="1">IF($D40&gt;0,INDIRECT(ADDRESS($D40+15,J$4, 1, 1, "11. Unit Mix")), IF($E40&gt;0,INDIRECT(ADDRESS($E40+103,I$4, 1, 1, "11. Unit Mix")), ""))</f>
        <v/>
      </c>
      <c r="K40" s="1466" t="str" cm="1">
        <f t="array" aca="1" ref="K40" ca="1">IF($D40&gt;0,INDIRECT(ADDRESS($D40+15,K$4, 1, 1, "11. Unit Mix")), IF($E40&gt;0,INDIRECT(ADDRESS($E40+103,K$4, 1, 1, "11. Unit Mix")), ""))</f>
        <v/>
      </c>
    </row>
    <row r="41" spans="1:11">
      <c r="A41">
        <f t="shared" si="1"/>
        <v>37</v>
      </c>
      <c r="B41">
        <f t="shared" si="2"/>
        <v>0</v>
      </c>
      <c r="C41">
        <f t="shared" si="3"/>
        <v>0</v>
      </c>
      <c r="D41">
        <f t="shared" si="4"/>
        <v>0</v>
      </c>
      <c r="E41">
        <f t="shared" si="5"/>
        <v>0</v>
      </c>
      <c r="F41" s="1466" t="str" cm="1">
        <f t="array" aca="1" ref="F41" ca="1">IF($D41&gt;0,INDIRECT(ADDRESS($D41+15,F$4, 1, 1, "11. Unit Mix")), IF($E41&gt;0,INDIRECT(ADDRESS($E41+103,F$4, 1, 1, "11. Unit Mix")), ""))</f>
        <v/>
      </c>
      <c r="G41" s="1466" t="str" cm="1">
        <f t="array" aca="1" ref="G41" ca="1">IF($D41&gt;0,INDIRECT(ADDRESS($D41+15,G$4, 1, 1, "11. Unit Mix")), IF($E41&gt;0,INDIRECT(ADDRESS($E41+103,G$4, 1, 1, "11. Unit Mix")), ""))</f>
        <v/>
      </c>
      <c r="H41" s="1466" t="str" cm="1">
        <f t="array" aca="1" ref="H41" ca="1">IF($D41&gt;0,INDIRECT(ADDRESS($D41+15,H$4, 1, 1, "11. Unit Mix")), IF($E41&gt;0,INDIRECT(ADDRESS($E41+103,H$4, 1, 1, "11. Unit Mix")), ""))</f>
        <v/>
      </c>
      <c r="I41" s="1467" t="str" cm="1">
        <f t="array" aca="1" ref="I41" ca="1">IF($D41&gt;0,INDIRECT(ADDRESS($D41+15,I$4, 1, 1, "11. Unit Mix")), "")</f>
        <v/>
      </c>
      <c r="J41" s="1466" t="str" cm="1">
        <f t="array" aca="1" ref="J41" ca="1">IF($D41&gt;0,INDIRECT(ADDRESS($D41+15,J$4, 1, 1, "11. Unit Mix")), IF($E41&gt;0,INDIRECT(ADDRESS($E41+103,I$4, 1, 1, "11. Unit Mix")), ""))</f>
        <v/>
      </c>
      <c r="K41" s="1466" t="str" cm="1">
        <f t="array" aca="1" ref="K41" ca="1">IF($D41&gt;0,INDIRECT(ADDRESS($D41+15,K$4, 1, 1, "11. Unit Mix")), IF($E41&gt;0,INDIRECT(ADDRESS($E41+103,K$4, 1, 1, "11. Unit Mix")), ""))</f>
        <v/>
      </c>
    </row>
    <row r="42" spans="1:11">
      <c r="A42">
        <f t="shared" si="1"/>
        <v>38</v>
      </c>
      <c r="B42">
        <f t="shared" si="2"/>
        <v>0</v>
      </c>
      <c r="C42">
        <f t="shared" si="3"/>
        <v>0</v>
      </c>
      <c r="D42">
        <f t="shared" si="4"/>
        <v>0</v>
      </c>
      <c r="E42">
        <f t="shared" si="5"/>
        <v>0</v>
      </c>
      <c r="F42" s="1466" t="str" cm="1">
        <f t="array" aca="1" ref="F42" ca="1">IF($D42&gt;0,INDIRECT(ADDRESS($D42+15,F$4, 1, 1, "11. Unit Mix")), IF($E42&gt;0,INDIRECT(ADDRESS($E42+103,F$4, 1, 1, "11. Unit Mix")), ""))</f>
        <v/>
      </c>
      <c r="G42" s="1466" t="str" cm="1">
        <f t="array" aca="1" ref="G42" ca="1">IF($D42&gt;0,INDIRECT(ADDRESS($D42+15,G$4, 1, 1, "11. Unit Mix")), IF($E42&gt;0,INDIRECT(ADDRESS($E42+103,G$4, 1, 1, "11. Unit Mix")), ""))</f>
        <v/>
      </c>
      <c r="H42" s="1466" t="str" cm="1">
        <f t="array" aca="1" ref="H42" ca="1">IF($D42&gt;0,INDIRECT(ADDRESS($D42+15,H$4, 1, 1, "11. Unit Mix")), IF($E42&gt;0,INDIRECT(ADDRESS($E42+103,H$4, 1, 1, "11. Unit Mix")), ""))</f>
        <v/>
      </c>
      <c r="I42" s="1467" t="str" cm="1">
        <f t="array" aca="1" ref="I42" ca="1">IF($D42&gt;0,INDIRECT(ADDRESS($D42+15,I$4, 1, 1, "11. Unit Mix")), "")</f>
        <v/>
      </c>
      <c r="J42" s="1466" t="str" cm="1">
        <f t="array" aca="1" ref="J42" ca="1">IF($D42&gt;0,INDIRECT(ADDRESS($D42+15,J$4, 1, 1, "11. Unit Mix")), IF($E42&gt;0,INDIRECT(ADDRESS($E42+103,I$4, 1, 1, "11. Unit Mix")), ""))</f>
        <v/>
      </c>
      <c r="K42" s="1466" t="str" cm="1">
        <f t="array" aca="1" ref="K42" ca="1">IF($D42&gt;0,INDIRECT(ADDRESS($D42+15,K$4, 1, 1, "11. Unit Mix")), IF($E42&gt;0,INDIRECT(ADDRESS($E42+103,K$4, 1, 1, "11. Unit Mix")), ""))</f>
        <v/>
      </c>
    </row>
    <row r="43" spans="1:11">
      <c r="A43">
        <f t="shared" si="1"/>
        <v>39</v>
      </c>
      <c r="B43">
        <f t="shared" si="2"/>
        <v>0</v>
      </c>
      <c r="C43">
        <f t="shared" si="3"/>
        <v>0</v>
      </c>
      <c r="D43">
        <f t="shared" si="4"/>
        <v>0</v>
      </c>
      <c r="E43">
        <f t="shared" si="5"/>
        <v>0</v>
      </c>
      <c r="F43" s="1466" t="str" cm="1">
        <f t="array" aca="1" ref="F43" ca="1">IF($D43&gt;0,INDIRECT(ADDRESS($D43+15,F$4, 1, 1, "11. Unit Mix")), IF($E43&gt;0,INDIRECT(ADDRESS($E43+103,F$4, 1, 1, "11. Unit Mix")), ""))</f>
        <v/>
      </c>
      <c r="G43" s="1466" t="str" cm="1">
        <f t="array" aca="1" ref="G43" ca="1">IF($D43&gt;0,INDIRECT(ADDRESS($D43+15,G$4, 1, 1, "11. Unit Mix")), IF($E43&gt;0,INDIRECT(ADDRESS($E43+103,G$4, 1, 1, "11. Unit Mix")), ""))</f>
        <v/>
      </c>
      <c r="H43" s="1466" t="str" cm="1">
        <f t="array" aca="1" ref="H43" ca="1">IF($D43&gt;0,INDIRECT(ADDRESS($D43+15,H$4, 1, 1, "11. Unit Mix")), IF($E43&gt;0,INDIRECT(ADDRESS($E43+103,H$4, 1, 1, "11. Unit Mix")), ""))</f>
        <v/>
      </c>
      <c r="I43" s="1467" t="str" cm="1">
        <f t="array" aca="1" ref="I43" ca="1">IF($D43&gt;0,INDIRECT(ADDRESS($D43+15,I$4, 1, 1, "11. Unit Mix")), "")</f>
        <v/>
      </c>
      <c r="J43" s="1466" t="str" cm="1">
        <f t="array" aca="1" ref="J43" ca="1">IF($D43&gt;0,INDIRECT(ADDRESS($D43+15,J$4, 1, 1, "11. Unit Mix")), IF($E43&gt;0,INDIRECT(ADDRESS($E43+103,I$4, 1, 1, "11. Unit Mix")), ""))</f>
        <v/>
      </c>
      <c r="K43" s="1466" t="str" cm="1">
        <f t="array" aca="1" ref="K43" ca="1">IF($D43&gt;0,INDIRECT(ADDRESS($D43+15,K$4, 1, 1, "11. Unit Mix")), IF($E43&gt;0,INDIRECT(ADDRESS($E43+103,K$4, 1, 1, "11. Unit Mix")), ""))</f>
        <v/>
      </c>
    </row>
    <row r="44" spans="1:11">
      <c r="A44">
        <f t="shared" si="1"/>
        <v>40</v>
      </c>
      <c r="B44">
        <f t="shared" si="2"/>
        <v>0</v>
      </c>
      <c r="C44">
        <f t="shared" si="3"/>
        <v>0</v>
      </c>
      <c r="D44">
        <f t="shared" si="4"/>
        <v>0</v>
      </c>
      <c r="E44">
        <f t="shared" si="5"/>
        <v>0</v>
      </c>
      <c r="F44" s="1466" t="str" cm="1">
        <f t="array" aca="1" ref="F44" ca="1">IF($D44&gt;0,INDIRECT(ADDRESS($D44+15,F$4, 1, 1, "11. Unit Mix")), IF($E44&gt;0,INDIRECT(ADDRESS($E44+103,F$4, 1, 1, "11. Unit Mix")), ""))</f>
        <v/>
      </c>
      <c r="G44" s="1466" t="str" cm="1">
        <f t="array" aca="1" ref="G44" ca="1">IF($D44&gt;0,INDIRECT(ADDRESS($D44+15,G$4, 1, 1, "11. Unit Mix")), IF($E44&gt;0,INDIRECT(ADDRESS($E44+103,G$4, 1, 1, "11. Unit Mix")), ""))</f>
        <v/>
      </c>
      <c r="H44" s="1466" t="str" cm="1">
        <f t="array" aca="1" ref="H44" ca="1">IF($D44&gt;0,INDIRECT(ADDRESS($D44+15,H$4, 1, 1, "11. Unit Mix")), IF($E44&gt;0,INDIRECT(ADDRESS($E44+103,H$4, 1, 1, "11. Unit Mix")), ""))</f>
        <v/>
      </c>
      <c r="I44" s="1467" t="str" cm="1">
        <f t="array" aca="1" ref="I44" ca="1">IF($D44&gt;0,INDIRECT(ADDRESS($D44+15,I$4, 1, 1, "11. Unit Mix")), "")</f>
        <v/>
      </c>
      <c r="J44" s="1466" t="str" cm="1">
        <f t="array" aca="1" ref="J44" ca="1">IF($D44&gt;0,INDIRECT(ADDRESS($D44+15,J$4, 1, 1, "11. Unit Mix")), IF($E44&gt;0,INDIRECT(ADDRESS($E44+103,I$4, 1, 1, "11. Unit Mix")), ""))</f>
        <v/>
      </c>
      <c r="K44" s="1466" t="str" cm="1">
        <f t="array" aca="1" ref="K44" ca="1">IF($D44&gt;0,INDIRECT(ADDRESS($D44+15,K$4, 1, 1, "11. Unit Mix")), IF($E44&gt;0,INDIRECT(ADDRESS($E44+103,K$4, 1, 1, "11. Unit Mix")), ""))</f>
        <v/>
      </c>
    </row>
    <row r="45" spans="1:11">
      <c r="A45">
        <f t="shared" si="1"/>
        <v>41</v>
      </c>
      <c r="B45">
        <f t="shared" si="2"/>
        <v>0</v>
      </c>
      <c r="C45">
        <f t="shared" si="3"/>
        <v>0</v>
      </c>
      <c r="D45">
        <f t="shared" si="4"/>
        <v>0</v>
      </c>
      <c r="E45">
        <f t="shared" si="5"/>
        <v>0</v>
      </c>
      <c r="F45" s="1466" t="str" cm="1">
        <f t="array" aca="1" ref="F45" ca="1">IF($D45&gt;0,INDIRECT(ADDRESS($D45+15,F$4, 1, 1, "11. Unit Mix")), IF($E45&gt;0,INDIRECT(ADDRESS($E45+103,F$4, 1, 1, "11. Unit Mix")), ""))</f>
        <v/>
      </c>
      <c r="G45" s="1466" t="str" cm="1">
        <f t="array" aca="1" ref="G45" ca="1">IF($D45&gt;0,INDIRECT(ADDRESS($D45+15,G$4, 1, 1, "11. Unit Mix")), IF($E45&gt;0,INDIRECT(ADDRESS($E45+103,G$4, 1, 1, "11. Unit Mix")), ""))</f>
        <v/>
      </c>
      <c r="H45" s="1466" t="str" cm="1">
        <f t="array" aca="1" ref="H45" ca="1">IF($D45&gt;0,INDIRECT(ADDRESS($D45+15,H$4, 1, 1, "11. Unit Mix")), IF($E45&gt;0,INDIRECT(ADDRESS($E45+103,H$4, 1, 1, "11. Unit Mix")), ""))</f>
        <v/>
      </c>
      <c r="I45" s="1467" t="str" cm="1">
        <f t="array" aca="1" ref="I45" ca="1">IF($D45&gt;0,INDIRECT(ADDRESS($D45+15,I$4, 1, 1, "11. Unit Mix")), "")</f>
        <v/>
      </c>
      <c r="J45" s="1466" t="str" cm="1">
        <f t="array" aca="1" ref="J45" ca="1">IF($D45&gt;0,INDIRECT(ADDRESS($D45+15,J$4, 1, 1, "11. Unit Mix")), IF($E45&gt;0,INDIRECT(ADDRESS($E45+103,I$4, 1, 1, "11. Unit Mix")), ""))</f>
        <v/>
      </c>
      <c r="K45" s="1466" t="str" cm="1">
        <f t="array" aca="1" ref="K45" ca="1">IF($D45&gt;0,INDIRECT(ADDRESS($D45+15,K$4, 1, 1, "11. Unit Mix")), IF($E45&gt;0,INDIRECT(ADDRESS($E45+103,K$4, 1, 1, "11. Unit Mix")), ""))</f>
        <v/>
      </c>
    </row>
    <row r="46" spans="1:11">
      <c r="A46">
        <f t="shared" si="1"/>
        <v>42</v>
      </c>
      <c r="B46">
        <f t="shared" si="2"/>
        <v>0</v>
      </c>
      <c r="C46">
        <f t="shared" si="3"/>
        <v>0</v>
      </c>
      <c r="D46">
        <f t="shared" si="4"/>
        <v>0</v>
      </c>
      <c r="E46">
        <f t="shared" si="5"/>
        <v>0</v>
      </c>
      <c r="F46" s="1466" t="str" cm="1">
        <f t="array" aca="1" ref="F46" ca="1">IF($D46&gt;0,INDIRECT(ADDRESS($D46+15,F$4, 1, 1, "11. Unit Mix")), IF($E46&gt;0,INDIRECT(ADDRESS($E46+103,F$4, 1, 1, "11. Unit Mix")), ""))</f>
        <v/>
      </c>
      <c r="G46" s="1466" t="str" cm="1">
        <f t="array" aca="1" ref="G46" ca="1">IF($D46&gt;0,INDIRECT(ADDRESS($D46+15,G$4, 1, 1, "11. Unit Mix")), IF($E46&gt;0,INDIRECT(ADDRESS($E46+103,G$4, 1, 1, "11. Unit Mix")), ""))</f>
        <v/>
      </c>
      <c r="H46" s="1466" t="str" cm="1">
        <f t="array" aca="1" ref="H46" ca="1">IF($D46&gt;0,INDIRECT(ADDRESS($D46+15,H$4, 1, 1, "11. Unit Mix")), IF($E46&gt;0,INDIRECT(ADDRESS($E46+103,H$4, 1, 1, "11. Unit Mix")), ""))</f>
        <v/>
      </c>
      <c r="I46" s="1467" t="str" cm="1">
        <f t="array" aca="1" ref="I46" ca="1">IF($D46&gt;0,INDIRECT(ADDRESS($D46+15,I$4, 1, 1, "11. Unit Mix")), "")</f>
        <v/>
      </c>
      <c r="J46" s="1466" t="str" cm="1">
        <f t="array" aca="1" ref="J46" ca="1">IF($D46&gt;0,INDIRECT(ADDRESS($D46+15,J$4, 1, 1, "11. Unit Mix")), IF($E46&gt;0,INDIRECT(ADDRESS($E46+103,I$4, 1, 1, "11. Unit Mix")), ""))</f>
        <v/>
      </c>
      <c r="K46" s="1466" t="str" cm="1">
        <f t="array" aca="1" ref="K46" ca="1">IF($D46&gt;0,INDIRECT(ADDRESS($D46+15,K$4, 1, 1, "11. Unit Mix")), IF($E46&gt;0,INDIRECT(ADDRESS($E46+103,K$4, 1, 1, "11. Unit Mix")), ""))</f>
        <v/>
      </c>
    </row>
    <row r="47" spans="1:11">
      <c r="A47">
        <f t="shared" si="1"/>
        <v>43</v>
      </c>
      <c r="B47">
        <f t="shared" si="2"/>
        <v>0</v>
      </c>
      <c r="C47">
        <f t="shared" si="3"/>
        <v>0</v>
      </c>
      <c r="D47">
        <f t="shared" si="4"/>
        <v>0</v>
      </c>
      <c r="E47">
        <f t="shared" si="5"/>
        <v>0</v>
      </c>
      <c r="F47" s="1466" t="str" cm="1">
        <f t="array" aca="1" ref="F47" ca="1">IF($D47&gt;0,INDIRECT(ADDRESS($D47+15,F$4, 1, 1, "11. Unit Mix")), IF($E47&gt;0,INDIRECT(ADDRESS($E47+103,F$4, 1, 1, "11. Unit Mix")), ""))</f>
        <v/>
      </c>
      <c r="G47" s="1466" t="str" cm="1">
        <f t="array" aca="1" ref="G47" ca="1">IF($D47&gt;0,INDIRECT(ADDRESS($D47+15,G$4, 1, 1, "11. Unit Mix")), IF($E47&gt;0,INDIRECT(ADDRESS($E47+103,G$4, 1, 1, "11. Unit Mix")), ""))</f>
        <v/>
      </c>
      <c r="H47" s="1466" t="str" cm="1">
        <f t="array" aca="1" ref="H47" ca="1">IF($D47&gt;0,INDIRECT(ADDRESS($D47+15,H$4, 1, 1, "11. Unit Mix")), IF($E47&gt;0,INDIRECT(ADDRESS($E47+103,H$4, 1, 1, "11. Unit Mix")), ""))</f>
        <v/>
      </c>
      <c r="I47" s="1467" t="str" cm="1">
        <f t="array" aca="1" ref="I47" ca="1">IF($D47&gt;0,INDIRECT(ADDRESS($D47+15,I$4, 1, 1, "11. Unit Mix")), "")</f>
        <v/>
      </c>
      <c r="J47" s="1466" t="str" cm="1">
        <f t="array" aca="1" ref="J47" ca="1">IF($D47&gt;0,INDIRECT(ADDRESS($D47+15,J$4, 1, 1, "11. Unit Mix")), IF($E47&gt;0,INDIRECT(ADDRESS($E47+103,I$4, 1, 1, "11. Unit Mix")), ""))</f>
        <v/>
      </c>
      <c r="K47" s="1466" t="str" cm="1">
        <f t="array" aca="1" ref="K47" ca="1">IF($D47&gt;0,INDIRECT(ADDRESS($D47+15,K$4, 1, 1, "11. Unit Mix")), IF($E47&gt;0,INDIRECT(ADDRESS($E47+103,K$4, 1, 1, "11. Unit Mix")), ""))</f>
        <v/>
      </c>
    </row>
    <row r="48" spans="1:11">
      <c r="A48">
        <f t="shared" si="1"/>
        <v>44</v>
      </c>
      <c r="B48">
        <f t="shared" si="2"/>
        <v>0</v>
      </c>
      <c r="C48">
        <f t="shared" si="3"/>
        <v>0</v>
      </c>
      <c r="D48">
        <f t="shared" si="4"/>
        <v>0</v>
      </c>
      <c r="E48">
        <f t="shared" si="5"/>
        <v>0</v>
      </c>
      <c r="F48" s="1466" t="str" cm="1">
        <f t="array" aca="1" ref="F48" ca="1">IF($D48&gt;0,INDIRECT(ADDRESS($D48+15,F$4, 1, 1, "11. Unit Mix")), IF($E48&gt;0,INDIRECT(ADDRESS($E48+103,F$4, 1, 1, "11. Unit Mix")), ""))</f>
        <v/>
      </c>
      <c r="G48" s="1466" t="str" cm="1">
        <f t="array" aca="1" ref="G48" ca="1">IF($D48&gt;0,INDIRECT(ADDRESS($D48+15,G$4, 1, 1, "11. Unit Mix")), IF($E48&gt;0,INDIRECT(ADDRESS($E48+103,G$4, 1, 1, "11. Unit Mix")), ""))</f>
        <v/>
      </c>
      <c r="H48" s="1466" t="str" cm="1">
        <f t="array" aca="1" ref="H48" ca="1">IF($D48&gt;0,INDIRECT(ADDRESS($D48+15,H$4, 1, 1, "11. Unit Mix")), IF($E48&gt;0,INDIRECT(ADDRESS($E48+103,H$4, 1, 1, "11. Unit Mix")), ""))</f>
        <v/>
      </c>
      <c r="I48" s="1467" t="str" cm="1">
        <f t="array" aca="1" ref="I48" ca="1">IF($D48&gt;0,INDIRECT(ADDRESS($D48+15,I$4, 1, 1, "11. Unit Mix")), "")</f>
        <v/>
      </c>
      <c r="J48" s="1466" t="str" cm="1">
        <f t="array" aca="1" ref="J48" ca="1">IF($D48&gt;0,INDIRECT(ADDRESS($D48+15,J$4, 1, 1, "11. Unit Mix")), IF($E48&gt;0,INDIRECT(ADDRESS($E48+103,I$4, 1, 1, "11. Unit Mix")), ""))</f>
        <v/>
      </c>
      <c r="K48" s="1466" t="str" cm="1">
        <f t="array" aca="1" ref="K48" ca="1">IF($D48&gt;0,INDIRECT(ADDRESS($D48+15,K$4, 1, 1, "11. Unit Mix")), IF($E48&gt;0,INDIRECT(ADDRESS($E48+103,K$4, 1, 1, "11. Unit Mix")), ""))</f>
        <v/>
      </c>
    </row>
    <row r="49" spans="1:11">
      <c r="A49">
        <f t="shared" si="1"/>
        <v>45</v>
      </c>
      <c r="B49">
        <f t="shared" si="2"/>
        <v>0</v>
      </c>
      <c r="C49">
        <f t="shared" si="3"/>
        <v>0</v>
      </c>
      <c r="D49">
        <f t="shared" si="4"/>
        <v>0</v>
      </c>
      <c r="E49">
        <f t="shared" si="5"/>
        <v>0</v>
      </c>
      <c r="F49" s="1466" t="str" cm="1">
        <f t="array" aca="1" ref="F49" ca="1">IF($D49&gt;0,INDIRECT(ADDRESS($D49+15,F$4, 1, 1, "11. Unit Mix")), IF($E49&gt;0,INDIRECT(ADDRESS($E49+103,F$4, 1, 1, "11. Unit Mix")), ""))</f>
        <v/>
      </c>
      <c r="G49" s="1466" t="str" cm="1">
        <f t="array" aca="1" ref="G49" ca="1">IF($D49&gt;0,INDIRECT(ADDRESS($D49+15,G$4, 1, 1, "11. Unit Mix")), IF($E49&gt;0,INDIRECT(ADDRESS($E49+103,G$4, 1, 1, "11. Unit Mix")), ""))</f>
        <v/>
      </c>
      <c r="H49" s="1466" t="str" cm="1">
        <f t="array" aca="1" ref="H49" ca="1">IF($D49&gt;0,INDIRECT(ADDRESS($D49+15,H$4, 1, 1, "11. Unit Mix")), IF($E49&gt;0,INDIRECT(ADDRESS($E49+103,H$4, 1, 1, "11. Unit Mix")), ""))</f>
        <v/>
      </c>
      <c r="I49" s="1467" t="str" cm="1">
        <f t="array" aca="1" ref="I49" ca="1">IF($D49&gt;0,INDIRECT(ADDRESS($D49+15,I$4, 1, 1, "11. Unit Mix")), "")</f>
        <v/>
      </c>
      <c r="J49" s="1466" t="str" cm="1">
        <f t="array" aca="1" ref="J49" ca="1">IF($D49&gt;0,INDIRECT(ADDRESS($D49+15,J$4, 1, 1, "11. Unit Mix")), IF($E49&gt;0,INDIRECT(ADDRESS($E49+103,I$4, 1, 1, "11. Unit Mix")), ""))</f>
        <v/>
      </c>
      <c r="K49" s="1466" t="str" cm="1">
        <f t="array" aca="1" ref="K49" ca="1">IF($D49&gt;0,INDIRECT(ADDRESS($D49+15,K$4, 1, 1, "11. Unit Mix")), IF($E49&gt;0,INDIRECT(ADDRESS($E49+103,K$4, 1, 1, "11. Unit Mix")), ""))</f>
        <v/>
      </c>
    </row>
    <row r="50" spans="1:11">
      <c r="A50">
        <f t="shared" si="1"/>
        <v>46</v>
      </c>
      <c r="B50">
        <f t="shared" si="2"/>
        <v>0</v>
      </c>
      <c r="C50">
        <f t="shared" si="3"/>
        <v>0</v>
      </c>
      <c r="D50">
        <f t="shared" si="4"/>
        <v>0</v>
      </c>
      <c r="E50">
        <f t="shared" si="5"/>
        <v>0</v>
      </c>
      <c r="F50" s="1466" t="str" cm="1">
        <f t="array" aca="1" ref="F50" ca="1">IF($D50&gt;0,INDIRECT(ADDRESS($D50+15,F$4, 1, 1, "11. Unit Mix")), IF($E50&gt;0,INDIRECT(ADDRESS($E50+103,F$4, 1, 1, "11. Unit Mix")), ""))</f>
        <v/>
      </c>
      <c r="G50" s="1466" t="str" cm="1">
        <f t="array" aca="1" ref="G50" ca="1">IF($D50&gt;0,INDIRECT(ADDRESS($D50+15,G$4, 1, 1, "11. Unit Mix")), IF($E50&gt;0,INDIRECT(ADDRESS($E50+103,G$4, 1, 1, "11. Unit Mix")), ""))</f>
        <v/>
      </c>
      <c r="H50" s="1466" t="str" cm="1">
        <f t="array" aca="1" ref="H50" ca="1">IF($D50&gt;0,INDIRECT(ADDRESS($D50+15,H$4, 1, 1, "11. Unit Mix")), IF($E50&gt;0,INDIRECT(ADDRESS($E50+103,H$4, 1, 1, "11. Unit Mix")), ""))</f>
        <v/>
      </c>
      <c r="I50" s="1467" t="str" cm="1">
        <f t="array" aca="1" ref="I50" ca="1">IF($D50&gt;0,INDIRECT(ADDRESS($D50+15,I$4, 1, 1, "11. Unit Mix")), "")</f>
        <v/>
      </c>
      <c r="J50" s="1466" t="str" cm="1">
        <f t="array" aca="1" ref="J50" ca="1">IF($D50&gt;0,INDIRECT(ADDRESS($D50+15,J$4, 1, 1, "11. Unit Mix")), IF($E50&gt;0,INDIRECT(ADDRESS($E50+103,I$4, 1, 1, "11. Unit Mix")), ""))</f>
        <v/>
      </c>
      <c r="K50" s="1466" t="str" cm="1">
        <f t="array" aca="1" ref="K50" ca="1">IF($D50&gt;0,INDIRECT(ADDRESS($D50+15,K$4, 1, 1, "11. Unit Mix")), IF($E50&gt;0,INDIRECT(ADDRESS($E50+103,K$4, 1, 1, "11. Unit Mix")), ""))</f>
        <v/>
      </c>
    </row>
    <row r="51" spans="1:11">
      <c r="A51">
        <f t="shared" si="1"/>
        <v>47</v>
      </c>
      <c r="B51">
        <f t="shared" si="2"/>
        <v>0</v>
      </c>
      <c r="C51">
        <f t="shared" si="3"/>
        <v>0</v>
      </c>
      <c r="D51">
        <f t="shared" si="4"/>
        <v>0</v>
      </c>
      <c r="E51">
        <f t="shared" si="5"/>
        <v>0</v>
      </c>
      <c r="F51" s="1466" t="str" cm="1">
        <f t="array" aca="1" ref="F51" ca="1">IF($D51&gt;0,INDIRECT(ADDRESS($D51+15,F$4, 1, 1, "11. Unit Mix")), IF($E51&gt;0,INDIRECT(ADDRESS($E51+103,F$4, 1, 1, "11. Unit Mix")), ""))</f>
        <v/>
      </c>
      <c r="G51" s="1466" t="str" cm="1">
        <f t="array" aca="1" ref="G51" ca="1">IF($D51&gt;0,INDIRECT(ADDRESS($D51+15,G$4, 1, 1, "11. Unit Mix")), IF($E51&gt;0,INDIRECT(ADDRESS($E51+103,G$4, 1, 1, "11. Unit Mix")), ""))</f>
        <v/>
      </c>
      <c r="H51" s="1466" t="str" cm="1">
        <f t="array" aca="1" ref="H51" ca="1">IF($D51&gt;0,INDIRECT(ADDRESS($D51+15,H$4, 1, 1, "11. Unit Mix")), IF($E51&gt;0,INDIRECT(ADDRESS($E51+103,H$4, 1, 1, "11. Unit Mix")), ""))</f>
        <v/>
      </c>
      <c r="I51" s="1467" t="str" cm="1">
        <f t="array" aca="1" ref="I51" ca="1">IF($D51&gt;0,INDIRECT(ADDRESS($D51+15,I$4, 1, 1, "11. Unit Mix")), "")</f>
        <v/>
      </c>
      <c r="J51" s="1466" t="str" cm="1">
        <f t="array" aca="1" ref="J51" ca="1">IF($D51&gt;0,INDIRECT(ADDRESS($D51+15,J$4, 1, 1, "11. Unit Mix")), IF($E51&gt;0,INDIRECT(ADDRESS($E51+103,I$4, 1, 1, "11. Unit Mix")), ""))</f>
        <v/>
      </c>
      <c r="K51" s="1466" t="str" cm="1">
        <f t="array" aca="1" ref="K51" ca="1">IF($D51&gt;0,INDIRECT(ADDRESS($D51+15,K$4, 1, 1, "11. Unit Mix")), IF($E51&gt;0,INDIRECT(ADDRESS($E51+103,K$4, 1, 1, "11. Unit Mix")), ""))</f>
        <v/>
      </c>
    </row>
    <row r="52" spans="1:11">
      <c r="A52">
        <f t="shared" si="1"/>
        <v>48</v>
      </c>
      <c r="B52">
        <f t="shared" si="2"/>
        <v>0</v>
      </c>
      <c r="C52">
        <f t="shared" si="3"/>
        <v>0</v>
      </c>
      <c r="D52">
        <f t="shared" si="4"/>
        <v>0</v>
      </c>
      <c r="E52">
        <f t="shared" si="5"/>
        <v>0</v>
      </c>
      <c r="F52" s="1466" t="str" cm="1">
        <f t="array" aca="1" ref="F52" ca="1">IF($D52&gt;0,INDIRECT(ADDRESS($D52+15,F$4, 1, 1, "11. Unit Mix")), IF($E52&gt;0,INDIRECT(ADDRESS($E52+103,F$4, 1, 1, "11. Unit Mix")), ""))</f>
        <v/>
      </c>
      <c r="G52" s="1466" t="str" cm="1">
        <f t="array" aca="1" ref="G52" ca="1">IF($D52&gt;0,INDIRECT(ADDRESS($D52+15,G$4, 1, 1, "11. Unit Mix")), IF($E52&gt;0,INDIRECT(ADDRESS($E52+103,G$4, 1, 1, "11. Unit Mix")), ""))</f>
        <v/>
      </c>
      <c r="H52" s="1466" t="str" cm="1">
        <f t="array" aca="1" ref="H52" ca="1">IF($D52&gt;0,INDIRECT(ADDRESS($D52+15,H$4, 1, 1, "11. Unit Mix")), IF($E52&gt;0,INDIRECT(ADDRESS($E52+103,H$4, 1, 1, "11. Unit Mix")), ""))</f>
        <v/>
      </c>
      <c r="I52" s="1467" t="str" cm="1">
        <f t="array" aca="1" ref="I52" ca="1">IF($D52&gt;0,INDIRECT(ADDRESS($D52+15,I$4, 1, 1, "11. Unit Mix")), "")</f>
        <v/>
      </c>
      <c r="J52" s="1466" t="str" cm="1">
        <f t="array" aca="1" ref="J52" ca="1">IF($D52&gt;0,INDIRECT(ADDRESS($D52+15,J$4, 1, 1, "11. Unit Mix")), IF($E52&gt;0,INDIRECT(ADDRESS($E52+103,I$4, 1, 1, "11. Unit Mix")), ""))</f>
        <v/>
      </c>
      <c r="K52" s="1466" t="str" cm="1">
        <f t="array" aca="1" ref="K52" ca="1">IF($D52&gt;0,INDIRECT(ADDRESS($D52+15,K$4, 1, 1, "11. Unit Mix")), IF($E52&gt;0,INDIRECT(ADDRESS($E52+103,K$4, 1, 1, "11. Unit Mix")), ""))</f>
        <v/>
      </c>
    </row>
    <row r="53" spans="1:11">
      <c r="A53">
        <f t="shared" si="1"/>
        <v>49</v>
      </c>
      <c r="B53">
        <f t="shared" si="2"/>
        <v>0</v>
      </c>
      <c r="C53">
        <f t="shared" si="3"/>
        <v>0</v>
      </c>
      <c r="D53">
        <f t="shared" si="4"/>
        <v>0</v>
      </c>
      <c r="E53">
        <f t="shared" si="5"/>
        <v>0</v>
      </c>
      <c r="F53" s="1466" t="str" cm="1">
        <f t="array" aca="1" ref="F53" ca="1">IF($D53&gt;0,INDIRECT(ADDRESS($D53+15,F$4, 1, 1, "11. Unit Mix")), IF($E53&gt;0,INDIRECT(ADDRESS($E53+103,F$4, 1, 1, "11. Unit Mix")), ""))</f>
        <v/>
      </c>
      <c r="G53" s="1466" t="str" cm="1">
        <f t="array" aca="1" ref="G53" ca="1">IF($D53&gt;0,INDIRECT(ADDRESS($D53+15,G$4, 1, 1, "11. Unit Mix")), IF($E53&gt;0,INDIRECT(ADDRESS($E53+103,G$4, 1, 1, "11. Unit Mix")), ""))</f>
        <v/>
      </c>
      <c r="H53" s="1466" t="str" cm="1">
        <f t="array" aca="1" ref="H53" ca="1">IF($D53&gt;0,INDIRECT(ADDRESS($D53+15,H$4, 1, 1, "11. Unit Mix")), IF($E53&gt;0,INDIRECT(ADDRESS($E53+103,H$4, 1, 1, "11. Unit Mix")), ""))</f>
        <v/>
      </c>
      <c r="I53" s="1467" t="str" cm="1">
        <f t="array" aca="1" ref="I53" ca="1">IF($D53&gt;0,INDIRECT(ADDRESS($D53+15,I$4, 1, 1, "11. Unit Mix")), "")</f>
        <v/>
      </c>
      <c r="J53" s="1466" t="str" cm="1">
        <f t="array" aca="1" ref="J53" ca="1">IF($D53&gt;0,INDIRECT(ADDRESS($D53+15,J$4, 1, 1, "11. Unit Mix")), IF($E53&gt;0,INDIRECT(ADDRESS($E53+103,I$4, 1, 1, "11. Unit Mix")), ""))</f>
        <v/>
      </c>
      <c r="K53" s="1466" t="str" cm="1">
        <f t="array" aca="1" ref="K53" ca="1">IF($D53&gt;0,INDIRECT(ADDRESS($D53+15,K$4, 1, 1, "11. Unit Mix")), IF($E53&gt;0,INDIRECT(ADDRESS($E53+103,K$4, 1, 1, "11. Unit Mix")), ""))</f>
        <v/>
      </c>
    </row>
    <row r="54" spans="1:11">
      <c r="A54">
        <f t="shared" si="1"/>
        <v>50</v>
      </c>
      <c r="B54">
        <f t="shared" si="2"/>
        <v>0</v>
      </c>
      <c r="C54">
        <f t="shared" si="3"/>
        <v>0</v>
      </c>
      <c r="D54">
        <f t="shared" si="4"/>
        <v>0</v>
      </c>
      <c r="E54">
        <f t="shared" si="5"/>
        <v>0</v>
      </c>
      <c r="F54" s="1466" t="str" cm="1">
        <f t="array" aca="1" ref="F54" ca="1">IF($D54&gt;0,INDIRECT(ADDRESS($D54+15,F$4, 1, 1, "11. Unit Mix")), IF($E54&gt;0,INDIRECT(ADDRESS($E54+103,F$4, 1, 1, "11. Unit Mix")), ""))</f>
        <v/>
      </c>
      <c r="G54" s="1466" t="str" cm="1">
        <f t="array" aca="1" ref="G54" ca="1">IF($D54&gt;0,INDIRECT(ADDRESS($D54+15,G$4, 1, 1, "11. Unit Mix")), IF($E54&gt;0,INDIRECT(ADDRESS($E54+103,G$4, 1, 1, "11. Unit Mix")), ""))</f>
        <v/>
      </c>
      <c r="H54" s="1466" t="str" cm="1">
        <f t="array" aca="1" ref="H54" ca="1">IF($D54&gt;0,INDIRECT(ADDRESS($D54+15,H$4, 1, 1, "11. Unit Mix")), IF($E54&gt;0,INDIRECT(ADDRESS($E54+103,H$4, 1, 1, "11. Unit Mix")), ""))</f>
        <v/>
      </c>
      <c r="I54" s="1467" t="str" cm="1">
        <f t="array" aca="1" ref="I54" ca="1">IF($D54&gt;0,INDIRECT(ADDRESS($D54+15,I$4, 1, 1, "11. Unit Mix")), "")</f>
        <v/>
      </c>
      <c r="J54" s="1466" t="str" cm="1">
        <f t="array" aca="1" ref="J54" ca="1">IF($D54&gt;0,INDIRECT(ADDRESS($D54+15,J$4, 1, 1, "11. Unit Mix")), IF($E54&gt;0,INDIRECT(ADDRESS($E54+103,I$4, 1, 1, "11. Unit Mix")), ""))</f>
        <v/>
      </c>
      <c r="K54" s="1466" t="str" cm="1">
        <f t="array" aca="1" ref="K54" ca="1">IF($D54&gt;0,INDIRECT(ADDRESS($D54+15,K$4, 1, 1, "11. Unit Mix")), IF($E54&gt;0,INDIRECT(ADDRESS($E54+103,K$4, 1, 1, "11. Unit Mix")), ""))</f>
        <v/>
      </c>
    </row>
    <row r="55" spans="1:11">
      <c r="A55">
        <f t="shared" si="1"/>
        <v>51</v>
      </c>
      <c r="B55">
        <f t="shared" si="2"/>
        <v>0</v>
      </c>
      <c r="C55">
        <f t="shared" si="3"/>
        <v>0</v>
      </c>
      <c r="D55">
        <f t="shared" si="4"/>
        <v>0</v>
      </c>
      <c r="E55">
        <f t="shared" si="5"/>
        <v>0</v>
      </c>
      <c r="F55" s="1466" t="str" cm="1">
        <f t="array" aca="1" ref="F55" ca="1">IF($D55&gt;0,INDIRECT(ADDRESS($D55+15,F$4, 1, 1, "11. Unit Mix")), IF($E55&gt;0,INDIRECT(ADDRESS($E55+103,F$4, 1, 1, "11. Unit Mix")), ""))</f>
        <v/>
      </c>
      <c r="G55" s="1466" t="str" cm="1">
        <f t="array" aca="1" ref="G55" ca="1">IF($D55&gt;0,INDIRECT(ADDRESS($D55+15,G$4, 1, 1, "11. Unit Mix")), IF($E55&gt;0,INDIRECT(ADDRESS($E55+103,G$4, 1, 1, "11. Unit Mix")), ""))</f>
        <v/>
      </c>
      <c r="H55" s="1466" t="str" cm="1">
        <f t="array" aca="1" ref="H55" ca="1">IF($D55&gt;0,INDIRECT(ADDRESS($D55+15,H$4, 1, 1, "11. Unit Mix")), IF($E55&gt;0,INDIRECT(ADDRESS($E55+103,H$4, 1, 1, "11. Unit Mix")), ""))</f>
        <v/>
      </c>
      <c r="I55" s="1467" t="str" cm="1">
        <f t="array" aca="1" ref="I55" ca="1">IF($D55&gt;0,INDIRECT(ADDRESS($D55+15,I$4, 1, 1, "11. Unit Mix")), "")</f>
        <v/>
      </c>
      <c r="J55" s="1466" t="str" cm="1">
        <f t="array" aca="1" ref="J55" ca="1">IF($D55&gt;0,INDIRECT(ADDRESS($D55+15,J$4, 1, 1, "11. Unit Mix")), IF($E55&gt;0,INDIRECT(ADDRESS($E55+103,I$4, 1, 1, "11. Unit Mix")), ""))</f>
        <v/>
      </c>
      <c r="K55" s="1466" t="str" cm="1">
        <f t="array" aca="1" ref="K55" ca="1">IF($D55&gt;0,INDIRECT(ADDRESS($D55+15,K$4, 1, 1, "11. Unit Mix")), IF($E55&gt;0,INDIRECT(ADDRESS($E55+103,K$4, 1, 1, "11. Unit Mix")), ""))</f>
        <v/>
      </c>
    </row>
    <row r="56" spans="1:11">
      <c r="A56">
        <f t="shared" si="1"/>
        <v>52</v>
      </c>
      <c r="B56">
        <f t="shared" si="2"/>
        <v>0</v>
      </c>
      <c r="C56">
        <f t="shared" si="3"/>
        <v>0</v>
      </c>
      <c r="D56">
        <f t="shared" si="4"/>
        <v>0</v>
      </c>
      <c r="E56">
        <f t="shared" si="5"/>
        <v>0</v>
      </c>
      <c r="F56" s="1466" t="str" cm="1">
        <f t="array" aca="1" ref="F56" ca="1">IF($D56&gt;0,INDIRECT(ADDRESS($D56+15,F$4, 1, 1, "11. Unit Mix")), IF($E56&gt;0,INDIRECT(ADDRESS($E56+103,F$4, 1, 1, "11. Unit Mix")), ""))</f>
        <v/>
      </c>
      <c r="G56" s="1466" t="str" cm="1">
        <f t="array" aca="1" ref="G56" ca="1">IF($D56&gt;0,INDIRECT(ADDRESS($D56+15,G$4, 1, 1, "11. Unit Mix")), IF($E56&gt;0,INDIRECT(ADDRESS($E56+103,G$4, 1, 1, "11. Unit Mix")), ""))</f>
        <v/>
      </c>
      <c r="H56" s="1466" t="str" cm="1">
        <f t="array" aca="1" ref="H56" ca="1">IF($D56&gt;0,INDIRECT(ADDRESS($D56+15,H$4, 1, 1, "11. Unit Mix")), IF($E56&gt;0,INDIRECT(ADDRESS($E56+103,H$4, 1, 1, "11. Unit Mix")), ""))</f>
        <v/>
      </c>
      <c r="I56" s="1467" t="str" cm="1">
        <f t="array" aca="1" ref="I56" ca="1">IF($D56&gt;0,INDIRECT(ADDRESS($D56+15,I$4, 1, 1, "11. Unit Mix")), "")</f>
        <v/>
      </c>
      <c r="J56" s="1466" t="str" cm="1">
        <f t="array" aca="1" ref="J56" ca="1">IF($D56&gt;0,INDIRECT(ADDRESS($D56+15,J$4, 1, 1, "11. Unit Mix")), IF($E56&gt;0,INDIRECT(ADDRESS($E56+103,I$4, 1, 1, "11. Unit Mix")), ""))</f>
        <v/>
      </c>
      <c r="K56" s="1466" t="str" cm="1">
        <f t="array" aca="1" ref="K56" ca="1">IF($D56&gt;0,INDIRECT(ADDRESS($D56+15,K$4, 1, 1, "11. Unit Mix")), IF($E56&gt;0,INDIRECT(ADDRESS($E56+103,K$4, 1, 1, "11. Unit Mix")), ""))</f>
        <v/>
      </c>
    </row>
    <row r="57" spans="1:11">
      <c r="A57">
        <f t="shared" si="1"/>
        <v>53</v>
      </c>
      <c r="B57">
        <f t="shared" si="2"/>
        <v>0</v>
      </c>
      <c r="C57">
        <f t="shared" si="3"/>
        <v>0</v>
      </c>
      <c r="D57">
        <f t="shared" si="4"/>
        <v>0</v>
      </c>
      <c r="E57">
        <f t="shared" si="5"/>
        <v>0</v>
      </c>
      <c r="F57" s="1466" t="str" cm="1">
        <f t="array" aca="1" ref="F57" ca="1">IF($D57&gt;0,INDIRECT(ADDRESS($D57+15,F$4, 1, 1, "11. Unit Mix")), IF($E57&gt;0,INDIRECT(ADDRESS($E57+103,F$4, 1, 1, "11. Unit Mix")), ""))</f>
        <v/>
      </c>
      <c r="G57" s="1466" t="str" cm="1">
        <f t="array" aca="1" ref="G57" ca="1">IF($D57&gt;0,INDIRECT(ADDRESS($D57+15,G$4, 1, 1, "11. Unit Mix")), IF($E57&gt;0,INDIRECT(ADDRESS($E57+103,G$4, 1, 1, "11. Unit Mix")), ""))</f>
        <v/>
      </c>
      <c r="H57" s="1466" t="str" cm="1">
        <f t="array" aca="1" ref="H57" ca="1">IF($D57&gt;0,INDIRECT(ADDRESS($D57+15,H$4, 1, 1, "11. Unit Mix")), IF($E57&gt;0,INDIRECT(ADDRESS($E57+103,H$4, 1, 1, "11. Unit Mix")), ""))</f>
        <v/>
      </c>
      <c r="I57" s="1467" t="str" cm="1">
        <f t="array" aca="1" ref="I57" ca="1">IF($D57&gt;0,INDIRECT(ADDRESS($D57+15,I$4, 1, 1, "11. Unit Mix")), "")</f>
        <v/>
      </c>
      <c r="J57" s="1466" t="str" cm="1">
        <f t="array" aca="1" ref="J57" ca="1">IF($D57&gt;0,INDIRECT(ADDRESS($D57+15,J$4, 1, 1, "11. Unit Mix")), IF($E57&gt;0,INDIRECT(ADDRESS($E57+103,I$4, 1, 1, "11. Unit Mix")), ""))</f>
        <v/>
      </c>
      <c r="K57" s="1466" t="str" cm="1">
        <f t="array" aca="1" ref="K57" ca="1">IF($D57&gt;0,INDIRECT(ADDRESS($D57+15,K$4, 1, 1, "11. Unit Mix")), IF($E57&gt;0,INDIRECT(ADDRESS($E57+103,K$4, 1, 1, "11. Unit Mix")), ""))</f>
        <v/>
      </c>
    </row>
    <row r="58" spans="1:11">
      <c r="A58">
        <f t="shared" si="1"/>
        <v>54</v>
      </c>
      <c r="B58">
        <f t="shared" si="2"/>
        <v>0</v>
      </c>
      <c r="C58">
        <f t="shared" si="3"/>
        <v>0</v>
      </c>
      <c r="D58">
        <f t="shared" si="4"/>
        <v>0</v>
      </c>
      <c r="E58">
        <f t="shared" si="5"/>
        <v>0</v>
      </c>
      <c r="F58" s="1466" t="str" cm="1">
        <f t="array" aca="1" ref="F58" ca="1">IF($D58&gt;0,INDIRECT(ADDRESS($D58+15,F$4, 1, 1, "11. Unit Mix")), IF($E58&gt;0,INDIRECT(ADDRESS($E58+103,F$4, 1, 1, "11. Unit Mix")), ""))</f>
        <v/>
      </c>
      <c r="G58" s="1466" t="str" cm="1">
        <f t="array" aca="1" ref="G58" ca="1">IF($D58&gt;0,INDIRECT(ADDRESS($D58+15,G$4, 1, 1, "11. Unit Mix")), IF($E58&gt;0,INDIRECT(ADDRESS($E58+103,G$4, 1, 1, "11. Unit Mix")), ""))</f>
        <v/>
      </c>
      <c r="H58" s="1466" t="str" cm="1">
        <f t="array" aca="1" ref="H58" ca="1">IF($D58&gt;0,INDIRECT(ADDRESS($D58+15,H$4, 1, 1, "11. Unit Mix")), IF($E58&gt;0,INDIRECT(ADDRESS($E58+103,H$4, 1, 1, "11. Unit Mix")), ""))</f>
        <v/>
      </c>
      <c r="I58" s="1467" t="str" cm="1">
        <f t="array" aca="1" ref="I58" ca="1">IF($D58&gt;0,INDIRECT(ADDRESS($D58+15,I$4, 1, 1, "11. Unit Mix")), "")</f>
        <v/>
      </c>
      <c r="J58" s="1466" t="str" cm="1">
        <f t="array" aca="1" ref="J58" ca="1">IF($D58&gt;0,INDIRECT(ADDRESS($D58+15,J$4, 1, 1, "11. Unit Mix")), IF($E58&gt;0,INDIRECT(ADDRESS($E58+103,I$4, 1, 1, "11. Unit Mix")), ""))</f>
        <v/>
      </c>
      <c r="K58" s="1466" t="str" cm="1">
        <f t="array" aca="1" ref="K58" ca="1">IF($D58&gt;0,INDIRECT(ADDRESS($D58+15,K$4, 1, 1, "11. Unit Mix")), IF($E58&gt;0,INDIRECT(ADDRESS($E58+103,K$4, 1, 1, "11. Unit Mix")), ""))</f>
        <v/>
      </c>
    </row>
    <row r="59" spans="1:11">
      <c r="A59">
        <f t="shared" si="1"/>
        <v>55</v>
      </c>
      <c r="B59">
        <f t="shared" si="2"/>
        <v>0</v>
      </c>
      <c r="C59">
        <f t="shared" si="3"/>
        <v>0</v>
      </c>
      <c r="D59">
        <f t="shared" si="4"/>
        <v>0</v>
      </c>
      <c r="E59">
        <f t="shared" si="5"/>
        <v>0</v>
      </c>
      <c r="F59" s="1466" t="str" cm="1">
        <f t="array" aca="1" ref="F59" ca="1">IF($D59&gt;0,INDIRECT(ADDRESS($D59+15,F$4, 1, 1, "11. Unit Mix")), IF($E59&gt;0,INDIRECT(ADDRESS($E59+103,F$4, 1, 1, "11. Unit Mix")), ""))</f>
        <v/>
      </c>
      <c r="G59" s="1466" t="str" cm="1">
        <f t="array" aca="1" ref="G59" ca="1">IF($D59&gt;0,INDIRECT(ADDRESS($D59+15,G$4, 1, 1, "11. Unit Mix")), IF($E59&gt;0,INDIRECT(ADDRESS($E59+103,G$4, 1, 1, "11. Unit Mix")), ""))</f>
        <v/>
      </c>
      <c r="H59" s="1466" t="str" cm="1">
        <f t="array" aca="1" ref="H59" ca="1">IF($D59&gt;0,INDIRECT(ADDRESS($D59+15,H$4, 1, 1, "11. Unit Mix")), IF($E59&gt;0,INDIRECT(ADDRESS($E59+103,H$4, 1, 1, "11. Unit Mix")), ""))</f>
        <v/>
      </c>
      <c r="I59" s="1467" t="str" cm="1">
        <f t="array" aca="1" ref="I59" ca="1">IF($D59&gt;0,INDIRECT(ADDRESS($D59+15,I$4, 1, 1, "11. Unit Mix")), "")</f>
        <v/>
      </c>
      <c r="J59" s="1466" t="str" cm="1">
        <f t="array" aca="1" ref="J59" ca="1">IF($D59&gt;0,INDIRECT(ADDRESS($D59+15,J$4, 1, 1, "11. Unit Mix")), IF($E59&gt;0,INDIRECT(ADDRESS($E59+103,I$4, 1, 1, "11. Unit Mix")), ""))</f>
        <v/>
      </c>
      <c r="K59" s="1466" t="str" cm="1">
        <f t="array" aca="1" ref="K59" ca="1">IF($D59&gt;0,INDIRECT(ADDRESS($D59+15,K$4, 1, 1, "11. Unit Mix")), IF($E59&gt;0,INDIRECT(ADDRESS($E59+103,K$4, 1, 1, "11. Unit Mix")), ""))</f>
        <v/>
      </c>
    </row>
    <row r="60" spans="1:11">
      <c r="A60">
        <f t="shared" si="1"/>
        <v>56</v>
      </c>
      <c r="B60">
        <f t="shared" si="2"/>
        <v>0</v>
      </c>
      <c r="C60">
        <f t="shared" si="3"/>
        <v>0</v>
      </c>
      <c r="D60">
        <f t="shared" si="4"/>
        <v>0</v>
      </c>
      <c r="E60">
        <f t="shared" si="5"/>
        <v>0</v>
      </c>
      <c r="F60" s="1466" t="str" cm="1">
        <f t="array" aca="1" ref="F60" ca="1">IF($D60&gt;0,INDIRECT(ADDRESS($D60+15,F$4, 1, 1, "11. Unit Mix")), IF($E60&gt;0,INDIRECT(ADDRESS($E60+103,F$4, 1, 1, "11. Unit Mix")), ""))</f>
        <v/>
      </c>
      <c r="G60" s="1466" t="str" cm="1">
        <f t="array" aca="1" ref="G60" ca="1">IF($D60&gt;0,INDIRECT(ADDRESS($D60+15,G$4, 1, 1, "11. Unit Mix")), IF($E60&gt;0,INDIRECT(ADDRESS($E60+103,G$4, 1, 1, "11. Unit Mix")), ""))</f>
        <v/>
      </c>
      <c r="H60" s="1466" t="str" cm="1">
        <f t="array" aca="1" ref="H60" ca="1">IF($D60&gt;0,INDIRECT(ADDRESS($D60+15,H$4, 1, 1, "11. Unit Mix")), IF($E60&gt;0,INDIRECT(ADDRESS($E60+103,H$4, 1, 1, "11. Unit Mix")), ""))</f>
        <v/>
      </c>
      <c r="I60" s="1467" t="str" cm="1">
        <f t="array" aca="1" ref="I60" ca="1">IF($D60&gt;0,INDIRECT(ADDRESS($D60+15,I$4, 1, 1, "11. Unit Mix")), "")</f>
        <v/>
      </c>
      <c r="J60" s="1466" t="str" cm="1">
        <f t="array" aca="1" ref="J60" ca="1">IF($D60&gt;0,INDIRECT(ADDRESS($D60+15,J$4, 1, 1, "11. Unit Mix")), IF($E60&gt;0,INDIRECT(ADDRESS($E60+103,I$4, 1, 1, "11. Unit Mix")), ""))</f>
        <v/>
      </c>
      <c r="K60" s="1466" t="str" cm="1">
        <f t="array" aca="1" ref="K60" ca="1">IF($D60&gt;0,INDIRECT(ADDRESS($D60+15,K$4, 1, 1, "11. Unit Mix")), IF($E60&gt;0,INDIRECT(ADDRESS($E60+103,K$4, 1, 1, "11. Unit Mix")), ""))</f>
        <v/>
      </c>
    </row>
    <row r="61" spans="1:11">
      <c r="A61">
        <f t="shared" si="1"/>
        <v>57</v>
      </c>
      <c r="B61">
        <f t="shared" si="2"/>
        <v>0</v>
      </c>
      <c r="C61">
        <f t="shared" si="3"/>
        <v>0</v>
      </c>
      <c r="D61">
        <f t="shared" si="4"/>
        <v>0</v>
      </c>
      <c r="E61">
        <f t="shared" si="5"/>
        <v>0</v>
      </c>
      <c r="F61" s="1466" t="str" cm="1">
        <f t="array" aca="1" ref="F61" ca="1">IF($D61&gt;0,INDIRECT(ADDRESS($D61+15,F$4, 1, 1, "11. Unit Mix")), IF($E61&gt;0,INDIRECT(ADDRESS($E61+103,F$4, 1, 1, "11. Unit Mix")), ""))</f>
        <v/>
      </c>
      <c r="G61" s="1466" t="str" cm="1">
        <f t="array" aca="1" ref="G61" ca="1">IF($D61&gt;0,INDIRECT(ADDRESS($D61+15,G$4, 1, 1, "11. Unit Mix")), IF($E61&gt;0,INDIRECT(ADDRESS($E61+103,G$4, 1, 1, "11. Unit Mix")), ""))</f>
        <v/>
      </c>
      <c r="H61" s="1466" t="str" cm="1">
        <f t="array" aca="1" ref="H61" ca="1">IF($D61&gt;0,INDIRECT(ADDRESS($D61+15,H$4, 1, 1, "11. Unit Mix")), IF($E61&gt;0,INDIRECT(ADDRESS($E61+103,H$4, 1, 1, "11. Unit Mix")), ""))</f>
        <v/>
      </c>
      <c r="I61" s="1467" t="str" cm="1">
        <f t="array" aca="1" ref="I61" ca="1">IF($D61&gt;0,INDIRECT(ADDRESS($D61+15,I$4, 1, 1, "11. Unit Mix")), "")</f>
        <v/>
      </c>
      <c r="J61" s="1466" t="str" cm="1">
        <f t="array" aca="1" ref="J61" ca="1">IF($D61&gt;0,INDIRECT(ADDRESS($D61+15,J$4, 1, 1, "11. Unit Mix")), IF($E61&gt;0,INDIRECT(ADDRESS($E61+103,I$4, 1, 1, "11. Unit Mix")), ""))</f>
        <v/>
      </c>
      <c r="K61" s="1466" t="str" cm="1">
        <f t="array" aca="1" ref="K61" ca="1">IF($D61&gt;0,INDIRECT(ADDRESS($D61+15,K$4, 1, 1, "11. Unit Mix")), IF($E61&gt;0,INDIRECT(ADDRESS($E61+103,K$4, 1, 1, "11. Unit Mix")), ""))</f>
        <v/>
      </c>
    </row>
    <row r="62" spans="1:11">
      <c r="A62">
        <f t="shared" si="1"/>
        <v>58</v>
      </c>
      <c r="B62">
        <f t="shared" si="2"/>
        <v>0</v>
      </c>
      <c r="C62">
        <f t="shared" si="3"/>
        <v>0</v>
      </c>
      <c r="D62">
        <f t="shared" si="4"/>
        <v>0</v>
      </c>
      <c r="E62">
        <f t="shared" si="5"/>
        <v>0</v>
      </c>
      <c r="F62" s="1466" t="str" cm="1">
        <f t="array" aca="1" ref="F62" ca="1">IF($D62&gt;0,INDIRECT(ADDRESS($D62+15,F$4, 1, 1, "11. Unit Mix")), IF($E62&gt;0,INDIRECT(ADDRESS($E62+103,F$4, 1, 1, "11. Unit Mix")), ""))</f>
        <v/>
      </c>
      <c r="G62" s="1466" t="str" cm="1">
        <f t="array" aca="1" ref="G62" ca="1">IF($D62&gt;0,INDIRECT(ADDRESS($D62+15,G$4, 1, 1, "11. Unit Mix")), IF($E62&gt;0,INDIRECT(ADDRESS($E62+103,G$4, 1, 1, "11. Unit Mix")), ""))</f>
        <v/>
      </c>
      <c r="H62" s="1466" t="str" cm="1">
        <f t="array" aca="1" ref="H62" ca="1">IF($D62&gt;0,INDIRECT(ADDRESS($D62+15,H$4, 1, 1, "11. Unit Mix")), IF($E62&gt;0,INDIRECT(ADDRESS($E62+103,H$4, 1, 1, "11. Unit Mix")), ""))</f>
        <v/>
      </c>
      <c r="I62" s="1467" t="str" cm="1">
        <f t="array" aca="1" ref="I62" ca="1">IF($D62&gt;0,INDIRECT(ADDRESS($D62+15,I$4, 1, 1, "11. Unit Mix")), "")</f>
        <v/>
      </c>
      <c r="J62" s="1466" t="str" cm="1">
        <f t="array" aca="1" ref="J62" ca="1">IF($D62&gt;0,INDIRECT(ADDRESS($D62+15,J$4, 1, 1, "11. Unit Mix")), IF($E62&gt;0,INDIRECT(ADDRESS($E62+103,I$4, 1, 1, "11. Unit Mix")), ""))</f>
        <v/>
      </c>
      <c r="K62" s="1466" t="str" cm="1">
        <f t="array" aca="1" ref="K62" ca="1">IF($D62&gt;0,INDIRECT(ADDRESS($D62+15,K$4, 1, 1, "11. Unit Mix")), IF($E62&gt;0,INDIRECT(ADDRESS($E62+103,K$4, 1, 1, "11. Unit Mix")), ""))</f>
        <v/>
      </c>
    </row>
    <row r="63" spans="1:11">
      <c r="A63">
        <f t="shared" si="1"/>
        <v>59</v>
      </c>
      <c r="B63">
        <f t="shared" si="2"/>
        <v>0</v>
      </c>
      <c r="C63">
        <f t="shared" si="3"/>
        <v>0</v>
      </c>
      <c r="D63">
        <f t="shared" si="4"/>
        <v>0</v>
      </c>
      <c r="E63">
        <f t="shared" si="5"/>
        <v>0</v>
      </c>
      <c r="F63" s="1466" t="str" cm="1">
        <f t="array" aca="1" ref="F63" ca="1">IF($D63&gt;0,INDIRECT(ADDRESS($D63+15,F$4, 1, 1, "11. Unit Mix")), IF($E63&gt;0,INDIRECT(ADDRESS($E63+103,F$4, 1, 1, "11. Unit Mix")), ""))</f>
        <v/>
      </c>
      <c r="G63" s="1466" t="str" cm="1">
        <f t="array" aca="1" ref="G63" ca="1">IF($D63&gt;0,INDIRECT(ADDRESS($D63+15,G$4, 1, 1, "11. Unit Mix")), IF($E63&gt;0,INDIRECT(ADDRESS($E63+103,G$4, 1, 1, "11. Unit Mix")), ""))</f>
        <v/>
      </c>
      <c r="H63" s="1466" t="str" cm="1">
        <f t="array" aca="1" ref="H63" ca="1">IF($D63&gt;0,INDIRECT(ADDRESS($D63+15,H$4, 1, 1, "11. Unit Mix")), IF($E63&gt;0,INDIRECT(ADDRESS($E63+103,H$4, 1, 1, "11. Unit Mix")), ""))</f>
        <v/>
      </c>
      <c r="I63" s="1467" t="str" cm="1">
        <f t="array" aca="1" ref="I63" ca="1">IF($D63&gt;0,INDIRECT(ADDRESS($D63+15,I$4, 1, 1, "11. Unit Mix")), "")</f>
        <v/>
      </c>
      <c r="J63" s="1466" t="str" cm="1">
        <f t="array" aca="1" ref="J63" ca="1">IF($D63&gt;0,INDIRECT(ADDRESS($D63+15,J$4, 1, 1, "11. Unit Mix")), IF($E63&gt;0,INDIRECT(ADDRESS($E63+103,I$4, 1, 1, "11. Unit Mix")), ""))</f>
        <v/>
      </c>
      <c r="K63" s="1466" t="str" cm="1">
        <f t="array" aca="1" ref="K63" ca="1">IF($D63&gt;0,INDIRECT(ADDRESS($D63+15,K$4, 1, 1, "11. Unit Mix")), IF($E63&gt;0,INDIRECT(ADDRESS($E63+103,K$4, 1, 1, "11. Unit Mix")), ""))</f>
        <v/>
      </c>
    </row>
    <row r="64" spans="1:11">
      <c r="A64">
        <f t="shared" si="1"/>
        <v>60</v>
      </c>
      <c r="B64">
        <f t="shared" si="2"/>
        <v>0</v>
      </c>
      <c r="C64">
        <f t="shared" si="3"/>
        <v>0</v>
      </c>
      <c r="D64">
        <f t="shared" si="4"/>
        <v>0</v>
      </c>
      <c r="E64">
        <f t="shared" si="5"/>
        <v>0</v>
      </c>
      <c r="F64" s="1466" t="str" cm="1">
        <f t="array" aca="1" ref="F64" ca="1">IF($D64&gt;0,INDIRECT(ADDRESS($D64+15,F$4, 1, 1, "11. Unit Mix")), IF($E64&gt;0,INDIRECT(ADDRESS($E64+103,F$4, 1, 1, "11. Unit Mix")), ""))</f>
        <v/>
      </c>
      <c r="G64" s="1466" t="str" cm="1">
        <f t="array" aca="1" ref="G64" ca="1">IF($D64&gt;0,INDIRECT(ADDRESS($D64+15,G$4, 1, 1, "11. Unit Mix")), IF($E64&gt;0,INDIRECT(ADDRESS($E64+103,G$4, 1, 1, "11. Unit Mix")), ""))</f>
        <v/>
      </c>
      <c r="H64" s="1466" t="str" cm="1">
        <f t="array" aca="1" ref="H64" ca="1">IF($D64&gt;0,INDIRECT(ADDRESS($D64+15,H$4, 1, 1, "11. Unit Mix")), IF($E64&gt;0,INDIRECT(ADDRESS($E64+103,H$4, 1, 1, "11. Unit Mix")), ""))</f>
        <v/>
      </c>
      <c r="I64" s="1467" t="str" cm="1">
        <f t="array" aca="1" ref="I64" ca="1">IF($D64&gt;0,INDIRECT(ADDRESS($D64+15,I$4, 1, 1, "11. Unit Mix")), "")</f>
        <v/>
      </c>
      <c r="J64" s="1466" t="str" cm="1">
        <f t="array" aca="1" ref="J64" ca="1">IF($D64&gt;0,INDIRECT(ADDRESS($D64+15,J$4, 1, 1, "11. Unit Mix")), IF($E64&gt;0,INDIRECT(ADDRESS($E64+103,I$4, 1, 1, "11. Unit Mix")), ""))</f>
        <v/>
      </c>
      <c r="K64" s="1466" t="str" cm="1">
        <f t="array" aca="1" ref="K64" ca="1">IF($D64&gt;0,INDIRECT(ADDRESS($D64+15,K$4, 1, 1, "11. Unit Mix")), IF($E64&gt;0,INDIRECT(ADDRESS($E64+103,K$4, 1, 1, "11. Unit Mix")), ""))</f>
        <v/>
      </c>
    </row>
  </sheetData>
  <sheetProtection algorithmName="SHA-512" hashValue="KFWNxgwFE/q+tGzIz2ORDHXVyExR5M5/fz2kH55kqOJDYzBdIBhm+MAcOI+4ih3NvnenHPUfN7dc/LKdIs947Q==" saltValue="on3kHaWeu7QV9tl98/bcng==" spinCount="100000" sheet="1" objects="1" scenarios="1" selectLockedCells="1"/>
  <conditionalFormatting sqref="F5:K64">
    <cfRule type="expression" dxfId="313" priority="3">
      <formula>$E5&gt;0</formula>
    </cfRule>
    <cfRule type="expression" dxfId="312" priority="4">
      <formula>$D5&gt;0</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2C03-8ABD-43C7-9703-A4221DD808E7}">
  <sheetPr codeName="Sheet43">
    <tabColor rgb="FFFFFF00"/>
    <pageSetUpPr fitToPage="1"/>
  </sheetPr>
  <dimension ref="A1:BG489"/>
  <sheetViews>
    <sheetView workbookViewId="0">
      <selection activeCell="I4" sqref="I4"/>
    </sheetView>
  </sheetViews>
  <sheetFormatPr defaultColWidth="8.85546875" defaultRowHeight="15"/>
  <cols>
    <col min="1" max="1" width="9.5703125" customWidth="1"/>
    <col min="2" max="2" width="48.42578125" customWidth="1"/>
    <col min="3" max="3" width="20.85546875" customWidth="1"/>
    <col min="4" max="4" width="23.42578125" customWidth="1"/>
    <col min="5" max="6" width="17.85546875" customWidth="1"/>
    <col min="7" max="7" width="15" customWidth="1"/>
    <col min="8" max="8" width="7.42578125" bestFit="1" customWidth="1"/>
    <col min="9" max="10" width="12.140625" customWidth="1"/>
    <col min="11" max="11" width="19.85546875" bestFit="1" customWidth="1"/>
    <col min="12" max="12" width="12.42578125" customWidth="1"/>
    <col min="13" max="13" width="23.42578125" customWidth="1"/>
    <col min="14" max="14" width="19.42578125" customWidth="1"/>
    <col min="15" max="15" width="27" customWidth="1"/>
    <col min="16" max="16" width="18.140625" customWidth="1"/>
  </cols>
  <sheetData>
    <row r="1" spans="1:59" ht="18.75">
      <c r="A1" s="8" t="s">
        <v>3943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row>
    <row r="2" spans="1:59">
      <c r="A2" s="38"/>
      <c r="B2" s="10" t="s">
        <v>3944</v>
      </c>
      <c r="C2" s="327">
        <f>'14. Project Costs'!F173</f>
        <v>0</v>
      </c>
      <c r="D2" s="1468"/>
      <c r="E2" s="6"/>
      <c r="F2" s="27" t="s">
        <v>3945</v>
      </c>
      <c r="G2" s="27" t="s">
        <v>3946</v>
      </c>
      <c r="H2" s="27" t="s">
        <v>3947</v>
      </c>
      <c r="I2" s="27" t="s">
        <v>3948</v>
      </c>
      <c r="J2" s="27" t="s">
        <v>3949</v>
      </c>
      <c r="K2" s="27" t="s">
        <v>3950</v>
      </c>
      <c r="L2" s="6"/>
      <c r="M2" s="3"/>
      <c r="N2" s="3"/>
      <c r="O2" s="3"/>
      <c r="P2" s="3"/>
      <c r="Q2" s="3"/>
      <c r="R2" s="3"/>
      <c r="S2" s="3"/>
      <c r="T2" s="3"/>
      <c r="U2" s="3"/>
      <c r="V2" s="3"/>
      <c r="W2" s="3"/>
      <c r="X2" s="3"/>
      <c r="Y2" s="3"/>
      <c r="Z2" s="3"/>
      <c r="AA2" s="3"/>
      <c r="AB2" s="3"/>
      <c r="AC2" s="3"/>
      <c r="AD2" s="3"/>
      <c r="AE2" s="3"/>
      <c r="AF2" s="3"/>
      <c r="AG2" s="3"/>
      <c r="AH2" s="3"/>
      <c r="AI2" s="3"/>
      <c r="AJ2" s="3"/>
      <c r="AK2" s="3"/>
      <c r="AL2" s="3"/>
      <c r="AM2" s="3"/>
    </row>
    <row r="3" spans="1:59" ht="15.95" customHeight="1">
      <c r="A3" s="38"/>
      <c r="B3" s="10"/>
      <c r="C3" s="1468"/>
      <c r="D3" s="1468"/>
      <c r="E3" s="319" t="s">
        <v>3951</v>
      </c>
      <c r="F3" s="28">
        <f>C38</f>
        <v>10</v>
      </c>
      <c r="G3" s="320">
        <f>C40</f>
        <v>0</v>
      </c>
      <c r="H3" s="28">
        <f>F3*G3</f>
        <v>0</v>
      </c>
      <c r="I3" s="28">
        <v>1</v>
      </c>
      <c r="J3" s="28">
        <f>H3*I3</f>
        <v>0</v>
      </c>
      <c r="K3" s="321">
        <f>IFERROR(J3/J5,0)</f>
        <v>0</v>
      </c>
      <c r="L3" s="6"/>
      <c r="M3" s="3"/>
      <c r="N3" s="3"/>
      <c r="O3" s="3"/>
      <c r="P3" s="3"/>
      <c r="Q3" s="3"/>
      <c r="R3" s="3"/>
      <c r="S3" s="3"/>
      <c r="T3" s="3"/>
      <c r="U3" s="3"/>
      <c r="V3" s="3"/>
      <c r="W3" s="3"/>
      <c r="X3" s="3"/>
      <c r="Y3" s="3"/>
      <c r="Z3" s="3"/>
      <c r="AA3" s="3"/>
      <c r="AB3" s="3"/>
      <c r="AC3" s="3"/>
      <c r="AD3" s="3"/>
      <c r="AE3" s="3"/>
      <c r="AF3" s="3"/>
      <c r="AG3" s="3"/>
      <c r="AH3" s="3"/>
      <c r="AI3" s="3"/>
      <c r="AJ3" s="3"/>
      <c r="AK3" s="3"/>
      <c r="AL3" s="3"/>
      <c r="AM3" s="3"/>
    </row>
    <row r="4" spans="1:59">
      <c r="A4" s="38"/>
      <c r="B4" s="10" t="s">
        <v>3952</v>
      </c>
      <c r="C4" s="6"/>
      <c r="D4" s="1468"/>
      <c r="E4" s="322" t="s">
        <v>3953</v>
      </c>
      <c r="F4" s="28">
        <f>G38</f>
        <v>6</v>
      </c>
      <c r="G4" s="320">
        <f>G40</f>
        <v>0</v>
      </c>
      <c r="H4" s="28">
        <f>F4*G4</f>
        <v>0</v>
      </c>
      <c r="I4" s="335">
        <f>'4. Project Description'!D55</f>
        <v>0</v>
      </c>
      <c r="J4" s="28">
        <f>H4*I4</f>
        <v>0</v>
      </c>
      <c r="K4" s="321">
        <f>IFERROR(J4/J5,0)</f>
        <v>0</v>
      </c>
      <c r="L4" s="6"/>
      <c r="M4" s="3"/>
      <c r="N4" s="3"/>
      <c r="O4" s="3"/>
      <c r="P4" s="3"/>
      <c r="Q4" s="3"/>
      <c r="R4" s="3"/>
      <c r="S4" s="3"/>
      <c r="T4" s="3"/>
      <c r="U4" s="3"/>
      <c r="V4" s="3"/>
      <c r="W4" s="3"/>
      <c r="X4" s="3"/>
      <c r="Y4" s="3"/>
      <c r="Z4" s="3"/>
      <c r="AA4" s="3"/>
      <c r="AB4" s="3"/>
      <c r="AC4" s="3"/>
      <c r="AD4" s="3"/>
      <c r="AE4" s="3"/>
      <c r="AF4" s="3"/>
      <c r="AG4" s="3"/>
      <c r="AH4" s="3"/>
      <c r="AI4" s="3"/>
      <c r="AJ4" s="3"/>
      <c r="AK4" s="3"/>
      <c r="AL4" s="3"/>
      <c r="AM4" s="3"/>
    </row>
    <row r="5" spans="1:59">
      <c r="A5" s="38"/>
      <c r="B5" s="1469" t="s">
        <v>3954</v>
      </c>
      <c r="C5" s="327">
        <f>'12. Funding Sources'!E11</f>
        <v>0</v>
      </c>
      <c r="D5" s="1468"/>
      <c r="E5" s="323"/>
      <c r="F5" s="6"/>
      <c r="G5" s="6" t="s">
        <v>3955</v>
      </c>
      <c r="H5" s="28">
        <f>H3+H4</f>
        <v>0</v>
      </c>
      <c r="I5" s="6"/>
      <c r="J5" s="28">
        <f>J3+J4</f>
        <v>0</v>
      </c>
      <c r="K5" s="6"/>
      <c r="L5" s="6"/>
      <c r="M5" s="3"/>
      <c r="N5" s="3"/>
      <c r="O5" s="3"/>
      <c r="P5" s="3"/>
      <c r="Q5" s="3"/>
      <c r="R5" s="3"/>
      <c r="S5" s="3"/>
      <c r="T5" s="3"/>
      <c r="U5" s="3"/>
      <c r="V5" s="3"/>
      <c r="W5" s="3"/>
      <c r="X5" s="3"/>
      <c r="Y5" s="3"/>
      <c r="Z5" s="3"/>
      <c r="AA5" s="3"/>
    </row>
    <row r="6" spans="1:59">
      <c r="A6" s="38"/>
      <c r="B6" s="1469" t="s">
        <v>3956</v>
      </c>
      <c r="C6" s="327">
        <f>'12. Funding Sources'!E12</f>
        <v>0</v>
      </c>
      <c r="D6" s="1468"/>
      <c r="E6" s="323"/>
      <c r="F6" s="6"/>
      <c r="G6" s="324"/>
      <c r="H6" s="6"/>
      <c r="I6" s="6"/>
      <c r="J6" s="6"/>
      <c r="K6" s="6"/>
      <c r="L6" s="6"/>
      <c r="M6" s="3"/>
      <c r="N6" s="3"/>
      <c r="O6" s="3"/>
      <c r="P6" s="3"/>
      <c r="Q6" s="3"/>
      <c r="R6" s="3"/>
      <c r="S6" s="3"/>
      <c r="T6" s="3"/>
      <c r="U6" s="3"/>
      <c r="V6" s="3"/>
      <c r="W6" s="3"/>
      <c r="X6" s="3"/>
      <c r="Y6" s="3"/>
      <c r="Z6" s="3"/>
      <c r="AA6" s="3"/>
    </row>
    <row r="7" spans="1:59">
      <c r="A7" s="38"/>
      <c r="B7" s="1469" t="s">
        <v>3957</v>
      </c>
      <c r="C7" s="327">
        <f>'12. Funding Sources'!E13</f>
        <v>0</v>
      </c>
      <c r="D7" s="1468"/>
      <c r="E7" s="323"/>
      <c r="F7" s="6"/>
      <c r="G7" s="324"/>
      <c r="H7" s="6"/>
      <c r="I7" s="6"/>
      <c r="J7" s="6"/>
      <c r="K7" s="6"/>
      <c r="L7" s="6"/>
      <c r="M7" s="3"/>
      <c r="N7" s="3"/>
      <c r="O7" s="3"/>
      <c r="P7" s="3"/>
      <c r="Q7" s="3"/>
      <c r="R7" s="3"/>
      <c r="S7" s="3"/>
      <c r="T7" s="3"/>
      <c r="U7" s="3"/>
      <c r="V7" s="3"/>
      <c r="W7" s="3"/>
      <c r="X7" s="3"/>
      <c r="Y7" s="3"/>
      <c r="Z7" s="3"/>
      <c r="AA7" s="3"/>
    </row>
    <row r="8" spans="1:59">
      <c r="A8" s="38"/>
      <c r="B8" s="1469" t="s">
        <v>3958</v>
      </c>
      <c r="C8" s="327">
        <f>'12. Funding Sources'!E14</f>
        <v>0</v>
      </c>
      <c r="D8" s="1468"/>
      <c r="E8" s="6"/>
      <c r="F8" s="6"/>
      <c r="G8" s="6"/>
      <c r="H8" s="6"/>
      <c r="I8" s="6"/>
      <c r="J8" s="6"/>
      <c r="K8" s="6"/>
      <c r="L8" s="6"/>
      <c r="M8" s="3"/>
      <c r="N8" s="3"/>
      <c r="O8" s="3"/>
      <c r="P8" s="3"/>
      <c r="Q8" s="3"/>
      <c r="R8" s="3"/>
      <c r="S8" s="3"/>
      <c r="T8" s="3"/>
      <c r="U8" s="3"/>
      <c r="V8" s="3"/>
      <c r="W8" s="3"/>
      <c r="X8" s="3"/>
      <c r="Y8" s="3"/>
      <c r="Z8" s="3"/>
      <c r="AA8" s="3"/>
    </row>
    <row r="9" spans="1:59">
      <c r="A9" s="38"/>
      <c r="B9" s="1469" t="s">
        <v>3959</v>
      </c>
      <c r="C9" s="327">
        <f>'12. Funding Sources'!E15</f>
        <v>0</v>
      </c>
      <c r="D9" s="1468"/>
      <c r="E9" s="6"/>
      <c r="F9" s="6"/>
      <c r="G9" s="6"/>
      <c r="H9" s="6"/>
      <c r="I9" s="6"/>
      <c r="J9" s="6"/>
      <c r="K9" s="6"/>
      <c r="L9" s="6"/>
      <c r="M9" s="3"/>
      <c r="N9" s="3"/>
      <c r="O9" s="3"/>
      <c r="P9" s="3"/>
      <c r="Q9" s="3"/>
      <c r="R9" s="3"/>
      <c r="S9" s="3"/>
      <c r="T9" s="3"/>
      <c r="U9" s="3"/>
      <c r="V9" s="3"/>
      <c r="W9" s="3"/>
      <c r="X9" s="3"/>
      <c r="Y9" s="3"/>
      <c r="Z9" s="3"/>
      <c r="AA9" s="3"/>
    </row>
    <row r="10" spans="1:59">
      <c r="A10" s="38"/>
      <c r="B10" s="1469" t="s">
        <v>3960</v>
      </c>
      <c r="C10" s="327">
        <f>'12. Funding Sources'!E16</f>
        <v>0</v>
      </c>
      <c r="D10" s="1468"/>
      <c r="E10" s="6"/>
      <c r="F10" s="6"/>
      <c r="G10" s="6"/>
      <c r="H10" s="6"/>
      <c r="I10" s="6"/>
      <c r="J10" s="6"/>
      <c r="K10" s="6"/>
      <c r="L10" s="6"/>
      <c r="M10" s="3"/>
      <c r="N10" s="3"/>
      <c r="O10" s="3"/>
      <c r="P10" s="3"/>
      <c r="Q10" s="3"/>
      <c r="R10" s="3"/>
      <c r="S10" s="3"/>
      <c r="T10" s="3"/>
      <c r="U10" s="3"/>
      <c r="V10" s="3"/>
      <c r="W10" s="3"/>
      <c r="X10" s="3"/>
      <c r="Y10" s="3"/>
      <c r="Z10" s="3"/>
      <c r="AA10" s="3"/>
    </row>
    <row r="11" spans="1:59">
      <c r="A11" s="38"/>
      <c r="B11" s="1469" t="s">
        <v>3961</v>
      </c>
      <c r="C11" s="327">
        <f>'12. Funding Sources'!E17</f>
        <v>0</v>
      </c>
      <c r="D11" s="1468"/>
      <c r="E11" s="6"/>
      <c r="F11" s="6"/>
      <c r="G11" s="6"/>
      <c r="H11" s="6"/>
      <c r="I11" s="6"/>
      <c r="J11" s="6"/>
      <c r="K11" s="6"/>
      <c r="L11" s="6"/>
      <c r="M11" s="3"/>
      <c r="N11" s="3"/>
      <c r="O11" s="3"/>
      <c r="P11" s="3"/>
      <c r="Q11" s="3"/>
      <c r="R11" s="3"/>
      <c r="S11" s="3"/>
      <c r="T11" s="3"/>
      <c r="U11" s="3"/>
      <c r="V11" s="3"/>
      <c r="W11" s="3"/>
      <c r="X11" s="3"/>
      <c r="Y11" s="3"/>
      <c r="Z11" s="3"/>
      <c r="AA11" s="3"/>
    </row>
    <row r="12" spans="1:59">
      <c r="A12" s="38"/>
      <c r="B12" s="1470" t="s">
        <v>365</v>
      </c>
      <c r="C12" s="327">
        <f>'12. Funding Sources'!E18</f>
        <v>0</v>
      </c>
      <c r="D12" s="1468"/>
      <c r="E12" s="626"/>
      <c r="F12" s="626"/>
      <c r="G12" s="626"/>
      <c r="H12" s="626"/>
      <c r="I12" s="626"/>
      <c r="J12" s="626"/>
      <c r="K12" s="626"/>
      <c r="L12" s="6"/>
      <c r="M12" s="3"/>
      <c r="N12" s="3"/>
      <c r="O12" s="3"/>
      <c r="P12" s="3"/>
      <c r="Q12" s="3"/>
      <c r="R12" s="3"/>
      <c r="S12" s="3"/>
      <c r="T12" s="3"/>
      <c r="U12" s="3"/>
      <c r="V12" s="3"/>
      <c r="W12" s="3"/>
      <c r="X12" s="3"/>
      <c r="Y12" s="3"/>
      <c r="Z12" s="3"/>
      <c r="AA12" s="3"/>
    </row>
    <row r="13" spans="1:59">
      <c r="A13" s="38"/>
      <c r="B13" s="1470" t="s">
        <v>365</v>
      </c>
      <c r="C13" s="327">
        <f>'12. Funding Sources'!E19</f>
        <v>0</v>
      </c>
      <c r="D13" s="1468"/>
      <c r="E13" s="626"/>
      <c r="F13" s="626"/>
      <c r="G13" s="626"/>
      <c r="H13" s="626"/>
      <c r="I13" s="626"/>
      <c r="J13" s="626"/>
      <c r="K13" s="626"/>
      <c r="L13" s="6"/>
      <c r="M13" s="3"/>
      <c r="N13" s="3"/>
      <c r="O13" s="3"/>
      <c r="P13" s="3"/>
      <c r="Q13" s="3"/>
      <c r="R13" s="3"/>
      <c r="S13" s="3"/>
      <c r="T13" s="3"/>
      <c r="U13" s="3"/>
      <c r="V13" s="3"/>
      <c r="W13" s="3"/>
      <c r="X13" s="3"/>
      <c r="Y13" s="3"/>
      <c r="Z13" s="3"/>
      <c r="AA13" s="3"/>
    </row>
    <row r="14" spans="1:59">
      <c r="A14" s="38"/>
      <c r="B14" s="1470" t="s">
        <v>365</v>
      </c>
      <c r="C14" s="327">
        <f>'12. Funding Sources'!E20</f>
        <v>0</v>
      </c>
      <c r="D14" s="1468"/>
      <c r="E14" s="626"/>
      <c r="F14" s="626"/>
      <c r="G14" s="626"/>
      <c r="H14" s="626"/>
      <c r="I14" s="626"/>
      <c r="J14" s="626"/>
      <c r="K14" s="626"/>
      <c r="L14" s="6"/>
      <c r="M14" s="3"/>
      <c r="N14" s="3"/>
      <c r="O14" s="3"/>
      <c r="P14" s="3"/>
      <c r="Q14" s="3"/>
      <c r="R14" s="3"/>
      <c r="S14" s="3"/>
      <c r="T14" s="3"/>
      <c r="U14" s="3"/>
      <c r="V14" s="3"/>
      <c r="W14" s="3"/>
      <c r="X14" s="3"/>
      <c r="Y14" s="3"/>
      <c r="Z14" s="3"/>
      <c r="AA14" s="3"/>
    </row>
    <row r="15" spans="1:59">
      <c r="A15" s="38"/>
      <c r="B15" s="1471"/>
      <c r="C15" s="1468"/>
      <c r="D15" s="1468"/>
      <c r="E15" s="626"/>
      <c r="F15" s="626"/>
      <c r="G15" s="626"/>
      <c r="H15" s="626"/>
      <c r="I15" s="626"/>
      <c r="J15" s="626"/>
      <c r="K15" s="626"/>
      <c r="L15" s="6"/>
      <c r="M15" s="3"/>
      <c r="N15" s="3"/>
      <c r="O15" s="3"/>
      <c r="P15" s="3"/>
      <c r="Q15" s="3"/>
      <c r="R15" s="3"/>
      <c r="S15" s="3"/>
      <c r="T15" s="3"/>
      <c r="U15" s="3"/>
      <c r="V15" s="3"/>
      <c r="W15" s="3"/>
      <c r="X15" s="3"/>
      <c r="Y15" s="3"/>
      <c r="Z15" s="3"/>
      <c r="AA15" s="3"/>
    </row>
    <row r="16" spans="1:59">
      <c r="A16" s="38"/>
      <c r="B16" s="10" t="s">
        <v>3962</v>
      </c>
      <c r="C16" s="1468"/>
      <c r="D16" s="1468"/>
      <c r="E16" s="6"/>
      <c r="F16" s="6"/>
      <c r="G16" s="6"/>
      <c r="H16" s="6"/>
      <c r="I16" s="6"/>
      <c r="J16" s="6"/>
      <c r="K16" s="6"/>
      <c r="L16" s="6"/>
      <c r="M16" s="3"/>
      <c r="N16" s="3"/>
      <c r="O16" s="3"/>
      <c r="P16" s="3"/>
      <c r="Q16" s="3"/>
      <c r="R16" s="3"/>
      <c r="S16" s="3"/>
      <c r="T16" s="3"/>
      <c r="U16" s="3"/>
      <c r="V16" s="3"/>
      <c r="W16" s="3"/>
      <c r="X16" s="3"/>
      <c r="Y16" s="3"/>
      <c r="Z16" s="3"/>
      <c r="AA16" s="3"/>
    </row>
    <row r="17" spans="1:27">
      <c r="A17" s="38"/>
      <c r="B17" s="1472" t="s">
        <v>3963</v>
      </c>
      <c r="C17" s="327">
        <f>Grant_Amount_1</f>
        <v>0</v>
      </c>
      <c r="D17" s="1468"/>
      <c r="E17" s="6"/>
      <c r="F17" s="6"/>
      <c r="G17" s="6"/>
      <c r="H17" s="6"/>
      <c r="I17" s="6"/>
      <c r="J17" s="6"/>
      <c r="K17" s="6"/>
      <c r="L17" s="6"/>
      <c r="M17" s="3"/>
      <c r="N17" s="3"/>
      <c r="O17" s="3"/>
      <c r="P17" s="3"/>
      <c r="Q17" s="3"/>
      <c r="R17" s="3"/>
      <c r="S17" s="3"/>
      <c r="T17" s="3"/>
      <c r="U17" s="3"/>
      <c r="V17" s="3"/>
      <c r="W17" s="3"/>
      <c r="X17" s="3"/>
      <c r="Y17" s="3"/>
      <c r="Z17" s="3"/>
      <c r="AA17" s="3"/>
    </row>
    <row r="18" spans="1:27">
      <c r="A18" s="38"/>
      <c r="B18" s="1472" t="s">
        <v>3964</v>
      </c>
      <c r="C18" s="327">
        <f>Grant_Amount_2</f>
        <v>0</v>
      </c>
      <c r="D18" s="1468"/>
      <c r="E18" s="6"/>
      <c r="F18" s="6"/>
      <c r="G18" s="6"/>
      <c r="H18" s="6"/>
      <c r="I18" s="6"/>
      <c r="J18" s="6"/>
      <c r="K18" s="6"/>
      <c r="L18" s="6"/>
      <c r="M18" s="3"/>
      <c r="N18" s="3"/>
      <c r="O18" s="3"/>
      <c r="P18" s="3"/>
      <c r="Q18" s="3"/>
      <c r="R18" s="3"/>
      <c r="S18" s="3"/>
      <c r="T18" s="3"/>
      <c r="U18" s="3"/>
      <c r="V18" s="3"/>
      <c r="W18" s="3"/>
      <c r="X18" s="3"/>
      <c r="Y18" s="3"/>
      <c r="Z18" s="3"/>
      <c r="AA18" s="3"/>
    </row>
    <row r="19" spans="1:27">
      <c r="A19" s="38"/>
      <c r="B19" s="1472" t="s">
        <v>3965</v>
      </c>
      <c r="C19" s="327">
        <f>Grant_Amount_3</f>
        <v>0</v>
      </c>
      <c r="D19" s="1468"/>
      <c r="E19" s="6"/>
      <c r="F19" s="6"/>
      <c r="G19" s="6"/>
      <c r="H19" s="6"/>
      <c r="I19" s="6"/>
      <c r="J19" s="6"/>
      <c r="K19" s="6"/>
      <c r="L19" s="6"/>
      <c r="M19" s="3"/>
      <c r="N19" s="3"/>
      <c r="O19" s="3"/>
      <c r="P19" s="3"/>
      <c r="Q19" s="3"/>
      <c r="R19" s="3"/>
      <c r="S19" s="3"/>
      <c r="T19" s="3"/>
      <c r="U19" s="3"/>
      <c r="V19" s="3"/>
      <c r="W19" s="3"/>
      <c r="X19" s="3"/>
      <c r="Y19" s="3"/>
      <c r="Z19" s="3"/>
      <c r="AA19" s="3"/>
    </row>
    <row r="20" spans="1:27">
      <c r="A20" s="38"/>
      <c r="B20" s="1472" t="s">
        <v>365</v>
      </c>
      <c r="C20" s="327">
        <f>Grant_Amount_4</f>
        <v>0</v>
      </c>
      <c r="D20" s="1468"/>
      <c r="E20" s="626"/>
      <c r="F20" s="626"/>
      <c r="G20" s="626"/>
      <c r="H20" s="626"/>
      <c r="I20" s="626"/>
      <c r="J20" s="626"/>
      <c r="K20" s="626"/>
      <c r="L20" s="6"/>
      <c r="M20" s="3"/>
      <c r="N20" s="3"/>
      <c r="O20" s="3"/>
      <c r="P20" s="3"/>
      <c r="Q20" s="3"/>
      <c r="R20" s="3"/>
      <c r="S20" s="3"/>
      <c r="T20" s="3"/>
      <c r="U20" s="3"/>
      <c r="V20" s="3"/>
      <c r="W20" s="3"/>
      <c r="X20" s="3"/>
      <c r="Y20" s="3"/>
      <c r="Z20" s="3"/>
      <c r="AA20" s="3"/>
    </row>
    <row r="21" spans="1:27">
      <c r="A21" s="38"/>
      <c r="B21" s="1472" t="s">
        <v>365</v>
      </c>
      <c r="C21" s="327">
        <f>Grant_Amount_5</f>
        <v>0</v>
      </c>
      <c r="D21" s="1468"/>
      <c r="E21" s="626"/>
      <c r="F21" s="626"/>
      <c r="G21" s="626"/>
      <c r="H21" s="626"/>
      <c r="I21" s="626"/>
      <c r="J21" s="626"/>
      <c r="K21" s="626"/>
      <c r="L21" s="6"/>
      <c r="M21" s="3"/>
      <c r="N21" s="3"/>
      <c r="O21" s="3"/>
      <c r="P21" s="3"/>
      <c r="Q21" s="3"/>
      <c r="R21" s="3"/>
      <c r="S21" s="3"/>
      <c r="T21" s="3"/>
      <c r="U21" s="3"/>
      <c r="V21" s="3"/>
      <c r="W21" s="3"/>
      <c r="X21" s="3"/>
      <c r="Y21" s="3"/>
      <c r="Z21" s="3"/>
      <c r="AA21" s="3"/>
    </row>
    <row r="22" spans="1:27">
      <c r="A22" s="38"/>
      <c r="B22" s="1472" t="s">
        <v>365</v>
      </c>
      <c r="C22" s="327">
        <f>Grant_Amount_6</f>
        <v>0</v>
      </c>
      <c r="D22" s="1468"/>
      <c r="E22" s="626"/>
      <c r="F22" s="626"/>
      <c r="G22" s="626"/>
      <c r="H22" s="626"/>
      <c r="I22" s="626"/>
      <c r="J22" s="626"/>
      <c r="K22" s="626"/>
      <c r="L22" s="6"/>
      <c r="M22" s="3"/>
      <c r="N22" s="3"/>
      <c r="O22" s="3"/>
      <c r="P22" s="3"/>
      <c r="Q22" s="3"/>
      <c r="R22" s="3"/>
      <c r="S22" s="3"/>
      <c r="T22" s="3"/>
      <c r="U22" s="3"/>
      <c r="V22" s="3"/>
      <c r="W22" s="3"/>
      <c r="X22" s="3"/>
      <c r="Y22" s="3"/>
      <c r="Z22" s="3"/>
      <c r="AA22" s="3"/>
    </row>
    <row r="23" spans="1:27">
      <c r="A23" s="38"/>
      <c r="B23" s="1472" t="s">
        <v>365</v>
      </c>
      <c r="C23" s="327">
        <f>Grant_Amount_7</f>
        <v>0</v>
      </c>
      <c r="D23" s="1468"/>
      <c r="E23" s="626"/>
      <c r="F23" s="626"/>
      <c r="G23" s="626"/>
      <c r="H23" s="626"/>
      <c r="I23" s="626"/>
      <c r="J23" s="626"/>
      <c r="K23" s="626"/>
      <c r="L23" s="6"/>
      <c r="M23" s="3"/>
      <c r="N23" s="3"/>
      <c r="O23" s="3"/>
      <c r="P23" s="3"/>
      <c r="Q23" s="3"/>
      <c r="R23" s="3"/>
      <c r="S23" s="3"/>
      <c r="T23" s="3"/>
      <c r="U23" s="3"/>
      <c r="V23" s="3"/>
      <c r="W23" s="3"/>
      <c r="X23" s="3"/>
      <c r="Y23" s="3"/>
      <c r="Z23" s="3"/>
      <c r="AA23" s="3"/>
    </row>
    <row r="24" spans="1:27">
      <c r="A24" s="38"/>
      <c r="B24" s="1471"/>
      <c r="C24" s="1468"/>
      <c r="D24" s="1468"/>
      <c r="E24" s="626"/>
      <c r="F24" s="626"/>
      <c r="G24" s="626"/>
      <c r="H24" s="626"/>
      <c r="I24" s="626"/>
      <c r="J24" s="626"/>
      <c r="K24" s="626"/>
      <c r="L24" s="6"/>
      <c r="M24" s="3"/>
      <c r="N24" s="3"/>
      <c r="O24" s="3"/>
      <c r="P24" s="3"/>
      <c r="Q24" s="3"/>
      <c r="R24" s="3"/>
      <c r="S24" s="3"/>
      <c r="T24" s="3"/>
      <c r="U24" s="3"/>
      <c r="V24" s="3"/>
      <c r="W24" s="3"/>
      <c r="X24" s="3"/>
      <c r="Y24" s="3"/>
      <c r="Z24" s="3"/>
      <c r="AA24" s="3"/>
    </row>
    <row r="25" spans="1:27">
      <c r="A25" s="38"/>
      <c r="B25" s="325" t="s">
        <v>3966</v>
      </c>
      <c r="C25" s="1468"/>
      <c r="D25" s="1468"/>
      <c r="E25" s="626"/>
      <c r="F25" s="626"/>
      <c r="G25" s="626"/>
      <c r="H25" s="626"/>
      <c r="I25" s="626"/>
      <c r="J25" s="626"/>
      <c r="K25" s="626"/>
      <c r="L25" s="6"/>
      <c r="M25" s="3"/>
      <c r="N25" s="3"/>
      <c r="O25" s="3"/>
      <c r="P25" s="3"/>
      <c r="Q25" s="3"/>
      <c r="R25" s="3"/>
      <c r="S25" s="3"/>
      <c r="T25" s="3"/>
      <c r="U25" s="3"/>
      <c r="V25" s="3"/>
      <c r="W25" s="3"/>
      <c r="X25" s="3"/>
      <c r="Y25" s="3"/>
      <c r="Z25" s="3"/>
      <c r="AA25" s="3"/>
    </row>
    <row r="26" spans="1:27">
      <c r="A26" s="38"/>
      <c r="B26" s="1473" t="s">
        <v>3967</v>
      </c>
      <c r="C26" s="327">
        <f>'12. Funding Sources'!E45</f>
        <v>0</v>
      </c>
      <c r="D26" s="1468"/>
      <c r="E26" s="626"/>
      <c r="F26" s="626"/>
      <c r="G26" s="626"/>
      <c r="H26" s="626"/>
      <c r="I26" s="626"/>
      <c r="J26" s="626"/>
      <c r="K26" s="626"/>
      <c r="L26" s="6"/>
      <c r="M26" s="3"/>
      <c r="N26" s="3"/>
      <c r="O26" s="3"/>
      <c r="P26" s="3"/>
      <c r="Q26" s="3"/>
      <c r="R26" s="3"/>
      <c r="S26" s="3"/>
      <c r="T26" s="3"/>
      <c r="U26" s="3"/>
      <c r="V26" s="3"/>
      <c r="W26" s="3"/>
      <c r="X26" s="3"/>
      <c r="Y26" s="3"/>
      <c r="Z26" s="3"/>
      <c r="AA26" s="3"/>
    </row>
    <row r="27" spans="1:27">
      <c r="A27" s="38"/>
      <c r="B27" s="1473" t="s">
        <v>3968</v>
      </c>
      <c r="C27" s="327">
        <f>'12. Funding Sources'!E47</f>
        <v>0</v>
      </c>
      <c r="D27" s="1468"/>
      <c r="E27" s="626"/>
      <c r="F27" s="626"/>
      <c r="G27" s="626"/>
      <c r="H27" s="626"/>
      <c r="I27" s="626"/>
      <c r="J27" s="626"/>
      <c r="K27" s="626"/>
      <c r="L27" s="6"/>
      <c r="M27" s="3"/>
      <c r="N27" s="3"/>
      <c r="O27" s="3"/>
      <c r="P27" s="3"/>
      <c r="Q27" s="3"/>
      <c r="R27" s="3"/>
      <c r="S27" s="3"/>
      <c r="T27" s="3"/>
      <c r="U27" s="3"/>
      <c r="V27" s="3"/>
      <c r="W27" s="3"/>
      <c r="X27" s="3"/>
      <c r="Y27" s="3"/>
      <c r="Z27" s="3"/>
      <c r="AA27" s="3"/>
    </row>
    <row r="28" spans="1:27">
      <c r="A28" s="38"/>
      <c r="B28" s="1473" t="s">
        <v>3969</v>
      </c>
      <c r="C28" s="327">
        <f>'12. Funding Sources'!E48</f>
        <v>0</v>
      </c>
      <c r="D28" s="1468"/>
      <c r="E28" s="626"/>
      <c r="F28" s="626"/>
      <c r="G28" s="626"/>
      <c r="H28" s="626"/>
      <c r="I28" s="626"/>
      <c r="J28" s="626"/>
      <c r="K28" s="626"/>
      <c r="L28" s="6"/>
      <c r="M28" s="3"/>
      <c r="N28" s="3"/>
      <c r="O28" s="3"/>
      <c r="P28" s="3"/>
      <c r="Q28" s="3"/>
      <c r="R28" s="3"/>
      <c r="S28" s="3"/>
      <c r="T28" s="3"/>
      <c r="U28" s="3"/>
      <c r="V28" s="3"/>
      <c r="W28" s="3"/>
      <c r="X28" s="3"/>
      <c r="Y28" s="3"/>
      <c r="Z28" s="3"/>
      <c r="AA28" s="3"/>
    </row>
    <row r="29" spans="1:27">
      <c r="A29" s="38"/>
      <c r="B29" s="1473" t="s">
        <v>3970</v>
      </c>
      <c r="C29" s="327">
        <f>'12. Funding Sources'!E49</f>
        <v>0</v>
      </c>
      <c r="D29" s="1468"/>
      <c r="E29" s="626"/>
      <c r="F29" s="626"/>
      <c r="G29" s="626"/>
      <c r="H29" s="626"/>
      <c r="I29" s="626"/>
      <c r="J29" s="626"/>
      <c r="K29" s="626"/>
      <c r="L29" s="6"/>
      <c r="M29" s="3"/>
      <c r="N29" s="3"/>
      <c r="O29" s="3"/>
      <c r="P29" s="3"/>
      <c r="Q29" s="3"/>
      <c r="R29" s="3"/>
      <c r="S29" s="3"/>
      <c r="T29" s="3"/>
      <c r="U29" s="3"/>
      <c r="V29" s="3"/>
      <c r="W29" s="3"/>
      <c r="X29" s="3"/>
      <c r="Y29" s="3"/>
      <c r="Z29" s="3"/>
      <c r="AA29" s="3"/>
    </row>
    <row r="30" spans="1:27">
      <c r="A30" s="38"/>
      <c r="B30" s="1473" t="s">
        <v>365</v>
      </c>
      <c r="C30" s="327">
        <f>'12. Funding Sources'!E50</f>
        <v>0</v>
      </c>
      <c r="D30" s="1468"/>
      <c r="E30" s="626"/>
      <c r="F30" s="626"/>
      <c r="G30" s="626"/>
      <c r="H30" s="626"/>
      <c r="I30" s="626"/>
      <c r="J30" s="626"/>
      <c r="K30" s="626"/>
      <c r="L30" s="6"/>
      <c r="M30" s="3"/>
      <c r="N30" s="3"/>
      <c r="O30" s="3"/>
      <c r="P30" s="3"/>
      <c r="Q30" s="3"/>
      <c r="R30" s="3"/>
      <c r="S30" s="3"/>
      <c r="T30" s="3"/>
      <c r="U30" s="3"/>
      <c r="V30" s="3"/>
      <c r="W30" s="3"/>
      <c r="X30" s="3"/>
      <c r="Y30" s="3"/>
      <c r="Z30" s="3"/>
      <c r="AA30" s="3"/>
    </row>
    <row r="31" spans="1:27">
      <c r="A31" s="38"/>
      <c r="B31" s="1471"/>
      <c r="C31" s="326"/>
      <c r="D31" s="1468"/>
      <c r="E31" s="626"/>
      <c r="F31" s="626"/>
      <c r="G31" s="626"/>
      <c r="H31" s="626"/>
      <c r="I31" s="626"/>
      <c r="J31" s="626"/>
      <c r="K31" s="626"/>
      <c r="L31" s="6"/>
      <c r="M31" s="3"/>
      <c r="N31" s="3"/>
      <c r="O31" s="3"/>
      <c r="P31" s="3"/>
      <c r="Q31" s="3"/>
      <c r="R31" s="3"/>
      <c r="S31" s="3"/>
      <c r="T31" s="3"/>
      <c r="U31" s="3"/>
      <c r="V31" s="3"/>
      <c r="W31" s="3"/>
      <c r="X31" s="3"/>
      <c r="Y31" s="3"/>
      <c r="Z31" s="3"/>
      <c r="AA31" s="3"/>
    </row>
    <row r="32" spans="1:27">
      <c r="A32" s="38"/>
      <c r="B32" s="325" t="s">
        <v>3971</v>
      </c>
      <c r="C32" s="327">
        <f>SUM(C5:C14,C17:C23,C26:C30)</f>
        <v>0</v>
      </c>
      <c r="D32" s="1468"/>
      <c r="E32" s="6"/>
      <c r="F32" s="6"/>
      <c r="G32" s="6"/>
      <c r="H32" s="6"/>
      <c r="I32" s="6"/>
      <c r="J32" s="6"/>
      <c r="K32" s="6"/>
      <c r="L32" s="6"/>
      <c r="M32" s="3"/>
      <c r="N32" s="3"/>
      <c r="O32" s="3"/>
      <c r="P32" s="3"/>
      <c r="Q32" s="3"/>
      <c r="R32" s="3"/>
      <c r="S32" s="3"/>
      <c r="T32" s="3"/>
      <c r="U32" s="3"/>
      <c r="V32" s="3"/>
      <c r="W32" s="3"/>
      <c r="X32" s="3"/>
      <c r="Y32" s="3"/>
      <c r="Z32" s="3"/>
      <c r="AA32" s="3"/>
    </row>
    <row r="33" spans="1:28">
      <c r="A33" s="38"/>
      <c r="B33" s="10" t="s">
        <v>3972</v>
      </c>
      <c r="C33" s="257">
        <f>C2-C32</f>
        <v>0</v>
      </c>
      <c r="D33" s="1468"/>
      <c r="E33" s="6"/>
      <c r="F33" s="6"/>
      <c r="G33" s="6"/>
      <c r="H33" s="6"/>
      <c r="I33" s="6"/>
      <c r="J33" s="6"/>
      <c r="K33" s="6"/>
      <c r="L33" s="6"/>
      <c r="M33" s="3"/>
      <c r="N33" s="3"/>
      <c r="O33" s="3"/>
      <c r="P33" s="3"/>
      <c r="Q33" s="3"/>
      <c r="R33" s="3"/>
      <c r="S33" s="3"/>
      <c r="T33" s="3"/>
      <c r="U33" s="3"/>
      <c r="V33" s="3"/>
      <c r="W33" s="3"/>
      <c r="X33" s="3"/>
      <c r="Y33" s="3"/>
      <c r="Z33" s="3"/>
      <c r="AA33" s="3"/>
    </row>
    <row r="34" spans="1:28">
      <c r="A34" s="38"/>
      <c r="B34" s="10"/>
      <c r="C34" s="323"/>
      <c r="D34" s="1468"/>
      <c r="E34" s="6"/>
      <c r="F34" s="6"/>
      <c r="G34" s="6"/>
      <c r="H34" s="6"/>
      <c r="I34" s="6"/>
      <c r="J34" s="6"/>
      <c r="K34" s="6"/>
      <c r="L34" s="6"/>
      <c r="M34" s="3"/>
      <c r="N34" s="3"/>
      <c r="O34" s="3"/>
      <c r="P34" s="3"/>
      <c r="Q34" s="3"/>
      <c r="R34" s="3"/>
      <c r="S34" s="3"/>
      <c r="T34" s="3"/>
      <c r="U34" s="3"/>
      <c r="V34" s="3"/>
      <c r="W34" s="3"/>
      <c r="X34" s="3"/>
      <c r="Y34" s="3"/>
      <c r="Z34" s="3"/>
      <c r="AA34" s="3"/>
    </row>
    <row r="35" spans="1:28" ht="18.75">
      <c r="A35" s="38"/>
      <c r="B35" s="12" t="s">
        <v>3973</v>
      </c>
      <c r="C35" s="323"/>
      <c r="D35" s="1468"/>
      <c r="E35" s="6"/>
      <c r="F35" s="6"/>
      <c r="G35" s="6"/>
      <c r="H35" s="6"/>
      <c r="I35" s="6"/>
      <c r="J35" s="6"/>
      <c r="K35" s="6"/>
      <c r="L35" s="6"/>
      <c r="M35" s="3"/>
      <c r="N35" s="3"/>
      <c r="O35" s="3"/>
      <c r="P35" s="3"/>
      <c r="Q35" s="3"/>
      <c r="R35" s="3"/>
      <c r="S35" s="3"/>
      <c r="T35" s="3"/>
      <c r="U35" s="3"/>
      <c r="V35" s="3"/>
      <c r="W35" s="3"/>
      <c r="X35" s="3"/>
      <c r="Y35" s="3"/>
      <c r="Z35" s="3"/>
      <c r="AA35" s="3"/>
    </row>
    <row r="36" spans="1:28">
      <c r="A36" s="38"/>
      <c r="B36" s="6" t="s">
        <v>3974</v>
      </c>
      <c r="C36" s="328">
        <f>K3</f>
        <v>0</v>
      </c>
      <c r="D36" s="1468"/>
      <c r="E36" s="2115" t="s">
        <v>3975</v>
      </c>
      <c r="F36" s="2116"/>
      <c r="G36" s="328">
        <f>K4</f>
        <v>0</v>
      </c>
      <c r="H36" s="6"/>
      <c r="I36" s="6"/>
      <c r="J36" s="6"/>
      <c r="K36" s="6"/>
      <c r="L36" s="6"/>
      <c r="M36" s="3"/>
      <c r="N36" s="3"/>
      <c r="O36" s="3"/>
      <c r="P36" s="3"/>
      <c r="Q36" s="3"/>
      <c r="R36" s="3"/>
      <c r="S36" s="3"/>
      <c r="T36" s="3"/>
      <c r="U36" s="3"/>
      <c r="V36" s="3"/>
      <c r="W36" s="3"/>
      <c r="X36" s="3"/>
      <c r="Y36" s="3"/>
      <c r="Z36" s="3"/>
      <c r="AA36" s="3"/>
      <c r="AB36" s="3"/>
    </row>
    <row r="37" spans="1:28">
      <c r="A37" s="38"/>
      <c r="B37" s="6" t="s">
        <v>3976</v>
      </c>
      <c r="C37" s="257">
        <f>C33*C36</f>
        <v>0</v>
      </c>
      <c r="D37" s="1468"/>
      <c r="E37" s="2115" t="s">
        <v>3977</v>
      </c>
      <c r="F37" s="2116"/>
      <c r="G37" s="257">
        <f>C33*G36</f>
        <v>0</v>
      </c>
      <c r="H37" s="6"/>
      <c r="I37" s="6"/>
      <c r="J37" s="6"/>
      <c r="K37" s="6"/>
      <c r="L37" s="6"/>
      <c r="M37" s="3"/>
      <c r="N37" s="3"/>
      <c r="O37" s="3"/>
      <c r="P37" s="3"/>
      <c r="Q37" s="3"/>
      <c r="R37" s="3"/>
      <c r="S37" s="3"/>
      <c r="T37" s="3"/>
      <c r="U37" s="3"/>
      <c r="V37" s="3"/>
      <c r="W37" s="3"/>
      <c r="X37" s="3"/>
      <c r="Y37" s="3"/>
      <c r="Z37" s="3"/>
      <c r="AA37" s="3"/>
      <c r="AB37" s="3"/>
    </row>
    <row r="38" spans="1:28">
      <c r="A38" s="38"/>
      <c r="B38" s="6" t="s">
        <v>3344</v>
      </c>
      <c r="C38" s="22">
        <v>10</v>
      </c>
      <c r="D38" s="1468"/>
      <c r="E38" s="2115" t="s">
        <v>3344</v>
      </c>
      <c r="F38" s="2116"/>
      <c r="G38" s="22">
        <v>6</v>
      </c>
      <c r="H38" s="6"/>
      <c r="I38" s="6"/>
      <c r="J38" s="6"/>
      <c r="K38" s="6"/>
      <c r="L38" s="6"/>
      <c r="M38" s="3"/>
      <c r="N38" s="3"/>
      <c r="O38" s="3"/>
      <c r="P38" s="3"/>
      <c r="Q38" s="3"/>
      <c r="R38" s="3"/>
      <c r="S38" s="3"/>
      <c r="T38" s="3"/>
      <c r="U38" s="3"/>
      <c r="V38" s="3"/>
      <c r="W38" s="3"/>
      <c r="X38" s="3"/>
      <c r="Y38" s="3"/>
      <c r="Z38" s="3"/>
      <c r="AA38" s="3"/>
      <c r="AB38" s="3"/>
    </row>
    <row r="39" spans="1:28" ht="15.95" customHeight="1">
      <c r="A39" s="38"/>
      <c r="B39" s="6" t="s">
        <v>3978</v>
      </c>
      <c r="C39" s="257">
        <f>(C37/C38)</f>
        <v>0</v>
      </c>
      <c r="D39" s="1468"/>
      <c r="E39" s="2115" t="s">
        <v>3979</v>
      </c>
      <c r="F39" s="2116"/>
      <c r="G39" s="257">
        <f>(G37/G38)</f>
        <v>0</v>
      </c>
      <c r="H39" s="6"/>
      <c r="I39" s="6"/>
      <c r="J39" s="6"/>
      <c r="K39" s="6"/>
      <c r="L39" s="6"/>
      <c r="M39" s="3"/>
      <c r="N39" s="3"/>
      <c r="O39" s="3"/>
      <c r="P39" s="3"/>
      <c r="Q39" s="3"/>
      <c r="R39" s="3"/>
      <c r="S39" s="3"/>
      <c r="T39" s="3"/>
      <c r="U39" s="3"/>
      <c r="V39" s="3"/>
      <c r="W39" s="3"/>
      <c r="X39" s="3"/>
      <c r="Y39" s="3"/>
      <c r="Z39" s="3"/>
      <c r="AA39" s="3"/>
      <c r="AB39" s="3"/>
    </row>
    <row r="40" spans="1:28" ht="15.95" customHeight="1">
      <c r="A40" s="38"/>
      <c r="B40" s="6" t="s">
        <v>3980</v>
      </c>
      <c r="C40" s="344">
        <f>'12. Funding Sources'!I44</f>
        <v>0</v>
      </c>
      <c r="D40" s="1468"/>
      <c r="E40" s="2115" t="s">
        <v>3981</v>
      </c>
      <c r="F40" s="2116"/>
      <c r="G40" s="344">
        <f>'12. Funding Sources'!I46</f>
        <v>0</v>
      </c>
      <c r="H40" s="6"/>
      <c r="I40" s="6"/>
      <c r="J40" s="6"/>
      <c r="K40" s="6"/>
      <c r="L40" s="6"/>
      <c r="M40" s="3"/>
      <c r="N40" s="3"/>
      <c r="O40" s="3"/>
      <c r="P40" s="3"/>
      <c r="Q40" s="3"/>
      <c r="R40" s="3"/>
      <c r="S40" s="3"/>
      <c r="T40" s="3"/>
      <c r="U40" s="3"/>
      <c r="V40" s="3"/>
      <c r="W40" s="3"/>
      <c r="X40" s="3"/>
      <c r="Y40" s="3"/>
      <c r="Z40" s="3"/>
      <c r="AA40" s="3"/>
      <c r="AB40" s="3"/>
    </row>
    <row r="41" spans="1:28" ht="15.95" customHeight="1">
      <c r="A41" s="38"/>
      <c r="B41" s="6" t="s">
        <v>3347</v>
      </c>
      <c r="C41" s="257">
        <f>IFERROR(C39/C40,0)</f>
        <v>0</v>
      </c>
      <c r="D41" s="1468"/>
      <c r="E41" s="2115" t="s">
        <v>3347</v>
      </c>
      <c r="F41" s="2116"/>
      <c r="G41" s="257">
        <f>IFERROR(G39/G40,0)</f>
        <v>0</v>
      </c>
      <c r="H41" s="6"/>
      <c r="I41" s="6"/>
      <c r="J41" s="6"/>
      <c r="K41" s="6"/>
      <c r="L41" s="6"/>
      <c r="M41" s="3"/>
      <c r="N41" s="3"/>
      <c r="O41" s="3"/>
      <c r="P41" s="3"/>
      <c r="Q41" s="3"/>
      <c r="R41" s="3"/>
      <c r="S41" s="3"/>
      <c r="T41" s="3"/>
      <c r="U41" s="3"/>
      <c r="V41" s="3"/>
      <c r="W41" s="3"/>
      <c r="X41" s="3"/>
      <c r="Y41" s="3"/>
      <c r="Z41" s="3"/>
      <c r="AA41" s="3"/>
      <c r="AB41" s="3"/>
    </row>
    <row r="42" spans="1:28" ht="15.95" customHeight="1">
      <c r="A42" s="38"/>
      <c r="B42" s="6" t="s">
        <v>3982</v>
      </c>
      <c r="C42" s="343">
        <f>'12. Funding Sources'!H44</f>
        <v>0</v>
      </c>
      <c r="D42" s="1468"/>
      <c r="E42" s="2115" t="s">
        <v>3983</v>
      </c>
      <c r="F42" s="2116"/>
      <c r="G42" s="343">
        <f>'12. Funding Sources'!H46</f>
        <v>0</v>
      </c>
      <c r="H42" s="6"/>
      <c r="I42" s="99" t="s">
        <v>3984</v>
      </c>
      <c r="J42" s="6"/>
      <c r="K42" s="6"/>
      <c r="L42" s="6"/>
      <c r="M42" s="3"/>
      <c r="N42" s="3"/>
      <c r="O42" s="3"/>
      <c r="P42" s="3"/>
      <c r="Q42" s="3"/>
      <c r="R42" s="3"/>
      <c r="S42" s="3"/>
      <c r="T42" s="3"/>
      <c r="U42" s="3"/>
      <c r="V42" s="3"/>
      <c r="W42" s="3"/>
      <c r="X42" s="3"/>
      <c r="Y42" s="3"/>
      <c r="Z42" s="3"/>
      <c r="AA42" s="3"/>
      <c r="AB42" s="3"/>
    </row>
    <row r="43" spans="1:28">
      <c r="A43" s="38"/>
      <c r="B43" s="10" t="s">
        <v>3985</v>
      </c>
      <c r="C43" s="329">
        <f>IF(C42=0,0,ROUND((C41/C42),0))</f>
        <v>0</v>
      </c>
      <c r="D43" s="1468"/>
      <c r="E43" s="2125" t="s">
        <v>3986</v>
      </c>
      <c r="F43" s="2126"/>
      <c r="G43" s="329">
        <f>IF(G42=0,0,ROUND((G41/G42),0))</f>
        <v>0</v>
      </c>
      <c r="H43" s="330">
        <f>IFERROR(1200000*F4*G4*G42/C33, 0)</f>
        <v>0</v>
      </c>
      <c r="I43" s="331">
        <f>IFERROR(((H43*J3)/(1-H43))/H4, 0)</f>
        <v>0</v>
      </c>
      <c r="J43" s="323"/>
      <c r="K43" s="323"/>
      <c r="L43" s="6"/>
      <c r="M43" s="3"/>
      <c r="N43" s="3"/>
      <c r="O43" s="3"/>
      <c r="P43" s="3"/>
      <c r="Q43" s="3"/>
      <c r="R43" s="3"/>
      <c r="S43" s="3"/>
      <c r="T43" s="3"/>
      <c r="U43" s="3"/>
      <c r="V43" s="3"/>
      <c r="W43" s="3"/>
      <c r="X43" s="3"/>
      <c r="Y43" s="3"/>
      <c r="Z43" s="3"/>
      <c r="AA43" s="3"/>
      <c r="AB43" s="3"/>
    </row>
    <row r="44" spans="1:28" ht="15" customHeight="1">
      <c r="A44" s="38"/>
      <c r="B44" s="333" t="s">
        <v>3987</v>
      </c>
      <c r="C44" s="332"/>
      <c r="D44" s="1468"/>
      <c r="E44" s="1474"/>
      <c r="F44" s="334" t="s">
        <v>3988</v>
      </c>
      <c r="G44" s="332"/>
      <c r="H44" s="6"/>
      <c r="I44" s="323"/>
      <c r="J44" s="323"/>
      <c r="K44" s="323"/>
      <c r="L44" s="6"/>
      <c r="M44" s="3"/>
      <c r="N44" s="3"/>
      <c r="O44" s="3"/>
      <c r="P44" s="3"/>
      <c r="Q44" s="3"/>
      <c r="R44" s="3"/>
      <c r="S44" s="3"/>
      <c r="T44" s="3"/>
      <c r="U44" s="3"/>
      <c r="V44" s="3"/>
      <c r="W44" s="3"/>
      <c r="X44" s="3"/>
      <c r="Y44" s="3"/>
      <c r="Z44" s="3"/>
      <c r="AA44" s="3"/>
      <c r="AB44" s="3"/>
    </row>
    <row r="45" spans="1:28" ht="15.95" customHeight="1">
      <c r="A45" s="38"/>
      <c r="B45" s="12" t="s">
        <v>3989</v>
      </c>
      <c r="C45" s="6"/>
      <c r="D45" s="1468"/>
      <c r="E45" s="1474"/>
      <c r="F45" s="1711"/>
      <c r="G45" s="6"/>
      <c r="H45" s="6"/>
      <c r="I45" s="6"/>
      <c r="J45" s="6"/>
      <c r="K45" s="6"/>
      <c r="L45" s="6"/>
      <c r="M45" s="3"/>
      <c r="N45" s="3"/>
      <c r="O45" s="3"/>
      <c r="P45" s="3"/>
      <c r="Q45" s="3"/>
      <c r="R45" s="3"/>
      <c r="S45" s="3"/>
      <c r="T45" s="3"/>
      <c r="U45" s="3"/>
      <c r="V45" s="3"/>
      <c r="W45" s="3"/>
      <c r="X45" s="3"/>
      <c r="Y45" s="3"/>
      <c r="Z45" s="3"/>
      <c r="AA45" s="3"/>
      <c r="AB45" s="3"/>
    </row>
    <row r="46" spans="1:28" ht="15" customHeight="1">
      <c r="A46" s="38"/>
      <c r="B46" s="6" t="s">
        <v>3990</v>
      </c>
      <c r="C46" s="257">
        <f>'14. Project Costs'!G192</f>
        <v>0</v>
      </c>
      <c r="D46" s="1468"/>
      <c r="E46" s="2115" t="s">
        <v>3991</v>
      </c>
      <c r="F46" s="2116"/>
      <c r="G46" s="257">
        <f>'14. Project Costs'!I192</f>
        <v>0</v>
      </c>
      <c r="H46" s="6"/>
      <c r="I46" s="6"/>
      <c r="J46" s="6"/>
      <c r="K46" s="6"/>
      <c r="L46" s="6"/>
      <c r="M46" s="3"/>
      <c r="N46" s="3"/>
      <c r="O46" s="3"/>
      <c r="P46" s="3"/>
      <c r="Q46" s="3"/>
      <c r="R46" s="3"/>
      <c r="S46" s="3"/>
      <c r="T46" s="3"/>
      <c r="U46" s="3"/>
      <c r="V46" s="3"/>
      <c r="W46" s="3"/>
      <c r="X46" s="3"/>
      <c r="Y46" s="3"/>
      <c r="Z46" s="3"/>
      <c r="AA46" s="3"/>
      <c r="AB46" s="3"/>
    </row>
    <row r="47" spans="1:28">
      <c r="A47" s="38"/>
      <c r="B47" s="6" t="s">
        <v>3992</v>
      </c>
      <c r="C47" s="257" t="str">
        <f>'14. Project Costs'!G208</f>
        <v/>
      </c>
      <c r="D47" s="1468"/>
      <c r="E47" s="2115" t="s">
        <v>3993</v>
      </c>
      <c r="F47" s="2116"/>
      <c r="G47" s="257" t="e">
        <f>'14. Project Costs'!I208</f>
        <v>#REF!</v>
      </c>
      <c r="H47" s="6"/>
      <c r="I47" s="6"/>
      <c r="J47" s="6"/>
      <c r="K47" s="6"/>
      <c r="L47" s="6"/>
      <c r="M47" s="3"/>
      <c r="N47" s="3"/>
      <c r="O47" s="3"/>
      <c r="P47" s="3"/>
      <c r="Q47" s="3"/>
      <c r="R47" s="3"/>
      <c r="S47" s="3"/>
      <c r="T47" s="3"/>
      <c r="U47" s="3"/>
      <c r="V47" s="3"/>
      <c r="W47" s="3"/>
      <c r="X47" s="3"/>
      <c r="Y47" s="3"/>
      <c r="Z47" s="3"/>
      <c r="AA47" s="3"/>
      <c r="AB47" s="3"/>
    </row>
    <row r="48" spans="1:28">
      <c r="A48" s="38"/>
      <c r="B48" s="6" t="s">
        <v>3994</v>
      </c>
      <c r="C48" s="257">
        <f>IF(C46&lt;C47,C46,C47)</f>
        <v>0</v>
      </c>
      <c r="D48" s="1468"/>
      <c r="E48" s="2115" t="s">
        <v>3995</v>
      </c>
      <c r="F48" s="2116"/>
      <c r="G48" s="257" t="e">
        <f>IF(G46&lt;G47,G46,G47)</f>
        <v>#REF!</v>
      </c>
      <c r="H48" s="6"/>
      <c r="I48" s="6"/>
      <c r="J48" s="6"/>
      <c r="K48" s="6"/>
      <c r="L48" s="6"/>
      <c r="M48" s="3"/>
      <c r="N48" s="3"/>
      <c r="O48" s="3"/>
      <c r="P48" s="3"/>
      <c r="Q48" s="3"/>
      <c r="R48" s="3"/>
      <c r="S48" s="3"/>
      <c r="T48" s="3"/>
      <c r="U48" s="3"/>
      <c r="V48" s="3"/>
      <c r="W48" s="3"/>
      <c r="X48" s="3"/>
      <c r="Y48" s="3"/>
      <c r="Z48" s="3"/>
      <c r="AA48" s="3"/>
      <c r="AB48" s="3"/>
    </row>
    <row r="49" spans="1:28">
      <c r="A49" s="38"/>
      <c r="B49" s="6"/>
      <c r="C49" s="6"/>
      <c r="D49" s="1468"/>
      <c r="E49" s="1474"/>
      <c r="F49" s="1711"/>
      <c r="G49" s="6"/>
      <c r="H49" s="6"/>
      <c r="I49" s="6"/>
      <c r="J49" s="6"/>
      <c r="K49" s="6"/>
      <c r="L49" s="6"/>
      <c r="M49" s="3"/>
      <c r="N49" s="3"/>
      <c r="O49" s="3"/>
      <c r="P49" s="3"/>
      <c r="Q49" s="3"/>
      <c r="R49" s="3"/>
      <c r="S49" s="3"/>
      <c r="T49" s="3"/>
      <c r="U49" s="3"/>
      <c r="V49" s="3"/>
      <c r="W49" s="3"/>
      <c r="X49" s="3"/>
      <c r="Y49" s="3"/>
      <c r="Z49" s="3"/>
      <c r="AA49" s="3"/>
      <c r="AB49" s="3"/>
    </row>
    <row r="50" spans="1:28" ht="18.75">
      <c r="A50" s="38"/>
      <c r="B50" s="12" t="s">
        <v>3996</v>
      </c>
      <c r="C50" s="6"/>
      <c r="D50" s="6"/>
      <c r="E50" s="1711"/>
      <c r="F50" s="1711"/>
      <c r="G50" s="6"/>
      <c r="H50" s="6"/>
      <c r="I50" s="6"/>
      <c r="J50" s="6"/>
      <c r="K50" s="6"/>
      <c r="L50" s="6"/>
      <c r="M50" s="3"/>
      <c r="N50" s="3"/>
      <c r="O50" s="3"/>
      <c r="P50" s="3"/>
      <c r="Q50" s="3"/>
      <c r="R50" s="3"/>
      <c r="S50" s="3"/>
      <c r="T50" s="3"/>
      <c r="U50" s="3"/>
      <c r="V50" s="3"/>
      <c r="W50" s="3"/>
      <c r="X50" s="3"/>
      <c r="Y50" s="3"/>
      <c r="Z50" s="3"/>
      <c r="AA50" s="3"/>
      <c r="AB50" s="3"/>
    </row>
    <row r="51" spans="1:28">
      <c r="A51" s="38"/>
      <c r="B51" s="10" t="s">
        <v>3997</v>
      </c>
      <c r="C51" s="257">
        <f>IF(C43&gt;C46, 0,C43-C48)</f>
        <v>0</v>
      </c>
      <c r="D51" s="1468"/>
      <c r="E51" s="2117" t="s">
        <v>3998</v>
      </c>
      <c r="F51" s="2118"/>
      <c r="G51" s="257" t="e">
        <f>IF(G43&gt;12000000, 1200000-G48,G43-G48)</f>
        <v>#REF!</v>
      </c>
      <c r="H51" s="6"/>
      <c r="I51" s="6"/>
      <c r="J51" s="6"/>
      <c r="K51" s="6"/>
      <c r="L51" s="6"/>
      <c r="M51" s="3"/>
      <c r="N51" s="3"/>
      <c r="O51" s="3"/>
      <c r="P51" s="3"/>
      <c r="Q51" s="3"/>
      <c r="R51" s="3"/>
      <c r="S51" s="3"/>
      <c r="T51" s="3"/>
      <c r="U51" s="3"/>
      <c r="V51" s="3"/>
      <c r="W51" s="3"/>
      <c r="X51" s="3"/>
      <c r="Y51" s="3"/>
      <c r="Z51" s="3"/>
      <c r="AA51" s="3"/>
      <c r="AB51" s="3"/>
    </row>
    <row r="52" spans="1:28" ht="15.95" customHeight="1">
      <c r="A52" s="38"/>
      <c r="B52" s="1468"/>
      <c r="C52" s="1468"/>
      <c r="D52" s="1468"/>
      <c r="E52" s="6"/>
      <c r="F52" s="6"/>
      <c r="G52" s="6"/>
      <c r="H52" s="6"/>
      <c r="I52" s="6"/>
      <c r="J52" s="6"/>
      <c r="K52" s="6"/>
      <c r="L52" s="6"/>
      <c r="M52" s="3"/>
      <c r="N52" s="3"/>
      <c r="O52" s="3"/>
      <c r="P52" s="3"/>
      <c r="Q52" s="3"/>
      <c r="R52" s="3"/>
      <c r="S52" s="3"/>
      <c r="T52" s="3"/>
      <c r="U52" s="3"/>
      <c r="V52" s="3"/>
      <c r="W52" s="3"/>
      <c r="X52" s="3"/>
      <c r="Y52" s="3"/>
      <c r="Z52" s="3"/>
      <c r="AA52" s="3"/>
    </row>
    <row r="53" spans="1:28" ht="15.95" customHeight="1">
      <c r="A53" s="38"/>
      <c r="B53" s="10" t="s">
        <v>3999</v>
      </c>
      <c r="C53" s="2119" t="e">
        <f>"Federal TC Award adjusted by " &amp; TEXT(C51, "$#,##0")  &amp; " and State TC Award adjusted by " &amp; TEXT(G51,"$#,##0") &amp; ". See State Credits Equity Gap Addendum for details."</f>
        <v>#REF!</v>
      </c>
      <c r="D53" s="2120"/>
      <c r="E53" s="2120"/>
      <c r="F53" s="2121"/>
      <c r="G53" s="6"/>
      <c r="H53" s="6"/>
      <c r="I53" s="6"/>
      <c r="J53" s="6"/>
      <c r="K53" s="6"/>
      <c r="L53" s="6"/>
      <c r="M53" s="3"/>
      <c r="N53" s="3"/>
      <c r="O53" s="3"/>
      <c r="P53" s="3"/>
      <c r="Q53" s="3"/>
      <c r="R53" s="3"/>
      <c r="S53" s="3"/>
      <c r="T53" s="3"/>
      <c r="U53" s="3"/>
      <c r="V53" s="3"/>
      <c r="W53" s="3"/>
      <c r="X53" s="3"/>
      <c r="Y53" s="3"/>
      <c r="Z53" s="3"/>
      <c r="AA53" s="3"/>
    </row>
    <row r="54" spans="1:28" ht="15.95" customHeight="1">
      <c r="A54" s="38"/>
      <c r="B54" s="6"/>
      <c r="C54" s="2122"/>
      <c r="D54" s="2123"/>
      <c r="E54" s="2123"/>
      <c r="F54" s="2124"/>
      <c r="G54" s="6"/>
      <c r="H54" s="6"/>
      <c r="I54" s="6"/>
      <c r="J54" s="6"/>
      <c r="K54" s="6"/>
      <c r="L54" s="6"/>
      <c r="M54" s="3"/>
      <c r="N54" s="3"/>
      <c r="O54" s="3"/>
      <c r="P54" s="3"/>
      <c r="Q54" s="3"/>
      <c r="R54" s="3"/>
      <c r="S54" s="3"/>
      <c r="T54" s="3"/>
      <c r="U54" s="3"/>
      <c r="V54" s="3"/>
      <c r="W54" s="3"/>
      <c r="X54" s="3"/>
      <c r="Y54" s="3"/>
      <c r="Z54" s="3"/>
      <c r="AA54" s="3"/>
    </row>
    <row r="55" spans="1:28" ht="15" customHeight="1">
      <c r="A55" s="38"/>
      <c r="B55" s="38"/>
      <c r="C55" s="6"/>
      <c r="D55" s="6"/>
      <c r="E55" s="6"/>
      <c r="F55" s="6"/>
      <c r="G55" s="6"/>
      <c r="H55" s="6"/>
      <c r="I55" s="6"/>
      <c r="J55" s="6"/>
      <c r="K55" s="6"/>
      <c r="L55" s="6"/>
      <c r="M55" s="3"/>
      <c r="N55" s="3"/>
      <c r="O55" s="3"/>
      <c r="P55" s="3"/>
      <c r="Q55" s="3"/>
      <c r="R55" s="3"/>
      <c r="S55" s="3"/>
      <c r="T55" s="3"/>
      <c r="U55" s="3"/>
      <c r="V55" s="3"/>
      <c r="W55" s="3"/>
      <c r="X55" s="3"/>
      <c r="Y55" s="3"/>
      <c r="Z55" s="3"/>
      <c r="AA55" s="3"/>
    </row>
    <row r="56" spans="1:28" ht="15" customHeight="1">
      <c r="A56" s="97"/>
      <c r="B56" s="97"/>
      <c r="C56" s="3"/>
      <c r="D56" s="3"/>
      <c r="E56" s="3"/>
      <c r="F56" s="3"/>
      <c r="G56" s="3"/>
      <c r="H56" s="3"/>
      <c r="I56" s="3"/>
      <c r="J56" s="3"/>
      <c r="K56" s="3"/>
      <c r="L56" s="3"/>
      <c r="M56" s="3"/>
      <c r="N56" s="3"/>
      <c r="O56" s="3"/>
      <c r="P56" s="3"/>
      <c r="Q56" s="3"/>
      <c r="R56" s="3"/>
      <c r="S56" s="3"/>
      <c r="T56" s="3"/>
      <c r="U56" s="3"/>
      <c r="V56" s="3"/>
      <c r="W56" s="3"/>
      <c r="X56" s="3"/>
      <c r="Y56" s="3"/>
      <c r="Z56" s="3"/>
      <c r="AA56" s="3"/>
    </row>
    <row r="57" spans="1:28" ht="15" customHeight="1">
      <c r="A57" s="97"/>
      <c r="B57" s="97"/>
      <c r="C57" s="3"/>
      <c r="D57" s="3"/>
      <c r="E57" s="3"/>
      <c r="F57" s="3"/>
      <c r="G57" s="3"/>
      <c r="H57" s="3"/>
      <c r="I57" s="3"/>
      <c r="J57" s="3"/>
      <c r="K57" s="3"/>
      <c r="L57" s="3"/>
      <c r="M57" s="3"/>
      <c r="N57" s="3"/>
      <c r="O57" s="3"/>
      <c r="P57" s="3"/>
      <c r="Q57" s="3"/>
      <c r="R57" s="3"/>
      <c r="S57" s="3"/>
      <c r="T57" s="3"/>
      <c r="U57" s="3"/>
      <c r="V57" s="3"/>
      <c r="W57" s="3"/>
      <c r="X57" s="3"/>
      <c r="Y57" s="3"/>
      <c r="Z57" s="3"/>
      <c r="AA57" s="3"/>
    </row>
    <row r="58" spans="1:28">
      <c r="A58" s="97"/>
      <c r="B58" s="97"/>
      <c r="C58" s="3"/>
      <c r="D58" s="3"/>
      <c r="E58" s="3"/>
      <c r="F58" s="3"/>
      <c r="G58" s="3"/>
      <c r="H58" s="3"/>
      <c r="I58" s="3"/>
      <c r="J58" s="3"/>
      <c r="K58" s="3"/>
      <c r="L58" s="3"/>
      <c r="M58" s="3"/>
      <c r="N58" s="3"/>
      <c r="O58" s="3"/>
      <c r="P58" s="3"/>
      <c r="Q58" s="3"/>
      <c r="R58" s="3"/>
      <c r="S58" s="3"/>
      <c r="T58" s="3"/>
      <c r="U58" s="3"/>
      <c r="V58" s="3"/>
      <c r="W58" s="3"/>
      <c r="X58" s="3"/>
      <c r="Y58" s="3"/>
      <c r="Z58" s="3"/>
      <c r="AA58" s="3"/>
    </row>
    <row r="59" spans="1:28">
      <c r="A59" s="97"/>
      <c r="B59" s="97"/>
      <c r="C59" s="3"/>
      <c r="D59" s="3"/>
      <c r="E59" s="3"/>
      <c r="F59" s="3"/>
      <c r="G59" s="3"/>
      <c r="H59" s="3"/>
      <c r="I59" s="3"/>
      <c r="J59" s="3"/>
      <c r="K59" s="3"/>
      <c r="L59" s="3"/>
      <c r="M59" s="3"/>
      <c r="N59" s="3"/>
      <c r="O59" s="3"/>
      <c r="P59" s="3"/>
      <c r="Q59" s="3"/>
      <c r="R59" s="3"/>
      <c r="S59" s="3"/>
      <c r="T59" s="3"/>
      <c r="U59" s="3"/>
      <c r="V59" s="3"/>
      <c r="W59" s="3"/>
      <c r="X59" s="3"/>
      <c r="Y59" s="3"/>
      <c r="Z59" s="3"/>
      <c r="AA59" s="3"/>
    </row>
    <row r="60" spans="1:28">
      <c r="A60" s="97"/>
      <c r="B60" s="97"/>
      <c r="C60" s="3"/>
      <c r="D60" s="3"/>
      <c r="E60" s="3"/>
      <c r="F60" s="3"/>
      <c r="G60" s="3"/>
      <c r="H60" s="3"/>
      <c r="I60" s="3"/>
      <c r="J60" s="3"/>
      <c r="K60" s="3"/>
      <c r="L60" s="3"/>
      <c r="M60" s="3"/>
      <c r="N60" s="3"/>
      <c r="O60" s="3"/>
      <c r="P60" s="3"/>
      <c r="Q60" s="3"/>
      <c r="R60" s="3"/>
      <c r="S60" s="3"/>
      <c r="T60" s="3"/>
      <c r="U60" s="3"/>
      <c r="V60" s="3"/>
      <c r="W60" s="3"/>
      <c r="X60" s="3"/>
      <c r="Y60" s="3"/>
      <c r="Z60" s="3"/>
      <c r="AA60" s="3"/>
    </row>
    <row r="61" spans="1:28">
      <c r="A61" s="97"/>
      <c r="B61" s="97"/>
      <c r="C61" s="3"/>
      <c r="D61" s="3"/>
      <c r="E61" s="3"/>
      <c r="F61" s="3"/>
      <c r="G61" s="3"/>
      <c r="H61" s="3"/>
      <c r="I61" s="3"/>
      <c r="J61" s="3"/>
      <c r="K61" s="3"/>
      <c r="L61" s="3"/>
      <c r="M61" s="3"/>
      <c r="N61" s="3"/>
      <c r="O61" s="3"/>
      <c r="P61" s="3"/>
      <c r="Q61" s="3"/>
      <c r="R61" s="3"/>
      <c r="S61" s="3"/>
      <c r="T61" s="3"/>
      <c r="U61" s="3"/>
      <c r="V61" s="3"/>
      <c r="W61" s="3"/>
      <c r="X61" s="3"/>
      <c r="Y61" s="3"/>
      <c r="Z61" s="3"/>
      <c r="AA61" s="3"/>
    </row>
    <row r="62" spans="1:28">
      <c r="A62" s="97"/>
      <c r="B62" s="97"/>
      <c r="C62" s="3"/>
      <c r="D62" s="3"/>
      <c r="E62" s="3"/>
      <c r="F62" s="3"/>
      <c r="G62" s="3"/>
      <c r="H62" s="3"/>
      <c r="I62" s="3"/>
      <c r="J62" s="3"/>
      <c r="K62" s="3"/>
      <c r="L62" s="3"/>
      <c r="M62" s="3"/>
      <c r="N62" s="3"/>
      <c r="O62" s="3"/>
      <c r="P62" s="3"/>
      <c r="Q62" s="3"/>
      <c r="R62" s="3"/>
      <c r="S62" s="3"/>
      <c r="T62" s="3"/>
      <c r="U62" s="3"/>
      <c r="V62" s="3"/>
      <c r="W62" s="3"/>
      <c r="X62" s="3"/>
      <c r="Y62" s="3"/>
      <c r="Z62" s="3"/>
      <c r="AA62" s="3"/>
    </row>
    <row r="63" spans="1:28">
      <c r="A63" s="97"/>
      <c r="B63" s="97"/>
      <c r="C63" s="3"/>
      <c r="D63" s="3"/>
      <c r="E63" s="3"/>
      <c r="F63" s="3"/>
      <c r="G63" s="3"/>
      <c r="H63" s="3"/>
      <c r="I63" s="3"/>
      <c r="J63" s="3"/>
      <c r="K63" s="3"/>
      <c r="L63" s="3"/>
      <c r="M63" s="3"/>
      <c r="N63" s="3"/>
      <c r="O63" s="3"/>
      <c r="P63" s="3"/>
      <c r="Q63" s="3"/>
      <c r="R63" s="3"/>
      <c r="S63" s="3"/>
      <c r="T63" s="3"/>
      <c r="U63" s="3"/>
      <c r="V63" s="3"/>
      <c r="W63" s="3"/>
      <c r="X63" s="3"/>
      <c r="Y63" s="3"/>
      <c r="Z63" s="3"/>
      <c r="AA63" s="3"/>
    </row>
    <row r="64" spans="1:28">
      <c r="A64" s="97"/>
      <c r="B64" s="97"/>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97"/>
      <c r="B65" s="97"/>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97"/>
      <c r="B66" s="97"/>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97"/>
      <c r="B67" s="97"/>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97"/>
      <c r="B68" s="97"/>
      <c r="C68" s="3"/>
      <c r="D68" s="3"/>
      <c r="E68" s="3"/>
      <c r="F68" s="3"/>
      <c r="G68" s="3"/>
      <c r="H68" s="3"/>
      <c r="I68" s="3"/>
      <c r="J68" s="3"/>
      <c r="K68" s="3"/>
      <c r="L68" s="3"/>
      <c r="M68" s="3"/>
      <c r="N68" s="3"/>
      <c r="O68" s="3"/>
      <c r="P68" s="3"/>
      <c r="Q68" s="3"/>
      <c r="R68" s="3"/>
      <c r="S68" s="3"/>
      <c r="T68" s="3"/>
      <c r="U68" s="3"/>
      <c r="V68" s="3"/>
      <c r="W68" s="3"/>
      <c r="X68" s="3"/>
      <c r="Y68" s="3"/>
      <c r="Z68" s="3"/>
      <c r="AA68" s="3"/>
    </row>
    <row r="69" spans="1:27">
      <c r="A69" s="97"/>
      <c r="B69" s="97"/>
      <c r="C69" s="3"/>
      <c r="D69" s="3"/>
      <c r="E69" s="3"/>
      <c r="F69" s="3"/>
      <c r="G69" s="3"/>
      <c r="H69" s="3"/>
      <c r="I69" s="3"/>
      <c r="J69" s="3"/>
      <c r="K69" s="3"/>
      <c r="L69" s="3"/>
      <c r="M69" s="3"/>
      <c r="N69" s="3"/>
      <c r="O69" s="3"/>
      <c r="P69" s="3"/>
      <c r="Q69" s="3"/>
      <c r="R69" s="3"/>
      <c r="S69" s="3"/>
      <c r="T69" s="3"/>
      <c r="U69" s="3"/>
      <c r="V69" s="3"/>
      <c r="W69" s="3"/>
      <c r="X69" s="3"/>
      <c r="Y69" s="3"/>
      <c r="Z69" s="3"/>
      <c r="AA69" s="3"/>
    </row>
    <row r="70" spans="1:27">
      <c r="A70" s="97"/>
      <c r="B70" s="97"/>
      <c r="C70" s="3"/>
      <c r="D70" s="3"/>
      <c r="E70" s="3"/>
      <c r="F70" s="3"/>
      <c r="G70" s="3"/>
      <c r="H70" s="3"/>
      <c r="I70" s="3"/>
      <c r="J70" s="3"/>
      <c r="K70" s="3"/>
      <c r="L70" s="3"/>
      <c r="M70" s="3"/>
      <c r="N70" s="3"/>
      <c r="O70" s="3"/>
      <c r="P70" s="3"/>
      <c r="Q70" s="3"/>
      <c r="R70" s="3"/>
      <c r="S70" s="3"/>
      <c r="T70" s="3"/>
      <c r="U70" s="3"/>
      <c r="V70" s="3"/>
      <c r="W70" s="3"/>
      <c r="X70" s="3"/>
      <c r="Y70" s="3"/>
      <c r="Z70" s="3"/>
      <c r="AA70" s="3"/>
    </row>
    <row r="71" spans="1:27">
      <c r="A71" s="97"/>
      <c r="B71" s="97"/>
      <c r="C71" s="3"/>
      <c r="D71" s="3"/>
      <c r="E71" s="3"/>
      <c r="F71" s="3"/>
      <c r="G71" s="3"/>
      <c r="H71" s="3"/>
      <c r="I71" s="3"/>
      <c r="J71" s="3"/>
      <c r="K71" s="3"/>
      <c r="L71" s="3"/>
      <c r="M71" s="3"/>
      <c r="N71" s="3"/>
      <c r="O71" s="3"/>
      <c r="P71" s="3"/>
      <c r="Q71" s="3"/>
      <c r="R71" s="3"/>
      <c r="S71" s="3"/>
      <c r="T71" s="3"/>
      <c r="U71" s="3"/>
      <c r="V71" s="3"/>
      <c r="W71" s="3"/>
      <c r="X71" s="3"/>
      <c r="Y71" s="3"/>
      <c r="Z71" s="3"/>
      <c r="AA71" s="3"/>
    </row>
    <row r="72" spans="1:27">
      <c r="A72" s="97"/>
      <c r="B72" s="97"/>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97"/>
      <c r="B73" s="97"/>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97"/>
      <c r="B74" s="97"/>
      <c r="C74" s="3"/>
      <c r="D74" s="3"/>
      <c r="E74" s="3"/>
      <c r="F74" s="3"/>
      <c r="G74" s="3"/>
      <c r="H74" s="3"/>
      <c r="I74" s="3"/>
      <c r="J74" s="3"/>
      <c r="K74" s="3"/>
      <c r="L74" s="3"/>
      <c r="M74" s="3"/>
      <c r="N74" s="3"/>
      <c r="O74" s="3"/>
      <c r="P74" s="3"/>
      <c r="Q74" s="3"/>
      <c r="R74" s="3"/>
      <c r="S74" s="3"/>
      <c r="T74" s="3"/>
      <c r="U74" s="3"/>
      <c r="V74" s="3"/>
      <c r="W74" s="3"/>
      <c r="X74" s="3"/>
      <c r="Y74" s="3"/>
      <c r="Z74" s="3"/>
      <c r="AA74" s="3"/>
    </row>
    <row r="75" spans="1:27">
      <c r="A75" s="97"/>
      <c r="B75" s="97"/>
      <c r="C75" s="3"/>
      <c r="D75" s="3"/>
      <c r="E75" s="3"/>
      <c r="F75" s="3"/>
      <c r="G75" s="3"/>
      <c r="H75" s="3"/>
      <c r="I75" s="3"/>
      <c r="J75" s="3"/>
      <c r="K75" s="3"/>
      <c r="L75" s="3"/>
      <c r="M75" s="3"/>
      <c r="N75" s="3"/>
      <c r="O75" s="3"/>
      <c r="P75" s="3"/>
      <c r="Q75" s="3"/>
      <c r="R75" s="3"/>
      <c r="S75" s="3"/>
      <c r="T75" s="3"/>
      <c r="U75" s="3"/>
      <c r="V75" s="3"/>
      <c r="W75" s="3"/>
      <c r="X75" s="3"/>
      <c r="Y75" s="3"/>
      <c r="Z75" s="3"/>
      <c r="AA75" s="3"/>
    </row>
    <row r="76" spans="1:27">
      <c r="A76" s="97"/>
      <c r="B76" s="97"/>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97"/>
      <c r="B77" s="97"/>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97"/>
      <c r="B78" s="97"/>
      <c r="C78" s="3"/>
      <c r="D78" s="3"/>
      <c r="E78" s="3"/>
      <c r="F78" s="3"/>
      <c r="G78" s="3"/>
      <c r="H78" s="3"/>
      <c r="I78" s="3"/>
      <c r="J78" s="3"/>
      <c r="K78" s="3"/>
      <c r="L78" s="3"/>
      <c r="M78" s="3"/>
      <c r="N78" s="3"/>
      <c r="O78" s="3"/>
      <c r="P78" s="3"/>
      <c r="Q78" s="3"/>
      <c r="R78" s="3"/>
      <c r="S78" s="3"/>
      <c r="T78" s="3"/>
      <c r="U78" s="3"/>
      <c r="V78" s="3"/>
      <c r="W78" s="3"/>
      <c r="X78" s="3"/>
      <c r="Y78" s="3"/>
      <c r="Z78" s="3"/>
      <c r="AA78" s="3"/>
    </row>
    <row r="79" spans="1:27">
      <c r="A79" s="97"/>
      <c r="B79" s="97"/>
      <c r="C79" s="3"/>
      <c r="D79" s="3"/>
      <c r="E79" s="3"/>
      <c r="F79" s="3"/>
      <c r="G79" s="3"/>
      <c r="H79" s="3"/>
      <c r="I79" s="3"/>
      <c r="J79" s="3"/>
      <c r="K79" s="3"/>
      <c r="L79" s="3"/>
      <c r="M79" s="3"/>
      <c r="N79" s="3"/>
      <c r="O79" s="3"/>
      <c r="P79" s="3"/>
      <c r="Q79" s="3"/>
      <c r="R79" s="3"/>
      <c r="S79" s="3"/>
      <c r="T79" s="3"/>
      <c r="U79" s="3"/>
      <c r="V79" s="3"/>
      <c r="W79" s="3"/>
      <c r="X79" s="3"/>
      <c r="Y79" s="3"/>
      <c r="Z79" s="3"/>
      <c r="AA79" s="3"/>
    </row>
    <row r="80" spans="1:27">
      <c r="A80" s="97"/>
      <c r="B80" s="97"/>
      <c r="C80" s="3"/>
      <c r="D80" s="3"/>
      <c r="E80" s="3"/>
      <c r="F80" s="3"/>
      <c r="G80" s="3"/>
      <c r="H80" s="3"/>
      <c r="I80" s="3"/>
      <c r="J80" s="3"/>
      <c r="K80" s="3"/>
      <c r="L80" s="3"/>
      <c r="M80" s="3"/>
      <c r="N80" s="3"/>
      <c r="O80" s="3"/>
      <c r="P80" s="3"/>
      <c r="Q80" s="3"/>
      <c r="R80" s="3"/>
      <c r="S80" s="3"/>
      <c r="T80" s="3"/>
      <c r="U80" s="3"/>
      <c r="V80" s="3"/>
      <c r="W80" s="3"/>
      <c r="X80" s="3"/>
      <c r="Y80" s="3"/>
      <c r="Z80" s="3"/>
      <c r="AA80" s="3"/>
    </row>
    <row r="81" spans="1:27">
      <c r="A81" s="97"/>
      <c r="B81" s="97"/>
      <c r="C81" s="3"/>
      <c r="D81" s="3"/>
      <c r="E81" s="3"/>
      <c r="F81" s="3"/>
      <c r="G81" s="3"/>
      <c r="H81" s="3"/>
      <c r="I81" s="3"/>
      <c r="J81" s="3"/>
      <c r="K81" s="3"/>
      <c r="L81" s="3"/>
      <c r="M81" s="3"/>
      <c r="N81" s="3"/>
      <c r="O81" s="3"/>
      <c r="P81" s="3"/>
      <c r="Q81" s="3"/>
      <c r="R81" s="3"/>
      <c r="S81" s="3"/>
      <c r="T81" s="3"/>
      <c r="U81" s="3"/>
      <c r="V81" s="3"/>
      <c r="W81" s="3"/>
      <c r="X81" s="3"/>
      <c r="Y81" s="3"/>
      <c r="Z81" s="3"/>
      <c r="AA81" s="3"/>
    </row>
    <row r="82" spans="1:27">
      <c r="A82" s="97"/>
      <c r="B82" s="97"/>
      <c r="C82" s="3"/>
      <c r="D82" s="3"/>
      <c r="E82" s="3"/>
      <c r="F82" s="3"/>
      <c r="G82" s="3"/>
      <c r="H82" s="3"/>
      <c r="I82" s="3"/>
      <c r="J82" s="3"/>
      <c r="K82" s="3"/>
      <c r="L82" s="3"/>
      <c r="M82" s="3"/>
      <c r="N82" s="3"/>
      <c r="O82" s="3"/>
      <c r="P82" s="3"/>
      <c r="Q82" s="3"/>
      <c r="R82" s="3"/>
      <c r="S82" s="3"/>
      <c r="T82" s="3"/>
      <c r="U82" s="3"/>
      <c r="V82" s="3"/>
      <c r="W82" s="3"/>
      <c r="X82" s="3"/>
      <c r="Y82" s="3"/>
      <c r="Z82" s="3"/>
      <c r="AA82" s="3"/>
    </row>
    <row r="83" spans="1:27">
      <c r="A83" s="97"/>
      <c r="B83" s="97"/>
      <c r="C83" s="3"/>
      <c r="D83" s="3"/>
      <c r="E83" s="3"/>
      <c r="F83" s="3"/>
      <c r="G83" s="3"/>
      <c r="H83" s="3"/>
      <c r="I83" s="3"/>
      <c r="J83" s="3"/>
      <c r="K83" s="3"/>
      <c r="L83" s="3"/>
      <c r="M83" s="3"/>
      <c r="N83" s="3"/>
      <c r="O83" s="3"/>
      <c r="P83" s="3"/>
      <c r="Q83" s="3"/>
      <c r="R83" s="3"/>
      <c r="S83" s="3"/>
      <c r="T83" s="3"/>
      <c r="U83" s="3"/>
      <c r="V83" s="3"/>
      <c r="W83" s="3"/>
      <c r="X83" s="3"/>
      <c r="Y83" s="3"/>
      <c r="Z83" s="3"/>
      <c r="AA83" s="3"/>
    </row>
    <row r="84" spans="1:27">
      <c r="A84" s="97"/>
      <c r="B84" s="97"/>
      <c r="C84" s="3"/>
      <c r="D84" s="3"/>
      <c r="E84" s="3"/>
      <c r="F84" s="3"/>
      <c r="G84" s="3"/>
      <c r="H84" s="3"/>
      <c r="I84" s="3"/>
      <c r="J84" s="3"/>
      <c r="K84" s="3"/>
      <c r="L84" s="3"/>
      <c r="M84" s="3"/>
      <c r="N84" s="3"/>
      <c r="O84" s="3"/>
      <c r="P84" s="3"/>
      <c r="Q84" s="3"/>
      <c r="R84" s="3"/>
      <c r="S84" s="3"/>
      <c r="T84" s="3"/>
      <c r="U84" s="3"/>
      <c r="V84" s="3"/>
      <c r="W84" s="3"/>
      <c r="X84" s="3"/>
      <c r="Y84" s="3"/>
      <c r="Z84" s="3"/>
      <c r="AA84" s="3"/>
    </row>
    <row r="85" spans="1:27">
      <c r="A85" s="97"/>
      <c r="B85" s="97"/>
      <c r="C85" s="3"/>
      <c r="D85" s="3"/>
      <c r="E85" s="3"/>
      <c r="F85" s="3"/>
      <c r="G85" s="3"/>
      <c r="H85" s="3"/>
      <c r="I85" s="3"/>
      <c r="J85" s="3"/>
      <c r="K85" s="3"/>
      <c r="L85" s="3"/>
      <c r="M85" s="3"/>
      <c r="N85" s="3"/>
      <c r="O85" s="3"/>
      <c r="P85" s="3"/>
      <c r="Q85" s="3"/>
      <c r="R85" s="3"/>
      <c r="S85" s="3"/>
      <c r="T85" s="3"/>
      <c r="U85" s="3"/>
      <c r="V85" s="3"/>
      <c r="W85" s="3"/>
      <c r="X85" s="3"/>
      <c r="Y85" s="3"/>
      <c r="Z85" s="3"/>
      <c r="AA85" s="3"/>
    </row>
    <row r="86" spans="1:27">
      <c r="A86" s="97"/>
      <c r="B86" s="97"/>
      <c r="C86" s="3"/>
      <c r="D86" s="3"/>
      <c r="E86" s="3"/>
      <c r="F86" s="3"/>
      <c r="G86" s="3"/>
      <c r="H86" s="3"/>
      <c r="I86" s="3"/>
      <c r="J86" s="3"/>
      <c r="K86" s="3"/>
      <c r="L86" s="3"/>
      <c r="M86" s="3"/>
      <c r="N86" s="3"/>
      <c r="O86" s="3"/>
      <c r="P86" s="3"/>
      <c r="Q86" s="3"/>
      <c r="R86" s="3"/>
      <c r="S86" s="3"/>
      <c r="T86" s="3"/>
      <c r="U86" s="3"/>
      <c r="V86" s="3"/>
      <c r="W86" s="3"/>
      <c r="X86" s="3"/>
      <c r="Y86" s="3"/>
      <c r="Z86" s="3"/>
      <c r="AA86" s="3"/>
    </row>
    <row r="87" spans="1:27">
      <c r="A87" s="97"/>
      <c r="B87" s="97"/>
      <c r="C87" s="3"/>
      <c r="D87" s="3"/>
      <c r="E87" s="3"/>
      <c r="F87" s="3"/>
      <c r="G87" s="3"/>
      <c r="H87" s="3"/>
      <c r="I87" s="3"/>
      <c r="J87" s="3"/>
      <c r="K87" s="3"/>
      <c r="L87" s="3"/>
      <c r="M87" s="3"/>
      <c r="N87" s="3"/>
      <c r="O87" s="3"/>
      <c r="P87" s="3"/>
      <c r="Q87" s="3"/>
      <c r="R87" s="3"/>
      <c r="S87" s="3"/>
      <c r="T87" s="3"/>
      <c r="U87" s="3"/>
      <c r="V87" s="3"/>
      <c r="W87" s="3"/>
      <c r="X87" s="3"/>
      <c r="Y87" s="3"/>
      <c r="Z87" s="3"/>
      <c r="AA87" s="3"/>
    </row>
    <row r="88" spans="1:27">
      <c r="A88" s="97"/>
      <c r="B88" s="97"/>
      <c r="C88" s="3"/>
      <c r="D88" s="3"/>
      <c r="E88" s="3"/>
      <c r="F88" s="3"/>
      <c r="G88" s="3"/>
      <c r="H88" s="3"/>
      <c r="I88" s="3"/>
      <c r="J88" s="3"/>
      <c r="K88" s="3"/>
      <c r="L88" s="3"/>
      <c r="M88" s="3"/>
      <c r="N88" s="3"/>
      <c r="O88" s="3"/>
      <c r="P88" s="3"/>
      <c r="Q88" s="3"/>
      <c r="R88" s="3"/>
      <c r="S88" s="3"/>
      <c r="T88" s="3"/>
      <c r="U88" s="3"/>
      <c r="V88" s="3"/>
      <c r="W88" s="3"/>
      <c r="X88" s="3"/>
      <c r="Y88" s="3"/>
      <c r="Z88" s="3"/>
      <c r="AA88" s="3"/>
    </row>
    <row r="89" spans="1:27">
      <c r="A89" s="97"/>
      <c r="B89" s="97"/>
      <c r="C89" s="3"/>
      <c r="D89" s="3"/>
      <c r="E89" s="3"/>
      <c r="F89" s="3"/>
      <c r="G89" s="3"/>
      <c r="H89" s="3"/>
      <c r="I89" s="3"/>
      <c r="J89" s="3"/>
      <c r="K89" s="3"/>
      <c r="L89" s="3"/>
      <c r="M89" s="3"/>
      <c r="N89" s="3"/>
      <c r="O89" s="3"/>
      <c r="P89" s="3"/>
      <c r="Q89" s="3"/>
      <c r="R89" s="3"/>
      <c r="S89" s="3"/>
      <c r="T89" s="3"/>
      <c r="U89" s="3"/>
      <c r="V89" s="3"/>
      <c r="W89" s="3"/>
      <c r="X89" s="3"/>
      <c r="Y89" s="3"/>
      <c r="Z89" s="3"/>
      <c r="AA89" s="3"/>
    </row>
    <row r="90" spans="1:27">
      <c r="A90" s="97"/>
      <c r="B90" s="97"/>
      <c r="C90" s="3"/>
      <c r="D90" s="3"/>
      <c r="E90" s="3"/>
      <c r="F90" s="3"/>
      <c r="G90" s="3"/>
      <c r="H90" s="3"/>
      <c r="I90" s="3"/>
      <c r="J90" s="3"/>
      <c r="K90" s="3"/>
      <c r="L90" s="3"/>
      <c r="M90" s="3"/>
      <c r="N90" s="3"/>
      <c r="O90" s="3"/>
      <c r="P90" s="3"/>
      <c r="Q90" s="3"/>
      <c r="R90" s="3"/>
      <c r="S90" s="3"/>
      <c r="T90" s="3"/>
      <c r="U90" s="3"/>
      <c r="V90" s="3"/>
      <c r="W90" s="3"/>
      <c r="X90" s="3"/>
      <c r="Y90" s="3"/>
      <c r="Z90" s="3"/>
      <c r="AA90" s="3"/>
    </row>
    <row r="91" spans="1:27">
      <c r="A91" s="97"/>
      <c r="B91" s="97"/>
      <c r="C91" s="3"/>
      <c r="D91" s="3"/>
      <c r="E91" s="3"/>
      <c r="F91" s="3"/>
      <c r="G91" s="3"/>
      <c r="H91" s="3"/>
      <c r="I91" s="3"/>
      <c r="J91" s="3"/>
      <c r="K91" s="3"/>
      <c r="L91" s="3"/>
      <c r="M91" s="3"/>
      <c r="N91" s="3"/>
      <c r="O91" s="3"/>
      <c r="P91" s="3"/>
      <c r="Q91" s="3"/>
      <c r="R91" s="3"/>
      <c r="S91" s="3"/>
      <c r="T91" s="3"/>
      <c r="U91" s="3"/>
      <c r="V91" s="3"/>
      <c r="W91" s="3"/>
      <c r="X91" s="3"/>
      <c r="Y91" s="3"/>
      <c r="Z91" s="3"/>
      <c r="AA91" s="3"/>
    </row>
    <row r="92" spans="1:27">
      <c r="A92" s="97"/>
      <c r="B92" s="97"/>
      <c r="C92" s="3"/>
      <c r="D92" s="3"/>
      <c r="E92" s="3"/>
      <c r="F92" s="3"/>
      <c r="G92" s="3"/>
      <c r="H92" s="3"/>
      <c r="I92" s="3"/>
      <c r="J92" s="3"/>
      <c r="K92" s="3"/>
      <c r="L92" s="3"/>
      <c r="M92" s="3"/>
      <c r="N92" s="3"/>
      <c r="O92" s="3"/>
      <c r="P92" s="3"/>
      <c r="Q92" s="3"/>
      <c r="R92" s="3"/>
      <c r="S92" s="3"/>
      <c r="T92" s="3"/>
      <c r="U92" s="3"/>
      <c r="V92" s="3"/>
      <c r="W92" s="3"/>
      <c r="X92" s="3"/>
      <c r="Y92" s="3"/>
      <c r="Z92" s="3"/>
      <c r="AA92" s="3"/>
    </row>
    <row r="93" spans="1:27">
      <c r="A93" s="97"/>
      <c r="B93" s="97"/>
      <c r="C93" s="3"/>
      <c r="D93" s="3"/>
      <c r="E93" s="3"/>
      <c r="F93" s="3"/>
      <c r="G93" s="3"/>
      <c r="H93" s="3"/>
      <c r="I93" s="3"/>
      <c r="J93" s="3"/>
      <c r="K93" s="3"/>
      <c r="L93" s="3"/>
      <c r="M93" s="3"/>
      <c r="N93" s="3"/>
      <c r="O93" s="3"/>
      <c r="P93" s="3"/>
      <c r="Q93" s="3"/>
      <c r="R93" s="3"/>
      <c r="S93" s="3"/>
      <c r="T93" s="3"/>
      <c r="U93" s="3"/>
      <c r="V93" s="3"/>
      <c r="W93" s="3"/>
      <c r="X93" s="3"/>
      <c r="Y93" s="3"/>
      <c r="Z93" s="3"/>
      <c r="AA93" s="3"/>
    </row>
    <row r="94" spans="1:27">
      <c r="A94" s="97"/>
      <c r="B94" s="97"/>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97"/>
      <c r="B95" s="97"/>
      <c r="C95" s="3"/>
      <c r="D95" s="3"/>
      <c r="E95" s="3"/>
      <c r="F95" s="3"/>
      <c r="G95" s="3"/>
      <c r="H95" s="3"/>
      <c r="I95" s="3"/>
      <c r="J95" s="3"/>
      <c r="K95" s="3"/>
      <c r="L95" s="3"/>
      <c r="M95" s="3"/>
      <c r="N95" s="3"/>
      <c r="O95" s="3"/>
      <c r="P95" s="3"/>
      <c r="Q95" s="3"/>
      <c r="R95" s="3"/>
      <c r="S95" s="3"/>
      <c r="T95" s="3"/>
      <c r="U95" s="3"/>
      <c r="V95" s="3"/>
      <c r="W95" s="3"/>
      <c r="X95" s="3"/>
      <c r="Y95" s="3"/>
      <c r="Z95" s="3"/>
      <c r="AA95" s="3"/>
    </row>
    <row r="96" spans="1:27">
      <c r="A96" s="97"/>
      <c r="B96" s="97"/>
      <c r="C96" s="3"/>
      <c r="D96" s="3"/>
      <c r="E96" s="3"/>
      <c r="F96" s="3"/>
      <c r="G96" s="3"/>
      <c r="H96" s="3"/>
      <c r="I96" s="3"/>
      <c r="J96" s="3"/>
      <c r="K96" s="3"/>
      <c r="L96" s="3"/>
      <c r="M96" s="3"/>
      <c r="N96" s="3"/>
      <c r="O96" s="3"/>
      <c r="P96" s="3"/>
      <c r="Q96" s="3"/>
      <c r="R96" s="3"/>
      <c r="S96" s="3"/>
      <c r="T96" s="3"/>
      <c r="U96" s="3"/>
      <c r="V96" s="3"/>
      <c r="W96" s="3"/>
      <c r="X96" s="3"/>
      <c r="Y96" s="3"/>
      <c r="Z96" s="3"/>
      <c r="AA96" s="3"/>
    </row>
    <row r="97" spans="1:27">
      <c r="A97" s="97"/>
      <c r="B97" s="97"/>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97"/>
      <c r="B98" s="97"/>
      <c r="C98" s="3"/>
      <c r="D98" s="3"/>
      <c r="E98" s="3"/>
      <c r="F98" s="3"/>
      <c r="G98" s="3"/>
      <c r="H98" s="3"/>
      <c r="I98" s="3"/>
      <c r="J98" s="3"/>
      <c r="K98" s="3"/>
      <c r="L98" s="3"/>
      <c r="M98" s="3"/>
      <c r="N98" s="3"/>
      <c r="O98" s="3"/>
      <c r="P98" s="3"/>
      <c r="Q98" s="3"/>
      <c r="R98" s="3"/>
      <c r="S98" s="3"/>
      <c r="T98" s="3"/>
      <c r="U98" s="3"/>
      <c r="V98" s="3"/>
      <c r="W98" s="3"/>
      <c r="X98" s="3"/>
      <c r="Y98" s="3"/>
      <c r="Z98" s="3"/>
      <c r="AA98" s="3"/>
    </row>
    <row r="99" spans="1:27">
      <c r="A99" s="97"/>
      <c r="B99" s="97"/>
      <c r="C99" s="3"/>
      <c r="D99" s="3"/>
      <c r="E99" s="3"/>
      <c r="F99" s="3"/>
      <c r="G99" s="3"/>
      <c r="H99" s="3"/>
      <c r="I99" s="3"/>
      <c r="J99" s="3"/>
      <c r="K99" s="3"/>
      <c r="L99" s="3"/>
      <c r="M99" s="3"/>
      <c r="N99" s="3"/>
      <c r="O99" s="3"/>
      <c r="P99" s="3"/>
      <c r="Q99" s="3"/>
      <c r="R99" s="3"/>
      <c r="S99" s="3"/>
      <c r="T99" s="3"/>
      <c r="U99" s="3"/>
      <c r="V99" s="3"/>
      <c r="W99" s="3"/>
      <c r="X99" s="3"/>
      <c r="Y99" s="3"/>
      <c r="Z99" s="3"/>
      <c r="AA99" s="3"/>
    </row>
    <row r="100" spans="1:27">
      <c r="A100" s="97"/>
      <c r="B100" s="97"/>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c r="A101" s="97"/>
      <c r="B101" s="97"/>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c r="A102" s="97"/>
      <c r="B102" s="97"/>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c r="A103" s="97"/>
      <c r="B103" s="97"/>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c r="A104" s="97"/>
      <c r="B104" s="97"/>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c r="A105" s="97"/>
      <c r="B105" s="97"/>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c r="A106" s="97"/>
      <c r="B106" s="97"/>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c r="A107" s="97"/>
      <c r="B107" s="97"/>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c r="A108" s="97"/>
      <c r="B108" s="97"/>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c r="A109" s="97"/>
      <c r="B109" s="97"/>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c r="A110" s="97"/>
      <c r="B110" s="97"/>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c r="A111" s="97"/>
      <c r="B111" s="97"/>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c r="A112" s="97"/>
      <c r="B112" s="97"/>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36">
      <c r="A113" s="97"/>
      <c r="B113" s="97"/>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36">
      <c r="A114" s="97"/>
      <c r="B114" s="97"/>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36">
      <c r="A115" s="97"/>
      <c r="B115" s="97"/>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36">
      <c r="A116" s="97"/>
      <c r="B116" s="97"/>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36">
      <c r="A117" s="97"/>
      <c r="B117" s="97"/>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36">
      <c r="A118" s="97"/>
      <c r="B118" s="97"/>
      <c r="C118" s="97"/>
      <c r="D118" s="97"/>
      <c r="E118" s="97"/>
      <c r="F118" s="97"/>
      <c r="G118" s="97"/>
      <c r="H118" s="97"/>
      <c r="I118" s="97"/>
      <c r="J118" s="97"/>
      <c r="K118" s="97"/>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c r="A119" s="97"/>
      <c r="B119" s="97"/>
      <c r="C119" s="97"/>
      <c r="D119" s="97"/>
      <c r="E119" s="97"/>
      <c r="F119" s="97"/>
      <c r="G119" s="97"/>
      <c r="H119" s="97"/>
      <c r="I119" s="97"/>
      <c r="J119" s="97"/>
      <c r="K119" s="97"/>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c r="A120" s="97"/>
      <c r="B120" s="97"/>
      <c r="C120" s="97"/>
      <c r="D120" s="97"/>
      <c r="E120" s="97"/>
      <c r="F120" s="97"/>
      <c r="G120" s="97"/>
      <c r="H120" s="97"/>
      <c r="I120" s="97"/>
      <c r="J120" s="97"/>
      <c r="K120" s="97"/>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c r="A121" s="97"/>
      <c r="B121" s="97"/>
      <c r="C121" s="97"/>
      <c r="D121" s="97"/>
      <c r="E121" s="97"/>
      <c r="F121" s="97"/>
      <c r="G121" s="97"/>
      <c r="H121" s="97"/>
      <c r="I121" s="97"/>
      <c r="J121" s="97"/>
      <c r="K121" s="97"/>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c r="A122" s="97"/>
      <c r="B122" s="97"/>
      <c r="C122" s="97"/>
      <c r="D122" s="97"/>
      <c r="E122" s="97"/>
      <c r="F122" s="97"/>
      <c r="G122" s="97"/>
      <c r="H122" s="97"/>
      <c r="I122" s="97"/>
      <c r="J122" s="97"/>
      <c r="K122" s="97"/>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c r="A123" s="97"/>
      <c r="B123" s="97"/>
      <c r="C123" s="97"/>
      <c r="D123" s="97"/>
      <c r="E123" s="97"/>
      <c r="F123" s="97"/>
      <c r="G123" s="97"/>
      <c r="H123" s="97"/>
      <c r="I123" s="97"/>
      <c r="J123" s="97"/>
      <c r="K123" s="97"/>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c r="A124" s="97"/>
      <c r="B124" s="97"/>
      <c r="C124" s="97"/>
      <c r="D124" s="97"/>
      <c r="E124" s="97"/>
      <c r="F124" s="97"/>
      <c r="G124" s="97"/>
      <c r="H124" s="97"/>
      <c r="I124" s="97"/>
      <c r="J124" s="97"/>
      <c r="K124" s="97"/>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c r="A125" s="97"/>
      <c r="B125" s="97"/>
      <c r="C125" s="97"/>
      <c r="D125" s="97"/>
      <c r="E125" s="97"/>
      <c r="F125" s="97"/>
      <c r="G125" s="97"/>
      <c r="H125" s="97"/>
      <c r="I125" s="97"/>
      <c r="J125" s="97"/>
      <c r="K125" s="97"/>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c r="A126" s="97"/>
      <c r="B126" s="97"/>
      <c r="C126" s="97"/>
      <c r="D126" s="97"/>
      <c r="E126" s="97"/>
      <c r="F126" s="97"/>
      <c r="G126" s="97"/>
      <c r="H126" s="97"/>
      <c r="I126" s="97"/>
      <c r="J126" s="97"/>
      <c r="K126" s="97"/>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c r="A127" s="97"/>
      <c r="B127" s="97"/>
      <c r="C127" s="97"/>
      <c r="D127" s="97"/>
      <c r="E127" s="97"/>
      <c r="F127" s="97"/>
      <c r="G127" s="97"/>
      <c r="H127" s="97"/>
      <c r="I127" s="97"/>
      <c r="J127" s="97"/>
      <c r="K127" s="97"/>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c r="A128" s="97"/>
      <c r="B128" s="97"/>
      <c r="C128" s="97"/>
      <c r="D128" s="97"/>
      <c r="E128" s="97"/>
      <c r="F128" s="97"/>
      <c r="G128" s="97"/>
      <c r="H128" s="97"/>
      <c r="I128" s="97"/>
      <c r="J128" s="97"/>
      <c r="K128" s="97"/>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c r="A129" s="97"/>
      <c r="B129" s="97"/>
      <c r="C129" s="97"/>
      <c r="D129" s="97"/>
      <c r="E129" s="97"/>
      <c r="F129" s="97"/>
      <c r="G129" s="97"/>
      <c r="H129" s="97"/>
      <c r="I129" s="97"/>
      <c r="J129" s="97"/>
      <c r="K129" s="97"/>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c r="A130" s="97"/>
      <c r="B130" s="97"/>
      <c r="C130" s="97"/>
      <c r="D130" s="97"/>
      <c r="E130" s="97"/>
      <c r="F130" s="97"/>
      <c r="G130" s="97"/>
      <c r="H130" s="97"/>
      <c r="I130" s="97"/>
      <c r="J130" s="97"/>
      <c r="K130" s="97"/>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c r="A131" s="97"/>
      <c r="B131" s="97"/>
      <c r="C131" s="97"/>
      <c r="D131" s="97"/>
      <c r="E131" s="97"/>
      <c r="F131" s="97"/>
      <c r="G131" s="97"/>
      <c r="H131" s="97"/>
      <c r="I131" s="97"/>
      <c r="J131" s="97"/>
      <c r="K131" s="97"/>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c r="A132" s="97"/>
      <c r="B132" s="97"/>
      <c r="C132" s="97"/>
      <c r="D132" s="97"/>
      <c r="E132" s="97"/>
      <c r="F132" s="97"/>
      <c r="G132" s="97"/>
      <c r="H132" s="97"/>
      <c r="I132" s="97"/>
      <c r="J132" s="97"/>
      <c r="K132" s="97"/>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c r="A133" s="97"/>
      <c r="B133" s="97"/>
      <c r="C133" s="97"/>
      <c r="D133" s="97"/>
      <c r="E133" s="97"/>
      <c r="F133" s="97"/>
      <c r="G133" s="97"/>
      <c r="H133" s="97"/>
      <c r="I133" s="97"/>
      <c r="J133" s="97"/>
      <c r="K133" s="97"/>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c r="A134" s="97"/>
      <c r="B134" s="97"/>
      <c r="C134" s="97"/>
      <c r="D134" s="97"/>
      <c r="E134" s="97"/>
      <c r="F134" s="97"/>
      <c r="G134" s="97"/>
      <c r="H134" s="97"/>
      <c r="I134" s="97"/>
      <c r="J134" s="97"/>
      <c r="K134" s="97"/>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c r="A135" s="97"/>
      <c r="B135" s="97"/>
      <c r="C135" s="97"/>
      <c r="D135" s="97"/>
      <c r="E135" s="97"/>
      <c r="F135" s="97"/>
      <c r="G135" s="97"/>
      <c r="H135" s="97"/>
      <c r="I135" s="97"/>
      <c r="J135" s="97"/>
      <c r="K135" s="97"/>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c r="A136" s="97"/>
      <c r="B136" s="97"/>
      <c r="C136" s="97"/>
      <c r="D136" s="97"/>
      <c r="E136" s="97"/>
      <c r="F136" s="97"/>
      <c r="G136" s="97"/>
      <c r="H136" s="97"/>
      <c r="I136" s="97"/>
      <c r="J136" s="97"/>
      <c r="K136" s="97"/>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c r="A137" s="97"/>
      <c r="B137" s="97"/>
      <c r="C137" s="97"/>
      <c r="D137" s="97"/>
      <c r="E137" s="97"/>
      <c r="F137" s="97"/>
      <c r="G137" s="97"/>
      <c r="H137" s="97"/>
      <c r="I137" s="97"/>
      <c r="J137" s="97"/>
      <c r="K137" s="97"/>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c r="A138" s="97"/>
      <c r="B138" s="97"/>
      <c r="C138" s="97"/>
      <c r="D138" s="97"/>
      <c r="E138" s="97"/>
      <c r="F138" s="97"/>
      <c r="G138" s="97"/>
      <c r="H138" s="97"/>
      <c r="I138" s="97"/>
      <c r="J138" s="97"/>
      <c r="K138" s="97"/>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c r="A139" s="97"/>
      <c r="B139" s="97"/>
      <c r="C139" s="97"/>
      <c r="D139" s="97"/>
      <c r="E139" s="97"/>
      <c r="F139" s="97"/>
      <c r="G139" s="97"/>
      <c r="H139" s="97"/>
      <c r="I139" s="97"/>
      <c r="J139" s="97"/>
      <c r="K139" s="97"/>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c r="A140" s="97"/>
      <c r="B140" s="97"/>
      <c r="C140" s="97"/>
      <c r="D140" s="97"/>
      <c r="E140" s="97"/>
      <c r="F140" s="97"/>
      <c r="G140" s="97"/>
      <c r="H140" s="97"/>
      <c r="I140" s="97"/>
      <c r="J140" s="97"/>
      <c r="K140" s="97"/>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c r="A141" s="97"/>
      <c r="B141" s="97"/>
      <c r="C141" s="97"/>
      <c r="D141" s="97"/>
      <c r="E141" s="97"/>
      <c r="F141" s="97"/>
      <c r="G141" s="97"/>
      <c r="H141" s="97"/>
      <c r="I141" s="97"/>
      <c r="J141" s="97"/>
      <c r="K141" s="97"/>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c r="A142" s="97"/>
      <c r="B142" s="97"/>
      <c r="C142" s="97"/>
      <c r="D142" s="97"/>
      <c r="E142" s="97"/>
      <c r="F142" s="97"/>
      <c r="G142" s="97"/>
      <c r="H142" s="97"/>
      <c r="I142" s="97"/>
      <c r="J142" s="97"/>
      <c r="K142" s="97"/>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c r="A143" s="97"/>
      <c r="B143" s="97"/>
      <c r="C143" s="97"/>
      <c r="D143" s="97"/>
      <c r="E143" s="97"/>
      <c r="F143" s="97"/>
      <c r="G143" s="97"/>
      <c r="H143" s="97"/>
      <c r="I143" s="97"/>
      <c r="J143" s="97"/>
      <c r="K143" s="97"/>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c r="A144" s="97"/>
      <c r="B144" s="97"/>
      <c r="C144" s="97"/>
      <c r="D144" s="97"/>
      <c r="E144" s="97"/>
      <c r="F144" s="97"/>
      <c r="G144" s="97"/>
      <c r="H144" s="97"/>
      <c r="I144" s="97"/>
      <c r="J144" s="97"/>
      <c r="K144" s="97"/>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c r="A145" s="97"/>
      <c r="B145" s="97"/>
      <c r="C145" s="97"/>
      <c r="D145" s="97"/>
      <c r="E145" s="97"/>
      <c r="F145" s="97"/>
      <c r="G145" s="97"/>
      <c r="H145" s="97"/>
      <c r="I145" s="97"/>
      <c r="J145" s="97"/>
      <c r="K145" s="97"/>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c r="A146" s="97"/>
      <c r="B146" s="97"/>
      <c r="C146" s="97"/>
      <c r="D146" s="97"/>
      <c r="E146" s="97"/>
      <c r="F146" s="97"/>
      <c r="G146" s="97"/>
      <c r="H146" s="97"/>
      <c r="I146" s="97"/>
      <c r="J146" s="97"/>
      <c r="K146" s="97"/>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c r="A147" s="97"/>
      <c r="B147" s="97"/>
      <c r="C147" s="97"/>
      <c r="D147" s="97"/>
      <c r="E147" s="97"/>
      <c r="F147" s="97"/>
      <c r="G147" s="97"/>
      <c r="H147" s="97"/>
      <c r="I147" s="97"/>
      <c r="J147" s="97"/>
      <c r="K147" s="97"/>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c r="A148" s="97"/>
      <c r="B148" s="97"/>
      <c r="C148" s="97"/>
      <c r="D148" s="97"/>
      <c r="E148" s="97"/>
      <c r="F148" s="97"/>
      <c r="G148" s="97"/>
      <c r="H148" s="97"/>
      <c r="I148" s="97"/>
      <c r="J148" s="97"/>
      <c r="K148" s="97"/>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c r="A149" s="97"/>
      <c r="B149" s="97"/>
      <c r="C149" s="97"/>
      <c r="D149" s="97"/>
      <c r="E149" s="97"/>
      <c r="F149" s="97"/>
      <c r="G149" s="97"/>
      <c r="H149" s="97"/>
      <c r="I149" s="97"/>
      <c r="J149" s="97"/>
      <c r="K149" s="97"/>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c r="A150" s="97"/>
      <c r="B150" s="97"/>
      <c r="C150" s="97"/>
      <c r="D150" s="97"/>
      <c r="E150" s="97"/>
      <c r="F150" s="97"/>
      <c r="G150" s="97"/>
      <c r="H150" s="97"/>
      <c r="I150" s="97"/>
      <c r="J150" s="97"/>
      <c r="K150" s="97"/>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c r="A151" s="97"/>
      <c r="B151" s="97"/>
      <c r="C151" s="97"/>
      <c r="D151" s="97"/>
      <c r="E151" s="97"/>
      <c r="F151" s="97"/>
      <c r="G151" s="97"/>
      <c r="H151" s="97"/>
      <c r="I151" s="97"/>
      <c r="J151" s="97"/>
      <c r="K151" s="97"/>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c r="A152" s="97"/>
      <c r="B152" s="97"/>
      <c r="C152" s="97"/>
      <c r="D152" s="97"/>
      <c r="E152" s="97"/>
      <c r="F152" s="97"/>
      <c r="G152" s="97"/>
      <c r="H152" s="97"/>
      <c r="I152" s="97"/>
      <c r="J152" s="97"/>
      <c r="K152" s="97"/>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c r="A153" s="97"/>
      <c r="B153" s="97"/>
      <c r="C153" s="97"/>
      <c r="D153" s="97"/>
      <c r="E153" s="97"/>
      <c r="F153" s="97"/>
      <c r="G153" s="97"/>
      <c r="H153" s="97"/>
      <c r="I153" s="97"/>
      <c r="J153" s="97"/>
      <c r="K153" s="97"/>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c r="A154" s="97"/>
      <c r="B154" s="97"/>
      <c r="C154" s="97"/>
      <c r="D154" s="97"/>
      <c r="E154" s="97"/>
      <c r="F154" s="97"/>
      <c r="G154" s="97"/>
      <c r="H154" s="97"/>
      <c r="I154" s="97"/>
      <c r="J154" s="97"/>
      <c r="K154" s="97"/>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c r="A155" s="97"/>
      <c r="B155" s="97"/>
      <c r="C155" s="97"/>
      <c r="D155" s="97"/>
      <c r="E155" s="97"/>
      <c r="F155" s="97"/>
      <c r="G155" s="97"/>
      <c r="H155" s="97"/>
      <c r="I155" s="97"/>
      <c r="J155" s="97"/>
      <c r="K155" s="97"/>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c r="A156" s="97"/>
      <c r="B156" s="97"/>
      <c r="C156" s="97"/>
      <c r="D156" s="97"/>
      <c r="E156" s="97"/>
      <c r="F156" s="97"/>
      <c r="G156" s="97"/>
      <c r="H156" s="97"/>
      <c r="I156" s="97"/>
      <c r="J156" s="97"/>
      <c r="K156" s="97"/>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c r="A157" s="97"/>
      <c r="B157" s="97"/>
      <c r="C157" s="97"/>
      <c r="D157" s="97"/>
      <c r="E157" s="97"/>
      <c r="F157" s="97"/>
      <c r="G157" s="97"/>
      <c r="H157" s="97"/>
      <c r="I157" s="97"/>
      <c r="J157" s="97"/>
      <c r="K157" s="97"/>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c r="A158" s="97"/>
      <c r="B158" s="97"/>
      <c r="C158" s="97"/>
      <c r="D158" s="97"/>
      <c r="E158" s="97"/>
      <c r="F158" s="97"/>
      <c r="G158" s="97"/>
      <c r="H158" s="97"/>
      <c r="I158" s="97"/>
      <c r="J158" s="97"/>
      <c r="K158" s="97"/>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c r="A159" s="97"/>
      <c r="B159" s="97"/>
      <c r="C159" s="97"/>
      <c r="D159" s="97"/>
      <c r="E159" s="97"/>
      <c r="F159" s="97"/>
      <c r="G159" s="97"/>
      <c r="H159" s="97"/>
      <c r="I159" s="97"/>
      <c r="J159" s="97"/>
      <c r="K159" s="97"/>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c r="A160" s="97"/>
      <c r="B160" s="97"/>
      <c r="C160" s="97"/>
      <c r="D160" s="97"/>
      <c r="E160" s="97"/>
      <c r="F160" s="97"/>
      <c r="G160" s="97"/>
      <c r="H160" s="97"/>
      <c r="I160" s="97"/>
      <c r="J160" s="97"/>
      <c r="K160" s="97"/>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c r="A161" s="97"/>
      <c r="B161" s="97"/>
      <c r="C161" s="97"/>
      <c r="D161" s="97"/>
      <c r="E161" s="97"/>
      <c r="F161" s="97"/>
      <c r="G161" s="97"/>
      <c r="H161" s="97"/>
      <c r="I161" s="97"/>
      <c r="J161" s="97"/>
      <c r="K161" s="97"/>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c r="A162" s="97"/>
      <c r="B162" s="97"/>
      <c r="C162" s="97"/>
      <c r="D162" s="97"/>
      <c r="E162" s="97"/>
      <c r="F162" s="97"/>
      <c r="G162" s="97"/>
      <c r="H162" s="97"/>
      <c r="I162" s="97"/>
      <c r="J162" s="97"/>
      <c r="K162" s="97"/>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c r="A163" s="97"/>
      <c r="B163" s="97"/>
      <c r="C163" s="97"/>
      <c r="D163" s="97"/>
      <c r="E163" s="97"/>
      <c r="F163" s="97"/>
      <c r="G163" s="97"/>
      <c r="H163" s="97"/>
      <c r="I163" s="97"/>
      <c r="J163" s="97"/>
      <c r="K163" s="97"/>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c r="A164" s="97"/>
      <c r="B164" s="97"/>
      <c r="C164" s="97"/>
      <c r="D164" s="97"/>
      <c r="E164" s="97"/>
      <c r="F164" s="97"/>
      <c r="G164" s="97"/>
      <c r="H164" s="97"/>
      <c r="I164" s="97"/>
      <c r="J164" s="97"/>
      <c r="K164" s="97"/>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c r="A165" s="97"/>
      <c r="B165" s="97"/>
      <c r="C165" s="97"/>
      <c r="D165" s="97"/>
      <c r="E165" s="97"/>
      <c r="F165" s="97"/>
      <c r="G165" s="97"/>
      <c r="H165" s="97"/>
      <c r="I165" s="97"/>
      <c r="J165" s="97"/>
      <c r="K165" s="97"/>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c r="A166" s="97"/>
      <c r="B166" s="97"/>
      <c r="C166" s="97"/>
      <c r="D166" s="97"/>
      <c r="E166" s="97"/>
      <c r="F166" s="97"/>
      <c r="G166" s="97"/>
      <c r="H166" s="97"/>
      <c r="I166" s="97"/>
      <c r="J166" s="97"/>
      <c r="K166" s="97"/>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c r="A167" s="97"/>
      <c r="B167" s="97"/>
      <c r="C167" s="97"/>
      <c r="D167" s="97"/>
      <c r="E167" s="97"/>
      <c r="F167" s="97"/>
      <c r="G167" s="97"/>
      <c r="H167" s="97"/>
      <c r="I167" s="97"/>
      <c r="J167" s="97"/>
      <c r="K167" s="97"/>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c r="A168" s="97"/>
      <c r="B168" s="97"/>
      <c r="C168" s="97"/>
      <c r="D168" s="97"/>
      <c r="E168" s="97"/>
      <c r="F168" s="97"/>
      <c r="G168" s="97"/>
      <c r="H168" s="97"/>
      <c r="I168" s="97"/>
      <c r="J168" s="97"/>
      <c r="K168" s="97"/>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c r="A169" s="97"/>
      <c r="B169" s="97"/>
      <c r="C169" s="97"/>
      <c r="D169" s="97"/>
      <c r="E169" s="97"/>
      <c r="F169" s="97"/>
      <c r="G169" s="97"/>
      <c r="H169" s="97"/>
      <c r="I169" s="97"/>
      <c r="J169" s="97"/>
      <c r="K169" s="97"/>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c r="A170" s="97"/>
      <c r="B170" s="97"/>
      <c r="C170" s="97"/>
      <c r="D170" s="97"/>
      <c r="E170" s="97"/>
      <c r="F170" s="97"/>
      <c r="G170" s="97"/>
      <c r="H170" s="97"/>
      <c r="I170" s="97"/>
      <c r="J170" s="97"/>
      <c r="K170" s="97"/>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c r="A171" s="97"/>
      <c r="B171" s="97"/>
      <c r="C171" s="97"/>
      <c r="D171" s="97"/>
      <c r="E171" s="97"/>
      <c r="F171" s="97"/>
      <c r="G171" s="97"/>
      <c r="H171" s="97"/>
      <c r="I171" s="97"/>
      <c r="J171" s="97"/>
      <c r="K171" s="97"/>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c r="A172" s="97"/>
      <c r="B172" s="97"/>
      <c r="C172" s="97"/>
      <c r="D172" s="97"/>
      <c r="E172" s="97"/>
      <c r="F172" s="97"/>
      <c r="G172" s="97"/>
      <c r="H172" s="97"/>
      <c r="I172" s="97"/>
      <c r="J172" s="97"/>
      <c r="K172" s="97"/>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c r="A173" s="97"/>
      <c r="B173" s="97"/>
      <c r="C173" s="97"/>
      <c r="D173" s="97"/>
      <c r="E173" s="97"/>
      <c r="F173" s="97"/>
      <c r="G173" s="97"/>
      <c r="H173" s="97"/>
      <c r="I173" s="97"/>
      <c r="J173" s="97"/>
      <c r="K173" s="97"/>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c r="A174" s="97"/>
      <c r="B174" s="97"/>
      <c r="C174" s="97"/>
      <c r="D174" s="97"/>
      <c r="E174" s="97"/>
      <c r="F174" s="97"/>
      <c r="G174" s="97"/>
      <c r="H174" s="97"/>
      <c r="I174" s="97"/>
      <c r="J174" s="97"/>
      <c r="K174" s="97"/>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c r="A175" s="97"/>
      <c r="B175" s="97"/>
      <c r="C175" s="97"/>
      <c r="D175" s="97"/>
      <c r="E175" s="97"/>
      <c r="F175" s="97"/>
      <c r="G175" s="97"/>
      <c r="H175" s="97"/>
      <c r="I175" s="97"/>
      <c r="J175" s="97"/>
      <c r="K175" s="97"/>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c r="A176" s="97"/>
      <c r="B176" s="97"/>
      <c r="C176" s="97"/>
      <c r="D176" s="97"/>
      <c r="E176" s="97"/>
      <c r="F176" s="97"/>
      <c r="G176" s="97"/>
      <c r="H176" s="97"/>
      <c r="I176" s="97"/>
      <c r="J176" s="97"/>
      <c r="K176" s="97"/>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c r="A177" s="97"/>
      <c r="B177" s="97"/>
      <c r="C177" s="97"/>
      <c r="D177" s="97"/>
      <c r="E177" s="97"/>
      <c r="F177" s="97"/>
      <c r="G177" s="97"/>
      <c r="H177" s="97"/>
      <c r="I177" s="97"/>
      <c r="J177" s="97"/>
      <c r="K177" s="97"/>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c r="A178" s="97"/>
      <c r="B178" s="97"/>
      <c r="C178" s="97"/>
      <c r="D178" s="97"/>
      <c r="E178" s="97"/>
      <c r="F178" s="97"/>
      <c r="G178" s="97"/>
      <c r="H178" s="97"/>
      <c r="I178" s="97"/>
      <c r="J178" s="97"/>
      <c r="K178" s="97"/>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c r="A179" s="97"/>
      <c r="B179" s="97"/>
      <c r="C179" s="97"/>
      <c r="D179" s="97"/>
      <c r="E179" s="97"/>
      <c r="F179" s="97"/>
      <c r="G179" s="97"/>
      <c r="H179" s="97"/>
      <c r="I179" s="97"/>
      <c r="J179" s="97"/>
      <c r="K179" s="97"/>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c r="A180" s="97"/>
      <c r="B180" s="97"/>
      <c r="C180" s="97"/>
      <c r="D180" s="97"/>
      <c r="E180" s="97"/>
      <c r="F180" s="97"/>
      <c r="G180" s="97"/>
      <c r="H180" s="97"/>
      <c r="I180" s="97"/>
      <c r="J180" s="97"/>
      <c r="K180" s="97"/>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c r="A181" s="97"/>
      <c r="B181" s="97"/>
      <c r="C181" s="97"/>
      <c r="D181" s="97"/>
      <c r="E181" s="97"/>
      <c r="F181" s="97"/>
      <c r="G181" s="97"/>
      <c r="H181" s="97"/>
      <c r="I181" s="97"/>
      <c r="J181" s="97"/>
      <c r="K181" s="97"/>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c r="A182" s="97"/>
      <c r="B182" s="97"/>
      <c r="C182" s="97"/>
      <c r="D182" s="97"/>
      <c r="E182" s="97"/>
      <c r="F182" s="97"/>
      <c r="G182" s="97"/>
      <c r="H182" s="97"/>
      <c r="I182" s="97"/>
      <c r="J182" s="97"/>
      <c r="K182" s="97"/>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c r="A183" s="97"/>
      <c r="B183" s="97"/>
      <c r="C183" s="97"/>
      <c r="D183" s="97"/>
      <c r="E183" s="97"/>
      <c r="F183" s="97"/>
      <c r="G183" s="97"/>
      <c r="H183" s="97"/>
      <c r="I183" s="97"/>
      <c r="J183" s="97"/>
      <c r="K183" s="97"/>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c r="A184" s="97"/>
      <c r="B184" s="97"/>
      <c r="C184" s="97"/>
      <c r="D184" s="97"/>
      <c r="E184" s="97"/>
      <c r="F184" s="97"/>
      <c r="G184" s="97"/>
      <c r="H184" s="97"/>
      <c r="I184" s="97"/>
      <c r="J184" s="97"/>
      <c r="K184" s="97"/>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c r="A185" s="97"/>
      <c r="B185" s="97"/>
      <c r="C185" s="97"/>
      <c r="D185" s="97"/>
      <c r="E185" s="97"/>
      <c r="F185" s="97"/>
      <c r="G185" s="97"/>
      <c r="H185" s="97"/>
      <c r="I185" s="97"/>
      <c r="J185" s="97"/>
      <c r="K185" s="97"/>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c r="A186" s="97"/>
      <c r="B186" s="97"/>
      <c r="C186" s="97"/>
      <c r="D186" s="97"/>
      <c r="E186" s="97"/>
      <c r="F186" s="97"/>
      <c r="G186" s="97"/>
      <c r="H186" s="97"/>
      <c r="I186" s="97"/>
      <c r="J186" s="97"/>
      <c r="K186" s="97"/>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c r="A187" s="97"/>
      <c r="B187" s="97"/>
      <c r="C187" s="97"/>
      <c r="D187" s="97"/>
      <c r="E187" s="97"/>
      <c r="F187" s="97"/>
      <c r="G187" s="97"/>
      <c r="H187" s="97"/>
      <c r="I187" s="97"/>
      <c r="J187" s="97"/>
      <c r="K187" s="97"/>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c r="A188" s="97"/>
      <c r="B188" s="97"/>
      <c r="C188" s="97"/>
      <c r="D188" s="97"/>
      <c r="E188" s="97"/>
      <c r="F188" s="97"/>
      <c r="G188" s="97"/>
      <c r="H188" s="97"/>
      <c r="I188" s="97"/>
      <c r="J188" s="97"/>
      <c r="K188" s="97"/>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c r="A189" s="97"/>
      <c r="B189" s="97"/>
      <c r="C189" s="97"/>
      <c r="D189" s="97"/>
      <c r="E189" s="97"/>
      <c r="F189" s="97"/>
      <c r="G189" s="97"/>
      <c r="H189" s="97"/>
      <c r="I189" s="97"/>
      <c r="J189" s="97"/>
      <c r="K189" s="97"/>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c r="A190" s="97"/>
      <c r="B190" s="97"/>
      <c r="C190" s="97"/>
      <c r="D190" s="97"/>
      <c r="E190" s="97"/>
      <c r="F190" s="97"/>
      <c r="G190" s="97"/>
      <c r="H190" s="97"/>
      <c r="I190" s="97"/>
      <c r="J190" s="97"/>
      <c r="K190" s="97"/>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c r="A191" s="97"/>
      <c r="B191" s="97"/>
      <c r="C191" s="97"/>
      <c r="D191" s="97"/>
      <c r="E191" s="97"/>
      <c r="F191" s="97"/>
      <c r="G191" s="97"/>
      <c r="H191" s="97"/>
      <c r="I191" s="97"/>
      <c r="J191" s="97"/>
      <c r="K191" s="97"/>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c r="A192" s="97"/>
      <c r="B192" s="97"/>
      <c r="C192" s="97"/>
      <c r="D192" s="97"/>
      <c r="E192" s="97"/>
      <c r="F192" s="97"/>
      <c r="G192" s="97"/>
      <c r="H192" s="97"/>
      <c r="I192" s="97"/>
      <c r="J192" s="97"/>
      <c r="K192" s="97"/>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47">
      <c r="A193" s="97"/>
      <c r="B193" s="97"/>
      <c r="C193" s="97"/>
      <c r="D193" s="97"/>
      <c r="E193" s="97"/>
      <c r="F193" s="97"/>
      <c r="G193" s="97"/>
      <c r="H193" s="97"/>
      <c r="I193" s="97"/>
      <c r="J193" s="97"/>
      <c r="K193" s="97"/>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47">
      <c r="A194" s="97"/>
      <c r="B194" s="97"/>
      <c r="C194" s="97"/>
      <c r="D194" s="97"/>
      <c r="E194" s="97"/>
      <c r="F194" s="97"/>
      <c r="G194" s="97"/>
      <c r="H194" s="97"/>
      <c r="I194" s="97"/>
      <c r="J194" s="97"/>
      <c r="K194" s="97"/>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47">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row>
    <row r="221" spans="1:47">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row>
    <row r="222" spans="1:47">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row>
    <row r="223" spans="1:47">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row>
    <row r="224" spans="1:47">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row>
    <row r="225" spans="1:47">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row>
    <row r="226" spans="1:47">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row>
    <row r="248" spans="1:47">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row>
    <row r="249" spans="1:47">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row>
    <row r="250" spans="1:47">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row>
    <row r="251" spans="1:47">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row>
    <row r="252" spans="1:47">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row>
    <row r="254" spans="1:47">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row>
    <row r="255" spans="1:47">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row>
    <row r="256" spans="1:47">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row>
    <row r="257" spans="1:4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row>
    <row r="259" spans="1:4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row>
    <row r="260" spans="1:4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row>
    <row r="261" spans="1:4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row>
    <row r="262" spans="1:4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row>
    <row r="263" spans="1:4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row>
    <row r="287" spans="1:4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row>
    <row r="288" spans="1:4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row>
    <row r="289" spans="1:4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row>
    <row r="290" spans="1:4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row>
    <row r="291" spans="1:4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row>
    <row r="292" spans="1:4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row>
    <row r="293" spans="1:4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row>
    <row r="294" spans="1:4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row>
    <row r="295" spans="1:4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row>
    <row r="296" spans="1:4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row>
    <row r="340" spans="1:4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row>
    <row r="341" spans="1:4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row>
    <row r="342" spans="1:4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row>
    <row r="343" spans="1:4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row>
    <row r="344" spans="1:4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row>
    <row r="345" spans="1:4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row>
    <row r="346" spans="1:4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row>
    <row r="347" spans="1: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row>
    <row r="348" spans="1:4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row>
    <row r="349" spans="1:4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row>
    <row r="350" spans="1:4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row>
    <row r="351" spans="1:4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row>
    <row r="352" spans="1:4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row>
    <row r="353" spans="1:4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row>
    <row r="354" spans="1:4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row>
    <row r="355" spans="1:4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row>
    <row r="356" spans="1:4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row>
    <row r="372" spans="1:4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row>
    <row r="373" spans="1:4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row>
    <row r="374" spans="1:4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row>
    <row r="375" spans="1:4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row>
    <row r="376" spans="1:4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row>
    <row r="377" spans="1:4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row>
    <row r="378" spans="1:4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row>
    <row r="385" spans="1:4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row>
    <row r="386" spans="1:4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row>
    <row r="387" spans="1:4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row>
    <row r="388" spans="1:4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row>
    <row r="389" spans="1:4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row>
    <row r="390" spans="1:4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row>
    <row r="391" spans="1:4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row>
    <row r="398" spans="1:4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row>
    <row r="399" spans="1:4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row>
    <row r="400" spans="1:4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row>
    <row r="401" spans="1:4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row>
    <row r="402" spans="1:4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row>
    <row r="403" spans="1:4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row>
    <row r="404" spans="1:4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row>
    <row r="411" spans="1:4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row>
    <row r="412" spans="1:4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row>
    <row r="413" spans="1:4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row>
    <row r="414" spans="1:4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row>
    <row r="415" spans="1:4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row>
    <row r="416" spans="1:4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row>
    <row r="417" spans="1:4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row>
    <row r="418" spans="1:4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row>
    <row r="419" spans="1:4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row>
    <row r="420" spans="1:4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row>
    <row r="421" spans="1:4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row>
    <row r="422" spans="1:4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row>
    <row r="423" spans="1:4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row>
    <row r="424" spans="1:4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row>
    <row r="425" spans="1:4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row>
    <row r="426" spans="1:4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row>
    <row r="427" spans="1:4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row>
    <row r="428" spans="1:4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row>
    <row r="429" spans="1:4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row>
    <row r="430" spans="1:4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row>
    <row r="431" spans="1:4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row>
    <row r="432" spans="1:4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row>
    <row r="433" spans="1:12">
      <c r="A433" s="3"/>
      <c r="B433" s="3"/>
      <c r="C433" s="3"/>
      <c r="D433" s="3"/>
      <c r="E433" s="3"/>
      <c r="F433" s="3"/>
      <c r="G433" s="3"/>
      <c r="H433" s="3"/>
      <c r="I433" s="3"/>
      <c r="J433" s="3"/>
      <c r="K433" s="3"/>
      <c r="L433" s="3"/>
    </row>
    <row r="434" spans="1:12">
      <c r="A434" s="3"/>
      <c r="B434" s="3"/>
      <c r="C434" s="3"/>
      <c r="D434" s="3"/>
      <c r="E434" s="3"/>
      <c r="F434" s="3"/>
      <c r="G434" s="3"/>
      <c r="H434" s="3"/>
      <c r="I434" s="3"/>
      <c r="J434" s="3"/>
      <c r="K434" s="3"/>
      <c r="L434" s="3"/>
    </row>
    <row r="435" spans="1:12">
      <c r="A435" s="3"/>
      <c r="B435" s="3"/>
      <c r="C435" s="3"/>
      <c r="D435" s="3"/>
      <c r="E435" s="3"/>
      <c r="F435" s="3"/>
      <c r="G435" s="3"/>
      <c r="H435" s="3"/>
      <c r="I435" s="3"/>
      <c r="J435" s="3"/>
      <c r="K435" s="3"/>
      <c r="L435" s="3"/>
    </row>
    <row r="436" spans="1:12">
      <c r="A436" s="3"/>
      <c r="B436" s="3"/>
      <c r="C436" s="3"/>
      <c r="D436" s="3"/>
      <c r="E436" s="3"/>
      <c r="F436" s="3"/>
      <c r="G436" s="3"/>
      <c r="H436" s="3"/>
      <c r="I436" s="3"/>
      <c r="J436" s="3"/>
      <c r="K436" s="3"/>
      <c r="L436" s="3"/>
    </row>
    <row r="437" spans="1:12">
      <c r="A437" s="3"/>
      <c r="B437" s="3"/>
      <c r="C437" s="3"/>
      <c r="D437" s="3"/>
      <c r="E437" s="3"/>
      <c r="F437" s="3"/>
      <c r="G437" s="3"/>
      <c r="H437" s="3"/>
      <c r="I437" s="3"/>
      <c r="J437" s="3"/>
    </row>
    <row r="438" spans="1:12">
      <c r="A438" s="3"/>
      <c r="B438" s="3"/>
      <c r="C438" s="3"/>
      <c r="D438" s="3"/>
      <c r="E438" s="3"/>
      <c r="F438" s="3"/>
      <c r="G438" s="3"/>
      <c r="H438" s="3"/>
    </row>
    <row r="439" spans="1:12">
      <c r="A439" s="3"/>
      <c r="B439" s="3"/>
      <c r="C439" s="3"/>
      <c r="D439" s="3"/>
      <c r="E439" s="3"/>
      <c r="F439" s="3"/>
      <c r="G439" s="3"/>
      <c r="H439" s="3"/>
    </row>
    <row r="440" spans="1:12">
      <c r="A440" s="3"/>
      <c r="B440" s="3"/>
      <c r="C440" s="3"/>
      <c r="D440" s="3"/>
      <c r="E440" s="3"/>
      <c r="F440" s="3"/>
      <c r="G440" s="3"/>
      <c r="H440" s="3"/>
    </row>
    <row r="441" spans="1:12">
      <c r="A441" s="3"/>
      <c r="B441" s="3"/>
      <c r="C441" s="3"/>
      <c r="D441" s="3"/>
      <c r="E441" s="3"/>
      <c r="F441" s="3"/>
      <c r="G441" s="3"/>
      <c r="H441" s="3"/>
    </row>
    <row r="442" spans="1:12">
      <c r="A442" s="3"/>
      <c r="B442" s="3"/>
      <c r="C442" s="3"/>
      <c r="D442" s="3"/>
      <c r="E442" s="3"/>
      <c r="F442" s="3"/>
      <c r="G442" s="3"/>
      <c r="H442" s="3"/>
    </row>
    <row r="443" spans="1:12">
      <c r="A443" s="3"/>
      <c r="B443" s="3"/>
      <c r="C443" s="3"/>
      <c r="D443" s="3"/>
      <c r="E443" s="3"/>
      <c r="F443" s="3"/>
      <c r="G443" s="3"/>
      <c r="H443" s="3"/>
    </row>
    <row r="444" spans="1:12">
      <c r="A444" s="3"/>
      <c r="B444" s="3"/>
      <c r="C444" s="3"/>
      <c r="D444" s="3"/>
      <c r="E444" s="3"/>
      <c r="F444" s="3"/>
      <c r="G444" s="3"/>
      <c r="H444" s="3"/>
    </row>
    <row r="445" spans="1:12">
      <c r="A445" s="3"/>
      <c r="B445" s="3"/>
      <c r="C445" s="3"/>
      <c r="D445" s="3"/>
      <c r="E445" s="3"/>
      <c r="F445" s="3"/>
      <c r="G445" s="3"/>
      <c r="H445" s="3"/>
    </row>
    <row r="446" spans="1:12">
      <c r="A446" s="3"/>
      <c r="B446" s="3"/>
      <c r="C446" s="3"/>
      <c r="D446" s="3"/>
      <c r="E446" s="3"/>
      <c r="F446" s="3"/>
      <c r="G446" s="3"/>
      <c r="H446" s="3"/>
    </row>
    <row r="447" spans="1:12">
      <c r="A447" s="3"/>
      <c r="B447" s="3"/>
      <c r="C447" s="3"/>
      <c r="D447" s="3"/>
      <c r="E447" s="3"/>
      <c r="F447" s="3"/>
      <c r="G447" s="3"/>
      <c r="H447" s="3"/>
    </row>
    <row r="448" spans="1:12">
      <c r="A448" s="3"/>
      <c r="B448" s="3"/>
      <c r="C448" s="3"/>
      <c r="D448" s="3"/>
      <c r="E448" s="3"/>
      <c r="F448" s="3"/>
      <c r="G448" s="3"/>
      <c r="H448" s="3"/>
    </row>
    <row r="449" spans="1:8">
      <c r="A449" s="3"/>
      <c r="B449" s="3"/>
      <c r="C449" s="3"/>
      <c r="D449" s="3"/>
      <c r="E449" s="3"/>
      <c r="F449" s="3"/>
      <c r="G449" s="3"/>
      <c r="H449" s="3"/>
    </row>
    <row r="450" spans="1:8">
      <c r="A450" s="3"/>
      <c r="B450" s="3"/>
      <c r="C450" s="3"/>
      <c r="D450" s="3"/>
      <c r="E450" s="3"/>
      <c r="F450" s="3"/>
      <c r="G450" s="3"/>
      <c r="H450" s="3"/>
    </row>
    <row r="451" spans="1:8">
      <c r="A451" s="3"/>
      <c r="B451" s="3"/>
      <c r="C451" s="3"/>
      <c r="D451" s="3"/>
      <c r="E451" s="3"/>
      <c r="F451" s="3"/>
      <c r="G451" s="3"/>
      <c r="H451" s="3"/>
    </row>
    <row r="452" spans="1:8">
      <c r="A452" s="3"/>
      <c r="B452" s="3"/>
      <c r="C452" s="3"/>
      <c r="D452" s="3"/>
      <c r="E452" s="3"/>
      <c r="F452" s="3"/>
      <c r="G452" s="3"/>
      <c r="H452" s="3"/>
    </row>
    <row r="453" spans="1:8">
      <c r="A453" s="3"/>
      <c r="B453" s="3"/>
      <c r="C453" s="3"/>
      <c r="D453" s="3"/>
      <c r="E453" s="3"/>
      <c r="F453" s="3"/>
      <c r="G453" s="3"/>
      <c r="H453" s="3"/>
    </row>
    <row r="454" spans="1:8">
      <c r="A454" s="3"/>
      <c r="B454" s="3"/>
      <c r="C454" s="3"/>
      <c r="D454" s="3"/>
      <c r="E454" s="3"/>
      <c r="F454" s="3"/>
      <c r="G454" s="3"/>
      <c r="H454" s="3"/>
    </row>
    <row r="455" spans="1:8">
      <c r="A455" s="3"/>
      <c r="B455" s="3"/>
      <c r="C455" s="3"/>
      <c r="D455" s="3"/>
      <c r="E455" s="3"/>
      <c r="F455" s="3"/>
      <c r="G455" s="3"/>
      <c r="H455" s="3"/>
    </row>
    <row r="456" spans="1:8">
      <c r="A456" s="3"/>
      <c r="B456" s="3"/>
      <c r="C456" s="3"/>
      <c r="D456" s="3"/>
      <c r="E456" s="3"/>
      <c r="F456" s="3"/>
      <c r="G456" s="3"/>
      <c r="H456" s="3"/>
    </row>
    <row r="457" spans="1:8">
      <c r="A457" s="3"/>
      <c r="B457" s="3"/>
      <c r="C457" s="3"/>
      <c r="D457" s="3"/>
      <c r="E457" s="3"/>
      <c r="F457" s="3"/>
      <c r="G457" s="3"/>
      <c r="H457" s="3"/>
    </row>
    <row r="458" spans="1:8">
      <c r="A458" s="3"/>
      <c r="B458" s="3"/>
      <c r="C458" s="3"/>
      <c r="D458" s="3"/>
      <c r="E458" s="3"/>
      <c r="F458" s="3"/>
      <c r="G458" s="3"/>
      <c r="H458" s="3"/>
    </row>
    <row r="459" spans="1:8">
      <c r="A459" s="3"/>
      <c r="B459" s="3"/>
      <c r="C459" s="3"/>
      <c r="D459" s="3"/>
      <c r="E459" s="3"/>
      <c r="F459" s="3"/>
      <c r="G459" s="3"/>
      <c r="H459" s="3"/>
    </row>
    <row r="460" spans="1:8">
      <c r="A460" s="3"/>
      <c r="B460" s="3"/>
      <c r="C460" s="3"/>
      <c r="D460" s="3"/>
      <c r="E460" s="3"/>
      <c r="F460" s="3"/>
      <c r="G460" s="3"/>
      <c r="H460" s="3"/>
    </row>
    <row r="461" spans="1:8">
      <c r="A461" s="3"/>
      <c r="B461" s="3"/>
      <c r="C461" s="3"/>
      <c r="D461" s="3"/>
      <c r="E461" s="3"/>
      <c r="F461" s="3"/>
      <c r="G461" s="3"/>
      <c r="H461" s="3"/>
    </row>
    <row r="462" spans="1:8">
      <c r="A462" s="3"/>
      <c r="B462" s="3"/>
      <c r="C462" s="3"/>
      <c r="D462" s="3"/>
      <c r="E462" s="3"/>
      <c r="F462" s="3"/>
      <c r="G462" s="3"/>
      <c r="H462" s="3"/>
    </row>
    <row r="463" spans="1:8">
      <c r="A463" s="3"/>
      <c r="B463" s="3"/>
      <c r="C463" s="3"/>
      <c r="D463" s="3"/>
      <c r="E463" s="3"/>
      <c r="F463" s="3"/>
      <c r="G463" s="3"/>
      <c r="H463" s="3"/>
    </row>
    <row r="464" spans="1:8">
      <c r="A464" s="3"/>
      <c r="B464" s="3"/>
      <c r="C464" s="3"/>
      <c r="D464" s="3"/>
      <c r="E464" s="3"/>
      <c r="F464" s="3"/>
      <c r="G464" s="3"/>
      <c r="H464" s="3"/>
    </row>
    <row r="465" spans="1:8">
      <c r="A465" s="3"/>
      <c r="B465" s="3"/>
      <c r="C465" s="3"/>
      <c r="D465" s="3"/>
      <c r="E465" s="3"/>
      <c r="F465" s="3"/>
      <c r="G465" s="3"/>
      <c r="H465" s="3"/>
    </row>
    <row r="466" spans="1:8">
      <c r="A466" s="3"/>
      <c r="B466" s="3"/>
      <c r="C466" s="3"/>
      <c r="D466" s="3"/>
      <c r="E466" s="3"/>
      <c r="F466" s="3"/>
      <c r="G466" s="3"/>
      <c r="H466" s="3"/>
    </row>
    <row r="467" spans="1:8">
      <c r="A467" s="3"/>
      <c r="B467" s="3"/>
      <c r="C467" s="3"/>
      <c r="D467" s="3"/>
      <c r="E467" s="3"/>
      <c r="F467" s="3"/>
      <c r="G467" s="3"/>
      <c r="H467" s="3"/>
    </row>
    <row r="468" spans="1:8">
      <c r="A468" s="3"/>
      <c r="B468" s="3"/>
      <c r="C468" s="3"/>
      <c r="D468" s="3"/>
      <c r="E468" s="3"/>
      <c r="F468" s="3"/>
      <c r="G468" s="3"/>
      <c r="H468" s="3"/>
    </row>
    <row r="469" spans="1:8">
      <c r="A469" s="3"/>
      <c r="B469" s="3"/>
      <c r="C469" s="3"/>
      <c r="D469" s="3"/>
      <c r="E469" s="3"/>
      <c r="F469" s="3"/>
      <c r="G469" s="3"/>
      <c r="H469" s="3"/>
    </row>
    <row r="470" spans="1:8">
      <c r="A470" s="3"/>
      <c r="B470" s="3"/>
      <c r="C470" s="3"/>
      <c r="D470" s="3"/>
      <c r="E470" s="3"/>
      <c r="F470" s="3"/>
      <c r="G470" s="3"/>
      <c r="H470" s="3"/>
    </row>
    <row r="471" spans="1:8">
      <c r="A471" s="3"/>
      <c r="B471" s="3"/>
      <c r="C471" s="3"/>
      <c r="D471" s="3"/>
      <c r="E471" s="3"/>
      <c r="F471" s="3"/>
      <c r="G471" s="3"/>
      <c r="H471" s="3"/>
    </row>
    <row r="472" spans="1:8">
      <c r="A472" s="3"/>
      <c r="B472" s="3"/>
      <c r="C472" s="3"/>
      <c r="D472" s="3"/>
      <c r="E472" s="3"/>
      <c r="F472" s="3"/>
      <c r="G472" s="3"/>
      <c r="H472" s="3"/>
    </row>
    <row r="473" spans="1:8">
      <c r="A473" s="3"/>
      <c r="B473" s="3"/>
      <c r="C473" s="3"/>
      <c r="D473" s="3"/>
      <c r="E473" s="3"/>
      <c r="F473" s="3"/>
    </row>
    <row r="474" spans="1:8">
      <c r="A474" s="3"/>
      <c r="B474" s="3"/>
      <c r="C474" s="3"/>
      <c r="D474" s="3"/>
      <c r="E474" s="3"/>
      <c r="F474" s="3"/>
    </row>
    <row r="475" spans="1:8">
      <c r="A475" s="3"/>
      <c r="B475" s="3"/>
      <c r="C475" s="3"/>
      <c r="D475" s="3"/>
      <c r="E475" s="3"/>
      <c r="F475" s="3"/>
    </row>
    <row r="476" spans="1:8">
      <c r="A476" s="3"/>
      <c r="B476" s="3"/>
      <c r="C476" s="3"/>
      <c r="D476" s="3"/>
      <c r="E476" s="3"/>
      <c r="F476" s="3"/>
    </row>
    <row r="477" spans="1:8">
      <c r="A477" s="3"/>
      <c r="B477" s="3"/>
      <c r="C477" s="3"/>
      <c r="D477" s="3"/>
      <c r="E477" s="3"/>
      <c r="F477" s="3"/>
    </row>
    <row r="478" spans="1:8">
      <c r="A478" s="3"/>
      <c r="B478" s="3"/>
      <c r="C478" s="3"/>
      <c r="D478" s="3"/>
      <c r="E478" s="3"/>
      <c r="F478" s="3"/>
    </row>
    <row r="479" spans="1:8">
      <c r="A479" s="3"/>
      <c r="B479" s="3"/>
      <c r="C479" s="3"/>
      <c r="D479" s="3"/>
      <c r="E479" s="3"/>
      <c r="F479" s="3"/>
    </row>
    <row r="480" spans="1:8">
      <c r="A480" s="3"/>
      <c r="B480" s="3"/>
      <c r="C480" s="3"/>
      <c r="D480" s="3"/>
      <c r="E480" s="3"/>
      <c r="F480" s="3"/>
    </row>
    <row r="481" spans="1:6">
      <c r="A481" s="3"/>
      <c r="B481" s="3"/>
      <c r="C481" s="3"/>
      <c r="D481" s="3"/>
      <c r="E481" s="3"/>
      <c r="F481" s="3"/>
    </row>
    <row r="482" spans="1:6">
      <c r="A482" s="3"/>
      <c r="B482" s="3"/>
      <c r="C482" s="3"/>
      <c r="D482" s="3"/>
      <c r="E482" s="3"/>
      <c r="F482" s="3"/>
    </row>
    <row r="483" spans="1:6">
      <c r="A483" s="3"/>
      <c r="B483" s="3"/>
      <c r="C483" s="3"/>
      <c r="D483" s="3"/>
      <c r="E483" s="3"/>
      <c r="F483" s="3"/>
    </row>
    <row r="484" spans="1:6">
      <c r="A484" s="3"/>
      <c r="B484" s="3"/>
      <c r="C484" s="3"/>
      <c r="D484" s="3"/>
      <c r="E484" s="3"/>
      <c r="F484" s="3"/>
    </row>
    <row r="485" spans="1:6">
      <c r="A485" s="3"/>
      <c r="B485" s="3"/>
      <c r="C485" s="3"/>
      <c r="D485" s="3"/>
      <c r="E485" s="3"/>
      <c r="F485" s="3"/>
    </row>
    <row r="486" spans="1:6">
      <c r="A486" s="3"/>
      <c r="B486" s="3"/>
      <c r="C486" s="3"/>
      <c r="D486" s="3"/>
      <c r="E486" s="3"/>
      <c r="F486" s="3"/>
    </row>
    <row r="487" spans="1:6">
      <c r="A487" s="3"/>
      <c r="B487" s="3"/>
      <c r="C487" s="3"/>
      <c r="D487" s="3"/>
      <c r="E487" s="3"/>
      <c r="F487" s="3"/>
    </row>
    <row r="488" spans="1:6">
      <c r="A488" s="3"/>
      <c r="B488" s="3"/>
      <c r="C488" s="3"/>
      <c r="D488" s="3"/>
      <c r="E488" s="3"/>
      <c r="F488" s="3"/>
    </row>
    <row r="489" spans="1:6">
      <c r="A489" s="3"/>
      <c r="B489" s="3"/>
      <c r="C489" s="3"/>
      <c r="D489" s="3"/>
      <c r="E489" s="3"/>
      <c r="F489" s="3"/>
    </row>
  </sheetData>
  <sheetProtection algorithmName="SHA-512" hashValue="G+KBwLKGuh1Lh0Mx8+Nanm4MZPUqo6nzvgLSHely/brHkEquaiY9I/ZqZAj4JWDcjctNuj4fM5iOGTb+l2ZERA==" saltValue="f81nGTCwpGINZ4DF/+JV4A==" spinCount="100000" sheet="1" objects="1" scenarios="1" selectLockedCells="1"/>
  <mergeCells count="13">
    <mergeCell ref="E48:F48"/>
    <mergeCell ref="E51:F51"/>
    <mergeCell ref="C53:F54"/>
    <mergeCell ref="E36:F36"/>
    <mergeCell ref="E37:F37"/>
    <mergeCell ref="E38:F38"/>
    <mergeCell ref="E39:F39"/>
    <mergeCell ref="E40:F40"/>
    <mergeCell ref="E41:F41"/>
    <mergeCell ref="E42:F42"/>
    <mergeCell ref="E43:F43"/>
    <mergeCell ref="E46:F46"/>
    <mergeCell ref="E47:F47"/>
  </mergeCells>
  <conditionalFormatting sqref="B5">
    <cfRule type="expression" dxfId="311" priority="5">
      <formula>$P$12</formula>
    </cfRule>
  </conditionalFormatting>
  <conditionalFormatting sqref="B44">
    <cfRule type="expression" dxfId="310" priority="3">
      <formula>$C$43&gt;$C$46</formula>
    </cfRule>
  </conditionalFormatting>
  <conditionalFormatting sqref="C43">
    <cfRule type="expression" dxfId="309" priority="2">
      <formula>$B$43&gt;$B$46</formula>
    </cfRule>
  </conditionalFormatting>
  <conditionalFormatting sqref="F44">
    <cfRule type="expression" dxfId="308" priority="4">
      <formula>$G$43&gt;1200000</formula>
    </cfRule>
  </conditionalFormatting>
  <conditionalFormatting sqref="G43:G44">
    <cfRule type="expression" dxfId="307" priority="6">
      <formula>$G$43&gt;1200000</formula>
    </cfRule>
  </conditionalFormatting>
  <conditionalFormatting sqref="I42:I43">
    <cfRule type="expression" dxfId="306" priority="1">
      <formula>$G$43&gt;1200000</formula>
    </cfRule>
  </conditionalFormatting>
  <pageMargins left="0.7" right="0.7" top="0.75" bottom="0.75" header="0.3" footer="0.3"/>
  <pageSetup scale="4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9CAA-3CF9-4376-A7E6-D436612E0AE0}">
  <sheetPr codeName="Sheet11">
    <pageSetUpPr fitToPage="1"/>
  </sheetPr>
  <dimension ref="A1:CJ171"/>
  <sheetViews>
    <sheetView workbookViewId="0">
      <selection activeCell="C16" sqref="C16"/>
    </sheetView>
  </sheetViews>
  <sheetFormatPr defaultColWidth="9.140625" defaultRowHeight="15"/>
  <cols>
    <col min="1" max="1" width="4.28515625" style="3" customWidth="1"/>
    <col min="2" max="2" width="9.42578125" style="29" customWidth="1"/>
    <col min="3" max="3" width="16" style="29" customWidth="1"/>
    <col min="4" max="4" width="22.28515625" style="29" bestFit="1" customWidth="1"/>
    <col min="5" max="5" width="17.140625" style="29" customWidth="1"/>
    <col min="6" max="6" width="14.42578125" style="29" customWidth="1"/>
    <col min="7" max="7" width="15" style="29" customWidth="1"/>
    <col min="8" max="8" width="19.42578125" style="29" customWidth="1"/>
    <col min="9" max="9" width="14.42578125" style="29" customWidth="1"/>
    <col min="10" max="10" width="18.42578125" style="29" customWidth="1"/>
    <col min="11" max="11" width="12.85546875" style="29" customWidth="1"/>
    <col min="12" max="12" width="20.5703125" style="29" customWidth="1"/>
    <col min="13" max="13" width="18.140625" style="29" customWidth="1"/>
    <col min="14" max="14" width="18.5703125" style="29" customWidth="1"/>
    <col min="15" max="15" width="19.140625" style="29" customWidth="1"/>
    <col min="16" max="16" width="22.5703125" style="29" customWidth="1"/>
    <col min="17" max="18" width="20.42578125" style="29" customWidth="1"/>
    <col min="19" max="19" width="13.5703125" style="29" customWidth="1"/>
    <col min="20" max="20" width="22.42578125" style="29" customWidth="1"/>
    <col min="21" max="21" width="10.5703125" style="296" customWidth="1"/>
    <col min="22" max="22" width="13" style="296" customWidth="1"/>
    <col min="23" max="24" width="2.85546875" style="296" customWidth="1"/>
    <col min="25" max="25" width="9.140625" style="285"/>
    <col min="26" max="26" width="18.28515625" style="84" customWidth="1"/>
    <col min="27" max="27" width="5.42578125" style="84" customWidth="1"/>
    <col min="28" max="28" width="11.85546875" style="84" customWidth="1"/>
    <col min="29" max="29" width="9.42578125" style="84" customWidth="1"/>
    <col min="30" max="30" width="10.5703125" style="84" customWidth="1"/>
    <col min="31" max="31" width="6.5703125" style="84" customWidth="1"/>
    <col min="32" max="37" width="7.42578125" style="84" customWidth="1"/>
    <col min="38" max="38" width="5.7109375" style="84" customWidth="1"/>
    <col min="39" max="39" width="6.5703125" style="84" customWidth="1"/>
    <col min="40" max="40" width="9.5703125" style="84" customWidth="1"/>
    <col min="41" max="41" width="6.5703125" style="84" customWidth="1"/>
    <col min="42" max="42" width="9" style="84" bestFit="1" customWidth="1"/>
    <col min="43" max="43" width="9.42578125" style="84" customWidth="1"/>
    <col min="44" max="44" width="8.42578125" style="84" customWidth="1"/>
    <col min="45" max="45" width="6.5703125" style="84" customWidth="1"/>
    <col min="46" max="46" width="9" style="84" customWidth="1"/>
    <col min="47" max="47" width="6.140625" style="84" customWidth="1"/>
    <col min="48" max="48" width="6.5703125" style="84" customWidth="1"/>
    <col min="49" max="49" width="10" style="84" customWidth="1"/>
    <col min="50" max="51" width="6.5703125" style="84" customWidth="1"/>
    <col min="52" max="52" width="9.42578125" style="84" customWidth="1"/>
    <col min="53" max="53" width="13.42578125" style="84" customWidth="1"/>
    <col min="54" max="54" width="13.42578125" style="84" bestFit="1" customWidth="1"/>
    <col min="55" max="55" width="5.42578125" style="84" bestFit="1" customWidth="1"/>
    <col min="56" max="56" width="12.28515625" style="84" bestFit="1" customWidth="1"/>
    <col min="57" max="57" width="6.85546875" style="84" bestFit="1" customWidth="1"/>
    <col min="58" max="58" width="17.140625" style="84" bestFit="1" customWidth="1"/>
    <col min="59" max="59" width="5.42578125" style="84" bestFit="1" customWidth="1"/>
    <col min="60" max="60" width="15.140625" style="84" bestFit="1" customWidth="1"/>
    <col min="61" max="61" width="11.7109375" style="286" bestFit="1" customWidth="1"/>
    <col min="62" max="71" width="6.5703125" style="286" customWidth="1"/>
    <col min="72" max="76" width="9.140625" style="286"/>
    <col min="77" max="16384" width="9.140625" style="29"/>
  </cols>
  <sheetData>
    <row r="1" spans="1:87" s="26" customFormat="1" ht="28.5">
      <c r="A1" s="3"/>
      <c r="B1" s="30" t="str">
        <f>'1. TOC'!B1</f>
        <v>WHEDA 2025 Multifamily Application</v>
      </c>
      <c r="C1" s="30"/>
      <c r="D1" s="1475"/>
      <c r="E1" s="1475"/>
      <c r="F1" s="296" t="str">
        <f>'1. TOC'!L1</f>
        <v>v25.1.12</v>
      </c>
      <c r="G1" s="1475"/>
      <c r="H1" s="947" t="str">
        <f>HYPERLINK("#Table_of_Contents", Table_of_Contents)</f>
        <v>Table of Contents</v>
      </c>
      <c r="I1" s="1475"/>
      <c r="J1" s="1475"/>
      <c r="K1" s="1475"/>
      <c r="L1" s="1475"/>
      <c r="M1" s="1476"/>
      <c r="N1" s="1476"/>
      <c r="O1" s="1476"/>
      <c r="P1" s="1477"/>
      <c r="Q1" s="1477"/>
      <c r="R1" s="1477"/>
      <c r="S1" s="1477"/>
      <c r="T1" s="1477"/>
      <c r="U1" s="372"/>
      <c r="V1" s="372"/>
      <c r="W1" s="372"/>
      <c r="X1" s="372"/>
      <c r="Y1" s="284"/>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284"/>
      <c r="BJ1" s="284"/>
      <c r="BK1" s="284"/>
      <c r="BL1" s="284"/>
      <c r="BM1" s="284"/>
      <c r="BN1" s="284"/>
      <c r="BO1" s="284"/>
      <c r="BP1" s="284"/>
      <c r="BQ1" s="284"/>
      <c r="BR1" s="284"/>
      <c r="BS1" s="284"/>
      <c r="BT1" s="284"/>
      <c r="BU1" s="284"/>
      <c r="BV1" s="284"/>
      <c r="BW1" s="284"/>
      <c r="BX1" s="284"/>
      <c r="BY1" s="1477"/>
      <c r="BZ1" s="1477"/>
      <c r="CA1" s="1477"/>
      <c r="CB1" s="1477"/>
      <c r="CC1" s="1477"/>
      <c r="CD1" s="1477"/>
      <c r="CE1" s="1477"/>
      <c r="CF1" s="1477"/>
      <c r="CG1" s="1477"/>
      <c r="CH1" s="83"/>
      <c r="CI1" s="1478"/>
    </row>
    <row r="2" spans="1:87" s="26" customFormat="1" ht="18.75">
      <c r="A2" s="3"/>
      <c r="B2" s="811" t="str">
        <f>_xlfn.CONCAT(IF(ISBLANK(WHEDA_Project_Number),"",_xlfn.CONCAT(WHEDA_Project_Number," - ")), Project_Name, IF(ISBLANK(Credit_percentage_applied_for),"",_xlfn.CONCAT(" - ", Credit_percentage_applied_for," HTC")))</f>
        <v/>
      </c>
      <c r="C2" s="31"/>
      <c r="D2" s="1475"/>
      <c r="E2" s="1475"/>
      <c r="F2" s="1475"/>
      <c r="G2" s="1475"/>
      <c r="H2" s="1475"/>
      <c r="I2" s="1475"/>
      <c r="J2" s="1475"/>
      <c r="K2" s="1475"/>
      <c r="L2" s="1475"/>
      <c r="M2" s="1476"/>
      <c r="N2" s="1476"/>
      <c r="O2" s="1476"/>
      <c r="P2" s="1477"/>
      <c r="Q2" s="1477"/>
      <c r="R2" s="1477"/>
      <c r="S2" s="1477"/>
      <c r="T2" s="1477"/>
      <c r="U2" s="372"/>
      <c r="V2" s="372"/>
      <c r="W2" s="372"/>
      <c r="X2" s="486"/>
      <c r="Y2" s="284"/>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284"/>
      <c r="BJ2" s="284"/>
      <c r="BK2" s="284"/>
      <c r="BL2" s="284"/>
      <c r="BM2" s="284"/>
      <c r="BN2" s="284"/>
      <c r="BO2" s="284"/>
      <c r="BP2" s="284"/>
      <c r="BQ2" s="284"/>
      <c r="BR2" s="284"/>
      <c r="BS2" s="284"/>
      <c r="BT2" s="284"/>
      <c r="BU2" s="284"/>
      <c r="BV2" s="284"/>
      <c r="BW2" s="284"/>
      <c r="BX2" s="284"/>
      <c r="BY2" s="1477"/>
      <c r="BZ2" s="1477"/>
      <c r="CA2" s="1477"/>
      <c r="CB2" s="1477"/>
      <c r="CC2" s="1477"/>
      <c r="CD2" s="1477"/>
      <c r="CE2" s="1477"/>
      <c r="CF2" s="1477"/>
      <c r="CG2" s="1477"/>
      <c r="CH2" s="83"/>
      <c r="CI2" s="1478"/>
    </row>
    <row r="3" spans="1:87" s="912" customFormat="1" ht="15.75">
      <c r="A3" s="890"/>
      <c r="B3" s="894"/>
      <c r="C3" s="905"/>
      <c r="D3" s="905"/>
      <c r="E3" s="905"/>
      <c r="F3" s="905"/>
      <c r="G3" s="905"/>
      <c r="H3" s="905"/>
      <c r="I3" s="905"/>
      <c r="J3" s="905"/>
      <c r="K3" s="905"/>
      <c r="L3" s="905"/>
      <c r="M3" s="906"/>
      <c r="N3" s="906"/>
      <c r="O3" s="906"/>
      <c r="P3" s="907"/>
      <c r="Q3" s="907"/>
      <c r="R3" s="907"/>
      <c r="S3" s="907"/>
      <c r="T3" s="907"/>
      <c r="U3" s="908"/>
      <c r="V3" s="908"/>
      <c r="W3" s="908"/>
      <c r="X3" s="909"/>
      <c r="Y3" s="851"/>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851"/>
      <c r="BJ3" s="851"/>
      <c r="BK3" s="851"/>
      <c r="BL3" s="851"/>
      <c r="BM3" s="851"/>
      <c r="BN3" s="851"/>
      <c r="BO3" s="851"/>
      <c r="BP3" s="851"/>
      <c r="BQ3" s="851"/>
      <c r="BR3" s="851"/>
      <c r="BS3" s="851"/>
      <c r="BT3" s="851"/>
      <c r="BU3" s="851"/>
      <c r="BV3" s="851"/>
      <c r="BW3" s="851"/>
      <c r="BX3" s="851"/>
      <c r="BY3" s="911"/>
      <c r="BZ3" s="911"/>
      <c r="CA3" s="911"/>
      <c r="CB3" s="911"/>
      <c r="CC3" s="911"/>
      <c r="CD3" s="911"/>
      <c r="CE3" s="911"/>
      <c r="CF3" s="911"/>
      <c r="CG3" s="911"/>
      <c r="CH3" s="910"/>
    </row>
    <row r="4" spans="1:87" ht="28.5">
      <c r="A4" s="238"/>
      <c r="B4" s="4" t="s">
        <v>184</v>
      </c>
      <c r="C4" s="1475"/>
      <c r="D4" s="1475"/>
      <c r="E4" s="1475"/>
      <c r="F4" s="1475"/>
      <c r="G4" s="1475"/>
      <c r="H4" s="1475"/>
      <c r="I4" s="1475"/>
      <c r="J4" s="1475"/>
      <c r="K4" s="1475"/>
      <c r="L4" s="1475"/>
      <c r="M4" s="1475"/>
      <c r="N4" s="1475"/>
      <c r="O4" s="1478"/>
      <c r="P4" s="1475"/>
      <c r="Q4" s="1475"/>
      <c r="R4" s="1475"/>
      <c r="S4" s="1475"/>
      <c r="T4" s="1477"/>
      <c r="U4" s="372"/>
      <c r="X4" s="372"/>
      <c r="Y4" s="284"/>
      <c r="Z4" s="83"/>
      <c r="BI4" s="285"/>
      <c r="BJ4" s="285"/>
      <c r="BK4" s="285"/>
      <c r="BL4" s="285"/>
      <c r="BM4" s="285"/>
      <c r="BN4" s="285"/>
      <c r="BO4" s="285"/>
      <c r="BP4" s="285"/>
      <c r="BQ4" s="285"/>
      <c r="BR4" s="285"/>
      <c r="BS4" s="285"/>
      <c r="BT4" s="285"/>
      <c r="BU4" s="285"/>
      <c r="BV4" s="285"/>
      <c r="BW4" s="285"/>
      <c r="BX4" s="285"/>
      <c r="BY4" s="1476"/>
      <c r="BZ4" s="1476"/>
      <c r="CA4" s="1476"/>
      <c r="CB4" s="1476"/>
      <c r="CC4" s="1476"/>
      <c r="CD4" s="1476"/>
      <c r="CE4" s="1476"/>
      <c r="CF4" s="1476"/>
      <c r="CG4" s="1476"/>
      <c r="CH4" s="84"/>
      <c r="CI4" s="1475"/>
    </row>
    <row r="5" spans="1:87" ht="18.75">
      <c r="A5" s="238"/>
      <c r="B5" s="8" t="s">
        <v>4000</v>
      </c>
      <c r="C5" s="1475"/>
      <c r="D5" s="1475"/>
      <c r="E5" s="1475"/>
      <c r="F5" s="1475"/>
      <c r="G5" s="1475"/>
      <c r="H5" s="1475"/>
      <c r="I5" s="1475"/>
      <c r="J5" s="1475"/>
      <c r="K5" s="1475"/>
      <c r="L5" s="1475"/>
      <c r="M5" s="1475"/>
      <c r="N5" s="1475"/>
      <c r="O5" s="1475"/>
      <c r="P5" s="1475"/>
      <c r="Q5" s="1475"/>
      <c r="R5" s="1475"/>
      <c r="S5" s="1475"/>
      <c r="T5" s="1477"/>
      <c r="U5" s="372"/>
      <c r="X5" s="372"/>
      <c r="Y5" s="284"/>
      <c r="Z5" s="83"/>
      <c r="BI5" s="285"/>
      <c r="BJ5" s="285"/>
      <c r="BK5" s="285"/>
      <c r="BL5" s="285"/>
      <c r="BM5" s="285"/>
      <c r="BN5" s="285"/>
      <c r="BO5" s="285"/>
      <c r="BP5" s="285"/>
      <c r="BQ5" s="285"/>
      <c r="BR5" s="285"/>
      <c r="BS5" s="285"/>
      <c r="BT5" s="285"/>
      <c r="BU5" s="285"/>
      <c r="BV5" s="285"/>
      <c r="BW5" s="285"/>
      <c r="BX5" s="285"/>
      <c r="BY5" s="1476"/>
      <c r="BZ5" s="1476"/>
      <c r="CA5" s="1476"/>
      <c r="CB5" s="1476"/>
      <c r="CC5" s="1476"/>
      <c r="CD5" s="1476"/>
      <c r="CE5" s="1476"/>
      <c r="CF5" s="1476"/>
      <c r="CG5" s="1476"/>
      <c r="CH5" s="84"/>
      <c r="CI5" s="1475"/>
    </row>
    <row r="6" spans="1:87" ht="15.75">
      <c r="A6" s="238"/>
      <c r="B6" s="1085"/>
      <c r="C6" s="1208" t="s">
        <v>4001</v>
      </c>
      <c r="D6" s="1479"/>
      <c r="E6" s="1714"/>
      <c r="F6" s="1714"/>
      <c r="G6" s="1714"/>
      <c r="H6" s="1714"/>
      <c r="I6" s="1714"/>
      <c r="J6" s="1714"/>
      <c r="K6" s="1714"/>
      <c r="L6" s="1714"/>
      <c r="M6" s="1714"/>
      <c r="N6" s="1714"/>
      <c r="O6" s="1714"/>
      <c r="P6" s="1714"/>
      <c r="Q6" s="1714"/>
      <c r="R6" s="1714"/>
      <c r="S6" s="1714"/>
      <c r="T6" s="1714"/>
      <c r="U6" s="1714"/>
      <c r="V6" s="1086"/>
      <c r="W6" s="1086"/>
      <c r="X6" s="1086"/>
      <c r="Y6" s="284"/>
      <c r="Z6" s="83"/>
      <c r="AA6" s="83" t="e">
        <f>MATCH(Property_County,RentLimits!A5:A76, 0)+4</f>
        <v>#N/A</v>
      </c>
      <c r="BI6" s="285"/>
      <c r="BJ6" s="285"/>
      <c r="BK6" s="285"/>
      <c r="BL6" s="285"/>
      <c r="BM6" s="285"/>
      <c r="BN6" s="285"/>
      <c r="BO6" s="285"/>
      <c r="BP6" s="285"/>
      <c r="BQ6" s="285"/>
      <c r="BR6" s="285"/>
      <c r="BS6" s="285"/>
      <c r="BT6" s="285"/>
      <c r="BU6" s="285"/>
      <c r="BV6" s="285"/>
      <c r="BW6" s="285"/>
      <c r="BX6" s="285"/>
      <c r="BY6" s="1476"/>
      <c r="BZ6" s="1476"/>
      <c r="CA6" s="1476"/>
      <c r="CB6" s="1476"/>
      <c r="CC6" s="1476"/>
      <c r="CD6" s="1476"/>
      <c r="CE6" s="1476"/>
      <c r="CF6" s="1476"/>
      <c r="CG6" s="1476"/>
      <c r="CH6" s="1476"/>
      <c r="CI6" s="84"/>
    </row>
    <row r="7" spans="1:87" ht="15.75">
      <c r="A7" s="238"/>
      <c r="B7" s="1085"/>
      <c r="C7" s="1480" t="s">
        <v>4002</v>
      </c>
      <c r="D7" s="1479"/>
      <c r="E7" s="1714"/>
      <c r="F7" s="1714"/>
      <c r="G7" s="1714"/>
      <c r="H7" s="1714"/>
      <c r="I7" s="1714"/>
      <c r="J7" s="1714"/>
      <c r="K7" s="1714"/>
      <c r="L7" s="1714"/>
      <c r="M7" s="1714"/>
      <c r="N7" s="1714"/>
      <c r="O7" s="1714"/>
      <c r="P7" s="1714"/>
      <c r="Q7" s="1714"/>
      <c r="R7" s="1714"/>
      <c r="S7" s="1714"/>
      <c r="T7" s="1714"/>
      <c r="U7" s="1714"/>
      <c r="V7" s="1086"/>
      <c r="W7" s="1086"/>
      <c r="X7" s="1086"/>
      <c r="Y7" s="284"/>
      <c r="Z7" s="83"/>
      <c r="AA7" s="83"/>
      <c r="BI7" s="285"/>
      <c r="BJ7" s="285"/>
      <c r="BK7" s="285"/>
      <c r="BL7" s="285"/>
      <c r="BM7" s="285"/>
      <c r="BN7" s="285"/>
      <c r="BO7" s="285"/>
      <c r="BP7" s="285"/>
      <c r="BQ7" s="285"/>
      <c r="BR7" s="285"/>
      <c r="BS7" s="285"/>
      <c r="BT7" s="285"/>
      <c r="BU7" s="285"/>
      <c r="BV7" s="285"/>
      <c r="BW7" s="285"/>
      <c r="BX7" s="285"/>
      <c r="BY7" s="1476"/>
      <c r="BZ7" s="1476"/>
      <c r="CA7" s="1476"/>
      <c r="CB7" s="1476"/>
      <c r="CC7" s="1476"/>
      <c r="CD7" s="1476"/>
      <c r="CE7" s="1476"/>
      <c r="CF7" s="1476"/>
      <c r="CG7" s="1476"/>
      <c r="CH7" s="1476"/>
      <c r="CI7" s="84"/>
    </row>
    <row r="8" spans="1:87" ht="15.75">
      <c r="A8" s="238"/>
      <c r="B8" s="1085"/>
      <c r="C8" s="1480" t="s">
        <v>4003</v>
      </c>
      <c r="D8" s="1479"/>
      <c r="E8" s="1714"/>
      <c r="F8" s="1714"/>
      <c r="G8" s="1714"/>
      <c r="H8" s="1714"/>
      <c r="I8" s="1714"/>
      <c r="J8" s="1714"/>
      <c r="K8" s="1714"/>
      <c r="L8" s="1714"/>
      <c r="M8" s="1714"/>
      <c r="N8" s="1714"/>
      <c r="O8" s="1714"/>
      <c r="P8" s="1714"/>
      <c r="Q8" s="1714"/>
      <c r="R8" s="1714"/>
      <c r="S8" s="1714"/>
      <c r="T8" s="1714"/>
      <c r="U8" s="1714"/>
      <c r="V8" s="1086"/>
      <c r="W8" s="1086"/>
      <c r="X8" s="1086"/>
      <c r="Y8" s="284"/>
      <c r="Z8" s="83"/>
      <c r="AA8" s="83">
        <f>IF(ISNUMBER(AA6), AA6,49)</f>
        <v>49</v>
      </c>
      <c r="AD8" s="84" t="s">
        <v>4004</v>
      </c>
      <c r="BI8" s="285"/>
      <c r="BJ8" s="285"/>
      <c r="BK8" s="285"/>
      <c r="BL8" s="285"/>
      <c r="BM8" s="285"/>
      <c r="BN8" s="285"/>
      <c r="BO8" s="285"/>
      <c r="BP8" s="285"/>
      <c r="BQ8" s="285"/>
      <c r="BR8" s="285"/>
      <c r="BS8" s="285"/>
      <c r="BT8" s="285"/>
      <c r="BU8" s="285"/>
      <c r="BV8" s="285"/>
      <c r="BW8" s="285"/>
      <c r="BX8" s="285"/>
      <c r="BY8" s="1476"/>
      <c r="BZ8" s="1476"/>
      <c r="CA8" s="1476"/>
      <c r="CB8" s="1476"/>
      <c r="CC8" s="1476"/>
      <c r="CD8" s="1476"/>
      <c r="CE8" s="1476"/>
      <c r="CF8" s="1476"/>
      <c r="CG8" s="1476"/>
      <c r="CH8" s="1476"/>
      <c r="CI8" s="84"/>
    </row>
    <row r="9" spans="1:87" ht="15.75">
      <c r="A9" s="238"/>
      <c r="B9" s="1085"/>
      <c r="C9" s="1480" t="s">
        <v>4005</v>
      </c>
      <c r="D9" s="1479"/>
      <c r="E9" s="1714"/>
      <c r="F9" s="1714"/>
      <c r="G9" s="1714"/>
      <c r="H9" s="1714"/>
      <c r="I9" s="1714"/>
      <c r="J9" s="1714"/>
      <c r="K9" s="1714"/>
      <c r="L9" s="1714"/>
      <c r="M9" s="1714"/>
      <c r="N9" s="1714"/>
      <c r="O9" s="1714"/>
      <c r="P9" s="1714"/>
      <c r="Q9" s="1714"/>
      <c r="R9" s="1714"/>
      <c r="S9" s="1714"/>
      <c r="T9" s="1714"/>
      <c r="U9" s="1714"/>
      <c r="V9" s="1086"/>
      <c r="W9" s="1086"/>
      <c r="X9" s="1086"/>
      <c r="Y9" s="284"/>
      <c r="Z9" s="83"/>
      <c r="AA9" s="83"/>
      <c r="BI9" s="285"/>
      <c r="BJ9" s="285"/>
      <c r="BK9" s="285"/>
      <c r="BL9" s="285"/>
      <c r="BM9" s="285"/>
      <c r="BN9" s="285"/>
      <c r="BO9" s="285"/>
      <c r="BP9" s="285"/>
      <c r="BQ9" s="285"/>
      <c r="BR9" s="285"/>
      <c r="BS9" s="285"/>
      <c r="BT9" s="285"/>
      <c r="BU9" s="285"/>
      <c r="BV9" s="285"/>
      <c r="BW9" s="285"/>
      <c r="BX9" s="285"/>
      <c r="BY9" s="1476"/>
      <c r="BZ9" s="1476"/>
      <c r="CA9" s="1476"/>
      <c r="CB9" s="1476"/>
      <c r="CC9" s="1476"/>
      <c r="CD9" s="1476"/>
      <c r="CE9" s="1476"/>
      <c r="CF9" s="1476"/>
      <c r="CG9" s="1476"/>
      <c r="CH9" s="1476"/>
      <c r="CI9" s="84"/>
    </row>
    <row r="10" spans="1:87" ht="15.75">
      <c r="A10" s="238"/>
      <c r="B10" s="1085"/>
      <c r="C10" s="1480" t="s">
        <v>4006</v>
      </c>
      <c r="D10" s="1479"/>
      <c r="E10" s="1714"/>
      <c r="F10" s="1714"/>
      <c r="G10" s="1714"/>
      <c r="H10" s="1714"/>
      <c r="I10" s="1714"/>
      <c r="J10" s="1714"/>
      <c r="K10" s="1714"/>
      <c r="L10" s="1714"/>
      <c r="M10" s="1714"/>
      <c r="N10" s="1714"/>
      <c r="O10" s="1714"/>
      <c r="P10" s="1714"/>
      <c r="Q10" s="1714"/>
      <c r="R10" s="1714"/>
      <c r="S10" s="1714"/>
      <c r="T10" s="1714"/>
      <c r="U10" s="1714"/>
      <c r="V10" s="1086"/>
      <c r="W10" s="1086"/>
      <c r="X10" s="1086"/>
      <c r="Y10" s="284"/>
      <c r="Z10" s="83"/>
      <c r="AA10" s="83"/>
      <c r="BI10" s="285"/>
      <c r="BJ10" s="285"/>
      <c r="BK10" s="285"/>
      <c r="BL10" s="285"/>
      <c r="BM10" s="285"/>
      <c r="BN10" s="285"/>
      <c r="BO10" s="285"/>
      <c r="BP10" s="285"/>
      <c r="BQ10" s="285"/>
      <c r="BR10" s="285"/>
      <c r="BS10" s="285"/>
      <c r="BT10" s="285"/>
      <c r="BU10" s="285"/>
      <c r="BV10" s="285"/>
      <c r="BW10" s="285"/>
      <c r="BX10" s="285"/>
      <c r="BY10" s="1476"/>
      <c r="BZ10" s="1476"/>
      <c r="CA10" s="1476"/>
      <c r="CB10" s="1476"/>
      <c r="CC10" s="1476"/>
      <c r="CD10" s="1476"/>
      <c r="CE10" s="1476"/>
      <c r="CF10" s="1476"/>
      <c r="CG10" s="1476"/>
      <c r="CH10" s="1476"/>
      <c r="CI10" s="84"/>
    </row>
    <row r="11" spans="1:87" ht="15.75">
      <c r="A11" s="238"/>
      <c r="B11" s="1085"/>
      <c r="C11" s="1480" t="s">
        <v>4007</v>
      </c>
      <c r="D11" s="1479"/>
      <c r="E11" s="1714"/>
      <c r="F11" s="1714"/>
      <c r="G11" s="1714"/>
      <c r="H11" s="1714"/>
      <c r="I11" s="1714"/>
      <c r="J11" s="1714"/>
      <c r="K11" s="1714"/>
      <c r="L11" s="1714"/>
      <c r="M11" s="1714"/>
      <c r="N11" s="1714"/>
      <c r="O11" s="1714"/>
      <c r="P11" s="1714"/>
      <c r="Q11" s="1714"/>
      <c r="R11" s="1714"/>
      <c r="S11" s="1714"/>
      <c r="T11" s="1714"/>
      <c r="U11" s="1714"/>
      <c r="V11" s="1086"/>
      <c r="W11" s="1086"/>
      <c r="X11" s="1086"/>
      <c r="Y11" s="284"/>
      <c r="Z11" s="83"/>
      <c r="AA11" s="1310" t="s">
        <v>4008</v>
      </c>
      <c r="BI11" s="285"/>
      <c r="BJ11" s="285"/>
      <c r="BK11" s="285"/>
      <c r="BL11" s="285"/>
      <c r="BM11" s="285"/>
      <c r="BN11" s="285"/>
      <c r="BO11" s="285"/>
      <c r="BP11" s="285"/>
      <c r="BQ11" s="285"/>
      <c r="BR11" s="285"/>
      <c r="BS11" s="285"/>
      <c r="BT11" s="285"/>
      <c r="BU11" s="285"/>
      <c r="BV11" s="285"/>
      <c r="BW11" s="285"/>
      <c r="BX11" s="285"/>
      <c r="BY11" s="1476"/>
      <c r="BZ11" s="1476"/>
      <c r="CA11" s="1476"/>
      <c r="CB11" s="1476"/>
      <c r="CC11" s="1476"/>
      <c r="CD11" s="1476"/>
      <c r="CE11" s="1476"/>
      <c r="CF11" s="1476"/>
      <c r="CG11" s="1476"/>
      <c r="CH11" s="1476"/>
      <c r="CI11" s="84"/>
    </row>
    <row r="12" spans="1:87" s="286" customFormat="1" ht="15.75">
      <c r="A12" s="968"/>
      <c r="B12" s="1087"/>
      <c r="C12" s="1481" t="s">
        <v>4009</v>
      </c>
      <c r="D12" s="1292"/>
      <c r="E12" s="1088"/>
      <c r="F12" s="1088"/>
      <c r="G12" s="1088"/>
      <c r="H12" s="1088"/>
      <c r="I12" s="1088"/>
      <c r="J12" s="1088"/>
      <c r="K12" s="1088"/>
      <c r="L12" s="1088"/>
      <c r="M12" s="1088"/>
      <c r="N12" s="1088"/>
      <c r="O12" s="1088"/>
      <c r="P12" s="1088"/>
      <c r="Q12" s="1088"/>
      <c r="R12" s="1088"/>
      <c r="S12" s="1088"/>
      <c r="T12" s="1088"/>
      <c r="U12" s="1088"/>
      <c r="V12" s="1088"/>
      <c r="W12" s="1088"/>
      <c r="X12" s="1088"/>
      <c r="Y12" s="284"/>
      <c r="Z12" s="284"/>
      <c r="AA12" s="83" t="s">
        <v>4010</v>
      </c>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row>
    <row r="13" spans="1:87" s="286" customFormat="1" hidden="1">
      <c r="A13" s="967"/>
      <c r="B13" s="1088"/>
      <c r="C13" s="1089"/>
      <c r="D13" s="2176" t="s">
        <v>4011</v>
      </c>
      <c r="E13" s="2176"/>
      <c r="F13" s="2177"/>
      <c r="G13" s="1090" t="s">
        <v>13</v>
      </c>
      <c r="H13" s="1088"/>
      <c r="I13" s="1088"/>
      <c r="J13" s="1091"/>
      <c r="K13" s="1088"/>
      <c r="L13" s="1088"/>
      <c r="M13" s="1088"/>
      <c r="N13" s="1088"/>
      <c r="O13" s="1088"/>
      <c r="P13" s="1088"/>
      <c r="Q13" s="1088"/>
      <c r="R13" s="1088"/>
      <c r="S13" s="1088"/>
      <c r="T13" s="1088"/>
      <c r="U13" s="1088"/>
      <c r="V13" s="1088"/>
      <c r="W13" s="1088"/>
      <c r="X13" s="1088"/>
      <c r="Y13" s="284"/>
      <c r="Z13" s="284"/>
      <c r="AA13" s="83" t="str">
        <f>_xlfn.CONCAT($E16," Bdrm")</f>
        <v xml:space="preserve"> Bdrm</v>
      </c>
      <c r="AB13" s="84"/>
      <c r="AC13" s="84"/>
      <c r="AD13" s="2157" t="s">
        <v>4000</v>
      </c>
      <c r="AE13" s="2157"/>
      <c r="AF13" s="2157"/>
      <c r="AG13" s="2157"/>
      <c r="AH13" s="2157"/>
      <c r="AI13" s="2157"/>
      <c r="AJ13" s="2157"/>
      <c r="AK13" s="2157"/>
      <c r="AL13" s="2157"/>
      <c r="AM13" s="2157"/>
      <c r="AN13" s="2157"/>
      <c r="AO13" s="2157"/>
      <c r="AP13" s="2157"/>
      <c r="AQ13" s="2157"/>
      <c r="AR13" s="2157"/>
      <c r="AS13" s="1716"/>
      <c r="AT13" s="84"/>
      <c r="AU13" s="84"/>
      <c r="AV13" s="84"/>
      <c r="AW13" s="84"/>
      <c r="AX13" s="84"/>
      <c r="AY13" s="84"/>
      <c r="AZ13" s="84"/>
      <c r="BA13" s="84"/>
      <c r="BB13" s="84"/>
      <c r="BC13" s="84"/>
      <c r="BD13" s="84"/>
      <c r="BE13" s="84"/>
      <c r="BF13" s="84"/>
      <c r="BG13" s="84"/>
      <c r="BH13" s="285"/>
      <c r="BI13" s="285"/>
      <c r="BJ13" s="285"/>
      <c r="BK13" s="285"/>
      <c r="BL13" s="285"/>
      <c r="BM13" s="285"/>
      <c r="BN13" s="285"/>
      <c r="BO13" s="285"/>
      <c r="BP13" s="285"/>
      <c r="BQ13" s="285"/>
      <c r="BR13" s="285"/>
      <c r="BS13" s="285"/>
      <c r="BT13" s="285"/>
      <c r="BU13" s="285"/>
      <c r="BV13" s="285"/>
      <c r="BW13" s="285"/>
      <c r="BX13" s="285"/>
      <c r="BY13" s="285"/>
      <c r="BZ13" s="285"/>
      <c r="CA13" s="285"/>
      <c r="CB13" s="285"/>
      <c r="CC13" s="285"/>
      <c r="CD13" s="285"/>
      <c r="CE13" s="285"/>
      <c r="CF13" s="285"/>
      <c r="CG13" s="285"/>
      <c r="CH13" s="285"/>
      <c r="CI13" s="285"/>
    </row>
    <row r="14" spans="1:87" s="286" customFormat="1">
      <c r="A14" s="967"/>
      <c r="B14" s="1088"/>
      <c r="C14" s="1091" t="s">
        <v>4012</v>
      </c>
      <c r="D14" s="1092"/>
      <c r="E14" s="1088"/>
      <c r="F14" s="1088"/>
      <c r="G14" s="1088"/>
      <c r="H14" s="1088"/>
      <c r="I14" s="1088"/>
      <c r="J14" s="1088"/>
      <c r="K14" s="1088"/>
      <c r="L14" s="1088"/>
      <c r="M14" s="1088"/>
      <c r="N14" s="1088"/>
      <c r="O14" s="1088"/>
      <c r="P14" s="1088"/>
      <c r="Q14" s="1088"/>
      <c r="R14" s="1088"/>
      <c r="S14" s="1088"/>
      <c r="T14" s="1088"/>
      <c r="U14" s="1088"/>
      <c r="V14" s="1088"/>
      <c r="W14" s="1088"/>
      <c r="X14" s="1088"/>
      <c r="Y14" s="284"/>
      <c r="Z14" s="284"/>
      <c r="AA14" s="83"/>
      <c r="AB14" s="84"/>
      <c r="AC14" s="84"/>
      <c r="AD14" s="2157" t="s">
        <v>4013</v>
      </c>
      <c r="AE14" s="2157" t="s">
        <v>4014</v>
      </c>
      <c r="AF14" s="2157"/>
      <c r="AG14" s="2157"/>
      <c r="AH14" s="2157"/>
      <c r="AI14" s="2157"/>
      <c r="AJ14" s="2157"/>
      <c r="AK14" s="2157"/>
      <c r="AL14" s="2157" t="s">
        <v>4015</v>
      </c>
      <c r="AM14" s="2157"/>
      <c r="AN14" s="2157"/>
      <c r="AO14" s="2157"/>
      <c r="AP14" s="2157"/>
      <c r="AQ14" s="2157"/>
      <c r="AR14" s="2157"/>
      <c r="AS14" s="2157" t="s">
        <v>4016</v>
      </c>
      <c r="AT14" s="2157"/>
      <c r="AU14" s="2157"/>
      <c r="AV14" s="2157" t="s">
        <v>4017</v>
      </c>
      <c r="AW14" s="2157"/>
      <c r="AX14" s="2157"/>
      <c r="AY14" s="2157" t="s">
        <v>4018</v>
      </c>
      <c r="AZ14" s="2157"/>
      <c r="BA14" s="2157"/>
      <c r="BB14" s="2157" t="s">
        <v>4019</v>
      </c>
      <c r="BC14" s="2157"/>
      <c r="BD14" s="84" t="s">
        <v>318</v>
      </c>
      <c r="BE14" s="84"/>
      <c r="BF14" s="2157" t="s">
        <v>4020</v>
      </c>
      <c r="BG14" s="2157"/>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row>
    <row r="15" spans="1:87" ht="28.15" customHeight="1">
      <c r="A15" s="239"/>
      <c r="B15" s="1714"/>
      <c r="C15" s="743" t="s">
        <v>4021</v>
      </c>
      <c r="D15" s="743" t="s">
        <v>4022</v>
      </c>
      <c r="E15" s="743" t="s">
        <v>4023</v>
      </c>
      <c r="F15" s="743" t="s">
        <v>4024</v>
      </c>
      <c r="G15" s="743" t="s">
        <v>4025</v>
      </c>
      <c r="H15" s="743" t="s">
        <v>3937</v>
      </c>
      <c r="I15" s="743" t="s">
        <v>3938</v>
      </c>
      <c r="J15" s="743" t="s">
        <v>2823</v>
      </c>
      <c r="K15" s="743" t="s">
        <v>3939</v>
      </c>
      <c r="L15" s="743" t="s">
        <v>4026</v>
      </c>
      <c r="M15" s="743" t="s">
        <v>4027</v>
      </c>
      <c r="N15" s="743" t="s">
        <v>4028</v>
      </c>
      <c r="O15" s="743" t="str">
        <f>_xlfn.CONCAT("Max HTC Rent for ",RentLimits!A2)</f>
        <v>Max HTC Rent for Year 2025</v>
      </c>
      <c r="P15" s="743" t="s">
        <v>4029</v>
      </c>
      <c r="Q15" s="743" t="s">
        <v>4030</v>
      </c>
      <c r="R15" s="743" t="s">
        <v>4031</v>
      </c>
      <c r="S15" s="743" t="s">
        <v>4032</v>
      </c>
      <c r="T15" s="743" t="s">
        <v>4033</v>
      </c>
      <c r="U15" s="743" t="s">
        <v>4034</v>
      </c>
      <c r="V15" s="743" t="s">
        <v>4035</v>
      </c>
      <c r="W15" s="1093"/>
      <c r="X15" s="1093"/>
      <c r="Y15" s="284"/>
      <c r="Z15" s="83"/>
      <c r="AA15" s="83"/>
      <c r="AD15" s="2157"/>
      <c r="AE15" s="904">
        <v>0.2</v>
      </c>
      <c r="AF15" s="1311">
        <f t="shared" ref="AF15:AK15" si="0">AE15+10%</f>
        <v>0.30000000000000004</v>
      </c>
      <c r="AG15" s="1311">
        <f t="shared" si="0"/>
        <v>0.4</v>
      </c>
      <c r="AH15" s="1311">
        <f t="shared" si="0"/>
        <v>0.5</v>
      </c>
      <c r="AI15" s="1311">
        <f t="shared" si="0"/>
        <v>0.6</v>
      </c>
      <c r="AJ15" s="1311">
        <f t="shared" si="0"/>
        <v>0.7</v>
      </c>
      <c r="AK15" s="1311">
        <f t="shared" si="0"/>
        <v>0.79999999999999993</v>
      </c>
      <c r="AL15" s="904">
        <v>0.2</v>
      </c>
      <c r="AM15" s="1311">
        <f t="shared" ref="AM15:AR15" si="1">AL15+10%</f>
        <v>0.30000000000000004</v>
      </c>
      <c r="AN15" s="1311">
        <f t="shared" si="1"/>
        <v>0.4</v>
      </c>
      <c r="AO15" s="1311">
        <f t="shared" si="1"/>
        <v>0.5</v>
      </c>
      <c r="AP15" s="1311">
        <f t="shared" si="1"/>
        <v>0.6</v>
      </c>
      <c r="AQ15" s="1311">
        <f t="shared" si="1"/>
        <v>0.7</v>
      </c>
      <c r="AR15" s="1311">
        <f t="shared" si="1"/>
        <v>0.79999999999999993</v>
      </c>
      <c r="AS15" s="1312" t="s">
        <v>4036</v>
      </c>
      <c r="AT15" s="84" t="s">
        <v>4037</v>
      </c>
      <c r="AU15" s="84" t="s">
        <v>4038</v>
      </c>
      <c r="AV15" s="1313" t="s">
        <v>4039</v>
      </c>
      <c r="AW15" s="84" t="s">
        <v>4037</v>
      </c>
      <c r="AX15" s="84" t="s">
        <v>4038</v>
      </c>
      <c r="AY15" s="1313" t="s">
        <v>4040</v>
      </c>
      <c r="AZ15" s="84" t="s">
        <v>4037</v>
      </c>
      <c r="BA15" s="84" t="s">
        <v>4038</v>
      </c>
      <c r="BB15" s="1314" t="s">
        <v>4041</v>
      </c>
      <c r="BC15" s="84" t="s">
        <v>4037</v>
      </c>
      <c r="BD15" s="84" t="s">
        <v>4042</v>
      </c>
      <c r="BE15" s="84" t="s">
        <v>4043</v>
      </c>
      <c r="BF15" s="84" t="s">
        <v>4044</v>
      </c>
      <c r="BG15" s="84" t="s">
        <v>4037</v>
      </c>
      <c r="BH15" s="84" t="s">
        <v>4045</v>
      </c>
      <c r="BI15" s="285"/>
      <c r="BJ15" s="285"/>
      <c r="BK15" s="285"/>
      <c r="BL15" s="285"/>
      <c r="BM15" s="285"/>
      <c r="BN15" s="285"/>
      <c r="BO15" s="285"/>
      <c r="BP15" s="285"/>
      <c r="BQ15" s="285"/>
      <c r="BR15" s="285"/>
      <c r="BS15" s="285"/>
      <c r="BT15" s="285"/>
      <c r="BU15" s="285"/>
      <c r="BV15" s="285"/>
      <c r="BW15" s="285"/>
      <c r="BX15" s="285"/>
      <c r="BY15" s="285"/>
      <c r="BZ15" s="285"/>
      <c r="CA15" s="285"/>
      <c r="CB15" s="1476"/>
      <c r="CC15" s="1476"/>
      <c r="CD15" s="1476"/>
      <c r="CE15" s="1476"/>
      <c r="CF15" s="1476"/>
      <c r="CG15" s="1476"/>
      <c r="CH15" s="1476"/>
      <c r="CI15" s="84"/>
    </row>
    <row r="16" spans="1:87">
      <c r="A16" s="239"/>
      <c r="B16" s="1714"/>
      <c r="C16" s="1482"/>
      <c r="D16" s="1482"/>
      <c r="E16" s="1483"/>
      <c r="F16" s="1484"/>
      <c r="G16" s="1483"/>
      <c r="H16" s="1483"/>
      <c r="I16" s="1485"/>
      <c r="J16" s="1483"/>
      <c r="K16" s="1486"/>
      <c r="L16" s="1487">
        <f>IF(G16=0, 0,K16/G16)</f>
        <v>0</v>
      </c>
      <c r="M16" s="1488" t="str">
        <f>IF(E16&lt;&gt;"",HLOOKUP(_xlfn.CONCAT($E16," Bdrm"),$M$73:$R$86,14,FALSE),"")</f>
        <v/>
      </c>
      <c r="N16" s="1489">
        <f>IF(M16&lt;&gt;"",K16+M16,0)</f>
        <v>0</v>
      </c>
      <c r="O16" s="1489">
        <f ca="1">AC16</f>
        <v>0</v>
      </c>
      <c r="P16" s="1490">
        <f ca="1">IF(O16=0,0,N16/O16)</f>
        <v>0</v>
      </c>
      <c r="Q16" s="1491"/>
      <c r="R16" s="1492">
        <f>IF(Q16=0,0,K16/Q16)</f>
        <v>0</v>
      </c>
      <c r="S16" s="1489">
        <f t="shared" ref="S16:S26" si="2">K16*H16*12</f>
        <v>0</v>
      </c>
      <c r="T16" s="1493">
        <f t="shared" ref="T16:T47" si="3">IF(SUM($H$16:$H$65)=0,0,H16/SUM($H$16:$H$65))</f>
        <v>0</v>
      </c>
      <c r="U16" s="1490">
        <f t="shared" ref="U16:U27" si="4">I16*T16</f>
        <v>0</v>
      </c>
      <c r="V16" s="1491"/>
      <c r="W16" s="1093"/>
      <c r="X16" s="1093"/>
      <c r="Y16" s="284"/>
      <c r="Z16" s="83"/>
      <c r="AA16" s="83">
        <f t="shared" ref="AA16:AA27" si="5">((I16-20%)*10*6)+2</f>
        <v>-10</v>
      </c>
      <c r="AB16" s="84">
        <f t="shared" ref="AB16:AB27" si="6">IF(E16="Studio",0,E16)</f>
        <v>0</v>
      </c>
      <c r="AC16" s="84">
        <f ca="1">IF(AA16&lt;0, 0, INDIRECT("RentLimits!"&amp;ADDRESS($AA$8, AA16+AB16)))</f>
        <v>0</v>
      </c>
      <c r="AD16" s="84" t="b">
        <f t="shared" ref="AD16:AD27" si="7">$J16="Low Income"</f>
        <v>0</v>
      </c>
      <c r="AE16" s="84">
        <f t="shared" ref="AE16:AK27" si="8">IF($I16=AE$15,$H16,0)</f>
        <v>0</v>
      </c>
      <c r="AF16" s="84">
        <f t="shared" si="8"/>
        <v>0</v>
      </c>
      <c r="AG16" s="84">
        <f t="shared" si="8"/>
        <v>0</v>
      </c>
      <c r="AH16" s="84">
        <f t="shared" si="8"/>
        <v>0</v>
      </c>
      <c r="AI16" s="84">
        <f t="shared" si="8"/>
        <v>0</v>
      </c>
      <c r="AJ16" s="84">
        <f t="shared" si="8"/>
        <v>0</v>
      </c>
      <c r="AK16" s="84">
        <f t="shared" si="8"/>
        <v>0</v>
      </c>
      <c r="AL16" s="1315">
        <f t="shared" ref="AL16:AL27" si="9">AE16*$K16*12</f>
        <v>0</v>
      </c>
      <c r="AM16" s="1315">
        <f t="shared" ref="AM16:AM27" si="10">AF16*$K16*12</f>
        <v>0</v>
      </c>
      <c r="AN16" s="1315">
        <f t="shared" ref="AN16:AN27" si="11">AG16*$K16*12</f>
        <v>0</v>
      </c>
      <c r="AO16" s="1315">
        <f t="shared" ref="AO16:AO27" si="12">AH16*$K16*12</f>
        <v>0</v>
      </c>
      <c r="AP16" s="1315">
        <f t="shared" ref="AP16:AP27" si="13">AI16*$K16*12</f>
        <v>0</v>
      </c>
      <c r="AQ16" s="1315">
        <f t="shared" ref="AQ16:AQ27" si="14">AJ16*$K16*12</f>
        <v>0</v>
      </c>
      <c r="AR16" s="1315">
        <f t="shared" ref="AR16:AR27" si="15">AK16*$K16*12</f>
        <v>0</v>
      </c>
      <c r="AS16" s="84" t="b">
        <f t="shared" ref="AS16:AS27" si="16">$J16="Voucher"</f>
        <v>0</v>
      </c>
      <c r="AT16" s="84">
        <f t="shared" ref="AT16:AT27" si="17">IF(AS16,$H16,0)</f>
        <v>0</v>
      </c>
      <c r="AU16" s="1315">
        <f t="shared" ref="AU16:AU27" si="18">AT16*K16</f>
        <v>0</v>
      </c>
      <c r="AV16" s="84" t="b">
        <f t="shared" ref="AV16:AV27" si="19">$J16="HOME"</f>
        <v>0</v>
      </c>
      <c r="AW16" s="84">
        <f t="shared" ref="AW16:AW27" si="20">IF(AV16,$H16,0)</f>
        <v>0</v>
      </c>
      <c r="AX16" s="1315">
        <f t="shared" ref="AX16:AX65" si="21">AW16*N16</f>
        <v>0</v>
      </c>
      <c r="AY16" s="84" t="b">
        <f t="shared" ref="AY16:AY27" si="22">$J16="Employee"</f>
        <v>0</v>
      </c>
      <c r="AZ16" s="84">
        <f t="shared" ref="AZ16:AZ27" si="23">IF(AY16,$H16,0)</f>
        <v>0</v>
      </c>
      <c r="BA16" s="1315">
        <f t="shared" ref="BA16:BA65" si="24">AZ16*Q16</f>
        <v>0</v>
      </c>
      <c r="BB16" s="84" t="b">
        <f t="shared" ref="BB16:BB65" si="25">AND(E16&gt;=3,OR(AD16,AS16))</f>
        <v>0</v>
      </c>
      <c r="BC16" s="84">
        <f t="shared" ref="BC16:BC27" si="26">IF(BB16,H16, 0)</f>
        <v>0</v>
      </c>
      <c r="BD16" s="84" t="b">
        <f t="shared" ref="BD16:BD47" si="27">C16="Single Family"</f>
        <v>0</v>
      </c>
      <c r="BE16" s="84">
        <f t="shared" ref="BE16:BE27" si="28">IF(BD16,H16, 0)</f>
        <v>0</v>
      </c>
      <c r="BF16" s="84" t="b">
        <f t="shared" ref="BF16:BF27" si="29">AND(AS16,I16=60%)</f>
        <v>0</v>
      </c>
      <c r="BG16" s="84">
        <f t="shared" ref="BG16:BG27" si="30">IF($BF16, $H16,0)</f>
        <v>0</v>
      </c>
      <c r="BH16" s="84">
        <f>IF(OR(I16='Dropdown Lists'!$I$3,'11. Unit Mix'!J16='Dropdown Lists'!$W$3),H16,0)</f>
        <v>0</v>
      </c>
      <c r="BI16" s="285"/>
      <c r="BJ16" s="285"/>
      <c r="BK16" s="285"/>
      <c r="BL16" s="285"/>
      <c r="BM16" s="285"/>
      <c r="BN16" s="285"/>
      <c r="BO16" s="285"/>
      <c r="BP16" s="285"/>
      <c r="BQ16" s="285"/>
      <c r="BR16" s="285"/>
      <c r="BS16" s="285"/>
      <c r="BT16" s="285"/>
      <c r="BU16" s="285"/>
      <c r="BV16" s="285"/>
      <c r="BW16" s="285"/>
      <c r="BX16" s="285"/>
      <c r="BY16" s="285"/>
      <c r="BZ16" s="285"/>
      <c r="CA16" s="285"/>
      <c r="CB16" s="1476"/>
      <c r="CC16" s="1476"/>
      <c r="CD16" s="1476"/>
      <c r="CE16" s="1476"/>
      <c r="CF16" s="1476"/>
      <c r="CG16" s="1476"/>
      <c r="CH16" s="1476"/>
      <c r="CI16" s="84"/>
    </row>
    <row r="17" spans="1:87">
      <c r="A17" s="239"/>
      <c r="B17" s="1714"/>
      <c r="C17" s="1482"/>
      <c r="D17" s="1482"/>
      <c r="E17" s="1483"/>
      <c r="F17" s="1484"/>
      <c r="G17" s="1483"/>
      <c r="H17" s="1483"/>
      <c r="I17" s="1485"/>
      <c r="J17" s="1483"/>
      <c r="K17" s="1486"/>
      <c r="L17" s="1487">
        <f t="shared" ref="L17:L27" si="31">IF(G17=0, 0,K17/G17)</f>
        <v>0</v>
      </c>
      <c r="M17" s="1488" t="str">
        <f>IF(E17&lt;&gt;"",HLOOKUP(_xlfn.CONCAT($E17," Bdrm"),$M$73:$R$86,14,FALSE),"")</f>
        <v/>
      </c>
      <c r="N17" s="1489">
        <f t="shared" ref="N17:N65" si="32">IF(M17&lt;&gt;"",K17+M17,0)</f>
        <v>0</v>
      </c>
      <c r="O17" s="1489">
        <f t="shared" ref="O17:O65" ca="1" si="33">AC17</f>
        <v>0</v>
      </c>
      <c r="P17" s="1490">
        <f t="shared" ref="P17:P65" ca="1" si="34">IF(O17=0,0,N17/O17)</f>
        <v>0</v>
      </c>
      <c r="Q17" s="1491"/>
      <c r="R17" s="1492">
        <f t="shared" ref="R17:R27" si="35">IF(Q17=0,0,K17/Q17)</f>
        <v>0</v>
      </c>
      <c r="S17" s="1489">
        <f t="shared" si="2"/>
        <v>0</v>
      </c>
      <c r="T17" s="1493">
        <f t="shared" si="3"/>
        <v>0</v>
      </c>
      <c r="U17" s="1490">
        <f t="shared" si="4"/>
        <v>0</v>
      </c>
      <c r="V17" s="1491"/>
      <c r="W17" s="1093"/>
      <c r="X17" s="1093"/>
      <c r="Y17" s="284"/>
      <c r="Z17" s="83"/>
      <c r="AA17" s="83">
        <f t="shared" si="5"/>
        <v>-10</v>
      </c>
      <c r="AB17" s="84">
        <f t="shared" si="6"/>
        <v>0</v>
      </c>
      <c r="AC17" s="84">
        <f ca="1">IF(AA17&lt;0, 0, INDIRECT("RentLimits!"&amp;ADDRESS($AA$8, AA17+AB17)))</f>
        <v>0</v>
      </c>
      <c r="AD17" s="84" t="b">
        <f t="shared" si="7"/>
        <v>0</v>
      </c>
      <c r="AE17" s="84">
        <f t="shared" si="8"/>
        <v>0</v>
      </c>
      <c r="AF17" s="84">
        <f t="shared" si="8"/>
        <v>0</v>
      </c>
      <c r="AG17" s="84">
        <f t="shared" si="8"/>
        <v>0</v>
      </c>
      <c r="AH17" s="84">
        <f t="shared" si="8"/>
        <v>0</v>
      </c>
      <c r="AI17" s="84">
        <f t="shared" si="8"/>
        <v>0</v>
      </c>
      <c r="AJ17" s="84">
        <f t="shared" si="8"/>
        <v>0</v>
      </c>
      <c r="AK17" s="84">
        <f t="shared" si="8"/>
        <v>0</v>
      </c>
      <c r="AL17" s="1315">
        <f t="shared" si="9"/>
        <v>0</v>
      </c>
      <c r="AM17" s="1315">
        <f t="shared" si="10"/>
        <v>0</v>
      </c>
      <c r="AN17" s="1315">
        <f t="shared" si="11"/>
        <v>0</v>
      </c>
      <c r="AO17" s="1315">
        <f t="shared" si="12"/>
        <v>0</v>
      </c>
      <c r="AP17" s="1315">
        <f t="shared" si="13"/>
        <v>0</v>
      </c>
      <c r="AQ17" s="1315">
        <f t="shared" si="14"/>
        <v>0</v>
      </c>
      <c r="AR17" s="1315">
        <f t="shared" si="15"/>
        <v>0</v>
      </c>
      <c r="AS17" s="84" t="b">
        <f t="shared" si="16"/>
        <v>0</v>
      </c>
      <c r="AT17" s="84">
        <f t="shared" si="17"/>
        <v>0</v>
      </c>
      <c r="AU17" s="1315">
        <f t="shared" si="18"/>
        <v>0</v>
      </c>
      <c r="AV17" s="84" t="b">
        <f t="shared" si="19"/>
        <v>0</v>
      </c>
      <c r="AW17" s="84">
        <f t="shared" si="20"/>
        <v>0</v>
      </c>
      <c r="AX17" s="1315">
        <f t="shared" si="21"/>
        <v>0</v>
      </c>
      <c r="AY17" s="84" t="b">
        <f t="shared" si="22"/>
        <v>0</v>
      </c>
      <c r="AZ17" s="84">
        <f t="shared" si="23"/>
        <v>0</v>
      </c>
      <c r="BA17" s="1315">
        <f t="shared" si="24"/>
        <v>0</v>
      </c>
      <c r="BB17" s="84" t="b">
        <f t="shared" si="25"/>
        <v>0</v>
      </c>
      <c r="BC17" s="84">
        <f t="shared" si="26"/>
        <v>0</v>
      </c>
      <c r="BD17" s="84" t="b">
        <f t="shared" si="27"/>
        <v>0</v>
      </c>
      <c r="BE17" s="84">
        <f t="shared" si="28"/>
        <v>0</v>
      </c>
      <c r="BF17" s="84" t="b">
        <f t="shared" si="29"/>
        <v>0</v>
      </c>
      <c r="BG17" s="84">
        <f t="shared" si="30"/>
        <v>0</v>
      </c>
      <c r="BH17" s="84">
        <f>IF(OR(I17='Dropdown Lists'!$I$3,'11. Unit Mix'!J17='Dropdown Lists'!$W$3),H17,0)</f>
        <v>0</v>
      </c>
      <c r="BI17" s="285"/>
      <c r="BJ17" s="285"/>
      <c r="BK17" s="285"/>
      <c r="BL17" s="285"/>
      <c r="BM17" s="285"/>
      <c r="BN17" s="285"/>
      <c r="BO17" s="285"/>
      <c r="BP17" s="285"/>
      <c r="BQ17" s="285"/>
      <c r="BR17" s="285"/>
      <c r="BS17" s="285"/>
      <c r="BT17" s="285"/>
      <c r="BU17" s="285"/>
      <c r="BV17" s="285"/>
      <c r="BW17" s="285"/>
      <c r="BX17" s="285"/>
      <c r="BY17" s="285"/>
      <c r="BZ17" s="285"/>
      <c r="CA17" s="285"/>
      <c r="CB17" s="1476"/>
      <c r="CC17" s="1476"/>
      <c r="CD17" s="1476"/>
      <c r="CE17" s="1476"/>
      <c r="CF17" s="1476"/>
      <c r="CG17" s="1476"/>
      <c r="CH17" s="1476"/>
      <c r="CI17" s="84"/>
    </row>
    <row r="18" spans="1:87">
      <c r="A18" s="239"/>
      <c r="B18" s="1714"/>
      <c r="C18" s="1482"/>
      <c r="D18" s="1482"/>
      <c r="E18" s="1483"/>
      <c r="F18" s="1484"/>
      <c r="G18" s="1483"/>
      <c r="H18" s="1483"/>
      <c r="I18" s="1485"/>
      <c r="J18" s="1483"/>
      <c r="K18" s="1486"/>
      <c r="L18" s="1487">
        <f t="shared" si="31"/>
        <v>0</v>
      </c>
      <c r="M18" s="1488" t="str">
        <f>IF(E18&lt;&gt;"",HLOOKUP(_xlfn.CONCAT($E18," Bdrm"),$M$73:$R$86,14,FALSE),"")</f>
        <v/>
      </c>
      <c r="N18" s="1489">
        <f t="shared" si="32"/>
        <v>0</v>
      </c>
      <c r="O18" s="1489">
        <f t="shared" ca="1" si="33"/>
        <v>0</v>
      </c>
      <c r="P18" s="1490">
        <f t="shared" ca="1" si="34"/>
        <v>0</v>
      </c>
      <c r="Q18" s="1491"/>
      <c r="R18" s="1492">
        <f t="shared" si="35"/>
        <v>0</v>
      </c>
      <c r="S18" s="1489">
        <f t="shared" si="2"/>
        <v>0</v>
      </c>
      <c r="T18" s="1493">
        <f t="shared" si="3"/>
        <v>0</v>
      </c>
      <c r="U18" s="1490">
        <f t="shared" si="4"/>
        <v>0</v>
      </c>
      <c r="V18" s="1491"/>
      <c r="W18" s="1093"/>
      <c r="X18" s="1093"/>
      <c r="Y18" s="284"/>
      <c r="Z18" s="83"/>
      <c r="AA18" s="83">
        <f t="shared" si="5"/>
        <v>-10</v>
      </c>
      <c r="AB18" s="84">
        <f t="shared" si="6"/>
        <v>0</v>
      </c>
      <c r="AC18" s="84">
        <f t="shared" ref="AC18:AC47" ca="1" si="36">IF(AA18&lt;0, 0, INDIRECT("RentLimits!"&amp;ADDRESS($AA$8, AA18+AB18)))</f>
        <v>0</v>
      </c>
      <c r="AD18" s="84" t="b">
        <f t="shared" si="7"/>
        <v>0</v>
      </c>
      <c r="AE18" s="84">
        <f t="shared" si="8"/>
        <v>0</v>
      </c>
      <c r="AF18" s="84">
        <f t="shared" si="8"/>
        <v>0</v>
      </c>
      <c r="AG18" s="84">
        <f t="shared" si="8"/>
        <v>0</v>
      </c>
      <c r="AH18" s="84">
        <f t="shared" si="8"/>
        <v>0</v>
      </c>
      <c r="AI18" s="84">
        <f t="shared" si="8"/>
        <v>0</v>
      </c>
      <c r="AJ18" s="84">
        <f t="shared" si="8"/>
        <v>0</v>
      </c>
      <c r="AK18" s="84">
        <f t="shared" si="8"/>
        <v>0</v>
      </c>
      <c r="AL18" s="1315">
        <f t="shared" si="9"/>
        <v>0</v>
      </c>
      <c r="AM18" s="1315">
        <f t="shared" si="10"/>
        <v>0</v>
      </c>
      <c r="AN18" s="1315">
        <f t="shared" si="11"/>
        <v>0</v>
      </c>
      <c r="AO18" s="1315">
        <f t="shared" si="12"/>
        <v>0</v>
      </c>
      <c r="AP18" s="1315">
        <f t="shared" si="13"/>
        <v>0</v>
      </c>
      <c r="AQ18" s="1315">
        <f t="shared" si="14"/>
        <v>0</v>
      </c>
      <c r="AR18" s="1315">
        <f t="shared" si="15"/>
        <v>0</v>
      </c>
      <c r="AS18" s="84" t="b">
        <f t="shared" si="16"/>
        <v>0</v>
      </c>
      <c r="AT18" s="84">
        <f t="shared" si="17"/>
        <v>0</v>
      </c>
      <c r="AU18" s="1315">
        <f t="shared" si="18"/>
        <v>0</v>
      </c>
      <c r="AV18" s="84" t="b">
        <f t="shared" si="19"/>
        <v>0</v>
      </c>
      <c r="AW18" s="84">
        <f t="shared" si="20"/>
        <v>0</v>
      </c>
      <c r="AX18" s="1315">
        <f t="shared" si="21"/>
        <v>0</v>
      </c>
      <c r="AY18" s="84" t="b">
        <f t="shared" si="22"/>
        <v>0</v>
      </c>
      <c r="AZ18" s="84">
        <f t="shared" si="23"/>
        <v>0</v>
      </c>
      <c r="BA18" s="1315">
        <f t="shared" si="24"/>
        <v>0</v>
      </c>
      <c r="BB18" s="84" t="b">
        <f t="shared" si="25"/>
        <v>0</v>
      </c>
      <c r="BC18" s="84">
        <f t="shared" si="26"/>
        <v>0</v>
      </c>
      <c r="BD18" s="84" t="b">
        <f t="shared" si="27"/>
        <v>0</v>
      </c>
      <c r="BE18" s="84">
        <f t="shared" si="28"/>
        <v>0</v>
      </c>
      <c r="BF18" s="84" t="b">
        <f t="shared" si="29"/>
        <v>0</v>
      </c>
      <c r="BG18" s="84">
        <f t="shared" si="30"/>
        <v>0</v>
      </c>
      <c r="BH18" s="84">
        <f>IF(OR(I18='Dropdown Lists'!$I$3,'11. Unit Mix'!J18='Dropdown Lists'!$W$3),H18,0)</f>
        <v>0</v>
      </c>
      <c r="BI18" s="285"/>
      <c r="BJ18" s="285"/>
      <c r="BK18" s="285"/>
      <c r="BL18" s="285"/>
      <c r="BM18" s="285"/>
      <c r="BN18" s="285"/>
      <c r="BO18" s="285"/>
      <c r="BP18" s="285"/>
      <c r="BQ18" s="285"/>
      <c r="BR18" s="285"/>
      <c r="BS18" s="285"/>
      <c r="BT18" s="285"/>
      <c r="BU18" s="285"/>
      <c r="BV18" s="285"/>
      <c r="BW18" s="285"/>
      <c r="BX18" s="285"/>
      <c r="BY18" s="285"/>
      <c r="BZ18" s="285"/>
      <c r="CA18" s="285"/>
      <c r="CB18" s="1476"/>
      <c r="CC18" s="1476"/>
      <c r="CD18" s="1476"/>
      <c r="CE18" s="1476"/>
      <c r="CF18" s="1476"/>
      <c r="CG18" s="1476"/>
      <c r="CH18" s="1476"/>
      <c r="CI18" s="84"/>
    </row>
    <row r="19" spans="1:87">
      <c r="A19" s="239"/>
      <c r="B19" s="1714"/>
      <c r="C19" s="1482"/>
      <c r="D19" s="1482"/>
      <c r="E19" s="1483"/>
      <c r="F19" s="1484"/>
      <c r="G19" s="1483"/>
      <c r="H19" s="1483"/>
      <c r="I19" s="1485"/>
      <c r="J19" s="1483"/>
      <c r="K19" s="1486"/>
      <c r="L19" s="1487">
        <f t="shared" si="31"/>
        <v>0</v>
      </c>
      <c r="M19" s="1488" t="str">
        <f>IF(E19&lt;&gt;"",HLOOKUP(_xlfn.CONCAT($E19," Bdrm"),$M$73:$R$86,14,FALSE),"")</f>
        <v/>
      </c>
      <c r="N19" s="1489">
        <f t="shared" si="32"/>
        <v>0</v>
      </c>
      <c r="O19" s="1489">
        <f t="shared" ca="1" si="33"/>
        <v>0</v>
      </c>
      <c r="P19" s="1490">
        <f t="shared" ca="1" si="34"/>
        <v>0</v>
      </c>
      <c r="Q19" s="1491"/>
      <c r="R19" s="1492">
        <f t="shared" si="35"/>
        <v>0</v>
      </c>
      <c r="S19" s="1489">
        <f t="shared" si="2"/>
        <v>0</v>
      </c>
      <c r="T19" s="1493">
        <f t="shared" si="3"/>
        <v>0</v>
      </c>
      <c r="U19" s="1490">
        <f t="shared" si="4"/>
        <v>0</v>
      </c>
      <c r="V19" s="1491"/>
      <c r="W19" s="1086"/>
      <c r="X19" s="1086"/>
      <c r="Y19" s="284"/>
      <c r="Z19" s="83"/>
      <c r="AA19" s="83">
        <f t="shared" si="5"/>
        <v>-10</v>
      </c>
      <c r="AB19" s="84">
        <f t="shared" si="6"/>
        <v>0</v>
      </c>
      <c r="AC19" s="84">
        <f t="shared" ca="1" si="36"/>
        <v>0</v>
      </c>
      <c r="AD19" s="84" t="b">
        <f t="shared" si="7"/>
        <v>0</v>
      </c>
      <c r="AE19" s="84">
        <f t="shared" si="8"/>
        <v>0</v>
      </c>
      <c r="AF19" s="84">
        <f t="shared" si="8"/>
        <v>0</v>
      </c>
      <c r="AG19" s="84">
        <f t="shared" si="8"/>
        <v>0</v>
      </c>
      <c r="AH19" s="84">
        <f t="shared" si="8"/>
        <v>0</v>
      </c>
      <c r="AI19" s="84">
        <f t="shared" si="8"/>
        <v>0</v>
      </c>
      <c r="AJ19" s="84">
        <f t="shared" si="8"/>
        <v>0</v>
      </c>
      <c r="AK19" s="84">
        <f t="shared" si="8"/>
        <v>0</v>
      </c>
      <c r="AL19" s="1315">
        <f t="shared" si="9"/>
        <v>0</v>
      </c>
      <c r="AM19" s="1315">
        <f t="shared" si="10"/>
        <v>0</v>
      </c>
      <c r="AN19" s="1315">
        <f t="shared" si="11"/>
        <v>0</v>
      </c>
      <c r="AO19" s="1315">
        <f t="shared" si="12"/>
        <v>0</v>
      </c>
      <c r="AP19" s="1315">
        <f t="shared" si="13"/>
        <v>0</v>
      </c>
      <c r="AQ19" s="1315">
        <f t="shared" si="14"/>
        <v>0</v>
      </c>
      <c r="AR19" s="1315">
        <f t="shared" si="15"/>
        <v>0</v>
      </c>
      <c r="AS19" s="84" t="b">
        <f t="shared" si="16"/>
        <v>0</v>
      </c>
      <c r="AT19" s="84">
        <f t="shared" si="17"/>
        <v>0</v>
      </c>
      <c r="AU19" s="1315">
        <f t="shared" si="18"/>
        <v>0</v>
      </c>
      <c r="AV19" s="84" t="b">
        <f t="shared" si="19"/>
        <v>0</v>
      </c>
      <c r="AW19" s="84">
        <f t="shared" si="20"/>
        <v>0</v>
      </c>
      <c r="AX19" s="1315">
        <f t="shared" si="21"/>
        <v>0</v>
      </c>
      <c r="AY19" s="84" t="b">
        <f t="shared" si="22"/>
        <v>0</v>
      </c>
      <c r="AZ19" s="84">
        <f t="shared" si="23"/>
        <v>0</v>
      </c>
      <c r="BA19" s="1315">
        <f t="shared" si="24"/>
        <v>0</v>
      </c>
      <c r="BB19" s="84" t="b">
        <f t="shared" si="25"/>
        <v>0</v>
      </c>
      <c r="BC19" s="84">
        <f t="shared" si="26"/>
        <v>0</v>
      </c>
      <c r="BD19" s="84" t="b">
        <f t="shared" si="27"/>
        <v>0</v>
      </c>
      <c r="BE19" s="84">
        <f t="shared" si="28"/>
        <v>0</v>
      </c>
      <c r="BF19" s="84" t="b">
        <f t="shared" si="29"/>
        <v>0</v>
      </c>
      <c r="BG19" s="84">
        <f t="shared" si="30"/>
        <v>0</v>
      </c>
      <c r="BH19" s="84">
        <f>IF(OR(I19='Dropdown Lists'!$I$3,'11. Unit Mix'!J19='Dropdown Lists'!$W$3),H19,0)</f>
        <v>0</v>
      </c>
      <c r="BI19" s="285"/>
      <c r="BJ19" s="285"/>
      <c r="BK19" s="285"/>
      <c r="BL19" s="285"/>
      <c r="BM19" s="285"/>
      <c r="BN19" s="285"/>
      <c r="BO19" s="285"/>
      <c r="BP19" s="285"/>
      <c r="BQ19" s="285"/>
      <c r="BR19" s="285"/>
      <c r="BS19" s="285"/>
      <c r="BT19" s="285"/>
      <c r="BU19" s="285"/>
      <c r="BV19" s="285"/>
      <c r="BW19" s="285"/>
      <c r="BX19" s="285"/>
      <c r="BY19" s="285"/>
      <c r="BZ19" s="285"/>
      <c r="CA19" s="285"/>
      <c r="CB19" s="1476"/>
      <c r="CC19" s="1476"/>
      <c r="CD19" s="1476"/>
      <c r="CE19" s="1476"/>
      <c r="CF19" s="1476"/>
      <c r="CG19" s="1476"/>
      <c r="CH19" s="1476"/>
      <c r="CI19" s="84"/>
    </row>
    <row r="20" spans="1:87">
      <c r="A20" s="239"/>
      <c r="B20" s="1714"/>
      <c r="C20" s="1482"/>
      <c r="D20" s="1482"/>
      <c r="E20" s="1483"/>
      <c r="F20" s="1484"/>
      <c r="G20" s="1483"/>
      <c r="H20" s="1483"/>
      <c r="I20" s="1485"/>
      <c r="J20" s="1483"/>
      <c r="K20" s="1486"/>
      <c r="L20" s="1487">
        <f t="shared" si="31"/>
        <v>0</v>
      </c>
      <c r="M20" s="1488" t="str">
        <f t="shared" ref="M20:M65" si="37">IF(E20&lt;&gt;"",HLOOKUP(_xlfn.CONCAT($E20," Bdrm"),$M$73:$R$86,14,FALSE),"")</f>
        <v/>
      </c>
      <c r="N20" s="1489">
        <f t="shared" si="32"/>
        <v>0</v>
      </c>
      <c r="O20" s="1489">
        <f t="shared" ca="1" si="33"/>
        <v>0</v>
      </c>
      <c r="P20" s="1490">
        <f t="shared" ca="1" si="34"/>
        <v>0</v>
      </c>
      <c r="Q20" s="1491"/>
      <c r="R20" s="1492">
        <f t="shared" si="35"/>
        <v>0</v>
      </c>
      <c r="S20" s="1489">
        <f t="shared" si="2"/>
        <v>0</v>
      </c>
      <c r="T20" s="1493">
        <f t="shared" si="3"/>
        <v>0</v>
      </c>
      <c r="U20" s="1490">
        <f t="shared" si="4"/>
        <v>0</v>
      </c>
      <c r="V20" s="1491"/>
      <c r="W20" s="1086"/>
      <c r="X20" s="1086"/>
      <c r="Y20" s="284"/>
      <c r="Z20" s="83"/>
      <c r="AA20" s="83">
        <f t="shared" si="5"/>
        <v>-10</v>
      </c>
      <c r="AB20" s="84">
        <f t="shared" si="6"/>
        <v>0</v>
      </c>
      <c r="AC20" s="84">
        <f t="shared" ca="1" si="36"/>
        <v>0</v>
      </c>
      <c r="AD20" s="84" t="b">
        <f t="shared" si="7"/>
        <v>0</v>
      </c>
      <c r="AE20" s="84">
        <f t="shared" si="8"/>
        <v>0</v>
      </c>
      <c r="AF20" s="84">
        <f t="shared" si="8"/>
        <v>0</v>
      </c>
      <c r="AG20" s="84">
        <f t="shared" si="8"/>
        <v>0</v>
      </c>
      <c r="AH20" s="84">
        <f t="shared" si="8"/>
        <v>0</v>
      </c>
      <c r="AI20" s="84">
        <f t="shared" si="8"/>
        <v>0</v>
      </c>
      <c r="AJ20" s="84">
        <f t="shared" si="8"/>
        <v>0</v>
      </c>
      <c r="AK20" s="84">
        <f t="shared" si="8"/>
        <v>0</v>
      </c>
      <c r="AL20" s="1315">
        <f t="shared" si="9"/>
        <v>0</v>
      </c>
      <c r="AM20" s="1315">
        <f t="shared" si="10"/>
        <v>0</v>
      </c>
      <c r="AN20" s="1315">
        <f t="shared" si="11"/>
        <v>0</v>
      </c>
      <c r="AO20" s="1315">
        <f t="shared" si="12"/>
        <v>0</v>
      </c>
      <c r="AP20" s="1315">
        <f t="shared" si="13"/>
        <v>0</v>
      </c>
      <c r="AQ20" s="1315">
        <f t="shared" si="14"/>
        <v>0</v>
      </c>
      <c r="AR20" s="1315">
        <f t="shared" si="15"/>
        <v>0</v>
      </c>
      <c r="AS20" s="84" t="b">
        <f t="shared" si="16"/>
        <v>0</v>
      </c>
      <c r="AT20" s="84">
        <f t="shared" si="17"/>
        <v>0</v>
      </c>
      <c r="AU20" s="1315">
        <f t="shared" si="18"/>
        <v>0</v>
      </c>
      <c r="AV20" s="84" t="b">
        <f t="shared" si="19"/>
        <v>0</v>
      </c>
      <c r="AW20" s="84">
        <f t="shared" si="20"/>
        <v>0</v>
      </c>
      <c r="AX20" s="1315">
        <f t="shared" si="21"/>
        <v>0</v>
      </c>
      <c r="AY20" s="84" t="b">
        <f t="shared" si="22"/>
        <v>0</v>
      </c>
      <c r="AZ20" s="84">
        <f t="shared" si="23"/>
        <v>0</v>
      </c>
      <c r="BA20" s="1315">
        <f t="shared" si="24"/>
        <v>0</v>
      </c>
      <c r="BB20" s="84" t="b">
        <f t="shared" si="25"/>
        <v>0</v>
      </c>
      <c r="BC20" s="84">
        <f t="shared" si="26"/>
        <v>0</v>
      </c>
      <c r="BD20" s="84" t="b">
        <f t="shared" si="27"/>
        <v>0</v>
      </c>
      <c r="BE20" s="84">
        <f t="shared" si="28"/>
        <v>0</v>
      </c>
      <c r="BF20" s="84" t="b">
        <f t="shared" si="29"/>
        <v>0</v>
      </c>
      <c r="BG20" s="84">
        <f t="shared" si="30"/>
        <v>0</v>
      </c>
      <c r="BH20" s="84">
        <f>IF(OR(I20='Dropdown Lists'!$I$3,'11. Unit Mix'!J20='Dropdown Lists'!$W$3),H20,0)</f>
        <v>0</v>
      </c>
      <c r="BI20" s="285"/>
      <c r="BJ20" s="285"/>
      <c r="BK20" s="285"/>
      <c r="BL20" s="285"/>
      <c r="BM20" s="285"/>
      <c r="BN20" s="285"/>
      <c r="BO20" s="285"/>
      <c r="BP20" s="285"/>
      <c r="BQ20" s="285"/>
      <c r="BR20" s="285"/>
      <c r="BS20" s="285"/>
      <c r="BT20" s="285"/>
      <c r="BU20" s="285"/>
      <c r="BV20" s="285"/>
      <c r="BW20" s="285"/>
      <c r="BX20" s="285"/>
      <c r="BY20" s="285"/>
      <c r="BZ20" s="285"/>
      <c r="CA20" s="285"/>
      <c r="CB20" s="1476"/>
      <c r="CC20" s="1476"/>
      <c r="CD20" s="1476"/>
      <c r="CE20" s="1476"/>
      <c r="CF20" s="1476"/>
      <c r="CG20" s="1476"/>
      <c r="CH20" s="1476"/>
      <c r="CI20" s="84"/>
    </row>
    <row r="21" spans="1:87">
      <c r="A21" s="239"/>
      <c r="B21" s="1714"/>
      <c r="C21" s="1482"/>
      <c r="D21" s="1482"/>
      <c r="E21" s="1483"/>
      <c r="F21" s="1484"/>
      <c r="G21" s="1483"/>
      <c r="H21" s="1483"/>
      <c r="I21" s="1485"/>
      <c r="J21" s="1483"/>
      <c r="K21" s="1486"/>
      <c r="L21" s="1487">
        <f t="shared" si="31"/>
        <v>0</v>
      </c>
      <c r="M21" s="1488" t="str">
        <f t="shared" si="37"/>
        <v/>
      </c>
      <c r="N21" s="1489">
        <f t="shared" si="32"/>
        <v>0</v>
      </c>
      <c r="O21" s="1489">
        <f t="shared" ca="1" si="33"/>
        <v>0</v>
      </c>
      <c r="P21" s="1490">
        <f t="shared" ca="1" si="34"/>
        <v>0</v>
      </c>
      <c r="Q21" s="1491"/>
      <c r="R21" s="1492">
        <f t="shared" si="35"/>
        <v>0</v>
      </c>
      <c r="S21" s="1489">
        <f t="shared" si="2"/>
        <v>0</v>
      </c>
      <c r="T21" s="1493">
        <f t="shared" si="3"/>
        <v>0</v>
      </c>
      <c r="U21" s="1490">
        <f t="shared" si="4"/>
        <v>0</v>
      </c>
      <c r="V21" s="1491"/>
      <c r="W21" s="1086"/>
      <c r="X21" s="1086"/>
      <c r="Y21" s="284"/>
      <c r="Z21" s="83"/>
      <c r="AA21" s="83">
        <f t="shared" si="5"/>
        <v>-10</v>
      </c>
      <c r="AB21" s="84">
        <f t="shared" si="6"/>
        <v>0</v>
      </c>
      <c r="AC21" s="84">
        <f t="shared" ca="1" si="36"/>
        <v>0</v>
      </c>
      <c r="AD21" s="84" t="b">
        <f t="shared" si="7"/>
        <v>0</v>
      </c>
      <c r="AE21" s="84">
        <f t="shared" si="8"/>
        <v>0</v>
      </c>
      <c r="AF21" s="84">
        <f t="shared" si="8"/>
        <v>0</v>
      </c>
      <c r="AG21" s="84">
        <f t="shared" si="8"/>
        <v>0</v>
      </c>
      <c r="AH21" s="84">
        <f t="shared" si="8"/>
        <v>0</v>
      </c>
      <c r="AI21" s="84">
        <f t="shared" si="8"/>
        <v>0</v>
      </c>
      <c r="AJ21" s="84">
        <f t="shared" si="8"/>
        <v>0</v>
      </c>
      <c r="AK21" s="84">
        <f t="shared" si="8"/>
        <v>0</v>
      </c>
      <c r="AL21" s="1315">
        <f t="shared" si="9"/>
        <v>0</v>
      </c>
      <c r="AM21" s="1315">
        <f t="shared" si="10"/>
        <v>0</v>
      </c>
      <c r="AN21" s="1315">
        <f t="shared" si="11"/>
        <v>0</v>
      </c>
      <c r="AO21" s="1315">
        <f t="shared" si="12"/>
        <v>0</v>
      </c>
      <c r="AP21" s="1315">
        <f t="shared" si="13"/>
        <v>0</v>
      </c>
      <c r="AQ21" s="1315">
        <f t="shared" si="14"/>
        <v>0</v>
      </c>
      <c r="AR21" s="1315">
        <f t="shared" si="15"/>
        <v>0</v>
      </c>
      <c r="AS21" s="84" t="b">
        <f t="shared" si="16"/>
        <v>0</v>
      </c>
      <c r="AT21" s="84">
        <f t="shared" si="17"/>
        <v>0</v>
      </c>
      <c r="AU21" s="1315">
        <f t="shared" si="18"/>
        <v>0</v>
      </c>
      <c r="AV21" s="84" t="b">
        <f t="shared" si="19"/>
        <v>0</v>
      </c>
      <c r="AW21" s="84">
        <f t="shared" si="20"/>
        <v>0</v>
      </c>
      <c r="AX21" s="1315">
        <f t="shared" si="21"/>
        <v>0</v>
      </c>
      <c r="AY21" s="84" t="b">
        <f t="shared" si="22"/>
        <v>0</v>
      </c>
      <c r="AZ21" s="84">
        <f t="shared" si="23"/>
        <v>0</v>
      </c>
      <c r="BA21" s="1315">
        <f t="shared" si="24"/>
        <v>0</v>
      </c>
      <c r="BB21" s="84" t="b">
        <f t="shared" si="25"/>
        <v>0</v>
      </c>
      <c r="BC21" s="84">
        <f t="shared" si="26"/>
        <v>0</v>
      </c>
      <c r="BD21" s="84" t="b">
        <f t="shared" si="27"/>
        <v>0</v>
      </c>
      <c r="BE21" s="84">
        <f t="shared" si="28"/>
        <v>0</v>
      </c>
      <c r="BF21" s="84" t="b">
        <f t="shared" si="29"/>
        <v>0</v>
      </c>
      <c r="BG21" s="84">
        <f t="shared" si="30"/>
        <v>0</v>
      </c>
      <c r="BH21" s="84">
        <f>IF(OR(I21='Dropdown Lists'!$I$3,'11. Unit Mix'!J21='Dropdown Lists'!$W$3),H21,0)</f>
        <v>0</v>
      </c>
      <c r="BI21" s="285"/>
      <c r="BJ21" s="285"/>
      <c r="BK21" s="285"/>
      <c r="BL21" s="285"/>
      <c r="BM21" s="285"/>
      <c r="BN21" s="285"/>
      <c r="BO21" s="285"/>
      <c r="BP21" s="285"/>
      <c r="BQ21" s="285"/>
      <c r="BR21" s="285"/>
      <c r="BS21" s="285"/>
      <c r="BT21" s="285"/>
      <c r="BU21" s="285"/>
      <c r="BV21" s="285"/>
      <c r="BW21" s="285"/>
      <c r="BX21" s="285"/>
      <c r="BY21" s="285"/>
      <c r="BZ21" s="285"/>
      <c r="CA21" s="285"/>
      <c r="CB21" s="1476"/>
      <c r="CC21" s="1476"/>
      <c r="CD21" s="1476"/>
      <c r="CE21" s="1476"/>
      <c r="CF21" s="1476"/>
      <c r="CG21" s="1476"/>
      <c r="CH21" s="1476"/>
      <c r="CI21" s="84"/>
    </row>
    <row r="22" spans="1:87">
      <c r="A22" s="239"/>
      <c r="B22" s="1714"/>
      <c r="C22" s="1482"/>
      <c r="D22" s="1482"/>
      <c r="E22" s="1483"/>
      <c r="F22" s="1484"/>
      <c r="G22" s="1483"/>
      <c r="H22" s="1483"/>
      <c r="I22" s="1485"/>
      <c r="J22" s="1483"/>
      <c r="K22" s="1486"/>
      <c r="L22" s="1487">
        <f t="shared" si="31"/>
        <v>0</v>
      </c>
      <c r="M22" s="1488" t="str">
        <f t="shared" si="37"/>
        <v/>
      </c>
      <c r="N22" s="1489">
        <f t="shared" si="32"/>
        <v>0</v>
      </c>
      <c r="O22" s="1489">
        <f t="shared" ca="1" si="33"/>
        <v>0</v>
      </c>
      <c r="P22" s="1490">
        <f t="shared" ca="1" si="34"/>
        <v>0</v>
      </c>
      <c r="Q22" s="1491"/>
      <c r="R22" s="1492">
        <f t="shared" si="35"/>
        <v>0</v>
      </c>
      <c r="S22" s="1489">
        <f t="shared" si="2"/>
        <v>0</v>
      </c>
      <c r="T22" s="1493">
        <f t="shared" si="3"/>
        <v>0</v>
      </c>
      <c r="U22" s="1490">
        <f t="shared" si="4"/>
        <v>0</v>
      </c>
      <c r="V22" s="1491"/>
      <c r="W22" s="1086"/>
      <c r="X22" s="1086"/>
      <c r="Y22" s="284"/>
      <c r="Z22" s="83"/>
      <c r="AA22" s="83">
        <f t="shared" si="5"/>
        <v>-10</v>
      </c>
      <c r="AB22" s="84">
        <f t="shared" si="6"/>
        <v>0</v>
      </c>
      <c r="AC22" s="84">
        <f t="shared" ca="1" si="36"/>
        <v>0</v>
      </c>
      <c r="AD22" s="84" t="b">
        <f t="shared" si="7"/>
        <v>0</v>
      </c>
      <c r="AE22" s="84">
        <f t="shared" si="8"/>
        <v>0</v>
      </c>
      <c r="AF22" s="84">
        <f t="shared" si="8"/>
        <v>0</v>
      </c>
      <c r="AG22" s="84">
        <f t="shared" si="8"/>
        <v>0</v>
      </c>
      <c r="AH22" s="84">
        <f t="shared" si="8"/>
        <v>0</v>
      </c>
      <c r="AI22" s="84">
        <f t="shared" si="8"/>
        <v>0</v>
      </c>
      <c r="AJ22" s="84">
        <f t="shared" si="8"/>
        <v>0</v>
      </c>
      <c r="AK22" s="84">
        <f t="shared" si="8"/>
        <v>0</v>
      </c>
      <c r="AL22" s="1315">
        <f t="shared" si="9"/>
        <v>0</v>
      </c>
      <c r="AM22" s="1315">
        <f t="shared" si="10"/>
        <v>0</v>
      </c>
      <c r="AN22" s="1315">
        <f t="shared" si="11"/>
        <v>0</v>
      </c>
      <c r="AO22" s="1315">
        <f t="shared" si="12"/>
        <v>0</v>
      </c>
      <c r="AP22" s="1315">
        <f t="shared" si="13"/>
        <v>0</v>
      </c>
      <c r="AQ22" s="1315">
        <f t="shared" si="14"/>
        <v>0</v>
      </c>
      <c r="AR22" s="1315">
        <f t="shared" si="15"/>
        <v>0</v>
      </c>
      <c r="AS22" s="84" t="b">
        <f t="shared" si="16"/>
        <v>0</v>
      </c>
      <c r="AT22" s="84">
        <f t="shared" si="17"/>
        <v>0</v>
      </c>
      <c r="AU22" s="1315">
        <f t="shared" si="18"/>
        <v>0</v>
      </c>
      <c r="AV22" s="84" t="b">
        <f t="shared" si="19"/>
        <v>0</v>
      </c>
      <c r="AW22" s="84">
        <f t="shared" si="20"/>
        <v>0</v>
      </c>
      <c r="AX22" s="1315">
        <f t="shared" si="21"/>
        <v>0</v>
      </c>
      <c r="AY22" s="84" t="b">
        <f t="shared" si="22"/>
        <v>0</v>
      </c>
      <c r="AZ22" s="84">
        <f t="shared" si="23"/>
        <v>0</v>
      </c>
      <c r="BA22" s="1315">
        <f t="shared" si="24"/>
        <v>0</v>
      </c>
      <c r="BB22" s="84" t="b">
        <f t="shared" si="25"/>
        <v>0</v>
      </c>
      <c r="BC22" s="84">
        <f t="shared" si="26"/>
        <v>0</v>
      </c>
      <c r="BD22" s="84" t="b">
        <f t="shared" si="27"/>
        <v>0</v>
      </c>
      <c r="BE22" s="84">
        <f t="shared" si="28"/>
        <v>0</v>
      </c>
      <c r="BF22" s="84" t="b">
        <f t="shared" si="29"/>
        <v>0</v>
      </c>
      <c r="BG22" s="84">
        <f t="shared" si="30"/>
        <v>0</v>
      </c>
      <c r="BH22" s="84">
        <f>IF(OR(I22='Dropdown Lists'!$I$3,'11. Unit Mix'!J22='Dropdown Lists'!$W$3),H22,0)</f>
        <v>0</v>
      </c>
      <c r="BI22" s="285"/>
      <c r="BJ22" s="285"/>
      <c r="BK22" s="285"/>
      <c r="BL22" s="285"/>
      <c r="BM22" s="285"/>
      <c r="BN22" s="285"/>
      <c r="BO22" s="285"/>
      <c r="BP22" s="285"/>
      <c r="BQ22" s="285"/>
      <c r="BR22" s="285"/>
      <c r="BS22" s="285"/>
      <c r="BT22" s="285"/>
      <c r="BU22" s="285"/>
      <c r="BV22" s="285"/>
      <c r="BW22" s="285"/>
      <c r="BX22" s="285"/>
      <c r="BY22" s="285"/>
      <c r="BZ22" s="285"/>
      <c r="CA22" s="285"/>
      <c r="CB22" s="1476"/>
      <c r="CC22" s="1476"/>
      <c r="CD22" s="1476"/>
      <c r="CE22" s="1476"/>
      <c r="CF22" s="1476"/>
      <c r="CG22" s="1476"/>
      <c r="CH22" s="1476"/>
      <c r="CI22" s="84"/>
    </row>
    <row r="23" spans="1:87">
      <c r="A23" s="239"/>
      <c r="B23" s="1714"/>
      <c r="C23" s="1482"/>
      <c r="D23" s="1482"/>
      <c r="E23" s="1483"/>
      <c r="F23" s="1484"/>
      <c r="G23" s="1483"/>
      <c r="H23" s="1483"/>
      <c r="I23" s="1485"/>
      <c r="J23" s="1483"/>
      <c r="K23" s="1486"/>
      <c r="L23" s="1487">
        <f t="shared" si="31"/>
        <v>0</v>
      </c>
      <c r="M23" s="1488" t="str">
        <f t="shared" si="37"/>
        <v/>
      </c>
      <c r="N23" s="1489">
        <f t="shared" si="32"/>
        <v>0</v>
      </c>
      <c r="O23" s="1489">
        <f t="shared" ca="1" si="33"/>
        <v>0</v>
      </c>
      <c r="P23" s="1490">
        <f t="shared" ca="1" si="34"/>
        <v>0</v>
      </c>
      <c r="Q23" s="1491"/>
      <c r="R23" s="1492">
        <f t="shared" si="35"/>
        <v>0</v>
      </c>
      <c r="S23" s="1489">
        <f t="shared" si="2"/>
        <v>0</v>
      </c>
      <c r="T23" s="1493">
        <f t="shared" si="3"/>
        <v>0</v>
      </c>
      <c r="U23" s="1490">
        <f t="shared" si="4"/>
        <v>0</v>
      </c>
      <c r="V23" s="1491"/>
      <c r="W23" s="1086"/>
      <c r="X23" s="1086"/>
      <c r="Y23" s="284"/>
      <c r="Z23" s="83"/>
      <c r="AA23" s="83">
        <f t="shared" si="5"/>
        <v>-10</v>
      </c>
      <c r="AB23" s="84">
        <f t="shared" si="6"/>
        <v>0</v>
      </c>
      <c r="AC23" s="84">
        <f t="shared" ca="1" si="36"/>
        <v>0</v>
      </c>
      <c r="AD23" s="84" t="b">
        <f t="shared" si="7"/>
        <v>0</v>
      </c>
      <c r="AE23" s="84">
        <f t="shared" si="8"/>
        <v>0</v>
      </c>
      <c r="AF23" s="84">
        <f t="shared" si="8"/>
        <v>0</v>
      </c>
      <c r="AG23" s="84">
        <f t="shared" si="8"/>
        <v>0</v>
      </c>
      <c r="AH23" s="84">
        <f t="shared" si="8"/>
        <v>0</v>
      </c>
      <c r="AI23" s="84">
        <f t="shared" si="8"/>
        <v>0</v>
      </c>
      <c r="AJ23" s="84">
        <f t="shared" si="8"/>
        <v>0</v>
      </c>
      <c r="AK23" s="84">
        <f t="shared" si="8"/>
        <v>0</v>
      </c>
      <c r="AL23" s="1315">
        <f t="shared" si="9"/>
        <v>0</v>
      </c>
      <c r="AM23" s="1315">
        <f t="shared" si="10"/>
        <v>0</v>
      </c>
      <c r="AN23" s="1315">
        <f t="shared" si="11"/>
        <v>0</v>
      </c>
      <c r="AO23" s="1315">
        <f t="shared" si="12"/>
        <v>0</v>
      </c>
      <c r="AP23" s="1315">
        <f t="shared" si="13"/>
        <v>0</v>
      </c>
      <c r="AQ23" s="1315">
        <f t="shared" si="14"/>
        <v>0</v>
      </c>
      <c r="AR23" s="1315">
        <f t="shared" si="15"/>
        <v>0</v>
      </c>
      <c r="AS23" s="84" t="b">
        <f t="shared" si="16"/>
        <v>0</v>
      </c>
      <c r="AT23" s="84">
        <f t="shared" si="17"/>
        <v>0</v>
      </c>
      <c r="AU23" s="1315">
        <f t="shared" si="18"/>
        <v>0</v>
      </c>
      <c r="AV23" s="84" t="b">
        <f t="shared" si="19"/>
        <v>0</v>
      </c>
      <c r="AW23" s="84">
        <f t="shared" si="20"/>
        <v>0</v>
      </c>
      <c r="AX23" s="1315">
        <f t="shared" si="21"/>
        <v>0</v>
      </c>
      <c r="AY23" s="84" t="b">
        <f t="shared" si="22"/>
        <v>0</v>
      </c>
      <c r="AZ23" s="84">
        <f t="shared" si="23"/>
        <v>0</v>
      </c>
      <c r="BA23" s="1315">
        <f t="shared" si="24"/>
        <v>0</v>
      </c>
      <c r="BB23" s="84" t="b">
        <f t="shared" si="25"/>
        <v>0</v>
      </c>
      <c r="BC23" s="84">
        <f t="shared" si="26"/>
        <v>0</v>
      </c>
      <c r="BD23" s="84" t="b">
        <f t="shared" si="27"/>
        <v>0</v>
      </c>
      <c r="BE23" s="84">
        <f t="shared" si="28"/>
        <v>0</v>
      </c>
      <c r="BF23" s="84" t="b">
        <f t="shared" si="29"/>
        <v>0</v>
      </c>
      <c r="BG23" s="84">
        <f t="shared" si="30"/>
        <v>0</v>
      </c>
      <c r="BH23" s="84">
        <f>IF(OR(I23='Dropdown Lists'!$I$3,'11. Unit Mix'!J23='Dropdown Lists'!$W$3),H23,0)</f>
        <v>0</v>
      </c>
      <c r="BI23" s="285"/>
      <c r="BJ23" s="285"/>
      <c r="BK23" s="285"/>
      <c r="BL23" s="285"/>
      <c r="BM23" s="285"/>
      <c r="BN23" s="285"/>
      <c r="BO23" s="285"/>
      <c r="BP23" s="285"/>
      <c r="BQ23" s="285"/>
      <c r="BR23" s="285"/>
      <c r="BS23" s="285"/>
      <c r="BT23" s="285"/>
      <c r="BU23" s="285"/>
      <c r="BV23" s="285"/>
      <c r="BW23" s="285"/>
      <c r="BX23" s="285"/>
      <c r="BY23" s="285"/>
      <c r="BZ23" s="285"/>
      <c r="CA23" s="285"/>
      <c r="CB23" s="1476"/>
      <c r="CC23" s="1476"/>
      <c r="CD23" s="1476"/>
      <c r="CE23" s="1476"/>
      <c r="CF23" s="1476"/>
      <c r="CG23" s="1476"/>
      <c r="CH23" s="1476"/>
      <c r="CI23" s="84"/>
    </row>
    <row r="24" spans="1:87">
      <c r="A24" s="239"/>
      <c r="B24" s="1714"/>
      <c r="C24" s="1482"/>
      <c r="D24" s="1482"/>
      <c r="E24" s="1483"/>
      <c r="F24" s="1484"/>
      <c r="G24" s="1483"/>
      <c r="H24" s="1483"/>
      <c r="I24" s="1485"/>
      <c r="J24" s="1483"/>
      <c r="K24" s="1486"/>
      <c r="L24" s="1487">
        <f t="shared" si="31"/>
        <v>0</v>
      </c>
      <c r="M24" s="1488" t="str">
        <f t="shared" si="37"/>
        <v/>
      </c>
      <c r="N24" s="1489">
        <f t="shared" si="32"/>
        <v>0</v>
      </c>
      <c r="O24" s="1489">
        <f t="shared" ca="1" si="33"/>
        <v>0</v>
      </c>
      <c r="P24" s="1490">
        <f t="shared" ca="1" si="34"/>
        <v>0</v>
      </c>
      <c r="Q24" s="1491"/>
      <c r="R24" s="1492">
        <f t="shared" si="35"/>
        <v>0</v>
      </c>
      <c r="S24" s="1489">
        <f t="shared" si="2"/>
        <v>0</v>
      </c>
      <c r="T24" s="1493">
        <f t="shared" si="3"/>
        <v>0</v>
      </c>
      <c r="U24" s="1490">
        <f t="shared" si="4"/>
        <v>0</v>
      </c>
      <c r="V24" s="1491"/>
      <c r="W24" s="1086"/>
      <c r="X24" s="1086"/>
      <c r="Y24" s="284"/>
      <c r="Z24" s="83"/>
      <c r="AA24" s="83">
        <f t="shared" si="5"/>
        <v>-10</v>
      </c>
      <c r="AB24" s="84">
        <f t="shared" si="6"/>
        <v>0</v>
      </c>
      <c r="AC24" s="84">
        <f t="shared" ca="1" si="36"/>
        <v>0</v>
      </c>
      <c r="AD24" s="84" t="b">
        <f t="shared" si="7"/>
        <v>0</v>
      </c>
      <c r="AE24" s="84">
        <f t="shared" si="8"/>
        <v>0</v>
      </c>
      <c r="AF24" s="84">
        <f t="shared" si="8"/>
        <v>0</v>
      </c>
      <c r="AG24" s="84">
        <f t="shared" si="8"/>
        <v>0</v>
      </c>
      <c r="AH24" s="84">
        <f t="shared" si="8"/>
        <v>0</v>
      </c>
      <c r="AI24" s="84">
        <f t="shared" si="8"/>
        <v>0</v>
      </c>
      <c r="AJ24" s="84">
        <f t="shared" si="8"/>
        <v>0</v>
      </c>
      <c r="AK24" s="84">
        <f t="shared" si="8"/>
        <v>0</v>
      </c>
      <c r="AL24" s="1315">
        <f t="shared" si="9"/>
        <v>0</v>
      </c>
      <c r="AM24" s="1315">
        <f t="shared" si="10"/>
        <v>0</v>
      </c>
      <c r="AN24" s="1315">
        <f t="shared" si="11"/>
        <v>0</v>
      </c>
      <c r="AO24" s="1315">
        <f t="shared" si="12"/>
        <v>0</v>
      </c>
      <c r="AP24" s="1315">
        <f t="shared" si="13"/>
        <v>0</v>
      </c>
      <c r="AQ24" s="1315">
        <f t="shared" si="14"/>
        <v>0</v>
      </c>
      <c r="AR24" s="1315">
        <f t="shared" si="15"/>
        <v>0</v>
      </c>
      <c r="AS24" s="84" t="b">
        <f t="shared" si="16"/>
        <v>0</v>
      </c>
      <c r="AT24" s="84">
        <f t="shared" si="17"/>
        <v>0</v>
      </c>
      <c r="AU24" s="1315">
        <f t="shared" si="18"/>
        <v>0</v>
      </c>
      <c r="AV24" s="84" t="b">
        <f t="shared" si="19"/>
        <v>0</v>
      </c>
      <c r="AW24" s="84">
        <f t="shared" si="20"/>
        <v>0</v>
      </c>
      <c r="AX24" s="1315">
        <f t="shared" si="21"/>
        <v>0</v>
      </c>
      <c r="AY24" s="84" t="b">
        <f t="shared" si="22"/>
        <v>0</v>
      </c>
      <c r="AZ24" s="84">
        <f t="shared" si="23"/>
        <v>0</v>
      </c>
      <c r="BA24" s="1315">
        <f t="shared" si="24"/>
        <v>0</v>
      </c>
      <c r="BB24" s="84" t="b">
        <f t="shared" si="25"/>
        <v>0</v>
      </c>
      <c r="BC24" s="84">
        <f t="shared" si="26"/>
        <v>0</v>
      </c>
      <c r="BD24" s="84" t="b">
        <f t="shared" si="27"/>
        <v>0</v>
      </c>
      <c r="BE24" s="84">
        <f t="shared" si="28"/>
        <v>0</v>
      </c>
      <c r="BF24" s="84" t="b">
        <f t="shared" si="29"/>
        <v>0</v>
      </c>
      <c r="BG24" s="84">
        <f t="shared" si="30"/>
        <v>0</v>
      </c>
      <c r="BH24" s="84">
        <f>IF(OR(I24='Dropdown Lists'!$I$3,'11. Unit Mix'!J24='Dropdown Lists'!$W$3),H24,0)</f>
        <v>0</v>
      </c>
      <c r="BI24" s="285"/>
      <c r="BJ24" s="285"/>
      <c r="BK24" s="285"/>
      <c r="BL24" s="285"/>
      <c r="BM24" s="285"/>
      <c r="BN24" s="285"/>
      <c r="BO24" s="285"/>
      <c r="BP24" s="285"/>
      <c r="BQ24" s="285"/>
      <c r="BR24" s="285"/>
      <c r="BS24" s="285"/>
      <c r="BT24" s="285"/>
      <c r="BU24" s="285"/>
      <c r="BV24" s="285"/>
      <c r="BW24" s="285"/>
      <c r="BX24" s="285"/>
      <c r="BY24" s="285"/>
      <c r="BZ24" s="285"/>
      <c r="CA24" s="285"/>
      <c r="CB24" s="1476"/>
      <c r="CC24" s="1476"/>
      <c r="CD24" s="1476"/>
      <c r="CE24" s="1476"/>
      <c r="CF24" s="1476"/>
      <c r="CG24" s="1476"/>
      <c r="CH24" s="1476"/>
      <c r="CI24" s="84"/>
    </row>
    <row r="25" spans="1:87">
      <c r="A25" s="239"/>
      <c r="B25" s="1714"/>
      <c r="C25" s="1482"/>
      <c r="D25" s="1482"/>
      <c r="E25" s="1483"/>
      <c r="F25" s="1484"/>
      <c r="G25" s="1483"/>
      <c r="H25" s="1483"/>
      <c r="I25" s="1485"/>
      <c r="J25" s="1483"/>
      <c r="K25" s="1486"/>
      <c r="L25" s="1487">
        <f t="shared" si="31"/>
        <v>0</v>
      </c>
      <c r="M25" s="1488" t="str">
        <f t="shared" si="37"/>
        <v/>
      </c>
      <c r="N25" s="1489">
        <f t="shared" si="32"/>
        <v>0</v>
      </c>
      <c r="O25" s="1489">
        <f t="shared" ca="1" si="33"/>
        <v>0</v>
      </c>
      <c r="P25" s="1490">
        <f t="shared" ca="1" si="34"/>
        <v>0</v>
      </c>
      <c r="Q25" s="1491"/>
      <c r="R25" s="1492">
        <f t="shared" si="35"/>
        <v>0</v>
      </c>
      <c r="S25" s="1489">
        <f t="shared" si="2"/>
        <v>0</v>
      </c>
      <c r="T25" s="1493">
        <f t="shared" si="3"/>
        <v>0</v>
      </c>
      <c r="U25" s="1490">
        <f t="shared" si="4"/>
        <v>0</v>
      </c>
      <c r="V25" s="1491"/>
      <c r="W25" s="1086"/>
      <c r="X25" s="1086"/>
      <c r="Y25" s="284"/>
      <c r="Z25" s="83"/>
      <c r="AA25" s="83">
        <f t="shared" si="5"/>
        <v>-10</v>
      </c>
      <c r="AB25" s="84">
        <f t="shared" si="6"/>
        <v>0</v>
      </c>
      <c r="AC25" s="84">
        <f t="shared" ca="1" si="36"/>
        <v>0</v>
      </c>
      <c r="AD25" s="84" t="b">
        <f t="shared" si="7"/>
        <v>0</v>
      </c>
      <c r="AE25" s="84">
        <f t="shared" si="8"/>
        <v>0</v>
      </c>
      <c r="AF25" s="84">
        <f t="shared" si="8"/>
        <v>0</v>
      </c>
      <c r="AG25" s="84">
        <f t="shared" si="8"/>
        <v>0</v>
      </c>
      <c r="AH25" s="84">
        <f t="shared" si="8"/>
        <v>0</v>
      </c>
      <c r="AI25" s="84">
        <f t="shared" si="8"/>
        <v>0</v>
      </c>
      <c r="AJ25" s="84">
        <f t="shared" si="8"/>
        <v>0</v>
      </c>
      <c r="AK25" s="84">
        <f t="shared" si="8"/>
        <v>0</v>
      </c>
      <c r="AL25" s="1315">
        <f t="shared" si="9"/>
        <v>0</v>
      </c>
      <c r="AM25" s="1315">
        <f t="shared" si="10"/>
        <v>0</v>
      </c>
      <c r="AN25" s="1315">
        <f t="shared" si="11"/>
        <v>0</v>
      </c>
      <c r="AO25" s="1315">
        <f t="shared" si="12"/>
        <v>0</v>
      </c>
      <c r="AP25" s="1315">
        <f t="shared" si="13"/>
        <v>0</v>
      </c>
      <c r="AQ25" s="1315">
        <f t="shared" si="14"/>
        <v>0</v>
      </c>
      <c r="AR25" s="1315">
        <f t="shared" si="15"/>
        <v>0</v>
      </c>
      <c r="AS25" s="84" t="b">
        <f t="shared" si="16"/>
        <v>0</v>
      </c>
      <c r="AT25" s="84">
        <f t="shared" si="17"/>
        <v>0</v>
      </c>
      <c r="AU25" s="1315">
        <f t="shared" si="18"/>
        <v>0</v>
      </c>
      <c r="AV25" s="84" t="b">
        <f t="shared" si="19"/>
        <v>0</v>
      </c>
      <c r="AW25" s="84">
        <f t="shared" si="20"/>
        <v>0</v>
      </c>
      <c r="AX25" s="1315">
        <f t="shared" si="21"/>
        <v>0</v>
      </c>
      <c r="AY25" s="84" t="b">
        <f t="shared" si="22"/>
        <v>0</v>
      </c>
      <c r="AZ25" s="84">
        <f t="shared" si="23"/>
        <v>0</v>
      </c>
      <c r="BA25" s="1315">
        <f t="shared" si="24"/>
        <v>0</v>
      </c>
      <c r="BB25" s="84" t="b">
        <f t="shared" si="25"/>
        <v>0</v>
      </c>
      <c r="BC25" s="84">
        <f t="shared" si="26"/>
        <v>0</v>
      </c>
      <c r="BD25" s="84" t="b">
        <f t="shared" si="27"/>
        <v>0</v>
      </c>
      <c r="BE25" s="84">
        <f t="shared" si="28"/>
        <v>0</v>
      </c>
      <c r="BF25" s="84" t="b">
        <f t="shared" si="29"/>
        <v>0</v>
      </c>
      <c r="BG25" s="84">
        <f t="shared" si="30"/>
        <v>0</v>
      </c>
      <c r="BH25" s="84">
        <f>IF(OR(I25='Dropdown Lists'!$I$3,'11. Unit Mix'!J25='Dropdown Lists'!$W$3),H25,0)</f>
        <v>0</v>
      </c>
      <c r="BI25" s="285"/>
      <c r="BJ25" s="285"/>
      <c r="BK25" s="285"/>
      <c r="BL25" s="285"/>
      <c r="BM25" s="285"/>
      <c r="BN25" s="285"/>
      <c r="BO25" s="285"/>
      <c r="BP25" s="285"/>
      <c r="BQ25" s="285"/>
      <c r="BR25" s="285"/>
      <c r="BS25" s="285"/>
      <c r="BT25" s="285"/>
      <c r="BU25" s="285"/>
      <c r="BV25" s="285"/>
      <c r="BW25" s="285"/>
      <c r="BX25" s="285"/>
      <c r="BY25" s="285"/>
      <c r="BZ25" s="285"/>
      <c r="CA25" s="285"/>
      <c r="CB25" s="1476"/>
      <c r="CC25" s="1476"/>
      <c r="CD25" s="1476"/>
      <c r="CE25" s="1476"/>
      <c r="CF25" s="1476"/>
      <c r="CG25" s="1476"/>
      <c r="CH25" s="1476"/>
      <c r="CI25" s="84"/>
    </row>
    <row r="26" spans="1:87">
      <c r="A26" s="239"/>
      <c r="B26" s="1714"/>
      <c r="C26" s="1482"/>
      <c r="D26" s="1482"/>
      <c r="E26" s="1483"/>
      <c r="F26" s="1484"/>
      <c r="G26" s="1483"/>
      <c r="H26" s="1483"/>
      <c r="I26" s="1485"/>
      <c r="J26" s="1483"/>
      <c r="K26" s="1486"/>
      <c r="L26" s="1487">
        <f t="shared" si="31"/>
        <v>0</v>
      </c>
      <c r="M26" s="1488" t="str">
        <f t="shared" si="37"/>
        <v/>
      </c>
      <c r="N26" s="1489">
        <f t="shared" si="32"/>
        <v>0</v>
      </c>
      <c r="O26" s="1489">
        <f t="shared" ca="1" si="33"/>
        <v>0</v>
      </c>
      <c r="P26" s="1490">
        <f t="shared" ca="1" si="34"/>
        <v>0</v>
      </c>
      <c r="Q26" s="1491"/>
      <c r="R26" s="1492">
        <f t="shared" si="35"/>
        <v>0</v>
      </c>
      <c r="S26" s="1489">
        <f t="shared" si="2"/>
        <v>0</v>
      </c>
      <c r="T26" s="1493">
        <f t="shared" si="3"/>
        <v>0</v>
      </c>
      <c r="U26" s="1490">
        <f t="shared" si="4"/>
        <v>0</v>
      </c>
      <c r="V26" s="1491"/>
      <c r="W26" s="1086"/>
      <c r="X26" s="1086"/>
      <c r="Y26" s="284"/>
      <c r="Z26" s="83"/>
      <c r="AA26" s="83">
        <f t="shared" si="5"/>
        <v>-10</v>
      </c>
      <c r="AB26" s="84">
        <f t="shared" si="6"/>
        <v>0</v>
      </c>
      <c r="AC26" s="84">
        <f t="shared" ca="1" si="36"/>
        <v>0</v>
      </c>
      <c r="AD26" s="84" t="b">
        <f t="shared" si="7"/>
        <v>0</v>
      </c>
      <c r="AE26" s="84">
        <f t="shared" si="8"/>
        <v>0</v>
      </c>
      <c r="AF26" s="84">
        <f t="shared" si="8"/>
        <v>0</v>
      </c>
      <c r="AG26" s="84">
        <f t="shared" si="8"/>
        <v>0</v>
      </c>
      <c r="AH26" s="84">
        <f t="shared" si="8"/>
        <v>0</v>
      </c>
      <c r="AI26" s="84">
        <f t="shared" si="8"/>
        <v>0</v>
      </c>
      <c r="AJ26" s="84">
        <f t="shared" si="8"/>
        <v>0</v>
      </c>
      <c r="AK26" s="84">
        <f t="shared" si="8"/>
        <v>0</v>
      </c>
      <c r="AL26" s="1315">
        <f t="shared" si="9"/>
        <v>0</v>
      </c>
      <c r="AM26" s="1315">
        <f t="shared" si="10"/>
        <v>0</v>
      </c>
      <c r="AN26" s="1315">
        <f t="shared" si="11"/>
        <v>0</v>
      </c>
      <c r="AO26" s="1315">
        <f t="shared" si="12"/>
        <v>0</v>
      </c>
      <c r="AP26" s="1315">
        <f t="shared" si="13"/>
        <v>0</v>
      </c>
      <c r="AQ26" s="1315">
        <f t="shared" si="14"/>
        <v>0</v>
      </c>
      <c r="AR26" s="1315">
        <f t="shared" si="15"/>
        <v>0</v>
      </c>
      <c r="AS26" s="84" t="b">
        <f t="shared" si="16"/>
        <v>0</v>
      </c>
      <c r="AT26" s="84">
        <f t="shared" si="17"/>
        <v>0</v>
      </c>
      <c r="AU26" s="1315">
        <f t="shared" si="18"/>
        <v>0</v>
      </c>
      <c r="AV26" s="84" t="b">
        <f t="shared" si="19"/>
        <v>0</v>
      </c>
      <c r="AW26" s="84">
        <f t="shared" si="20"/>
        <v>0</v>
      </c>
      <c r="AX26" s="1315">
        <f t="shared" si="21"/>
        <v>0</v>
      </c>
      <c r="AY26" s="84" t="b">
        <f t="shared" si="22"/>
        <v>0</v>
      </c>
      <c r="AZ26" s="84">
        <f t="shared" si="23"/>
        <v>0</v>
      </c>
      <c r="BA26" s="1315">
        <f t="shared" si="24"/>
        <v>0</v>
      </c>
      <c r="BB26" s="84" t="b">
        <f t="shared" si="25"/>
        <v>0</v>
      </c>
      <c r="BC26" s="84">
        <f t="shared" si="26"/>
        <v>0</v>
      </c>
      <c r="BD26" s="84" t="b">
        <f t="shared" si="27"/>
        <v>0</v>
      </c>
      <c r="BE26" s="84">
        <f t="shared" si="28"/>
        <v>0</v>
      </c>
      <c r="BF26" s="84" t="b">
        <f t="shared" si="29"/>
        <v>0</v>
      </c>
      <c r="BG26" s="84">
        <f t="shared" si="30"/>
        <v>0</v>
      </c>
      <c r="BH26" s="84">
        <f>IF(OR(I26='Dropdown Lists'!$I$3,'11. Unit Mix'!J26='Dropdown Lists'!$W$3),H26,0)</f>
        <v>0</v>
      </c>
      <c r="BI26" s="285"/>
      <c r="BJ26" s="285"/>
      <c r="BK26" s="285"/>
      <c r="BL26" s="285"/>
      <c r="BM26" s="285"/>
      <c r="BN26" s="285"/>
      <c r="BO26" s="285"/>
      <c r="BP26" s="285"/>
      <c r="BQ26" s="285"/>
      <c r="BR26" s="285"/>
      <c r="BS26" s="285"/>
      <c r="BT26" s="285"/>
      <c r="BU26" s="285"/>
      <c r="BV26" s="285"/>
      <c r="BW26" s="285"/>
      <c r="BX26" s="285"/>
      <c r="BY26" s="285"/>
      <c r="BZ26" s="285"/>
      <c r="CA26" s="285"/>
      <c r="CB26" s="1476"/>
      <c r="CC26" s="1476"/>
      <c r="CD26" s="1476"/>
      <c r="CE26" s="1476"/>
      <c r="CF26" s="1476"/>
      <c r="CG26" s="1476"/>
      <c r="CH26" s="1476"/>
      <c r="CI26" s="84"/>
    </row>
    <row r="27" spans="1:87">
      <c r="A27" s="239"/>
      <c r="B27" s="1714"/>
      <c r="C27" s="1482"/>
      <c r="D27" s="1482"/>
      <c r="E27" s="1483"/>
      <c r="F27" s="1484"/>
      <c r="G27" s="1483"/>
      <c r="H27" s="1483"/>
      <c r="I27" s="1485"/>
      <c r="J27" s="1483"/>
      <c r="K27" s="1486"/>
      <c r="L27" s="1487">
        <f t="shared" si="31"/>
        <v>0</v>
      </c>
      <c r="M27" s="1488" t="str">
        <f t="shared" si="37"/>
        <v/>
      </c>
      <c r="N27" s="1489">
        <f t="shared" si="32"/>
        <v>0</v>
      </c>
      <c r="O27" s="1489">
        <f t="shared" ca="1" si="33"/>
        <v>0</v>
      </c>
      <c r="P27" s="1490">
        <f t="shared" ca="1" si="34"/>
        <v>0</v>
      </c>
      <c r="Q27" s="1491"/>
      <c r="R27" s="1492">
        <f t="shared" si="35"/>
        <v>0</v>
      </c>
      <c r="S27" s="1489">
        <f>K27*H27*12</f>
        <v>0</v>
      </c>
      <c r="T27" s="1493">
        <f t="shared" si="3"/>
        <v>0</v>
      </c>
      <c r="U27" s="1490">
        <f t="shared" si="4"/>
        <v>0</v>
      </c>
      <c r="V27" s="1491"/>
      <c r="W27" s="1086"/>
      <c r="X27" s="1086"/>
      <c r="Y27" s="284"/>
      <c r="Z27" s="83"/>
      <c r="AA27" s="83">
        <f t="shared" si="5"/>
        <v>-10</v>
      </c>
      <c r="AB27" s="84">
        <f t="shared" si="6"/>
        <v>0</v>
      </c>
      <c r="AC27" s="84">
        <f t="shared" ca="1" si="36"/>
        <v>0</v>
      </c>
      <c r="AD27" s="84" t="b">
        <f t="shared" si="7"/>
        <v>0</v>
      </c>
      <c r="AE27" s="84">
        <f t="shared" si="8"/>
        <v>0</v>
      </c>
      <c r="AF27" s="84">
        <f t="shared" si="8"/>
        <v>0</v>
      </c>
      <c r="AG27" s="84">
        <f t="shared" si="8"/>
        <v>0</v>
      </c>
      <c r="AH27" s="84">
        <f t="shared" si="8"/>
        <v>0</v>
      </c>
      <c r="AI27" s="84">
        <f t="shared" si="8"/>
        <v>0</v>
      </c>
      <c r="AJ27" s="84">
        <f t="shared" si="8"/>
        <v>0</v>
      </c>
      <c r="AK27" s="84">
        <f t="shared" si="8"/>
        <v>0</v>
      </c>
      <c r="AL27" s="1315">
        <f t="shared" si="9"/>
        <v>0</v>
      </c>
      <c r="AM27" s="1315">
        <f t="shared" si="10"/>
        <v>0</v>
      </c>
      <c r="AN27" s="1315">
        <f t="shared" si="11"/>
        <v>0</v>
      </c>
      <c r="AO27" s="1315">
        <f t="shared" si="12"/>
        <v>0</v>
      </c>
      <c r="AP27" s="1315">
        <f t="shared" si="13"/>
        <v>0</v>
      </c>
      <c r="AQ27" s="1315">
        <f t="shared" si="14"/>
        <v>0</v>
      </c>
      <c r="AR27" s="1315">
        <f t="shared" si="15"/>
        <v>0</v>
      </c>
      <c r="AS27" s="84" t="b">
        <f t="shared" si="16"/>
        <v>0</v>
      </c>
      <c r="AT27" s="84">
        <f t="shared" si="17"/>
        <v>0</v>
      </c>
      <c r="AU27" s="1315">
        <f t="shared" si="18"/>
        <v>0</v>
      </c>
      <c r="AV27" s="84" t="b">
        <f t="shared" si="19"/>
        <v>0</v>
      </c>
      <c r="AW27" s="84">
        <f t="shared" si="20"/>
        <v>0</v>
      </c>
      <c r="AX27" s="1315">
        <f t="shared" si="21"/>
        <v>0</v>
      </c>
      <c r="AY27" s="84" t="b">
        <f t="shared" si="22"/>
        <v>0</v>
      </c>
      <c r="AZ27" s="84">
        <f t="shared" si="23"/>
        <v>0</v>
      </c>
      <c r="BA27" s="1315">
        <f t="shared" si="24"/>
        <v>0</v>
      </c>
      <c r="BB27" s="84" t="b">
        <f t="shared" si="25"/>
        <v>0</v>
      </c>
      <c r="BC27" s="84">
        <f t="shared" si="26"/>
        <v>0</v>
      </c>
      <c r="BD27" s="84" t="b">
        <f t="shared" si="27"/>
        <v>0</v>
      </c>
      <c r="BE27" s="84">
        <f t="shared" si="28"/>
        <v>0</v>
      </c>
      <c r="BF27" s="84" t="b">
        <f t="shared" si="29"/>
        <v>0</v>
      </c>
      <c r="BG27" s="84">
        <f t="shared" si="30"/>
        <v>0</v>
      </c>
      <c r="BH27" s="84">
        <f>IF(OR(I27='Dropdown Lists'!$I$3,'11. Unit Mix'!J27='Dropdown Lists'!$W$3),H27,0)</f>
        <v>0</v>
      </c>
      <c r="BI27" s="285"/>
      <c r="BJ27" s="285"/>
      <c r="BK27" s="285"/>
      <c r="BL27" s="285"/>
      <c r="BM27" s="285"/>
      <c r="BN27" s="285"/>
      <c r="BO27" s="285"/>
      <c r="BP27" s="285"/>
      <c r="BQ27" s="285"/>
      <c r="BR27" s="285"/>
      <c r="BS27" s="285"/>
      <c r="BT27" s="285"/>
      <c r="BU27" s="285"/>
      <c r="BV27" s="285"/>
      <c r="BW27" s="285"/>
      <c r="BX27" s="285"/>
      <c r="BY27" s="285"/>
      <c r="BZ27" s="285"/>
      <c r="CA27" s="285"/>
      <c r="CB27" s="1476"/>
      <c r="CC27" s="1476"/>
      <c r="CD27" s="1476"/>
      <c r="CE27" s="1476"/>
      <c r="CF27" s="1476"/>
      <c r="CG27" s="1476"/>
      <c r="CH27" s="1476"/>
      <c r="CI27" s="84"/>
    </row>
    <row r="28" spans="1:87">
      <c r="A28" s="239"/>
      <c r="B28" s="1714"/>
      <c r="C28" s="1482"/>
      <c r="D28" s="1482"/>
      <c r="E28" s="1483"/>
      <c r="F28" s="1484"/>
      <c r="G28" s="1483"/>
      <c r="H28" s="1483"/>
      <c r="I28" s="1485"/>
      <c r="J28" s="1483"/>
      <c r="K28" s="1486"/>
      <c r="L28" s="1487">
        <f t="shared" ref="L28:L65" si="38">IF(G28=0, 0,K28/G28)</f>
        <v>0</v>
      </c>
      <c r="M28" s="1488" t="str">
        <f t="shared" si="37"/>
        <v/>
      </c>
      <c r="N28" s="1489">
        <f t="shared" si="32"/>
        <v>0</v>
      </c>
      <c r="O28" s="1489">
        <f t="shared" ca="1" si="33"/>
        <v>0</v>
      </c>
      <c r="P28" s="1490">
        <f t="shared" ca="1" si="34"/>
        <v>0</v>
      </c>
      <c r="Q28" s="1491"/>
      <c r="R28" s="1492">
        <f t="shared" ref="R28:R65" si="39">IF(Q28=0,0,K28/Q28)</f>
        <v>0</v>
      </c>
      <c r="S28" s="1489">
        <f>K28*H28*12</f>
        <v>0</v>
      </c>
      <c r="T28" s="1493">
        <f t="shared" si="3"/>
        <v>0</v>
      </c>
      <c r="U28" s="1490">
        <f t="shared" ref="U28:U65" si="40">I28*T28</f>
        <v>0</v>
      </c>
      <c r="V28" s="1491"/>
      <c r="W28" s="1086"/>
      <c r="X28" s="1086"/>
      <c r="Y28" s="284"/>
      <c r="Z28" s="83"/>
      <c r="AA28" s="83">
        <f t="shared" ref="AA28:AA65" si="41">((I28-20%)*10*6)+2</f>
        <v>-10</v>
      </c>
      <c r="AB28" s="84">
        <f t="shared" ref="AB28:AB65" si="42">IF(E28="Studio",0,E28)</f>
        <v>0</v>
      </c>
      <c r="AC28" s="84">
        <f t="shared" ca="1" si="36"/>
        <v>0</v>
      </c>
      <c r="AD28" s="84" t="b">
        <f t="shared" ref="AD28:AD47" si="43">$J28="Low Income"</f>
        <v>0</v>
      </c>
      <c r="AE28" s="84">
        <f t="shared" ref="AE28:AK35" si="44">IF($I28=AE$15,$H28,0)</f>
        <v>0</v>
      </c>
      <c r="AF28" s="84">
        <f t="shared" si="44"/>
        <v>0</v>
      </c>
      <c r="AG28" s="84">
        <f t="shared" si="44"/>
        <v>0</v>
      </c>
      <c r="AH28" s="84">
        <f t="shared" si="44"/>
        <v>0</v>
      </c>
      <c r="AI28" s="84">
        <f t="shared" si="44"/>
        <v>0</v>
      </c>
      <c r="AJ28" s="84">
        <f t="shared" si="44"/>
        <v>0</v>
      </c>
      <c r="AK28" s="84">
        <f t="shared" si="44"/>
        <v>0</v>
      </c>
      <c r="AL28" s="1315">
        <f t="shared" ref="AL28:AL47" si="45">AE28*$K28*12</f>
        <v>0</v>
      </c>
      <c r="AM28" s="1315">
        <f t="shared" ref="AM28:AM47" si="46">AF28*$K28*12</f>
        <v>0</v>
      </c>
      <c r="AN28" s="1315">
        <f t="shared" ref="AN28:AN47" si="47">AG28*$K28*12</f>
        <v>0</v>
      </c>
      <c r="AO28" s="1315">
        <f t="shared" ref="AO28:AO47" si="48">AH28*$K28*12</f>
        <v>0</v>
      </c>
      <c r="AP28" s="1315">
        <f t="shared" ref="AP28:AP47" si="49">AI28*$K28*12</f>
        <v>0</v>
      </c>
      <c r="AQ28" s="1315">
        <f t="shared" ref="AQ28:AQ47" si="50">AJ28*$K28*12</f>
        <v>0</v>
      </c>
      <c r="AR28" s="1315">
        <f t="shared" ref="AR28:AR47" si="51">AK28*$K28*12</f>
        <v>0</v>
      </c>
      <c r="AS28" s="84" t="b">
        <f t="shared" ref="AS28:AS47" si="52">$J28="Voucher"</f>
        <v>0</v>
      </c>
      <c r="AT28" s="84">
        <f t="shared" ref="AT28:AT47" si="53">IF(AS28,$H28,0)</f>
        <v>0</v>
      </c>
      <c r="AU28" s="1315">
        <f t="shared" ref="AU28:AU65" si="54">AT28*K28</f>
        <v>0</v>
      </c>
      <c r="AV28" s="84" t="b">
        <f t="shared" ref="AV28:AV47" si="55">$J28="HOME"</f>
        <v>0</v>
      </c>
      <c r="AW28" s="84">
        <f t="shared" ref="AW28:AW47" si="56">IF(AV28,$H28,0)</f>
        <v>0</v>
      </c>
      <c r="AX28" s="1315">
        <f t="shared" si="21"/>
        <v>0</v>
      </c>
      <c r="AY28" s="84" t="b">
        <f t="shared" ref="AY28:AY47" si="57">$J28="Employee"</f>
        <v>0</v>
      </c>
      <c r="AZ28" s="84">
        <f t="shared" ref="AZ28:AZ47" si="58">IF(AY28,$H28,0)</f>
        <v>0</v>
      </c>
      <c r="BA28" s="1315">
        <f t="shared" si="24"/>
        <v>0</v>
      </c>
      <c r="BB28" s="84" t="b">
        <f t="shared" si="25"/>
        <v>0</v>
      </c>
      <c r="BC28" s="84">
        <f t="shared" ref="BC28:BC47" si="59">IF(BB28,H28, 0)</f>
        <v>0</v>
      </c>
      <c r="BD28" s="84" t="b">
        <f t="shared" si="27"/>
        <v>0</v>
      </c>
      <c r="BE28" s="84">
        <f t="shared" ref="BE28:BE65" si="60">IF(BD28,H28, 0)</f>
        <v>0</v>
      </c>
      <c r="BF28" s="84" t="b">
        <f t="shared" ref="BF28:BF65" si="61">AND(AS28,I28=60%)</f>
        <v>0</v>
      </c>
      <c r="BG28" s="84">
        <f t="shared" ref="BG28:BG47" si="62">IF($BF28, $H28,0)</f>
        <v>0</v>
      </c>
      <c r="BH28" s="84">
        <f>IF(OR(I28='Dropdown Lists'!$I$3,'11. Unit Mix'!J28='Dropdown Lists'!$W$3),H28,0)</f>
        <v>0</v>
      </c>
      <c r="BI28" s="285"/>
      <c r="BJ28" s="285"/>
      <c r="BK28" s="285"/>
      <c r="BL28" s="285"/>
      <c r="BM28" s="285"/>
      <c r="BN28" s="285"/>
      <c r="BO28" s="285"/>
      <c r="BP28" s="285"/>
      <c r="BQ28" s="285"/>
      <c r="BR28" s="285"/>
      <c r="BS28" s="285"/>
      <c r="BT28" s="285"/>
      <c r="BU28" s="285"/>
      <c r="BV28" s="285"/>
      <c r="BW28" s="285"/>
      <c r="BX28" s="285"/>
      <c r="BY28" s="285"/>
      <c r="BZ28" s="285"/>
      <c r="CA28" s="285"/>
      <c r="CB28" s="1476"/>
      <c r="CC28" s="1476"/>
      <c r="CD28" s="1476"/>
      <c r="CE28" s="1476"/>
      <c r="CF28" s="1476"/>
      <c r="CG28" s="1476"/>
      <c r="CH28" s="1476"/>
      <c r="CI28" s="84"/>
    </row>
    <row r="29" spans="1:87">
      <c r="A29" s="239"/>
      <c r="B29" s="1714"/>
      <c r="C29" s="1482"/>
      <c r="D29" s="1482"/>
      <c r="E29" s="1483"/>
      <c r="F29" s="1484"/>
      <c r="G29" s="1483"/>
      <c r="H29" s="1483"/>
      <c r="I29" s="1485"/>
      <c r="J29" s="1483"/>
      <c r="K29" s="1486"/>
      <c r="L29" s="1487">
        <f t="shared" si="38"/>
        <v>0</v>
      </c>
      <c r="M29" s="1488" t="str">
        <f t="shared" si="37"/>
        <v/>
      </c>
      <c r="N29" s="1489">
        <f t="shared" si="32"/>
        <v>0</v>
      </c>
      <c r="O29" s="1489">
        <f t="shared" ca="1" si="33"/>
        <v>0</v>
      </c>
      <c r="P29" s="1490">
        <f t="shared" ca="1" si="34"/>
        <v>0</v>
      </c>
      <c r="Q29" s="1491"/>
      <c r="R29" s="1492">
        <f t="shared" si="39"/>
        <v>0</v>
      </c>
      <c r="S29" s="1489">
        <f>K29*H29*12</f>
        <v>0</v>
      </c>
      <c r="T29" s="1493">
        <f t="shared" si="3"/>
        <v>0</v>
      </c>
      <c r="U29" s="1490">
        <f t="shared" si="40"/>
        <v>0</v>
      </c>
      <c r="V29" s="1491"/>
      <c r="W29" s="1086"/>
      <c r="X29" s="1086"/>
      <c r="Y29" s="284"/>
      <c r="Z29" s="83"/>
      <c r="AA29" s="83">
        <f t="shared" si="41"/>
        <v>-10</v>
      </c>
      <c r="AB29" s="84">
        <f t="shared" si="42"/>
        <v>0</v>
      </c>
      <c r="AC29" s="84">
        <f t="shared" ca="1" si="36"/>
        <v>0</v>
      </c>
      <c r="AD29" s="84" t="b">
        <f t="shared" si="43"/>
        <v>0</v>
      </c>
      <c r="AE29" s="84">
        <f t="shared" si="44"/>
        <v>0</v>
      </c>
      <c r="AF29" s="84">
        <f t="shared" si="44"/>
        <v>0</v>
      </c>
      <c r="AG29" s="84">
        <f t="shared" si="44"/>
        <v>0</v>
      </c>
      <c r="AH29" s="84">
        <f t="shared" si="44"/>
        <v>0</v>
      </c>
      <c r="AI29" s="84">
        <f t="shared" si="44"/>
        <v>0</v>
      </c>
      <c r="AJ29" s="84">
        <f t="shared" si="44"/>
        <v>0</v>
      </c>
      <c r="AK29" s="84">
        <f t="shared" si="44"/>
        <v>0</v>
      </c>
      <c r="AL29" s="1315">
        <f t="shared" si="45"/>
        <v>0</v>
      </c>
      <c r="AM29" s="1315">
        <f t="shared" si="46"/>
        <v>0</v>
      </c>
      <c r="AN29" s="1315">
        <f t="shared" si="47"/>
        <v>0</v>
      </c>
      <c r="AO29" s="1315">
        <f t="shared" si="48"/>
        <v>0</v>
      </c>
      <c r="AP29" s="1315">
        <f t="shared" si="49"/>
        <v>0</v>
      </c>
      <c r="AQ29" s="1315">
        <f t="shared" si="50"/>
        <v>0</v>
      </c>
      <c r="AR29" s="1315">
        <f t="shared" si="51"/>
        <v>0</v>
      </c>
      <c r="AS29" s="84" t="b">
        <f t="shared" si="52"/>
        <v>0</v>
      </c>
      <c r="AT29" s="84">
        <f t="shared" si="53"/>
        <v>0</v>
      </c>
      <c r="AU29" s="1315">
        <f t="shared" si="54"/>
        <v>0</v>
      </c>
      <c r="AV29" s="84" t="b">
        <f t="shared" si="55"/>
        <v>0</v>
      </c>
      <c r="AW29" s="84">
        <f t="shared" si="56"/>
        <v>0</v>
      </c>
      <c r="AX29" s="1315">
        <f t="shared" si="21"/>
        <v>0</v>
      </c>
      <c r="AY29" s="84" t="b">
        <f t="shared" si="57"/>
        <v>0</v>
      </c>
      <c r="AZ29" s="84">
        <f t="shared" si="58"/>
        <v>0</v>
      </c>
      <c r="BA29" s="1315">
        <f t="shared" si="24"/>
        <v>0</v>
      </c>
      <c r="BB29" s="84" t="b">
        <f t="shared" si="25"/>
        <v>0</v>
      </c>
      <c r="BC29" s="84">
        <f t="shared" si="59"/>
        <v>0</v>
      </c>
      <c r="BD29" s="84" t="b">
        <f t="shared" si="27"/>
        <v>0</v>
      </c>
      <c r="BE29" s="84">
        <f t="shared" si="60"/>
        <v>0</v>
      </c>
      <c r="BF29" s="84" t="b">
        <f t="shared" si="61"/>
        <v>0</v>
      </c>
      <c r="BG29" s="84">
        <f t="shared" si="62"/>
        <v>0</v>
      </c>
      <c r="BH29" s="84">
        <f>IF(OR(I29='Dropdown Lists'!$I$3,'11. Unit Mix'!J29='Dropdown Lists'!$W$3),H29,0)</f>
        <v>0</v>
      </c>
      <c r="BI29" s="285"/>
      <c r="BJ29" s="285"/>
      <c r="BK29" s="285"/>
      <c r="BL29" s="285"/>
      <c r="BM29" s="285"/>
      <c r="BN29" s="285"/>
      <c r="BO29" s="285"/>
      <c r="BP29" s="285"/>
      <c r="BQ29" s="285"/>
      <c r="BR29" s="285"/>
      <c r="BS29" s="285"/>
      <c r="BT29" s="285"/>
      <c r="BU29" s="285"/>
      <c r="BV29" s="285"/>
      <c r="BW29" s="285"/>
      <c r="BX29" s="285"/>
      <c r="BY29" s="285"/>
      <c r="BZ29" s="285"/>
      <c r="CA29" s="285"/>
      <c r="CB29" s="1476"/>
      <c r="CC29" s="1476"/>
      <c r="CD29" s="1476"/>
      <c r="CE29" s="1476"/>
      <c r="CF29" s="1476"/>
      <c r="CG29" s="1476"/>
      <c r="CH29" s="1476"/>
      <c r="CI29" s="84"/>
    </row>
    <row r="30" spans="1:87">
      <c r="A30" s="239"/>
      <c r="B30" s="1714"/>
      <c r="C30" s="1482"/>
      <c r="D30" s="1482"/>
      <c r="E30" s="1483"/>
      <c r="F30" s="1484"/>
      <c r="G30" s="1483"/>
      <c r="H30" s="1483"/>
      <c r="I30" s="1485"/>
      <c r="J30" s="1483"/>
      <c r="K30" s="1486"/>
      <c r="L30" s="1487">
        <f t="shared" si="38"/>
        <v>0</v>
      </c>
      <c r="M30" s="1488" t="str">
        <f t="shared" si="37"/>
        <v/>
      </c>
      <c r="N30" s="1489">
        <f t="shared" si="32"/>
        <v>0</v>
      </c>
      <c r="O30" s="1489">
        <f t="shared" ca="1" si="33"/>
        <v>0</v>
      </c>
      <c r="P30" s="1490">
        <f t="shared" ca="1" si="34"/>
        <v>0</v>
      </c>
      <c r="Q30" s="1491"/>
      <c r="R30" s="1492">
        <f t="shared" si="39"/>
        <v>0</v>
      </c>
      <c r="S30" s="1489">
        <f t="shared" ref="S30:S65" si="63">K30*H30*12</f>
        <v>0</v>
      </c>
      <c r="T30" s="1493">
        <f t="shared" si="3"/>
        <v>0</v>
      </c>
      <c r="U30" s="1490">
        <f t="shared" si="40"/>
        <v>0</v>
      </c>
      <c r="V30" s="1491"/>
      <c r="W30" s="1086"/>
      <c r="X30" s="1086"/>
      <c r="Y30" s="284"/>
      <c r="Z30" s="83"/>
      <c r="AA30" s="83">
        <f t="shared" si="41"/>
        <v>-10</v>
      </c>
      <c r="AB30" s="84">
        <f t="shared" si="42"/>
        <v>0</v>
      </c>
      <c r="AC30" s="84">
        <f t="shared" ca="1" si="36"/>
        <v>0</v>
      </c>
      <c r="AD30" s="84" t="b">
        <f t="shared" si="43"/>
        <v>0</v>
      </c>
      <c r="AE30" s="84">
        <f t="shared" si="44"/>
        <v>0</v>
      </c>
      <c r="AF30" s="84">
        <f t="shared" si="44"/>
        <v>0</v>
      </c>
      <c r="AG30" s="84">
        <f t="shared" si="44"/>
        <v>0</v>
      </c>
      <c r="AH30" s="84">
        <f t="shared" si="44"/>
        <v>0</v>
      </c>
      <c r="AI30" s="84">
        <f t="shared" si="44"/>
        <v>0</v>
      </c>
      <c r="AJ30" s="84">
        <f t="shared" si="44"/>
        <v>0</v>
      </c>
      <c r="AK30" s="84">
        <f t="shared" si="44"/>
        <v>0</v>
      </c>
      <c r="AL30" s="1315">
        <f t="shared" si="45"/>
        <v>0</v>
      </c>
      <c r="AM30" s="1315">
        <f t="shared" si="46"/>
        <v>0</v>
      </c>
      <c r="AN30" s="1315">
        <f t="shared" si="47"/>
        <v>0</v>
      </c>
      <c r="AO30" s="1315">
        <f t="shared" si="48"/>
        <v>0</v>
      </c>
      <c r="AP30" s="1315">
        <f t="shared" si="49"/>
        <v>0</v>
      </c>
      <c r="AQ30" s="1315">
        <f t="shared" si="50"/>
        <v>0</v>
      </c>
      <c r="AR30" s="1315">
        <f t="shared" si="51"/>
        <v>0</v>
      </c>
      <c r="AS30" s="84" t="b">
        <f t="shared" si="52"/>
        <v>0</v>
      </c>
      <c r="AT30" s="84">
        <f t="shared" si="53"/>
        <v>0</v>
      </c>
      <c r="AU30" s="1315">
        <f t="shared" si="54"/>
        <v>0</v>
      </c>
      <c r="AV30" s="84" t="b">
        <f t="shared" si="55"/>
        <v>0</v>
      </c>
      <c r="AW30" s="84">
        <f t="shared" si="56"/>
        <v>0</v>
      </c>
      <c r="AX30" s="1315">
        <f t="shared" si="21"/>
        <v>0</v>
      </c>
      <c r="AY30" s="84" t="b">
        <f t="shared" si="57"/>
        <v>0</v>
      </c>
      <c r="AZ30" s="84">
        <f t="shared" si="58"/>
        <v>0</v>
      </c>
      <c r="BA30" s="1315">
        <f t="shared" si="24"/>
        <v>0</v>
      </c>
      <c r="BB30" s="84" t="b">
        <f t="shared" si="25"/>
        <v>0</v>
      </c>
      <c r="BC30" s="84">
        <f t="shared" si="59"/>
        <v>0</v>
      </c>
      <c r="BD30" s="84" t="b">
        <f t="shared" si="27"/>
        <v>0</v>
      </c>
      <c r="BE30" s="84">
        <f t="shared" si="60"/>
        <v>0</v>
      </c>
      <c r="BF30" s="84" t="b">
        <f t="shared" si="61"/>
        <v>0</v>
      </c>
      <c r="BG30" s="84">
        <f t="shared" si="62"/>
        <v>0</v>
      </c>
      <c r="BH30" s="84">
        <f>IF(OR(I30='Dropdown Lists'!$I$3,'11. Unit Mix'!J30='Dropdown Lists'!$W$3),H30,0)</f>
        <v>0</v>
      </c>
      <c r="BI30" s="285"/>
      <c r="BJ30" s="285"/>
      <c r="BK30" s="285"/>
      <c r="BL30" s="285"/>
      <c r="BM30" s="285"/>
      <c r="BN30" s="285"/>
      <c r="BO30" s="285"/>
      <c r="BP30" s="285"/>
      <c r="BQ30" s="285"/>
      <c r="BR30" s="285"/>
      <c r="BS30" s="285"/>
      <c r="BT30" s="285"/>
      <c r="BU30" s="285"/>
      <c r="BV30" s="285"/>
      <c r="BW30" s="285"/>
      <c r="BX30" s="285"/>
      <c r="BY30" s="285"/>
      <c r="BZ30" s="285"/>
      <c r="CA30" s="285"/>
      <c r="CB30" s="1476"/>
      <c r="CC30" s="1476"/>
      <c r="CD30" s="1476"/>
      <c r="CE30" s="1476"/>
      <c r="CF30" s="1476"/>
      <c r="CG30" s="1476"/>
      <c r="CH30" s="1476"/>
      <c r="CI30" s="84"/>
    </row>
    <row r="31" spans="1:87">
      <c r="A31" s="239"/>
      <c r="B31" s="1714"/>
      <c r="C31" s="1482"/>
      <c r="D31" s="1482"/>
      <c r="E31" s="1483"/>
      <c r="F31" s="1484"/>
      <c r="G31" s="1483"/>
      <c r="H31" s="1483"/>
      <c r="I31" s="1485"/>
      <c r="J31" s="1483"/>
      <c r="K31" s="1486"/>
      <c r="L31" s="1487">
        <f t="shared" si="38"/>
        <v>0</v>
      </c>
      <c r="M31" s="1488" t="str">
        <f t="shared" si="37"/>
        <v/>
      </c>
      <c r="N31" s="1489">
        <f t="shared" si="32"/>
        <v>0</v>
      </c>
      <c r="O31" s="1489">
        <f t="shared" ca="1" si="33"/>
        <v>0</v>
      </c>
      <c r="P31" s="1490">
        <f t="shared" ca="1" si="34"/>
        <v>0</v>
      </c>
      <c r="Q31" s="1491"/>
      <c r="R31" s="1492">
        <f t="shared" si="39"/>
        <v>0</v>
      </c>
      <c r="S31" s="1489">
        <f t="shared" si="63"/>
        <v>0</v>
      </c>
      <c r="T31" s="1493">
        <f t="shared" si="3"/>
        <v>0</v>
      </c>
      <c r="U31" s="1490">
        <f t="shared" si="40"/>
        <v>0</v>
      </c>
      <c r="V31" s="1491"/>
      <c r="W31" s="1086"/>
      <c r="X31" s="1086"/>
      <c r="Y31" s="284"/>
      <c r="Z31" s="83"/>
      <c r="AA31" s="83">
        <f t="shared" si="41"/>
        <v>-10</v>
      </c>
      <c r="AB31" s="84">
        <f t="shared" si="42"/>
        <v>0</v>
      </c>
      <c r="AC31" s="84">
        <f t="shared" ca="1" si="36"/>
        <v>0</v>
      </c>
      <c r="AD31" s="84" t="b">
        <f t="shared" si="43"/>
        <v>0</v>
      </c>
      <c r="AE31" s="84">
        <f t="shared" si="44"/>
        <v>0</v>
      </c>
      <c r="AF31" s="84">
        <f t="shared" si="44"/>
        <v>0</v>
      </c>
      <c r="AG31" s="84">
        <f t="shared" si="44"/>
        <v>0</v>
      </c>
      <c r="AH31" s="84">
        <f t="shared" si="44"/>
        <v>0</v>
      </c>
      <c r="AI31" s="84">
        <f t="shared" si="44"/>
        <v>0</v>
      </c>
      <c r="AJ31" s="84">
        <f t="shared" si="44"/>
        <v>0</v>
      </c>
      <c r="AK31" s="84">
        <f t="shared" si="44"/>
        <v>0</v>
      </c>
      <c r="AL31" s="1315">
        <f t="shared" si="45"/>
        <v>0</v>
      </c>
      <c r="AM31" s="1315">
        <f t="shared" si="46"/>
        <v>0</v>
      </c>
      <c r="AN31" s="1315">
        <f t="shared" si="47"/>
        <v>0</v>
      </c>
      <c r="AO31" s="1315">
        <f t="shared" si="48"/>
        <v>0</v>
      </c>
      <c r="AP31" s="1315">
        <f t="shared" si="49"/>
        <v>0</v>
      </c>
      <c r="AQ31" s="1315">
        <f t="shared" si="50"/>
        <v>0</v>
      </c>
      <c r="AR31" s="1315">
        <f t="shared" si="51"/>
        <v>0</v>
      </c>
      <c r="AS31" s="84" t="b">
        <f t="shared" si="52"/>
        <v>0</v>
      </c>
      <c r="AT31" s="84">
        <f t="shared" si="53"/>
        <v>0</v>
      </c>
      <c r="AU31" s="1315">
        <f t="shared" si="54"/>
        <v>0</v>
      </c>
      <c r="AV31" s="84" t="b">
        <f t="shared" si="55"/>
        <v>0</v>
      </c>
      <c r="AW31" s="84">
        <f t="shared" si="56"/>
        <v>0</v>
      </c>
      <c r="AX31" s="1315">
        <f t="shared" si="21"/>
        <v>0</v>
      </c>
      <c r="AY31" s="84" t="b">
        <f t="shared" si="57"/>
        <v>0</v>
      </c>
      <c r="AZ31" s="84">
        <f t="shared" si="58"/>
        <v>0</v>
      </c>
      <c r="BA31" s="1315">
        <f t="shared" si="24"/>
        <v>0</v>
      </c>
      <c r="BB31" s="84" t="b">
        <f t="shared" si="25"/>
        <v>0</v>
      </c>
      <c r="BC31" s="84">
        <f t="shared" si="59"/>
        <v>0</v>
      </c>
      <c r="BD31" s="84" t="b">
        <f t="shared" si="27"/>
        <v>0</v>
      </c>
      <c r="BE31" s="84">
        <f t="shared" si="60"/>
        <v>0</v>
      </c>
      <c r="BF31" s="84" t="b">
        <f t="shared" si="61"/>
        <v>0</v>
      </c>
      <c r="BG31" s="84">
        <f t="shared" si="62"/>
        <v>0</v>
      </c>
      <c r="BH31" s="84">
        <f>IF(OR(I31='Dropdown Lists'!$I$3,'11. Unit Mix'!J31='Dropdown Lists'!$W$3),H31,0)</f>
        <v>0</v>
      </c>
      <c r="BI31" s="285"/>
      <c r="BJ31" s="285"/>
      <c r="BK31" s="285"/>
      <c r="BL31" s="285"/>
      <c r="BM31" s="285"/>
      <c r="BN31" s="285"/>
      <c r="BO31" s="285"/>
      <c r="BP31" s="285"/>
      <c r="BQ31" s="285"/>
      <c r="BR31" s="285"/>
      <c r="BS31" s="285"/>
      <c r="BT31" s="285"/>
      <c r="BU31" s="285"/>
      <c r="BV31" s="285"/>
      <c r="BW31" s="285"/>
      <c r="BX31" s="285"/>
      <c r="BY31" s="285"/>
      <c r="BZ31" s="285"/>
      <c r="CA31" s="285"/>
      <c r="CB31" s="1476"/>
      <c r="CC31" s="1476"/>
      <c r="CD31" s="1476"/>
      <c r="CE31" s="1476"/>
      <c r="CF31" s="1476"/>
      <c r="CG31" s="1476"/>
      <c r="CH31" s="1476"/>
      <c r="CI31" s="84"/>
    </row>
    <row r="32" spans="1:87">
      <c r="A32" s="239"/>
      <c r="B32" s="1714"/>
      <c r="C32" s="1482"/>
      <c r="D32" s="1482"/>
      <c r="E32" s="1483"/>
      <c r="F32" s="1484"/>
      <c r="G32" s="1483"/>
      <c r="H32" s="1483"/>
      <c r="I32" s="1485"/>
      <c r="J32" s="1483"/>
      <c r="K32" s="1486"/>
      <c r="L32" s="1487">
        <f t="shared" si="38"/>
        <v>0</v>
      </c>
      <c r="M32" s="1488" t="str">
        <f t="shared" si="37"/>
        <v/>
      </c>
      <c r="N32" s="1489">
        <f t="shared" si="32"/>
        <v>0</v>
      </c>
      <c r="O32" s="1489">
        <f t="shared" ca="1" si="33"/>
        <v>0</v>
      </c>
      <c r="P32" s="1490">
        <f t="shared" ca="1" si="34"/>
        <v>0</v>
      </c>
      <c r="Q32" s="1491"/>
      <c r="R32" s="1492">
        <f t="shared" si="39"/>
        <v>0</v>
      </c>
      <c r="S32" s="1489">
        <f t="shared" si="63"/>
        <v>0</v>
      </c>
      <c r="T32" s="1493">
        <f t="shared" si="3"/>
        <v>0</v>
      </c>
      <c r="U32" s="1490">
        <f t="shared" si="40"/>
        <v>0</v>
      </c>
      <c r="V32" s="1491"/>
      <c r="W32" s="1086"/>
      <c r="X32" s="1086"/>
      <c r="Y32" s="284"/>
      <c r="Z32" s="83"/>
      <c r="AA32" s="83">
        <f t="shared" si="41"/>
        <v>-10</v>
      </c>
      <c r="AB32" s="84">
        <f t="shared" si="42"/>
        <v>0</v>
      </c>
      <c r="AC32" s="84">
        <f t="shared" ca="1" si="36"/>
        <v>0</v>
      </c>
      <c r="AD32" s="84" t="b">
        <f t="shared" si="43"/>
        <v>0</v>
      </c>
      <c r="AE32" s="84">
        <f t="shared" si="44"/>
        <v>0</v>
      </c>
      <c r="AF32" s="84">
        <f t="shared" si="44"/>
        <v>0</v>
      </c>
      <c r="AG32" s="84">
        <f t="shared" si="44"/>
        <v>0</v>
      </c>
      <c r="AH32" s="84">
        <f t="shared" si="44"/>
        <v>0</v>
      </c>
      <c r="AI32" s="84">
        <f t="shared" si="44"/>
        <v>0</v>
      </c>
      <c r="AJ32" s="84">
        <f t="shared" si="44"/>
        <v>0</v>
      </c>
      <c r="AK32" s="84">
        <f t="shared" si="44"/>
        <v>0</v>
      </c>
      <c r="AL32" s="1315">
        <f t="shared" si="45"/>
        <v>0</v>
      </c>
      <c r="AM32" s="1315">
        <f t="shared" si="46"/>
        <v>0</v>
      </c>
      <c r="AN32" s="1315">
        <f t="shared" si="47"/>
        <v>0</v>
      </c>
      <c r="AO32" s="1315">
        <f t="shared" si="48"/>
        <v>0</v>
      </c>
      <c r="AP32" s="1315">
        <f t="shared" si="49"/>
        <v>0</v>
      </c>
      <c r="AQ32" s="1315">
        <f t="shared" si="50"/>
        <v>0</v>
      </c>
      <c r="AR32" s="1315">
        <f t="shared" si="51"/>
        <v>0</v>
      </c>
      <c r="AS32" s="84" t="b">
        <f t="shared" si="52"/>
        <v>0</v>
      </c>
      <c r="AT32" s="84">
        <f t="shared" si="53"/>
        <v>0</v>
      </c>
      <c r="AU32" s="1315">
        <f t="shared" si="54"/>
        <v>0</v>
      </c>
      <c r="AV32" s="84" t="b">
        <f t="shared" si="55"/>
        <v>0</v>
      </c>
      <c r="AW32" s="84">
        <f t="shared" si="56"/>
        <v>0</v>
      </c>
      <c r="AX32" s="1315">
        <f t="shared" si="21"/>
        <v>0</v>
      </c>
      <c r="AY32" s="84" t="b">
        <f t="shared" si="57"/>
        <v>0</v>
      </c>
      <c r="AZ32" s="84">
        <f t="shared" si="58"/>
        <v>0</v>
      </c>
      <c r="BA32" s="1315">
        <f t="shared" si="24"/>
        <v>0</v>
      </c>
      <c r="BB32" s="84" t="b">
        <f t="shared" si="25"/>
        <v>0</v>
      </c>
      <c r="BC32" s="84">
        <f t="shared" si="59"/>
        <v>0</v>
      </c>
      <c r="BD32" s="84" t="b">
        <f t="shared" si="27"/>
        <v>0</v>
      </c>
      <c r="BE32" s="84">
        <f t="shared" si="60"/>
        <v>0</v>
      </c>
      <c r="BF32" s="84" t="b">
        <f t="shared" si="61"/>
        <v>0</v>
      </c>
      <c r="BG32" s="84">
        <f t="shared" si="62"/>
        <v>0</v>
      </c>
      <c r="BH32" s="84">
        <f>IF(OR(I32='Dropdown Lists'!$I$3,'11. Unit Mix'!J32='Dropdown Lists'!$W$3),H32,0)</f>
        <v>0</v>
      </c>
      <c r="BI32" s="285"/>
      <c r="BJ32" s="285"/>
      <c r="BK32" s="285"/>
      <c r="BL32" s="285"/>
      <c r="BM32" s="285"/>
      <c r="BN32" s="285"/>
      <c r="BO32" s="285"/>
      <c r="BP32" s="285"/>
      <c r="BQ32" s="285"/>
      <c r="BR32" s="285"/>
      <c r="BS32" s="285"/>
      <c r="BT32" s="285"/>
      <c r="BU32" s="285"/>
      <c r="BV32" s="285"/>
      <c r="BW32" s="285"/>
      <c r="BX32" s="285"/>
      <c r="BY32" s="285"/>
      <c r="BZ32" s="285"/>
      <c r="CA32" s="285"/>
      <c r="CB32" s="1476"/>
      <c r="CC32" s="1476"/>
      <c r="CD32" s="1476"/>
      <c r="CE32" s="1476"/>
      <c r="CF32" s="1476"/>
      <c r="CG32" s="1476"/>
      <c r="CH32" s="1476"/>
      <c r="CI32" s="84"/>
    </row>
    <row r="33" spans="1:87">
      <c r="A33" s="239"/>
      <c r="B33" s="1714"/>
      <c r="C33" s="1482"/>
      <c r="D33" s="1482"/>
      <c r="E33" s="1483"/>
      <c r="F33" s="1484"/>
      <c r="G33" s="1483"/>
      <c r="H33" s="1483"/>
      <c r="I33" s="1485"/>
      <c r="J33" s="1483"/>
      <c r="K33" s="1486"/>
      <c r="L33" s="1487">
        <f t="shared" si="38"/>
        <v>0</v>
      </c>
      <c r="M33" s="1488" t="str">
        <f t="shared" si="37"/>
        <v/>
      </c>
      <c r="N33" s="1489">
        <f t="shared" si="32"/>
        <v>0</v>
      </c>
      <c r="O33" s="1489">
        <f t="shared" ca="1" si="33"/>
        <v>0</v>
      </c>
      <c r="P33" s="1490">
        <f t="shared" ca="1" si="34"/>
        <v>0</v>
      </c>
      <c r="Q33" s="1491"/>
      <c r="R33" s="1492">
        <f t="shared" si="39"/>
        <v>0</v>
      </c>
      <c r="S33" s="1489">
        <f t="shared" si="63"/>
        <v>0</v>
      </c>
      <c r="T33" s="1493">
        <f t="shared" si="3"/>
        <v>0</v>
      </c>
      <c r="U33" s="1490">
        <f t="shared" si="40"/>
        <v>0</v>
      </c>
      <c r="V33" s="1491"/>
      <c r="W33" s="1086"/>
      <c r="X33" s="1086"/>
      <c r="Y33" s="284"/>
      <c r="Z33" s="83"/>
      <c r="AA33" s="83">
        <f t="shared" si="41"/>
        <v>-10</v>
      </c>
      <c r="AB33" s="84">
        <f t="shared" si="42"/>
        <v>0</v>
      </c>
      <c r="AC33" s="84">
        <f t="shared" ca="1" si="36"/>
        <v>0</v>
      </c>
      <c r="AD33" s="84" t="b">
        <f t="shared" si="43"/>
        <v>0</v>
      </c>
      <c r="AE33" s="84">
        <f t="shared" si="44"/>
        <v>0</v>
      </c>
      <c r="AF33" s="84">
        <f t="shared" si="44"/>
        <v>0</v>
      </c>
      <c r="AG33" s="84">
        <f t="shared" si="44"/>
        <v>0</v>
      </c>
      <c r="AH33" s="84">
        <f t="shared" si="44"/>
        <v>0</v>
      </c>
      <c r="AI33" s="84">
        <f t="shared" si="44"/>
        <v>0</v>
      </c>
      <c r="AJ33" s="84">
        <f t="shared" si="44"/>
        <v>0</v>
      </c>
      <c r="AK33" s="84">
        <f t="shared" si="44"/>
        <v>0</v>
      </c>
      <c r="AL33" s="1315">
        <f t="shared" si="45"/>
        <v>0</v>
      </c>
      <c r="AM33" s="1315">
        <f t="shared" si="46"/>
        <v>0</v>
      </c>
      <c r="AN33" s="1315">
        <f t="shared" si="47"/>
        <v>0</v>
      </c>
      <c r="AO33" s="1315">
        <f t="shared" si="48"/>
        <v>0</v>
      </c>
      <c r="AP33" s="1315">
        <f t="shared" si="49"/>
        <v>0</v>
      </c>
      <c r="AQ33" s="1315">
        <f t="shared" si="50"/>
        <v>0</v>
      </c>
      <c r="AR33" s="1315">
        <f t="shared" si="51"/>
        <v>0</v>
      </c>
      <c r="AS33" s="84" t="b">
        <f t="shared" si="52"/>
        <v>0</v>
      </c>
      <c r="AT33" s="84">
        <f t="shared" si="53"/>
        <v>0</v>
      </c>
      <c r="AU33" s="1315">
        <f t="shared" si="54"/>
        <v>0</v>
      </c>
      <c r="AV33" s="84" t="b">
        <f t="shared" si="55"/>
        <v>0</v>
      </c>
      <c r="AW33" s="84">
        <f t="shared" si="56"/>
        <v>0</v>
      </c>
      <c r="AX33" s="1315">
        <f t="shared" si="21"/>
        <v>0</v>
      </c>
      <c r="AY33" s="84" t="b">
        <f t="shared" si="57"/>
        <v>0</v>
      </c>
      <c r="AZ33" s="84">
        <f t="shared" si="58"/>
        <v>0</v>
      </c>
      <c r="BA33" s="1315">
        <f t="shared" si="24"/>
        <v>0</v>
      </c>
      <c r="BB33" s="84" t="b">
        <f t="shared" si="25"/>
        <v>0</v>
      </c>
      <c r="BC33" s="84">
        <f t="shared" si="59"/>
        <v>0</v>
      </c>
      <c r="BD33" s="84" t="b">
        <f t="shared" si="27"/>
        <v>0</v>
      </c>
      <c r="BE33" s="84">
        <f t="shared" si="60"/>
        <v>0</v>
      </c>
      <c r="BF33" s="84" t="b">
        <f t="shared" si="61"/>
        <v>0</v>
      </c>
      <c r="BG33" s="84">
        <f t="shared" si="62"/>
        <v>0</v>
      </c>
      <c r="BH33" s="84">
        <f>IF(OR(I33='Dropdown Lists'!$I$3,'11. Unit Mix'!J33='Dropdown Lists'!$W$3),H33,0)</f>
        <v>0</v>
      </c>
      <c r="BI33" s="285"/>
      <c r="BJ33" s="285"/>
      <c r="BK33" s="285"/>
      <c r="BL33" s="285"/>
      <c r="BM33" s="285"/>
      <c r="BN33" s="285"/>
      <c r="BO33" s="285"/>
      <c r="BP33" s="285"/>
      <c r="BQ33" s="285"/>
      <c r="BR33" s="285"/>
      <c r="BS33" s="285"/>
      <c r="BT33" s="285"/>
      <c r="BU33" s="285"/>
      <c r="BV33" s="285"/>
      <c r="BW33" s="285"/>
      <c r="BX33" s="285"/>
      <c r="BY33" s="285"/>
      <c r="BZ33" s="285"/>
      <c r="CA33" s="285"/>
      <c r="CB33" s="1476"/>
      <c r="CC33" s="1476"/>
      <c r="CD33" s="1476"/>
      <c r="CE33" s="1476"/>
      <c r="CF33" s="1476"/>
      <c r="CG33" s="1476"/>
      <c r="CH33" s="1476"/>
      <c r="CI33" s="84"/>
    </row>
    <row r="34" spans="1:87">
      <c r="A34" s="239"/>
      <c r="B34" s="1714"/>
      <c r="C34" s="1482"/>
      <c r="D34" s="1482"/>
      <c r="E34" s="1483"/>
      <c r="F34" s="1484"/>
      <c r="G34" s="1483"/>
      <c r="H34" s="1483"/>
      <c r="I34" s="1485"/>
      <c r="J34" s="1483"/>
      <c r="K34" s="1486"/>
      <c r="L34" s="1487">
        <f t="shared" si="38"/>
        <v>0</v>
      </c>
      <c r="M34" s="1488" t="str">
        <f t="shared" si="37"/>
        <v/>
      </c>
      <c r="N34" s="1489">
        <f t="shared" si="32"/>
        <v>0</v>
      </c>
      <c r="O34" s="1489">
        <f t="shared" ca="1" si="33"/>
        <v>0</v>
      </c>
      <c r="P34" s="1490">
        <f t="shared" ca="1" si="34"/>
        <v>0</v>
      </c>
      <c r="Q34" s="1491"/>
      <c r="R34" s="1492">
        <f t="shared" si="39"/>
        <v>0</v>
      </c>
      <c r="S34" s="1489">
        <f t="shared" si="63"/>
        <v>0</v>
      </c>
      <c r="T34" s="1493">
        <f t="shared" si="3"/>
        <v>0</v>
      </c>
      <c r="U34" s="1490">
        <f t="shared" si="40"/>
        <v>0</v>
      </c>
      <c r="V34" s="1491"/>
      <c r="W34" s="1086"/>
      <c r="X34" s="1086"/>
      <c r="Y34" s="284"/>
      <c r="Z34" s="83"/>
      <c r="AA34" s="83">
        <f t="shared" si="41"/>
        <v>-10</v>
      </c>
      <c r="AB34" s="84">
        <f t="shared" si="42"/>
        <v>0</v>
      </c>
      <c r="AC34" s="84">
        <f t="shared" ca="1" si="36"/>
        <v>0</v>
      </c>
      <c r="AD34" s="84" t="b">
        <f t="shared" si="43"/>
        <v>0</v>
      </c>
      <c r="AE34" s="84">
        <f t="shared" si="44"/>
        <v>0</v>
      </c>
      <c r="AF34" s="84">
        <f t="shared" si="44"/>
        <v>0</v>
      </c>
      <c r="AG34" s="84">
        <f t="shared" si="44"/>
        <v>0</v>
      </c>
      <c r="AH34" s="84">
        <f t="shared" si="44"/>
        <v>0</v>
      </c>
      <c r="AI34" s="84">
        <f t="shared" si="44"/>
        <v>0</v>
      </c>
      <c r="AJ34" s="84">
        <f t="shared" si="44"/>
        <v>0</v>
      </c>
      <c r="AK34" s="84">
        <f t="shared" si="44"/>
        <v>0</v>
      </c>
      <c r="AL34" s="1315">
        <f t="shared" si="45"/>
        <v>0</v>
      </c>
      <c r="AM34" s="1315">
        <f t="shared" si="46"/>
        <v>0</v>
      </c>
      <c r="AN34" s="1315">
        <f t="shared" si="47"/>
        <v>0</v>
      </c>
      <c r="AO34" s="1315">
        <f t="shared" si="48"/>
        <v>0</v>
      </c>
      <c r="AP34" s="1315">
        <f t="shared" si="49"/>
        <v>0</v>
      </c>
      <c r="AQ34" s="1315">
        <f t="shared" si="50"/>
        <v>0</v>
      </c>
      <c r="AR34" s="1315">
        <f t="shared" si="51"/>
        <v>0</v>
      </c>
      <c r="AS34" s="84" t="b">
        <f t="shared" si="52"/>
        <v>0</v>
      </c>
      <c r="AT34" s="84">
        <f t="shared" si="53"/>
        <v>0</v>
      </c>
      <c r="AU34" s="1315">
        <f t="shared" si="54"/>
        <v>0</v>
      </c>
      <c r="AV34" s="84" t="b">
        <f t="shared" si="55"/>
        <v>0</v>
      </c>
      <c r="AW34" s="84">
        <f t="shared" si="56"/>
        <v>0</v>
      </c>
      <c r="AX34" s="1315">
        <f t="shared" si="21"/>
        <v>0</v>
      </c>
      <c r="AY34" s="84" t="b">
        <f t="shared" si="57"/>
        <v>0</v>
      </c>
      <c r="AZ34" s="84">
        <f t="shared" si="58"/>
        <v>0</v>
      </c>
      <c r="BA34" s="1315">
        <f t="shared" si="24"/>
        <v>0</v>
      </c>
      <c r="BB34" s="84" t="b">
        <f t="shared" si="25"/>
        <v>0</v>
      </c>
      <c r="BC34" s="84">
        <f t="shared" si="59"/>
        <v>0</v>
      </c>
      <c r="BD34" s="84" t="b">
        <f t="shared" si="27"/>
        <v>0</v>
      </c>
      <c r="BE34" s="84">
        <f t="shared" si="60"/>
        <v>0</v>
      </c>
      <c r="BF34" s="84" t="b">
        <f t="shared" si="61"/>
        <v>0</v>
      </c>
      <c r="BG34" s="84">
        <f t="shared" si="62"/>
        <v>0</v>
      </c>
      <c r="BH34" s="84">
        <f>IF(OR(I34='Dropdown Lists'!$I$3,'11. Unit Mix'!J34='Dropdown Lists'!$W$3),H34,0)</f>
        <v>0</v>
      </c>
      <c r="BI34" s="285"/>
      <c r="BJ34" s="285"/>
      <c r="BK34" s="285"/>
      <c r="BL34" s="285"/>
      <c r="BM34" s="285"/>
      <c r="BN34" s="285"/>
      <c r="BO34" s="285"/>
      <c r="BP34" s="285"/>
      <c r="BQ34" s="285"/>
      <c r="BR34" s="285"/>
      <c r="BS34" s="285"/>
      <c r="BT34" s="285"/>
      <c r="BU34" s="285"/>
      <c r="BV34" s="285"/>
      <c r="BW34" s="285"/>
      <c r="BX34" s="285"/>
      <c r="BY34" s="285"/>
      <c r="BZ34" s="285"/>
      <c r="CA34" s="285"/>
      <c r="CB34" s="1476"/>
      <c r="CC34" s="1476"/>
      <c r="CD34" s="1476"/>
      <c r="CE34" s="1476"/>
      <c r="CF34" s="1476"/>
      <c r="CG34" s="1476"/>
      <c r="CH34" s="1476"/>
      <c r="CI34" s="84"/>
    </row>
    <row r="35" spans="1:87">
      <c r="A35" s="239"/>
      <c r="B35" s="1714"/>
      <c r="C35" s="1482"/>
      <c r="D35" s="1482"/>
      <c r="E35" s="1483"/>
      <c r="F35" s="1484"/>
      <c r="G35" s="1483"/>
      <c r="H35" s="1483"/>
      <c r="I35" s="1485"/>
      <c r="J35" s="1483"/>
      <c r="K35" s="1486"/>
      <c r="L35" s="1487">
        <f t="shared" si="38"/>
        <v>0</v>
      </c>
      <c r="M35" s="1488" t="str">
        <f t="shared" si="37"/>
        <v/>
      </c>
      <c r="N35" s="1489">
        <f t="shared" si="32"/>
        <v>0</v>
      </c>
      <c r="O35" s="1489">
        <f t="shared" ca="1" si="33"/>
        <v>0</v>
      </c>
      <c r="P35" s="1490">
        <f t="shared" ca="1" si="34"/>
        <v>0</v>
      </c>
      <c r="Q35" s="1491"/>
      <c r="R35" s="1492">
        <f t="shared" si="39"/>
        <v>0</v>
      </c>
      <c r="S35" s="1489">
        <f t="shared" si="63"/>
        <v>0</v>
      </c>
      <c r="T35" s="1493">
        <f t="shared" si="3"/>
        <v>0</v>
      </c>
      <c r="U35" s="1490">
        <f t="shared" si="40"/>
        <v>0</v>
      </c>
      <c r="V35" s="1491"/>
      <c r="W35" s="1086"/>
      <c r="X35" s="1086"/>
      <c r="Y35" s="284"/>
      <c r="Z35" s="83"/>
      <c r="AA35" s="83">
        <f t="shared" si="41"/>
        <v>-10</v>
      </c>
      <c r="AB35" s="84">
        <f t="shared" si="42"/>
        <v>0</v>
      </c>
      <c r="AC35" s="84">
        <f t="shared" ca="1" si="36"/>
        <v>0</v>
      </c>
      <c r="AD35" s="84" t="b">
        <f t="shared" si="43"/>
        <v>0</v>
      </c>
      <c r="AE35" s="84">
        <f t="shared" si="44"/>
        <v>0</v>
      </c>
      <c r="AF35" s="84">
        <f t="shared" si="44"/>
        <v>0</v>
      </c>
      <c r="AG35" s="84">
        <f t="shared" si="44"/>
        <v>0</v>
      </c>
      <c r="AH35" s="84">
        <f t="shared" si="44"/>
        <v>0</v>
      </c>
      <c r="AI35" s="84">
        <f t="shared" si="44"/>
        <v>0</v>
      </c>
      <c r="AJ35" s="84">
        <f t="shared" si="44"/>
        <v>0</v>
      </c>
      <c r="AK35" s="84">
        <f t="shared" si="44"/>
        <v>0</v>
      </c>
      <c r="AL35" s="1315">
        <f t="shared" si="45"/>
        <v>0</v>
      </c>
      <c r="AM35" s="1315">
        <f t="shared" si="46"/>
        <v>0</v>
      </c>
      <c r="AN35" s="1315">
        <f t="shared" si="47"/>
        <v>0</v>
      </c>
      <c r="AO35" s="1315">
        <f t="shared" si="48"/>
        <v>0</v>
      </c>
      <c r="AP35" s="1315">
        <f t="shared" si="49"/>
        <v>0</v>
      </c>
      <c r="AQ35" s="1315">
        <f t="shared" si="50"/>
        <v>0</v>
      </c>
      <c r="AR35" s="1315">
        <f t="shared" si="51"/>
        <v>0</v>
      </c>
      <c r="AS35" s="84" t="b">
        <f t="shared" si="52"/>
        <v>0</v>
      </c>
      <c r="AT35" s="84">
        <f t="shared" si="53"/>
        <v>0</v>
      </c>
      <c r="AU35" s="1315">
        <f t="shared" si="54"/>
        <v>0</v>
      </c>
      <c r="AV35" s="84" t="b">
        <f t="shared" si="55"/>
        <v>0</v>
      </c>
      <c r="AW35" s="84">
        <f t="shared" si="56"/>
        <v>0</v>
      </c>
      <c r="AX35" s="1315">
        <f t="shared" si="21"/>
        <v>0</v>
      </c>
      <c r="AY35" s="84" t="b">
        <f t="shared" si="57"/>
        <v>0</v>
      </c>
      <c r="AZ35" s="84">
        <f t="shared" si="58"/>
        <v>0</v>
      </c>
      <c r="BA35" s="1315">
        <f t="shared" si="24"/>
        <v>0</v>
      </c>
      <c r="BB35" s="84" t="b">
        <f t="shared" si="25"/>
        <v>0</v>
      </c>
      <c r="BC35" s="84">
        <f t="shared" si="59"/>
        <v>0</v>
      </c>
      <c r="BD35" s="84" t="b">
        <f t="shared" si="27"/>
        <v>0</v>
      </c>
      <c r="BE35" s="84">
        <f t="shared" si="60"/>
        <v>0</v>
      </c>
      <c r="BF35" s="84" t="b">
        <f t="shared" si="61"/>
        <v>0</v>
      </c>
      <c r="BG35" s="84">
        <f t="shared" si="62"/>
        <v>0</v>
      </c>
      <c r="BH35" s="84">
        <f>IF(OR(I35='Dropdown Lists'!$I$3,'11. Unit Mix'!J35='Dropdown Lists'!$W$3),H35,0)</f>
        <v>0</v>
      </c>
      <c r="BI35" s="285"/>
      <c r="BJ35" s="285"/>
      <c r="BK35" s="285"/>
      <c r="BL35" s="285"/>
      <c r="BM35" s="285"/>
      <c r="BN35" s="285"/>
      <c r="BO35" s="285"/>
      <c r="BP35" s="285"/>
      <c r="BQ35" s="285"/>
      <c r="BR35" s="285"/>
      <c r="BS35" s="285"/>
      <c r="BT35" s="285"/>
      <c r="BU35" s="285"/>
      <c r="BV35" s="285"/>
      <c r="BW35" s="285"/>
      <c r="BX35" s="285"/>
      <c r="BY35" s="285"/>
      <c r="BZ35" s="285"/>
      <c r="CA35" s="285"/>
      <c r="CB35" s="1476"/>
      <c r="CC35" s="1476"/>
      <c r="CD35" s="1476"/>
      <c r="CE35" s="1476"/>
      <c r="CF35" s="1476"/>
      <c r="CG35" s="1476"/>
      <c r="CH35" s="1476"/>
      <c r="CI35" s="84"/>
    </row>
    <row r="36" spans="1:87">
      <c r="A36" s="239"/>
      <c r="B36" s="1714"/>
      <c r="C36" s="1482"/>
      <c r="D36" s="1482"/>
      <c r="E36" s="1483"/>
      <c r="F36" s="1484"/>
      <c r="G36" s="1483"/>
      <c r="H36" s="1483"/>
      <c r="I36" s="1485"/>
      <c r="J36" s="1483"/>
      <c r="K36" s="1486"/>
      <c r="L36" s="1487">
        <f t="shared" si="38"/>
        <v>0</v>
      </c>
      <c r="M36" s="1488" t="str">
        <f t="shared" si="37"/>
        <v/>
      </c>
      <c r="N36" s="1489">
        <f t="shared" si="32"/>
        <v>0</v>
      </c>
      <c r="O36" s="1489">
        <f t="shared" ca="1" si="33"/>
        <v>0</v>
      </c>
      <c r="P36" s="1490">
        <f t="shared" ca="1" si="34"/>
        <v>0</v>
      </c>
      <c r="Q36" s="1491"/>
      <c r="R36" s="1492">
        <f t="shared" si="39"/>
        <v>0</v>
      </c>
      <c r="S36" s="1489">
        <f t="shared" si="63"/>
        <v>0</v>
      </c>
      <c r="T36" s="1493">
        <f t="shared" si="3"/>
        <v>0</v>
      </c>
      <c r="U36" s="1490">
        <f t="shared" si="40"/>
        <v>0</v>
      </c>
      <c r="V36" s="1491"/>
      <c r="W36" s="1086"/>
      <c r="X36" s="1086"/>
      <c r="Y36" s="284"/>
      <c r="Z36" s="83"/>
      <c r="AA36" s="83">
        <f t="shared" si="41"/>
        <v>-10</v>
      </c>
      <c r="AB36" s="84">
        <f t="shared" si="42"/>
        <v>0</v>
      </c>
      <c r="AC36" s="84">
        <f t="shared" ca="1" si="36"/>
        <v>0</v>
      </c>
      <c r="AD36" s="84" t="b">
        <f t="shared" si="43"/>
        <v>0</v>
      </c>
      <c r="AE36" s="84">
        <f t="shared" ref="AE36:AK45" si="64">IF($I36=AE$15,$H36,0)</f>
        <v>0</v>
      </c>
      <c r="AF36" s="84">
        <f t="shared" si="64"/>
        <v>0</v>
      </c>
      <c r="AG36" s="84">
        <f t="shared" si="64"/>
        <v>0</v>
      </c>
      <c r="AH36" s="84">
        <f t="shared" si="64"/>
        <v>0</v>
      </c>
      <c r="AI36" s="84">
        <f t="shared" si="64"/>
        <v>0</v>
      </c>
      <c r="AJ36" s="84">
        <f t="shared" si="64"/>
        <v>0</v>
      </c>
      <c r="AK36" s="84">
        <f t="shared" si="64"/>
        <v>0</v>
      </c>
      <c r="AL36" s="1315">
        <f t="shared" si="45"/>
        <v>0</v>
      </c>
      <c r="AM36" s="1315">
        <f t="shared" si="46"/>
        <v>0</v>
      </c>
      <c r="AN36" s="1315">
        <f t="shared" si="47"/>
        <v>0</v>
      </c>
      <c r="AO36" s="1315">
        <f t="shared" si="48"/>
        <v>0</v>
      </c>
      <c r="AP36" s="1315">
        <f t="shared" si="49"/>
        <v>0</v>
      </c>
      <c r="AQ36" s="1315">
        <f t="shared" si="50"/>
        <v>0</v>
      </c>
      <c r="AR36" s="1315">
        <f t="shared" si="51"/>
        <v>0</v>
      </c>
      <c r="AS36" s="84" t="b">
        <f t="shared" si="52"/>
        <v>0</v>
      </c>
      <c r="AT36" s="84">
        <f t="shared" si="53"/>
        <v>0</v>
      </c>
      <c r="AU36" s="1315">
        <f t="shared" si="54"/>
        <v>0</v>
      </c>
      <c r="AV36" s="84" t="b">
        <f t="shared" si="55"/>
        <v>0</v>
      </c>
      <c r="AW36" s="84">
        <f t="shared" si="56"/>
        <v>0</v>
      </c>
      <c r="AX36" s="1315">
        <f t="shared" si="21"/>
        <v>0</v>
      </c>
      <c r="AY36" s="84" t="b">
        <f t="shared" si="57"/>
        <v>0</v>
      </c>
      <c r="AZ36" s="84">
        <f t="shared" si="58"/>
        <v>0</v>
      </c>
      <c r="BA36" s="1315">
        <f t="shared" si="24"/>
        <v>0</v>
      </c>
      <c r="BB36" s="84" t="b">
        <f t="shared" si="25"/>
        <v>0</v>
      </c>
      <c r="BC36" s="84">
        <f t="shared" si="59"/>
        <v>0</v>
      </c>
      <c r="BD36" s="84" t="b">
        <f t="shared" si="27"/>
        <v>0</v>
      </c>
      <c r="BE36" s="84">
        <f t="shared" si="60"/>
        <v>0</v>
      </c>
      <c r="BF36" s="84" t="b">
        <f t="shared" si="61"/>
        <v>0</v>
      </c>
      <c r="BG36" s="84">
        <f t="shared" si="62"/>
        <v>0</v>
      </c>
      <c r="BH36" s="84">
        <f>IF(OR(I36='Dropdown Lists'!$I$3,'11. Unit Mix'!J36='Dropdown Lists'!$W$3),H36,0)</f>
        <v>0</v>
      </c>
      <c r="BI36" s="285"/>
      <c r="BJ36" s="285"/>
      <c r="BK36" s="285"/>
      <c r="BL36" s="285"/>
      <c r="BM36" s="285"/>
      <c r="BN36" s="285"/>
      <c r="BO36" s="285"/>
      <c r="BP36" s="285"/>
      <c r="BQ36" s="285"/>
      <c r="BR36" s="285"/>
      <c r="BS36" s="285"/>
      <c r="BT36" s="285"/>
      <c r="BU36" s="285"/>
      <c r="BV36" s="285"/>
      <c r="BW36" s="285"/>
      <c r="BX36" s="285"/>
      <c r="BY36" s="285"/>
      <c r="BZ36" s="285"/>
      <c r="CA36" s="285"/>
      <c r="CB36" s="1476"/>
      <c r="CC36" s="1476"/>
      <c r="CD36" s="1476"/>
      <c r="CE36" s="1476"/>
      <c r="CF36" s="1476"/>
      <c r="CG36" s="1476"/>
      <c r="CH36" s="1476"/>
      <c r="CI36" s="84"/>
    </row>
    <row r="37" spans="1:87">
      <c r="A37" s="239"/>
      <c r="B37" s="1714"/>
      <c r="C37" s="1482"/>
      <c r="D37" s="1482"/>
      <c r="E37" s="1483"/>
      <c r="F37" s="1484"/>
      <c r="G37" s="1483"/>
      <c r="H37" s="1483"/>
      <c r="I37" s="1485"/>
      <c r="J37" s="1483"/>
      <c r="K37" s="1486"/>
      <c r="L37" s="1487">
        <f t="shared" si="38"/>
        <v>0</v>
      </c>
      <c r="M37" s="1488" t="str">
        <f t="shared" si="37"/>
        <v/>
      </c>
      <c r="N37" s="1489">
        <f t="shared" si="32"/>
        <v>0</v>
      </c>
      <c r="O37" s="1489">
        <f t="shared" ca="1" si="33"/>
        <v>0</v>
      </c>
      <c r="P37" s="1490">
        <f t="shared" ca="1" si="34"/>
        <v>0</v>
      </c>
      <c r="Q37" s="1491"/>
      <c r="R37" s="1492">
        <f t="shared" si="39"/>
        <v>0</v>
      </c>
      <c r="S37" s="1489">
        <f t="shared" si="63"/>
        <v>0</v>
      </c>
      <c r="T37" s="1493">
        <f t="shared" si="3"/>
        <v>0</v>
      </c>
      <c r="U37" s="1490">
        <f t="shared" si="40"/>
        <v>0</v>
      </c>
      <c r="V37" s="1491"/>
      <c r="W37" s="1086"/>
      <c r="X37" s="1086"/>
      <c r="Y37" s="284"/>
      <c r="Z37" s="83"/>
      <c r="AA37" s="83">
        <f t="shared" si="41"/>
        <v>-10</v>
      </c>
      <c r="AB37" s="84">
        <f t="shared" si="42"/>
        <v>0</v>
      </c>
      <c r="AC37" s="84">
        <f t="shared" ca="1" si="36"/>
        <v>0</v>
      </c>
      <c r="AD37" s="84" t="b">
        <f t="shared" si="43"/>
        <v>0</v>
      </c>
      <c r="AE37" s="84">
        <f t="shared" si="64"/>
        <v>0</v>
      </c>
      <c r="AF37" s="84">
        <f t="shared" si="64"/>
        <v>0</v>
      </c>
      <c r="AG37" s="84">
        <f t="shared" si="64"/>
        <v>0</v>
      </c>
      <c r="AH37" s="84">
        <f t="shared" si="64"/>
        <v>0</v>
      </c>
      <c r="AI37" s="84">
        <f t="shared" si="64"/>
        <v>0</v>
      </c>
      <c r="AJ37" s="84">
        <f t="shared" si="64"/>
        <v>0</v>
      </c>
      <c r="AK37" s="84">
        <f t="shared" si="64"/>
        <v>0</v>
      </c>
      <c r="AL37" s="1315">
        <f t="shared" si="45"/>
        <v>0</v>
      </c>
      <c r="AM37" s="1315">
        <f t="shared" si="46"/>
        <v>0</v>
      </c>
      <c r="AN37" s="1315">
        <f t="shared" si="47"/>
        <v>0</v>
      </c>
      <c r="AO37" s="1315">
        <f t="shared" si="48"/>
        <v>0</v>
      </c>
      <c r="AP37" s="1315">
        <f t="shared" si="49"/>
        <v>0</v>
      </c>
      <c r="AQ37" s="1315">
        <f t="shared" si="50"/>
        <v>0</v>
      </c>
      <c r="AR37" s="1315">
        <f t="shared" si="51"/>
        <v>0</v>
      </c>
      <c r="AS37" s="84" t="b">
        <f t="shared" si="52"/>
        <v>0</v>
      </c>
      <c r="AT37" s="84">
        <f t="shared" si="53"/>
        <v>0</v>
      </c>
      <c r="AU37" s="1315">
        <f t="shared" si="54"/>
        <v>0</v>
      </c>
      <c r="AV37" s="84" t="b">
        <f t="shared" si="55"/>
        <v>0</v>
      </c>
      <c r="AW37" s="84">
        <f t="shared" si="56"/>
        <v>0</v>
      </c>
      <c r="AX37" s="1315">
        <f t="shared" si="21"/>
        <v>0</v>
      </c>
      <c r="AY37" s="84" t="b">
        <f t="shared" si="57"/>
        <v>0</v>
      </c>
      <c r="AZ37" s="84">
        <f t="shared" si="58"/>
        <v>0</v>
      </c>
      <c r="BA37" s="1315">
        <f t="shared" si="24"/>
        <v>0</v>
      </c>
      <c r="BB37" s="84" t="b">
        <f t="shared" si="25"/>
        <v>0</v>
      </c>
      <c r="BC37" s="84">
        <f t="shared" si="59"/>
        <v>0</v>
      </c>
      <c r="BD37" s="84" t="b">
        <f t="shared" si="27"/>
        <v>0</v>
      </c>
      <c r="BE37" s="84">
        <f t="shared" si="60"/>
        <v>0</v>
      </c>
      <c r="BF37" s="84" t="b">
        <f t="shared" si="61"/>
        <v>0</v>
      </c>
      <c r="BG37" s="84">
        <f t="shared" si="62"/>
        <v>0</v>
      </c>
      <c r="BH37" s="84">
        <f>IF(OR(I37='Dropdown Lists'!$I$3,'11. Unit Mix'!J37='Dropdown Lists'!$W$3),H37,0)</f>
        <v>0</v>
      </c>
      <c r="BI37" s="285"/>
      <c r="BJ37" s="285"/>
      <c r="BK37" s="285"/>
      <c r="BL37" s="285"/>
      <c r="BM37" s="285"/>
      <c r="BN37" s="285"/>
      <c r="BO37" s="285"/>
      <c r="BP37" s="285"/>
      <c r="BQ37" s="285"/>
      <c r="BR37" s="285"/>
      <c r="BS37" s="285"/>
      <c r="BT37" s="285"/>
      <c r="BU37" s="285"/>
      <c r="BV37" s="285"/>
      <c r="BW37" s="285"/>
      <c r="BX37" s="285"/>
      <c r="BY37" s="285"/>
      <c r="BZ37" s="285"/>
      <c r="CA37" s="285"/>
      <c r="CB37" s="1476"/>
      <c r="CC37" s="1476"/>
      <c r="CD37" s="1476"/>
      <c r="CE37" s="1476"/>
      <c r="CF37" s="1476"/>
      <c r="CG37" s="1476"/>
      <c r="CH37" s="1476"/>
      <c r="CI37" s="84"/>
    </row>
    <row r="38" spans="1:87">
      <c r="A38" s="239"/>
      <c r="B38" s="1714"/>
      <c r="C38" s="1482"/>
      <c r="D38" s="1482"/>
      <c r="E38" s="1483"/>
      <c r="F38" s="1484"/>
      <c r="G38" s="1483"/>
      <c r="H38" s="1483"/>
      <c r="I38" s="1485"/>
      <c r="J38" s="1483"/>
      <c r="K38" s="1486"/>
      <c r="L38" s="1487">
        <f t="shared" si="38"/>
        <v>0</v>
      </c>
      <c r="M38" s="1488" t="str">
        <f t="shared" si="37"/>
        <v/>
      </c>
      <c r="N38" s="1489">
        <f t="shared" si="32"/>
        <v>0</v>
      </c>
      <c r="O38" s="1489">
        <f t="shared" ca="1" si="33"/>
        <v>0</v>
      </c>
      <c r="P38" s="1490">
        <f t="shared" ca="1" si="34"/>
        <v>0</v>
      </c>
      <c r="Q38" s="1491"/>
      <c r="R38" s="1492">
        <f t="shared" si="39"/>
        <v>0</v>
      </c>
      <c r="S38" s="1489">
        <f t="shared" si="63"/>
        <v>0</v>
      </c>
      <c r="T38" s="1493">
        <f t="shared" si="3"/>
        <v>0</v>
      </c>
      <c r="U38" s="1490">
        <f t="shared" si="40"/>
        <v>0</v>
      </c>
      <c r="V38" s="1491"/>
      <c r="W38" s="1086"/>
      <c r="X38" s="1086"/>
      <c r="Y38" s="284"/>
      <c r="Z38" s="83"/>
      <c r="AA38" s="83">
        <f t="shared" si="41"/>
        <v>-10</v>
      </c>
      <c r="AB38" s="84">
        <f t="shared" si="42"/>
        <v>0</v>
      </c>
      <c r="AC38" s="84">
        <f t="shared" ca="1" si="36"/>
        <v>0</v>
      </c>
      <c r="AD38" s="84" t="b">
        <f t="shared" si="43"/>
        <v>0</v>
      </c>
      <c r="AE38" s="84">
        <f t="shared" si="64"/>
        <v>0</v>
      </c>
      <c r="AF38" s="84">
        <f t="shared" si="64"/>
        <v>0</v>
      </c>
      <c r="AG38" s="84">
        <f t="shared" si="64"/>
        <v>0</v>
      </c>
      <c r="AH38" s="84">
        <f t="shared" si="64"/>
        <v>0</v>
      </c>
      <c r="AI38" s="84">
        <f t="shared" si="64"/>
        <v>0</v>
      </c>
      <c r="AJ38" s="84">
        <f t="shared" si="64"/>
        <v>0</v>
      </c>
      <c r="AK38" s="84">
        <f t="shared" si="64"/>
        <v>0</v>
      </c>
      <c r="AL38" s="1315">
        <f t="shared" si="45"/>
        <v>0</v>
      </c>
      <c r="AM38" s="1315">
        <f t="shared" si="46"/>
        <v>0</v>
      </c>
      <c r="AN38" s="1315">
        <f t="shared" si="47"/>
        <v>0</v>
      </c>
      <c r="AO38" s="1315">
        <f t="shared" si="48"/>
        <v>0</v>
      </c>
      <c r="AP38" s="1315">
        <f t="shared" si="49"/>
        <v>0</v>
      </c>
      <c r="AQ38" s="1315">
        <f t="shared" si="50"/>
        <v>0</v>
      </c>
      <c r="AR38" s="1315">
        <f t="shared" si="51"/>
        <v>0</v>
      </c>
      <c r="AS38" s="84" t="b">
        <f t="shared" si="52"/>
        <v>0</v>
      </c>
      <c r="AT38" s="84">
        <f t="shared" si="53"/>
        <v>0</v>
      </c>
      <c r="AU38" s="1315">
        <f t="shared" si="54"/>
        <v>0</v>
      </c>
      <c r="AV38" s="84" t="b">
        <f t="shared" si="55"/>
        <v>0</v>
      </c>
      <c r="AW38" s="84">
        <f t="shared" si="56"/>
        <v>0</v>
      </c>
      <c r="AX38" s="1315">
        <f t="shared" si="21"/>
        <v>0</v>
      </c>
      <c r="AY38" s="84" t="b">
        <f t="shared" si="57"/>
        <v>0</v>
      </c>
      <c r="AZ38" s="84">
        <f t="shared" si="58"/>
        <v>0</v>
      </c>
      <c r="BA38" s="1315">
        <f t="shared" si="24"/>
        <v>0</v>
      </c>
      <c r="BB38" s="84" t="b">
        <f t="shared" si="25"/>
        <v>0</v>
      </c>
      <c r="BC38" s="84">
        <f t="shared" si="59"/>
        <v>0</v>
      </c>
      <c r="BD38" s="84" t="b">
        <f t="shared" si="27"/>
        <v>0</v>
      </c>
      <c r="BE38" s="84">
        <f t="shared" si="60"/>
        <v>0</v>
      </c>
      <c r="BF38" s="84" t="b">
        <f t="shared" si="61"/>
        <v>0</v>
      </c>
      <c r="BG38" s="84">
        <f t="shared" si="62"/>
        <v>0</v>
      </c>
      <c r="BH38" s="84">
        <f>IF(OR(I38='Dropdown Lists'!$I$3,'11. Unit Mix'!J38='Dropdown Lists'!$W$3),H38,0)</f>
        <v>0</v>
      </c>
      <c r="BI38" s="285"/>
      <c r="BJ38" s="285"/>
      <c r="BK38" s="285"/>
      <c r="BL38" s="285"/>
      <c r="BM38" s="285"/>
      <c r="BN38" s="285"/>
      <c r="BO38" s="285"/>
      <c r="BP38" s="285"/>
      <c r="BQ38" s="285"/>
      <c r="BR38" s="285"/>
      <c r="BS38" s="285"/>
      <c r="BT38" s="285"/>
      <c r="BU38" s="285"/>
      <c r="BV38" s="285"/>
      <c r="BW38" s="285"/>
      <c r="BX38" s="285"/>
      <c r="BY38" s="285"/>
      <c r="BZ38" s="285"/>
      <c r="CA38" s="285"/>
      <c r="CB38" s="1476"/>
      <c r="CC38" s="1476"/>
      <c r="CD38" s="1476"/>
      <c r="CE38" s="1476"/>
      <c r="CF38" s="1476"/>
      <c r="CG38" s="1476"/>
      <c r="CH38" s="1476"/>
      <c r="CI38" s="84"/>
    </row>
    <row r="39" spans="1:87">
      <c r="A39" s="239"/>
      <c r="B39" s="1714"/>
      <c r="C39" s="1482"/>
      <c r="D39" s="1482"/>
      <c r="E39" s="1483"/>
      <c r="F39" s="1484"/>
      <c r="G39" s="1483"/>
      <c r="H39" s="1483"/>
      <c r="I39" s="1485"/>
      <c r="J39" s="1483"/>
      <c r="K39" s="1486"/>
      <c r="L39" s="1487">
        <f t="shared" si="38"/>
        <v>0</v>
      </c>
      <c r="M39" s="1488" t="str">
        <f t="shared" si="37"/>
        <v/>
      </c>
      <c r="N39" s="1489">
        <f t="shared" si="32"/>
        <v>0</v>
      </c>
      <c r="O39" s="1489">
        <f t="shared" ca="1" si="33"/>
        <v>0</v>
      </c>
      <c r="P39" s="1490">
        <f t="shared" ca="1" si="34"/>
        <v>0</v>
      </c>
      <c r="Q39" s="1491"/>
      <c r="R39" s="1492">
        <f t="shared" si="39"/>
        <v>0</v>
      </c>
      <c r="S39" s="1489">
        <f t="shared" si="63"/>
        <v>0</v>
      </c>
      <c r="T39" s="1493">
        <f t="shared" si="3"/>
        <v>0</v>
      </c>
      <c r="U39" s="1490">
        <f t="shared" si="40"/>
        <v>0</v>
      </c>
      <c r="V39" s="1491"/>
      <c r="W39" s="1086"/>
      <c r="X39" s="1086"/>
      <c r="Y39" s="284"/>
      <c r="Z39" s="83"/>
      <c r="AA39" s="83">
        <f t="shared" si="41"/>
        <v>-10</v>
      </c>
      <c r="AB39" s="84">
        <f t="shared" si="42"/>
        <v>0</v>
      </c>
      <c r="AC39" s="84">
        <f t="shared" ca="1" si="36"/>
        <v>0</v>
      </c>
      <c r="AD39" s="84" t="b">
        <f t="shared" si="43"/>
        <v>0</v>
      </c>
      <c r="AE39" s="84">
        <f t="shared" si="64"/>
        <v>0</v>
      </c>
      <c r="AF39" s="84">
        <f t="shared" si="64"/>
        <v>0</v>
      </c>
      <c r="AG39" s="84">
        <f t="shared" si="64"/>
        <v>0</v>
      </c>
      <c r="AH39" s="84">
        <f t="shared" si="64"/>
        <v>0</v>
      </c>
      <c r="AI39" s="84">
        <f t="shared" si="64"/>
        <v>0</v>
      </c>
      <c r="AJ39" s="84">
        <f t="shared" si="64"/>
        <v>0</v>
      </c>
      <c r="AK39" s="84">
        <f t="shared" si="64"/>
        <v>0</v>
      </c>
      <c r="AL39" s="1315">
        <f t="shared" si="45"/>
        <v>0</v>
      </c>
      <c r="AM39" s="1315">
        <f t="shared" si="46"/>
        <v>0</v>
      </c>
      <c r="AN39" s="1315">
        <f t="shared" si="47"/>
        <v>0</v>
      </c>
      <c r="AO39" s="1315">
        <f t="shared" si="48"/>
        <v>0</v>
      </c>
      <c r="AP39" s="1315">
        <f t="shared" si="49"/>
        <v>0</v>
      </c>
      <c r="AQ39" s="1315">
        <f t="shared" si="50"/>
        <v>0</v>
      </c>
      <c r="AR39" s="1315">
        <f t="shared" si="51"/>
        <v>0</v>
      </c>
      <c r="AS39" s="84" t="b">
        <f t="shared" si="52"/>
        <v>0</v>
      </c>
      <c r="AT39" s="84">
        <f t="shared" si="53"/>
        <v>0</v>
      </c>
      <c r="AU39" s="1315">
        <f t="shared" si="54"/>
        <v>0</v>
      </c>
      <c r="AV39" s="84" t="b">
        <f t="shared" si="55"/>
        <v>0</v>
      </c>
      <c r="AW39" s="84">
        <f t="shared" si="56"/>
        <v>0</v>
      </c>
      <c r="AX39" s="1315">
        <f t="shared" si="21"/>
        <v>0</v>
      </c>
      <c r="AY39" s="84" t="b">
        <f t="shared" si="57"/>
        <v>0</v>
      </c>
      <c r="AZ39" s="84">
        <f t="shared" si="58"/>
        <v>0</v>
      </c>
      <c r="BA39" s="1315">
        <f t="shared" si="24"/>
        <v>0</v>
      </c>
      <c r="BB39" s="84" t="b">
        <f t="shared" si="25"/>
        <v>0</v>
      </c>
      <c r="BC39" s="84">
        <f t="shared" si="59"/>
        <v>0</v>
      </c>
      <c r="BD39" s="84" t="b">
        <f t="shared" si="27"/>
        <v>0</v>
      </c>
      <c r="BE39" s="84">
        <f t="shared" si="60"/>
        <v>0</v>
      </c>
      <c r="BF39" s="84" t="b">
        <f t="shared" si="61"/>
        <v>0</v>
      </c>
      <c r="BG39" s="84">
        <f t="shared" si="62"/>
        <v>0</v>
      </c>
      <c r="BH39" s="84">
        <f>IF(OR(I39='Dropdown Lists'!$I$3,'11. Unit Mix'!J39='Dropdown Lists'!$W$3),H39,0)</f>
        <v>0</v>
      </c>
      <c r="BI39" s="285"/>
      <c r="BJ39" s="285"/>
      <c r="BK39" s="285"/>
      <c r="BL39" s="285"/>
      <c r="BM39" s="285"/>
      <c r="BN39" s="285"/>
      <c r="BO39" s="285"/>
      <c r="BP39" s="285"/>
      <c r="BQ39" s="285"/>
      <c r="BR39" s="285"/>
      <c r="BS39" s="285"/>
      <c r="BT39" s="285"/>
      <c r="BU39" s="285"/>
      <c r="BV39" s="285"/>
      <c r="BW39" s="285"/>
      <c r="BX39" s="285"/>
      <c r="BY39" s="285"/>
      <c r="BZ39" s="285"/>
      <c r="CA39" s="285"/>
      <c r="CB39" s="1476"/>
      <c r="CC39" s="1476"/>
      <c r="CD39" s="1476"/>
      <c r="CE39" s="1476"/>
      <c r="CF39" s="1476"/>
      <c r="CG39" s="1476"/>
      <c r="CH39" s="1476"/>
      <c r="CI39" s="84"/>
    </row>
    <row r="40" spans="1:87">
      <c r="A40" s="239"/>
      <c r="B40" s="1714"/>
      <c r="C40" s="1482"/>
      <c r="D40" s="1482"/>
      <c r="E40" s="1483"/>
      <c r="F40" s="1484"/>
      <c r="G40" s="1483"/>
      <c r="H40" s="1483"/>
      <c r="I40" s="1485"/>
      <c r="J40" s="1483"/>
      <c r="K40" s="1486"/>
      <c r="L40" s="1487">
        <f t="shared" si="38"/>
        <v>0</v>
      </c>
      <c r="M40" s="1488" t="str">
        <f t="shared" si="37"/>
        <v/>
      </c>
      <c r="N40" s="1489">
        <f t="shared" si="32"/>
        <v>0</v>
      </c>
      <c r="O40" s="1489">
        <f t="shared" ca="1" si="33"/>
        <v>0</v>
      </c>
      <c r="P40" s="1490">
        <f t="shared" ca="1" si="34"/>
        <v>0</v>
      </c>
      <c r="Q40" s="1491"/>
      <c r="R40" s="1492">
        <f t="shared" si="39"/>
        <v>0</v>
      </c>
      <c r="S40" s="1489">
        <f t="shared" si="63"/>
        <v>0</v>
      </c>
      <c r="T40" s="1493">
        <f t="shared" si="3"/>
        <v>0</v>
      </c>
      <c r="U40" s="1490">
        <f t="shared" si="40"/>
        <v>0</v>
      </c>
      <c r="V40" s="1491"/>
      <c r="W40" s="1086"/>
      <c r="X40" s="1086"/>
      <c r="Y40" s="284"/>
      <c r="Z40" s="83"/>
      <c r="AA40" s="83">
        <f t="shared" si="41"/>
        <v>-10</v>
      </c>
      <c r="AB40" s="84">
        <f t="shared" si="42"/>
        <v>0</v>
      </c>
      <c r="AC40" s="84">
        <f t="shared" ca="1" si="36"/>
        <v>0</v>
      </c>
      <c r="AD40" s="84" t="b">
        <f t="shared" si="43"/>
        <v>0</v>
      </c>
      <c r="AE40" s="84">
        <f t="shared" si="64"/>
        <v>0</v>
      </c>
      <c r="AF40" s="84">
        <f t="shared" si="64"/>
        <v>0</v>
      </c>
      <c r="AG40" s="84">
        <f t="shared" si="64"/>
        <v>0</v>
      </c>
      <c r="AH40" s="84">
        <f t="shared" si="64"/>
        <v>0</v>
      </c>
      <c r="AI40" s="84">
        <f t="shared" si="64"/>
        <v>0</v>
      </c>
      <c r="AJ40" s="84">
        <f t="shared" si="64"/>
        <v>0</v>
      </c>
      <c r="AK40" s="84">
        <f t="shared" si="64"/>
        <v>0</v>
      </c>
      <c r="AL40" s="1315">
        <f t="shared" si="45"/>
        <v>0</v>
      </c>
      <c r="AM40" s="1315">
        <f t="shared" si="46"/>
        <v>0</v>
      </c>
      <c r="AN40" s="1315">
        <f t="shared" si="47"/>
        <v>0</v>
      </c>
      <c r="AO40" s="1315">
        <f t="shared" si="48"/>
        <v>0</v>
      </c>
      <c r="AP40" s="1315">
        <f t="shared" si="49"/>
        <v>0</v>
      </c>
      <c r="AQ40" s="1315">
        <f t="shared" si="50"/>
        <v>0</v>
      </c>
      <c r="AR40" s="1315">
        <f t="shared" si="51"/>
        <v>0</v>
      </c>
      <c r="AS40" s="84" t="b">
        <f t="shared" si="52"/>
        <v>0</v>
      </c>
      <c r="AT40" s="84">
        <f t="shared" si="53"/>
        <v>0</v>
      </c>
      <c r="AU40" s="1315">
        <f t="shared" si="54"/>
        <v>0</v>
      </c>
      <c r="AV40" s="84" t="b">
        <f t="shared" si="55"/>
        <v>0</v>
      </c>
      <c r="AW40" s="84">
        <f t="shared" si="56"/>
        <v>0</v>
      </c>
      <c r="AX40" s="1315">
        <f t="shared" si="21"/>
        <v>0</v>
      </c>
      <c r="AY40" s="84" t="b">
        <f t="shared" si="57"/>
        <v>0</v>
      </c>
      <c r="AZ40" s="84">
        <f t="shared" si="58"/>
        <v>0</v>
      </c>
      <c r="BA40" s="1315">
        <f t="shared" si="24"/>
        <v>0</v>
      </c>
      <c r="BB40" s="84" t="b">
        <f t="shared" si="25"/>
        <v>0</v>
      </c>
      <c r="BC40" s="84">
        <f t="shared" si="59"/>
        <v>0</v>
      </c>
      <c r="BD40" s="84" t="b">
        <f t="shared" si="27"/>
        <v>0</v>
      </c>
      <c r="BE40" s="84">
        <f t="shared" si="60"/>
        <v>0</v>
      </c>
      <c r="BF40" s="84" t="b">
        <f t="shared" si="61"/>
        <v>0</v>
      </c>
      <c r="BG40" s="84">
        <f t="shared" si="62"/>
        <v>0</v>
      </c>
      <c r="BH40" s="84">
        <f>IF(OR(I40='Dropdown Lists'!$I$3,'11. Unit Mix'!J40='Dropdown Lists'!$W$3),H40,0)</f>
        <v>0</v>
      </c>
      <c r="BI40" s="285"/>
      <c r="BJ40" s="285"/>
      <c r="BK40" s="285"/>
      <c r="BL40" s="285"/>
      <c r="BM40" s="285"/>
      <c r="BN40" s="285"/>
      <c r="BO40" s="285"/>
      <c r="BP40" s="285"/>
      <c r="BQ40" s="285"/>
      <c r="BR40" s="285"/>
      <c r="BS40" s="285"/>
      <c r="BT40" s="285"/>
      <c r="BU40" s="285"/>
      <c r="BV40" s="285"/>
      <c r="BW40" s="285"/>
      <c r="BX40" s="285"/>
      <c r="BY40" s="285"/>
      <c r="BZ40" s="285"/>
      <c r="CA40" s="285"/>
      <c r="CB40" s="1476"/>
      <c r="CC40" s="1476"/>
      <c r="CD40" s="1476"/>
      <c r="CE40" s="1476"/>
      <c r="CF40" s="1476"/>
      <c r="CG40" s="1476"/>
      <c r="CH40" s="1476"/>
      <c r="CI40" s="84"/>
    </row>
    <row r="41" spans="1:87">
      <c r="A41" s="239"/>
      <c r="B41" s="1714"/>
      <c r="C41" s="1482"/>
      <c r="D41" s="1482"/>
      <c r="E41" s="1483"/>
      <c r="F41" s="1484"/>
      <c r="G41" s="1483"/>
      <c r="H41" s="1483"/>
      <c r="I41" s="1485"/>
      <c r="J41" s="1483"/>
      <c r="K41" s="1486"/>
      <c r="L41" s="1487">
        <f t="shared" si="38"/>
        <v>0</v>
      </c>
      <c r="M41" s="1488" t="str">
        <f t="shared" si="37"/>
        <v/>
      </c>
      <c r="N41" s="1489">
        <f t="shared" si="32"/>
        <v>0</v>
      </c>
      <c r="O41" s="1489">
        <f t="shared" ca="1" si="33"/>
        <v>0</v>
      </c>
      <c r="P41" s="1490">
        <f t="shared" ca="1" si="34"/>
        <v>0</v>
      </c>
      <c r="Q41" s="1491"/>
      <c r="R41" s="1492">
        <f t="shared" si="39"/>
        <v>0</v>
      </c>
      <c r="S41" s="1489">
        <f t="shared" si="63"/>
        <v>0</v>
      </c>
      <c r="T41" s="1493">
        <f t="shared" si="3"/>
        <v>0</v>
      </c>
      <c r="U41" s="1490">
        <f t="shared" si="40"/>
        <v>0</v>
      </c>
      <c r="V41" s="1491"/>
      <c r="W41" s="1086"/>
      <c r="X41" s="1086"/>
      <c r="Y41" s="284"/>
      <c r="Z41" s="83"/>
      <c r="AA41" s="83">
        <f t="shared" si="41"/>
        <v>-10</v>
      </c>
      <c r="AB41" s="84">
        <f t="shared" si="42"/>
        <v>0</v>
      </c>
      <c r="AC41" s="84">
        <f t="shared" ca="1" si="36"/>
        <v>0</v>
      </c>
      <c r="AD41" s="84" t="b">
        <f t="shared" si="43"/>
        <v>0</v>
      </c>
      <c r="AE41" s="84">
        <f t="shared" si="64"/>
        <v>0</v>
      </c>
      <c r="AF41" s="84">
        <f t="shared" si="64"/>
        <v>0</v>
      </c>
      <c r="AG41" s="84">
        <f t="shared" si="64"/>
        <v>0</v>
      </c>
      <c r="AH41" s="84">
        <f t="shared" si="64"/>
        <v>0</v>
      </c>
      <c r="AI41" s="84">
        <f t="shared" si="64"/>
        <v>0</v>
      </c>
      <c r="AJ41" s="84">
        <f t="shared" si="64"/>
        <v>0</v>
      </c>
      <c r="AK41" s="84">
        <f t="shared" si="64"/>
        <v>0</v>
      </c>
      <c r="AL41" s="1315">
        <f t="shared" si="45"/>
        <v>0</v>
      </c>
      <c r="AM41" s="1315">
        <f t="shared" si="46"/>
        <v>0</v>
      </c>
      <c r="AN41" s="1315">
        <f t="shared" si="47"/>
        <v>0</v>
      </c>
      <c r="AO41" s="1315">
        <f t="shared" si="48"/>
        <v>0</v>
      </c>
      <c r="AP41" s="1315">
        <f t="shared" si="49"/>
        <v>0</v>
      </c>
      <c r="AQ41" s="1315">
        <f t="shared" si="50"/>
        <v>0</v>
      </c>
      <c r="AR41" s="1315">
        <f t="shared" si="51"/>
        <v>0</v>
      </c>
      <c r="AS41" s="84" t="b">
        <f t="shared" si="52"/>
        <v>0</v>
      </c>
      <c r="AT41" s="84">
        <f t="shared" si="53"/>
        <v>0</v>
      </c>
      <c r="AU41" s="1315">
        <f t="shared" si="54"/>
        <v>0</v>
      </c>
      <c r="AV41" s="84" t="b">
        <f t="shared" si="55"/>
        <v>0</v>
      </c>
      <c r="AW41" s="84">
        <f t="shared" si="56"/>
        <v>0</v>
      </c>
      <c r="AX41" s="1315">
        <f t="shared" si="21"/>
        <v>0</v>
      </c>
      <c r="AY41" s="84" t="b">
        <f t="shared" si="57"/>
        <v>0</v>
      </c>
      <c r="AZ41" s="84">
        <f t="shared" si="58"/>
        <v>0</v>
      </c>
      <c r="BA41" s="1315">
        <f t="shared" si="24"/>
        <v>0</v>
      </c>
      <c r="BB41" s="84" t="b">
        <f t="shared" si="25"/>
        <v>0</v>
      </c>
      <c r="BC41" s="84">
        <f t="shared" si="59"/>
        <v>0</v>
      </c>
      <c r="BD41" s="84" t="b">
        <f t="shared" si="27"/>
        <v>0</v>
      </c>
      <c r="BE41" s="84">
        <f t="shared" si="60"/>
        <v>0</v>
      </c>
      <c r="BF41" s="84" t="b">
        <f t="shared" si="61"/>
        <v>0</v>
      </c>
      <c r="BG41" s="84">
        <f t="shared" si="62"/>
        <v>0</v>
      </c>
      <c r="BH41" s="84">
        <f>IF(OR(I41='Dropdown Lists'!$I$3,'11. Unit Mix'!J41='Dropdown Lists'!$W$3),H41,0)</f>
        <v>0</v>
      </c>
      <c r="BI41" s="285"/>
      <c r="BJ41" s="285"/>
      <c r="BK41" s="285"/>
      <c r="BL41" s="285"/>
      <c r="BM41" s="285"/>
      <c r="BN41" s="285"/>
      <c r="BO41" s="285"/>
      <c r="BP41" s="285"/>
      <c r="BQ41" s="285"/>
      <c r="BR41" s="285"/>
      <c r="BS41" s="285"/>
      <c r="BT41" s="285"/>
      <c r="BU41" s="285"/>
      <c r="BV41" s="285"/>
      <c r="BW41" s="285"/>
      <c r="BX41" s="285"/>
      <c r="BY41" s="285"/>
      <c r="BZ41" s="285"/>
      <c r="CA41" s="285"/>
      <c r="CB41" s="1476"/>
      <c r="CC41" s="1476"/>
      <c r="CD41" s="1476"/>
      <c r="CE41" s="1476"/>
      <c r="CF41" s="1476"/>
      <c r="CG41" s="1476"/>
      <c r="CH41" s="1476"/>
      <c r="CI41" s="84"/>
    </row>
    <row r="42" spans="1:87">
      <c r="A42" s="239"/>
      <c r="B42" s="1714"/>
      <c r="C42" s="1482"/>
      <c r="D42" s="1482"/>
      <c r="E42" s="1483"/>
      <c r="F42" s="1484"/>
      <c r="G42" s="1483"/>
      <c r="H42" s="1483"/>
      <c r="I42" s="1485"/>
      <c r="J42" s="1483"/>
      <c r="K42" s="1486"/>
      <c r="L42" s="1487">
        <f t="shared" si="38"/>
        <v>0</v>
      </c>
      <c r="M42" s="1488" t="str">
        <f t="shared" si="37"/>
        <v/>
      </c>
      <c r="N42" s="1489">
        <f t="shared" si="32"/>
        <v>0</v>
      </c>
      <c r="O42" s="1489">
        <f t="shared" ca="1" si="33"/>
        <v>0</v>
      </c>
      <c r="P42" s="1490">
        <f t="shared" ca="1" si="34"/>
        <v>0</v>
      </c>
      <c r="Q42" s="1491"/>
      <c r="R42" s="1492">
        <f t="shared" si="39"/>
        <v>0</v>
      </c>
      <c r="S42" s="1489">
        <f t="shared" si="63"/>
        <v>0</v>
      </c>
      <c r="T42" s="1493">
        <f t="shared" si="3"/>
        <v>0</v>
      </c>
      <c r="U42" s="1490">
        <f t="shared" si="40"/>
        <v>0</v>
      </c>
      <c r="V42" s="1491"/>
      <c r="W42" s="1086"/>
      <c r="X42" s="1086"/>
      <c r="Y42" s="284"/>
      <c r="Z42" s="83"/>
      <c r="AA42" s="83">
        <f t="shared" si="41"/>
        <v>-10</v>
      </c>
      <c r="AB42" s="84">
        <f t="shared" si="42"/>
        <v>0</v>
      </c>
      <c r="AC42" s="84">
        <f t="shared" ca="1" si="36"/>
        <v>0</v>
      </c>
      <c r="AD42" s="84" t="b">
        <f t="shared" si="43"/>
        <v>0</v>
      </c>
      <c r="AE42" s="84">
        <f t="shared" si="64"/>
        <v>0</v>
      </c>
      <c r="AF42" s="84">
        <f t="shared" si="64"/>
        <v>0</v>
      </c>
      <c r="AG42" s="84">
        <f t="shared" si="64"/>
        <v>0</v>
      </c>
      <c r="AH42" s="84">
        <f t="shared" si="64"/>
        <v>0</v>
      </c>
      <c r="AI42" s="84">
        <f t="shared" si="64"/>
        <v>0</v>
      </c>
      <c r="AJ42" s="84">
        <f t="shared" si="64"/>
        <v>0</v>
      </c>
      <c r="AK42" s="84">
        <f t="shared" si="64"/>
        <v>0</v>
      </c>
      <c r="AL42" s="1315">
        <f t="shared" si="45"/>
        <v>0</v>
      </c>
      <c r="AM42" s="1315">
        <f t="shared" si="46"/>
        <v>0</v>
      </c>
      <c r="AN42" s="1315">
        <f t="shared" si="47"/>
        <v>0</v>
      </c>
      <c r="AO42" s="1315">
        <f t="shared" si="48"/>
        <v>0</v>
      </c>
      <c r="AP42" s="1315">
        <f t="shared" si="49"/>
        <v>0</v>
      </c>
      <c r="AQ42" s="1315">
        <f t="shared" si="50"/>
        <v>0</v>
      </c>
      <c r="AR42" s="1315">
        <f t="shared" si="51"/>
        <v>0</v>
      </c>
      <c r="AS42" s="84" t="b">
        <f t="shared" si="52"/>
        <v>0</v>
      </c>
      <c r="AT42" s="84">
        <f t="shared" si="53"/>
        <v>0</v>
      </c>
      <c r="AU42" s="1315">
        <f t="shared" si="54"/>
        <v>0</v>
      </c>
      <c r="AV42" s="84" t="b">
        <f t="shared" si="55"/>
        <v>0</v>
      </c>
      <c r="AW42" s="84">
        <f t="shared" si="56"/>
        <v>0</v>
      </c>
      <c r="AX42" s="1315">
        <f t="shared" si="21"/>
        <v>0</v>
      </c>
      <c r="AY42" s="84" t="b">
        <f t="shared" si="57"/>
        <v>0</v>
      </c>
      <c r="AZ42" s="84">
        <f t="shared" si="58"/>
        <v>0</v>
      </c>
      <c r="BA42" s="1315">
        <f t="shared" si="24"/>
        <v>0</v>
      </c>
      <c r="BB42" s="84" t="b">
        <f t="shared" si="25"/>
        <v>0</v>
      </c>
      <c r="BC42" s="84">
        <f t="shared" si="59"/>
        <v>0</v>
      </c>
      <c r="BD42" s="84" t="b">
        <f t="shared" si="27"/>
        <v>0</v>
      </c>
      <c r="BE42" s="84">
        <f t="shared" si="60"/>
        <v>0</v>
      </c>
      <c r="BF42" s="84" t="b">
        <f t="shared" si="61"/>
        <v>0</v>
      </c>
      <c r="BG42" s="84">
        <f t="shared" si="62"/>
        <v>0</v>
      </c>
      <c r="BH42" s="84">
        <f>IF(OR(I42='Dropdown Lists'!$I$3,'11. Unit Mix'!J42='Dropdown Lists'!$W$3),H42,0)</f>
        <v>0</v>
      </c>
      <c r="BI42" s="285"/>
      <c r="BJ42" s="285"/>
      <c r="BK42" s="285"/>
      <c r="BL42" s="285"/>
      <c r="BM42" s="285"/>
      <c r="BN42" s="285"/>
      <c r="BO42" s="285"/>
      <c r="BP42" s="285"/>
      <c r="BQ42" s="285"/>
      <c r="BR42" s="285"/>
      <c r="BS42" s="285"/>
      <c r="BT42" s="285"/>
      <c r="BU42" s="285"/>
      <c r="BV42" s="285"/>
      <c r="BW42" s="285"/>
      <c r="BX42" s="285"/>
      <c r="BY42" s="285"/>
      <c r="BZ42" s="285"/>
      <c r="CA42" s="285"/>
      <c r="CB42" s="1476"/>
      <c r="CC42" s="1476"/>
      <c r="CD42" s="1476"/>
      <c r="CE42" s="1476"/>
      <c r="CF42" s="1476"/>
      <c r="CG42" s="1476"/>
      <c r="CH42" s="1476"/>
      <c r="CI42" s="84"/>
    </row>
    <row r="43" spans="1:87">
      <c r="A43" s="345"/>
      <c r="B43" s="1714"/>
      <c r="C43" s="1482"/>
      <c r="D43" s="1482"/>
      <c r="E43" s="1483"/>
      <c r="F43" s="1484"/>
      <c r="G43" s="1483"/>
      <c r="H43" s="1483"/>
      <c r="I43" s="1485"/>
      <c r="J43" s="1483"/>
      <c r="K43" s="1486"/>
      <c r="L43" s="1487">
        <f t="shared" si="38"/>
        <v>0</v>
      </c>
      <c r="M43" s="1488" t="str">
        <f t="shared" si="37"/>
        <v/>
      </c>
      <c r="N43" s="1489">
        <f t="shared" si="32"/>
        <v>0</v>
      </c>
      <c r="O43" s="1489">
        <f t="shared" ca="1" si="33"/>
        <v>0</v>
      </c>
      <c r="P43" s="1490">
        <f t="shared" ca="1" si="34"/>
        <v>0</v>
      </c>
      <c r="Q43" s="1491"/>
      <c r="R43" s="1492">
        <f t="shared" si="39"/>
        <v>0</v>
      </c>
      <c r="S43" s="1489">
        <f t="shared" si="63"/>
        <v>0</v>
      </c>
      <c r="T43" s="1493">
        <f t="shared" si="3"/>
        <v>0</v>
      </c>
      <c r="U43" s="1490">
        <f t="shared" si="40"/>
        <v>0</v>
      </c>
      <c r="V43" s="1491"/>
      <c r="W43" s="1086"/>
      <c r="X43" s="1086"/>
      <c r="Y43" s="284"/>
      <c r="Z43" s="83"/>
      <c r="AA43" s="83">
        <f t="shared" si="41"/>
        <v>-10</v>
      </c>
      <c r="AB43" s="84">
        <f t="shared" si="42"/>
        <v>0</v>
      </c>
      <c r="AC43" s="84">
        <f t="shared" ca="1" si="36"/>
        <v>0</v>
      </c>
      <c r="AD43" s="84" t="b">
        <f t="shared" si="43"/>
        <v>0</v>
      </c>
      <c r="AE43" s="84">
        <f t="shared" si="64"/>
        <v>0</v>
      </c>
      <c r="AF43" s="84">
        <f t="shared" si="64"/>
        <v>0</v>
      </c>
      <c r="AG43" s="84">
        <f t="shared" si="64"/>
        <v>0</v>
      </c>
      <c r="AH43" s="84">
        <f t="shared" si="64"/>
        <v>0</v>
      </c>
      <c r="AI43" s="84">
        <f t="shared" si="64"/>
        <v>0</v>
      </c>
      <c r="AJ43" s="84">
        <f t="shared" si="64"/>
        <v>0</v>
      </c>
      <c r="AK43" s="84">
        <f t="shared" si="64"/>
        <v>0</v>
      </c>
      <c r="AL43" s="1315">
        <f t="shared" si="45"/>
        <v>0</v>
      </c>
      <c r="AM43" s="1315">
        <f t="shared" si="46"/>
        <v>0</v>
      </c>
      <c r="AN43" s="1315">
        <f t="shared" si="47"/>
        <v>0</v>
      </c>
      <c r="AO43" s="1315">
        <f t="shared" si="48"/>
        <v>0</v>
      </c>
      <c r="AP43" s="1315">
        <f t="shared" si="49"/>
        <v>0</v>
      </c>
      <c r="AQ43" s="1315">
        <f t="shared" si="50"/>
        <v>0</v>
      </c>
      <c r="AR43" s="1315">
        <f t="shared" si="51"/>
        <v>0</v>
      </c>
      <c r="AS43" s="84" t="b">
        <f t="shared" si="52"/>
        <v>0</v>
      </c>
      <c r="AT43" s="84">
        <f t="shared" si="53"/>
        <v>0</v>
      </c>
      <c r="AU43" s="1315">
        <f t="shared" si="54"/>
        <v>0</v>
      </c>
      <c r="AV43" s="84" t="b">
        <f t="shared" si="55"/>
        <v>0</v>
      </c>
      <c r="AW43" s="84">
        <f t="shared" si="56"/>
        <v>0</v>
      </c>
      <c r="AX43" s="1315">
        <f t="shared" si="21"/>
        <v>0</v>
      </c>
      <c r="AY43" s="84" t="b">
        <f t="shared" si="57"/>
        <v>0</v>
      </c>
      <c r="AZ43" s="84">
        <f t="shared" si="58"/>
        <v>0</v>
      </c>
      <c r="BA43" s="1315">
        <f t="shared" si="24"/>
        <v>0</v>
      </c>
      <c r="BB43" s="84" t="b">
        <f t="shared" si="25"/>
        <v>0</v>
      </c>
      <c r="BC43" s="84">
        <f t="shared" si="59"/>
        <v>0</v>
      </c>
      <c r="BD43" s="84" t="b">
        <f t="shared" si="27"/>
        <v>0</v>
      </c>
      <c r="BE43" s="84">
        <f t="shared" si="60"/>
        <v>0</v>
      </c>
      <c r="BF43" s="84" t="b">
        <f t="shared" si="61"/>
        <v>0</v>
      </c>
      <c r="BG43" s="84">
        <f t="shared" si="62"/>
        <v>0</v>
      </c>
      <c r="BH43" s="84">
        <f>IF(OR(I43='Dropdown Lists'!$I$3,'11. Unit Mix'!J43='Dropdown Lists'!$W$3),H43,0)</f>
        <v>0</v>
      </c>
      <c r="BI43" s="285"/>
      <c r="BJ43" s="285"/>
      <c r="BK43" s="285"/>
      <c r="BL43" s="285"/>
      <c r="BM43" s="285"/>
      <c r="BN43" s="285"/>
      <c r="BO43" s="285"/>
      <c r="BP43" s="285"/>
      <c r="BQ43" s="285"/>
      <c r="BR43" s="285"/>
      <c r="BS43" s="285"/>
      <c r="BT43" s="285"/>
      <c r="BU43" s="285"/>
      <c r="BV43" s="285"/>
      <c r="BW43" s="285"/>
      <c r="BX43" s="285"/>
      <c r="BY43" s="285"/>
      <c r="BZ43" s="285"/>
      <c r="CA43" s="285"/>
      <c r="CB43" s="1476"/>
      <c r="CC43" s="1476"/>
      <c r="CD43" s="1476"/>
      <c r="CE43" s="1476"/>
      <c r="CF43" s="1476"/>
      <c r="CG43" s="1476"/>
      <c r="CH43" s="1476"/>
      <c r="CI43" s="84"/>
    </row>
    <row r="44" spans="1:87">
      <c r="A44" s="345"/>
      <c r="B44" s="1714"/>
      <c r="C44" s="1482"/>
      <c r="D44" s="1482"/>
      <c r="E44" s="1483"/>
      <c r="F44" s="1484"/>
      <c r="G44" s="1483"/>
      <c r="H44" s="1483"/>
      <c r="I44" s="1485"/>
      <c r="J44" s="1483"/>
      <c r="K44" s="1486"/>
      <c r="L44" s="1487">
        <f t="shared" si="38"/>
        <v>0</v>
      </c>
      <c r="M44" s="1488" t="str">
        <f t="shared" si="37"/>
        <v/>
      </c>
      <c r="N44" s="1489">
        <f t="shared" si="32"/>
        <v>0</v>
      </c>
      <c r="O44" s="1489">
        <f t="shared" ca="1" si="33"/>
        <v>0</v>
      </c>
      <c r="P44" s="1490">
        <f t="shared" ca="1" si="34"/>
        <v>0</v>
      </c>
      <c r="Q44" s="1491"/>
      <c r="R44" s="1492">
        <f t="shared" si="39"/>
        <v>0</v>
      </c>
      <c r="S44" s="1489">
        <f t="shared" si="63"/>
        <v>0</v>
      </c>
      <c r="T44" s="1493">
        <f t="shared" si="3"/>
        <v>0</v>
      </c>
      <c r="U44" s="1490">
        <f t="shared" si="40"/>
        <v>0</v>
      </c>
      <c r="V44" s="1491"/>
      <c r="W44" s="1086"/>
      <c r="X44" s="1086"/>
      <c r="Y44" s="284"/>
      <c r="Z44" s="83"/>
      <c r="AA44" s="83">
        <f t="shared" si="41"/>
        <v>-10</v>
      </c>
      <c r="AB44" s="84">
        <f t="shared" si="42"/>
        <v>0</v>
      </c>
      <c r="AC44" s="84">
        <f t="shared" ca="1" si="36"/>
        <v>0</v>
      </c>
      <c r="AD44" s="84" t="b">
        <f t="shared" si="43"/>
        <v>0</v>
      </c>
      <c r="AE44" s="84">
        <f t="shared" si="64"/>
        <v>0</v>
      </c>
      <c r="AF44" s="84">
        <f t="shared" si="64"/>
        <v>0</v>
      </c>
      <c r="AG44" s="84">
        <f t="shared" si="64"/>
        <v>0</v>
      </c>
      <c r="AH44" s="84">
        <f t="shared" si="64"/>
        <v>0</v>
      </c>
      <c r="AI44" s="84">
        <f t="shared" si="64"/>
        <v>0</v>
      </c>
      <c r="AJ44" s="84">
        <f t="shared" si="64"/>
        <v>0</v>
      </c>
      <c r="AK44" s="84">
        <f t="shared" si="64"/>
        <v>0</v>
      </c>
      <c r="AL44" s="1315">
        <f t="shared" si="45"/>
        <v>0</v>
      </c>
      <c r="AM44" s="1315">
        <f t="shared" si="46"/>
        <v>0</v>
      </c>
      <c r="AN44" s="1315">
        <f t="shared" si="47"/>
        <v>0</v>
      </c>
      <c r="AO44" s="1315">
        <f t="shared" si="48"/>
        <v>0</v>
      </c>
      <c r="AP44" s="1315">
        <f t="shared" si="49"/>
        <v>0</v>
      </c>
      <c r="AQ44" s="1315">
        <f t="shared" si="50"/>
        <v>0</v>
      </c>
      <c r="AR44" s="1315">
        <f t="shared" si="51"/>
        <v>0</v>
      </c>
      <c r="AS44" s="84" t="b">
        <f t="shared" si="52"/>
        <v>0</v>
      </c>
      <c r="AT44" s="84">
        <f t="shared" si="53"/>
        <v>0</v>
      </c>
      <c r="AU44" s="1315">
        <f t="shared" si="54"/>
        <v>0</v>
      </c>
      <c r="AV44" s="84" t="b">
        <f t="shared" si="55"/>
        <v>0</v>
      </c>
      <c r="AW44" s="84">
        <f t="shared" si="56"/>
        <v>0</v>
      </c>
      <c r="AX44" s="1315">
        <f t="shared" si="21"/>
        <v>0</v>
      </c>
      <c r="AY44" s="84" t="b">
        <f t="shared" si="57"/>
        <v>0</v>
      </c>
      <c r="AZ44" s="84">
        <f t="shared" si="58"/>
        <v>0</v>
      </c>
      <c r="BA44" s="1315">
        <f t="shared" si="24"/>
        <v>0</v>
      </c>
      <c r="BB44" s="84" t="b">
        <f t="shared" si="25"/>
        <v>0</v>
      </c>
      <c r="BC44" s="84">
        <f t="shared" si="59"/>
        <v>0</v>
      </c>
      <c r="BD44" s="84" t="b">
        <f t="shared" si="27"/>
        <v>0</v>
      </c>
      <c r="BE44" s="84">
        <f t="shared" si="60"/>
        <v>0</v>
      </c>
      <c r="BF44" s="84" t="b">
        <f t="shared" si="61"/>
        <v>0</v>
      </c>
      <c r="BG44" s="84">
        <f t="shared" si="62"/>
        <v>0</v>
      </c>
      <c r="BH44" s="84">
        <f>IF(OR(I44='Dropdown Lists'!$I$3,'11. Unit Mix'!J44='Dropdown Lists'!$W$3),H44,0)</f>
        <v>0</v>
      </c>
      <c r="BI44" s="285"/>
      <c r="BJ44" s="285"/>
      <c r="BK44" s="285"/>
      <c r="BL44" s="285"/>
      <c r="BM44" s="285"/>
      <c r="BN44" s="285"/>
      <c r="BO44" s="285"/>
      <c r="BP44" s="285"/>
      <c r="BQ44" s="285"/>
      <c r="BR44" s="285"/>
      <c r="BS44" s="285"/>
      <c r="BT44" s="285"/>
      <c r="BU44" s="285"/>
      <c r="BV44" s="285"/>
      <c r="BW44" s="285"/>
      <c r="BX44" s="285"/>
      <c r="BY44" s="285"/>
      <c r="BZ44" s="285"/>
      <c r="CA44" s="285"/>
      <c r="CB44" s="1476"/>
      <c r="CC44" s="1476"/>
      <c r="CD44" s="1476"/>
      <c r="CE44" s="1476"/>
      <c r="CF44" s="1476"/>
      <c r="CG44" s="1476"/>
      <c r="CH44" s="1476"/>
      <c r="CI44" s="84"/>
    </row>
    <row r="45" spans="1:87">
      <c r="A45" s="345"/>
      <c r="B45" s="1714"/>
      <c r="C45" s="1482"/>
      <c r="D45" s="1482"/>
      <c r="E45" s="1483"/>
      <c r="F45" s="1484"/>
      <c r="G45" s="1483"/>
      <c r="H45" s="1483"/>
      <c r="I45" s="1485"/>
      <c r="J45" s="1483"/>
      <c r="K45" s="1486"/>
      <c r="L45" s="1487">
        <f t="shared" si="38"/>
        <v>0</v>
      </c>
      <c r="M45" s="1488" t="str">
        <f t="shared" si="37"/>
        <v/>
      </c>
      <c r="N45" s="1489">
        <f t="shared" si="32"/>
        <v>0</v>
      </c>
      <c r="O45" s="1489">
        <f t="shared" ca="1" si="33"/>
        <v>0</v>
      </c>
      <c r="P45" s="1490">
        <f t="shared" ca="1" si="34"/>
        <v>0</v>
      </c>
      <c r="Q45" s="1491"/>
      <c r="R45" s="1492">
        <f t="shared" si="39"/>
        <v>0</v>
      </c>
      <c r="S45" s="1489">
        <f t="shared" si="63"/>
        <v>0</v>
      </c>
      <c r="T45" s="1493">
        <f t="shared" si="3"/>
        <v>0</v>
      </c>
      <c r="U45" s="1490">
        <f t="shared" si="40"/>
        <v>0</v>
      </c>
      <c r="V45" s="1491"/>
      <c r="W45" s="1086"/>
      <c r="X45" s="1086"/>
      <c r="Y45" s="284"/>
      <c r="Z45" s="83"/>
      <c r="AA45" s="83">
        <f t="shared" si="41"/>
        <v>-10</v>
      </c>
      <c r="AB45" s="84">
        <f t="shared" si="42"/>
        <v>0</v>
      </c>
      <c r="AC45" s="84">
        <f t="shared" ca="1" si="36"/>
        <v>0</v>
      </c>
      <c r="AD45" s="84" t="b">
        <f t="shared" si="43"/>
        <v>0</v>
      </c>
      <c r="AE45" s="84">
        <f t="shared" si="64"/>
        <v>0</v>
      </c>
      <c r="AF45" s="84">
        <f t="shared" si="64"/>
        <v>0</v>
      </c>
      <c r="AG45" s="84">
        <f t="shared" si="64"/>
        <v>0</v>
      </c>
      <c r="AH45" s="84">
        <f t="shared" si="64"/>
        <v>0</v>
      </c>
      <c r="AI45" s="84">
        <f t="shared" si="64"/>
        <v>0</v>
      </c>
      <c r="AJ45" s="84">
        <f t="shared" si="64"/>
        <v>0</v>
      </c>
      <c r="AK45" s="84">
        <f t="shared" si="64"/>
        <v>0</v>
      </c>
      <c r="AL45" s="1315">
        <f t="shared" si="45"/>
        <v>0</v>
      </c>
      <c r="AM45" s="1315">
        <f t="shared" si="46"/>
        <v>0</v>
      </c>
      <c r="AN45" s="1315">
        <f t="shared" si="47"/>
        <v>0</v>
      </c>
      <c r="AO45" s="1315">
        <f t="shared" si="48"/>
        <v>0</v>
      </c>
      <c r="AP45" s="1315">
        <f t="shared" si="49"/>
        <v>0</v>
      </c>
      <c r="AQ45" s="1315">
        <f t="shared" si="50"/>
        <v>0</v>
      </c>
      <c r="AR45" s="1315">
        <f t="shared" si="51"/>
        <v>0</v>
      </c>
      <c r="AS45" s="84" t="b">
        <f t="shared" si="52"/>
        <v>0</v>
      </c>
      <c r="AT45" s="84">
        <f t="shared" si="53"/>
        <v>0</v>
      </c>
      <c r="AU45" s="1315">
        <f t="shared" si="54"/>
        <v>0</v>
      </c>
      <c r="AV45" s="84" t="b">
        <f t="shared" si="55"/>
        <v>0</v>
      </c>
      <c r="AW45" s="84">
        <f t="shared" si="56"/>
        <v>0</v>
      </c>
      <c r="AX45" s="1315">
        <f t="shared" si="21"/>
        <v>0</v>
      </c>
      <c r="AY45" s="84" t="b">
        <f t="shared" si="57"/>
        <v>0</v>
      </c>
      <c r="AZ45" s="84">
        <f t="shared" si="58"/>
        <v>0</v>
      </c>
      <c r="BA45" s="1315">
        <f t="shared" si="24"/>
        <v>0</v>
      </c>
      <c r="BB45" s="84" t="b">
        <f t="shared" si="25"/>
        <v>0</v>
      </c>
      <c r="BC45" s="84">
        <f t="shared" si="59"/>
        <v>0</v>
      </c>
      <c r="BD45" s="84" t="b">
        <f t="shared" si="27"/>
        <v>0</v>
      </c>
      <c r="BE45" s="84">
        <f t="shared" si="60"/>
        <v>0</v>
      </c>
      <c r="BF45" s="84" t="b">
        <f t="shared" si="61"/>
        <v>0</v>
      </c>
      <c r="BG45" s="84">
        <f t="shared" si="62"/>
        <v>0</v>
      </c>
      <c r="BH45" s="84">
        <f>IF(OR(I45='Dropdown Lists'!$I$3,'11. Unit Mix'!J45='Dropdown Lists'!$W$3),H45,0)</f>
        <v>0</v>
      </c>
      <c r="BI45" s="285"/>
      <c r="BJ45" s="285"/>
      <c r="BK45" s="285"/>
      <c r="BL45" s="285"/>
      <c r="BM45" s="285"/>
      <c r="BN45" s="285"/>
      <c r="BO45" s="285"/>
      <c r="BP45" s="285"/>
      <c r="BQ45" s="285"/>
      <c r="BR45" s="285"/>
      <c r="BS45" s="285"/>
      <c r="BT45" s="285"/>
      <c r="BU45" s="285"/>
      <c r="BV45" s="285"/>
      <c r="BW45" s="285"/>
      <c r="BX45" s="285"/>
      <c r="BY45" s="285"/>
      <c r="BZ45" s="285"/>
      <c r="CA45" s="285"/>
      <c r="CB45" s="1476"/>
      <c r="CC45" s="1476"/>
      <c r="CD45" s="1476"/>
      <c r="CE45" s="1476"/>
      <c r="CF45" s="1476"/>
      <c r="CG45" s="1476"/>
      <c r="CH45" s="1476"/>
      <c r="CI45" s="84"/>
    </row>
    <row r="46" spans="1:87">
      <c r="A46" s="345"/>
      <c r="B46" s="1714"/>
      <c r="C46" s="1482"/>
      <c r="D46" s="1482"/>
      <c r="E46" s="1483"/>
      <c r="F46" s="1484"/>
      <c r="G46" s="1483"/>
      <c r="H46" s="1483"/>
      <c r="I46" s="1485"/>
      <c r="J46" s="1483"/>
      <c r="K46" s="1486"/>
      <c r="L46" s="1487">
        <f t="shared" si="38"/>
        <v>0</v>
      </c>
      <c r="M46" s="1488" t="str">
        <f t="shared" si="37"/>
        <v/>
      </c>
      <c r="N46" s="1489">
        <f t="shared" si="32"/>
        <v>0</v>
      </c>
      <c r="O46" s="1489">
        <f t="shared" ca="1" si="33"/>
        <v>0</v>
      </c>
      <c r="P46" s="1490">
        <f t="shared" ca="1" si="34"/>
        <v>0</v>
      </c>
      <c r="Q46" s="1491"/>
      <c r="R46" s="1492">
        <f t="shared" si="39"/>
        <v>0</v>
      </c>
      <c r="S46" s="1489">
        <f t="shared" si="63"/>
        <v>0</v>
      </c>
      <c r="T46" s="1493">
        <f t="shared" si="3"/>
        <v>0</v>
      </c>
      <c r="U46" s="1490">
        <f t="shared" si="40"/>
        <v>0</v>
      </c>
      <c r="V46" s="1491"/>
      <c r="W46" s="1086"/>
      <c r="X46" s="1086"/>
      <c r="Y46" s="284"/>
      <c r="Z46" s="83"/>
      <c r="AA46" s="83">
        <f t="shared" si="41"/>
        <v>-10</v>
      </c>
      <c r="AB46" s="84">
        <f t="shared" si="42"/>
        <v>0</v>
      </c>
      <c r="AC46" s="84">
        <f t="shared" ca="1" si="36"/>
        <v>0</v>
      </c>
      <c r="AD46" s="84" t="b">
        <f t="shared" si="43"/>
        <v>0</v>
      </c>
      <c r="AE46" s="84">
        <f t="shared" ref="AE46:AK55" si="65">IF($I46=AE$15,$H46,0)</f>
        <v>0</v>
      </c>
      <c r="AF46" s="84">
        <f t="shared" si="65"/>
        <v>0</v>
      </c>
      <c r="AG46" s="84">
        <f t="shared" si="65"/>
        <v>0</v>
      </c>
      <c r="AH46" s="84">
        <f t="shared" si="65"/>
        <v>0</v>
      </c>
      <c r="AI46" s="84">
        <f t="shared" si="65"/>
        <v>0</v>
      </c>
      <c r="AJ46" s="84">
        <f t="shared" si="65"/>
        <v>0</v>
      </c>
      <c r="AK46" s="84">
        <f t="shared" si="65"/>
        <v>0</v>
      </c>
      <c r="AL46" s="1315">
        <f t="shared" si="45"/>
        <v>0</v>
      </c>
      <c r="AM46" s="1315">
        <f t="shared" si="46"/>
        <v>0</v>
      </c>
      <c r="AN46" s="1315">
        <f t="shared" si="47"/>
        <v>0</v>
      </c>
      <c r="AO46" s="1315">
        <f t="shared" si="48"/>
        <v>0</v>
      </c>
      <c r="AP46" s="1315">
        <f t="shared" si="49"/>
        <v>0</v>
      </c>
      <c r="AQ46" s="1315">
        <f t="shared" si="50"/>
        <v>0</v>
      </c>
      <c r="AR46" s="1315">
        <f t="shared" si="51"/>
        <v>0</v>
      </c>
      <c r="AS46" s="84" t="b">
        <f t="shared" si="52"/>
        <v>0</v>
      </c>
      <c r="AT46" s="84">
        <f t="shared" si="53"/>
        <v>0</v>
      </c>
      <c r="AU46" s="1315">
        <f t="shared" si="54"/>
        <v>0</v>
      </c>
      <c r="AV46" s="84" t="b">
        <f t="shared" si="55"/>
        <v>0</v>
      </c>
      <c r="AW46" s="84">
        <f t="shared" si="56"/>
        <v>0</v>
      </c>
      <c r="AX46" s="1315">
        <f t="shared" si="21"/>
        <v>0</v>
      </c>
      <c r="AY46" s="84" t="b">
        <f t="shared" si="57"/>
        <v>0</v>
      </c>
      <c r="AZ46" s="84">
        <f t="shared" si="58"/>
        <v>0</v>
      </c>
      <c r="BA46" s="1315">
        <f t="shared" si="24"/>
        <v>0</v>
      </c>
      <c r="BB46" s="84" t="b">
        <f t="shared" si="25"/>
        <v>0</v>
      </c>
      <c r="BC46" s="84">
        <f t="shared" si="59"/>
        <v>0</v>
      </c>
      <c r="BD46" s="84" t="b">
        <f t="shared" si="27"/>
        <v>0</v>
      </c>
      <c r="BE46" s="84">
        <f t="shared" si="60"/>
        <v>0</v>
      </c>
      <c r="BF46" s="84" t="b">
        <f t="shared" si="61"/>
        <v>0</v>
      </c>
      <c r="BG46" s="84">
        <f t="shared" si="62"/>
        <v>0</v>
      </c>
      <c r="BH46" s="84">
        <f>IF(OR(I46='Dropdown Lists'!$I$3,'11. Unit Mix'!J46='Dropdown Lists'!$W$3),H46,0)</f>
        <v>0</v>
      </c>
      <c r="BI46" s="285"/>
      <c r="BJ46" s="285"/>
      <c r="BK46" s="285"/>
      <c r="BL46" s="285"/>
      <c r="BM46" s="285"/>
      <c r="BN46" s="285"/>
      <c r="BO46" s="285"/>
      <c r="BP46" s="285"/>
      <c r="BQ46" s="285"/>
      <c r="BR46" s="285"/>
      <c r="BS46" s="285"/>
      <c r="BT46" s="285"/>
      <c r="BU46" s="285"/>
      <c r="BV46" s="285"/>
      <c r="BW46" s="285"/>
      <c r="BX46" s="285"/>
      <c r="BY46" s="285"/>
      <c r="BZ46" s="285"/>
      <c r="CA46" s="285"/>
      <c r="CB46" s="1476"/>
      <c r="CC46" s="1476"/>
      <c r="CD46" s="1476"/>
      <c r="CE46" s="1476"/>
      <c r="CF46" s="1476"/>
      <c r="CG46" s="1476"/>
      <c r="CH46" s="1476"/>
      <c r="CI46" s="84"/>
    </row>
    <row r="47" spans="1:87">
      <c r="A47" s="345"/>
      <c r="B47" s="1714"/>
      <c r="C47" s="1482"/>
      <c r="D47" s="1482"/>
      <c r="E47" s="1483"/>
      <c r="F47" s="1484"/>
      <c r="G47" s="1483"/>
      <c r="H47" s="1483"/>
      <c r="I47" s="1485"/>
      <c r="J47" s="1483"/>
      <c r="K47" s="1486"/>
      <c r="L47" s="1487">
        <f t="shared" si="38"/>
        <v>0</v>
      </c>
      <c r="M47" s="1488" t="str">
        <f t="shared" si="37"/>
        <v/>
      </c>
      <c r="N47" s="1489">
        <f t="shared" si="32"/>
        <v>0</v>
      </c>
      <c r="O47" s="1489">
        <f t="shared" ca="1" si="33"/>
        <v>0</v>
      </c>
      <c r="P47" s="1490">
        <f t="shared" ca="1" si="34"/>
        <v>0</v>
      </c>
      <c r="Q47" s="1491"/>
      <c r="R47" s="1492">
        <f t="shared" si="39"/>
        <v>0</v>
      </c>
      <c r="S47" s="1489">
        <f t="shared" si="63"/>
        <v>0</v>
      </c>
      <c r="T47" s="1493">
        <f t="shared" si="3"/>
        <v>0</v>
      </c>
      <c r="U47" s="1490">
        <f t="shared" si="40"/>
        <v>0</v>
      </c>
      <c r="V47" s="1491"/>
      <c r="W47" s="1086"/>
      <c r="X47" s="1086"/>
      <c r="Y47" s="284"/>
      <c r="Z47" s="83"/>
      <c r="AA47" s="83">
        <f t="shared" si="41"/>
        <v>-10</v>
      </c>
      <c r="AB47" s="84">
        <f t="shared" si="42"/>
        <v>0</v>
      </c>
      <c r="AC47" s="84">
        <f t="shared" ca="1" si="36"/>
        <v>0</v>
      </c>
      <c r="AD47" s="84" t="b">
        <f t="shared" si="43"/>
        <v>0</v>
      </c>
      <c r="AE47" s="84">
        <f t="shared" si="65"/>
        <v>0</v>
      </c>
      <c r="AF47" s="84">
        <f t="shared" si="65"/>
        <v>0</v>
      </c>
      <c r="AG47" s="84">
        <f t="shared" si="65"/>
        <v>0</v>
      </c>
      <c r="AH47" s="84">
        <f t="shared" si="65"/>
        <v>0</v>
      </c>
      <c r="AI47" s="84">
        <f t="shared" si="65"/>
        <v>0</v>
      </c>
      <c r="AJ47" s="84">
        <f t="shared" si="65"/>
        <v>0</v>
      </c>
      <c r="AK47" s="84">
        <f t="shared" si="65"/>
        <v>0</v>
      </c>
      <c r="AL47" s="1315">
        <f t="shared" si="45"/>
        <v>0</v>
      </c>
      <c r="AM47" s="1315">
        <f t="shared" si="46"/>
        <v>0</v>
      </c>
      <c r="AN47" s="1315">
        <f t="shared" si="47"/>
        <v>0</v>
      </c>
      <c r="AO47" s="1315">
        <f t="shared" si="48"/>
        <v>0</v>
      </c>
      <c r="AP47" s="1315">
        <f t="shared" si="49"/>
        <v>0</v>
      </c>
      <c r="AQ47" s="1315">
        <f t="shared" si="50"/>
        <v>0</v>
      </c>
      <c r="AR47" s="1315">
        <f t="shared" si="51"/>
        <v>0</v>
      </c>
      <c r="AS47" s="84" t="b">
        <f t="shared" si="52"/>
        <v>0</v>
      </c>
      <c r="AT47" s="84">
        <f t="shared" si="53"/>
        <v>0</v>
      </c>
      <c r="AU47" s="1315">
        <f t="shared" si="54"/>
        <v>0</v>
      </c>
      <c r="AV47" s="84" t="b">
        <f t="shared" si="55"/>
        <v>0</v>
      </c>
      <c r="AW47" s="84">
        <f t="shared" si="56"/>
        <v>0</v>
      </c>
      <c r="AX47" s="1315">
        <f t="shared" si="21"/>
        <v>0</v>
      </c>
      <c r="AY47" s="84" t="b">
        <f t="shared" si="57"/>
        <v>0</v>
      </c>
      <c r="AZ47" s="84">
        <f t="shared" si="58"/>
        <v>0</v>
      </c>
      <c r="BA47" s="1315">
        <f t="shared" si="24"/>
        <v>0</v>
      </c>
      <c r="BB47" s="84" t="b">
        <f t="shared" si="25"/>
        <v>0</v>
      </c>
      <c r="BC47" s="84">
        <f t="shared" si="59"/>
        <v>0</v>
      </c>
      <c r="BD47" s="84" t="b">
        <f t="shared" si="27"/>
        <v>0</v>
      </c>
      <c r="BE47" s="84">
        <f t="shared" si="60"/>
        <v>0</v>
      </c>
      <c r="BF47" s="84" t="b">
        <f t="shared" si="61"/>
        <v>0</v>
      </c>
      <c r="BG47" s="84">
        <f t="shared" si="62"/>
        <v>0</v>
      </c>
      <c r="BH47" s="84">
        <f>IF(OR(I47='Dropdown Lists'!$I$3,'11. Unit Mix'!J47='Dropdown Lists'!$W$3),H47,0)</f>
        <v>0</v>
      </c>
      <c r="BI47" s="285"/>
      <c r="BJ47" s="285"/>
      <c r="BK47" s="285"/>
      <c r="BL47" s="285"/>
      <c r="BM47" s="285"/>
      <c r="BN47" s="285"/>
      <c r="BO47" s="285"/>
      <c r="BP47" s="285"/>
      <c r="BQ47" s="285"/>
      <c r="BR47" s="285"/>
      <c r="BS47" s="285"/>
      <c r="BT47" s="285"/>
      <c r="BU47" s="285"/>
      <c r="BV47" s="285"/>
      <c r="BW47" s="285"/>
      <c r="BX47" s="285"/>
      <c r="BY47" s="285"/>
      <c r="BZ47" s="285"/>
      <c r="CA47" s="285"/>
      <c r="CB47" s="1476"/>
      <c r="CC47" s="1476"/>
      <c r="CD47" s="1476"/>
      <c r="CE47" s="1476"/>
      <c r="CF47" s="1476"/>
      <c r="CG47" s="1476"/>
      <c r="CH47" s="1476"/>
      <c r="CI47" s="84"/>
    </row>
    <row r="48" spans="1:87">
      <c r="A48" s="239"/>
      <c r="B48" s="1714"/>
      <c r="C48" s="1482"/>
      <c r="D48" s="1482"/>
      <c r="E48" s="1483"/>
      <c r="F48" s="1484"/>
      <c r="G48" s="1483"/>
      <c r="H48" s="1483"/>
      <c r="I48" s="1485"/>
      <c r="J48" s="1483"/>
      <c r="K48" s="1486"/>
      <c r="L48" s="1487">
        <f t="shared" si="38"/>
        <v>0</v>
      </c>
      <c r="M48" s="1488" t="str">
        <f t="shared" si="37"/>
        <v/>
      </c>
      <c r="N48" s="1489">
        <f t="shared" si="32"/>
        <v>0</v>
      </c>
      <c r="O48" s="1489">
        <f t="shared" ca="1" si="33"/>
        <v>0</v>
      </c>
      <c r="P48" s="1490">
        <f t="shared" ca="1" si="34"/>
        <v>0</v>
      </c>
      <c r="Q48" s="1491"/>
      <c r="R48" s="1492">
        <f t="shared" si="39"/>
        <v>0</v>
      </c>
      <c r="S48" s="1489">
        <f t="shared" si="63"/>
        <v>0</v>
      </c>
      <c r="T48" s="1493">
        <f t="shared" ref="T48:T65" si="66">IF(SUM($H$16:$H$65)=0,0,H48/SUM($H$16:$H$65))</f>
        <v>0</v>
      </c>
      <c r="U48" s="1490">
        <f t="shared" si="40"/>
        <v>0</v>
      </c>
      <c r="V48" s="1491"/>
      <c r="W48" s="1086"/>
      <c r="X48" s="1086"/>
      <c r="Y48" s="284"/>
      <c r="Z48" s="83"/>
      <c r="AA48" s="83">
        <f t="shared" si="41"/>
        <v>-10</v>
      </c>
      <c r="AB48" s="84">
        <f t="shared" si="42"/>
        <v>0</v>
      </c>
      <c r="AC48" s="84">
        <f t="shared" ref="AC48:AC65" ca="1" si="67">IF(AA48&lt;0, 0, INDIRECT("RentLimits!"&amp;ADDRESS($AA$8, AA48+AB48)))</f>
        <v>0</v>
      </c>
      <c r="AD48" s="84" t="b">
        <f t="shared" ref="AD48:AD65" si="68">$J48="Low Income"</f>
        <v>0</v>
      </c>
      <c r="AE48" s="84">
        <f t="shared" si="65"/>
        <v>0</v>
      </c>
      <c r="AF48" s="84">
        <f t="shared" si="65"/>
        <v>0</v>
      </c>
      <c r="AG48" s="84">
        <f t="shared" si="65"/>
        <v>0</v>
      </c>
      <c r="AH48" s="84">
        <f t="shared" si="65"/>
        <v>0</v>
      </c>
      <c r="AI48" s="84">
        <f t="shared" si="65"/>
        <v>0</v>
      </c>
      <c r="AJ48" s="84">
        <f t="shared" si="65"/>
        <v>0</v>
      </c>
      <c r="AK48" s="84">
        <f t="shared" si="65"/>
        <v>0</v>
      </c>
      <c r="AL48" s="1315">
        <f t="shared" ref="AL48:AL65" si="69">AE48*$K48*12</f>
        <v>0</v>
      </c>
      <c r="AM48" s="1315">
        <f t="shared" ref="AM48:AM65" si="70">AF48*$K48*12</f>
        <v>0</v>
      </c>
      <c r="AN48" s="1315">
        <f t="shared" ref="AN48:AN65" si="71">AG48*$K48*12</f>
        <v>0</v>
      </c>
      <c r="AO48" s="1315">
        <f t="shared" ref="AO48:AO65" si="72">AH48*$K48*12</f>
        <v>0</v>
      </c>
      <c r="AP48" s="1315">
        <f t="shared" ref="AP48:AP65" si="73">AI48*$K48*12</f>
        <v>0</v>
      </c>
      <c r="AQ48" s="1315">
        <f t="shared" ref="AQ48:AQ65" si="74">AJ48*$K48*12</f>
        <v>0</v>
      </c>
      <c r="AR48" s="1315">
        <f t="shared" ref="AR48:AR65" si="75">AK48*$K48*12</f>
        <v>0</v>
      </c>
      <c r="AS48" s="84" t="b">
        <f t="shared" ref="AS48:AS65" si="76">$J48="Voucher"</f>
        <v>0</v>
      </c>
      <c r="AT48" s="84">
        <f t="shared" ref="AT48:AT65" si="77">IF(AS48,$H48,0)</f>
        <v>0</v>
      </c>
      <c r="AU48" s="1315">
        <f t="shared" si="54"/>
        <v>0</v>
      </c>
      <c r="AV48" s="84" t="b">
        <f t="shared" ref="AV48:AV65" si="78">$J48="HOME"</f>
        <v>0</v>
      </c>
      <c r="AW48" s="84">
        <f t="shared" ref="AW48:AW65" si="79">IF(AV48,$H48,0)</f>
        <v>0</v>
      </c>
      <c r="AX48" s="1315">
        <f t="shared" si="21"/>
        <v>0</v>
      </c>
      <c r="AY48" s="84" t="b">
        <f t="shared" ref="AY48:AY65" si="80">$J48="Employee"</f>
        <v>0</v>
      </c>
      <c r="AZ48" s="84">
        <f t="shared" ref="AZ48:AZ65" si="81">IF(AY48,$H48,0)</f>
        <v>0</v>
      </c>
      <c r="BA48" s="1315">
        <f t="shared" si="24"/>
        <v>0</v>
      </c>
      <c r="BB48" s="84" t="b">
        <f t="shared" si="25"/>
        <v>0</v>
      </c>
      <c r="BC48" s="84">
        <f t="shared" ref="BC48:BC65" si="82">IF(BB48,H48, 0)</f>
        <v>0</v>
      </c>
      <c r="BD48" s="84" t="b">
        <f t="shared" ref="BD48:BD65" si="83">C48="Single Family"</f>
        <v>0</v>
      </c>
      <c r="BE48" s="84">
        <f t="shared" si="60"/>
        <v>0</v>
      </c>
      <c r="BF48" s="84" t="b">
        <f t="shared" si="61"/>
        <v>0</v>
      </c>
      <c r="BG48" s="84">
        <f t="shared" ref="BG48:BG65" si="84">IF($BF48, $H48,0)</f>
        <v>0</v>
      </c>
      <c r="BH48" s="84">
        <f>IF(OR(I48='Dropdown Lists'!$I$3,'11. Unit Mix'!J48='Dropdown Lists'!$W$3),H48,0)</f>
        <v>0</v>
      </c>
      <c r="BI48" s="285"/>
      <c r="BJ48" s="285"/>
      <c r="BK48" s="285"/>
      <c r="BL48" s="285"/>
      <c r="BM48" s="285"/>
      <c r="BN48" s="285"/>
      <c r="BO48" s="285"/>
      <c r="BP48" s="285"/>
      <c r="BQ48" s="285"/>
      <c r="BR48" s="285"/>
      <c r="BS48" s="285"/>
      <c r="BT48" s="285"/>
      <c r="BU48" s="285"/>
      <c r="BV48" s="285"/>
      <c r="BW48" s="285"/>
      <c r="BX48" s="285"/>
      <c r="BY48" s="285"/>
      <c r="BZ48" s="285"/>
      <c r="CA48" s="285"/>
      <c r="CB48" s="1476"/>
      <c r="CC48" s="1476"/>
      <c r="CD48" s="1476"/>
      <c r="CE48" s="1476"/>
      <c r="CF48" s="1476"/>
      <c r="CG48" s="1476"/>
      <c r="CH48" s="1476"/>
      <c r="CI48" s="84"/>
    </row>
    <row r="49" spans="1:87">
      <c r="A49" s="239"/>
      <c r="B49" s="1714"/>
      <c r="C49" s="1482"/>
      <c r="D49" s="1482"/>
      <c r="E49" s="1483"/>
      <c r="F49" s="1484"/>
      <c r="G49" s="1483"/>
      <c r="H49" s="1483"/>
      <c r="I49" s="1485"/>
      <c r="J49" s="1483"/>
      <c r="K49" s="1486"/>
      <c r="L49" s="1487">
        <f t="shared" si="38"/>
        <v>0</v>
      </c>
      <c r="M49" s="1488" t="str">
        <f t="shared" si="37"/>
        <v/>
      </c>
      <c r="N49" s="1489">
        <f t="shared" si="32"/>
        <v>0</v>
      </c>
      <c r="O49" s="1489">
        <f t="shared" ca="1" si="33"/>
        <v>0</v>
      </c>
      <c r="P49" s="1490">
        <f t="shared" ca="1" si="34"/>
        <v>0</v>
      </c>
      <c r="Q49" s="1491"/>
      <c r="R49" s="1492">
        <f t="shared" si="39"/>
        <v>0</v>
      </c>
      <c r="S49" s="1489">
        <f t="shared" si="63"/>
        <v>0</v>
      </c>
      <c r="T49" s="1493">
        <f t="shared" si="66"/>
        <v>0</v>
      </c>
      <c r="U49" s="1490">
        <f t="shared" si="40"/>
        <v>0</v>
      </c>
      <c r="V49" s="1491"/>
      <c r="W49" s="1086"/>
      <c r="X49" s="1086"/>
      <c r="Y49" s="284"/>
      <c r="Z49" s="83"/>
      <c r="AA49" s="83">
        <f t="shared" si="41"/>
        <v>-10</v>
      </c>
      <c r="AB49" s="84">
        <f t="shared" si="42"/>
        <v>0</v>
      </c>
      <c r="AC49" s="84">
        <f t="shared" ca="1" si="67"/>
        <v>0</v>
      </c>
      <c r="AD49" s="84" t="b">
        <f t="shared" si="68"/>
        <v>0</v>
      </c>
      <c r="AE49" s="84">
        <f t="shared" si="65"/>
        <v>0</v>
      </c>
      <c r="AF49" s="84">
        <f t="shared" si="65"/>
        <v>0</v>
      </c>
      <c r="AG49" s="84">
        <f t="shared" si="65"/>
        <v>0</v>
      </c>
      <c r="AH49" s="84">
        <f t="shared" si="65"/>
        <v>0</v>
      </c>
      <c r="AI49" s="84">
        <f t="shared" si="65"/>
        <v>0</v>
      </c>
      <c r="AJ49" s="84">
        <f t="shared" si="65"/>
        <v>0</v>
      </c>
      <c r="AK49" s="84">
        <f t="shared" si="65"/>
        <v>0</v>
      </c>
      <c r="AL49" s="1315">
        <f t="shared" si="69"/>
        <v>0</v>
      </c>
      <c r="AM49" s="1315">
        <f t="shared" si="70"/>
        <v>0</v>
      </c>
      <c r="AN49" s="1315">
        <f t="shared" si="71"/>
        <v>0</v>
      </c>
      <c r="AO49" s="1315">
        <f t="shared" si="72"/>
        <v>0</v>
      </c>
      <c r="AP49" s="1315">
        <f t="shared" si="73"/>
        <v>0</v>
      </c>
      <c r="AQ49" s="1315">
        <f t="shared" si="74"/>
        <v>0</v>
      </c>
      <c r="AR49" s="1315">
        <f t="shared" si="75"/>
        <v>0</v>
      </c>
      <c r="AS49" s="84" t="b">
        <f t="shared" si="76"/>
        <v>0</v>
      </c>
      <c r="AT49" s="84">
        <f t="shared" si="77"/>
        <v>0</v>
      </c>
      <c r="AU49" s="1315">
        <f t="shared" si="54"/>
        <v>0</v>
      </c>
      <c r="AV49" s="84" t="b">
        <f t="shared" si="78"/>
        <v>0</v>
      </c>
      <c r="AW49" s="84">
        <f t="shared" si="79"/>
        <v>0</v>
      </c>
      <c r="AX49" s="1315">
        <f t="shared" si="21"/>
        <v>0</v>
      </c>
      <c r="AY49" s="84" t="b">
        <f t="shared" si="80"/>
        <v>0</v>
      </c>
      <c r="AZ49" s="84">
        <f t="shared" si="81"/>
        <v>0</v>
      </c>
      <c r="BA49" s="1315">
        <f t="shared" si="24"/>
        <v>0</v>
      </c>
      <c r="BB49" s="84" t="b">
        <f t="shared" si="25"/>
        <v>0</v>
      </c>
      <c r="BC49" s="84">
        <f t="shared" si="82"/>
        <v>0</v>
      </c>
      <c r="BD49" s="84" t="b">
        <f t="shared" si="83"/>
        <v>0</v>
      </c>
      <c r="BE49" s="84">
        <f t="shared" si="60"/>
        <v>0</v>
      </c>
      <c r="BF49" s="84" t="b">
        <f t="shared" si="61"/>
        <v>0</v>
      </c>
      <c r="BG49" s="84">
        <f t="shared" si="84"/>
        <v>0</v>
      </c>
      <c r="BH49" s="84">
        <f>IF(OR(I49='Dropdown Lists'!$I$3,'11. Unit Mix'!J49='Dropdown Lists'!$W$3),H49,0)</f>
        <v>0</v>
      </c>
      <c r="BI49" s="285"/>
      <c r="BJ49" s="285"/>
      <c r="BK49" s="285"/>
      <c r="BL49" s="285"/>
      <c r="BM49" s="285"/>
      <c r="BN49" s="285"/>
      <c r="BO49" s="285"/>
      <c r="BP49" s="285"/>
      <c r="BQ49" s="285"/>
      <c r="BR49" s="285"/>
      <c r="BS49" s="285"/>
      <c r="BT49" s="285"/>
      <c r="BU49" s="285"/>
      <c r="BV49" s="285"/>
      <c r="BW49" s="285"/>
      <c r="BX49" s="285"/>
      <c r="BY49" s="285"/>
      <c r="BZ49" s="285"/>
      <c r="CA49" s="285"/>
      <c r="CB49" s="1476"/>
      <c r="CC49" s="1476"/>
      <c r="CD49" s="1476"/>
      <c r="CE49" s="1476"/>
      <c r="CF49" s="1476"/>
      <c r="CG49" s="1476"/>
      <c r="CH49" s="1476"/>
      <c r="CI49" s="84"/>
    </row>
    <row r="50" spans="1:87">
      <c r="A50" s="239"/>
      <c r="B50" s="1714"/>
      <c r="C50" s="1482"/>
      <c r="D50" s="1482"/>
      <c r="E50" s="1483"/>
      <c r="F50" s="1484"/>
      <c r="G50" s="1483"/>
      <c r="H50" s="1483"/>
      <c r="I50" s="1485"/>
      <c r="J50" s="1483"/>
      <c r="K50" s="1486"/>
      <c r="L50" s="1487">
        <f t="shared" si="38"/>
        <v>0</v>
      </c>
      <c r="M50" s="1488" t="str">
        <f t="shared" si="37"/>
        <v/>
      </c>
      <c r="N50" s="1489">
        <f t="shared" si="32"/>
        <v>0</v>
      </c>
      <c r="O50" s="1489">
        <f t="shared" ca="1" si="33"/>
        <v>0</v>
      </c>
      <c r="P50" s="1490">
        <f t="shared" ca="1" si="34"/>
        <v>0</v>
      </c>
      <c r="Q50" s="1491"/>
      <c r="R50" s="1492">
        <f t="shared" si="39"/>
        <v>0</v>
      </c>
      <c r="S50" s="1489">
        <f t="shared" si="63"/>
        <v>0</v>
      </c>
      <c r="T50" s="1493">
        <f t="shared" si="66"/>
        <v>0</v>
      </c>
      <c r="U50" s="1490">
        <f t="shared" si="40"/>
        <v>0</v>
      </c>
      <c r="V50" s="1491"/>
      <c r="W50" s="1086"/>
      <c r="X50" s="1086"/>
      <c r="Y50" s="284"/>
      <c r="Z50" s="83"/>
      <c r="AA50" s="83">
        <f t="shared" si="41"/>
        <v>-10</v>
      </c>
      <c r="AB50" s="84">
        <f t="shared" si="42"/>
        <v>0</v>
      </c>
      <c r="AC50" s="84">
        <f t="shared" ca="1" si="67"/>
        <v>0</v>
      </c>
      <c r="AD50" s="84" t="b">
        <f t="shared" si="68"/>
        <v>0</v>
      </c>
      <c r="AE50" s="84">
        <f t="shared" si="65"/>
        <v>0</v>
      </c>
      <c r="AF50" s="84">
        <f t="shared" si="65"/>
        <v>0</v>
      </c>
      <c r="AG50" s="84">
        <f t="shared" si="65"/>
        <v>0</v>
      </c>
      <c r="AH50" s="84">
        <f t="shared" si="65"/>
        <v>0</v>
      </c>
      <c r="AI50" s="84">
        <f t="shared" si="65"/>
        <v>0</v>
      </c>
      <c r="AJ50" s="84">
        <f t="shared" si="65"/>
        <v>0</v>
      </c>
      <c r="AK50" s="84">
        <f t="shared" si="65"/>
        <v>0</v>
      </c>
      <c r="AL50" s="1315">
        <f t="shared" si="69"/>
        <v>0</v>
      </c>
      <c r="AM50" s="1315">
        <f t="shared" si="70"/>
        <v>0</v>
      </c>
      <c r="AN50" s="1315">
        <f t="shared" si="71"/>
        <v>0</v>
      </c>
      <c r="AO50" s="1315">
        <f t="shared" si="72"/>
        <v>0</v>
      </c>
      <c r="AP50" s="1315">
        <f t="shared" si="73"/>
        <v>0</v>
      </c>
      <c r="AQ50" s="1315">
        <f t="shared" si="74"/>
        <v>0</v>
      </c>
      <c r="AR50" s="1315">
        <f t="shared" si="75"/>
        <v>0</v>
      </c>
      <c r="AS50" s="84" t="b">
        <f t="shared" si="76"/>
        <v>0</v>
      </c>
      <c r="AT50" s="84">
        <f t="shared" si="77"/>
        <v>0</v>
      </c>
      <c r="AU50" s="1315">
        <f t="shared" si="54"/>
        <v>0</v>
      </c>
      <c r="AV50" s="84" t="b">
        <f t="shared" si="78"/>
        <v>0</v>
      </c>
      <c r="AW50" s="84">
        <f t="shared" si="79"/>
        <v>0</v>
      </c>
      <c r="AX50" s="1315">
        <f t="shared" si="21"/>
        <v>0</v>
      </c>
      <c r="AY50" s="84" t="b">
        <f t="shared" si="80"/>
        <v>0</v>
      </c>
      <c r="AZ50" s="84">
        <f t="shared" si="81"/>
        <v>0</v>
      </c>
      <c r="BA50" s="1315">
        <f t="shared" si="24"/>
        <v>0</v>
      </c>
      <c r="BB50" s="84" t="b">
        <f t="shared" si="25"/>
        <v>0</v>
      </c>
      <c r="BC50" s="84">
        <f t="shared" si="82"/>
        <v>0</v>
      </c>
      <c r="BD50" s="84" t="b">
        <f t="shared" si="83"/>
        <v>0</v>
      </c>
      <c r="BE50" s="84">
        <f t="shared" si="60"/>
        <v>0</v>
      </c>
      <c r="BF50" s="84" t="b">
        <f t="shared" si="61"/>
        <v>0</v>
      </c>
      <c r="BG50" s="84">
        <f t="shared" si="84"/>
        <v>0</v>
      </c>
      <c r="BH50" s="84">
        <f>IF(OR(I50='Dropdown Lists'!$I$3,'11. Unit Mix'!J50='Dropdown Lists'!$W$3),H50,0)</f>
        <v>0</v>
      </c>
      <c r="BI50" s="285"/>
      <c r="BJ50" s="285"/>
      <c r="BK50" s="285"/>
      <c r="BL50" s="285"/>
      <c r="BM50" s="285"/>
      <c r="BN50" s="285"/>
      <c r="BO50" s="285"/>
      <c r="BP50" s="285"/>
      <c r="BQ50" s="285"/>
      <c r="BR50" s="285"/>
      <c r="BS50" s="285"/>
      <c r="BT50" s="285"/>
      <c r="BU50" s="285"/>
      <c r="BV50" s="285"/>
      <c r="BW50" s="285"/>
      <c r="BX50" s="285"/>
      <c r="BY50" s="285"/>
      <c r="BZ50" s="285"/>
      <c r="CA50" s="285"/>
      <c r="CB50" s="1476"/>
      <c r="CC50" s="1476"/>
      <c r="CD50" s="1476"/>
      <c r="CE50" s="1476"/>
      <c r="CF50" s="1476"/>
      <c r="CG50" s="1476"/>
      <c r="CH50" s="1476"/>
      <c r="CI50" s="84"/>
    </row>
    <row r="51" spans="1:87">
      <c r="A51" s="239"/>
      <c r="B51" s="1714"/>
      <c r="C51" s="1482"/>
      <c r="D51" s="1482"/>
      <c r="E51" s="1483"/>
      <c r="F51" s="1484"/>
      <c r="G51" s="1483"/>
      <c r="H51" s="1483"/>
      <c r="I51" s="1485"/>
      <c r="J51" s="1483"/>
      <c r="K51" s="1486"/>
      <c r="L51" s="1487">
        <f t="shared" si="38"/>
        <v>0</v>
      </c>
      <c r="M51" s="1488" t="str">
        <f t="shared" si="37"/>
        <v/>
      </c>
      <c r="N51" s="1489">
        <f t="shared" si="32"/>
        <v>0</v>
      </c>
      <c r="O51" s="1489">
        <f t="shared" ca="1" si="33"/>
        <v>0</v>
      </c>
      <c r="P51" s="1490">
        <f t="shared" ca="1" si="34"/>
        <v>0</v>
      </c>
      <c r="Q51" s="1491"/>
      <c r="R51" s="1492">
        <f t="shared" si="39"/>
        <v>0</v>
      </c>
      <c r="S51" s="1489">
        <f t="shared" si="63"/>
        <v>0</v>
      </c>
      <c r="T51" s="1493">
        <f t="shared" si="66"/>
        <v>0</v>
      </c>
      <c r="U51" s="1490">
        <f t="shared" si="40"/>
        <v>0</v>
      </c>
      <c r="V51" s="1491"/>
      <c r="W51" s="1086"/>
      <c r="X51" s="1086"/>
      <c r="Y51" s="284"/>
      <c r="Z51" s="83"/>
      <c r="AA51" s="83">
        <f t="shared" si="41"/>
        <v>-10</v>
      </c>
      <c r="AB51" s="84">
        <f t="shared" si="42"/>
        <v>0</v>
      </c>
      <c r="AC51" s="84">
        <f t="shared" ca="1" si="67"/>
        <v>0</v>
      </c>
      <c r="AD51" s="84" t="b">
        <f t="shared" si="68"/>
        <v>0</v>
      </c>
      <c r="AE51" s="84">
        <f t="shared" si="65"/>
        <v>0</v>
      </c>
      <c r="AF51" s="84">
        <f t="shared" si="65"/>
        <v>0</v>
      </c>
      <c r="AG51" s="84">
        <f t="shared" si="65"/>
        <v>0</v>
      </c>
      <c r="AH51" s="84">
        <f t="shared" si="65"/>
        <v>0</v>
      </c>
      <c r="AI51" s="84">
        <f t="shared" si="65"/>
        <v>0</v>
      </c>
      <c r="AJ51" s="84">
        <f t="shared" si="65"/>
        <v>0</v>
      </c>
      <c r="AK51" s="84">
        <f t="shared" si="65"/>
        <v>0</v>
      </c>
      <c r="AL51" s="1315">
        <f t="shared" si="69"/>
        <v>0</v>
      </c>
      <c r="AM51" s="1315">
        <f t="shared" si="70"/>
        <v>0</v>
      </c>
      <c r="AN51" s="1315">
        <f t="shared" si="71"/>
        <v>0</v>
      </c>
      <c r="AO51" s="1315">
        <f t="shared" si="72"/>
        <v>0</v>
      </c>
      <c r="AP51" s="1315">
        <f t="shared" si="73"/>
        <v>0</v>
      </c>
      <c r="AQ51" s="1315">
        <f t="shared" si="74"/>
        <v>0</v>
      </c>
      <c r="AR51" s="1315">
        <f t="shared" si="75"/>
        <v>0</v>
      </c>
      <c r="AS51" s="84" t="b">
        <f t="shared" si="76"/>
        <v>0</v>
      </c>
      <c r="AT51" s="84">
        <f t="shared" si="77"/>
        <v>0</v>
      </c>
      <c r="AU51" s="1315">
        <f t="shared" si="54"/>
        <v>0</v>
      </c>
      <c r="AV51" s="84" t="b">
        <f t="shared" si="78"/>
        <v>0</v>
      </c>
      <c r="AW51" s="84">
        <f t="shared" si="79"/>
        <v>0</v>
      </c>
      <c r="AX51" s="1315">
        <f t="shared" si="21"/>
        <v>0</v>
      </c>
      <c r="AY51" s="84" t="b">
        <f t="shared" si="80"/>
        <v>0</v>
      </c>
      <c r="AZ51" s="84">
        <f t="shared" si="81"/>
        <v>0</v>
      </c>
      <c r="BA51" s="1315">
        <f t="shared" si="24"/>
        <v>0</v>
      </c>
      <c r="BB51" s="84" t="b">
        <f t="shared" si="25"/>
        <v>0</v>
      </c>
      <c r="BC51" s="84">
        <f t="shared" si="82"/>
        <v>0</v>
      </c>
      <c r="BD51" s="84" t="b">
        <f t="shared" si="83"/>
        <v>0</v>
      </c>
      <c r="BE51" s="84">
        <f t="shared" si="60"/>
        <v>0</v>
      </c>
      <c r="BF51" s="84" t="b">
        <f t="shared" si="61"/>
        <v>0</v>
      </c>
      <c r="BG51" s="84">
        <f t="shared" si="84"/>
        <v>0</v>
      </c>
      <c r="BH51" s="84">
        <f>IF(OR(I51='Dropdown Lists'!$I$3,'11. Unit Mix'!J51='Dropdown Lists'!$W$3),H51,0)</f>
        <v>0</v>
      </c>
      <c r="BI51" s="285"/>
      <c r="BJ51" s="285"/>
      <c r="BK51" s="285"/>
      <c r="BL51" s="285"/>
      <c r="BM51" s="285"/>
      <c r="BN51" s="285"/>
      <c r="BO51" s="285"/>
      <c r="BP51" s="285"/>
      <c r="BQ51" s="285"/>
      <c r="BR51" s="285"/>
      <c r="BS51" s="285"/>
      <c r="BT51" s="285"/>
      <c r="BU51" s="285"/>
      <c r="BV51" s="285"/>
      <c r="BW51" s="285"/>
      <c r="BX51" s="285"/>
      <c r="BY51" s="285"/>
      <c r="BZ51" s="285"/>
      <c r="CA51" s="285"/>
      <c r="CB51" s="1476"/>
      <c r="CC51" s="1476"/>
      <c r="CD51" s="1476"/>
      <c r="CE51" s="1476"/>
      <c r="CF51" s="1476"/>
      <c r="CG51" s="1476"/>
      <c r="CH51" s="1476"/>
      <c r="CI51" s="84"/>
    </row>
    <row r="52" spans="1:87">
      <c r="B52" s="1714"/>
      <c r="C52" s="1482"/>
      <c r="D52" s="1482"/>
      <c r="E52" s="1483"/>
      <c r="F52" s="1484"/>
      <c r="G52" s="1483"/>
      <c r="H52" s="1483"/>
      <c r="I52" s="1485"/>
      <c r="J52" s="1483"/>
      <c r="K52" s="1486"/>
      <c r="L52" s="1487">
        <f t="shared" si="38"/>
        <v>0</v>
      </c>
      <c r="M52" s="1488" t="str">
        <f t="shared" si="37"/>
        <v/>
      </c>
      <c r="N52" s="1489">
        <f t="shared" si="32"/>
        <v>0</v>
      </c>
      <c r="O52" s="1489">
        <f t="shared" ca="1" si="33"/>
        <v>0</v>
      </c>
      <c r="P52" s="1490">
        <f t="shared" ca="1" si="34"/>
        <v>0</v>
      </c>
      <c r="Q52" s="1491"/>
      <c r="R52" s="1492">
        <f t="shared" si="39"/>
        <v>0</v>
      </c>
      <c r="S52" s="1489">
        <f t="shared" si="63"/>
        <v>0</v>
      </c>
      <c r="T52" s="1493">
        <f t="shared" si="66"/>
        <v>0</v>
      </c>
      <c r="U52" s="1490">
        <f t="shared" si="40"/>
        <v>0</v>
      </c>
      <c r="V52" s="1491"/>
      <c r="W52" s="1086"/>
      <c r="X52" s="1086"/>
      <c r="Y52" s="284"/>
      <c r="Z52" s="83"/>
      <c r="AA52" s="83">
        <f t="shared" si="41"/>
        <v>-10</v>
      </c>
      <c r="AB52" s="84">
        <f t="shared" si="42"/>
        <v>0</v>
      </c>
      <c r="AC52" s="84">
        <f t="shared" ca="1" si="67"/>
        <v>0</v>
      </c>
      <c r="AD52" s="84" t="b">
        <f t="shared" si="68"/>
        <v>0</v>
      </c>
      <c r="AE52" s="84">
        <f t="shared" si="65"/>
        <v>0</v>
      </c>
      <c r="AF52" s="84">
        <f t="shared" si="65"/>
        <v>0</v>
      </c>
      <c r="AG52" s="84">
        <f t="shared" si="65"/>
        <v>0</v>
      </c>
      <c r="AH52" s="84">
        <f t="shared" si="65"/>
        <v>0</v>
      </c>
      <c r="AI52" s="84">
        <f t="shared" si="65"/>
        <v>0</v>
      </c>
      <c r="AJ52" s="84">
        <f t="shared" si="65"/>
        <v>0</v>
      </c>
      <c r="AK52" s="84">
        <f t="shared" si="65"/>
        <v>0</v>
      </c>
      <c r="AL52" s="1315">
        <f t="shared" si="69"/>
        <v>0</v>
      </c>
      <c r="AM52" s="1315">
        <f t="shared" si="70"/>
        <v>0</v>
      </c>
      <c r="AN52" s="1315">
        <f t="shared" si="71"/>
        <v>0</v>
      </c>
      <c r="AO52" s="1315">
        <f t="shared" si="72"/>
        <v>0</v>
      </c>
      <c r="AP52" s="1315">
        <f t="shared" si="73"/>
        <v>0</v>
      </c>
      <c r="AQ52" s="1315">
        <f t="shared" si="74"/>
        <v>0</v>
      </c>
      <c r="AR52" s="1315">
        <f t="shared" si="75"/>
        <v>0</v>
      </c>
      <c r="AS52" s="84" t="b">
        <f t="shared" si="76"/>
        <v>0</v>
      </c>
      <c r="AT52" s="84">
        <f t="shared" si="77"/>
        <v>0</v>
      </c>
      <c r="AU52" s="1315">
        <f t="shared" si="54"/>
        <v>0</v>
      </c>
      <c r="AV52" s="84" t="b">
        <f t="shared" si="78"/>
        <v>0</v>
      </c>
      <c r="AW52" s="84">
        <f t="shared" si="79"/>
        <v>0</v>
      </c>
      <c r="AX52" s="1315">
        <f t="shared" si="21"/>
        <v>0</v>
      </c>
      <c r="AY52" s="84" t="b">
        <f t="shared" si="80"/>
        <v>0</v>
      </c>
      <c r="AZ52" s="84">
        <f t="shared" si="81"/>
        <v>0</v>
      </c>
      <c r="BA52" s="1315">
        <f t="shared" si="24"/>
        <v>0</v>
      </c>
      <c r="BB52" s="84" t="b">
        <f t="shared" si="25"/>
        <v>0</v>
      </c>
      <c r="BC52" s="84">
        <f t="shared" si="82"/>
        <v>0</v>
      </c>
      <c r="BD52" s="84" t="b">
        <f t="shared" si="83"/>
        <v>0</v>
      </c>
      <c r="BE52" s="84">
        <f t="shared" si="60"/>
        <v>0</v>
      </c>
      <c r="BF52" s="84" t="b">
        <f t="shared" si="61"/>
        <v>0</v>
      </c>
      <c r="BG52" s="84">
        <f t="shared" si="84"/>
        <v>0</v>
      </c>
      <c r="BH52" s="84">
        <f>IF(OR(I52='Dropdown Lists'!$I$3,'11. Unit Mix'!J52='Dropdown Lists'!$W$3),H52,0)</f>
        <v>0</v>
      </c>
      <c r="BI52" s="285"/>
      <c r="BJ52" s="285"/>
      <c r="BK52" s="285"/>
      <c r="BL52" s="285"/>
      <c r="BM52" s="285"/>
      <c r="BN52" s="285"/>
      <c r="BO52" s="285"/>
      <c r="BP52" s="285"/>
      <c r="BQ52" s="285"/>
      <c r="BR52" s="285"/>
      <c r="BS52" s="285"/>
      <c r="BT52" s="285"/>
      <c r="BU52" s="285"/>
      <c r="BV52" s="285"/>
      <c r="BW52" s="285"/>
      <c r="BX52" s="285"/>
      <c r="BY52" s="285"/>
      <c r="BZ52" s="285"/>
      <c r="CA52" s="285"/>
      <c r="CB52" s="1476"/>
      <c r="CC52" s="1476"/>
      <c r="CD52" s="1476"/>
      <c r="CE52" s="1476"/>
      <c r="CF52" s="1476"/>
      <c r="CG52" s="1476"/>
      <c r="CH52" s="1476"/>
      <c r="CI52" s="84"/>
    </row>
    <row r="53" spans="1:87">
      <c r="B53" s="1714"/>
      <c r="C53" s="1482"/>
      <c r="D53" s="1482"/>
      <c r="E53" s="1483"/>
      <c r="F53" s="1484"/>
      <c r="G53" s="1483"/>
      <c r="H53" s="1483"/>
      <c r="I53" s="1485"/>
      <c r="J53" s="1483"/>
      <c r="K53" s="1486"/>
      <c r="L53" s="1487">
        <f t="shared" si="38"/>
        <v>0</v>
      </c>
      <c r="M53" s="1488" t="str">
        <f t="shared" si="37"/>
        <v/>
      </c>
      <c r="N53" s="1489">
        <f t="shared" si="32"/>
        <v>0</v>
      </c>
      <c r="O53" s="1489">
        <f t="shared" ca="1" si="33"/>
        <v>0</v>
      </c>
      <c r="P53" s="1490">
        <f t="shared" ca="1" si="34"/>
        <v>0</v>
      </c>
      <c r="Q53" s="1491"/>
      <c r="R53" s="1492">
        <f t="shared" si="39"/>
        <v>0</v>
      </c>
      <c r="S53" s="1489">
        <f t="shared" si="63"/>
        <v>0</v>
      </c>
      <c r="T53" s="1493">
        <f t="shared" si="66"/>
        <v>0</v>
      </c>
      <c r="U53" s="1490">
        <f t="shared" si="40"/>
        <v>0</v>
      </c>
      <c r="V53" s="1491"/>
      <c r="W53" s="1086"/>
      <c r="X53" s="1086"/>
      <c r="Y53" s="284"/>
      <c r="Z53" s="83"/>
      <c r="AA53" s="83">
        <f t="shared" si="41"/>
        <v>-10</v>
      </c>
      <c r="AB53" s="84">
        <f t="shared" si="42"/>
        <v>0</v>
      </c>
      <c r="AC53" s="84">
        <f t="shared" ca="1" si="67"/>
        <v>0</v>
      </c>
      <c r="AD53" s="84" t="b">
        <f t="shared" si="68"/>
        <v>0</v>
      </c>
      <c r="AE53" s="84">
        <f t="shared" si="65"/>
        <v>0</v>
      </c>
      <c r="AF53" s="84">
        <f t="shared" si="65"/>
        <v>0</v>
      </c>
      <c r="AG53" s="84">
        <f t="shared" si="65"/>
        <v>0</v>
      </c>
      <c r="AH53" s="84">
        <f t="shared" si="65"/>
        <v>0</v>
      </c>
      <c r="AI53" s="84">
        <f t="shared" si="65"/>
        <v>0</v>
      </c>
      <c r="AJ53" s="84">
        <f t="shared" si="65"/>
        <v>0</v>
      </c>
      <c r="AK53" s="84">
        <f t="shared" si="65"/>
        <v>0</v>
      </c>
      <c r="AL53" s="1315">
        <f t="shared" si="69"/>
        <v>0</v>
      </c>
      <c r="AM53" s="1315">
        <f t="shared" si="70"/>
        <v>0</v>
      </c>
      <c r="AN53" s="1315">
        <f t="shared" si="71"/>
        <v>0</v>
      </c>
      <c r="AO53" s="1315">
        <f t="shared" si="72"/>
        <v>0</v>
      </c>
      <c r="AP53" s="1315">
        <f t="shared" si="73"/>
        <v>0</v>
      </c>
      <c r="AQ53" s="1315">
        <f t="shared" si="74"/>
        <v>0</v>
      </c>
      <c r="AR53" s="1315">
        <f t="shared" si="75"/>
        <v>0</v>
      </c>
      <c r="AS53" s="84" t="b">
        <f t="shared" si="76"/>
        <v>0</v>
      </c>
      <c r="AT53" s="84">
        <f t="shared" si="77"/>
        <v>0</v>
      </c>
      <c r="AU53" s="1315">
        <f t="shared" si="54"/>
        <v>0</v>
      </c>
      <c r="AV53" s="84" t="b">
        <f t="shared" si="78"/>
        <v>0</v>
      </c>
      <c r="AW53" s="84">
        <f t="shared" si="79"/>
        <v>0</v>
      </c>
      <c r="AX53" s="1315">
        <f t="shared" si="21"/>
        <v>0</v>
      </c>
      <c r="AY53" s="84" t="b">
        <f t="shared" si="80"/>
        <v>0</v>
      </c>
      <c r="AZ53" s="84">
        <f t="shared" si="81"/>
        <v>0</v>
      </c>
      <c r="BA53" s="1315">
        <f t="shared" si="24"/>
        <v>0</v>
      </c>
      <c r="BB53" s="84" t="b">
        <f t="shared" si="25"/>
        <v>0</v>
      </c>
      <c r="BC53" s="84">
        <f t="shared" si="82"/>
        <v>0</v>
      </c>
      <c r="BD53" s="84" t="b">
        <f t="shared" si="83"/>
        <v>0</v>
      </c>
      <c r="BE53" s="84">
        <f t="shared" si="60"/>
        <v>0</v>
      </c>
      <c r="BF53" s="84" t="b">
        <f t="shared" si="61"/>
        <v>0</v>
      </c>
      <c r="BG53" s="84">
        <f t="shared" si="84"/>
        <v>0</v>
      </c>
      <c r="BH53" s="84">
        <f>IF(OR(I53='Dropdown Lists'!$I$3,'11. Unit Mix'!J53='Dropdown Lists'!$W$3),H53,0)</f>
        <v>0</v>
      </c>
      <c r="BI53" s="285"/>
      <c r="BJ53" s="285"/>
      <c r="BK53" s="285"/>
      <c r="BL53" s="285"/>
      <c r="BM53" s="285"/>
      <c r="BN53" s="285"/>
      <c r="BO53" s="285"/>
      <c r="BP53" s="285"/>
      <c r="BQ53" s="285"/>
      <c r="BR53" s="285"/>
      <c r="BS53" s="285"/>
      <c r="BT53" s="285"/>
      <c r="BU53" s="285"/>
      <c r="BV53" s="285"/>
      <c r="BW53" s="285"/>
      <c r="BX53" s="285"/>
      <c r="BY53" s="285"/>
      <c r="BZ53" s="285"/>
      <c r="CA53" s="285"/>
      <c r="CB53" s="1476"/>
      <c r="CC53" s="1476"/>
      <c r="CD53" s="1476"/>
      <c r="CE53" s="1476"/>
      <c r="CF53" s="1476"/>
      <c r="CG53" s="1476"/>
      <c r="CH53" s="1476"/>
      <c r="CI53" s="84"/>
    </row>
    <row r="54" spans="1:87">
      <c r="B54" s="1714"/>
      <c r="C54" s="1482"/>
      <c r="D54" s="1482"/>
      <c r="E54" s="1483"/>
      <c r="F54" s="1484"/>
      <c r="G54" s="1483"/>
      <c r="H54" s="1483"/>
      <c r="I54" s="1485"/>
      <c r="J54" s="1483"/>
      <c r="K54" s="1486"/>
      <c r="L54" s="1487">
        <f t="shared" si="38"/>
        <v>0</v>
      </c>
      <c r="M54" s="1488" t="str">
        <f t="shared" si="37"/>
        <v/>
      </c>
      <c r="N54" s="1489">
        <f t="shared" si="32"/>
        <v>0</v>
      </c>
      <c r="O54" s="1489">
        <f t="shared" ca="1" si="33"/>
        <v>0</v>
      </c>
      <c r="P54" s="1490">
        <f t="shared" ca="1" si="34"/>
        <v>0</v>
      </c>
      <c r="Q54" s="1491"/>
      <c r="R54" s="1492">
        <f t="shared" si="39"/>
        <v>0</v>
      </c>
      <c r="S54" s="1489">
        <f t="shared" si="63"/>
        <v>0</v>
      </c>
      <c r="T54" s="1493">
        <f t="shared" si="66"/>
        <v>0</v>
      </c>
      <c r="U54" s="1490">
        <f t="shared" si="40"/>
        <v>0</v>
      </c>
      <c r="V54" s="1491"/>
      <c r="W54" s="1086"/>
      <c r="X54" s="1086"/>
      <c r="Y54" s="284"/>
      <c r="Z54" s="83"/>
      <c r="AA54" s="83">
        <f t="shared" si="41"/>
        <v>-10</v>
      </c>
      <c r="AB54" s="84">
        <f t="shared" si="42"/>
        <v>0</v>
      </c>
      <c r="AC54" s="84">
        <f t="shared" ca="1" si="67"/>
        <v>0</v>
      </c>
      <c r="AD54" s="84" t="b">
        <f t="shared" si="68"/>
        <v>0</v>
      </c>
      <c r="AE54" s="84">
        <f t="shared" si="65"/>
        <v>0</v>
      </c>
      <c r="AF54" s="84">
        <f t="shared" si="65"/>
        <v>0</v>
      </c>
      <c r="AG54" s="84">
        <f t="shared" si="65"/>
        <v>0</v>
      </c>
      <c r="AH54" s="84">
        <f t="shared" si="65"/>
        <v>0</v>
      </c>
      <c r="AI54" s="84">
        <f t="shared" si="65"/>
        <v>0</v>
      </c>
      <c r="AJ54" s="84">
        <f t="shared" si="65"/>
        <v>0</v>
      </c>
      <c r="AK54" s="84">
        <f t="shared" si="65"/>
        <v>0</v>
      </c>
      <c r="AL54" s="1315">
        <f t="shared" si="69"/>
        <v>0</v>
      </c>
      <c r="AM54" s="1315">
        <f t="shared" si="70"/>
        <v>0</v>
      </c>
      <c r="AN54" s="1315">
        <f t="shared" si="71"/>
        <v>0</v>
      </c>
      <c r="AO54" s="1315">
        <f t="shared" si="72"/>
        <v>0</v>
      </c>
      <c r="AP54" s="1315">
        <f t="shared" si="73"/>
        <v>0</v>
      </c>
      <c r="AQ54" s="1315">
        <f t="shared" si="74"/>
        <v>0</v>
      </c>
      <c r="AR54" s="1315">
        <f t="shared" si="75"/>
        <v>0</v>
      </c>
      <c r="AS54" s="84" t="b">
        <f t="shared" si="76"/>
        <v>0</v>
      </c>
      <c r="AT54" s="84">
        <f t="shared" si="77"/>
        <v>0</v>
      </c>
      <c r="AU54" s="1315">
        <f t="shared" si="54"/>
        <v>0</v>
      </c>
      <c r="AV54" s="84" t="b">
        <f t="shared" si="78"/>
        <v>0</v>
      </c>
      <c r="AW54" s="84">
        <f t="shared" si="79"/>
        <v>0</v>
      </c>
      <c r="AX54" s="1315">
        <f t="shared" si="21"/>
        <v>0</v>
      </c>
      <c r="AY54" s="84" t="b">
        <f t="shared" si="80"/>
        <v>0</v>
      </c>
      <c r="AZ54" s="84">
        <f t="shared" si="81"/>
        <v>0</v>
      </c>
      <c r="BA54" s="1315">
        <f t="shared" si="24"/>
        <v>0</v>
      </c>
      <c r="BB54" s="84" t="b">
        <f t="shared" si="25"/>
        <v>0</v>
      </c>
      <c r="BC54" s="84">
        <f t="shared" si="82"/>
        <v>0</v>
      </c>
      <c r="BD54" s="84" t="b">
        <f t="shared" si="83"/>
        <v>0</v>
      </c>
      <c r="BE54" s="84">
        <f t="shared" si="60"/>
        <v>0</v>
      </c>
      <c r="BF54" s="84" t="b">
        <f t="shared" si="61"/>
        <v>0</v>
      </c>
      <c r="BG54" s="84">
        <f t="shared" si="84"/>
        <v>0</v>
      </c>
      <c r="BH54" s="84">
        <f>IF(OR(I54='Dropdown Lists'!$I$3,'11. Unit Mix'!J54='Dropdown Lists'!$W$3),H54,0)</f>
        <v>0</v>
      </c>
      <c r="BI54" s="285"/>
      <c r="BJ54" s="285"/>
      <c r="BK54" s="285"/>
      <c r="BL54" s="285"/>
      <c r="BM54" s="285"/>
      <c r="BN54" s="285"/>
      <c r="BO54" s="285"/>
      <c r="BP54" s="285"/>
      <c r="BQ54" s="285"/>
      <c r="BR54" s="285"/>
      <c r="BS54" s="285"/>
      <c r="BT54" s="285"/>
      <c r="BU54" s="285"/>
      <c r="BV54" s="285"/>
      <c r="BW54" s="285"/>
      <c r="BX54" s="285"/>
      <c r="BY54" s="285"/>
      <c r="BZ54" s="285"/>
      <c r="CA54" s="285"/>
      <c r="CB54" s="1476"/>
      <c r="CC54" s="1476"/>
      <c r="CD54" s="1476"/>
      <c r="CE54" s="1476"/>
      <c r="CF54" s="1476"/>
      <c r="CG54" s="1476"/>
      <c r="CH54" s="1476"/>
      <c r="CI54" s="84"/>
    </row>
    <row r="55" spans="1:87">
      <c r="B55" s="1714"/>
      <c r="C55" s="1482"/>
      <c r="D55" s="1482"/>
      <c r="E55" s="1483"/>
      <c r="F55" s="1484"/>
      <c r="G55" s="1483"/>
      <c r="H55" s="1483"/>
      <c r="I55" s="1485"/>
      <c r="J55" s="1483"/>
      <c r="K55" s="1486"/>
      <c r="L55" s="1487">
        <f t="shared" si="38"/>
        <v>0</v>
      </c>
      <c r="M55" s="1488" t="str">
        <f t="shared" si="37"/>
        <v/>
      </c>
      <c r="N55" s="1489">
        <f t="shared" si="32"/>
        <v>0</v>
      </c>
      <c r="O55" s="1489">
        <f t="shared" ca="1" si="33"/>
        <v>0</v>
      </c>
      <c r="P55" s="1490">
        <f t="shared" ca="1" si="34"/>
        <v>0</v>
      </c>
      <c r="Q55" s="1491"/>
      <c r="R55" s="1492">
        <f t="shared" si="39"/>
        <v>0</v>
      </c>
      <c r="S55" s="1489">
        <f t="shared" si="63"/>
        <v>0</v>
      </c>
      <c r="T55" s="1493">
        <f t="shared" si="66"/>
        <v>0</v>
      </c>
      <c r="U55" s="1490">
        <f t="shared" si="40"/>
        <v>0</v>
      </c>
      <c r="V55" s="1491"/>
      <c r="W55" s="1086"/>
      <c r="X55" s="1086"/>
      <c r="Y55" s="284"/>
      <c r="Z55" s="83"/>
      <c r="AA55" s="83">
        <f t="shared" si="41"/>
        <v>-10</v>
      </c>
      <c r="AB55" s="84">
        <f t="shared" si="42"/>
        <v>0</v>
      </c>
      <c r="AC55" s="84">
        <f t="shared" ca="1" si="67"/>
        <v>0</v>
      </c>
      <c r="AD55" s="84" t="b">
        <f t="shared" si="68"/>
        <v>0</v>
      </c>
      <c r="AE55" s="84">
        <f t="shared" si="65"/>
        <v>0</v>
      </c>
      <c r="AF55" s="84">
        <f t="shared" si="65"/>
        <v>0</v>
      </c>
      <c r="AG55" s="84">
        <f t="shared" si="65"/>
        <v>0</v>
      </c>
      <c r="AH55" s="84">
        <f t="shared" si="65"/>
        <v>0</v>
      </c>
      <c r="AI55" s="84">
        <f t="shared" si="65"/>
        <v>0</v>
      </c>
      <c r="AJ55" s="84">
        <f t="shared" si="65"/>
        <v>0</v>
      </c>
      <c r="AK55" s="84">
        <f t="shared" si="65"/>
        <v>0</v>
      </c>
      <c r="AL55" s="1315">
        <f t="shared" si="69"/>
        <v>0</v>
      </c>
      <c r="AM55" s="1315">
        <f t="shared" si="70"/>
        <v>0</v>
      </c>
      <c r="AN55" s="1315">
        <f t="shared" si="71"/>
        <v>0</v>
      </c>
      <c r="AO55" s="1315">
        <f t="shared" si="72"/>
        <v>0</v>
      </c>
      <c r="AP55" s="1315">
        <f t="shared" si="73"/>
        <v>0</v>
      </c>
      <c r="AQ55" s="1315">
        <f t="shared" si="74"/>
        <v>0</v>
      </c>
      <c r="AR55" s="1315">
        <f t="shared" si="75"/>
        <v>0</v>
      </c>
      <c r="AS55" s="84" t="b">
        <f t="shared" si="76"/>
        <v>0</v>
      </c>
      <c r="AT55" s="84">
        <f t="shared" si="77"/>
        <v>0</v>
      </c>
      <c r="AU55" s="1315">
        <f t="shared" si="54"/>
        <v>0</v>
      </c>
      <c r="AV55" s="84" t="b">
        <f t="shared" si="78"/>
        <v>0</v>
      </c>
      <c r="AW55" s="84">
        <f t="shared" si="79"/>
        <v>0</v>
      </c>
      <c r="AX55" s="1315">
        <f t="shared" si="21"/>
        <v>0</v>
      </c>
      <c r="AY55" s="84" t="b">
        <f t="shared" si="80"/>
        <v>0</v>
      </c>
      <c r="AZ55" s="84">
        <f t="shared" si="81"/>
        <v>0</v>
      </c>
      <c r="BA55" s="1315">
        <f t="shared" si="24"/>
        <v>0</v>
      </c>
      <c r="BB55" s="84" t="b">
        <f t="shared" si="25"/>
        <v>0</v>
      </c>
      <c r="BC55" s="84">
        <f t="shared" si="82"/>
        <v>0</v>
      </c>
      <c r="BD55" s="84" t="b">
        <f t="shared" si="83"/>
        <v>0</v>
      </c>
      <c r="BE55" s="84">
        <f t="shared" si="60"/>
        <v>0</v>
      </c>
      <c r="BF55" s="84" t="b">
        <f t="shared" si="61"/>
        <v>0</v>
      </c>
      <c r="BG55" s="84">
        <f t="shared" si="84"/>
        <v>0</v>
      </c>
      <c r="BH55" s="84">
        <f>IF(OR(I55='Dropdown Lists'!$I$3,'11. Unit Mix'!J55='Dropdown Lists'!$W$3),H55,0)</f>
        <v>0</v>
      </c>
      <c r="BI55" s="285"/>
      <c r="BJ55" s="285"/>
      <c r="BK55" s="285"/>
      <c r="BL55" s="285"/>
      <c r="BM55" s="285"/>
      <c r="BN55" s="285"/>
      <c r="BO55" s="285"/>
      <c r="BP55" s="285"/>
      <c r="BQ55" s="285"/>
      <c r="BR55" s="285"/>
      <c r="BS55" s="285"/>
      <c r="BT55" s="285"/>
      <c r="BU55" s="285"/>
      <c r="BV55" s="285"/>
      <c r="BW55" s="285"/>
      <c r="BX55" s="285"/>
      <c r="BY55" s="285"/>
      <c r="BZ55" s="285"/>
      <c r="CA55" s="285"/>
      <c r="CB55" s="1476"/>
      <c r="CC55" s="1476"/>
      <c r="CD55" s="1476"/>
      <c r="CE55" s="1476"/>
      <c r="CF55" s="1476"/>
      <c r="CG55" s="1476"/>
      <c r="CH55" s="1476"/>
      <c r="CI55" s="84"/>
    </row>
    <row r="56" spans="1:87">
      <c r="B56" s="1714"/>
      <c r="C56" s="1482"/>
      <c r="D56" s="1482"/>
      <c r="E56" s="1483"/>
      <c r="F56" s="1484"/>
      <c r="G56" s="1483"/>
      <c r="H56" s="1483"/>
      <c r="I56" s="1485"/>
      <c r="J56" s="1483"/>
      <c r="K56" s="1486"/>
      <c r="L56" s="1487">
        <f t="shared" si="38"/>
        <v>0</v>
      </c>
      <c r="M56" s="1488" t="str">
        <f t="shared" si="37"/>
        <v/>
      </c>
      <c r="N56" s="1489">
        <f t="shared" si="32"/>
        <v>0</v>
      </c>
      <c r="O56" s="1489">
        <f t="shared" ca="1" si="33"/>
        <v>0</v>
      </c>
      <c r="P56" s="1490">
        <f t="shared" ca="1" si="34"/>
        <v>0</v>
      </c>
      <c r="Q56" s="1491"/>
      <c r="R56" s="1492">
        <f t="shared" si="39"/>
        <v>0</v>
      </c>
      <c r="S56" s="1489">
        <f t="shared" si="63"/>
        <v>0</v>
      </c>
      <c r="T56" s="1493">
        <f t="shared" si="66"/>
        <v>0</v>
      </c>
      <c r="U56" s="1490">
        <f t="shared" si="40"/>
        <v>0</v>
      </c>
      <c r="V56" s="1491"/>
      <c r="W56" s="1086"/>
      <c r="X56" s="1086"/>
      <c r="Y56" s="284"/>
      <c r="Z56" s="83"/>
      <c r="AA56" s="83">
        <f t="shared" si="41"/>
        <v>-10</v>
      </c>
      <c r="AB56" s="84">
        <f t="shared" si="42"/>
        <v>0</v>
      </c>
      <c r="AC56" s="84">
        <f t="shared" ca="1" si="67"/>
        <v>0</v>
      </c>
      <c r="AD56" s="84" t="b">
        <f t="shared" si="68"/>
        <v>0</v>
      </c>
      <c r="AE56" s="84">
        <f t="shared" ref="AE56:AK65" si="85">IF($I56=AE$15,$H56,0)</f>
        <v>0</v>
      </c>
      <c r="AF56" s="84">
        <f t="shared" si="85"/>
        <v>0</v>
      </c>
      <c r="AG56" s="84">
        <f t="shared" si="85"/>
        <v>0</v>
      </c>
      <c r="AH56" s="84">
        <f t="shared" si="85"/>
        <v>0</v>
      </c>
      <c r="AI56" s="84">
        <f t="shared" si="85"/>
        <v>0</v>
      </c>
      <c r="AJ56" s="84">
        <f t="shared" si="85"/>
        <v>0</v>
      </c>
      <c r="AK56" s="84">
        <f t="shared" si="85"/>
        <v>0</v>
      </c>
      <c r="AL56" s="1315">
        <f t="shared" si="69"/>
        <v>0</v>
      </c>
      <c r="AM56" s="1315">
        <f t="shared" si="70"/>
        <v>0</v>
      </c>
      <c r="AN56" s="1315">
        <f t="shared" si="71"/>
        <v>0</v>
      </c>
      <c r="AO56" s="1315">
        <f t="shared" si="72"/>
        <v>0</v>
      </c>
      <c r="AP56" s="1315">
        <f t="shared" si="73"/>
        <v>0</v>
      </c>
      <c r="AQ56" s="1315">
        <f t="shared" si="74"/>
        <v>0</v>
      </c>
      <c r="AR56" s="1315">
        <f t="shared" si="75"/>
        <v>0</v>
      </c>
      <c r="AS56" s="84" t="b">
        <f t="shared" si="76"/>
        <v>0</v>
      </c>
      <c r="AT56" s="84">
        <f t="shared" si="77"/>
        <v>0</v>
      </c>
      <c r="AU56" s="1315">
        <f t="shared" si="54"/>
        <v>0</v>
      </c>
      <c r="AV56" s="84" t="b">
        <f t="shared" si="78"/>
        <v>0</v>
      </c>
      <c r="AW56" s="84">
        <f t="shared" si="79"/>
        <v>0</v>
      </c>
      <c r="AX56" s="1315">
        <f t="shared" si="21"/>
        <v>0</v>
      </c>
      <c r="AY56" s="84" t="b">
        <f t="shared" si="80"/>
        <v>0</v>
      </c>
      <c r="AZ56" s="84">
        <f t="shared" si="81"/>
        <v>0</v>
      </c>
      <c r="BA56" s="1315">
        <f t="shared" si="24"/>
        <v>0</v>
      </c>
      <c r="BB56" s="84" t="b">
        <f t="shared" si="25"/>
        <v>0</v>
      </c>
      <c r="BC56" s="84">
        <f t="shared" si="82"/>
        <v>0</v>
      </c>
      <c r="BD56" s="84" t="b">
        <f t="shared" si="83"/>
        <v>0</v>
      </c>
      <c r="BE56" s="84">
        <f t="shared" si="60"/>
        <v>0</v>
      </c>
      <c r="BF56" s="84" t="b">
        <f t="shared" si="61"/>
        <v>0</v>
      </c>
      <c r="BG56" s="84">
        <f t="shared" si="84"/>
        <v>0</v>
      </c>
      <c r="BH56" s="84">
        <f>IF(OR(I56='Dropdown Lists'!$I$3,'11. Unit Mix'!J56='Dropdown Lists'!$W$3),H56,0)</f>
        <v>0</v>
      </c>
      <c r="BI56" s="285"/>
      <c r="BJ56" s="285"/>
      <c r="BK56" s="285"/>
      <c r="BL56" s="285"/>
      <c r="BM56" s="285"/>
      <c r="BN56" s="285"/>
      <c r="BO56" s="285"/>
      <c r="BP56" s="285"/>
      <c r="BQ56" s="285"/>
      <c r="BR56" s="285"/>
      <c r="BS56" s="285"/>
      <c r="BT56" s="285"/>
      <c r="BU56" s="285"/>
      <c r="BV56" s="285"/>
      <c r="BW56" s="285"/>
      <c r="BX56" s="285"/>
      <c r="BY56" s="285"/>
      <c r="BZ56" s="285"/>
      <c r="CA56" s="285"/>
      <c r="CB56" s="1476"/>
      <c r="CC56" s="1476"/>
      <c r="CD56" s="1476"/>
      <c r="CE56" s="1476"/>
      <c r="CF56" s="1476"/>
      <c r="CG56" s="1476"/>
      <c r="CH56" s="1476"/>
      <c r="CI56" s="84"/>
    </row>
    <row r="57" spans="1:87">
      <c r="B57" s="1714"/>
      <c r="C57" s="1482"/>
      <c r="D57" s="1482"/>
      <c r="E57" s="1483"/>
      <c r="F57" s="1484"/>
      <c r="G57" s="1483"/>
      <c r="H57" s="1483"/>
      <c r="I57" s="1485"/>
      <c r="J57" s="1483"/>
      <c r="K57" s="1486"/>
      <c r="L57" s="1487">
        <f t="shared" si="38"/>
        <v>0</v>
      </c>
      <c r="M57" s="1488" t="str">
        <f t="shared" si="37"/>
        <v/>
      </c>
      <c r="N57" s="1489">
        <f t="shared" si="32"/>
        <v>0</v>
      </c>
      <c r="O57" s="1489">
        <f t="shared" ca="1" si="33"/>
        <v>0</v>
      </c>
      <c r="P57" s="1490">
        <f t="shared" ca="1" si="34"/>
        <v>0</v>
      </c>
      <c r="Q57" s="1491"/>
      <c r="R57" s="1492">
        <f t="shared" si="39"/>
        <v>0</v>
      </c>
      <c r="S57" s="1489">
        <f t="shared" si="63"/>
        <v>0</v>
      </c>
      <c r="T57" s="1493">
        <f t="shared" si="66"/>
        <v>0</v>
      </c>
      <c r="U57" s="1490">
        <f t="shared" si="40"/>
        <v>0</v>
      </c>
      <c r="V57" s="1491"/>
      <c r="W57" s="1086"/>
      <c r="X57" s="1086"/>
      <c r="Y57" s="284"/>
      <c r="Z57" s="83"/>
      <c r="AA57" s="83">
        <f t="shared" si="41"/>
        <v>-10</v>
      </c>
      <c r="AB57" s="84">
        <f t="shared" si="42"/>
        <v>0</v>
      </c>
      <c r="AC57" s="84">
        <f t="shared" ca="1" si="67"/>
        <v>0</v>
      </c>
      <c r="AD57" s="84" t="b">
        <f t="shared" si="68"/>
        <v>0</v>
      </c>
      <c r="AE57" s="84">
        <f t="shared" si="85"/>
        <v>0</v>
      </c>
      <c r="AF57" s="84">
        <f t="shared" si="85"/>
        <v>0</v>
      </c>
      <c r="AG57" s="84">
        <f t="shared" si="85"/>
        <v>0</v>
      </c>
      <c r="AH57" s="84">
        <f t="shared" si="85"/>
        <v>0</v>
      </c>
      <c r="AI57" s="84">
        <f t="shared" si="85"/>
        <v>0</v>
      </c>
      <c r="AJ57" s="84">
        <f t="shared" si="85"/>
        <v>0</v>
      </c>
      <c r="AK57" s="84">
        <f t="shared" si="85"/>
        <v>0</v>
      </c>
      <c r="AL57" s="1315">
        <f t="shared" si="69"/>
        <v>0</v>
      </c>
      <c r="AM57" s="1315">
        <f t="shared" si="70"/>
        <v>0</v>
      </c>
      <c r="AN57" s="1315">
        <f t="shared" si="71"/>
        <v>0</v>
      </c>
      <c r="AO57" s="1315">
        <f t="shared" si="72"/>
        <v>0</v>
      </c>
      <c r="AP57" s="1315">
        <f t="shared" si="73"/>
        <v>0</v>
      </c>
      <c r="AQ57" s="1315">
        <f t="shared" si="74"/>
        <v>0</v>
      </c>
      <c r="AR57" s="1315">
        <f t="shared" si="75"/>
        <v>0</v>
      </c>
      <c r="AS57" s="84" t="b">
        <f t="shared" si="76"/>
        <v>0</v>
      </c>
      <c r="AT57" s="84">
        <f t="shared" si="77"/>
        <v>0</v>
      </c>
      <c r="AU57" s="1315">
        <f t="shared" si="54"/>
        <v>0</v>
      </c>
      <c r="AV57" s="84" t="b">
        <f t="shared" si="78"/>
        <v>0</v>
      </c>
      <c r="AW57" s="84">
        <f t="shared" si="79"/>
        <v>0</v>
      </c>
      <c r="AX57" s="1315">
        <f t="shared" si="21"/>
        <v>0</v>
      </c>
      <c r="AY57" s="84" t="b">
        <f t="shared" si="80"/>
        <v>0</v>
      </c>
      <c r="AZ57" s="84">
        <f t="shared" si="81"/>
        <v>0</v>
      </c>
      <c r="BA57" s="1315">
        <f t="shared" si="24"/>
        <v>0</v>
      </c>
      <c r="BB57" s="84" t="b">
        <f t="shared" si="25"/>
        <v>0</v>
      </c>
      <c r="BC57" s="84">
        <f t="shared" si="82"/>
        <v>0</v>
      </c>
      <c r="BD57" s="84" t="b">
        <f t="shared" si="83"/>
        <v>0</v>
      </c>
      <c r="BE57" s="84">
        <f t="shared" si="60"/>
        <v>0</v>
      </c>
      <c r="BF57" s="84" t="b">
        <f t="shared" si="61"/>
        <v>0</v>
      </c>
      <c r="BG57" s="84">
        <f t="shared" si="84"/>
        <v>0</v>
      </c>
      <c r="BH57" s="84">
        <f>IF(OR(I57='Dropdown Lists'!$I$3,'11. Unit Mix'!J57='Dropdown Lists'!$W$3),H57,0)</f>
        <v>0</v>
      </c>
      <c r="BI57" s="285"/>
      <c r="BJ57" s="285"/>
      <c r="BK57" s="285"/>
      <c r="BL57" s="285"/>
      <c r="BM57" s="285"/>
      <c r="BN57" s="285"/>
      <c r="BO57" s="285"/>
      <c r="BP57" s="285"/>
      <c r="BQ57" s="285"/>
      <c r="BR57" s="285"/>
      <c r="BS57" s="285"/>
      <c r="BT57" s="285"/>
      <c r="BU57" s="285"/>
      <c r="BV57" s="285"/>
      <c r="BW57" s="285"/>
      <c r="BX57" s="285"/>
      <c r="BY57" s="285"/>
      <c r="BZ57" s="285"/>
      <c r="CA57" s="285"/>
      <c r="CB57" s="1476"/>
      <c r="CC57" s="1476"/>
      <c r="CD57" s="1476"/>
      <c r="CE57" s="1476"/>
      <c r="CF57" s="1476"/>
      <c r="CG57" s="1476"/>
      <c r="CH57" s="1476"/>
      <c r="CI57" s="84"/>
    </row>
    <row r="58" spans="1:87">
      <c r="B58" s="1714"/>
      <c r="C58" s="1482"/>
      <c r="D58" s="1482"/>
      <c r="E58" s="1483"/>
      <c r="F58" s="1484"/>
      <c r="G58" s="1483"/>
      <c r="H58" s="1483"/>
      <c r="I58" s="1485"/>
      <c r="J58" s="1483"/>
      <c r="K58" s="1486"/>
      <c r="L58" s="1487">
        <f t="shared" si="38"/>
        <v>0</v>
      </c>
      <c r="M58" s="1488" t="str">
        <f t="shared" si="37"/>
        <v/>
      </c>
      <c r="N58" s="1489">
        <f t="shared" si="32"/>
        <v>0</v>
      </c>
      <c r="O58" s="1489">
        <f t="shared" ca="1" si="33"/>
        <v>0</v>
      </c>
      <c r="P58" s="1490">
        <f t="shared" ca="1" si="34"/>
        <v>0</v>
      </c>
      <c r="Q58" s="1491"/>
      <c r="R58" s="1492">
        <f t="shared" si="39"/>
        <v>0</v>
      </c>
      <c r="S58" s="1489">
        <f t="shared" si="63"/>
        <v>0</v>
      </c>
      <c r="T58" s="1493">
        <f t="shared" si="66"/>
        <v>0</v>
      </c>
      <c r="U58" s="1490">
        <f t="shared" si="40"/>
        <v>0</v>
      </c>
      <c r="V58" s="1491"/>
      <c r="W58" s="1086"/>
      <c r="X58" s="1086"/>
      <c r="Y58" s="284"/>
      <c r="Z58" s="83"/>
      <c r="AA58" s="83">
        <f t="shared" si="41"/>
        <v>-10</v>
      </c>
      <c r="AB58" s="84">
        <f t="shared" si="42"/>
        <v>0</v>
      </c>
      <c r="AC58" s="84">
        <f t="shared" ca="1" si="67"/>
        <v>0</v>
      </c>
      <c r="AD58" s="84" t="b">
        <f t="shared" si="68"/>
        <v>0</v>
      </c>
      <c r="AE58" s="84">
        <f t="shared" si="85"/>
        <v>0</v>
      </c>
      <c r="AF58" s="84">
        <f t="shared" si="85"/>
        <v>0</v>
      </c>
      <c r="AG58" s="84">
        <f t="shared" si="85"/>
        <v>0</v>
      </c>
      <c r="AH58" s="84">
        <f t="shared" si="85"/>
        <v>0</v>
      </c>
      <c r="AI58" s="84">
        <f t="shared" si="85"/>
        <v>0</v>
      </c>
      <c r="AJ58" s="84">
        <f t="shared" si="85"/>
        <v>0</v>
      </c>
      <c r="AK58" s="84">
        <f t="shared" si="85"/>
        <v>0</v>
      </c>
      <c r="AL58" s="1315">
        <f t="shared" si="69"/>
        <v>0</v>
      </c>
      <c r="AM58" s="1315">
        <f t="shared" si="70"/>
        <v>0</v>
      </c>
      <c r="AN58" s="1315">
        <f t="shared" si="71"/>
        <v>0</v>
      </c>
      <c r="AO58" s="1315">
        <f t="shared" si="72"/>
        <v>0</v>
      </c>
      <c r="AP58" s="1315">
        <f t="shared" si="73"/>
        <v>0</v>
      </c>
      <c r="AQ58" s="1315">
        <f t="shared" si="74"/>
        <v>0</v>
      </c>
      <c r="AR58" s="1315">
        <f t="shared" si="75"/>
        <v>0</v>
      </c>
      <c r="AS58" s="84" t="b">
        <f t="shared" si="76"/>
        <v>0</v>
      </c>
      <c r="AT58" s="84">
        <f t="shared" si="77"/>
        <v>0</v>
      </c>
      <c r="AU58" s="1315">
        <f t="shared" si="54"/>
        <v>0</v>
      </c>
      <c r="AV58" s="84" t="b">
        <f t="shared" si="78"/>
        <v>0</v>
      </c>
      <c r="AW58" s="84">
        <f t="shared" si="79"/>
        <v>0</v>
      </c>
      <c r="AX58" s="1315">
        <f t="shared" si="21"/>
        <v>0</v>
      </c>
      <c r="AY58" s="84" t="b">
        <f t="shared" si="80"/>
        <v>0</v>
      </c>
      <c r="AZ58" s="84">
        <f t="shared" si="81"/>
        <v>0</v>
      </c>
      <c r="BA58" s="1315">
        <f t="shared" si="24"/>
        <v>0</v>
      </c>
      <c r="BB58" s="84" t="b">
        <f t="shared" si="25"/>
        <v>0</v>
      </c>
      <c r="BC58" s="84">
        <f t="shared" si="82"/>
        <v>0</v>
      </c>
      <c r="BD58" s="84" t="b">
        <f t="shared" si="83"/>
        <v>0</v>
      </c>
      <c r="BE58" s="84">
        <f t="shared" si="60"/>
        <v>0</v>
      </c>
      <c r="BF58" s="84" t="b">
        <f t="shared" si="61"/>
        <v>0</v>
      </c>
      <c r="BG58" s="84">
        <f t="shared" si="84"/>
        <v>0</v>
      </c>
      <c r="BH58" s="84">
        <f>IF(OR(I58='Dropdown Lists'!$I$3,'11. Unit Mix'!J58='Dropdown Lists'!$W$3),H58,0)</f>
        <v>0</v>
      </c>
      <c r="BI58" s="285"/>
      <c r="BJ58" s="285"/>
      <c r="BK58" s="285"/>
      <c r="BL58" s="285"/>
      <c r="BM58" s="285"/>
      <c r="BN58" s="285"/>
      <c r="BO58" s="285"/>
      <c r="BP58" s="285"/>
      <c r="BQ58" s="285"/>
      <c r="BR58" s="285"/>
      <c r="BS58" s="285"/>
      <c r="BT58" s="285"/>
      <c r="BU58" s="285"/>
      <c r="BV58" s="285"/>
      <c r="BW58" s="285"/>
      <c r="BX58" s="285"/>
      <c r="BY58" s="285"/>
      <c r="BZ58" s="285"/>
      <c r="CA58" s="285"/>
      <c r="CB58" s="1476"/>
      <c r="CC58" s="1476"/>
      <c r="CD58" s="1476"/>
      <c r="CE58" s="1476"/>
      <c r="CF58" s="1476"/>
      <c r="CG58" s="1476"/>
      <c r="CH58" s="1476"/>
      <c r="CI58" s="84"/>
    </row>
    <row r="59" spans="1:87">
      <c r="B59" s="1714"/>
      <c r="C59" s="1482"/>
      <c r="D59" s="1482"/>
      <c r="E59" s="1483"/>
      <c r="F59" s="1484"/>
      <c r="G59" s="1483"/>
      <c r="H59" s="1483"/>
      <c r="I59" s="1485"/>
      <c r="J59" s="1483"/>
      <c r="K59" s="1486"/>
      <c r="L59" s="1487">
        <f t="shared" si="38"/>
        <v>0</v>
      </c>
      <c r="M59" s="1488" t="str">
        <f t="shared" si="37"/>
        <v/>
      </c>
      <c r="N59" s="1489">
        <f t="shared" si="32"/>
        <v>0</v>
      </c>
      <c r="O59" s="1489">
        <f t="shared" ca="1" si="33"/>
        <v>0</v>
      </c>
      <c r="P59" s="1490">
        <f t="shared" ca="1" si="34"/>
        <v>0</v>
      </c>
      <c r="Q59" s="1491"/>
      <c r="R59" s="1492">
        <f t="shared" si="39"/>
        <v>0</v>
      </c>
      <c r="S59" s="1489">
        <f t="shared" si="63"/>
        <v>0</v>
      </c>
      <c r="T59" s="1493">
        <f t="shared" si="66"/>
        <v>0</v>
      </c>
      <c r="U59" s="1490">
        <f t="shared" si="40"/>
        <v>0</v>
      </c>
      <c r="V59" s="1491"/>
      <c r="W59" s="1086"/>
      <c r="X59" s="1086"/>
      <c r="Y59" s="284"/>
      <c r="Z59" s="83"/>
      <c r="AA59" s="83">
        <f t="shared" si="41"/>
        <v>-10</v>
      </c>
      <c r="AB59" s="84">
        <f t="shared" si="42"/>
        <v>0</v>
      </c>
      <c r="AC59" s="84">
        <f t="shared" ca="1" si="67"/>
        <v>0</v>
      </c>
      <c r="AD59" s="84" t="b">
        <f t="shared" si="68"/>
        <v>0</v>
      </c>
      <c r="AE59" s="84">
        <f t="shared" si="85"/>
        <v>0</v>
      </c>
      <c r="AF59" s="84">
        <f t="shared" si="85"/>
        <v>0</v>
      </c>
      <c r="AG59" s="84">
        <f t="shared" si="85"/>
        <v>0</v>
      </c>
      <c r="AH59" s="84">
        <f t="shared" si="85"/>
        <v>0</v>
      </c>
      <c r="AI59" s="84">
        <f t="shared" si="85"/>
        <v>0</v>
      </c>
      <c r="AJ59" s="84">
        <f t="shared" si="85"/>
        <v>0</v>
      </c>
      <c r="AK59" s="84">
        <f t="shared" si="85"/>
        <v>0</v>
      </c>
      <c r="AL59" s="1315">
        <f t="shared" si="69"/>
        <v>0</v>
      </c>
      <c r="AM59" s="1315">
        <f t="shared" si="70"/>
        <v>0</v>
      </c>
      <c r="AN59" s="1315">
        <f t="shared" si="71"/>
        <v>0</v>
      </c>
      <c r="AO59" s="1315">
        <f t="shared" si="72"/>
        <v>0</v>
      </c>
      <c r="AP59" s="1315">
        <f t="shared" si="73"/>
        <v>0</v>
      </c>
      <c r="AQ59" s="1315">
        <f t="shared" si="74"/>
        <v>0</v>
      </c>
      <c r="AR59" s="1315">
        <f t="shared" si="75"/>
        <v>0</v>
      </c>
      <c r="AS59" s="84" t="b">
        <f t="shared" si="76"/>
        <v>0</v>
      </c>
      <c r="AT59" s="84">
        <f t="shared" si="77"/>
        <v>0</v>
      </c>
      <c r="AU59" s="1315">
        <f t="shared" si="54"/>
        <v>0</v>
      </c>
      <c r="AV59" s="84" t="b">
        <f t="shared" si="78"/>
        <v>0</v>
      </c>
      <c r="AW59" s="84">
        <f t="shared" si="79"/>
        <v>0</v>
      </c>
      <c r="AX59" s="1315">
        <f t="shared" si="21"/>
        <v>0</v>
      </c>
      <c r="AY59" s="84" t="b">
        <f t="shared" si="80"/>
        <v>0</v>
      </c>
      <c r="AZ59" s="84">
        <f t="shared" si="81"/>
        <v>0</v>
      </c>
      <c r="BA59" s="1315">
        <f t="shared" si="24"/>
        <v>0</v>
      </c>
      <c r="BB59" s="84" t="b">
        <f t="shared" si="25"/>
        <v>0</v>
      </c>
      <c r="BC59" s="84">
        <f t="shared" si="82"/>
        <v>0</v>
      </c>
      <c r="BD59" s="84" t="b">
        <f t="shared" si="83"/>
        <v>0</v>
      </c>
      <c r="BE59" s="84">
        <f t="shared" si="60"/>
        <v>0</v>
      </c>
      <c r="BF59" s="84" t="b">
        <f t="shared" si="61"/>
        <v>0</v>
      </c>
      <c r="BG59" s="84">
        <f t="shared" si="84"/>
        <v>0</v>
      </c>
      <c r="BH59" s="84">
        <f>IF(OR(I59='Dropdown Lists'!$I$3,'11. Unit Mix'!J59='Dropdown Lists'!$W$3),H59,0)</f>
        <v>0</v>
      </c>
      <c r="BI59" s="285"/>
      <c r="BJ59" s="285"/>
      <c r="BK59" s="285"/>
      <c r="BL59" s="285"/>
      <c r="BM59" s="285"/>
      <c r="BN59" s="285"/>
      <c r="BO59" s="285"/>
      <c r="BP59" s="285"/>
      <c r="BQ59" s="285"/>
      <c r="BR59" s="285"/>
      <c r="BS59" s="285"/>
      <c r="BT59" s="285"/>
      <c r="BU59" s="285"/>
      <c r="BV59" s="285"/>
      <c r="BW59" s="285"/>
      <c r="BX59" s="285"/>
      <c r="BY59" s="285"/>
      <c r="BZ59" s="285"/>
      <c r="CA59" s="285"/>
      <c r="CB59" s="1476"/>
      <c r="CC59" s="1476"/>
      <c r="CD59" s="1476"/>
      <c r="CE59" s="1476"/>
      <c r="CF59" s="1476"/>
      <c r="CG59" s="1476"/>
      <c r="CH59" s="1476"/>
      <c r="CI59" s="84"/>
    </row>
    <row r="60" spans="1:87">
      <c r="B60" s="1714"/>
      <c r="C60" s="1482"/>
      <c r="D60" s="1482"/>
      <c r="E60" s="1483"/>
      <c r="F60" s="1484"/>
      <c r="G60" s="1483"/>
      <c r="H60" s="1483"/>
      <c r="I60" s="1485"/>
      <c r="J60" s="1483"/>
      <c r="K60" s="1486"/>
      <c r="L60" s="1487">
        <f t="shared" si="38"/>
        <v>0</v>
      </c>
      <c r="M60" s="1488" t="str">
        <f t="shared" si="37"/>
        <v/>
      </c>
      <c r="N60" s="1489">
        <f t="shared" si="32"/>
        <v>0</v>
      </c>
      <c r="O60" s="1489">
        <f t="shared" ca="1" si="33"/>
        <v>0</v>
      </c>
      <c r="P60" s="1490">
        <f t="shared" ca="1" si="34"/>
        <v>0</v>
      </c>
      <c r="Q60" s="1491"/>
      <c r="R60" s="1492">
        <f t="shared" si="39"/>
        <v>0</v>
      </c>
      <c r="S60" s="1489">
        <f t="shared" si="63"/>
        <v>0</v>
      </c>
      <c r="T60" s="1493">
        <f t="shared" si="66"/>
        <v>0</v>
      </c>
      <c r="U60" s="1490">
        <f t="shared" si="40"/>
        <v>0</v>
      </c>
      <c r="V60" s="1491"/>
      <c r="W60" s="1086"/>
      <c r="X60" s="1086"/>
      <c r="Y60" s="284"/>
      <c r="Z60" s="83"/>
      <c r="AA60" s="83">
        <f t="shared" si="41"/>
        <v>-10</v>
      </c>
      <c r="AB60" s="84">
        <f t="shared" si="42"/>
        <v>0</v>
      </c>
      <c r="AC60" s="84">
        <f t="shared" ca="1" si="67"/>
        <v>0</v>
      </c>
      <c r="AD60" s="84" t="b">
        <f t="shared" si="68"/>
        <v>0</v>
      </c>
      <c r="AE60" s="84">
        <f t="shared" si="85"/>
        <v>0</v>
      </c>
      <c r="AF60" s="84">
        <f t="shared" si="85"/>
        <v>0</v>
      </c>
      <c r="AG60" s="84">
        <f t="shared" si="85"/>
        <v>0</v>
      </c>
      <c r="AH60" s="84">
        <f t="shared" si="85"/>
        <v>0</v>
      </c>
      <c r="AI60" s="84">
        <f t="shared" si="85"/>
        <v>0</v>
      </c>
      <c r="AJ60" s="84">
        <f t="shared" si="85"/>
        <v>0</v>
      </c>
      <c r="AK60" s="84">
        <f t="shared" si="85"/>
        <v>0</v>
      </c>
      <c r="AL60" s="1315">
        <f t="shared" si="69"/>
        <v>0</v>
      </c>
      <c r="AM60" s="1315">
        <f t="shared" si="70"/>
        <v>0</v>
      </c>
      <c r="AN60" s="1315">
        <f t="shared" si="71"/>
        <v>0</v>
      </c>
      <c r="AO60" s="1315">
        <f t="shared" si="72"/>
        <v>0</v>
      </c>
      <c r="AP60" s="1315">
        <f t="shared" si="73"/>
        <v>0</v>
      </c>
      <c r="AQ60" s="1315">
        <f t="shared" si="74"/>
        <v>0</v>
      </c>
      <c r="AR60" s="1315">
        <f t="shared" si="75"/>
        <v>0</v>
      </c>
      <c r="AS60" s="84" t="b">
        <f t="shared" si="76"/>
        <v>0</v>
      </c>
      <c r="AT60" s="84">
        <f t="shared" si="77"/>
        <v>0</v>
      </c>
      <c r="AU60" s="1315">
        <f t="shared" si="54"/>
        <v>0</v>
      </c>
      <c r="AV60" s="84" t="b">
        <f t="shared" si="78"/>
        <v>0</v>
      </c>
      <c r="AW60" s="84">
        <f t="shared" si="79"/>
        <v>0</v>
      </c>
      <c r="AX60" s="1315">
        <f t="shared" si="21"/>
        <v>0</v>
      </c>
      <c r="AY60" s="84" t="b">
        <f t="shared" si="80"/>
        <v>0</v>
      </c>
      <c r="AZ60" s="84">
        <f t="shared" si="81"/>
        <v>0</v>
      </c>
      <c r="BA60" s="1315">
        <f t="shared" si="24"/>
        <v>0</v>
      </c>
      <c r="BB60" s="84" t="b">
        <f t="shared" si="25"/>
        <v>0</v>
      </c>
      <c r="BC60" s="84">
        <f t="shared" si="82"/>
        <v>0</v>
      </c>
      <c r="BD60" s="84" t="b">
        <f t="shared" si="83"/>
        <v>0</v>
      </c>
      <c r="BE60" s="84">
        <f t="shared" si="60"/>
        <v>0</v>
      </c>
      <c r="BF60" s="84" t="b">
        <f t="shared" si="61"/>
        <v>0</v>
      </c>
      <c r="BG60" s="84">
        <f t="shared" si="84"/>
        <v>0</v>
      </c>
      <c r="BH60" s="84">
        <f>IF(OR(I60='Dropdown Lists'!$I$3,'11. Unit Mix'!J60='Dropdown Lists'!$W$3),H60,0)</f>
        <v>0</v>
      </c>
      <c r="BI60" s="285"/>
      <c r="BJ60" s="285"/>
      <c r="BK60" s="285"/>
      <c r="BL60" s="285"/>
      <c r="BM60" s="285"/>
      <c r="BN60" s="285"/>
      <c r="BO60" s="285"/>
      <c r="BP60" s="285"/>
      <c r="BQ60" s="285"/>
      <c r="BR60" s="285"/>
      <c r="BS60" s="285"/>
      <c r="BT60" s="285"/>
      <c r="BU60" s="285"/>
      <c r="BV60" s="285"/>
      <c r="BW60" s="285"/>
      <c r="BX60" s="285"/>
      <c r="BY60" s="285"/>
      <c r="BZ60" s="285"/>
      <c r="CA60" s="285"/>
      <c r="CB60" s="1476"/>
      <c r="CC60" s="1476"/>
      <c r="CD60" s="1476"/>
      <c r="CE60" s="1476"/>
      <c r="CF60" s="1476"/>
      <c r="CG60" s="1476"/>
      <c r="CH60" s="1476"/>
      <c r="CI60" s="84"/>
    </row>
    <row r="61" spans="1:87">
      <c r="B61" s="1714"/>
      <c r="C61" s="1482"/>
      <c r="D61" s="1482"/>
      <c r="E61" s="1483"/>
      <c r="F61" s="1484"/>
      <c r="G61" s="1483"/>
      <c r="H61" s="1483"/>
      <c r="I61" s="1485"/>
      <c r="J61" s="1483"/>
      <c r="K61" s="1486"/>
      <c r="L61" s="1487">
        <f t="shared" si="38"/>
        <v>0</v>
      </c>
      <c r="M61" s="1488" t="str">
        <f t="shared" si="37"/>
        <v/>
      </c>
      <c r="N61" s="1489">
        <f t="shared" si="32"/>
        <v>0</v>
      </c>
      <c r="O61" s="1489">
        <f t="shared" ca="1" si="33"/>
        <v>0</v>
      </c>
      <c r="P61" s="1490">
        <f t="shared" ca="1" si="34"/>
        <v>0</v>
      </c>
      <c r="Q61" s="1491"/>
      <c r="R61" s="1492">
        <f t="shared" si="39"/>
        <v>0</v>
      </c>
      <c r="S61" s="1489">
        <f t="shared" si="63"/>
        <v>0</v>
      </c>
      <c r="T61" s="1493">
        <f t="shared" si="66"/>
        <v>0</v>
      </c>
      <c r="U61" s="1490">
        <f t="shared" si="40"/>
        <v>0</v>
      </c>
      <c r="V61" s="1491"/>
      <c r="W61" s="1086"/>
      <c r="X61" s="1086"/>
      <c r="Y61" s="284"/>
      <c r="Z61" s="83"/>
      <c r="AA61" s="83">
        <f t="shared" si="41"/>
        <v>-10</v>
      </c>
      <c r="AB61" s="84">
        <f t="shared" si="42"/>
        <v>0</v>
      </c>
      <c r="AC61" s="84">
        <f t="shared" ca="1" si="67"/>
        <v>0</v>
      </c>
      <c r="AD61" s="84" t="b">
        <f t="shared" si="68"/>
        <v>0</v>
      </c>
      <c r="AE61" s="84">
        <f t="shared" si="85"/>
        <v>0</v>
      </c>
      <c r="AF61" s="84">
        <f t="shared" si="85"/>
        <v>0</v>
      </c>
      <c r="AG61" s="84">
        <f t="shared" si="85"/>
        <v>0</v>
      </c>
      <c r="AH61" s="84">
        <f t="shared" si="85"/>
        <v>0</v>
      </c>
      <c r="AI61" s="84">
        <f t="shared" si="85"/>
        <v>0</v>
      </c>
      <c r="AJ61" s="84">
        <f t="shared" si="85"/>
        <v>0</v>
      </c>
      <c r="AK61" s="84">
        <f t="shared" si="85"/>
        <v>0</v>
      </c>
      <c r="AL61" s="1315">
        <f t="shared" si="69"/>
        <v>0</v>
      </c>
      <c r="AM61" s="1315">
        <f t="shared" si="70"/>
        <v>0</v>
      </c>
      <c r="AN61" s="1315">
        <f t="shared" si="71"/>
        <v>0</v>
      </c>
      <c r="AO61" s="1315">
        <f t="shared" si="72"/>
        <v>0</v>
      </c>
      <c r="AP61" s="1315">
        <f t="shared" si="73"/>
        <v>0</v>
      </c>
      <c r="AQ61" s="1315">
        <f t="shared" si="74"/>
        <v>0</v>
      </c>
      <c r="AR61" s="1315">
        <f t="shared" si="75"/>
        <v>0</v>
      </c>
      <c r="AS61" s="84" t="b">
        <f t="shared" si="76"/>
        <v>0</v>
      </c>
      <c r="AT61" s="84">
        <f t="shared" si="77"/>
        <v>0</v>
      </c>
      <c r="AU61" s="1315">
        <f t="shared" si="54"/>
        <v>0</v>
      </c>
      <c r="AV61" s="84" t="b">
        <f t="shared" si="78"/>
        <v>0</v>
      </c>
      <c r="AW61" s="84">
        <f t="shared" si="79"/>
        <v>0</v>
      </c>
      <c r="AX61" s="1315">
        <f t="shared" si="21"/>
        <v>0</v>
      </c>
      <c r="AY61" s="84" t="b">
        <f t="shared" si="80"/>
        <v>0</v>
      </c>
      <c r="AZ61" s="84">
        <f t="shared" si="81"/>
        <v>0</v>
      </c>
      <c r="BA61" s="1315">
        <f t="shared" si="24"/>
        <v>0</v>
      </c>
      <c r="BB61" s="84" t="b">
        <f t="shared" si="25"/>
        <v>0</v>
      </c>
      <c r="BC61" s="84">
        <f t="shared" si="82"/>
        <v>0</v>
      </c>
      <c r="BD61" s="84" t="b">
        <f t="shared" si="83"/>
        <v>0</v>
      </c>
      <c r="BE61" s="84">
        <f t="shared" si="60"/>
        <v>0</v>
      </c>
      <c r="BF61" s="84" t="b">
        <f t="shared" si="61"/>
        <v>0</v>
      </c>
      <c r="BG61" s="84">
        <f t="shared" si="84"/>
        <v>0</v>
      </c>
      <c r="BH61" s="84">
        <f>IF(OR(I61='Dropdown Lists'!$I$3,'11. Unit Mix'!J61='Dropdown Lists'!$W$3),H61,0)</f>
        <v>0</v>
      </c>
      <c r="BI61" s="285"/>
      <c r="BJ61" s="285"/>
      <c r="BK61" s="285"/>
      <c r="BL61" s="285"/>
      <c r="BM61" s="285"/>
      <c r="BN61" s="285"/>
      <c r="BO61" s="285"/>
      <c r="BP61" s="285"/>
      <c r="BQ61" s="285"/>
      <c r="BR61" s="285"/>
      <c r="BS61" s="285"/>
      <c r="BT61" s="285"/>
      <c r="BU61" s="285"/>
      <c r="BV61" s="285"/>
      <c r="BW61" s="285"/>
      <c r="BX61" s="285"/>
      <c r="BY61" s="1476"/>
      <c r="BZ61" s="1476"/>
      <c r="CA61" s="1476"/>
      <c r="CB61" s="1476"/>
      <c r="CC61" s="1476"/>
      <c r="CD61" s="1476"/>
      <c r="CE61" s="1476"/>
      <c r="CF61" s="1476"/>
      <c r="CG61" s="1476"/>
      <c r="CH61" s="1476"/>
      <c r="CI61" s="84"/>
    </row>
    <row r="62" spans="1:87">
      <c r="B62" s="1714"/>
      <c r="C62" s="1482"/>
      <c r="D62" s="1482"/>
      <c r="E62" s="1483"/>
      <c r="F62" s="1484"/>
      <c r="G62" s="1483"/>
      <c r="H62" s="1483"/>
      <c r="I62" s="1485"/>
      <c r="J62" s="1483"/>
      <c r="K62" s="1486"/>
      <c r="L62" s="1487">
        <f t="shared" si="38"/>
        <v>0</v>
      </c>
      <c r="M62" s="1488" t="str">
        <f t="shared" si="37"/>
        <v/>
      </c>
      <c r="N62" s="1489">
        <f t="shared" si="32"/>
        <v>0</v>
      </c>
      <c r="O62" s="1489">
        <f t="shared" ca="1" si="33"/>
        <v>0</v>
      </c>
      <c r="P62" s="1490">
        <f t="shared" ca="1" si="34"/>
        <v>0</v>
      </c>
      <c r="Q62" s="1491"/>
      <c r="R62" s="1492">
        <f t="shared" si="39"/>
        <v>0</v>
      </c>
      <c r="S62" s="1489">
        <f t="shared" si="63"/>
        <v>0</v>
      </c>
      <c r="T62" s="1493">
        <f t="shared" si="66"/>
        <v>0</v>
      </c>
      <c r="U62" s="1490">
        <f t="shared" si="40"/>
        <v>0</v>
      </c>
      <c r="V62" s="1491"/>
      <c r="W62" s="1086"/>
      <c r="X62" s="1086"/>
      <c r="Y62" s="284"/>
      <c r="Z62" s="83"/>
      <c r="AA62" s="83">
        <f t="shared" si="41"/>
        <v>-10</v>
      </c>
      <c r="AB62" s="84">
        <f t="shared" si="42"/>
        <v>0</v>
      </c>
      <c r="AC62" s="84">
        <f t="shared" ca="1" si="67"/>
        <v>0</v>
      </c>
      <c r="AD62" s="84" t="b">
        <f t="shared" si="68"/>
        <v>0</v>
      </c>
      <c r="AE62" s="84">
        <f t="shared" si="85"/>
        <v>0</v>
      </c>
      <c r="AF62" s="84">
        <f t="shared" si="85"/>
        <v>0</v>
      </c>
      <c r="AG62" s="84">
        <f t="shared" si="85"/>
        <v>0</v>
      </c>
      <c r="AH62" s="84">
        <f t="shared" si="85"/>
        <v>0</v>
      </c>
      <c r="AI62" s="84">
        <f t="shared" si="85"/>
        <v>0</v>
      </c>
      <c r="AJ62" s="84">
        <f t="shared" si="85"/>
        <v>0</v>
      </c>
      <c r="AK62" s="84">
        <f t="shared" si="85"/>
        <v>0</v>
      </c>
      <c r="AL62" s="1315">
        <f t="shared" si="69"/>
        <v>0</v>
      </c>
      <c r="AM62" s="1315">
        <f t="shared" si="70"/>
        <v>0</v>
      </c>
      <c r="AN62" s="1315">
        <f t="shared" si="71"/>
        <v>0</v>
      </c>
      <c r="AO62" s="1315">
        <f t="shared" si="72"/>
        <v>0</v>
      </c>
      <c r="AP62" s="1315">
        <f t="shared" si="73"/>
        <v>0</v>
      </c>
      <c r="AQ62" s="1315">
        <f t="shared" si="74"/>
        <v>0</v>
      </c>
      <c r="AR62" s="1315">
        <f t="shared" si="75"/>
        <v>0</v>
      </c>
      <c r="AS62" s="84" t="b">
        <f t="shared" si="76"/>
        <v>0</v>
      </c>
      <c r="AT62" s="84">
        <f t="shared" si="77"/>
        <v>0</v>
      </c>
      <c r="AU62" s="1315">
        <f t="shared" si="54"/>
        <v>0</v>
      </c>
      <c r="AV62" s="84" t="b">
        <f t="shared" si="78"/>
        <v>0</v>
      </c>
      <c r="AW62" s="84">
        <f t="shared" si="79"/>
        <v>0</v>
      </c>
      <c r="AX62" s="1315">
        <f t="shared" si="21"/>
        <v>0</v>
      </c>
      <c r="AY62" s="84" t="b">
        <f t="shared" si="80"/>
        <v>0</v>
      </c>
      <c r="AZ62" s="84">
        <f t="shared" si="81"/>
        <v>0</v>
      </c>
      <c r="BA62" s="1315">
        <f t="shared" si="24"/>
        <v>0</v>
      </c>
      <c r="BB62" s="84" t="b">
        <f t="shared" si="25"/>
        <v>0</v>
      </c>
      <c r="BC62" s="84">
        <f t="shared" si="82"/>
        <v>0</v>
      </c>
      <c r="BD62" s="84" t="b">
        <f t="shared" si="83"/>
        <v>0</v>
      </c>
      <c r="BE62" s="84">
        <f t="shared" si="60"/>
        <v>0</v>
      </c>
      <c r="BF62" s="84" t="b">
        <f t="shared" si="61"/>
        <v>0</v>
      </c>
      <c r="BG62" s="84">
        <f t="shared" si="84"/>
        <v>0</v>
      </c>
      <c r="BH62" s="84">
        <f>IF(OR(I62='Dropdown Lists'!$I$3,'11. Unit Mix'!J62='Dropdown Lists'!$W$3),H62,0)</f>
        <v>0</v>
      </c>
      <c r="BI62" s="285"/>
      <c r="BJ62" s="285"/>
      <c r="BK62" s="285"/>
      <c r="BL62" s="285"/>
      <c r="BM62" s="285"/>
      <c r="BN62" s="285"/>
      <c r="BO62" s="285"/>
      <c r="BP62" s="285"/>
      <c r="BQ62" s="285"/>
      <c r="BR62" s="285"/>
      <c r="BS62" s="285"/>
      <c r="BT62" s="285"/>
      <c r="BU62" s="285"/>
      <c r="BV62" s="285"/>
      <c r="BW62" s="285"/>
      <c r="BX62" s="285"/>
      <c r="BY62" s="1476"/>
      <c r="BZ62" s="1476"/>
      <c r="CA62" s="1476"/>
      <c r="CB62" s="1476"/>
      <c r="CC62" s="1476"/>
      <c r="CD62" s="1476"/>
      <c r="CE62" s="1476"/>
      <c r="CF62" s="1476"/>
      <c r="CG62" s="1476"/>
      <c r="CH62" s="1476"/>
      <c r="CI62" s="84"/>
    </row>
    <row r="63" spans="1:87">
      <c r="B63" s="1714"/>
      <c r="C63" s="1482"/>
      <c r="D63" s="1482"/>
      <c r="E63" s="1483"/>
      <c r="F63" s="1484"/>
      <c r="G63" s="1483"/>
      <c r="H63" s="1483"/>
      <c r="I63" s="1485"/>
      <c r="J63" s="1483"/>
      <c r="K63" s="1486"/>
      <c r="L63" s="1487">
        <f t="shared" si="38"/>
        <v>0</v>
      </c>
      <c r="M63" s="1488" t="str">
        <f t="shared" si="37"/>
        <v/>
      </c>
      <c r="N63" s="1489">
        <f t="shared" si="32"/>
        <v>0</v>
      </c>
      <c r="O63" s="1489">
        <f t="shared" ca="1" si="33"/>
        <v>0</v>
      </c>
      <c r="P63" s="1490">
        <f t="shared" ca="1" si="34"/>
        <v>0</v>
      </c>
      <c r="Q63" s="1491"/>
      <c r="R63" s="1492">
        <f t="shared" si="39"/>
        <v>0</v>
      </c>
      <c r="S63" s="1489">
        <f t="shared" si="63"/>
        <v>0</v>
      </c>
      <c r="T63" s="1493">
        <f t="shared" si="66"/>
        <v>0</v>
      </c>
      <c r="U63" s="1490">
        <f t="shared" si="40"/>
        <v>0</v>
      </c>
      <c r="V63" s="1491"/>
      <c r="W63" s="1086"/>
      <c r="X63" s="1086"/>
      <c r="Y63" s="284"/>
      <c r="Z63" s="83"/>
      <c r="AA63" s="83">
        <f t="shared" si="41"/>
        <v>-10</v>
      </c>
      <c r="AB63" s="84">
        <f t="shared" si="42"/>
        <v>0</v>
      </c>
      <c r="AC63" s="84">
        <f t="shared" ca="1" si="67"/>
        <v>0</v>
      </c>
      <c r="AD63" s="84" t="b">
        <f t="shared" si="68"/>
        <v>0</v>
      </c>
      <c r="AE63" s="84">
        <f t="shared" si="85"/>
        <v>0</v>
      </c>
      <c r="AF63" s="84">
        <f t="shared" si="85"/>
        <v>0</v>
      </c>
      <c r="AG63" s="84">
        <f t="shared" si="85"/>
        <v>0</v>
      </c>
      <c r="AH63" s="84">
        <f t="shared" si="85"/>
        <v>0</v>
      </c>
      <c r="AI63" s="84">
        <f t="shared" si="85"/>
        <v>0</v>
      </c>
      <c r="AJ63" s="84">
        <f t="shared" si="85"/>
        <v>0</v>
      </c>
      <c r="AK63" s="84">
        <f t="shared" si="85"/>
        <v>0</v>
      </c>
      <c r="AL63" s="1315">
        <f t="shared" si="69"/>
        <v>0</v>
      </c>
      <c r="AM63" s="1315">
        <f t="shared" si="70"/>
        <v>0</v>
      </c>
      <c r="AN63" s="1315">
        <f t="shared" si="71"/>
        <v>0</v>
      </c>
      <c r="AO63" s="1315">
        <f t="shared" si="72"/>
        <v>0</v>
      </c>
      <c r="AP63" s="1315">
        <f t="shared" si="73"/>
        <v>0</v>
      </c>
      <c r="AQ63" s="1315">
        <f t="shared" si="74"/>
        <v>0</v>
      </c>
      <c r="AR63" s="1315">
        <f t="shared" si="75"/>
        <v>0</v>
      </c>
      <c r="AS63" s="84" t="b">
        <f t="shared" si="76"/>
        <v>0</v>
      </c>
      <c r="AT63" s="84">
        <f t="shared" si="77"/>
        <v>0</v>
      </c>
      <c r="AU63" s="1315">
        <f t="shared" si="54"/>
        <v>0</v>
      </c>
      <c r="AV63" s="84" t="b">
        <f t="shared" si="78"/>
        <v>0</v>
      </c>
      <c r="AW63" s="84">
        <f t="shared" si="79"/>
        <v>0</v>
      </c>
      <c r="AX63" s="1315">
        <f t="shared" si="21"/>
        <v>0</v>
      </c>
      <c r="AY63" s="84" t="b">
        <f t="shared" si="80"/>
        <v>0</v>
      </c>
      <c r="AZ63" s="84">
        <f t="shared" si="81"/>
        <v>0</v>
      </c>
      <c r="BA63" s="1315">
        <f t="shared" si="24"/>
        <v>0</v>
      </c>
      <c r="BB63" s="84" t="b">
        <f t="shared" si="25"/>
        <v>0</v>
      </c>
      <c r="BC63" s="84">
        <f t="shared" si="82"/>
        <v>0</v>
      </c>
      <c r="BD63" s="84" t="b">
        <f t="shared" si="83"/>
        <v>0</v>
      </c>
      <c r="BE63" s="84">
        <f t="shared" si="60"/>
        <v>0</v>
      </c>
      <c r="BF63" s="84" t="b">
        <f t="shared" si="61"/>
        <v>0</v>
      </c>
      <c r="BG63" s="84">
        <f t="shared" si="84"/>
        <v>0</v>
      </c>
      <c r="BH63" s="84">
        <f>IF(OR(I63='Dropdown Lists'!$I$3,'11. Unit Mix'!J63='Dropdown Lists'!$W$3),H63,0)</f>
        <v>0</v>
      </c>
      <c r="BI63" s="285"/>
      <c r="BJ63" s="285"/>
      <c r="BK63" s="285"/>
      <c r="BL63" s="285"/>
      <c r="BM63" s="285"/>
      <c r="BN63" s="285"/>
      <c r="BO63" s="285"/>
      <c r="BP63" s="285"/>
      <c r="BQ63" s="285"/>
      <c r="BR63" s="285"/>
      <c r="BS63" s="285"/>
      <c r="BT63" s="285"/>
      <c r="BU63" s="285"/>
      <c r="BV63" s="285"/>
      <c r="BW63" s="285"/>
      <c r="BX63" s="285"/>
      <c r="BY63" s="1476"/>
      <c r="BZ63" s="1476"/>
      <c r="CA63" s="1476"/>
      <c r="CB63" s="1476"/>
      <c r="CC63" s="1476"/>
      <c r="CD63" s="1476"/>
      <c r="CE63" s="1476"/>
      <c r="CF63" s="1476"/>
      <c r="CG63" s="1476"/>
      <c r="CH63" s="1476"/>
      <c r="CI63" s="84"/>
    </row>
    <row r="64" spans="1:87">
      <c r="B64" s="1714"/>
      <c r="C64" s="1482"/>
      <c r="D64" s="1482"/>
      <c r="E64" s="1483"/>
      <c r="F64" s="1484"/>
      <c r="G64" s="1483"/>
      <c r="H64" s="1483"/>
      <c r="I64" s="1485"/>
      <c r="J64" s="1483"/>
      <c r="K64" s="1486"/>
      <c r="L64" s="1487">
        <f t="shared" si="38"/>
        <v>0</v>
      </c>
      <c r="M64" s="1488"/>
      <c r="N64" s="1489">
        <f t="shared" si="32"/>
        <v>0</v>
      </c>
      <c r="O64" s="1489">
        <f t="shared" ca="1" si="33"/>
        <v>0</v>
      </c>
      <c r="P64" s="1490">
        <f t="shared" ca="1" si="34"/>
        <v>0</v>
      </c>
      <c r="Q64" s="1491"/>
      <c r="R64" s="1492">
        <f t="shared" si="39"/>
        <v>0</v>
      </c>
      <c r="S64" s="1489">
        <f t="shared" si="63"/>
        <v>0</v>
      </c>
      <c r="T64" s="1493">
        <f t="shared" si="66"/>
        <v>0</v>
      </c>
      <c r="U64" s="1490">
        <f t="shared" si="40"/>
        <v>0</v>
      </c>
      <c r="V64" s="1491"/>
      <c r="W64" s="1086"/>
      <c r="X64" s="1086"/>
      <c r="Y64" s="284"/>
      <c r="Z64" s="83"/>
      <c r="AA64" s="83">
        <f t="shared" si="41"/>
        <v>-10</v>
      </c>
      <c r="AB64" s="84">
        <f t="shared" si="42"/>
        <v>0</v>
      </c>
      <c r="AC64" s="84">
        <f t="shared" ca="1" si="67"/>
        <v>0</v>
      </c>
      <c r="AD64" s="84" t="b">
        <f t="shared" si="68"/>
        <v>0</v>
      </c>
      <c r="AE64" s="84">
        <f t="shared" si="85"/>
        <v>0</v>
      </c>
      <c r="AF64" s="84">
        <f t="shared" si="85"/>
        <v>0</v>
      </c>
      <c r="AG64" s="84">
        <f t="shared" si="85"/>
        <v>0</v>
      </c>
      <c r="AH64" s="84">
        <f t="shared" si="85"/>
        <v>0</v>
      </c>
      <c r="AI64" s="84">
        <f t="shared" si="85"/>
        <v>0</v>
      </c>
      <c r="AJ64" s="84">
        <f t="shared" si="85"/>
        <v>0</v>
      </c>
      <c r="AK64" s="84">
        <f t="shared" si="85"/>
        <v>0</v>
      </c>
      <c r="AL64" s="1315">
        <f t="shared" si="69"/>
        <v>0</v>
      </c>
      <c r="AM64" s="1315">
        <f t="shared" si="70"/>
        <v>0</v>
      </c>
      <c r="AN64" s="1315">
        <f t="shared" si="71"/>
        <v>0</v>
      </c>
      <c r="AO64" s="1315">
        <f t="shared" si="72"/>
        <v>0</v>
      </c>
      <c r="AP64" s="1315">
        <f t="shared" si="73"/>
        <v>0</v>
      </c>
      <c r="AQ64" s="1315">
        <f t="shared" si="74"/>
        <v>0</v>
      </c>
      <c r="AR64" s="1315">
        <f t="shared" si="75"/>
        <v>0</v>
      </c>
      <c r="AS64" s="84" t="b">
        <f t="shared" si="76"/>
        <v>0</v>
      </c>
      <c r="AT64" s="84">
        <f t="shared" si="77"/>
        <v>0</v>
      </c>
      <c r="AU64" s="1315">
        <f t="shared" si="54"/>
        <v>0</v>
      </c>
      <c r="AV64" s="84" t="b">
        <f t="shared" si="78"/>
        <v>0</v>
      </c>
      <c r="AW64" s="84">
        <f t="shared" si="79"/>
        <v>0</v>
      </c>
      <c r="AX64" s="1315">
        <f t="shared" si="21"/>
        <v>0</v>
      </c>
      <c r="AY64" s="84" t="b">
        <f t="shared" si="80"/>
        <v>0</v>
      </c>
      <c r="AZ64" s="84">
        <f t="shared" si="81"/>
        <v>0</v>
      </c>
      <c r="BA64" s="1315">
        <f t="shared" si="24"/>
        <v>0</v>
      </c>
      <c r="BB64" s="84" t="b">
        <f t="shared" si="25"/>
        <v>0</v>
      </c>
      <c r="BC64" s="84">
        <f t="shared" si="82"/>
        <v>0</v>
      </c>
      <c r="BD64" s="84" t="b">
        <f t="shared" si="83"/>
        <v>0</v>
      </c>
      <c r="BE64" s="84">
        <f t="shared" si="60"/>
        <v>0</v>
      </c>
      <c r="BF64" s="84" t="b">
        <f t="shared" si="61"/>
        <v>0</v>
      </c>
      <c r="BG64" s="84">
        <f t="shared" si="84"/>
        <v>0</v>
      </c>
      <c r="BH64" s="84">
        <f>IF(OR(I64='Dropdown Lists'!$I$3,'11. Unit Mix'!J64='Dropdown Lists'!$W$3),H64,0)</f>
        <v>0</v>
      </c>
      <c r="BI64" s="285"/>
      <c r="BJ64" s="285"/>
      <c r="BK64" s="285"/>
      <c r="BL64" s="285"/>
      <c r="BM64" s="285"/>
      <c r="BN64" s="285"/>
      <c r="BO64" s="285"/>
      <c r="BP64" s="285"/>
      <c r="BQ64" s="285"/>
      <c r="BR64" s="285"/>
      <c r="BS64" s="285"/>
      <c r="BT64" s="285"/>
      <c r="BU64" s="285"/>
      <c r="BV64" s="285"/>
      <c r="BW64" s="285"/>
      <c r="BX64" s="285"/>
      <c r="BY64" s="1476"/>
      <c r="BZ64" s="1476"/>
      <c r="CA64" s="1476"/>
      <c r="CB64" s="1476"/>
      <c r="CC64" s="1476"/>
      <c r="CD64" s="1476"/>
      <c r="CE64" s="1476"/>
      <c r="CF64" s="1476"/>
      <c r="CG64" s="1476"/>
      <c r="CH64" s="1476"/>
      <c r="CI64" s="84"/>
    </row>
    <row r="65" spans="2:87">
      <c r="B65" s="1714"/>
      <c r="C65" s="1482"/>
      <c r="D65" s="1482"/>
      <c r="E65" s="1483"/>
      <c r="F65" s="1484"/>
      <c r="G65" s="1483"/>
      <c r="H65" s="1483"/>
      <c r="I65" s="1485"/>
      <c r="J65" s="1483"/>
      <c r="K65" s="1486"/>
      <c r="L65" s="1487">
        <f t="shared" si="38"/>
        <v>0</v>
      </c>
      <c r="M65" s="1488" t="str">
        <f t="shared" si="37"/>
        <v/>
      </c>
      <c r="N65" s="1489">
        <f t="shared" si="32"/>
        <v>0</v>
      </c>
      <c r="O65" s="1489">
        <f t="shared" ca="1" si="33"/>
        <v>0</v>
      </c>
      <c r="P65" s="1490">
        <f t="shared" ca="1" si="34"/>
        <v>0</v>
      </c>
      <c r="Q65" s="1491"/>
      <c r="R65" s="1492">
        <f t="shared" si="39"/>
        <v>0</v>
      </c>
      <c r="S65" s="1489">
        <f t="shared" si="63"/>
        <v>0</v>
      </c>
      <c r="T65" s="1493">
        <f t="shared" si="66"/>
        <v>0</v>
      </c>
      <c r="U65" s="1490">
        <f t="shared" si="40"/>
        <v>0</v>
      </c>
      <c r="V65" s="1491"/>
      <c r="W65" s="1086"/>
      <c r="X65" s="1086"/>
      <c r="Y65" s="284"/>
      <c r="Z65" s="83"/>
      <c r="AA65" s="83">
        <f t="shared" si="41"/>
        <v>-10</v>
      </c>
      <c r="AB65" s="84">
        <f t="shared" si="42"/>
        <v>0</v>
      </c>
      <c r="AC65" s="84">
        <f t="shared" ca="1" si="67"/>
        <v>0</v>
      </c>
      <c r="AD65" s="84" t="b">
        <f t="shared" si="68"/>
        <v>0</v>
      </c>
      <c r="AE65" s="84">
        <f t="shared" si="85"/>
        <v>0</v>
      </c>
      <c r="AF65" s="84">
        <f t="shared" si="85"/>
        <v>0</v>
      </c>
      <c r="AG65" s="84">
        <f t="shared" si="85"/>
        <v>0</v>
      </c>
      <c r="AH65" s="84">
        <f t="shared" si="85"/>
        <v>0</v>
      </c>
      <c r="AI65" s="84">
        <f t="shared" si="85"/>
        <v>0</v>
      </c>
      <c r="AJ65" s="84">
        <f t="shared" si="85"/>
        <v>0</v>
      </c>
      <c r="AK65" s="84">
        <f t="shared" si="85"/>
        <v>0</v>
      </c>
      <c r="AL65" s="1315">
        <f t="shared" si="69"/>
        <v>0</v>
      </c>
      <c r="AM65" s="1315">
        <f t="shared" si="70"/>
        <v>0</v>
      </c>
      <c r="AN65" s="1315">
        <f t="shared" si="71"/>
        <v>0</v>
      </c>
      <c r="AO65" s="1315">
        <f t="shared" si="72"/>
        <v>0</v>
      </c>
      <c r="AP65" s="1315">
        <f t="shared" si="73"/>
        <v>0</v>
      </c>
      <c r="AQ65" s="1315">
        <f t="shared" si="74"/>
        <v>0</v>
      </c>
      <c r="AR65" s="1315">
        <f t="shared" si="75"/>
        <v>0</v>
      </c>
      <c r="AS65" s="84" t="b">
        <f t="shared" si="76"/>
        <v>0</v>
      </c>
      <c r="AT65" s="84">
        <f t="shared" si="77"/>
        <v>0</v>
      </c>
      <c r="AU65" s="1315">
        <f t="shared" si="54"/>
        <v>0</v>
      </c>
      <c r="AV65" s="84" t="b">
        <f t="shared" si="78"/>
        <v>0</v>
      </c>
      <c r="AW65" s="84">
        <f t="shared" si="79"/>
        <v>0</v>
      </c>
      <c r="AX65" s="1315">
        <f t="shared" si="21"/>
        <v>0</v>
      </c>
      <c r="AY65" s="84" t="b">
        <f t="shared" si="80"/>
        <v>0</v>
      </c>
      <c r="AZ65" s="84">
        <f t="shared" si="81"/>
        <v>0</v>
      </c>
      <c r="BA65" s="1315">
        <f t="shared" si="24"/>
        <v>0</v>
      </c>
      <c r="BB65" s="84" t="b">
        <f t="shared" si="25"/>
        <v>0</v>
      </c>
      <c r="BC65" s="84">
        <f t="shared" si="82"/>
        <v>0</v>
      </c>
      <c r="BD65" s="84" t="b">
        <f t="shared" si="83"/>
        <v>0</v>
      </c>
      <c r="BE65" s="84">
        <f t="shared" si="60"/>
        <v>0</v>
      </c>
      <c r="BF65" s="84" t="b">
        <f t="shared" si="61"/>
        <v>0</v>
      </c>
      <c r="BG65" s="84">
        <f t="shared" si="84"/>
        <v>0</v>
      </c>
      <c r="BH65" s="84">
        <f>IF(OR(I65='Dropdown Lists'!$I$3,'11. Unit Mix'!J65='Dropdown Lists'!$W$3),H65,0)</f>
        <v>0</v>
      </c>
      <c r="BI65" s="285"/>
      <c r="BJ65" s="285"/>
      <c r="BK65" s="285"/>
      <c r="BL65" s="285"/>
      <c r="BM65" s="285"/>
      <c r="BN65" s="285"/>
      <c r="BO65" s="285"/>
      <c r="BP65" s="285"/>
      <c r="BQ65" s="285"/>
      <c r="BR65" s="285"/>
      <c r="BS65" s="285"/>
      <c r="BT65" s="285"/>
      <c r="BU65" s="285"/>
      <c r="BV65" s="285"/>
      <c r="BW65" s="285"/>
      <c r="BX65" s="285"/>
      <c r="BY65" s="1476"/>
      <c r="BZ65" s="1476"/>
      <c r="CA65" s="1476"/>
      <c r="CB65" s="1476"/>
      <c r="CC65" s="1476"/>
      <c r="CD65" s="1476"/>
      <c r="CE65" s="1476"/>
      <c r="CF65" s="1476"/>
      <c r="CG65" s="1476"/>
      <c r="CH65" s="1476"/>
      <c r="CI65" s="84"/>
    </row>
    <row r="66" spans="2:87">
      <c r="B66" s="1714"/>
      <c r="C66" s="1714"/>
      <c r="D66" s="1714"/>
      <c r="E66" s="1494"/>
      <c r="F66" s="1494"/>
      <c r="G66" s="1096">
        <f>SUMPRODUCT(G16:G65,H16:H65)</f>
        <v>0</v>
      </c>
      <c r="H66" s="1097">
        <f>SUM(H16:H65)</f>
        <v>0</v>
      </c>
      <c r="I66" s="1495"/>
      <c r="J66" s="1494"/>
      <c r="K66" s="1494"/>
      <c r="L66" s="1494"/>
      <c r="M66" s="1496"/>
      <c r="N66" s="1714"/>
      <c r="O66" s="1714"/>
      <c r="P66" s="1496"/>
      <c r="Q66" s="1496"/>
      <c r="R66" s="1496"/>
      <c r="S66" s="1496"/>
      <c r="T66" s="1715" t="s">
        <v>4046</v>
      </c>
      <c r="U66" s="1490">
        <f>SUM(U16:U65)</f>
        <v>0</v>
      </c>
      <c r="V66" s="1095"/>
      <c r="W66" s="1086"/>
      <c r="X66" s="1086"/>
      <c r="Y66" s="284"/>
      <c r="Z66" s="83"/>
      <c r="AA66" s="83"/>
      <c r="AD66" s="84" t="s">
        <v>4047</v>
      </c>
      <c r="AE66" s="84">
        <f>SUM(AE16:AE65)</f>
        <v>0</v>
      </c>
      <c r="AF66" s="84">
        <f t="shared" ref="AF66:BA66" si="86">SUM(AF16:AF65)</f>
        <v>0</v>
      </c>
      <c r="AG66" s="84">
        <f t="shared" si="86"/>
        <v>0</v>
      </c>
      <c r="AH66" s="84">
        <f t="shared" si="86"/>
        <v>0</v>
      </c>
      <c r="AI66" s="84">
        <f t="shared" si="86"/>
        <v>0</v>
      </c>
      <c r="AJ66" s="84">
        <f t="shared" si="86"/>
        <v>0</v>
      </c>
      <c r="AK66" s="84">
        <f t="shared" si="86"/>
        <v>0</v>
      </c>
      <c r="AL66" s="1316">
        <f t="shared" ref="AL66:AR66" si="87">ROUNDDOWN(SUM(AL16:AL65), 0)</f>
        <v>0</v>
      </c>
      <c r="AM66" s="1316">
        <f t="shared" si="87"/>
        <v>0</v>
      </c>
      <c r="AN66" s="1316">
        <f t="shared" si="87"/>
        <v>0</v>
      </c>
      <c r="AO66" s="1316">
        <f t="shared" si="87"/>
        <v>0</v>
      </c>
      <c r="AP66" s="1316">
        <f t="shared" si="87"/>
        <v>0</v>
      </c>
      <c r="AQ66" s="1316">
        <f t="shared" si="87"/>
        <v>0</v>
      </c>
      <c r="AR66" s="1316">
        <f t="shared" si="87"/>
        <v>0</v>
      </c>
      <c r="AS66" s="84" t="s">
        <v>4048</v>
      </c>
      <c r="AT66" s="84">
        <f t="shared" si="86"/>
        <v>0</v>
      </c>
      <c r="AU66" s="1316">
        <f t="shared" si="86"/>
        <v>0</v>
      </c>
      <c r="AV66" s="84" t="s">
        <v>4049</v>
      </c>
      <c r="AW66" s="84">
        <f t="shared" si="86"/>
        <v>0</v>
      </c>
      <c r="AX66" s="1316">
        <f t="shared" si="86"/>
        <v>0</v>
      </c>
      <c r="AY66" s="84" t="s">
        <v>4050</v>
      </c>
      <c r="AZ66" s="84">
        <f t="shared" si="86"/>
        <v>0</v>
      </c>
      <c r="BA66" s="1316">
        <f t="shared" si="86"/>
        <v>0</v>
      </c>
      <c r="BB66" s="84" t="s">
        <v>4051</v>
      </c>
      <c r="BC66" s="84">
        <f>SUM(BC16:BC65)</f>
        <v>0</v>
      </c>
      <c r="BD66" s="84" t="s">
        <v>4052</v>
      </c>
      <c r="BE66" s="84">
        <f>SUM(BE16:BE65)</f>
        <v>0</v>
      </c>
      <c r="BF66" s="84" t="s">
        <v>4053</v>
      </c>
      <c r="BG66" s="84">
        <f>SUM(BG16:BG65)</f>
        <v>0</v>
      </c>
      <c r="BI66" s="285"/>
      <c r="BJ66" s="285"/>
      <c r="BK66" s="285"/>
      <c r="BL66" s="285"/>
      <c r="BM66" s="285"/>
      <c r="BN66" s="285"/>
      <c r="BO66" s="285"/>
      <c r="BP66" s="285"/>
      <c r="BQ66" s="285"/>
      <c r="BR66" s="285"/>
      <c r="BS66" s="285"/>
      <c r="BT66" s="285"/>
      <c r="BU66" s="285"/>
      <c r="BV66" s="285"/>
      <c r="BW66" s="285"/>
      <c r="BX66" s="285"/>
      <c r="BY66" s="1476"/>
      <c r="BZ66" s="1476"/>
      <c r="CA66" s="1476"/>
      <c r="CB66" s="1476"/>
      <c r="CC66" s="1476"/>
      <c r="CD66" s="1476"/>
      <c r="CE66" s="1476"/>
      <c r="CF66" s="1476"/>
      <c r="CG66" s="1476"/>
      <c r="CH66" s="1476"/>
      <c r="CI66" s="84"/>
    </row>
    <row r="67" spans="2:87" ht="15" customHeight="1">
      <c r="B67" s="1714"/>
      <c r="C67" s="1714"/>
      <c r="D67" s="1714"/>
      <c r="E67" s="1714"/>
      <c r="F67" s="1714"/>
      <c r="G67" s="1714"/>
      <c r="H67" s="1714"/>
      <c r="I67" s="1714"/>
      <c r="J67" s="1714"/>
      <c r="K67" s="1714"/>
      <c r="L67" s="1714"/>
      <c r="M67" s="1714"/>
      <c r="N67" s="1714"/>
      <c r="O67" s="1714"/>
      <c r="P67" s="1714"/>
      <c r="Q67" s="1714"/>
      <c r="R67" s="2173" t="s">
        <v>4054</v>
      </c>
      <c r="S67" s="2173"/>
      <c r="T67" s="2173"/>
      <c r="U67" s="1098"/>
      <c r="V67" s="1086"/>
      <c r="W67" s="1086"/>
      <c r="X67" s="1086"/>
      <c r="Y67" s="284"/>
      <c r="Z67" s="83"/>
      <c r="AA67" s="83"/>
      <c r="BI67" s="285"/>
      <c r="BJ67" s="285"/>
      <c r="BK67" s="285"/>
      <c r="BL67" s="285"/>
      <c r="BM67" s="285"/>
      <c r="BN67" s="285"/>
      <c r="BO67" s="285"/>
      <c r="BP67" s="285"/>
      <c r="BQ67" s="285"/>
      <c r="BR67" s="285"/>
      <c r="BS67" s="285"/>
      <c r="BT67" s="285"/>
      <c r="BU67" s="285"/>
      <c r="BV67" s="285"/>
      <c r="BW67" s="285"/>
      <c r="BX67" s="285"/>
      <c r="BY67" s="1476"/>
      <c r="BZ67" s="1476"/>
      <c r="CA67" s="1476"/>
      <c r="CB67" s="1476"/>
      <c r="CC67" s="1476"/>
      <c r="CD67" s="1476"/>
      <c r="CE67" s="1476"/>
      <c r="CF67" s="1476"/>
      <c r="CG67" s="1476"/>
      <c r="CH67" s="1476"/>
      <c r="CI67" s="84"/>
    </row>
    <row r="68" spans="2:87">
      <c r="B68" s="1714"/>
      <c r="C68" s="1714"/>
      <c r="D68" s="1714"/>
      <c r="E68" s="1714"/>
      <c r="F68" s="1714"/>
      <c r="G68" s="1714"/>
      <c r="H68" s="1714"/>
      <c r="I68" s="1714"/>
      <c r="J68" s="1714"/>
      <c r="K68" s="1714"/>
      <c r="L68" s="1714"/>
      <c r="M68" s="1714"/>
      <c r="N68" s="1714"/>
      <c r="O68" s="1714"/>
      <c r="P68" s="1714"/>
      <c r="Q68" s="1714"/>
      <c r="R68" s="1098"/>
      <c r="S68" s="1098"/>
      <c r="T68" s="1098"/>
      <c r="U68" s="1098"/>
      <c r="V68" s="1086"/>
      <c r="W68" s="1086"/>
      <c r="X68" s="1086"/>
      <c r="Y68" s="284"/>
      <c r="Z68" s="83"/>
      <c r="AA68" s="83"/>
      <c r="BI68" s="285"/>
      <c r="BJ68" s="285"/>
      <c r="BK68" s="285"/>
      <c r="BL68" s="285"/>
      <c r="BM68" s="285"/>
      <c r="BN68" s="285"/>
      <c r="BO68" s="285"/>
      <c r="BP68" s="285"/>
      <c r="BQ68" s="285"/>
      <c r="BR68" s="285"/>
      <c r="BS68" s="285"/>
      <c r="BT68" s="285"/>
      <c r="BU68" s="285"/>
      <c r="BV68" s="285"/>
      <c r="BW68" s="285"/>
      <c r="BX68" s="285"/>
      <c r="BY68" s="1476"/>
      <c r="BZ68" s="1476"/>
      <c r="CA68" s="1476"/>
      <c r="CB68" s="1476"/>
      <c r="CC68" s="1476"/>
      <c r="CD68" s="1476"/>
      <c r="CE68" s="1476"/>
      <c r="CF68" s="1476"/>
      <c r="CG68" s="1476"/>
      <c r="CH68" s="1476"/>
      <c r="CI68" s="84"/>
    </row>
    <row r="69" spans="2:87" ht="15.75">
      <c r="B69" s="1714"/>
      <c r="C69" s="2174" t="s">
        <v>4055</v>
      </c>
      <c r="D69" s="2174"/>
      <c r="E69" s="2175"/>
      <c r="F69" s="1497"/>
      <c r="G69" s="1714"/>
      <c r="H69" s="1714"/>
      <c r="I69" s="1099" t="s">
        <v>4056</v>
      </c>
      <c r="J69" s="1497"/>
      <c r="K69" s="1714"/>
      <c r="L69" s="1099" t="s">
        <v>4057</v>
      </c>
      <c r="M69" s="2158"/>
      <c r="N69" s="2159"/>
      <c r="O69" s="1714"/>
      <c r="P69" s="1714"/>
      <c r="Q69" s="1714"/>
      <c r="R69" s="1714"/>
      <c r="S69" s="1714"/>
      <c r="T69" s="1714"/>
      <c r="U69" s="1086"/>
      <c r="V69" s="1086"/>
      <c r="W69" s="1094"/>
      <c r="X69" s="1086"/>
      <c r="Y69" s="284"/>
      <c r="Z69" s="83"/>
      <c r="BI69" s="285"/>
      <c r="BJ69" s="285"/>
      <c r="BK69" s="285"/>
      <c r="BL69" s="285"/>
      <c r="BM69" s="285"/>
      <c r="BN69" s="285"/>
      <c r="BO69" s="285"/>
      <c r="BP69" s="285"/>
      <c r="BQ69" s="285"/>
      <c r="BR69" s="285"/>
      <c r="BS69" s="285"/>
      <c r="BT69" s="285"/>
      <c r="BU69" s="285"/>
      <c r="BV69" s="285"/>
      <c r="BW69" s="285"/>
      <c r="BX69" s="285"/>
      <c r="BY69" s="1476"/>
      <c r="BZ69" s="1476"/>
      <c r="CA69" s="1476"/>
      <c r="CB69" s="1476"/>
      <c r="CC69" s="1476"/>
      <c r="CD69" s="1476"/>
      <c r="CE69" s="1476"/>
      <c r="CF69" s="1476"/>
      <c r="CG69" s="1476"/>
      <c r="CH69" s="84"/>
      <c r="CI69" s="1475"/>
    </row>
    <row r="70" spans="2:87">
      <c r="B70" s="1714"/>
      <c r="C70" s="1714"/>
      <c r="D70" s="1714"/>
      <c r="E70" s="1714"/>
      <c r="F70" s="1714"/>
      <c r="G70" s="1714"/>
      <c r="H70" s="1714"/>
      <c r="I70" s="1714"/>
      <c r="J70" s="1714"/>
      <c r="K70" s="1714"/>
      <c r="L70" s="1714"/>
      <c r="M70" s="1714"/>
      <c r="N70" s="1714"/>
      <c r="O70" s="1714"/>
      <c r="P70" s="1714"/>
      <c r="Q70" s="1714"/>
      <c r="R70" s="1714"/>
      <c r="S70" s="1714"/>
      <c r="T70" s="1714"/>
      <c r="U70" s="1086"/>
      <c r="V70" s="1086"/>
      <c r="W70" s="1086"/>
      <c r="X70" s="1086"/>
      <c r="Y70" s="284"/>
      <c r="Z70" s="83"/>
      <c r="BI70" s="285"/>
      <c r="BJ70" s="285"/>
      <c r="BK70" s="285"/>
      <c r="BL70" s="285"/>
      <c r="BM70" s="285"/>
      <c r="BN70" s="285"/>
      <c r="BO70" s="285"/>
      <c r="BP70" s="285"/>
      <c r="BQ70" s="285"/>
      <c r="BR70" s="285"/>
      <c r="BS70" s="285"/>
      <c r="BT70" s="285"/>
      <c r="BU70" s="285"/>
      <c r="BV70" s="285"/>
      <c r="BW70" s="285"/>
      <c r="BX70" s="285"/>
      <c r="BY70" s="1476"/>
      <c r="BZ70" s="1476"/>
      <c r="CA70" s="1476"/>
      <c r="CB70" s="1476"/>
      <c r="CC70" s="1476"/>
      <c r="CD70" s="1476"/>
      <c r="CE70" s="1476"/>
      <c r="CF70" s="1476"/>
      <c r="CG70" s="1476"/>
      <c r="CH70" s="84"/>
      <c r="CI70" s="1475"/>
    </row>
    <row r="71" spans="2:87" ht="15" customHeight="1">
      <c r="B71" s="1714"/>
      <c r="C71" s="2160" t="s">
        <v>4058</v>
      </c>
      <c r="D71" s="2161"/>
      <c r="E71" s="2161"/>
      <c r="F71" s="2161"/>
      <c r="G71" s="2161"/>
      <c r="H71" s="2161"/>
      <c r="I71" s="2161"/>
      <c r="J71" s="2161"/>
      <c r="K71" s="2161"/>
      <c r="L71" s="2161"/>
      <c r="M71" s="2161"/>
      <c r="N71" s="2161"/>
      <c r="O71" s="2161"/>
      <c r="P71" s="2161"/>
      <c r="Q71" s="2161"/>
      <c r="R71" s="2162"/>
      <c r="S71" s="1714"/>
      <c r="T71" s="1714"/>
      <c r="U71" s="1086"/>
      <c r="V71" s="1086"/>
      <c r="W71" s="1086"/>
      <c r="X71" s="1086"/>
      <c r="Y71" s="284"/>
      <c r="Z71" s="83"/>
      <c r="BI71" s="285"/>
      <c r="BJ71" s="285"/>
      <c r="BK71" s="285"/>
      <c r="BL71" s="285"/>
      <c r="BM71" s="285"/>
      <c r="BN71" s="285"/>
      <c r="BO71" s="285"/>
      <c r="BP71" s="285"/>
      <c r="BQ71" s="285"/>
      <c r="BR71" s="285"/>
      <c r="BS71" s="285"/>
      <c r="BT71" s="285"/>
      <c r="BU71" s="285"/>
      <c r="BV71" s="285"/>
      <c r="BW71" s="285"/>
      <c r="BX71" s="285"/>
      <c r="BY71" s="1476"/>
      <c r="BZ71" s="1476"/>
      <c r="CA71" s="1476"/>
      <c r="CB71" s="1476"/>
      <c r="CC71" s="1476"/>
      <c r="CD71" s="1476"/>
      <c r="CE71" s="1476"/>
      <c r="CF71" s="1476"/>
      <c r="CG71" s="1476"/>
      <c r="CH71" s="84"/>
      <c r="CI71" s="1475"/>
    </row>
    <row r="72" spans="2:87">
      <c r="B72" s="1714"/>
      <c r="C72" s="2163" t="s">
        <v>4059</v>
      </c>
      <c r="D72" s="86"/>
      <c r="E72" s="87" t="s">
        <v>4060</v>
      </c>
      <c r="F72" s="86"/>
      <c r="G72" s="88"/>
      <c r="H72" s="89"/>
      <c r="I72" s="89"/>
      <c r="J72" s="89"/>
      <c r="K72" s="90"/>
      <c r="L72" s="91"/>
      <c r="M72" s="2172" t="s">
        <v>4061</v>
      </c>
      <c r="N72" s="2172"/>
      <c r="O72" s="2172"/>
      <c r="P72" s="2172"/>
      <c r="Q72" s="2172"/>
      <c r="R72" s="2172"/>
      <c r="S72" s="1714"/>
      <c r="T72" s="1714"/>
      <c r="U72" s="1086"/>
      <c r="V72" s="1086"/>
      <c r="W72" s="1086"/>
      <c r="X72" s="1086"/>
      <c r="Y72" s="284"/>
      <c r="Z72" s="83"/>
      <c r="BI72" s="285"/>
      <c r="BJ72" s="285"/>
      <c r="BK72" s="285"/>
      <c r="BL72" s="285"/>
      <c r="BM72" s="285"/>
      <c r="BN72" s="285"/>
      <c r="BO72" s="285"/>
      <c r="BP72" s="285"/>
      <c r="BQ72" s="285"/>
      <c r="BR72" s="285"/>
      <c r="BS72" s="285"/>
      <c r="BT72" s="285"/>
      <c r="BU72" s="285"/>
      <c r="BV72" s="285"/>
      <c r="BW72" s="285"/>
      <c r="BX72" s="285"/>
      <c r="BY72" s="1476"/>
      <c r="BZ72" s="1476"/>
      <c r="CA72" s="1476"/>
      <c r="CB72" s="1476"/>
      <c r="CC72" s="1476"/>
      <c r="CD72" s="1476"/>
      <c r="CE72" s="1476"/>
      <c r="CF72" s="1476"/>
      <c r="CG72" s="1476"/>
      <c r="CH72" s="84"/>
      <c r="CI72" s="1475"/>
    </row>
    <row r="73" spans="2:87">
      <c r="B73" s="1714"/>
      <c r="C73" s="2164"/>
      <c r="D73" s="2165" t="s">
        <v>4062</v>
      </c>
      <c r="E73" s="2166"/>
      <c r="F73" s="2167"/>
      <c r="G73" s="2168" t="s">
        <v>4063</v>
      </c>
      <c r="H73" s="2169"/>
      <c r="I73" s="2169"/>
      <c r="J73" s="2170" t="s">
        <v>4064</v>
      </c>
      <c r="K73" s="2171"/>
      <c r="L73" s="2171"/>
      <c r="M73" s="92" t="s">
        <v>4065</v>
      </c>
      <c r="N73" s="92" t="s">
        <v>4066</v>
      </c>
      <c r="O73" s="92" t="s">
        <v>4067</v>
      </c>
      <c r="P73" s="92" t="s">
        <v>4068</v>
      </c>
      <c r="Q73" s="92" t="s">
        <v>4069</v>
      </c>
      <c r="R73" s="92" t="s">
        <v>4070</v>
      </c>
      <c r="S73" s="1714"/>
      <c r="T73" s="1714"/>
      <c r="U73" s="1086"/>
      <c r="V73" s="1086"/>
      <c r="W73" s="1086"/>
      <c r="X73" s="1086"/>
      <c r="Y73" s="284"/>
      <c r="Z73" s="83"/>
      <c r="BI73" s="285"/>
      <c r="BJ73" s="285"/>
      <c r="BK73" s="285"/>
      <c r="BL73" s="285"/>
      <c r="BM73" s="285"/>
      <c r="BN73" s="285"/>
      <c r="BO73" s="285"/>
      <c r="BP73" s="285"/>
      <c r="BQ73" s="285"/>
      <c r="BR73" s="285"/>
      <c r="BS73" s="285"/>
      <c r="BT73" s="285"/>
      <c r="BU73" s="285"/>
      <c r="BV73" s="285"/>
      <c r="BW73" s="285"/>
      <c r="BX73" s="285"/>
      <c r="BY73" s="1476"/>
      <c r="BZ73" s="1476"/>
      <c r="CA73" s="1476"/>
      <c r="CB73" s="1476"/>
      <c r="CC73" s="1476"/>
      <c r="CD73" s="1476"/>
      <c r="CE73" s="1476"/>
      <c r="CF73" s="1476"/>
      <c r="CG73" s="1476"/>
      <c r="CH73" s="84"/>
      <c r="CI73" s="1475"/>
    </row>
    <row r="74" spans="2:87">
      <c r="B74" s="1714"/>
      <c r="C74" s="1497"/>
      <c r="D74" s="2145" t="s">
        <v>1902</v>
      </c>
      <c r="E74" s="2135"/>
      <c r="F74" s="2135"/>
      <c r="G74" s="2150"/>
      <c r="H74" s="2155"/>
      <c r="I74" s="2156"/>
      <c r="J74" s="2150"/>
      <c r="K74" s="2155"/>
      <c r="L74" s="2155"/>
      <c r="M74" s="1498">
        <v>0</v>
      </c>
      <c r="N74" s="1498">
        <v>0</v>
      </c>
      <c r="O74" s="1498">
        <v>0</v>
      </c>
      <c r="P74" s="1498">
        <v>0</v>
      </c>
      <c r="Q74" s="1498">
        <v>0</v>
      </c>
      <c r="R74" s="1498">
        <v>0</v>
      </c>
      <c r="S74" s="1714"/>
      <c r="T74" s="1714"/>
      <c r="U74" s="1086"/>
      <c r="V74" s="1086"/>
      <c r="W74" s="1086"/>
      <c r="X74" s="1086"/>
      <c r="Y74" s="284"/>
      <c r="Z74" s="83"/>
      <c r="BI74" s="285"/>
      <c r="BJ74" s="285"/>
      <c r="BK74" s="285"/>
      <c r="BL74" s="285"/>
      <c r="BM74" s="285"/>
      <c r="BN74" s="285"/>
      <c r="BO74" s="285"/>
      <c r="BP74" s="285"/>
      <c r="BQ74" s="285"/>
      <c r="BR74" s="285"/>
      <c r="BS74" s="285"/>
      <c r="BT74" s="285"/>
      <c r="BU74" s="285"/>
      <c r="BV74" s="285"/>
      <c r="BW74" s="285"/>
      <c r="BX74" s="285"/>
      <c r="BY74" s="1476"/>
      <c r="BZ74" s="1476"/>
      <c r="CA74" s="1476"/>
      <c r="CB74" s="1476"/>
      <c r="CC74" s="1476"/>
      <c r="CD74" s="1476"/>
      <c r="CE74" s="1476"/>
      <c r="CF74" s="1476"/>
      <c r="CG74" s="1476"/>
      <c r="CH74" s="84"/>
      <c r="CI74" s="1475"/>
    </row>
    <row r="75" spans="2:87">
      <c r="B75" s="1714"/>
      <c r="C75" s="1497"/>
      <c r="D75" s="2145" t="s">
        <v>259</v>
      </c>
      <c r="E75" s="2135"/>
      <c r="F75" s="2135"/>
      <c r="G75" s="2150"/>
      <c r="H75" s="2155"/>
      <c r="I75" s="2156"/>
      <c r="J75" s="2150"/>
      <c r="K75" s="2155"/>
      <c r="L75" s="2156"/>
      <c r="M75" s="1498">
        <v>0</v>
      </c>
      <c r="N75" s="1498">
        <v>0</v>
      </c>
      <c r="O75" s="1498">
        <v>0</v>
      </c>
      <c r="P75" s="1498">
        <v>0</v>
      </c>
      <c r="Q75" s="1498">
        <v>0</v>
      </c>
      <c r="R75" s="1498">
        <v>0</v>
      </c>
      <c r="S75" s="1714"/>
      <c r="T75" s="1714"/>
      <c r="U75" s="1086"/>
      <c r="V75" s="1086"/>
      <c r="W75" s="1086"/>
      <c r="X75" s="1086"/>
      <c r="BI75" s="285"/>
      <c r="BJ75" s="285"/>
      <c r="BK75" s="285"/>
      <c r="BL75" s="285"/>
      <c r="BM75" s="285"/>
      <c r="BN75" s="285"/>
      <c r="BO75" s="285"/>
      <c r="BP75" s="285"/>
      <c r="BQ75" s="285"/>
      <c r="BR75" s="285"/>
      <c r="BS75" s="285"/>
      <c r="BT75" s="285"/>
      <c r="BU75" s="285"/>
      <c r="BV75" s="285"/>
      <c r="BW75" s="285"/>
      <c r="BX75" s="285"/>
      <c r="BY75" s="1476"/>
      <c r="BZ75" s="1476"/>
      <c r="CA75" s="1476"/>
      <c r="CB75" s="1476"/>
      <c r="CC75" s="1476"/>
      <c r="CD75" s="1476"/>
      <c r="CE75" s="1476"/>
      <c r="CF75" s="1476"/>
      <c r="CG75" s="1476"/>
      <c r="CH75" s="84"/>
      <c r="CI75" s="1475"/>
    </row>
    <row r="76" spans="2:87">
      <c r="B76" s="1714"/>
      <c r="C76" s="1497"/>
      <c r="D76" s="2145" t="s">
        <v>260</v>
      </c>
      <c r="E76" s="2135"/>
      <c r="F76" s="2135"/>
      <c r="G76" s="2150"/>
      <c r="H76" s="2155"/>
      <c r="I76" s="2156"/>
      <c r="J76" s="2150"/>
      <c r="K76" s="2155"/>
      <c r="L76" s="2155"/>
      <c r="M76" s="1498">
        <v>0</v>
      </c>
      <c r="N76" s="1498">
        <v>0</v>
      </c>
      <c r="O76" s="1498">
        <v>0</v>
      </c>
      <c r="P76" s="1498">
        <v>0</v>
      </c>
      <c r="Q76" s="1498">
        <v>0</v>
      </c>
      <c r="R76" s="1498">
        <v>0</v>
      </c>
      <c r="S76" s="1714"/>
      <c r="T76" s="1714"/>
      <c r="U76" s="1086"/>
      <c r="V76" s="1086"/>
      <c r="W76" s="1086"/>
      <c r="X76" s="1086"/>
      <c r="BI76" s="285"/>
      <c r="BJ76" s="285"/>
      <c r="BK76" s="285"/>
      <c r="BL76" s="285"/>
      <c r="BM76" s="285"/>
      <c r="BN76" s="285"/>
      <c r="BO76" s="285"/>
      <c r="BP76" s="285"/>
      <c r="BQ76" s="285"/>
      <c r="BR76" s="285"/>
      <c r="BS76" s="285"/>
      <c r="BT76" s="285"/>
      <c r="BU76" s="285"/>
      <c r="BV76" s="285"/>
      <c r="BW76" s="285"/>
      <c r="BX76" s="285"/>
      <c r="BY76" s="1476"/>
      <c r="BZ76" s="1476"/>
      <c r="CA76" s="1476"/>
      <c r="CB76" s="1476"/>
      <c r="CC76" s="1476"/>
      <c r="CD76" s="1476"/>
      <c r="CE76" s="1476"/>
      <c r="CF76" s="1476"/>
      <c r="CG76" s="1476"/>
      <c r="CH76" s="84"/>
      <c r="CI76" s="1475"/>
    </row>
    <row r="77" spans="2:87">
      <c r="B77" s="1714"/>
      <c r="C77" s="1497"/>
      <c r="D77" s="2145" t="s">
        <v>3382</v>
      </c>
      <c r="E77" s="2135"/>
      <c r="F77" s="2135"/>
      <c r="G77" s="2150"/>
      <c r="H77" s="2155"/>
      <c r="I77" s="2156"/>
      <c r="J77" s="2150"/>
      <c r="K77" s="2155"/>
      <c r="L77" s="2156"/>
      <c r="M77" s="1498">
        <v>0</v>
      </c>
      <c r="N77" s="1498">
        <v>0</v>
      </c>
      <c r="O77" s="1498">
        <v>0</v>
      </c>
      <c r="P77" s="1498">
        <v>0</v>
      </c>
      <c r="Q77" s="1498">
        <v>0</v>
      </c>
      <c r="R77" s="1498">
        <v>0</v>
      </c>
      <c r="S77" s="1714"/>
      <c r="T77" s="1714"/>
      <c r="U77" s="1086"/>
      <c r="V77" s="1086"/>
      <c r="W77" s="1086"/>
      <c r="X77" s="1086"/>
      <c r="BI77" s="285"/>
      <c r="BJ77" s="285"/>
      <c r="BK77" s="285"/>
      <c r="BL77" s="285"/>
      <c r="BM77" s="285"/>
      <c r="BN77" s="285"/>
      <c r="BO77" s="285"/>
      <c r="BP77" s="285"/>
      <c r="BQ77" s="285"/>
      <c r="BR77" s="285"/>
      <c r="BS77" s="285"/>
      <c r="BT77" s="285"/>
      <c r="BU77" s="285"/>
      <c r="BV77" s="285"/>
      <c r="BW77" s="285"/>
      <c r="BX77" s="285"/>
      <c r="BY77" s="1476"/>
      <c r="BZ77" s="1476"/>
      <c r="CA77" s="1476"/>
      <c r="CB77" s="1476"/>
      <c r="CC77" s="1476"/>
      <c r="CD77" s="1476"/>
      <c r="CE77" s="1476"/>
      <c r="CF77" s="1476"/>
      <c r="CG77" s="1476"/>
      <c r="CH77" s="84"/>
      <c r="CI77" s="1475"/>
    </row>
    <row r="78" spans="2:87">
      <c r="B78" s="1714"/>
      <c r="C78" s="1497"/>
      <c r="D78" s="2145" t="s">
        <v>261</v>
      </c>
      <c r="E78" s="2135"/>
      <c r="F78" s="2135"/>
      <c r="G78" s="2150"/>
      <c r="H78" s="2155"/>
      <c r="I78" s="2156"/>
      <c r="J78" s="2150"/>
      <c r="K78" s="2155"/>
      <c r="L78" s="2155"/>
      <c r="M78" s="1498">
        <v>0</v>
      </c>
      <c r="N78" s="1498">
        <v>0</v>
      </c>
      <c r="O78" s="1498">
        <v>0</v>
      </c>
      <c r="P78" s="1498">
        <v>0</v>
      </c>
      <c r="Q78" s="1498">
        <v>0</v>
      </c>
      <c r="R78" s="1498">
        <v>0</v>
      </c>
      <c r="S78" s="1714"/>
      <c r="T78" s="1714"/>
      <c r="U78" s="1086"/>
      <c r="V78" s="1086"/>
      <c r="W78" s="1086"/>
      <c r="X78" s="1086"/>
      <c r="BI78" s="285"/>
      <c r="BJ78" s="285"/>
      <c r="BK78" s="285"/>
      <c r="BL78" s="285"/>
      <c r="BM78" s="285"/>
      <c r="BN78" s="285"/>
      <c r="BO78" s="285"/>
      <c r="BP78" s="285"/>
      <c r="BQ78" s="285"/>
      <c r="BR78" s="285"/>
      <c r="BS78" s="285"/>
      <c r="BT78" s="285"/>
      <c r="BU78" s="285"/>
      <c r="BV78" s="285"/>
      <c r="BW78" s="285"/>
      <c r="BX78" s="285"/>
      <c r="BY78" s="1476"/>
      <c r="BZ78" s="1476"/>
      <c r="CA78" s="1476"/>
      <c r="CB78" s="1476"/>
      <c r="CC78" s="1476"/>
      <c r="CD78" s="1476"/>
      <c r="CE78" s="1476"/>
      <c r="CF78" s="1476"/>
      <c r="CG78" s="1476"/>
      <c r="CH78" s="84"/>
      <c r="CI78" s="1475"/>
    </row>
    <row r="79" spans="2:87">
      <c r="B79" s="1714"/>
      <c r="C79" s="1497"/>
      <c r="D79" s="2145" t="s">
        <v>3383</v>
      </c>
      <c r="E79" s="2135"/>
      <c r="F79" s="2135"/>
      <c r="G79" s="1714"/>
      <c r="H79" s="1714"/>
      <c r="I79" s="1714"/>
      <c r="J79" s="1714"/>
      <c r="K79" s="1714"/>
      <c r="L79" s="1714"/>
      <c r="M79" s="1498">
        <v>0</v>
      </c>
      <c r="N79" s="1498">
        <v>0</v>
      </c>
      <c r="O79" s="1498">
        <v>0</v>
      </c>
      <c r="P79" s="1498">
        <v>0</v>
      </c>
      <c r="Q79" s="1498">
        <v>0</v>
      </c>
      <c r="R79" s="1498">
        <v>0</v>
      </c>
      <c r="S79" s="1714"/>
      <c r="T79" s="1714"/>
      <c r="U79" s="1086"/>
      <c r="V79" s="1086"/>
      <c r="W79" s="1086"/>
      <c r="X79" s="1086"/>
      <c r="BI79" s="285"/>
      <c r="BJ79" s="285"/>
      <c r="BK79" s="285"/>
      <c r="BL79" s="285"/>
      <c r="BM79" s="285"/>
      <c r="BN79" s="285"/>
      <c r="BO79" s="285"/>
      <c r="BP79" s="285"/>
      <c r="BQ79" s="285"/>
      <c r="BR79" s="285"/>
      <c r="BS79" s="285"/>
      <c r="BT79" s="285"/>
      <c r="BU79" s="285"/>
      <c r="BV79" s="285"/>
      <c r="BW79" s="285"/>
      <c r="BX79" s="285"/>
      <c r="BY79" s="1476"/>
      <c r="BZ79" s="1476"/>
      <c r="CA79" s="1476"/>
      <c r="CB79" s="1476"/>
      <c r="CC79" s="1476"/>
      <c r="CD79" s="1476"/>
      <c r="CE79" s="1476"/>
      <c r="CF79" s="1476"/>
      <c r="CG79" s="1476"/>
      <c r="CH79" s="84"/>
      <c r="CI79" s="1475"/>
    </row>
    <row r="80" spans="2:87">
      <c r="B80" s="1714"/>
      <c r="C80" s="1497"/>
      <c r="D80" s="2145" t="s">
        <v>3384</v>
      </c>
      <c r="E80" s="2135"/>
      <c r="F80" s="2135"/>
      <c r="G80" s="1499"/>
      <c r="H80" s="1100" t="s">
        <v>4071</v>
      </c>
      <c r="I80" s="1714"/>
      <c r="J80" s="1714"/>
      <c r="K80" s="1714"/>
      <c r="L80" s="1500"/>
      <c r="M80" s="1498">
        <v>0</v>
      </c>
      <c r="N80" s="1498">
        <v>0</v>
      </c>
      <c r="O80" s="1498">
        <v>0</v>
      </c>
      <c r="P80" s="1498">
        <v>0</v>
      </c>
      <c r="Q80" s="1498">
        <v>0</v>
      </c>
      <c r="R80" s="1498">
        <v>0</v>
      </c>
      <c r="S80" s="1714"/>
      <c r="T80" s="1714"/>
      <c r="U80" s="1086"/>
      <c r="V80" s="1086"/>
      <c r="W80" s="1086"/>
      <c r="X80" s="1086"/>
      <c r="BI80" s="285"/>
      <c r="BJ80" s="285"/>
      <c r="BK80" s="285"/>
      <c r="BL80" s="285"/>
      <c r="BM80" s="285"/>
      <c r="BN80" s="285"/>
      <c r="BO80" s="285"/>
      <c r="BP80" s="285"/>
      <c r="BQ80" s="285"/>
      <c r="BR80" s="285"/>
      <c r="BS80" s="285"/>
      <c r="BT80" s="285"/>
      <c r="BU80" s="285"/>
      <c r="BV80" s="285"/>
      <c r="BW80" s="285"/>
      <c r="BX80" s="285"/>
      <c r="BY80" s="1476"/>
      <c r="BZ80" s="1476"/>
      <c r="CA80" s="1476"/>
      <c r="CB80" s="1476"/>
      <c r="CC80" s="1476"/>
      <c r="CD80" s="1476"/>
      <c r="CE80" s="1476"/>
      <c r="CF80" s="1476"/>
      <c r="CG80" s="1476"/>
      <c r="CH80" s="84"/>
      <c r="CI80" s="1475"/>
    </row>
    <row r="81" spans="1:86">
      <c r="B81" s="1714"/>
      <c r="C81" s="1497"/>
      <c r="D81" s="2145" t="s">
        <v>4072</v>
      </c>
      <c r="E81" s="2135"/>
      <c r="F81" s="2135"/>
      <c r="G81" s="1499"/>
      <c r="H81" s="2150"/>
      <c r="I81" s="2151"/>
      <c r="J81" s="2151"/>
      <c r="K81" s="2152"/>
      <c r="L81" s="1500"/>
      <c r="M81" s="1498">
        <v>0</v>
      </c>
      <c r="N81" s="1498">
        <v>0</v>
      </c>
      <c r="O81" s="1498">
        <v>0</v>
      </c>
      <c r="P81" s="1498">
        <v>0</v>
      </c>
      <c r="Q81" s="1498">
        <v>0</v>
      </c>
      <c r="R81" s="1498">
        <v>0</v>
      </c>
      <c r="S81" s="1714"/>
      <c r="T81" s="1714"/>
      <c r="U81" s="1086"/>
      <c r="V81" s="1086"/>
      <c r="W81" s="1086"/>
      <c r="X81" s="1086"/>
      <c r="BI81" s="285"/>
      <c r="BJ81" s="285"/>
      <c r="BK81" s="285"/>
      <c r="BL81" s="285"/>
      <c r="BM81" s="285"/>
      <c r="BN81" s="285"/>
      <c r="BO81" s="285"/>
      <c r="BP81" s="285"/>
      <c r="BQ81" s="285"/>
      <c r="BR81" s="285"/>
      <c r="BS81" s="285"/>
      <c r="BT81" s="285"/>
      <c r="BU81" s="285"/>
      <c r="BV81" s="285"/>
      <c r="BW81" s="285"/>
      <c r="BX81" s="285"/>
      <c r="BY81" s="1476"/>
      <c r="BZ81" s="1476"/>
      <c r="CA81" s="1476"/>
      <c r="CB81" s="1476"/>
      <c r="CC81" s="1476"/>
      <c r="CD81" s="1476"/>
      <c r="CE81" s="1476"/>
      <c r="CF81" s="1476"/>
      <c r="CG81" s="1476"/>
      <c r="CH81" s="84"/>
    </row>
    <row r="82" spans="1:86">
      <c r="B82" s="1714"/>
      <c r="C82" s="1497"/>
      <c r="D82" s="2145" t="s">
        <v>4073</v>
      </c>
      <c r="E82" s="2135"/>
      <c r="F82" s="2135"/>
      <c r="G82" s="1101"/>
      <c r="H82" s="1715" t="s">
        <v>4074</v>
      </c>
      <c r="I82" s="2153" t="s">
        <v>3830</v>
      </c>
      <c r="J82" s="2154"/>
      <c r="K82" s="1714"/>
      <c r="L82" s="1500"/>
      <c r="M82" s="1498">
        <v>0</v>
      </c>
      <c r="N82" s="1498">
        <v>0</v>
      </c>
      <c r="O82" s="1498">
        <v>0</v>
      </c>
      <c r="P82" s="1498">
        <v>0</v>
      </c>
      <c r="Q82" s="1498">
        <v>0</v>
      </c>
      <c r="R82" s="1498">
        <v>0</v>
      </c>
      <c r="S82" s="1714"/>
      <c r="T82" s="1714"/>
      <c r="U82" s="1086"/>
      <c r="V82" s="1086"/>
      <c r="W82" s="1086"/>
      <c r="X82" s="1086"/>
      <c r="BI82" s="285"/>
      <c r="BJ82" s="285"/>
      <c r="BK82" s="285"/>
      <c r="BL82" s="285"/>
      <c r="BM82" s="285"/>
      <c r="BN82" s="285"/>
      <c r="BO82" s="285"/>
      <c r="BP82" s="285"/>
      <c r="BQ82" s="285"/>
      <c r="BR82" s="285"/>
      <c r="BS82" s="285"/>
      <c r="BT82" s="285"/>
      <c r="BU82" s="285"/>
      <c r="BV82" s="285"/>
      <c r="BW82" s="285"/>
      <c r="BX82" s="285"/>
      <c r="BY82" s="1476"/>
      <c r="BZ82" s="1476"/>
      <c r="CA82" s="1476"/>
      <c r="CB82" s="1476"/>
      <c r="CC82" s="1476"/>
      <c r="CD82" s="1476"/>
      <c r="CE82" s="1476"/>
      <c r="CF82" s="1476"/>
      <c r="CG82" s="1476"/>
      <c r="CH82" s="84"/>
    </row>
    <row r="83" spans="1:86">
      <c r="B83" s="1714"/>
      <c r="C83" s="1497"/>
      <c r="D83" s="2145" t="s">
        <v>4075</v>
      </c>
      <c r="E83" s="2135"/>
      <c r="F83" s="2135"/>
      <c r="G83" s="1101"/>
      <c r="H83" s="1714"/>
      <c r="I83" s="1713" t="s">
        <v>3830</v>
      </c>
      <c r="J83" s="1714"/>
      <c r="K83" s="1714"/>
      <c r="L83" s="1500"/>
      <c r="M83" s="1498">
        <v>0</v>
      </c>
      <c r="N83" s="1498">
        <v>0</v>
      </c>
      <c r="O83" s="1498">
        <v>0</v>
      </c>
      <c r="P83" s="1498">
        <v>0</v>
      </c>
      <c r="Q83" s="1498">
        <v>0</v>
      </c>
      <c r="R83" s="1498">
        <v>0</v>
      </c>
      <c r="S83" s="1714"/>
      <c r="T83" s="1714"/>
      <c r="U83" s="1086"/>
      <c r="V83" s="1086"/>
      <c r="W83" s="1086"/>
      <c r="X83" s="1086"/>
      <c r="BI83" s="285"/>
      <c r="BJ83" s="285"/>
      <c r="BK83" s="285"/>
      <c r="BL83" s="285"/>
      <c r="BM83" s="285"/>
      <c r="BN83" s="285"/>
      <c r="BO83" s="285"/>
      <c r="BP83" s="285"/>
      <c r="BQ83" s="285"/>
      <c r="BR83" s="285"/>
      <c r="BS83" s="285"/>
      <c r="BT83" s="285"/>
      <c r="BU83" s="285"/>
      <c r="BV83" s="285"/>
      <c r="BW83" s="285"/>
      <c r="BX83" s="285"/>
      <c r="BY83" s="1476"/>
      <c r="BZ83" s="1476"/>
      <c r="CA83" s="1476"/>
      <c r="CB83" s="1476"/>
      <c r="CC83" s="1476"/>
      <c r="CD83" s="1476"/>
      <c r="CE83" s="1476"/>
      <c r="CF83" s="1476"/>
      <c r="CG83" s="1476"/>
      <c r="CH83" s="84"/>
    </row>
    <row r="84" spans="1:86">
      <c r="B84" s="1714"/>
      <c r="C84" s="1497"/>
      <c r="D84" s="2145" t="s">
        <v>4076</v>
      </c>
      <c r="E84" s="2135"/>
      <c r="F84" s="2135"/>
      <c r="G84" s="1714"/>
      <c r="H84" s="1713" t="s">
        <v>3830</v>
      </c>
      <c r="I84" s="1714"/>
      <c r="J84" s="1714"/>
      <c r="K84" s="1714"/>
      <c r="L84" s="1714"/>
      <c r="M84" s="1498">
        <v>0</v>
      </c>
      <c r="N84" s="1498">
        <v>0</v>
      </c>
      <c r="O84" s="1498">
        <v>0</v>
      </c>
      <c r="P84" s="1498">
        <v>0</v>
      </c>
      <c r="Q84" s="1498">
        <v>0</v>
      </c>
      <c r="R84" s="1498">
        <v>0</v>
      </c>
      <c r="S84" s="1714"/>
      <c r="T84" s="1714"/>
      <c r="U84" s="1086"/>
      <c r="V84" s="1086"/>
      <c r="W84" s="1086"/>
      <c r="X84" s="1086"/>
      <c r="BI84" s="285"/>
      <c r="BJ84" s="285"/>
      <c r="BK84" s="285"/>
      <c r="BL84" s="285"/>
      <c r="BM84" s="285"/>
      <c r="BN84" s="285"/>
      <c r="BO84" s="285"/>
      <c r="BP84" s="285"/>
      <c r="BQ84" s="285"/>
      <c r="BR84" s="285"/>
      <c r="BS84" s="285"/>
      <c r="BT84" s="285"/>
      <c r="BU84" s="285"/>
      <c r="BV84" s="285"/>
      <c r="BW84" s="285"/>
      <c r="BX84" s="285"/>
      <c r="BY84" s="1476"/>
      <c r="BZ84" s="1476"/>
      <c r="CA84" s="1476"/>
      <c r="CB84" s="1476"/>
      <c r="CC84" s="1476"/>
      <c r="CD84" s="1476"/>
      <c r="CE84" s="1476"/>
      <c r="CF84" s="1476"/>
      <c r="CG84" s="1476"/>
      <c r="CH84" s="84"/>
    </row>
    <row r="85" spans="1:86">
      <c r="B85" s="1714"/>
      <c r="C85" s="1497"/>
      <c r="D85" s="2146" t="s">
        <v>4077</v>
      </c>
      <c r="E85" s="2135"/>
      <c r="F85" s="2135"/>
      <c r="G85" s="1480"/>
      <c r="H85" s="2147" t="s">
        <v>3830</v>
      </c>
      <c r="I85" s="2148"/>
      <c r="J85" s="2148"/>
      <c r="K85" s="2148"/>
      <c r="L85" s="1714"/>
      <c r="M85" s="1498">
        <v>0</v>
      </c>
      <c r="N85" s="1498">
        <v>0</v>
      </c>
      <c r="O85" s="1498">
        <v>0</v>
      </c>
      <c r="P85" s="1498">
        <v>0</v>
      </c>
      <c r="Q85" s="1498">
        <v>0</v>
      </c>
      <c r="R85" s="1498">
        <v>0</v>
      </c>
      <c r="S85" s="1714"/>
      <c r="T85" s="1714"/>
      <c r="U85" s="1086"/>
      <c r="V85" s="1086"/>
      <c r="W85" s="1086"/>
      <c r="X85" s="1086"/>
      <c r="BI85" s="285"/>
      <c r="BJ85" s="285"/>
      <c r="BK85" s="285"/>
      <c r="BL85" s="285"/>
      <c r="BM85" s="285"/>
      <c r="BN85" s="285"/>
      <c r="BO85" s="285"/>
      <c r="BP85" s="285"/>
      <c r="BQ85" s="285"/>
      <c r="BR85" s="285"/>
      <c r="BS85" s="285"/>
      <c r="BT85" s="285"/>
      <c r="BU85" s="285"/>
      <c r="BV85" s="285"/>
      <c r="BW85" s="285"/>
      <c r="BX85" s="285"/>
      <c r="BY85" s="1476"/>
      <c r="BZ85" s="1476"/>
      <c r="CA85" s="1476"/>
      <c r="CB85" s="1476"/>
      <c r="CC85" s="1476"/>
      <c r="CD85" s="1476"/>
      <c r="CE85" s="1476"/>
      <c r="CF85" s="1476"/>
      <c r="CG85" s="1476"/>
      <c r="CH85" s="84"/>
    </row>
    <row r="86" spans="1:86">
      <c r="B86" s="1714"/>
      <c r="C86" s="1714"/>
      <c r="D86" s="1714"/>
      <c r="E86" s="1714"/>
      <c r="F86" s="1714"/>
      <c r="G86" s="1714"/>
      <c r="H86" s="1714"/>
      <c r="I86" s="1714"/>
      <c r="J86" s="2149" t="s">
        <v>4078</v>
      </c>
      <c r="K86" s="2148"/>
      <c r="L86" s="2148"/>
      <c r="M86" s="1712">
        <f>SUM(M74:M85)</f>
        <v>0</v>
      </c>
      <c r="N86" s="1712">
        <f t="shared" ref="N86:R86" si="88">SUM(N74:N85)</f>
        <v>0</v>
      </c>
      <c r="O86" s="1712">
        <f t="shared" si="88"/>
        <v>0</v>
      </c>
      <c r="P86" s="1712">
        <f t="shared" si="88"/>
        <v>0</v>
      </c>
      <c r="Q86" s="1712">
        <f t="shared" si="88"/>
        <v>0</v>
      </c>
      <c r="R86" s="1712">
        <f t="shared" si="88"/>
        <v>0</v>
      </c>
      <c r="S86" s="1714"/>
      <c r="T86" s="1714"/>
      <c r="U86" s="1086"/>
      <c r="V86" s="1086"/>
      <c r="W86" s="1086"/>
      <c r="X86" s="1086"/>
      <c r="BI86" s="285"/>
      <c r="BJ86" s="285"/>
      <c r="BK86" s="285"/>
      <c r="BL86" s="285"/>
      <c r="BM86" s="285"/>
      <c r="BN86" s="285"/>
      <c r="BO86" s="285"/>
      <c r="BP86" s="285"/>
      <c r="BQ86" s="285"/>
      <c r="BR86" s="285"/>
      <c r="BS86" s="285"/>
      <c r="BT86" s="285"/>
      <c r="BU86" s="285"/>
      <c r="BV86" s="285"/>
      <c r="BW86" s="285"/>
      <c r="BX86" s="285"/>
      <c r="BY86" s="1476"/>
      <c r="BZ86" s="1476"/>
      <c r="CA86" s="1476"/>
      <c r="CB86" s="1476"/>
      <c r="CC86" s="1476"/>
      <c r="CD86" s="1476"/>
      <c r="CE86" s="1476"/>
      <c r="CF86" s="1476"/>
      <c r="CG86" s="1476"/>
      <c r="CH86" s="84"/>
    </row>
    <row r="87" spans="1:86">
      <c r="B87" s="1714"/>
      <c r="C87" s="2142" t="s">
        <v>4079</v>
      </c>
      <c r="D87" s="2143"/>
      <c r="E87" s="2143"/>
      <c r="F87" s="2143"/>
      <c r="G87" s="2143"/>
      <c r="H87" s="2143"/>
      <c r="I87" s="2144"/>
      <c r="J87" s="93" t="s">
        <v>4080</v>
      </c>
      <c r="K87" s="1102"/>
      <c r="L87" s="1103"/>
      <c r="M87" s="2137" t="s">
        <v>4081</v>
      </c>
      <c r="N87" s="2137"/>
      <c r="O87" s="2137"/>
      <c r="P87" s="2138"/>
      <c r="Q87" s="1501"/>
      <c r="R87" s="1502"/>
      <c r="S87" s="1714"/>
      <c r="T87" s="1714"/>
      <c r="U87" s="1086"/>
      <c r="V87" s="1086"/>
      <c r="W87" s="1086"/>
      <c r="X87" s="1086"/>
      <c r="BI87" s="285"/>
      <c r="BJ87" s="285"/>
      <c r="BK87" s="285"/>
      <c r="BL87" s="285"/>
      <c r="BM87" s="285"/>
      <c r="BN87" s="285"/>
      <c r="BO87" s="285"/>
      <c r="BP87" s="285"/>
      <c r="BQ87" s="285"/>
      <c r="BR87" s="285"/>
      <c r="BS87" s="285"/>
      <c r="BT87" s="285"/>
      <c r="BU87" s="285"/>
      <c r="BV87" s="285"/>
      <c r="BW87" s="285"/>
      <c r="BX87" s="285"/>
      <c r="BY87" s="1476"/>
      <c r="BZ87" s="1476"/>
      <c r="CA87" s="1476"/>
      <c r="CB87" s="1476"/>
      <c r="CC87" s="1476"/>
      <c r="CD87" s="1476"/>
      <c r="CE87" s="1476"/>
      <c r="CF87" s="1476"/>
      <c r="CG87" s="1476"/>
      <c r="CH87" s="84"/>
    </row>
    <row r="88" spans="1:86">
      <c r="B88" s="1714"/>
      <c r="C88" s="2139" t="s">
        <v>287</v>
      </c>
      <c r="D88" s="2140"/>
      <c r="E88" s="2134"/>
      <c r="F88" s="2134"/>
      <c r="G88" s="2134"/>
      <c r="H88" s="2134"/>
      <c r="I88" s="2134"/>
      <c r="J88" s="1501"/>
      <c r="K88" s="1714"/>
      <c r="L88" s="1714" t="s">
        <v>3830</v>
      </c>
      <c r="M88" s="2141" t="s">
        <v>4082</v>
      </c>
      <c r="N88" s="2141"/>
      <c r="O88" s="2141"/>
      <c r="P88" s="2141"/>
      <c r="Q88" s="1503"/>
      <c r="R88" s="1503"/>
      <c r="S88" s="1503"/>
      <c r="T88" s="1714"/>
      <c r="U88" s="1086"/>
      <c r="V88" s="1086"/>
      <c r="W88" s="1086"/>
      <c r="X88" s="1086"/>
      <c r="BI88" s="285"/>
      <c r="BJ88" s="285"/>
      <c r="BK88" s="285"/>
      <c r="BL88" s="285"/>
      <c r="BM88" s="285"/>
      <c r="BN88" s="285"/>
      <c r="BO88" s="285"/>
      <c r="BP88" s="285"/>
      <c r="BQ88" s="285"/>
      <c r="BR88" s="285"/>
      <c r="BS88" s="285"/>
      <c r="BT88" s="285"/>
      <c r="BU88" s="285"/>
      <c r="BV88" s="285"/>
      <c r="BW88" s="285"/>
      <c r="BX88" s="285"/>
      <c r="BY88" s="1476"/>
      <c r="BZ88" s="1476"/>
      <c r="CA88" s="1476"/>
      <c r="CB88" s="1476"/>
      <c r="CC88" s="1476"/>
      <c r="CD88" s="1476"/>
      <c r="CE88" s="1476"/>
      <c r="CF88" s="1476"/>
      <c r="CG88" s="1476"/>
      <c r="CH88" s="84"/>
    </row>
    <row r="89" spans="1:86">
      <c r="B89" s="1714"/>
      <c r="C89" s="2139" t="s">
        <v>274</v>
      </c>
      <c r="D89" s="2140"/>
      <c r="E89" s="2134"/>
      <c r="F89" s="2134"/>
      <c r="G89" s="2134"/>
      <c r="H89" s="2134"/>
      <c r="I89" s="2134"/>
      <c r="J89" s="1501"/>
      <c r="K89" s="1714"/>
      <c r="L89" s="1714"/>
      <c r="M89" s="1949"/>
      <c r="N89" s="1950"/>
      <c r="O89" s="1950"/>
      <c r="P89" s="1950"/>
      <c r="Q89" s="1950"/>
      <c r="R89" s="1950"/>
      <c r="S89" s="1951"/>
      <c r="T89" s="1714"/>
      <c r="U89" s="1086"/>
      <c r="V89" s="1086"/>
      <c r="W89" s="1086"/>
      <c r="X89" s="1086"/>
      <c r="BI89" s="285"/>
      <c r="BJ89" s="285"/>
      <c r="BK89" s="285"/>
      <c r="BL89" s="285"/>
      <c r="BM89" s="285"/>
      <c r="BN89" s="285"/>
      <c r="BO89" s="285"/>
      <c r="BP89" s="285"/>
      <c r="BQ89" s="285"/>
      <c r="BR89" s="285"/>
      <c r="BS89" s="285"/>
      <c r="BT89" s="285"/>
      <c r="BU89" s="285"/>
      <c r="BV89" s="285"/>
      <c r="BW89" s="285"/>
      <c r="BX89" s="285"/>
      <c r="BY89" s="1476"/>
      <c r="BZ89" s="1476"/>
      <c r="CA89" s="1476"/>
      <c r="CB89" s="1476"/>
      <c r="CC89" s="1476"/>
      <c r="CD89" s="1476"/>
      <c r="CE89" s="1476"/>
      <c r="CF89" s="1476"/>
      <c r="CG89" s="1476"/>
      <c r="CH89" s="84"/>
    </row>
    <row r="90" spans="1:86">
      <c r="B90" s="1714"/>
      <c r="C90" s="2135" t="s">
        <v>4083</v>
      </c>
      <c r="D90" s="2135"/>
      <c r="E90" s="2134"/>
      <c r="F90" s="2134"/>
      <c r="G90" s="2134"/>
      <c r="H90" s="2134"/>
      <c r="I90" s="2134"/>
      <c r="J90" s="1501"/>
      <c r="K90" s="1714"/>
      <c r="L90" s="1714"/>
      <c r="M90" s="1952"/>
      <c r="N90" s="1944"/>
      <c r="O90" s="1944"/>
      <c r="P90" s="1944"/>
      <c r="Q90" s="1944"/>
      <c r="R90" s="1944"/>
      <c r="S90" s="1953"/>
      <c r="T90" s="1714"/>
      <c r="U90" s="1086"/>
      <c r="V90" s="1086"/>
      <c r="W90" s="1086"/>
      <c r="X90" s="1086"/>
      <c r="BI90" s="285"/>
      <c r="BJ90" s="285"/>
      <c r="BK90" s="285"/>
      <c r="BL90" s="285"/>
      <c r="BM90" s="285"/>
      <c r="BN90" s="285"/>
      <c r="BO90" s="285"/>
      <c r="BP90" s="285"/>
      <c r="BQ90" s="285"/>
      <c r="BR90" s="285"/>
      <c r="BS90" s="285"/>
      <c r="BT90" s="285"/>
      <c r="BU90" s="285"/>
      <c r="BV90" s="285"/>
      <c r="BW90" s="285"/>
      <c r="BX90" s="285"/>
      <c r="BY90" s="1476"/>
      <c r="BZ90" s="1476"/>
      <c r="CA90" s="1476"/>
      <c r="CB90" s="1476"/>
      <c r="CC90" s="1476"/>
      <c r="CD90" s="1476"/>
      <c r="CE90" s="1476"/>
      <c r="CF90" s="1476"/>
      <c r="CG90" s="1476"/>
      <c r="CH90" s="84"/>
    </row>
    <row r="91" spans="1:86">
      <c r="B91" s="1714"/>
      <c r="C91" s="2135" t="s">
        <v>4075</v>
      </c>
      <c r="D91" s="2135"/>
      <c r="E91" s="2134"/>
      <c r="F91" s="2134"/>
      <c r="G91" s="2134"/>
      <c r="H91" s="2134"/>
      <c r="I91" s="2134"/>
      <c r="J91" s="1501"/>
      <c r="K91" s="1714"/>
      <c r="L91" s="1714"/>
      <c r="M91" s="1952"/>
      <c r="N91" s="1944"/>
      <c r="O91" s="1944"/>
      <c r="P91" s="1944"/>
      <c r="Q91" s="1944"/>
      <c r="R91" s="1944"/>
      <c r="S91" s="1953"/>
      <c r="T91" s="1714"/>
      <c r="U91" s="1086"/>
      <c r="V91" s="1086"/>
      <c r="W91" s="1086"/>
      <c r="X91" s="1086"/>
      <c r="BI91" s="285"/>
      <c r="BJ91" s="285"/>
      <c r="BK91" s="285"/>
      <c r="BL91" s="285"/>
      <c r="BM91" s="285"/>
      <c r="BN91" s="285"/>
      <c r="BO91" s="285"/>
      <c r="BP91" s="285"/>
      <c r="BQ91" s="285"/>
      <c r="BR91" s="285"/>
      <c r="BS91" s="285"/>
      <c r="BT91" s="285"/>
      <c r="BU91" s="285"/>
      <c r="BV91" s="285"/>
      <c r="BW91" s="285"/>
      <c r="BX91" s="285"/>
      <c r="BY91" s="1476"/>
      <c r="BZ91" s="1476"/>
      <c r="CA91" s="1476"/>
      <c r="CB91" s="1476"/>
      <c r="CC91" s="1476"/>
      <c r="CD91" s="1476"/>
      <c r="CE91" s="1476"/>
      <c r="CF91" s="1476"/>
      <c r="CG91" s="1476"/>
      <c r="CH91" s="84"/>
    </row>
    <row r="92" spans="1:86">
      <c r="B92" s="1714"/>
      <c r="C92" s="2135" t="s">
        <v>4076</v>
      </c>
      <c r="D92" s="2135"/>
      <c r="E92" s="2134"/>
      <c r="F92" s="2134"/>
      <c r="G92" s="2134"/>
      <c r="H92" s="2134"/>
      <c r="I92" s="2134"/>
      <c r="J92" s="1501"/>
      <c r="K92" s="1714"/>
      <c r="L92" s="1714"/>
      <c r="M92" s="1954"/>
      <c r="N92" s="1955"/>
      <c r="O92" s="1955"/>
      <c r="P92" s="1955"/>
      <c r="Q92" s="1955"/>
      <c r="R92" s="1955"/>
      <c r="S92" s="1956"/>
      <c r="T92" s="1714"/>
      <c r="U92" s="1086"/>
      <c r="V92" s="1086"/>
      <c r="W92" s="1086"/>
      <c r="X92" s="1086"/>
      <c r="BI92" s="285"/>
      <c r="BJ92" s="285"/>
      <c r="BK92" s="285"/>
      <c r="BL92" s="285"/>
      <c r="BM92" s="285"/>
      <c r="BN92" s="285"/>
      <c r="BO92" s="285"/>
      <c r="BP92" s="285"/>
      <c r="BQ92" s="285"/>
      <c r="BR92" s="285"/>
      <c r="BS92" s="285"/>
      <c r="BT92" s="285"/>
      <c r="BU92" s="285"/>
      <c r="BV92" s="285"/>
      <c r="BW92" s="285"/>
      <c r="BX92" s="285"/>
      <c r="BY92" s="1476"/>
      <c r="BZ92" s="1476"/>
      <c r="CA92" s="1476"/>
      <c r="CB92" s="1476"/>
      <c r="CC92" s="1476"/>
      <c r="CD92" s="1476"/>
      <c r="CE92" s="1476"/>
      <c r="CF92" s="1476"/>
      <c r="CG92" s="1476"/>
      <c r="CH92" s="84"/>
    </row>
    <row r="93" spans="1:86">
      <c r="B93" s="1714"/>
      <c r="C93" s="1714"/>
      <c r="D93" s="1714"/>
      <c r="E93" s="1714"/>
      <c r="F93" s="1714"/>
      <c r="G93" s="1714"/>
      <c r="H93" s="1714"/>
      <c r="I93" s="1714"/>
      <c r="J93" s="1714"/>
      <c r="K93" s="1714"/>
      <c r="L93" s="1714"/>
      <c r="M93" s="1714"/>
      <c r="N93" s="1714"/>
      <c r="O93" s="1714"/>
      <c r="P93" s="1714"/>
      <c r="Q93" s="1714"/>
      <c r="R93" s="1714"/>
      <c r="S93" s="1714"/>
      <c r="T93" s="1714"/>
      <c r="U93" s="1086"/>
      <c r="V93" s="1086"/>
      <c r="W93" s="1086"/>
      <c r="X93" s="1086"/>
      <c r="BI93" s="285"/>
      <c r="BJ93" s="285"/>
      <c r="BK93" s="285"/>
      <c r="BL93" s="285"/>
      <c r="BM93" s="285"/>
      <c r="BN93" s="285"/>
      <c r="BO93" s="285"/>
      <c r="BP93" s="285"/>
      <c r="BQ93" s="285"/>
      <c r="BR93" s="285"/>
      <c r="BS93" s="285"/>
      <c r="BT93" s="285"/>
      <c r="BU93" s="285"/>
      <c r="BV93" s="285"/>
      <c r="BW93" s="285"/>
      <c r="BX93" s="285"/>
      <c r="BY93" s="1476"/>
      <c r="BZ93" s="1476"/>
      <c r="CA93" s="1476"/>
      <c r="CB93" s="1476"/>
      <c r="CC93" s="1476"/>
      <c r="CD93" s="1476"/>
      <c r="CE93" s="1476"/>
      <c r="CF93" s="1476"/>
      <c r="CG93" s="1476"/>
      <c r="CH93" s="84"/>
    </row>
    <row r="94" spans="1:86" ht="18.75">
      <c r="A94" s="238"/>
      <c r="B94" s="8" t="s">
        <v>4018</v>
      </c>
      <c r="C94" s="1475"/>
      <c r="D94" s="1475"/>
      <c r="E94" s="1475"/>
      <c r="F94" s="1475"/>
      <c r="G94" s="1475"/>
      <c r="H94" s="1475"/>
      <c r="I94" s="1475"/>
      <c r="J94" s="1475"/>
      <c r="K94" s="1475"/>
      <c r="L94" s="1475"/>
      <c r="M94" s="1475"/>
      <c r="N94" s="1475"/>
      <c r="O94" s="1478"/>
      <c r="P94" s="1475"/>
      <c r="Q94" s="1475"/>
      <c r="R94" s="1475"/>
      <c r="S94" s="1475"/>
      <c r="T94" s="1477"/>
      <c r="U94" s="372"/>
      <c r="X94" s="372"/>
      <c r="Y94" s="284"/>
      <c r="Z94" s="83"/>
      <c r="BI94" s="285"/>
      <c r="BJ94" s="285"/>
      <c r="BK94" s="285"/>
      <c r="BL94" s="285"/>
      <c r="BM94" s="285"/>
      <c r="BN94" s="285"/>
      <c r="BO94" s="285"/>
      <c r="BP94" s="285"/>
      <c r="BQ94" s="285"/>
      <c r="BR94" s="285"/>
      <c r="BS94" s="285"/>
      <c r="BT94" s="285"/>
      <c r="BU94" s="285"/>
      <c r="BV94" s="285"/>
      <c r="BW94" s="285"/>
      <c r="BX94" s="285"/>
      <c r="BY94" s="1476"/>
      <c r="BZ94" s="1476"/>
      <c r="CA94" s="1476"/>
      <c r="CB94" s="1476"/>
      <c r="CC94" s="1476"/>
      <c r="CD94" s="1476"/>
      <c r="CE94" s="1476"/>
      <c r="CF94" s="1476"/>
      <c r="CG94" s="1476"/>
      <c r="CH94" s="84"/>
    </row>
    <row r="95" spans="1:86" ht="30">
      <c r="B95" s="1714"/>
      <c r="C95" s="743" t="s">
        <v>4084</v>
      </c>
      <c r="D95" s="743" t="s">
        <v>3936</v>
      </c>
      <c r="E95" s="743" t="s">
        <v>243</v>
      </c>
      <c r="F95" s="743" t="s">
        <v>3930</v>
      </c>
      <c r="G95" s="743" t="s">
        <v>4085</v>
      </c>
      <c r="H95" s="743" t="s">
        <v>3939</v>
      </c>
      <c r="I95" s="743" t="s">
        <v>4026</v>
      </c>
      <c r="J95" s="743" t="s">
        <v>4027</v>
      </c>
      <c r="K95" s="743" t="s">
        <v>4028</v>
      </c>
      <c r="L95" s="743" t="s">
        <v>4086</v>
      </c>
      <c r="M95" s="743" t="s">
        <v>4029</v>
      </c>
      <c r="N95" s="743" t="s">
        <v>4030</v>
      </c>
      <c r="O95" s="743" t="s">
        <v>4031</v>
      </c>
      <c r="P95" s="743" t="s">
        <v>4032</v>
      </c>
      <c r="Q95" s="1504"/>
      <c r="R95" s="1504"/>
      <c r="S95" s="1714"/>
      <c r="T95" s="1714"/>
      <c r="U95" s="1086"/>
      <c r="V95" s="1086"/>
      <c r="W95" s="1086"/>
      <c r="X95" s="1086"/>
      <c r="BI95" s="285"/>
      <c r="BJ95" s="285"/>
      <c r="BK95" s="285"/>
      <c r="BL95" s="285"/>
      <c r="BM95" s="285"/>
      <c r="BN95" s="285"/>
      <c r="BO95" s="285"/>
      <c r="BP95" s="285"/>
      <c r="BQ95" s="285"/>
      <c r="BR95" s="285"/>
      <c r="BS95" s="285"/>
      <c r="BT95" s="285"/>
      <c r="BU95" s="285"/>
      <c r="BV95" s="285"/>
      <c r="BW95" s="285"/>
      <c r="BX95" s="285"/>
      <c r="BY95" s="1476"/>
      <c r="BZ95" s="1476"/>
      <c r="CA95" s="1476"/>
      <c r="CB95" s="1476"/>
      <c r="CC95" s="1476"/>
      <c r="CD95" s="1476"/>
      <c r="CE95" s="1476"/>
      <c r="CF95" s="1476"/>
      <c r="CG95" s="1476"/>
      <c r="CH95" s="84"/>
    </row>
    <row r="96" spans="1:86">
      <c r="B96" s="1714"/>
      <c r="C96" s="1505"/>
      <c r="D96" s="1483"/>
      <c r="E96" s="1506"/>
      <c r="F96" s="1483"/>
      <c r="G96" s="1483"/>
      <c r="H96" s="1488"/>
      <c r="I96" s="1507">
        <f>IF(F96 =  0, 0, H96/F96)</f>
        <v>0</v>
      </c>
      <c r="J96" s="1491"/>
      <c r="K96" s="1508"/>
      <c r="L96" s="1491"/>
      <c r="M96" s="1509">
        <f>IF(L96=0,0,K96/L96)</f>
        <v>0</v>
      </c>
      <c r="N96" s="1491"/>
      <c r="O96" s="1510">
        <f>IF(N96=0,0,H96/N96)</f>
        <v>0</v>
      </c>
      <c r="P96" s="1489">
        <f>G96*H96*12</f>
        <v>0</v>
      </c>
      <c r="Q96" s="1511"/>
      <c r="R96" s="1496"/>
      <c r="S96" s="1714"/>
      <c r="T96" s="1714"/>
      <c r="U96" s="1086"/>
      <c r="V96" s="1086"/>
      <c r="W96" s="1086"/>
      <c r="X96" s="1086"/>
      <c r="BI96" s="285"/>
      <c r="BJ96" s="285"/>
      <c r="BK96" s="285"/>
      <c r="BL96" s="285"/>
      <c r="BM96" s="285"/>
      <c r="BN96" s="285"/>
      <c r="BO96" s="285"/>
      <c r="BP96" s="285"/>
      <c r="BQ96" s="285"/>
      <c r="BR96" s="285"/>
      <c r="BS96" s="285"/>
      <c r="BT96" s="285"/>
      <c r="BU96" s="285"/>
      <c r="BV96" s="285"/>
      <c r="BW96" s="285"/>
      <c r="BX96" s="285"/>
      <c r="BY96" s="1476"/>
      <c r="BZ96" s="1476"/>
      <c r="CA96" s="1476"/>
      <c r="CB96" s="1476"/>
      <c r="CC96" s="1476"/>
      <c r="CD96" s="1476"/>
      <c r="CE96" s="1476"/>
      <c r="CF96" s="1476"/>
      <c r="CG96" s="1476"/>
      <c r="CH96" s="84"/>
    </row>
    <row r="97" spans="1:87">
      <c r="B97" s="1714"/>
      <c r="C97" s="1505"/>
      <c r="D97" s="1483"/>
      <c r="E97" s="1506"/>
      <c r="F97" s="1483"/>
      <c r="G97" s="1483"/>
      <c r="H97" s="1488"/>
      <c r="I97" s="1507">
        <f>IF(F97 =  0, 0, H97/F97)</f>
        <v>0</v>
      </c>
      <c r="J97" s="1491"/>
      <c r="K97" s="1491"/>
      <c r="L97" s="1491"/>
      <c r="M97" s="1509">
        <f>IF(L97=0,0,K97/L97)</f>
        <v>0</v>
      </c>
      <c r="N97" s="1491"/>
      <c r="O97" s="1510">
        <f>IF(N97=0,0,H97/N97)</f>
        <v>0</v>
      </c>
      <c r="P97" s="1489">
        <f>G97*H97*12</f>
        <v>0</v>
      </c>
      <c r="Q97" s="1511"/>
      <c r="R97" s="1496"/>
      <c r="S97" s="1714"/>
      <c r="T97" s="1714"/>
      <c r="U97" s="1086"/>
      <c r="V97" s="1086"/>
      <c r="W97" s="1086"/>
      <c r="X97" s="1086"/>
      <c r="BI97" s="285"/>
      <c r="BJ97" s="285"/>
      <c r="BK97" s="285"/>
      <c r="BL97" s="285"/>
      <c r="BM97" s="285"/>
      <c r="BN97" s="285"/>
      <c r="BO97" s="285"/>
      <c r="BP97" s="285"/>
      <c r="BQ97" s="285"/>
      <c r="BR97" s="285"/>
      <c r="BS97" s="285"/>
      <c r="BT97" s="285"/>
      <c r="BU97" s="285"/>
      <c r="BV97" s="285"/>
      <c r="BW97" s="285"/>
      <c r="BX97" s="285"/>
      <c r="BY97" s="1476"/>
      <c r="BZ97" s="1476"/>
      <c r="CA97" s="1476"/>
      <c r="CB97" s="1476"/>
      <c r="CC97" s="1476"/>
      <c r="CD97" s="1476"/>
      <c r="CE97" s="1476"/>
      <c r="CF97" s="1476"/>
      <c r="CG97" s="1476"/>
      <c r="CH97" s="84"/>
      <c r="CI97" s="1475"/>
    </row>
    <row r="98" spans="1:87">
      <c r="B98" s="1714"/>
      <c r="C98" s="1505"/>
      <c r="D98" s="1483"/>
      <c r="E98" s="1506"/>
      <c r="F98" s="1483"/>
      <c r="G98" s="1483"/>
      <c r="H98" s="1488"/>
      <c r="I98" s="1507">
        <f>IF(F98 =  0, 0, H98/F98)</f>
        <v>0</v>
      </c>
      <c r="J98" s="1491"/>
      <c r="K98" s="1491"/>
      <c r="L98" s="1491"/>
      <c r="M98" s="1509">
        <f>IF(L98=0,0,K98/L98)</f>
        <v>0</v>
      </c>
      <c r="N98" s="1491"/>
      <c r="O98" s="1510">
        <f>IF(N98=0,0,H98/N98)</f>
        <v>0</v>
      </c>
      <c r="P98" s="1489">
        <f>G98*H98*12</f>
        <v>0</v>
      </c>
      <c r="Q98" s="1511"/>
      <c r="R98" s="1496"/>
      <c r="S98" s="1714"/>
      <c r="T98" s="1714"/>
      <c r="U98" s="1086"/>
      <c r="V98" s="1086"/>
      <c r="W98" s="1086"/>
      <c r="X98" s="1086"/>
      <c r="BI98" s="285"/>
      <c r="BJ98" s="285"/>
      <c r="BK98" s="285"/>
      <c r="BL98" s="285"/>
      <c r="BM98" s="285"/>
      <c r="BN98" s="285"/>
      <c r="BO98" s="285"/>
      <c r="BP98" s="285"/>
      <c r="BQ98" s="285"/>
      <c r="BR98" s="285"/>
      <c r="BS98" s="285"/>
      <c r="BT98" s="285"/>
      <c r="BU98" s="285"/>
      <c r="BV98" s="285"/>
      <c r="BW98" s="285"/>
      <c r="BX98" s="285"/>
      <c r="BY98" s="1476"/>
      <c r="BZ98" s="1476"/>
      <c r="CA98" s="1476"/>
      <c r="CB98" s="1476"/>
      <c r="CC98" s="1476"/>
      <c r="CD98" s="1476"/>
      <c r="CE98" s="1476"/>
      <c r="CF98" s="1476"/>
      <c r="CG98" s="1476"/>
      <c r="CH98" s="84"/>
      <c r="CI98" s="1475"/>
    </row>
    <row r="99" spans="1:87">
      <c r="B99" s="1714"/>
      <c r="C99" s="1714"/>
      <c r="D99" s="1714"/>
      <c r="E99" s="1714"/>
      <c r="F99" s="1104">
        <f>SUMPRODUCT(F96:F98,G96:G98)</f>
        <v>0</v>
      </c>
      <c r="G99" s="1104">
        <f>SUM(G96:G98)</f>
        <v>0</v>
      </c>
      <c r="H99" s="1714"/>
      <c r="I99" s="1714"/>
      <c r="J99" s="1714"/>
      <c r="K99" s="1714"/>
      <c r="L99" s="1714"/>
      <c r="M99" s="1714"/>
      <c r="N99" s="1714"/>
      <c r="O99" s="1714"/>
      <c r="P99" s="1714"/>
      <c r="Q99" s="1714"/>
      <c r="R99" s="1714"/>
      <c r="S99" s="1714"/>
      <c r="T99" s="1714"/>
      <c r="U99" s="1086"/>
      <c r="V99" s="1086"/>
      <c r="W99" s="1086"/>
      <c r="X99" s="1086"/>
      <c r="BI99" s="285"/>
      <c r="BJ99" s="285"/>
      <c r="BK99" s="285"/>
      <c r="BL99" s="285"/>
      <c r="BM99" s="285"/>
      <c r="BN99" s="285"/>
      <c r="BO99" s="285"/>
      <c r="BP99" s="285"/>
      <c r="BQ99" s="285"/>
      <c r="BR99" s="285"/>
      <c r="BS99" s="285"/>
      <c r="BT99" s="285"/>
      <c r="BU99" s="285"/>
      <c r="BV99" s="285"/>
      <c r="BW99" s="285"/>
      <c r="BX99" s="285"/>
      <c r="BY99" s="1476"/>
      <c r="BZ99" s="1476"/>
      <c r="CA99" s="1476"/>
      <c r="CB99" s="1476"/>
      <c r="CC99" s="1476"/>
      <c r="CD99" s="1476"/>
      <c r="CE99" s="1476"/>
      <c r="CF99" s="1476"/>
      <c r="CG99" s="1476"/>
      <c r="CH99" s="84"/>
      <c r="CI99" s="1475"/>
    </row>
    <row r="100" spans="1:87">
      <c r="B100" s="1714"/>
      <c r="C100" s="1714"/>
      <c r="D100" s="1714"/>
      <c r="E100" s="1714"/>
      <c r="F100" s="1714"/>
      <c r="G100" s="1714"/>
      <c r="H100" s="1714"/>
      <c r="I100" s="1714"/>
      <c r="J100" s="1714"/>
      <c r="K100" s="1714"/>
      <c r="L100" s="1714"/>
      <c r="M100" s="1714"/>
      <c r="N100" s="1714"/>
      <c r="O100" s="1714"/>
      <c r="P100" s="1714"/>
      <c r="Q100" s="1714"/>
      <c r="R100" s="1714"/>
      <c r="S100" s="1714"/>
      <c r="T100" s="1714"/>
      <c r="U100" s="1086"/>
      <c r="V100" s="1086"/>
      <c r="W100" s="1086"/>
      <c r="X100" s="1086"/>
      <c r="BI100" s="285"/>
      <c r="BJ100" s="285"/>
      <c r="BK100" s="285"/>
      <c r="BL100" s="285"/>
      <c r="BM100" s="285"/>
      <c r="BN100" s="285"/>
      <c r="BO100" s="285"/>
      <c r="BP100" s="285"/>
      <c r="BQ100" s="285"/>
      <c r="BR100" s="285"/>
      <c r="BS100" s="285"/>
      <c r="BT100" s="285"/>
      <c r="BU100" s="285"/>
      <c r="BV100" s="285"/>
      <c r="BW100" s="285"/>
      <c r="BX100" s="285"/>
      <c r="BY100" s="1476"/>
      <c r="BZ100" s="1476"/>
      <c r="CA100" s="1476"/>
      <c r="CB100" s="1476"/>
      <c r="CC100" s="1476"/>
      <c r="CD100" s="1476"/>
      <c r="CE100" s="1476"/>
      <c r="CF100" s="1476"/>
      <c r="CG100" s="1476"/>
      <c r="CH100" s="84"/>
      <c r="CI100" s="1475"/>
    </row>
    <row r="101" spans="1:87">
      <c r="B101" s="1714"/>
      <c r="C101" s="1714"/>
      <c r="D101" s="1714"/>
      <c r="E101" s="1714"/>
      <c r="F101" s="1714"/>
      <c r="G101" s="1714"/>
      <c r="H101" s="1714"/>
      <c r="I101" s="1714"/>
      <c r="J101" s="1714"/>
      <c r="K101" s="1714"/>
      <c r="L101" s="1714"/>
      <c r="M101" s="1714"/>
      <c r="N101" s="1714"/>
      <c r="O101" s="1714"/>
      <c r="P101" s="1714"/>
      <c r="Q101" s="1714"/>
      <c r="R101" s="1714"/>
      <c r="S101" s="1714"/>
      <c r="T101" s="1714"/>
      <c r="U101" s="1086"/>
      <c r="V101" s="1086"/>
      <c r="W101" s="1086"/>
      <c r="X101" s="1086"/>
      <c r="BI101" s="285"/>
      <c r="BJ101" s="285"/>
      <c r="BK101" s="285"/>
      <c r="BL101" s="285"/>
      <c r="BM101" s="285"/>
      <c r="BN101" s="285"/>
      <c r="BO101" s="285"/>
      <c r="BP101" s="285"/>
      <c r="BQ101" s="285"/>
      <c r="BR101" s="285"/>
      <c r="BS101" s="285"/>
      <c r="BT101" s="285"/>
      <c r="BU101" s="285"/>
      <c r="BV101" s="285"/>
      <c r="BW101" s="285"/>
      <c r="BX101" s="285"/>
      <c r="BY101" s="1476"/>
      <c r="BZ101" s="1476"/>
      <c r="CA101" s="1476"/>
      <c r="CB101" s="1476"/>
      <c r="CC101" s="1476"/>
      <c r="CD101" s="1476"/>
      <c r="CE101" s="1476"/>
      <c r="CF101" s="1476"/>
      <c r="CG101" s="1476"/>
      <c r="CH101" s="84"/>
      <c r="CI101" s="1475"/>
    </row>
    <row r="102" spans="1:87" ht="18.75">
      <c r="A102" s="238"/>
      <c r="B102" s="8" t="s">
        <v>4087</v>
      </c>
      <c r="C102" s="1475"/>
      <c r="D102" s="1475"/>
      <c r="E102" s="1475"/>
      <c r="F102" s="1475"/>
      <c r="G102" s="1475"/>
      <c r="H102" s="1475"/>
      <c r="I102" s="1475"/>
      <c r="J102" s="1475"/>
      <c r="K102" s="1475"/>
      <c r="L102" s="1475"/>
      <c r="M102" s="1475"/>
      <c r="N102" s="1475"/>
      <c r="O102" s="1478"/>
      <c r="P102" s="1475"/>
      <c r="Q102" s="1475"/>
      <c r="R102" s="1475"/>
      <c r="S102" s="1475"/>
      <c r="T102" s="1477"/>
      <c r="U102" s="372"/>
      <c r="X102" s="372"/>
      <c r="Y102" s="284"/>
      <c r="Z102" s="83"/>
      <c r="BI102" s="285"/>
      <c r="BJ102" s="285"/>
      <c r="BK102" s="285"/>
      <c r="BL102" s="285"/>
      <c r="BM102" s="285"/>
      <c r="BN102" s="285"/>
      <c r="BO102" s="285"/>
      <c r="BP102" s="285"/>
      <c r="BQ102" s="285"/>
      <c r="BR102" s="285"/>
      <c r="BS102" s="285"/>
      <c r="BT102" s="285"/>
      <c r="BU102" s="285"/>
      <c r="BV102" s="285"/>
      <c r="BW102" s="285"/>
      <c r="BX102" s="285"/>
      <c r="BY102" s="1476"/>
      <c r="BZ102" s="1476"/>
      <c r="CA102" s="1476"/>
      <c r="CB102" s="1476"/>
      <c r="CC102" s="1476"/>
      <c r="CD102" s="1476"/>
      <c r="CE102" s="1476"/>
      <c r="CF102" s="1476"/>
      <c r="CG102" s="1476"/>
      <c r="CH102" s="84"/>
      <c r="CI102" s="1475"/>
    </row>
    <row r="103" spans="1:87" ht="30">
      <c r="B103" s="1714"/>
      <c r="C103" s="743" t="s">
        <v>4084</v>
      </c>
      <c r="D103" s="743" t="s">
        <v>250</v>
      </c>
      <c r="E103" s="743" t="s">
        <v>3936</v>
      </c>
      <c r="F103" s="743" t="s">
        <v>243</v>
      </c>
      <c r="G103" s="743" t="s">
        <v>3930</v>
      </c>
      <c r="H103" s="743" t="s">
        <v>4085</v>
      </c>
      <c r="I103" s="743" t="s">
        <v>3939</v>
      </c>
      <c r="J103" s="743" t="s">
        <v>4026</v>
      </c>
      <c r="K103" s="743" t="s">
        <v>4032</v>
      </c>
      <c r="L103" s="1504"/>
      <c r="M103" s="1714"/>
      <c r="N103" s="1714"/>
      <c r="O103" s="1714"/>
      <c r="P103" s="1504"/>
      <c r="Q103" s="1504"/>
      <c r="R103" s="1714"/>
      <c r="S103" s="1714"/>
      <c r="T103" s="1714"/>
      <c r="U103" s="1504"/>
      <c r="V103" s="1086"/>
      <c r="W103" s="1086"/>
      <c r="X103" s="1086"/>
      <c r="BI103" s="285"/>
      <c r="BJ103" s="285"/>
      <c r="BK103" s="285"/>
      <c r="BL103" s="285"/>
      <c r="BM103" s="285"/>
      <c r="BN103" s="285"/>
      <c r="BO103" s="285"/>
      <c r="BP103" s="285"/>
      <c r="BQ103" s="285"/>
      <c r="BR103" s="285"/>
      <c r="BS103" s="285"/>
      <c r="BT103" s="285"/>
      <c r="BU103" s="285"/>
      <c r="BV103" s="285"/>
      <c r="BW103" s="285"/>
      <c r="BX103" s="285"/>
      <c r="BY103" s="1476"/>
      <c r="BZ103" s="1476"/>
      <c r="CA103" s="1476"/>
      <c r="CB103" s="1476"/>
      <c r="CC103" s="1476"/>
      <c r="CD103" s="1476"/>
      <c r="CE103" s="1476"/>
      <c r="CF103" s="1476"/>
      <c r="CG103" s="1476"/>
      <c r="CH103" s="1476"/>
      <c r="CI103" s="84"/>
    </row>
    <row r="104" spans="1:87">
      <c r="B104" s="1714"/>
      <c r="C104" s="1505"/>
      <c r="D104" s="1505"/>
      <c r="E104" s="1483"/>
      <c r="F104" s="1506"/>
      <c r="G104" s="1483"/>
      <c r="H104" s="1483"/>
      <c r="I104" s="1488"/>
      <c r="J104" s="1512">
        <f t="shared" ref="J104:J113" si="89">IF(G104=0, 0,I104/G104)</f>
        <v>0</v>
      </c>
      <c r="K104" s="1489">
        <f t="shared" ref="K104:K113" si="90">H104*I104*12</f>
        <v>0</v>
      </c>
      <c r="L104" s="1511"/>
      <c r="M104" s="1714"/>
      <c r="N104" s="1714"/>
      <c r="O104" s="1714"/>
      <c r="P104" s="1714"/>
      <c r="Q104" s="1511"/>
      <c r="R104" s="1714"/>
      <c r="S104" s="1714"/>
      <c r="T104" s="1714"/>
      <c r="U104" s="1496"/>
      <c r="V104" s="1086"/>
      <c r="W104" s="1086"/>
      <c r="X104" s="1086"/>
      <c r="BI104" s="285"/>
      <c r="BJ104" s="285"/>
      <c r="BK104" s="285"/>
      <c r="BL104" s="285"/>
      <c r="BM104" s="285"/>
      <c r="BN104" s="285"/>
      <c r="BO104" s="285"/>
      <c r="BP104" s="285"/>
      <c r="BQ104" s="285"/>
      <c r="BR104" s="285"/>
      <c r="BS104" s="285"/>
      <c r="BT104" s="285"/>
      <c r="BU104" s="285"/>
      <c r="BV104" s="285"/>
      <c r="BW104" s="285"/>
      <c r="BX104" s="285"/>
      <c r="BY104" s="1476"/>
      <c r="BZ104" s="1476"/>
      <c r="CA104" s="1476"/>
      <c r="CB104" s="1476"/>
      <c r="CC104" s="1476"/>
      <c r="CD104" s="1476"/>
      <c r="CE104" s="1476"/>
      <c r="CF104" s="1476"/>
      <c r="CG104" s="1476"/>
      <c r="CH104" s="1476"/>
      <c r="CI104" s="84"/>
    </row>
    <row r="105" spans="1:87">
      <c r="B105" s="1714"/>
      <c r="C105" s="1505"/>
      <c r="D105" s="1505"/>
      <c r="E105" s="1483"/>
      <c r="F105" s="1506"/>
      <c r="G105" s="1483"/>
      <c r="H105" s="1483"/>
      <c r="I105" s="1488"/>
      <c r="J105" s="1512">
        <f t="shared" si="89"/>
        <v>0</v>
      </c>
      <c r="K105" s="1489">
        <f t="shared" si="90"/>
        <v>0</v>
      </c>
      <c r="L105" s="1511"/>
      <c r="M105" s="1714"/>
      <c r="N105" s="1714"/>
      <c r="O105" s="1714"/>
      <c r="P105" s="1714"/>
      <c r="Q105" s="1511"/>
      <c r="R105" s="1714"/>
      <c r="S105" s="1714"/>
      <c r="T105" s="1714"/>
      <c r="U105" s="1496"/>
      <c r="V105" s="1086"/>
      <c r="W105" s="1086"/>
      <c r="X105" s="1086"/>
      <c r="BI105" s="285"/>
      <c r="BJ105" s="285"/>
      <c r="BK105" s="285"/>
      <c r="BL105" s="285"/>
      <c r="BM105" s="285"/>
      <c r="BN105" s="285"/>
      <c r="BO105" s="285"/>
      <c r="BP105" s="285"/>
      <c r="BQ105" s="285"/>
      <c r="BR105" s="285"/>
      <c r="BS105" s="285"/>
      <c r="BT105" s="285"/>
      <c r="BU105" s="285"/>
      <c r="BV105" s="285"/>
      <c r="BW105" s="285"/>
      <c r="BX105" s="285"/>
      <c r="BY105" s="1476"/>
      <c r="BZ105" s="1476"/>
      <c r="CA105" s="1476"/>
      <c r="CB105" s="1476"/>
      <c r="CC105" s="1476"/>
      <c r="CD105" s="1476"/>
      <c r="CE105" s="1476"/>
      <c r="CF105" s="1476"/>
      <c r="CG105" s="1476"/>
      <c r="CH105" s="1476"/>
      <c r="CI105" s="84"/>
    </row>
    <row r="106" spans="1:87">
      <c r="B106" s="1714"/>
      <c r="C106" s="1505"/>
      <c r="D106" s="1505"/>
      <c r="E106" s="1483"/>
      <c r="F106" s="1506"/>
      <c r="G106" s="1483"/>
      <c r="H106" s="1483"/>
      <c r="I106" s="1488"/>
      <c r="J106" s="1512">
        <f t="shared" si="89"/>
        <v>0</v>
      </c>
      <c r="K106" s="1489">
        <f t="shared" si="90"/>
        <v>0</v>
      </c>
      <c r="L106" s="1511"/>
      <c r="M106" s="1714"/>
      <c r="N106" s="1714"/>
      <c r="O106" s="1714"/>
      <c r="P106" s="1714"/>
      <c r="Q106" s="1511"/>
      <c r="R106" s="1714"/>
      <c r="S106" s="1714"/>
      <c r="T106" s="1714"/>
      <c r="U106" s="1496"/>
      <c r="V106" s="1086"/>
      <c r="W106" s="1086"/>
      <c r="X106" s="1086"/>
      <c r="BI106" s="285"/>
      <c r="BJ106" s="285"/>
      <c r="BK106" s="285"/>
      <c r="BL106" s="285"/>
      <c r="BM106" s="285"/>
      <c r="BN106" s="285"/>
      <c r="BO106" s="285"/>
      <c r="BP106" s="285"/>
      <c r="BQ106" s="285"/>
      <c r="BR106" s="285"/>
      <c r="BS106" s="285"/>
      <c r="BT106" s="285"/>
      <c r="BU106" s="285"/>
      <c r="BV106" s="285"/>
      <c r="BW106" s="285"/>
      <c r="BX106" s="285"/>
      <c r="BY106" s="1476"/>
      <c r="BZ106" s="1476"/>
      <c r="CA106" s="1476"/>
      <c r="CB106" s="1476"/>
      <c r="CC106" s="1476"/>
      <c r="CD106" s="1476"/>
      <c r="CE106" s="1476"/>
      <c r="CF106" s="1476"/>
      <c r="CG106" s="1476"/>
      <c r="CH106" s="1476"/>
      <c r="CI106" s="84"/>
    </row>
    <row r="107" spans="1:87">
      <c r="B107" s="1714"/>
      <c r="C107" s="1505"/>
      <c r="D107" s="1505"/>
      <c r="E107" s="1483"/>
      <c r="F107" s="1506"/>
      <c r="G107" s="1483"/>
      <c r="H107" s="1483"/>
      <c r="I107" s="1488"/>
      <c r="J107" s="1512">
        <f t="shared" si="89"/>
        <v>0</v>
      </c>
      <c r="K107" s="1489">
        <f t="shared" si="90"/>
        <v>0</v>
      </c>
      <c r="L107" s="1511"/>
      <c r="M107" s="1714"/>
      <c r="N107" s="1714"/>
      <c r="O107" s="1714"/>
      <c r="P107" s="1714"/>
      <c r="Q107" s="1511"/>
      <c r="R107" s="1714"/>
      <c r="S107" s="1714"/>
      <c r="T107" s="1714"/>
      <c r="U107" s="1496"/>
      <c r="V107" s="1086"/>
      <c r="W107" s="1086"/>
      <c r="X107" s="1086"/>
      <c r="BI107" s="285"/>
      <c r="BJ107" s="285"/>
      <c r="BK107" s="285"/>
      <c r="BL107" s="285"/>
      <c r="BM107" s="285"/>
      <c r="BN107" s="285"/>
      <c r="BO107" s="285"/>
      <c r="BP107" s="285"/>
      <c r="BQ107" s="285"/>
      <c r="BR107" s="285"/>
      <c r="BS107" s="285"/>
      <c r="BT107" s="285"/>
      <c r="BU107" s="285"/>
      <c r="BV107" s="285"/>
      <c r="BW107" s="285"/>
      <c r="BX107" s="285"/>
      <c r="BY107" s="1476"/>
      <c r="BZ107" s="1476"/>
      <c r="CA107" s="1476"/>
      <c r="CB107" s="1476"/>
      <c r="CC107" s="1476"/>
      <c r="CD107" s="1476"/>
      <c r="CE107" s="1476"/>
      <c r="CF107" s="1476"/>
      <c r="CG107" s="1476"/>
      <c r="CH107" s="1476"/>
      <c r="CI107" s="84"/>
    </row>
    <row r="108" spans="1:87">
      <c r="B108" s="1714"/>
      <c r="C108" s="1505"/>
      <c r="D108" s="1505"/>
      <c r="E108" s="1483"/>
      <c r="F108" s="1506"/>
      <c r="G108" s="1483"/>
      <c r="H108" s="1483"/>
      <c r="I108" s="1488"/>
      <c r="J108" s="1512">
        <f t="shared" si="89"/>
        <v>0</v>
      </c>
      <c r="K108" s="1489">
        <f t="shared" si="90"/>
        <v>0</v>
      </c>
      <c r="L108" s="1511"/>
      <c r="M108" s="1714"/>
      <c r="N108" s="1714"/>
      <c r="O108" s="1714"/>
      <c r="P108" s="1714"/>
      <c r="Q108" s="1511"/>
      <c r="R108" s="1714"/>
      <c r="S108" s="1714"/>
      <c r="T108" s="1714"/>
      <c r="U108" s="1496"/>
      <c r="V108" s="1086"/>
      <c r="W108" s="1086"/>
      <c r="X108" s="1086"/>
      <c r="BI108" s="285"/>
      <c r="BJ108" s="285"/>
      <c r="BK108" s="285"/>
      <c r="BL108" s="285"/>
      <c r="BM108" s="285"/>
      <c r="BN108" s="285"/>
      <c r="BO108" s="285"/>
      <c r="BP108" s="285"/>
      <c r="BQ108" s="285"/>
      <c r="BR108" s="285"/>
      <c r="BS108" s="285"/>
      <c r="BT108" s="285"/>
      <c r="BU108" s="285"/>
      <c r="BV108" s="285"/>
      <c r="BW108" s="285"/>
      <c r="BX108" s="285"/>
      <c r="BY108" s="1476"/>
      <c r="BZ108" s="1476"/>
      <c r="CA108" s="1476"/>
      <c r="CB108" s="1476"/>
      <c r="CC108" s="1476"/>
      <c r="CD108" s="1476"/>
      <c r="CE108" s="1476"/>
      <c r="CF108" s="1476"/>
      <c r="CG108" s="1476"/>
      <c r="CH108" s="1476"/>
      <c r="CI108" s="84"/>
    </row>
    <row r="109" spans="1:87">
      <c r="B109" s="1714"/>
      <c r="C109" s="1505"/>
      <c r="D109" s="1505"/>
      <c r="E109" s="1483"/>
      <c r="F109" s="1506"/>
      <c r="G109" s="1483"/>
      <c r="H109" s="1483"/>
      <c r="I109" s="1488"/>
      <c r="J109" s="1512">
        <f t="shared" si="89"/>
        <v>0</v>
      </c>
      <c r="K109" s="1489">
        <f t="shared" si="90"/>
        <v>0</v>
      </c>
      <c r="L109" s="1511"/>
      <c r="M109" s="1714"/>
      <c r="N109" s="1714"/>
      <c r="O109" s="1714"/>
      <c r="P109" s="1714"/>
      <c r="Q109" s="1511"/>
      <c r="R109" s="1714"/>
      <c r="S109" s="1714"/>
      <c r="T109" s="1714"/>
      <c r="U109" s="1496"/>
      <c r="V109" s="1086"/>
      <c r="W109" s="1086"/>
      <c r="X109" s="1086"/>
      <c r="BI109" s="285"/>
      <c r="BJ109" s="285"/>
      <c r="BK109" s="285"/>
      <c r="BL109" s="285"/>
      <c r="BM109" s="285"/>
      <c r="BN109" s="285"/>
      <c r="BO109" s="285"/>
      <c r="BP109" s="285"/>
      <c r="BQ109" s="285"/>
      <c r="BR109" s="285"/>
      <c r="BS109" s="285"/>
      <c r="BT109" s="285"/>
      <c r="BU109" s="285"/>
      <c r="BV109" s="285"/>
      <c r="BW109" s="285"/>
      <c r="BX109" s="285"/>
      <c r="BY109" s="1476"/>
      <c r="BZ109" s="1476"/>
      <c r="CA109" s="1476"/>
      <c r="CB109" s="1476"/>
      <c r="CC109" s="1476"/>
      <c r="CD109" s="1476"/>
      <c r="CE109" s="1476"/>
      <c r="CF109" s="1476"/>
      <c r="CG109" s="1476"/>
      <c r="CH109" s="1476"/>
      <c r="CI109" s="84"/>
    </row>
    <row r="110" spans="1:87">
      <c r="B110" s="1714"/>
      <c r="C110" s="1505"/>
      <c r="D110" s="1505"/>
      <c r="E110" s="1483"/>
      <c r="F110" s="1506"/>
      <c r="G110" s="1483"/>
      <c r="H110" s="1483"/>
      <c r="I110" s="1488"/>
      <c r="J110" s="1512">
        <f t="shared" si="89"/>
        <v>0</v>
      </c>
      <c r="K110" s="1489">
        <f t="shared" si="90"/>
        <v>0</v>
      </c>
      <c r="L110" s="1511"/>
      <c r="M110" s="1714"/>
      <c r="N110" s="1714"/>
      <c r="O110" s="1714"/>
      <c r="P110" s="1714"/>
      <c r="Q110" s="1511"/>
      <c r="R110" s="1714"/>
      <c r="S110" s="1714"/>
      <c r="T110" s="1714"/>
      <c r="U110" s="1496"/>
      <c r="V110" s="1086"/>
      <c r="W110" s="1086"/>
      <c r="X110" s="1086"/>
      <c r="BI110" s="285"/>
      <c r="BJ110" s="285"/>
      <c r="BK110" s="285"/>
      <c r="BL110" s="285"/>
      <c r="BM110" s="285"/>
      <c r="BN110" s="285"/>
      <c r="BO110" s="285"/>
      <c r="BP110" s="285"/>
      <c r="BQ110" s="285"/>
      <c r="BR110" s="285"/>
      <c r="BS110" s="285"/>
      <c r="BT110" s="285"/>
      <c r="BU110" s="285"/>
      <c r="BV110" s="285"/>
      <c r="BW110" s="285"/>
      <c r="BX110" s="285"/>
      <c r="BY110" s="1476"/>
      <c r="BZ110" s="1476"/>
      <c r="CA110" s="1476"/>
      <c r="CB110" s="1476"/>
      <c r="CC110" s="1476"/>
      <c r="CD110" s="1476"/>
      <c r="CE110" s="1476"/>
      <c r="CF110" s="1476"/>
      <c r="CG110" s="1476"/>
      <c r="CH110" s="1476"/>
      <c r="CI110" s="84"/>
    </row>
    <row r="111" spans="1:87">
      <c r="B111" s="1714"/>
      <c r="C111" s="1505"/>
      <c r="D111" s="1505"/>
      <c r="E111" s="1483"/>
      <c r="F111" s="1506"/>
      <c r="G111" s="1483"/>
      <c r="H111" s="1483"/>
      <c r="I111" s="1488"/>
      <c r="J111" s="1512">
        <f t="shared" si="89"/>
        <v>0</v>
      </c>
      <c r="K111" s="1489">
        <f t="shared" si="90"/>
        <v>0</v>
      </c>
      <c r="L111" s="1511"/>
      <c r="M111" s="1714"/>
      <c r="N111" s="1714"/>
      <c r="O111" s="1714"/>
      <c r="P111" s="1714"/>
      <c r="Q111" s="1511"/>
      <c r="R111" s="1714"/>
      <c r="S111" s="1714"/>
      <c r="T111" s="1714"/>
      <c r="U111" s="1496"/>
      <c r="V111" s="1086"/>
      <c r="W111" s="1086"/>
      <c r="X111" s="1086"/>
      <c r="BI111" s="285"/>
      <c r="BJ111" s="285"/>
      <c r="BK111" s="285"/>
      <c r="BL111" s="285"/>
      <c r="BM111" s="285"/>
      <c r="BN111" s="285"/>
      <c r="BO111" s="285"/>
      <c r="BP111" s="285"/>
      <c r="BQ111" s="285"/>
      <c r="BR111" s="285"/>
      <c r="BS111" s="285"/>
      <c r="BT111" s="285"/>
      <c r="BU111" s="285"/>
      <c r="BV111" s="285"/>
      <c r="BW111" s="285"/>
      <c r="BX111" s="285"/>
      <c r="BY111" s="1476"/>
      <c r="BZ111" s="1476"/>
      <c r="CA111" s="1476"/>
      <c r="CB111" s="1476"/>
      <c r="CC111" s="1476"/>
      <c r="CD111" s="1476"/>
      <c r="CE111" s="1476"/>
      <c r="CF111" s="1476"/>
      <c r="CG111" s="1476"/>
      <c r="CH111" s="1476"/>
      <c r="CI111" s="84"/>
    </row>
    <row r="112" spans="1:87">
      <c r="B112" s="1714"/>
      <c r="C112" s="1505"/>
      <c r="D112" s="1505"/>
      <c r="E112" s="1483"/>
      <c r="F112" s="1506"/>
      <c r="G112" s="1483"/>
      <c r="H112" s="1483"/>
      <c r="I112" s="1488"/>
      <c r="J112" s="1512">
        <f t="shared" si="89"/>
        <v>0</v>
      </c>
      <c r="K112" s="1489">
        <f t="shared" si="90"/>
        <v>0</v>
      </c>
      <c r="L112" s="1511"/>
      <c r="M112" s="1714"/>
      <c r="N112" s="1714"/>
      <c r="O112" s="1714"/>
      <c r="P112" s="1714"/>
      <c r="Q112" s="1511"/>
      <c r="R112" s="1714"/>
      <c r="S112" s="1714"/>
      <c r="T112" s="1714"/>
      <c r="U112" s="1496"/>
      <c r="V112" s="1086"/>
      <c r="W112" s="1086"/>
      <c r="X112" s="1086"/>
      <c r="AD112" s="83"/>
      <c r="AE112" s="83"/>
      <c r="AF112" s="83"/>
      <c r="AG112" s="83"/>
      <c r="AH112" s="83"/>
      <c r="AI112" s="83"/>
      <c r="AJ112" s="83"/>
      <c r="AK112" s="83"/>
      <c r="AL112" s="83"/>
      <c r="AM112" s="83"/>
      <c r="AN112" s="83"/>
      <c r="BI112" s="285"/>
      <c r="BJ112" s="285"/>
      <c r="BK112" s="285"/>
      <c r="BL112" s="285"/>
      <c r="BM112" s="285"/>
      <c r="BN112" s="285"/>
      <c r="BO112" s="285"/>
      <c r="BP112" s="285"/>
      <c r="BQ112" s="285"/>
      <c r="BR112" s="285"/>
      <c r="BS112" s="285"/>
      <c r="BT112" s="285"/>
      <c r="BU112" s="285"/>
      <c r="BV112" s="285"/>
      <c r="BW112" s="285"/>
      <c r="BX112" s="285"/>
      <c r="BY112" s="1476"/>
      <c r="BZ112" s="1476"/>
      <c r="CA112" s="1476"/>
      <c r="CB112" s="1476"/>
      <c r="CC112" s="1476"/>
      <c r="CD112" s="1476"/>
      <c r="CE112" s="1476"/>
      <c r="CF112" s="1476"/>
      <c r="CG112" s="1476"/>
      <c r="CH112" s="1476"/>
      <c r="CI112" s="84"/>
    </row>
    <row r="113" spans="2:88">
      <c r="B113" s="1714"/>
      <c r="C113" s="1505"/>
      <c r="D113" s="1505"/>
      <c r="E113" s="1483"/>
      <c r="F113" s="1506"/>
      <c r="G113" s="1483"/>
      <c r="H113" s="1483"/>
      <c r="I113" s="1488"/>
      <c r="J113" s="1512">
        <f t="shared" si="89"/>
        <v>0</v>
      </c>
      <c r="K113" s="1489">
        <f t="shared" si="90"/>
        <v>0</v>
      </c>
      <c r="L113" s="1511"/>
      <c r="M113" s="1714"/>
      <c r="N113" s="1714"/>
      <c r="O113" s="1714"/>
      <c r="P113" s="1714"/>
      <c r="Q113" s="1511"/>
      <c r="R113" s="1714"/>
      <c r="S113" s="1714"/>
      <c r="T113" s="1714"/>
      <c r="U113" s="1496"/>
      <c r="V113" s="1086"/>
      <c r="W113" s="1086"/>
      <c r="X113" s="1086"/>
      <c r="BI113" s="285"/>
      <c r="BJ113" s="285"/>
      <c r="BK113" s="285"/>
      <c r="BL113" s="285"/>
      <c r="BM113" s="285"/>
      <c r="BN113" s="285"/>
      <c r="BO113" s="285"/>
      <c r="BP113" s="285"/>
      <c r="BQ113" s="285"/>
      <c r="BR113" s="285"/>
      <c r="BS113" s="285"/>
      <c r="BT113" s="285"/>
      <c r="BU113" s="285"/>
      <c r="BV113" s="285"/>
      <c r="BW113" s="285"/>
      <c r="BX113" s="285"/>
      <c r="BY113" s="1476"/>
      <c r="BZ113" s="1476"/>
      <c r="CA113" s="1476"/>
      <c r="CB113" s="1476"/>
      <c r="CC113" s="1476"/>
      <c r="CD113" s="1476"/>
      <c r="CE113" s="1476"/>
      <c r="CF113" s="1476"/>
      <c r="CG113" s="1476"/>
      <c r="CH113" s="1476"/>
      <c r="CI113" s="84"/>
      <c r="CJ113" s="1475"/>
    </row>
    <row r="114" spans="2:88">
      <c r="B114" s="1714"/>
      <c r="C114" s="1714"/>
      <c r="D114" s="1714"/>
      <c r="E114" s="1714"/>
      <c r="F114" s="1104">
        <f>SUMPRODUCT(G104:G113,H104:H113)</f>
        <v>0</v>
      </c>
      <c r="G114" s="1714"/>
      <c r="H114" s="1104">
        <f>SUM(H104:H113)</f>
        <v>0</v>
      </c>
      <c r="I114" s="1714"/>
      <c r="J114" s="1714"/>
      <c r="K114" s="1714"/>
      <c r="L114" s="1714"/>
      <c r="M114" s="1714"/>
      <c r="N114" s="1714"/>
      <c r="O114" s="1714"/>
      <c r="P114" s="1714"/>
      <c r="Q114" s="1714"/>
      <c r="R114" s="1714"/>
      <c r="S114" s="1714"/>
      <c r="T114" s="1714"/>
      <c r="U114" s="1086"/>
      <c r="V114" s="1086"/>
      <c r="W114" s="1086"/>
      <c r="X114" s="1086"/>
      <c r="BI114" s="285"/>
      <c r="BJ114" s="285"/>
      <c r="BK114" s="285"/>
      <c r="BL114" s="285"/>
      <c r="BM114" s="285"/>
      <c r="BN114" s="285"/>
      <c r="BO114" s="285"/>
      <c r="BP114" s="285"/>
      <c r="BQ114" s="285"/>
      <c r="BR114" s="285"/>
      <c r="BS114" s="285"/>
      <c r="BT114" s="285"/>
      <c r="BU114" s="285"/>
      <c r="BV114" s="285"/>
      <c r="BW114" s="285"/>
      <c r="BX114" s="285"/>
      <c r="BY114" s="1476"/>
      <c r="BZ114" s="1476"/>
      <c r="CA114" s="1476"/>
      <c r="CB114" s="1476"/>
      <c r="CC114" s="1476"/>
      <c r="CD114" s="1476"/>
      <c r="CE114" s="1476"/>
      <c r="CF114" s="1476"/>
      <c r="CG114" s="1476"/>
      <c r="CH114" s="84"/>
      <c r="CI114" s="1475"/>
      <c r="CJ114" s="1475"/>
    </row>
    <row r="115" spans="2:88">
      <c r="B115" s="1714"/>
      <c r="C115" s="1714"/>
      <c r="D115" s="1714"/>
      <c r="E115" s="1714"/>
      <c r="F115" s="1714"/>
      <c r="G115" s="1714"/>
      <c r="H115" s="1714"/>
      <c r="I115" s="1714"/>
      <c r="J115" s="1714"/>
      <c r="K115" s="1714"/>
      <c r="L115" s="1714"/>
      <c r="M115" s="1714"/>
      <c r="N115" s="1714"/>
      <c r="O115" s="1714"/>
      <c r="P115" s="1714"/>
      <c r="Q115" s="1714"/>
      <c r="R115" s="1714"/>
      <c r="S115" s="1714"/>
      <c r="T115" s="1714"/>
      <c r="U115" s="1086"/>
      <c r="V115" s="1086"/>
      <c r="W115" s="1086"/>
      <c r="X115" s="1086"/>
      <c r="BI115" s="285"/>
      <c r="BJ115" s="285"/>
      <c r="BK115" s="285"/>
      <c r="BL115" s="285"/>
      <c r="BM115" s="285"/>
      <c r="BN115" s="285"/>
      <c r="BO115" s="285"/>
      <c r="BP115" s="285"/>
      <c r="BQ115" s="285"/>
      <c r="BR115" s="285"/>
      <c r="BS115" s="285"/>
      <c r="BT115" s="285"/>
      <c r="BU115" s="285"/>
      <c r="BV115" s="285"/>
      <c r="BW115" s="285"/>
      <c r="BX115" s="285"/>
      <c r="BY115" s="1476"/>
      <c r="BZ115" s="1476"/>
      <c r="CA115" s="1476"/>
      <c r="CB115" s="1476"/>
      <c r="CC115" s="1476"/>
      <c r="CD115" s="1476"/>
      <c r="CE115" s="1476"/>
      <c r="CF115" s="1476"/>
      <c r="CG115" s="1476"/>
      <c r="CH115" s="84"/>
      <c r="CI115" s="1475"/>
      <c r="CJ115" s="1475"/>
    </row>
    <row r="116" spans="2:88" ht="18.75">
      <c r="B116" s="8" t="s">
        <v>4088</v>
      </c>
      <c r="C116" s="33"/>
      <c r="D116" s="1475"/>
      <c r="E116" s="1475"/>
      <c r="F116" s="1475"/>
      <c r="G116" s="1475"/>
      <c r="H116" s="1475"/>
      <c r="I116" s="1475"/>
      <c r="J116" s="1475"/>
      <c r="K116" s="1475"/>
      <c r="L116" s="1475"/>
      <c r="M116" s="1475"/>
      <c r="N116" s="1475"/>
      <c r="O116" s="1475"/>
      <c r="P116" s="1475"/>
      <c r="Q116" s="1475"/>
      <c r="R116" s="1475"/>
      <c r="S116" s="1475"/>
      <c r="T116" s="1475"/>
      <c r="W116" s="484"/>
      <c r="X116" s="450"/>
      <c r="BI116" s="285"/>
      <c r="BJ116" s="285"/>
      <c r="BK116" s="285"/>
      <c r="BL116" s="285"/>
      <c r="BM116" s="285"/>
      <c r="BN116" s="285"/>
      <c r="BO116" s="285"/>
      <c r="BP116" s="285"/>
      <c r="BQ116" s="285"/>
      <c r="BR116" s="285"/>
      <c r="BS116" s="285"/>
      <c r="BT116" s="285"/>
      <c r="BU116" s="285"/>
      <c r="BV116" s="285"/>
      <c r="BW116" s="285"/>
      <c r="BX116" s="285"/>
      <c r="BY116" s="1476"/>
      <c r="BZ116" s="1476"/>
      <c r="CA116" s="1476"/>
      <c r="CB116" s="1476"/>
      <c r="CC116" s="1476"/>
      <c r="CD116" s="1476"/>
      <c r="CE116" s="1476"/>
      <c r="CF116" s="1476"/>
      <c r="CG116" s="1476"/>
      <c r="CH116" s="84"/>
      <c r="CI116" s="1475"/>
      <c r="CJ116" s="1475"/>
    </row>
    <row r="117" spans="2:88">
      <c r="B117" s="1714"/>
      <c r="C117" s="1105"/>
      <c r="D117" s="1714"/>
      <c r="E117" s="1714"/>
      <c r="F117" s="1714"/>
      <c r="G117" s="1714"/>
      <c r="H117" s="1714"/>
      <c r="I117" s="1714"/>
      <c r="J117" s="1714"/>
      <c r="K117" s="1714"/>
      <c r="L117" s="1714"/>
      <c r="M117" s="1714"/>
      <c r="N117" s="1714"/>
      <c r="O117" s="1714"/>
      <c r="P117" s="1714"/>
      <c r="Q117" s="1714"/>
      <c r="R117" s="1714"/>
      <c r="S117" s="1714"/>
      <c r="T117" s="1714"/>
      <c r="U117" s="1086"/>
      <c r="V117" s="1086"/>
      <c r="W117" s="1106"/>
      <c r="X117" s="1086"/>
      <c r="Y117" s="284"/>
      <c r="Z117" s="83"/>
      <c r="AA117" s="83"/>
      <c r="AB117" s="83"/>
      <c r="AC117" s="83"/>
      <c r="BI117" s="285"/>
      <c r="BJ117" s="285"/>
      <c r="BK117" s="285"/>
      <c r="BL117" s="285"/>
      <c r="BM117" s="285"/>
      <c r="BN117" s="285"/>
      <c r="BO117" s="285"/>
      <c r="BP117" s="285"/>
      <c r="BQ117" s="285"/>
      <c r="BR117" s="285"/>
      <c r="BS117" s="285"/>
      <c r="BT117" s="285"/>
      <c r="BU117" s="285"/>
      <c r="BV117" s="285"/>
      <c r="BW117" s="285"/>
      <c r="BX117" s="285"/>
      <c r="BY117" s="1476"/>
      <c r="BZ117" s="1476"/>
      <c r="CA117" s="1476"/>
      <c r="CB117" s="1476"/>
      <c r="CC117" s="1476"/>
      <c r="CD117" s="1476"/>
      <c r="CE117" s="1476"/>
      <c r="CF117" s="1476"/>
      <c r="CG117" s="1476"/>
      <c r="CH117" s="84"/>
      <c r="CI117" s="1475"/>
      <c r="CJ117" s="1475"/>
    </row>
    <row r="118" spans="2:88">
      <c r="B118" s="1714"/>
      <c r="C118" s="1713" t="s">
        <v>277</v>
      </c>
      <c r="D118" s="1714"/>
      <c r="E118" s="1714"/>
      <c r="F118" s="1107" t="s">
        <v>3506</v>
      </c>
      <c r="G118" s="1107" t="s">
        <v>4089</v>
      </c>
      <c r="H118" s="2136" t="s">
        <v>4090</v>
      </c>
      <c r="I118" s="2136"/>
      <c r="J118" s="1108"/>
      <c r="K118" s="1107"/>
      <c r="L118" s="1107"/>
      <c r="M118" s="1107"/>
      <c r="N118" s="1107"/>
      <c r="O118" s="1107"/>
      <c r="P118" s="1107"/>
      <c r="Q118" s="1107"/>
      <c r="R118" s="1107"/>
      <c r="S118" s="1714"/>
      <c r="T118" s="1714"/>
      <c r="U118" s="1086"/>
      <c r="V118" s="1086"/>
      <c r="W118" s="1086"/>
      <c r="X118" s="1086"/>
      <c r="Y118" s="284"/>
      <c r="BI118" s="285"/>
      <c r="BJ118" s="285"/>
      <c r="BK118" s="285"/>
      <c r="BL118" s="285"/>
      <c r="BM118" s="285"/>
      <c r="BN118" s="285"/>
      <c r="BO118" s="285"/>
      <c r="BP118" s="285"/>
      <c r="BQ118" s="285"/>
      <c r="BR118" s="285"/>
      <c r="BS118" s="285"/>
      <c r="BT118" s="285"/>
      <c r="BU118" s="285"/>
      <c r="BV118" s="285"/>
      <c r="BW118" s="285"/>
      <c r="BX118" s="285"/>
      <c r="BY118" s="1476"/>
      <c r="BZ118" s="1476"/>
      <c r="CA118" s="1476"/>
      <c r="CB118" s="1476"/>
      <c r="CC118" s="1476"/>
      <c r="CD118" s="1476"/>
      <c r="CE118" s="1476"/>
      <c r="CF118" s="1476"/>
      <c r="CG118" s="1476"/>
      <c r="CH118" s="1476"/>
      <c r="CI118" s="1476"/>
      <c r="CJ118" s="84"/>
    </row>
    <row r="119" spans="2:88">
      <c r="B119" s="1714"/>
      <c r="C119" s="1714"/>
      <c r="D119" s="1714"/>
      <c r="E119" s="1717" t="s">
        <v>4091</v>
      </c>
      <c r="F119" s="1513">
        <f>AE66</f>
        <v>0</v>
      </c>
      <c r="G119" s="1514" t="str">
        <f t="shared" ref="G119:G126" si="91">IFERROR(F119/Total_Units,"N/A")</f>
        <v>N/A</v>
      </c>
      <c r="H119" s="2132">
        <f>AL66</f>
        <v>0</v>
      </c>
      <c r="I119" s="2133"/>
      <c r="J119" s="1088"/>
      <c r="K119" s="1088"/>
      <c r="L119" s="1088"/>
      <c r="M119" s="1088"/>
      <c r="N119" s="1088"/>
      <c r="O119" s="1088"/>
      <c r="P119" s="1088"/>
      <c r="Q119" s="1088"/>
      <c r="R119" s="1088"/>
      <c r="S119" s="1088"/>
      <c r="T119" s="1088"/>
      <c r="U119" s="1086"/>
      <c r="V119" s="1086"/>
      <c r="W119" s="1086"/>
      <c r="X119" s="1086"/>
      <c r="Y119" s="284"/>
      <c r="BI119" s="285"/>
      <c r="BJ119" s="285"/>
      <c r="BK119" s="285"/>
      <c r="BL119" s="285"/>
      <c r="BM119" s="285"/>
      <c r="BN119" s="285"/>
      <c r="BO119" s="285"/>
      <c r="BP119" s="285"/>
      <c r="BQ119" s="285"/>
      <c r="BR119" s="285"/>
      <c r="BS119" s="285"/>
      <c r="BT119" s="285"/>
      <c r="BU119" s="285"/>
      <c r="BV119" s="285"/>
      <c r="BW119" s="285"/>
      <c r="BX119" s="285"/>
      <c r="BY119" s="1476"/>
      <c r="BZ119" s="1476"/>
      <c r="CA119" s="1476"/>
      <c r="CB119" s="1476"/>
      <c r="CC119" s="1476"/>
      <c r="CD119" s="1476"/>
      <c r="CE119" s="1476"/>
      <c r="CF119" s="1476"/>
      <c r="CG119" s="1476"/>
      <c r="CH119" s="1476"/>
      <c r="CI119" s="84"/>
      <c r="CJ119" s="1475"/>
    </row>
    <row r="120" spans="2:88">
      <c r="B120" s="1714"/>
      <c r="C120" s="1714"/>
      <c r="D120" s="1714"/>
      <c r="E120" s="1717" t="s">
        <v>4092</v>
      </c>
      <c r="F120" s="1513">
        <f>AF66</f>
        <v>0</v>
      </c>
      <c r="G120" s="1514" t="str">
        <f t="shared" si="91"/>
        <v>N/A</v>
      </c>
      <c r="H120" s="2132">
        <f>AM66</f>
        <v>0</v>
      </c>
      <c r="I120" s="2133"/>
      <c r="J120" s="1088"/>
      <c r="K120" s="1088"/>
      <c r="L120" s="1088"/>
      <c r="M120" s="1088"/>
      <c r="N120" s="1088"/>
      <c r="O120" s="1088"/>
      <c r="P120" s="1088"/>
      <c r="Q120" s="1088"/>
      <c r="R120" s="1088"/>
      <c r="S120" s="1088"/>
      <c r="T120" s="1088"/>
      <c r="U120" s="1086"/>
      <c r="V120" s="1086"/>
      <c r="W120" s="1086"/>
      <c r="X120" s="1086"/>
      <c r="Y120" s="284"/>
      <c r="BI120" s="285"/>
      <c r="BJ120" s="285"/>
      <c r="BK120" s="285"/>
      <c r="BL120" s="285"/>
      <c r="BM120" s="285"/>
      <c r="BN120" s="285"/>
      <c r="BO120" s="285"/>
      <c r="BP120" s="285"/>
      <c r="BQ120" s="285"/>
      <c r="BR120" s="285"/>
      <c r="BS120" s="285"/>
      <c r="BT120" s="285"/>
      <c r="BU120" s="285"/>
      <c r="BV120" s="285"/>
      <c r="BW120" s="285"/>
      <c r="BX120" s="285"/>
      <c r="BY120" s="1476"/>
      <c r="BZ120" s="1476"/>
      <c r="CA120" s="1476"/>
      <c r="CB120" s="1476"/>
      <c r="CC120" s="1476"/>
      <c r="CD120" s="1476"/>
      <c r="CE120" s="1476"/>
      <c r="CF120" s="1476"/>
      <c r="CG120" s="1476"/>
      <c r="CH120" s="1476"/>
      <c r="CI120" s="84"/>
      <c r="CJ120" s="1475"/>
    </row>
    <row r="121" spans="2:88">
      <c r="B121" s="1714"/>
      <c r="C121" s="1714"/>
      <c r="D121" s="1714"/>
      <c r="E121" s="1717" t="s">
        <v>4093</v>
      </c>
      <c r="F121" s="1513">
        <f>AG66</f>
        <v>0</v>
      </c>
      <c r="G121" s="1514" t="str">
        <f t="shared" si="91"/>
        <v>N/A</v>
      </c>
      <c r="H121" s="2132">
        <f>AN66</f>
        <v>0</v>
      </c>
      <c r="I121" s="2133"/>
      <c r="J121" s="1088"/>
      <c r="K121" s="1088"/>
      <c r="L121" s="1088"/>
      <c r="M121" s="1088"/>
      <c r="N121" s="1088"/>
      <c r="O121" s="1088"/>
      <c r="P121" s="1088"/>
      <c r="Q121" s="1088"/>
      <c r="R121" s="1088"/>
      <c r="S121" s="1088"/>
      <c r="T121" s="1088"/>
      <c r="U121" s="1086"/>
      <c r="V121" s="1086"/>
      <c r="W121" s="1086"/>
      <c r="X121" s="1086"/>
      <c r="Y121" s="284"/>
      <c r="BI121" s="285"/>
      <c r="BJ121" s="285"/>
      <c r="BK121" s="285"/>
      <c r="BL121" s="285"/>
      <c r="BM121" s="285"/>
      <c r="BN121" s="285"/>
      <c r="BO121" s="285"/>
      <c r="BP121" s="285"/>
      <c r="BQ121" s="285"/>
      <c r="BR121" s="285"/>
      <c r="BS121" s="285"/>
      <c r="BT121" s="285"/>
      <c r="BU121" s="285"/>
      <c r="BV121" s="285"/>
      <c r="BW121" s="285"/>
      <c r="BX121" s="285"/>
      <c r="BY121" s="1476"/>
      <c r="BZ121" s="1476"/>
      <c r="CA121" s="1476"/>
      <c r="CB121" s="1476"/>
      <c r="CC121" s="1476"/>
      <c r="CD121" s="1476"/>
      <c r="CE121" s="1476"/>
      <c r="CF121" s="1476"/>
      <c r="CG121" s="1476"/>
      <c r="CH121" s="1476"/>
      <c r="CI121" s="84"/>
      <c r="CJ121" s="1475"/>
    </row>
    <row r="122" spans="2:88">
      <c r="B122" s="1714"/>
      <c r="C122" s="1714"/>
      <c r="D122" s="1714"/>
      <c r="E122" s="1717" t="s">
        <v>4094</v>
      </c>
      <c r="F122" s="1513">
        <f>AH66</f>
        <v>0</v>
      </c>
      <c r="G122" s="1514" t="str">
        <f t="shared" si="91"/>
        <v>N/A</v>
      </c>
      <c r="H122" s="2132">
        <f>AO66</f>
        <v>0</v>
      </c>
      <c r="I122" s="2133"/>
      <c r="J122" s="1088"/>
      <c r="K122" s="1088"/>
      <c r="L122" s="1088"/>
      <c r="M122" s="1088"/>
      <c r="N122" s="1088"/>
      <c r="O122" s="1088"/>
      <c r="P122" s="1088"/>
      <c r="Q122" s="1088"/>
      <c r="R122" s="1088"/>
      <c r="S122" s="1088"/>
      <c r="T122" s="1088"/>
      <c r="U122" s="1086"/>
      <c r="V122" s="1086"/>
      <c r="W122" s="1086"/>
      <c r="X122" s="1086"/>
      <c r="BI122" s="285"/>
      <c r="BJ122" s="285"/>
      <c r="BK122" s="285"/>
      <c r="BL122" s="285"/>
      <c r="BM122" s="285"/>
      <c r="BN122" s="285"/>
      <c r="BO122" s="285"/>
      <c r="BP122" s="285"/>
      <c r="BQ122" s="285"/>
      <c r="BR122" s="285"/>
      <c r="BS122" s="285"/>
      <c r="BT122" s="285"/>
      <c r="BU122" s="285"/>
      <c r="BV122" s="285"/>
      <c r="BW122" s="285"/>
      <c r="BX122" s="285"/>
      <c r="BY122" s="1476"/>
      <c r="BZ122" s="1476"/>
      <c r="CA122" s="1476"/>
      <c r="CB122" s="1476"/>
      <c r="CC122" s="1476"/>
      <c r="CD122" s="1476"/>
      <c r="CE122" s="1476"/>
      <c r="CF122" s="1476"/>
      <c r="CG122" s="1476"/>
      <c r="CH122" s="1476"/>
      <c r="CI122" s="84"/>
      <c r="CJ122" s="1475"/>
    </row>
    <row r="123" spans="2:88">
      <c r="B123" s="1714"/>
      <c r="C123" s="1714"/>
      <c r="D123" s="1714"/>
      <c r="E123" s="1717" t="s">
        <v>4095</v>
      </c>
      <c r="F123" s="1513">
        <f>AI66</f>
        <v>0</v>
      </c>
      <c r="G123" s="1514" t="str">
        <f t="shared" si="91"/>
        <v>N/A</v>
      </c>
      <c r="H123" s="2132">
        <f>AP66</f>
        <v>0</v>
      </c>
      <c r="I123" s="2133"/>
      <c r="J123" s="1088"/>
      <c r="K123" s="1088"/>
      <c r="L123" s="1088"/>
      <c r="M123" s="1088"/>
      <c r="N123" s="1088"/>
      <c r="O123" s="1088"/>
      <c r="P123" s="1088"/>
      <c r="Q123" s="1088"/>
      <c r="R123" s="1088"/>
      <c r="S123" s="1088"/>
      <c r="T123" s="1088"/>
      <c r="U123" s="1086"/>
      <c r="V123" s="1086"/>
      <c r="W123" s="1086"/>
      <c r="X123" s="1086"/>
      <c r="AC123" s="83"/>
      <c r="AD123" s="83"/>
      <c r="AE123" s="83"/>
      <c r="AF123" s="83"/>
      <c r="BI123" s="285"/>
      <c r="BJ123" s="285"/>
      <c r="BK123" s="285"/>
      <c r="BL123" s="285"/>
      <c r="BM123" s="285"/>
      <c r="BN123" s="285"/>
      <c r="BO123" s="285"/>
      <c r="BP123" s="285"/>
      <c r="BQ123" s="285"/>
      <c r="BR123" s="285"/>
      <c r="BS123" s="285"/>
      <c r="BT123" s="285"/>
      <c r="BU123" s="285"/>
      <c r="BV123" s="285"/>
      <c r="BW123" s="285"/>
      <c r="BX123" s="285"/>
      <c r="BY123" s="1476"/>
      <c r="BZ123" s="1476"/>
      <c r="CA123" s="1476"/>
      <c r="CB123" s="1476"/>
      <c r="CC123" s="1476"/>
      <c r="CD123" s="1476"/>
      <c r="CE123" s="1476"/>
      <c r="CF123" s="1476"/>
      <c r="CG123" s="1476"/>
      <c r="CH123" s="1476"/>
      <c r="CI123" s="84"/>
      <c r="CJ123" s="1475"/>
    </row>
    <row r="124" spans="2:88">
      <c r="B124" s="1714"/>
      <c r="C124" s="1714"/>
      <c r="D124" s="1714"/>
      <c r="E124" s="1717" t="s">
        <v>4096</v>
      </c>
      <c r="F124" s="1513">
        <f>AJ66</f>
        <v>0</v>
      </c>
      <c r="G124" s="1514" t="str">
        <f t="shared" si="91"/>
        <v>N/A</v>
      </c>
      <c r="H124" s="2132">
        <f>AQ66</f>
        <v>0</v>
      </c>
      <c r="I124" s="2133"/>
      <c r="J124" s="1088"/>
      <c r="K124" s="1088"/>
      <c r="L124" s="1088"/>
      <c r="M124" s="1088"/>
      <c r="N124" s="1088"/>
      <c r="O124" s="1088"/>
      <c r="P124" s="1088"/>
      <c r="Q124" s="1088"/>
      <c r="R124" s="1088"/>
      <c r="S124" s="1088"/>
      <c r="T124" s="1088"/>
      <c r="U124" s="1086"/>
      <c r="V124" s="1086"/>
      <c r="W124" s="1086"/>
      <c r="X124" s="1086"/>
      <c r="BI124" s="285"/>
      <c r="BJ124" s="285"/>
      <c r="BK124" s="285"/>
      <c r="BL124" s="285"/>
      <c r="BM124" s="285"/>
      <c r="BN124" s="285"/>
      <c r="BO124" s="285"/>
      <c r="BP124" s="285"/>
      <c r="BQ124" s="285"/>
      <c r="BR124" s="285"/>
      <c r="BS124" s="285"/>
      <c r="BT124" s="285"/>
      <c r="BU124" s="285"/>
      <c r="BV124" s="285"/>
      <c r="BW124" s="285"/>
      <c r="BX124" s="285"/>
      <c r="BY124" s="1476"/>
      <c r="BZ124" s="1476"/>
      <c r="CA124" s="1476"/>
      <c r="CB124" s="1476"/>
      <c r="CC124" s="1476"/>
      <c r="CD124" s="1476"/>
      <c r="CE124" s="1476"/>
      <c r="CF124" s="1476"/>
      <c r="CG124" s="1476"/>
      <c r="CH124" s="1476"/>
      <c r="CI124" s="84"/>
      <c r="CJ124" s="1475"/>
    </row>
    <row r="125" spans="2:88">
      <c r="B125" s="1714"/>
      <c r="C125" s="1714"/>
      <c r="D125" s="1714"/>
      <c r="E125" s="1717" t="s">
        <v>4097</v>
      </c>
      <c r="F125" s="1513">
        <f>AK66</f>
        <v>0</v>
      </c>
      <c r="G125" s="1514" t="str">
        <f t="shared" si="91"/>
        <v>N/A</v>
      </c>
      <c r="H125" s="2128">
        <f>AR66</f>
        <v>0</v>
      </c>
      <c r="I125" s="2130"/>
      <c r="J125" s="1088"/>
      <c r="K125" s="1088"/>
      <c r="L125" s="1088"/>
      <c r="M125" s="1088"/>
      <c r="N125" s="1088"/>
      <c r="O125" s="1088"/>
      <c r="P125" s="1088"/>
      <c r="Q125" s="1088"/>
      <c r="R125" s="1088"/>
      <c r="S125" s="1088"/>
      <c r="T125" s="1088"/>
      <c r="U125" s="1086"/>
      <c r="V125" s="1086"/>
      <c r="W125" s="1086"/>
      <c r="X125" s="1086"/>
      <c r="BI125" s="285"/>
      <c r="BJ125" s="285"/>
      <c r="BK125" s="285"/>
      <c r="BL125" s="285"/>
      <c r="BM125" s="285"/>
      <c r="BN125" s="285"/>
      <c r="BO125" s="285"/>
      <c r="BP125" s="285"/>
      <c r="BQ125" s="285"/>
      <c r="BR125" s="285"/>
      <c r="BS125" s="285"/>
      <c r="BT125" s="285"/>
      <c r="BU125" s="285"/>
      <c r="BV125" s="285"/>
      <c r="BW125" s="285"/>
      <c r="BX125" s="285"/>
      <c r="BY125" s="1476"/>
      <c r="BZ125" s="1476"/>
      <c r="CA125" s="1476"/>
      <c r="CB125" s="1476"/>
      <c r="CC125" s="1476"/>
      <c r="CD125" s="1476"/>
      <c r="CE125" s="1476"/>
      <c r="CF125" s="1476"/>
      <c r="CG125" s="1476"/>
      <c r="CH125" s="1476"/>
      <c r="CI125" s="84"/>
      <c r="CJ125" s="1475"/>
    </row>
    <row r="126" spans="2:88">
      <c r="B126" s="1714"/>
      <c r="C126" s="1715"/>
      <c r="D126" s="1714"/>
      <c r="E126" s="1715" t="s">
        <v>4098</v>
      </c>
      <c r="F126" s="1513">
        <f>SUM(F119:F125)</f>
        <v>0</v>
      </c>
      <c r="G126" s="1514" t="str">
        <f t="shared" si="91"/>
        <v>N/A</v>
      </c>
      <c r="H126" s="2128">
        <f>ROUND(SUM(H119:I125), 0)</f>
        <v>0</v>
      </c>
      <c r="I126" s="2128"/>
      <c r="J126" s="1088"/>
      <c r="K126" s="1088"/>
      <c r="L126" s="1088"/>
      <c r="M126" s="1088"/>
      <c r="N126" s="1714"/>
      <c r="O126" s="1714"/>
      <c r="P126" s="1714"/>
      <c r="Q126" s="1714"/>
      <c r="R126" s="1088"/>
      <c r="S126" s="1088"/>
      <c r="T126" s="1088"/>
      <c r="U126" s="1086"/>
      <c r="V126" s="1086"/>
      <c r="W126" s="1086"/>
      <c r="X126" s="1086"/>
      <c r="BI126" s="285"/>
      <c r="BJ126" s="285"/>
      <c r="BK126" s="285"/>
      <c r="BL126" s="285"/>
      <c r="BM126" s="285"/>
      <c r="BN126" s="285"/>
      <c r="BO126" s="285"/>
      <c r="BP126" s="285"/>
      <c r="BQ126" s="285"/>
      <c r="BR126" s="285"/>
      <c r="BS126" s="285"/>
      <c r="BT126" s="285"/>
      <c r="BU126" s="285"/>
      <c r="BV126" s="285"/>
      <c r="BW126" s="285"/>
      <c r="BX126" s="285"/>
      <c r="BY126" s="1476"/>
      <c r="BZ126" s="1476"/>
      <c r="CA126" s="1476"/>
      <c r="CB126" s="1476"/>
      <c r="CC126" s="1476"/>
      <c r="CD126" s="1476"/>
      <c r="CE126" s="1476"/>
      <c r="CF126" s="1476"/>
      <c r="CG126" s="1476"/>
      <c r="CH126" s="1476"/>
      <c r="CI126" s="84"/>
      <c r="CJ126" s="1475"/>
    </row>
    <row r="127" spans="2:88">
      <c r="B127" s="1714"/>
      <c r="C127" s="1715"/>
      <c r="D127" s="1714"/>
      <c r="E127" s="1715" t="s">
        <v>4099</v>
      </c>
      <c r="F127" s="1714"/>
      <c r="G127" s="1515"/>
      <c r="H127" s="1714"/>
      <c r="I127" s="1714"/>
      <c r="J127" s="1088"/>
      <c r="K127" s="1088"/>
      <c r="L127" s="1088"/>
      <c r="M127" s="1088"/>
      <c r="N127" s="1714"/>
      <c r="O127" s="1714"/>
      <c r="P127" s="1714"/>
      <c r="Q127" s="1714"/>
      <c r="R127" s="1088"/>
      <c r="S127" s="1088"/>
      <c r="T127" s="1088"/>
      <c r="U127" s="1086"/>
      <c r="V127" s="1086"/>
      <c r="W127" s="1086"/>
      <c r="X127" s="1086"/>
      <c r="BI127" s="285"/>
      <c r="BJ127" s="285"/>
      <c r="BK127" s="285"/>
      <c r="BL127" s="285"/>
      <c r="BM127" s="285"/>
      <c r="BN127" s="285"/>
      <c r="BO127" s="285"/>
      <c r="BP127" s="285"/>
      <c r="BQ127" s="285"/>
      <c r="BR127" s="285"/>
      <c r="BS127" s="285"/>
      <c r="BT127" s="285"/>
      <c r="BU127" s="285"/>
      <c r="BV127" s="285"/>
      <c r="BW127" s="285"/>
      <c r="BX127" s="285"/>
      <c r="BY127" s="1476"/>
      <c r="BZ127" s="1476"/>
      <c r="CA127" s="1476"/>
      <c r="CB127" s="1476"/>
      <c r="CC127" s="1476"/>
      <c r="CD127" s="1476"/>
      <c r="CE127" s="1476"/>
      <c r="CF127" s="1476"/>
      <c r="CG127" s="1476"/>
      <c r="CH127" s="1476"/>
      <c r="CI127" s="84"/>
      <c r="CJ127" s="1475"/>
    </row>
    <row r="128" spans="2:88">
      <c r="B128" s="1714"/>
      <c r="C128" s="1714"/>
      <c r="D128" s="1714"/>
      <c r="E128" s="1717" t="s">
        <v>4100</v>
      </c>
      <c r="F128" s="1513">
        <f>SUM(G96:G98)</f>
        <v>0</v>
      </c>
      <c r="G128" s="1514" t="str">
        <f>IFERROR(F128/Total_Units,"N/A")</f>
        <v>N/A</v>
      </c>
      <c r="H128" s="2129">
        <f>BA66</f>
        <v>0</v>
      </c>
      <c r="I128" s="2130"/>
      <c r="J128" s="1088"/>
      <c r="K128" s="1088"/>
      <c r="L128" s="1088"/>
      <c r="M128" s="1088"/>
      <c r="N128" s="1088"/>
      <c r="O128" s="1088"/>
      <c r="P128" s="1088"/>
      <c r="Q128" s="1088"/>
      <c r="R128" s="1088"/>
      <c r="S128" s="1088"/>
      <c r="T128" s="1088"/>
      <c r="U128" s="1086"/>
      <c r="V128" s="1086"/>
      <c r="W128" s="1086"/>
      <c r="X128" s="1086"/>
      <c r="BI128" s="285"/>
      <c r="BJ128" s="285"/>
      <c r="BK128" s="285"/>
      <c r="BL128" s="285"/>
      <c r="BM128" s="285"/>
      <c r="BN128" s="285"/>
      <c r="BO128" s="285"/>
      <c r="BP128" s="285"/>
      <c r="BQ128" s="285"/>
      <c r="BR128" s="285"/>
      <c r="BS128" s="285"/>
      <c r="BT128" s="285"/>
      <c r="BU128" s="285"/>
      <c r="BV128" s="285"/>
      <c r="BW128" s="285"/>
      <c r="BX128" s="285"/>
      <c r="BY128" s="1476"/>
      <c r="BZ128" s="1476"/>
      <c r="CA128" s="1476"/>
      <c r="CB128" s="1476"/>
      <c r="CC128" s="1476"/>
      <c r="CD128" s="1476"/>
      <c r="CE128" s="1476"/>
      <c r="CF128" s="1476"/>
      <c r="CG128" s="1476"/>
      <c r="CH128" s="1476"/>
      <c r="CI128" s="84"/>
      <c r="CJ128" s="1475"/>
    </row>
    <row r="129" spans="2:87">
      <c r="B129" s="1714"/>
      <c r="C129" s="1715"/>
      <c r="D129" s="1714"/>
      <c r="E129" s="1715" t="s">
        <v>4101</v>
      </c>
      <c r="F129" s="1513">
        <f>SUM(H104:H113)</f>
        <v>0</v>
      </c>
      <c r="G129" s="1514" t="str">
        <f>IFERROR(F129/Total_Units,"N/A")</f>
        <v>N/A</v>
      </c>
      <c r="H129" s="2129">
        <f>SUM(K104:K113)</f>
        <v>0</v>
      </c>
      <c r="I129" s="2130"/>
      <c r="J129" s="1088"/>
      <c r="K129" s="1088"/>
      <c r="L129" s="1088"/>
      <c r="M129" s="1088"/>
      <c r="N129" s="1088"/>
      <c r="O129" s="1088"/>
      <c r="P129" s="1088"/>
      <c r="Q129" s="1088"/>
      <c r="R129" s="1088"/>
      <c r="S129" s="1088"/>
      <c r="T129" s="1088"/>
      <c r="U129" s="1086"/>
      <c r="V129" s="1086"/>
      <c r="W129" s="1086"/>
      <c r="X129" s="1086"/>
      <c r="BI129" s="285"/>
      <c r="BJ129" s="285"/>
      <c r="BK129" s="285"/>
      <c r="BL129" s="285"/>
      <c r="BM129" s="285"/>
      <c r="BN129" s="285"/>
      <c r="BO129" s="285"/>
      <c r="BP129" s="285"/>
      <c r="BQ129" s="285"/>
      <c r="BR129" s="285"/>
      <c r="BS129" s="285"/>
      <c r="BT129" s="285"/>
      <c r="BU129" s="285"/>
      <c r="BV129" s="285"/>
      <c r="BW129" s="285"/>
      <c r="BX129" s="285"/>
      <c r="BY129" s="1476"/>
      <c r="BZ129" s="1476"/>
      <c r="CA129" s="1476"/>
      <c r="CB129" s="1476"/>
      <c r="CC129" s="1476"/>
      <c r="CD129" s="1476"/>
      <c r="CE129" s="1476"/>
      <c r="CF129" s="1476"/>
      <c r="CG129" s="1476"/>
      <c r="CH129" s="1476"/>
      <c r="CI129" s="84"/>
    </row>
    <row r="130" spans="2:87">
      <c r="B130" s="1714"/>
      <c r="C130" s="1714"/>
      <c r="D130" s="1714"/>
      <c r="E130" s="1715" t="s">
        <v>4102</v>
      </c>
      <c r="F130" s="1513">
        <f>SUM(F126:F129)</f>
        <v>0</v>
      </c>
      <c r="G130" s="1714"/>
      <c r="H130" s="2129">
        <f>SUM(H126:I129)</f>
        <v>0</v>
      </c>
      <c r="I130" s="2130"/>
      <c r="J130" s="1088"/>
      <c r="K130" s="1088"/>
      <c r="L130" s="1088"/>
      <c r="M130" s="1088"/>
      <c r="N130" s="1088"/>
      <c r="O130" s="1088"/>
      <c r="P130" s="1088"/>
      <c r="Q130" s="1088"/>
      <c r="R130" s="1088"/>
      <c r="S130" s="1088"/>
      <c r="T130" s="1088"/>
      <c r="U130" s="1086"/>
      <c r="V130" s="1086"/>
      <c r="W130" s="1086"/>
      <c r="X130" s="1086"/>
      <c r="BI130" s="285"/>
      <c r="BJ130" s="285"/>
      <c r="BK130" s="285"/>
      <c r="BL130" s="285"/>
      <c r="BM130" s="285"/>
      <c r="BN130" s="285"/>
      <c r="BO130" s="285"/>
      <c r="BP130" s="285"/>
      <c r="BQ130" s="285"/>
      <c r="BR130" s="285"/>
      <c r="BS130" s="285"/>
      <c r="BT130" s="285"/>
      <c r="BU130" s="285"/>
      <c r="BV130" s="285"/>
      <c r="BW130" s="285"/>
      <c r="BX130" s="285"/>
      <c r="BY130" s="1476"/>
      <c r="BZ130" s="1476"/>
      <c r="CA130" s="1476"/>
      <c r="CB130" s="1476"/>
      <c r="CC130" s="1476"/>
      <c r="CD130" s="1476"/>
      <c r="CE130" s="1476"/>
      <c r="CF130" s="1476"/>
      <c r="CG130" s="1476"/>
      <c r="CH130" s="1476"/>
      <c r="CI130" s="84"/>
    </row>
    <row r="131" spans="2:87">
      <c r="B131" s="1714"/>
      <c r="C131" s="1714"/>
      <c r="D131" s="1714"/>
      <c r="E131" s="1714"/>
      <c r="F131" s="1714"/>
      <c r="G131" s="1714"/>
      <c r="H131" s="1714"/>
      <c r="I131" s="1714"/>
      <c r="J131" s="1714"/>
      <c r="K131" s="1714"/>
      <c r="L131" s="1714"/>
      <c r="M131" s="1714"/>
      <c r="N131" s="1714"/>
      <c r="O131" s="1714"/>
      <c r="P131" s="1714"/>
      <c r="Q131" s="1714"/>
      <c r="R131" s="1714"/>
      <c r="S131" s="1714"/>
      <c r="T131" s="1714"/>
      <c r="U131" s="1086"/>
      <c r="V131" s="1086"/>
      <c r="W131" s="1086"/>
      <c r="X131" s="1086"/>
      <c r="BI131" s="285"/>
      <c r="BJ131" s="285"/>
      <c r="BK131" s="285"/>
      <c r="BL131" s="285"/>
      <c r="BM131" s="285"/>
      <c r="BN131" s="285"/>
      <c r="BO131" s="285"/>
      <c r="BP131" s="285"/>
      <c r="BQ131" s="285"/>
      <c r="BR131" s="285"/>
      <c r="BS131" s="285"/>
      <c r="BT131" s="285"/>
      <c r="BU131" s="285"/>
      <c r="BV131" s="285"/>
      <c r="BW131" s="285"/>
      <c r="BX131" s="285"/>
      <c r="BY131" s="1476"/>
      <c r="BZ131" s="1476"/>
      <c r="CA131" s="1476"/>
      <c r="CB131" s="1476"/>
      <c r="CC131" s="1476"/>
      <c r="CD131" s="1476"/>
      <c r="CE131" s="1476"/>
      <c r="CF131" s="1476"/>
      <c r="CG131" s="1476"/>
      <c r="CH131" s="84"/>
      <c r="CI131" s="1475"/>
    </row>
    <row r="132" spans="2:87" ht="15.75">
      <c r="B132" s="1714"/>
      <c r="C132" s="1714"/>
      <c r="D132" s="1714"/>
      <c r="E132" s="1099" t="s">
        <v>4103</v>
      </c>
      <c r="F132" s="1516"/>
      <c r="G132" s="1714"/>
      <c r="H132" s="1099"/>
      <c r="I132" s="1714"/>
      <c r="J132" s="1714"/>
      <c r="K132" s="1717" t="s">
        <v>4104</v>
      </c>
      <c r="L132" s="1516"/>
      <c r="M132" s="1714"/>
      <c r="N132" s="1717"/>
      <c r="O132" s="1714"/>
      <c r="P132" s="1714"/>
      <c r="Q132" s="1714"/>
      <c r="R132" s="1714"/>
      <c r="S132" s="1714"/>
      <c r="T132" s="1714"/>
      <c r="U132" s="1086"/>
      <c r="V132" s="1086"/>
      <c r="W132" s="1086"/>
      <c r="X132" s="1086"/>
      <c r="BI132" s="285"/>
      <c r="BJ132" s="285"/>
      <c r="BK132" s="285"/>
      <c r="BL132" s="285"/>
      <c r="BM132" s="285"/>
      <c r="BN132" s="285"/>
      <c r="BO132" s="285"/>
      <c r="BP132" s="285"/>
      <c r="BQ132" s="285"/>
      <c r="BR132" s="285"/>
      <c r="BS132" s="285"/>
      <c r="BT132" s="285"/>
      <c r="BU132" s="285"/>
      <c r="BV132" s="285"/>
      <c r="BW132" s="285"/>
      <c r="BX132" s="285"/>
      <c r="BY132" s="1476"/>
      <c r="BZ132" s="1476"/>
      <c r="CA132" s="1476"/>
      <c r="CB132" s="1476"/>
      <c r="CC132" s="1476"/>
      <c r="CD132" s="1476"/>
      <c r="CE132" s="1476"/>
      <c r="CF132" s="1476"/>
      <c r="CG132" s="1476"/>
      <c r="CH132" s="84"/>
      <c r="CI132" s="1475"/>
    </row>
    <row r="133" spans="2:87">
      <c r="B133" s="1714"/>
      <c r="C133" s="1714"/>
      <c r="D133" s="1714"/>
      <c r="E133" s="1714"/>
      <c r="F133" s="1714"/>
      <c r="G133" s="1714"/>
      <c r="H133" s="1714"/>
      <c r="I133" s="1714"/>
      <c r="J133" s="1714"/>
      <c r="K133" s="1714"/>
      <c r="L133" s="1714"/>
      <c r="M133" s="1714"/>
      <c r="N133" s="1714"/>
      <c r="O133" s="1714"/>
      <c r="P133" s="1714"/>
      <c r="Q133" s="1714"/>
      <c r="R133" s="1714"/>
      <c r="S133" s="1714"/>
      <c r="T133" s="1714"/>
      <c r="U133" s="1086"/>
      <c r="V133" s="1086"/>
      <c r="W133" s="1086"/>
      <c r="X133" s="1086"/>
      <c r="BI133" s="285"/>
      <c r="BJ133" s="285"/>
      <c r="BK133" s="285"/>
      <c r="BL133" s="285"/>
      <c r="BM133" s="285"/>
      <c r="BN133" s="285"/>
      <c r="BO133" s="285"/>
      <c r="BP133" s="285"/>
      <c r="BQ133" s="285"/>
      <c r="BR133" s="285"/>
      <c r="BS133" s="285"/>
      <c r="BT133" s="285"/>
      <c r="BU133" s="285"/>
      <c r="BV133" s="285"/>
      <c r="BW133" s="285"/>
      <c r="BX133" s="285"/>
      <c r="BY133" s="1476"/>
      <c r="BZ133" s="1476"/>
      <c r="CA133" s="1476"/>
      <c r="CB133" s="1476"/>
      <c r="CC133" s="1476"/>
      <c r="CD133" s="1476"/>
      <c r="CE133" s="1476"/>
      <c r="CF133" s="1476"/>
      <c r="CG133" s="1476"/>
      <c r="CH133" s="84"/>
      <c r="CI133" s="1475"/>
    </row>
    <row r="134" spans="2:87">
      <c r="B134" s="1714"/>
      <c r="C134" s="1713" t="s">
        <v>4105</v>
      </c>
      <c r="D134" s="1714"/>
      <c r="E134" s="1714"/>
      <c r="F134" s="1714"/>
      <c r="G134" s="1714"/>
      <c r="H134" s="1714"/>
      <c r="I134" s="1714"/>
      <c r="J134" s="1714"/>
      <c r="K134" s="1714"/>
      <c r="L134" s="1714"/>
      <c r="M134" s="1714"/>
      <c r="N134" s="1714"/>
      <c r="O134" s="1714"/>
      <c r="P134" s="1714"/>
      <c r="Q134" s="1714"/>
      <c r="R134" s="1714"/>
      <c r="S134" s="1714"/>
      <c r="T134" s="1714"/>
      <c r="U134" s="1086"/>
      <c r="V134" s="1086"/>
      <c r="W134" s="1086"/>
      <c r="X134" s="1086"/>
      <c r="BI134" s="285"/>
      <c r="BJ134" s="285"/>
      <c r="BK134" s="285"/>
      <c r="BL134" s="285"/>
      <c r="BM134" s="285"/>
      <c r="BN134" s="285"/>
      <c r="BO134" s="285"/>
      <c r="BP134" s="285"/>
      <c r="BQ134" s="285"/>
      <c r="BR134" s="285"/>
      <c r="BS134" s="285"/>
      <c r="BT134" s="285"/>
      <c r="BU134" s="285"/>
      <c r="BV134" s="285"/>
      <c r="BW134" s="285"/>
      <c r="BX134" s="285"/>
      <c r="BY134" s="1476"/>
      <c r="BZ134" s="1476"/>
      <c r="CA134" s="1476"/>
      <c r="CB134" s="1476"/>
      <c r="CC134" s="1476"/>
      <c r="CD134" s="1476"/>
      <c r="CE134" s="1476"/>
      <c r="CF134" s="1476"/>
      <c r="CG134" s="1476"/>
      <c r="CH134" s="84"/>
      <c r="CI134" s="1475"/>
    </row>
    <row r="135" spans="2:87" ht="15.75">
      <c r="B135" s="1714"/>
      <c r="C135" s="1714"/>
      <c r="D135" s="1714"/>
      <c r="E135" s="1714"/>
      <c r="F135" s="1099" t="s">
        <v>4106</v>
      </c>
      <c r="G135" s="1501"/>
      <c r="H135" s="1714"/>
      <c r="I135" s="1714"/>
      <c r="J135" s="1717" t="s">
        <v>4107</v>
      </c>
      <c r="K135" s="1517"/>
      <c r="L135" s="1714"/>
      <c r="M135" s="1714"/>
      <c r="N135" s="1714"/>
      <c r="O135" s="1714"/>
      <c r="P135" s="1714"/>
      <c r="Q135" s="1714"/>
      <c r="R135" s="1714"/>
      <c r="S135" s="1714"/>
      <c r="T135" s="1714"/>
      <c r="U135" s="1086"/>
      <c r="V135" s="1086"/>
      <c r="W135" s="1086"/>
      <c r="X135" s="1086"/>
      <c r="BI135" s="285"/>
      <c r="BJ135" s="285"/>
      <c r="BK135" s="285"/>
      <c r="BL135" s="285"/>
      <c r="BM135" s="285"/>
      <c r="BN135" s="285"/>
      <c r="BO135" s="285"/>
      <c r="BP135" s="285"/>
      <c r="BQ135" s="285"/>
      <c r="BR135" s="285"/>
      <c r="BS135" s="285"/>
      <c r="BT135" s="285"/>
      <c r="BU135" s="285"/>
      <c r="BV135" s="285"/>
      <c r="BW135" s="285"/>
      <c r="BX135" s="285"/>
      <c r="BY135" s="1476"/>
      <c r="BZ135" s="1476"/>
      <c r="CA135" s="1476"/>
      <c r="CB135" s="1476"/>
      <c r="CC135" s="1476"/>
      <c r="CD135" s="1476"/>
      <c r="CE135" s="1476"/>
      <c r="CF135" s="1476"/>
      <c r="CG135" s="1476"/>
      <c r="CH135" s="84"/>
      <c r="CI135" s="1475"/>
    </row>
    <row r="136" spans="2:87" ht="15.75">
      <c r="B136" s="1714"/>
      <c r="C136" s="1714"/>
      <c r="D136" s="1714"/>
      <c r="E136" s="1714"/>
      <c r="F136" s="1099" t="s">
        <v>4108</v>
      </c>
      <c r="G136" s="1501"/>
      <c r="H136" s="1714"/>
      <c r="I136" s="1714"/>
      <c r="J136" s="1714"/>
      <c r="K136" s="1714"/>
      <c r="L136" s="1714"/>
      <c r="M136" s="1714"/>
      <c r="N136" s="1714"/>
      <c r="O136" s="1714"/>
      <c r="P136" s="1714"/>
      <c r="Q136" s="1714"/>
      <c r="R136" s="1714"/>
      <c r="S136" s="1714"/>
      <c r="T136" s="1714"/>
      <c r="U136" s="1086"/>
      <c r="V136" s="1086"/>
      <c r="W136" s="1086"/>
      <c r="X136" s="1086"/>
      <c r="BI136" s="285"/>
      <c r="BJ136" s="285"/>
      <c r="BK136" s="285"/>
      <c r="BL136" s="285"/>
      <c r="BM136" s="285"/>
      <c r="BN136" s="285"/>
      <c r="BO136" s="285"/>
      <c r="BP136" s="285"/>
      <c r="BQ136" s="285"/>
      <c r="BR136" s="285"/>
      <c r="BS136" s="285"/>
      <c r="BT136" s="285"/>
      <c r="BU136" s="285"/>
      <c r="BV136" s="285"/>
      <c r="BW136" s="285"/>
      <c r="BX136" s="285"/>
      <c r="BY136" s="1476"/>
      <c r="BZ136" s="1476"/>
      <c r="CA136" s="1476"/>
      <c r="CB136" s="1476"/>
      <c r="CC136" s="1476"/>
      <c r="CD136" s="1476"/>
      <c r="CE136" s="1476"/>
      <c r="CF136" s="1476"/>
      <c r="CG136" s="1476"/>
      <c r="CH136" s="84"/>
      <c r="CI136" s="1475"/>
    </row>
    <row r="137" spans="2:87" ht="15.75">
      <c r="B137" s="1714"/>
      <c r="C137" s="1714"/>
      <c r="D137" s="1714"/>
      <c r="E137" s="1714"/>
      <c r="F137" s="1099" t="s">
        <v>4109</v>
      </c>
      <c r="G137" s="1501"/>
      <c r="H137" s="1714"/>
      <c r="I137" s="1714"/>
      <c r="J137" s="1714"/>
      <c r="K137" s="1714"/>
      <c r="L137" s="1714"/>
      <c r="M137" s="1714"/>
      <c r="N137" s="1714"/>
      <c r="O137" s="1714"/>
      <c r="P137" s="1714"/>
      <c r="Q137" s="1714"/>
      <c r="R137" s="1714"/>
      <c r="S137" s="1714"/>
      <c r="T137" s="1714"/>
      <c r="U137" s="1086"/>
      <c r="V137" s="1086"/>
      <c r="W137" s="1086"/>
      <c r="X137" s="1086"/>
      <c r="BI137" s="285"/>
      <c r="BJ137" s="285"/>
      <c r="BK137" s="285"/>
      <c r="BL137" s="285"/>
      <c r="BM137" s="285"/>
      <c r="BN137" s="285"/>
      <c r="BO137" s="285"/>
      <c r="BP137" s="285"/>
      <c r="BQ137" s="285"/>
      <c r="BR137" s="285"/>
      <c r="BS137" s="285"/>
      <c r="BT137" s="285"/>
      <c r="BU137" s="285"/>
      <c r="BV137" s="285"/>
      <c r="BW137" s="285"/>
      <c r="BX137" s="285"/>
      <c r="BY137" s="1476"/>
      <c r="BZ137" s="1476"/>
      <c r="CA137" s="1476"/>
      <c r="CB137" s="1476"/>
      <c r="CC137" s="1476"/>
      <c r="CD137" s="1476"/>
      <c r="CE137" s="1476"/>
      <c r="CF137" s="1476"/>
      <c r="CG137" s="1476"/>
      <c r="CH137" s="84"/>
      <c r="CI137" s="1475"/>
    </row>
    <row r="138" spans="2:87" ht="15.75">
      <c r="B138" s="1714"/>
      <c r="C138" s="1714"/>
      <c r="D138" s="1714"/>
      <c r="E138" s="1714"/>
      <c r="F138" s="1099" t="s">
        <v>4110</v>
      </c>
      <c r="G138" s="1501"/>
      <c r="H138" s="1714"/>
      <c r="I138" s="1714"/>
      <c r="J138" s="1714"/>
      <c r="K138" s="1714"/>
      <c r="L138" s="1714"/>
      <c r="M138" s="1714"/>
      <c r="N138" s="1714"/>
      <c r="O138" s="1714"/>
      <c r="P138" s="1714"/>
      <c r="Q138" s="1714"/>
      <c r="R138" s="1714"/>
      <c r="S138" s="1714"/>
      <c r="T138" s="1714"/>
      <c r="U138" s="1086"/>
      <c r="V138" s="1086"/>
      <c r="W138" s="1086"/>
      <c r="X138" s="1086"/>
      <c r="BI138" s="285"/>
      <c r="BJ138" s="285"/>
      <c r="BK138" s="285"/>
      <c r="BL138" s="285"/>
      <c r="BM138" s="285"/>
      <c r="BN138" s="285"/>
      <c r="BO138" s="285"/>
      <c r="BP138" s="285"/>
      <c r="BQ138" s="285"/>
      <c r="BR138" s="285"/>
      <c r="BS138" s="285"/>
      <c r="BT138" s="285"/>
      <c r="BU138" s="285"/>
      <c r="BV138" s="285"/>
      <c r="BW138" s="285"/>
      <c r="BX138" s="285"/>
      <c r="BY138" s="1476"/>
      <c r="BZ138" s="1476"/>
      <c r="CA138" s="1476"/>
      <c r="CB138" s="1476"/>
      <c r="CC138" s="1476"/>
      <c r="CD138" s="1476"/>
      <c r="CE138" s="1476"/>
      <c r="CF138" s="1476"/>
      <c r="CG138" s="1476"/>
      <c r="CH138" s="84"/>
      <c r="CI138" s="1475"/>
    </row>
    <row r="139" spans="2:87">
      <c r="B139" s="1714"/>
      <c r="C139" s="1714"/>
      <c r="D139" s="1714"/>
      <c r="E139" s="1714"/>
      <c r="F139" s="1714"/>
      <c r="G139" s="1714"/>
      <c r="H139" s="1714"/>
      <c r="I139" s="1714"/>
      <c r="J139" s="1714"/>
      <c r="K139" s="1714"/>
      <c r="L139" s="1714"/>
      <c r="M139" s="1714"/>
      <c r="N139" s="1714"/>
      <c r="O139" s="1714"/>
      <c r="P139" s="1714"/>
      <c r="Q139" s="1714"/>
      <c r="R139" s="1714"/>
      <c r="S139" s="1714"/>
      <c r="T139" s="1714"/>
      <c r="U139" s="1086"/>
      <c r="V139" s="1086"/>
      <c r="W139" s="1086"/>
      <c r="X139" s="1086"/>
      <c r="BI139" s="285"/>
      <c r="BJ139" s="285"/>
      <c r="BK139" s="285"/>
      <c r="BL139" s="285"/>
      <c r="BM139" s="285"/>
      <c r="BN139" s="285"/>
      <c r="BO139" s="285"/>
      <c r="BP139" s="285"/>
      <c r="BQ139" s="285"/>
      <c r="BR139" s="285"/>
      <c r="BS139" s="285"/>
      <c r="BT139" s="285"/>
      <c r="BU139" s="285"/>
      <c r="BV139" s="285"/>
      <c r="BW139" s="285"/>
      <c r="BX139" s="285"/>
      <c r="BY139" s="1476"/>
      <c r="BZ139" s="1476"/>
      <c r="CA139" s="1476"/>
      <c r="CB139" s="1476"/>
      <c r="CC139" s="1476"/>
      <c r="CD139" s="1476"/>
      <c r="CE139" s="1476"/>
      <c r="CF139" s="1476"/>
      <c r="CG139" s="1476"/>
      <c r="CH139" s="84"/>
      <c r="CI139" s="1475"/>
    </row>
    <row r="140" spans="2:87">
      <c r="B140" s="1714"/>
      <c r="C140" s="1713" t="s">
        <v>4111</v>
      </c>
      <c r="D140" s="1714"/>
      <c r="E140" s="1714"/>
      <c r="F140" s="1714"/>
      <c r="G140" s="1714"/>
      <c r="H140" s="1714"/>
      <c r="I140" s="1714"/>
      <c r="J140" s="1714"/>
      <c r="K140" s="1714"/>
      <c r="L140" s="1714"/>
      <c r="M140" s="1714"/>
      <c r="N140" s="1714"/>
      <c r="O140" s="1714"/>
      <c r="P140" s="1714"/>
      <c r="Q140" s="1714"/>
      <c r="R140" s="1714"/>
      <c r="S140" s="1714"/>
      <c r="T140" s="1714"/>
      <c r="U140" s="1086"/>
      <c r="V140" s="1086"/>
      <c r="W140" s="1086"/>
      <c r="X140" s="1086"/>
      <c r="BI140" s="285"/>
      <c r="BJ140" s="285"/>
      <c r="BK140" s="285"/>
      <c r="BL140" s="285"/>
      <c r="BM140" s="285"/>
      <c r="BN140" s="285"/>
      <c r="BO140" s="285"/>
      <c r="BP140" s="285"/>
      <c r="BQ140" s="285"/>
      <c r="BR140" s="285"/>
      <c r="BS140" s="285"/>
      <c r="BT140" s="285"/>
      <c r="BU140" s="285"/>
      <c r="BV140" s="285"/>
      <c r="BW140" s="285"/>
      <c r="BX140" s="285"/>
      <c r="BY140" s="1476"/>
      <c r="BZ140" s="1476"/>
      <c r="CA140" s="1476"/>
      <c r="CB140" s="1476"/>
      <c r="CC140" s="1476"/>
      <c r="CD140" s="1476"/>
      <c r="CE140" s="1476"/>
      <c r="CF140" s="1476"/>
      <c r="CG140" s="1476"/>
      <c r="CH140" s="84"/>
      <c r="CI140" s="1475"/>
    </row>
    <row r="141" spans="2:87">
      <c r="B141" s="1714"/>
      <c r="C141" s="1714"/>
      <c r="D141" s="1714"/>
      <c r="E141" s="1714"/>
      <c r="F141" s="1714"/>
      <c r="G141" s="1714"/>
      <c r="H141" s="1714"/>
      <c r="I141" s="1714"/>
      <c r="J141" s="1714"/>
      <c r="K141" s="1714"/>
      <c r="L141" s="1714"/>
      <c r="M141" s="1714"/>
      <c r="N141" s="1714"/>
      <c r="O141" s="1714"/>
      <c r="P141" s="1714"/>
      <c r="Q141" s="1714"/>
      <c r="R141" s="1714"/>
      <c r="S141" s="1714"/>
      <c r="T141" s="1714"/>
      <c r="U141" s="1086"/>
      <c r="V141" s="1086"/>
      <c r="W141" s="1086"/>
      <c r="X141" s="1086"/>
      <c r="BI141" s="285"/>
      <c r="BJ141" s="285"/>
      <c r="BK141" s="285"/>
      <c r="BL141" s="285"/>
      <c r="BM141" s="285"/>
      <c r="BN141" s="285"/>
      <c r="BO141" s="285"/>
      <c r="BP141" s="285"/>
      <c r="BQ141" s="285"/>
      <c r="BR141" s="285"/>
      <c r="BS141" s="285"/>
      <c r="BT141" s="285"/>
      <c r="BU141" s="285"/>
      <c r="BV141" s="285"/>
      <c r="BW141" s="285"/>
      <c r="BX141" s="285"/>
      <c r="BY141" s="1476"/>
      <c r="BZ141" s="1476"/>
      <c r="CA141" s="1476"/>
      <c r="CB141" s="1476"/>
      <c r="CC141" s="1476"/>
      <c r="CD141" s="1476"/>
      <c r="CE141" s="1476"/>
      <c r="CF141" s="1476"/>
      <c r="CG141" s="1476"/>
      <c r="CH141" s="84"/>
      <c r="CI141" s="1475"/>
    </row>
    <row r="142" spans="2:87">
      <c r="B142" s="1714"/>
      <c r="C142" s="1714"/>
      <c r="D142" s="1714"/>
      <c r="E142" s="1714"/>
      <c r="F142" s="1717" t="s">
        <v>4112</v>
      </c>
      <c r="G142" s="1516"/>
      <c r="H142" s="1714"/>
      <c r="I142" s="1714"/>
      <c r="J142" s="1714"/>
      <c r="K142" s="1714"/>
      <c r="L142" s="1714"/>
      <c r="M142" s="1714"/>
      <c r="N142" s="1714"/>
      <c r="O142" s="1714"/>
      <c r="P142" s="1714"/>
      <c r="Q142" s="1714"/>
      <c r="R142" s="1714"/>
      <c r="S142" s="1714"/>
      <c r="T142" s="1714"/>
      <c r="U142" s="1086"/>
      <c r="V142" s="1086"/>
      <c r="W142" s="1086"/>
      <c r="X142" s="1086"/>
      <c r="BI142" s="285"/>
      <c r="BJ142" s="285"/>
      <c r="BK142" s="285"/>
      <c r="BL142" s="285"/>
      <c r="BM142" s="285"/>
      <c r="BN142" s="285"/>
      <c r="BO142" s="285"/>
      <c r="BP142" s="285"/>
      <c r="BQ142" s="285"/>
      <c r="BR142" s="285"/>
      <c r="BS142" s="285"/>
      <c r="BT142" s="285"/>
      <c r="BU142" s="285"/>
      <c r="BV142" s="285"/>
      <c r="BW142" s="285"/>
      <c r="BX142" s="285"/>
      <c r="BY142" s="1476"/>
      <c r="BZ142" s="1476"/>
      <c r="CA142" s="1476"/>
      <c r="CB142" s="1476"/>
      <c r="CC142" s="1476"/>
      <c r="CD142" s="1476"/>
      <c r="CE142" s="1476"/>
      <c r="CF142" s="1476"/>
      <c r="CG142" s="1476"/>
      <c r="CH142" s="84"/>
      <c r="CI142" s="1475"/>
    </row>
    <row r="143" spans="2:87" hidden="1">
      <c r="B143" s="1714"/>
      <c r="C143" s="1714"/>
      <c r="D143" s="1714"/>
      <c r="E143" s="1714"/>
      <c r="F143" s="1717" t="s">
        <v>4113</v>
      </c>
      <c r="G143" s="1517"/>
      <c r="H143" s="1714"/>
      <c r="I143" s="1714"/>
      <c r="J143" s="1714"/>
      <c r="K143" s="1714"/>
      <c r="L143" s="1714"/>
      <c r="M143" s="1714"/>
      <c r="N143" s="1714"/>
      <c r="O143" s="1714"/>
      <c r="P143" s="1714"/>
      <c r="Q143" s="1714"/>
      <c r="R143" s="1714"/>
      <c r="S143" s="1714"/>
      <c r="T143" s="1714"/>
      <c r="U143" s="1086"/>
      <c r="V143" s="1086"/>
      <c r="W143" s="1086"/>
      <c r="X143" s="1086"/>
      <c r="BI143" s="285"/>
      <c r="BJ143" s="285"/>
      <c r="BK143" s="285"/>
      <c r="BL143" s="285"/>
      <c r="BM143" s="285"/>
      <c r="BN143" s="285"/>
      <c r="BO143" s="285"/>
      <c r="BP143" s="285"/>
      <c r="BQ143" s="285"/>
      <c r="BR143" s="285"/>
      <c r="BS143" s="285"/>
      <c r="BT143" s="285"/>
      <c r="BU143" s="285"/>
      <c r="BV143" s="285"/>
      <c r="BW143" s="285"/>
      <c r="BX143" s="285"/>
      <c r="BY143" s="1476"/>
      <c r="BZ143" s="1476"/>
      <c r="CA143" s="1476"/>
      <c r="CB143" s="1476"/>
      <c r="CC143" s="1476"/>
      <c r="CD143" s="1476"/>
      <c r="CE143" s="1476"/>
      <c r="CF143" s="1476"/>
      <c r="CG143" s="1476"/>
      <c r="CH143" s="84"/>
      <c r="CI143" s="1475"/>
    </row>
    <row r="144" spans="2:87">
      <c r="B144" s="1714"/>
      <c r="C144" s="1714"/>
      <c r="D144" s="1714"/>
      <c r="E144" s="1714"/>
      <c r="F144" s="1717" t="s">
        <v>4114</v>
      </c>
      <c r="G144" s="1516"/>
      <c r="H144" s="1714"/>
      <c r="I144" s="1714"/>
      <c r="J144" s="1714"/>
      <c r="K144" s="1714"/>
      <c r="L144" s="1714"/>
      <c r="M144" s="1714"/>
      <c r="N144" s="1714"/>
      <c r="O144" s="1714"/>
      <c r="P144" s="1714"/>
      <c r="Q144" s="1714"/>
      <c r="R144" s="1714"/>
      <c r="S144" s="1714"/>
      <c r="T144" s="1714"/>
      <c r="U144" s="1086"/>
      <c r="V144" s="1086"/>
      <c r="W144" s="1086"/>
      <c r="X144" s="1086"/>
      <c r="BI144" s="285"/>
      <c r="BJ144" s="285"/>
      <c r="BK144" s="285"/>
      <c r="BL144" s="285"/>
      <c r="BM144" s="285"/>
      <c r="BN144" s="285"/>
      <c r="BO144" s="285"/>
      <c r="BP144" s="285"/>
      <c r="BQ144" s="285"/>
      <c r="BR144" s="285"/>
      <c r="BS144" s="285"/>
      <c r="BT144" s="285"/>
      <c r="BU144" s="285"/>
      <c r="BV144" s="285"/>
      <c r="BW144" s="285"/>
      <c r="BX144" s="285"/>
      <c r="BY144" s="1476"/>
      <c r="BZ144" s="1476"/>
      <c r="CA144" s="1476"/>
      <c r="CB144" s="1476"/>
      <c r="CC144" s="1476"/>
      <c r="CD144" s="1476"/>
      <c r="CE144" s="1476"/>
      <c r="CF144" s="1476"/>
      <c r="CG144" s="1476"/>
      <c r="CH144" s="84"/>
      <c r="CI144" s="1475"/>
    </row>
    <row r="145" spans="2:86">
      <c r="B145" s="1714"/>
      <c r="C145" s="1714"/>
      <c r="D145" s="1714"/>
      <c r="E145" s="1714"/>
      <c r="F145" s="1717" t="s">
        <v>4115</v>
      </c>
      <c r="G145" s="1745">
        <f>+'10. Project and Unit Amenities'!G20</f>
        <v>0</v>
      </c>
      <c r="H145" s="1714"/>
      <c r="I145" s="1714"/>
      <c r="J145" s="1714"/>
      <c r="K145" s="1714"/>
      <c r="L145" s="1714"/>
      <c r="M145" s="1714"/>
      <c r="N145" s="1714"/>
      <c r="O145" s="1714"/>
      <c r="P145" s="1714"/>
      <c r="Q145" s="1714"/>
      <c r="R145" s="1714"/>
      <c r="S145" s="1714"/>
      <c r="T145" s="1714"/>
      <c r="U145" s="1086"/>
      <c r="V145" s="1086"/>
      <c r="W145" s="1086"/>
      <c r="X145" s="1086"/>
      <c r="BI145" s="285"/>
      <c r="BJ145" s="285"/>
      <c r="BK145" s="285"/>
      <c r="BL145" s="285"/>
      <c r="BM145" s="285"/>
      <c r="BN145" s="285"/>
      <c r="BO145" s="285"/>
      <c r="BP145" s="285"/>
      <c r="BQ145" s="285"/>
      <c r="BR145" s="285"/>
      <c r="BS145" s="285"/>
      <c r="BT145" s="285"/>
      <c r="BU145" s="285"/>
      <c r="BV145" s="285"/>
      <c r="BW145" s="285"/>
      <c r="BX145" s="285"/>
      <c r="BY145" s="1476"/>
      <c r="BZ145" s="1476"/>
      <c r="CA145" s="1476"/>
      <c r="CB145" s="1476"/>
      <c r="CC145" s="1476"/>
      <c r="CD145" s="1476"/>
      <c r="CE145" s="1476"/>
      <c r="CF145" s="1476"/>
      <c r="CG145" s="1476"/>
      <c r="CH145" s="84"/>
    </row>
    <row r="146" spans="2:86">
      <c r="B146" s="1714"/>
      <c r="C146" s="1714"/>
      <c r="D146" s="1714"/>
      <c r="E146" s="1714"/>
      <c r="F146" s="1714"/>
      <c r="G146" s="1714"/>
      <c r="H146" s="1714"/>
      <c r="I146" s="1714"/>
      <c r="J146" s="1714"/>
      <c r="K146" s="1714"/>
      <c r="L146" s="1714"/>
      <c r="M146" s="1714"/>
      <c r="N146" s="1714"/>
      <c r="O146" s="1714"/>
      <c r="P146" s="1714"/>
      <c r="Q146" s="1714"/>
      <c r="R146" s="1714"/>
      <c r="S146" s="1714"/>
      <c r="T146" s="1714"/>
      <c r="U146" s="1086"/>
      <c r="V146" s="1086"/>
      <c r="W146" s="1086"/>
      <c r="X146" s="1086"/>
      <c r="BI146" s="285"/>
      <c r="BJ146" s="285"/>
      <c r="BK146" s="285"/>
      <c r="BL146" s="285"/>
      <c r="BM146" s="285"/>
      <c r="BN146" s="285"/>
      <c r="BO146" s="285"/>
      <c r="BP146" s="285"/>
      <c r="BQ146" s="285"/>
      <c r="BR146" s="285"/>
      <c r="BS146" s="285"/>
      <c r="BT146" s="285"/>
      <c r="BU146" s="285"/>
      <c r="BV146" s="285"/>
      <c r="BW146" s="285"/>
      <c r="BX146" s="285"/>
      <c r="BY146" s="1476"/>
      <c r="BZ146" s="1476"/>
      <c r="CA146" s="1476"/>
      <c r="CB146" s="1476"/>
      <c r="CC146" s="1476"/>
      <c r="CD146" s="1476"/>
      <c r="CE146" s="1476"/>
      <c r="CF146" s="1476"/>
      <c r="CG146" s="1476"/>
      <c r="CH146" s="84"/>
    </row>
    <row r="147" spans="2:86">
      <c r="B147" s="1714"/>
      <c r="C147" s="1714"/>
      <c r="D147" s="1480" t="s">
        <v>4116</v>
      </c>
      <c r="E147" s="1714"/>
      <c r="F147" s="1717"/>
      <c r="G147" s="1714"/>
      <c r="H147" s="1714"/>
      <c r="I147" s="1714"/>
      <c r="J147" s="1714"/>
      <c r="K147" s="1714"/>
      <c r="L147" s="1714"/>
      <c r="M147" s="1714"/>
      <c r="N147" s="1714"/>
      <c r="O147" s="1714"/>
      <c r="P147" s="1714"/>
      <c r="Q147" s="1714"/>
      <c r="R147" s="1714"/>
      <c r="S147" s="1714"/>
      <c r="T147" s="1714"/>
      <c r="U147" s="1086"/>
      <c r="V147" s="1086"/>
      <c r="W147" s="1086"/>
      <c r="X147" s="1086"/>
      <c r="BI147" s="285"/>
      <c r="BJ147" s="285"/>
      <c r="BK147" s="285"/>
      <c r="BL147" s="285"/>
      <c r="BM147" s="285"/>
      <c r="BN147" s="285"/>
      <c r="BO147" s="285"/>
      <c r="BP147" s="285"/>
      <c r="BQ147" s="285"/>
      <c r="BR147" s="285"/>
      <c r="BS147" s="285"/>
      <c r="BT147" s="285"/>
      <c r="BU147" s="285"/>
      <c r="BV147" s="285"/>
      <c r="BW147" s="285"/>
      <c r="BX147" s="285"/>
      <c r="BY147" s="1476"/>
      <c r="BZ147" s="1476"/>
      <c r="CA147" s="1476"/>
      <c r="CB147" s="1476"/>
      <c r="CC147" s="1476"/>
      <c r="CD147" s="1476"/>
      <c r="CE147" s="1476"/>
      <c r="CF147" s="1476"/>
      <c r="CG147" s="1476"/>
      <c r="CH147" s="84"/>
    </row>
    <row r="148" spans="2:86">
      <c r="B148" s="1714"/>
      <c r="C148" s="1714"/>
      <c r="D148" s="2131"/>
      <c r="E148" s="2131"/>
      <c r="F148" s="2131"/>
      <c r="G148" s="2131"/>
      <c r="H148" s="2131"/>
      <c r="I148" s="2131"/>
      <c r="J148" s="2131"/>
      <c r="K148" s="2131"/>
      <c r="L148" s="2131"/>
      <c r="M148" s="2131"/>
      <c r="N148" s="2131"/>
      <c r="O148" s="2131"/>
      <c r="P148" s="2131"/>
      <c r="Q148" s="2131"/>
      <c r="R148" s="2131"/>
      <c r="S148" s="1714"/>
      <c r="T148" s="1714"/>
      <c r="U148" s="1086"/>
      <c r="V148" s="1086"/>
      <c r="W148" s="1086"/>
      <c r="X148" s="1086"/>
      <c r="BI148" s="285"/>
      <c r="BJ148" s="285"/>
      <c r="BK148" s="285"/>
      <c r="BL148" s="285"/>
      <c r="BM148" s="285"/>
      <c r="BN148" s="285"/>
      <c r="BO148" s="285"/>
      <c r="BP148" s="285"/>
      <c r="BQ148" s="285"/>
      <c r="BR148" s="285"/>
      <c r="BS148" s="285"/>
      <c r="BT148" s="285"/>
      <c r="BU148" s="285"/>
      <c r="BV148" s="285"/>
      <c r="BW148" s="285"/>
      <c r="BX148" s="285"/>
      <c r="BY148" s="1476"/>
      <c r="BZ148" s="1476"/>
      <c r="CA148" s="1476"/>
      <c r="CB148" s="1476"/>
      <c r="CC148" s="1476"/>
      <c r="CD148" s="1476"/>
      <c r="CE148" s="1476"/>
      <c r="CF148" s="1476"/>
      <c r="CG148" s="1476"/>
      <c r="CH148" s="84"/>
    </row>
    <row r="149" spans="2:86">
      <c r="B149" s="1714"/>
      <c r="C149" s="1714"/>
      <c r="D149" s="2131"/>
      <c r="E149" s="2131"/>
      <c r="F149" s="2131"/>
      <c r="G149" s="2131"/>
      <c r="H149" s="2131"/>
      <c r="I149" s="2131"/>
      <c r="J149" s="2131"/>
      <c r="K149" s="2131"/>
      <c r="L149" s="2131"/>
      <c r="M149" s="2131"/>
      <c r="N149" s="2131"/>
      <c r="O149" s="2131"/>
      <c r="P149" s="2131"/>
      <c r="Q149" s="2131"/>
      <c r="R149" s="2131"/>
      <c r="S149" s="1714"/>
      <c r="T149" s="1714"/>
      <c r="U149" s="1086"/>
      <c r="V149" s="1086"/>
      <c r="W149" s="1086"/>
      <c r="X149" s="1086"/>
      <c r="BI149" s="285"/>
      <c r="BJ149" s="285"/>
      <c r="BK149" s="285"/>
      <c r="BL149" s="285"/>
      <c r="BM149" s="285"/>
      <c r="BN149" s="285"/>
      <c r="BO149" s="285"/>
      <c r="BP149" s="285"/>
      <c r="BQ149" s="285"/>
      <c r="BR149" s="285"/>
      <c r="BS149" s="285"/>
      <c r="BT149" s="285"/>
      <c r="BU149" s="285"/>
      <c r="BV149" s="285"/>
      <c r="BW149" s="285"/>
      <c r="BX149" s="285"/>
      <c r="BY149" s="1476"/>
      <c r="BZ149" s="1476"/>
      <c r="CA149" s="1476"/>
      <c r="CB149" s="1476"/>
      <c r="CC149" s="1476"/>
      <c r="CD149" s="1476"/>
      <c r="CE149" s="1476"/>
      <c r="CF149" s="1476"/>
      <c r="CG149" s="1476"/>
      <c r="CH149" s="84"/>
    </row>
    <row r="150" spans="2:86">
      <c r="B150" s="1714"/>
      <c r="C150" s="1714"/>
      <c r="D150" s="2131"/>
      <c r="E150" s="2131"/>
      <c r="F150" s="2131"/>
      <c r="G150" s="2131"/>
      <c r="H150" s="2131"/>
      <c r="I150" s="2131"/>
      <c r="J150" s="2131"/>
      <c r="K150" s="2131"/>
      <c r="L150" s="2131"/>
      <c r="M150" s="2131"/>
      <c r="N150" s="2131"/>
      <c r="O150" s="2131"/>
      <c r="P150" s="2131"/>
      <c r="Q150" s="2131"/>
      <c r="R150" s="2131"/>
      <c r="S150" s="1714"/>
      <c r="T150" s="1714"/>
      <c r="U150" s="1086"/>
      <c r="V150" s="1086"/>
      <c r="W150" s="1086"/>
      <c r="X150" s="1086"/>
      <c r="BI150" s="285"/>
      <c r="BJ150" s="285"/>
      <c r="BK150" s="285"/>
      <c r="BL150" s="285"/>
      <c r="BM150" s="285"/>
      <c r="BN150" s="285"/>
      <c r="BO150" s="285"/>
      <c r="BP150" s="285"/>
      <c r="BQ150" s="285"/>
      <c r="BR150" s="285"/>
      <c r="BS150" s="285"/>
      <c r="BT150" s="285"/>
      <c r="BU150" s="285"/>
      <c r="BV150" s="285"/>
      <c r="BW150" s="285"/>
      <c r="BX150" s="285"/>
      <c r="BY150" s="1476"/>
      <c r="BZ150" s="1476"/>
      <c r="CA150" s="1476"/>
      <c r="CB150" s="1476"/>
      <c r="CC150" s="1476"/>
      <c r="CD150" s="1476"/>
      <c r="CE150" s="1476"/>
      <c r="CF150" s="1476"/>
      <c r="CG150" s="1476"/>
      <c r="CH150" s="84"/>
    </row>
    <row r="151" spans="2:86">
      <c r="B151" s="1714"/>
      <c r="C151" s="1714"/>
      <c r="D151" s="2131"/>
      <c r="E151" s="2131"/>
      <c r="F151" s="2131"/>
      <c r="G151" s="2131"/>
      <c r="H151" s="2131"/>
      <c r="I151" s="2131"/>
      <c r="J151" s="2131"/>
      <c r="K151" s="2131"/>
      <c r="L151" s="2131"/>
      <c r="M151" s="2131"/>
      <c r="N151" s="2131"/>
      <c r="O151" s="2131"/>
      <c r="P151" s="2131"/>
      <c r="Q151" s="2131"/>
      <c r="R151" s="2131"/>
      <c r="S151" s="1714"/>
      <c r="T151" s="1714"/>
      <c r="U151" s="1086"/>
      <c r="V151" s="1086"/>
      <c r="W151" s="1086"/>
      <c r="X151" s="1086"/>
      <c r="BI151" s="285"/>
      <c r="BJ151" s="285"/>
      <c r="BK151" s="285"/>
      <c r="BL151" s="285"/>
      <c r="BM151" s="285"/>
      <c r="BN151" s="285"/>
      <c r="BO151" s="285"/>
      <c r="BP151" s="285"/>
      <c r="BQ151" s="285"/>
      <c r="BR151" s="285"/>
      <c r="BS151" s="285"/>
      <c r="BT151" s="285"/>
      <c r="BU151" s="285"/>
      <c r="BV151" s="285"/>
      <c r="BW151" s="285"/>
      <c r="BX151" s="285"/>
      <c r="BY151" s="1476"/>
      <c r="BZ151" s="1476"/>
      <c r="CA151" s="1476"/>
      <c r="CB151" s="1476"/>
      <c r="CC151" s="1476"/>
      <c r="CD151" s="1476"/>
      <c r="CE151" s="1476"/>
      <c r="CF151" s="1476"/>
      <c r="CG151" s="1476"/>
      <c r="CH151" s="84"/>
    </row>
    <row r="152" spans="2:86">
      <c r="B152" s="1714"/>
      <c r="C152" s="1714"/>
      <c r="D152" s="1714"/>
      <c r="E152" s="1714"/>
      <c r="F152" s="1714"/>
      <c r="G152" s="1714"/>
      <c r="H152" s="1714"/>
      <c r="I152" s="1714"/>
      <c r="J152" s="1714"/>
      <c r="K152" s="1714"/>
      <c r="L152" s="1714"/>
      <c r="M152" s="1714"/>
      <c r="N152" s="1714"/>
      <c r="O152" s="1714"/>
      <c r="P152" s="1714"/>
      <c r="Q152" s="1714"/>
      <c r="R152" s="1714"/>
      <c r="S152" s="1714"/>
      <c r="T152" s="1714"/>
      <c r="U152" s="1086"/>
      <c r="V152" s="1086"/>
      <c r="W152" s="1086"/>
      <c r="X152" s="1086"/>
      <c r="BI152" s="285"/>
      <c r="BJ152" s="285"/>
      <c r="BK152" s="285"/>
      <c r="BL152" s="285"/>
      <c r="BM152" s="285"/>
      <c r="BN152" s="285"/>
      <c r="BO152" s="285"/>
      <c r="BP152" s="285"/>
      <c r="BQ152" s="285"/>
      <c r="BR152" s="285"/>
      <c r="BS152" s="285"/>
      <c r="BT152" s="285"/>
      <c r="BU152" s="285"/>
      <c r="BV152" s="285"/>
      <c r="BW152" s="285"/>
      <c r="BX152" s="285"/>
      <c r="BY152" s="1476"/>
      <c r="BZ152" s="1476"/>
      <c r="CA152" s="1476"/>
      <c r="CB152" s="1476"/>
      <c r="CC152" s="1476"/>
      <c r="CD152" s="1476"/>
      <c r="CE152" s="1476"/>
      <c r="CF152" s="1476"/>
      <c r="CG152" s="1476"/>
      <c r="CH152" s="84"/>
    </row>
    <row r="153" spans="2:86" ht="18.75">
      <c r="B153" s="8" t="s">
        <v>1055</v>
      </c>
      <c r="C153" s="33"/>
      <c r="D153" s="1475"/>
      <c r="E153" s="1475"/>
      <c r="F153" s="1475"/>
      <c r="G153" s="1475"/>
      <c r="H153" s="1475"/>
      <c r="I153" s="1475"/>
      <c r="J153" s="1475"/>
      <c r="K153" s="1475"/>
      <c r="L153" s="1475"/>
      <c r="M153" s="1475"/>
      <c r="N153" s="1475"/>
      <c r="O153" s="1475"/>
      <c r="P153" s="1475"/>
      <c r="Q153" s="1475"/>
      <c r="R153" s="1475"/>
      <c r="S153" s="1475"/>
      <c r="T153" s="1475"/>
      <c r="W153" s="484"/>
      <c r="X153" s="450"/>
      <c r="BI153" s="285"/>
      <c r="BJ153" s="285"/>
      <c r="BK153" s="285"/>
      <c r="BL153" s="285"/>
      <c r="BM153" s="285"/>
      <c r="BN153" s="285"/>
      <c r="BO153" s="285"/>
      <c r="BP153" s="285"/>
      <c r="BQ153" s="285"/>
      <c r="BR153" s="285"/>
      <c r="BS153" s="285"/>
      <c r="BT153" s="285"/>
      <c r="BU153" s="285"/>
      <c r="BV153" s="285"/>
      <c r="BW153" s="285"/>
      <c r="BX153" s="285"/>
      <c r="BY153" s="1476"/>
      <c r="BZ153" s="1476"/>
      <c r="CA153" s="1476"/>
      <c r="CB153" s="1476"/>
      <c r="CC153" s="1476"/>
      <c r="CD153" s="1476"/>
      <c r="CE153" s="1476"/>
      <c r="CF153" s="1476"/>
      <c r="CG153" s="1476"/>
      <c r="CH153" s="84"/>
    </row>
    <row r="154" spans="2:86">
      <c r="B154" s="1479"/>
      <c r="C154" s="1479"/>
      <c r="D154" s="1109" t="s">
        <v>4117</v>
      </c>
      <c r="E154" s="1109"/>
      <c r="F154" s="1479"/>
      <c r="G154" s="1479"/>
      <c r="H154" s="1479"/>
      <c r="I154" s="1479"/>
      <c r="J154" s="1479"/>
      <c r="K154" s="1479"/>
      <c r="L154" s="1479"/>
      <c r="M154" s="1479"/>
      <c r="N154" s="1479"/>
      <c r="O154" s="1479"/>
      <c r="P154" s="1479"/>
      <c r="Q154" s="1479"/>
      <c r="R154" s="1479"/>
      <c r="S154" s="1479"/>
      <c r="T154" s="1479"/>
      <c r="U154" s="1086"/>
      <c r="V154" s="1086"/>
      <c r="W154" s="1086"/>
      <c r="X154" s="1086"/>
      <c r="BI154" s="285"/>
      <c r="BJ154" s="285"/>
      <c r="BK154" s="285"/>
      <c r="BL154" s="285"/>
      <c r="BM154" s="285"/>
      <c r="BN154" s="285"/>
      <c r="BO154" s="285"/>
      <c r="BP154" s="285"/>
      <c r="BQ154" s="285"/>
      <c r="BR154" s="285"/>
      <c r="BS154" s="285"/>
      <c r="BT154" s="285"/>
      <c r="BU154" s="285"/>
      <c r="BV154" s="285"/>
      <c r="BW154" s="285"/>
      <c r="BX154" s="285"/>
      <c r="BY154" s="1476"/>
      <c r="BZ154" s="1476"/>
      <c r="CA154" s="1476"/>
      <c r="CB154" s="1476"/>
      <c r="CC154" s="1476"/>
      <c r="CD154" s="1476"/>
      <c r="CE154" s="1476"/>
      <c r="CF154" s="1476"/>
      <c r="CG154" s="1476"/>
      <c r="CH154" s="84"/>
    </row>
    <row r="155" spans="2:86">
      <c r="B155" s="1479"/>
      <c r="C155" s="1479"/>
      <c r="D155" s="2127"/>
      <c r="E155" s="2127"/>
      <c r="F155" s="2127"/>
      <c r="G155" s="2127"/>
      <c r="H155" s="2127"/>
      <c r="I155" s="2127"/>
      <c r="J155" s="2127"/>
      <c r="K155" s="2127"/>
      <c r="L155" s="2127"/>
      <c r="M155" s="2127"/>
      <c r="N155" s="2127"/>
      <c r="O155" s="2127"/>
      <c r="P155" s="2127"/>
      <c r="Q155" s="2127"/>
      <c r="R155" s="2127"/>
      <c r="S155" s="1479"/>
      <c r="T155" s="1479"/>
      <c r="U155" s="1086"/>
      <c r="V155" s="1086"/>
      <c r="W155" s="1086"/>
      <c r="X155" s="1086"/>
      <c r="BI155" s="285"/>
      <c r="BJ155" s="285"/>
      <c r="BK155" s="285"/>
      <c r="BL155" s="285"/>
      <c r="BM155" s="285"/>
      <c r="BN155" s="285"/>
      <c r="BO155" s="285"/>
      <c r="BP155" s="285"/>
      <c r="BQ155" s="285"/>
      <c r="BR155" s="285"/>
      <c r="BS155" s="285"/>
      <c r="BT155" s="285"/>
      <c r="BU155" s="285"/>
      <c r="BV155" s="285"/>
      <c r="BW155" s="285"/>
      <c r="BX155" s="285"/>
      <c r="BY155" s="1476"/>
      <c r="BZ155" s="1476"/>
      <c r="CA155" s="1476"/>
      <c r="CB155" s="1476"/>
      <c r="CC155" s="1476"/>
      <c r="CD155" s="1476"/>
      <c r="CE155" s="1476"/>
      <c r="CF155" s="1476"/>
      <c r="CG155" s="1476"/>
      <c r="CH155" s="84"/>
    </row>
    <row r="156" spans="2:86">
      <c r="B156" s="1479"/>
      <c r="C156" s="1479"/>
      <c r="D156" s="2127"/>
      <c r="E156" s="2127"/>
      <c r="F156" s="2127"/>
      <c r="G156" s="2127"/>
      <c r="H156" s="2127"/>
      <c r="I156" s="2127"/>
      <c r="J156" s="2127"/>
      <c r="K156" s="2127"/>
      <c r="L156" s="2127"/>
      <c r="M156" s="2127"/>
      <c r="N156" s="2127"/>
      <c r="O156" s="2127"/>
      <c r="P156" s="2127"/>
      <c r="Q156" s="2127"/>
      <c r="R156" s="2127"/>
      <c r="S156" s="1479"/>
      <c r="T156" s="1479"/>
      <c r="U156" s="1086"/>
      <c r="V156" s="1086"/>
      <c r="W156" s="1086"/>
      <c r="X156" s="1086"/>
      <c r="BI156" s="285"/>
      <c r="BJ156" s="285"/>
      <c r="BK156" s="285"/>
      <c r="BL156" s="285"/>
      <c r="BM156" s="285"/>
      <c r="BN156" s="285"/>
      <c r="BO156" s="285"/>
      <c r="BP156" s="285"/>
      <c r="BQ156" s="285"/>
      <c r="BR156" s="285"/>
      <c r="BS156" s="285"/>
      <c r="BT156" s="285"/>
      <c r="BU156" s="285"/>
      <c r="BV156" s="285"/>
      <c r="BW156" s="285"/>
      <c r="BX156" s="285"/>
      <c r="BY156" s="1476"/>
      <c r="BZ156" s="1476"/>
      <c r="CA156" s="1476"/>
      <c r="CB156" s="1476"/>
      <c r="CC156" s="1476"/>
      <c r="CD156" s="1476"/>
      <c r="CE156" s="1476"/>
      <c r="CF156" s="1476"/>
      <c r="CG156" s="1476"/>
      <c r="CH156" s="84"/>
    </row>
    <row r="157" spans="2:86">
      <c r="B157" s="1479"/>
      <c r="C157" s="1479"/>
      <c r="D157" s="2127"/>
      <c r="E157" s="2127"/>
      <c r="F157" s="2127"/>
      <c r="G157" s="2127"/>
      <c r="H157" s="2127"/>
      <c r="I157" s="2127"/>
      <c r="J157" s="2127"/>
      <c r="K157" s="2127"/>
      <c r="L157" s="2127"/>
      <c r="M157" s="2127"/>
      <c r="N157" s="2127"/>
      <c r="O157" s="2127"/>
      <c r="P157" s="2127"/>
      <c r="Q157" s="2127"/>
      <c r="R157" s="2127"/>
      <c r="S157" s="1479"/>
      <c r="T157" s="1479"/>
      <c r="U157" s="1086"/>
      <c r="V157" s="1086"/>
      <c r="W157" s="1086"/>
      <c r="X157" s="1086"/>
      <c r="BI157" s="285"/>
      <c r="BJ157" s="285"/>
      <c r="BK157" s="285"/>
      <c r="BL157" s="285"/>
      <c r="BM157" s="285"/>
      <c r="BN157" s="285"/>
      <c r="BO157" s="285"/>
      <c r="BP157" s="285"/>
      <c r="BQ157" s="285"/>
      <c r="BR157" s="285"/>
      <c r="BS157" s="285"/>
      <c r="BT157" s="285"/>
      <c r="BU157" s="285"/>
      <c r="BV157" s="285"/>
      <c r="BW157" s="285"/>
      <c r="BX157" s="285"/>
      <c r="BY157" s="1476"/>
      <c r="BZ157" s="1476"/>
      <c r="CA157" s="1476"/>
      <c r="CB157" s="1476"/>
      <c r="CC157" s="1476"/>
      <c r="CD157" s="1476"/>
      <c r="CE157" s="1476"/>
      <c r="CF157" s="1476"/>
      <c r="CG157" s="1476"/>
      <c r="CH157" s="84"/>
    </row>
    <row r="158" spans="2:86">
      <c r="B158" s="1479"/>
      <c r="C158" s="1479"/>
      <c r="D158" s="2127"/>
      <c r="E158" s="2127"/>
      <c r="F158" s="2127"/>
      <c r="G158" s="2127"/>
      <c r="H158" s="2127"/>
      <c r="I158" s="2127"/>
      <c r="J158" s="2127"/>
      <c r="K158" s="2127"/>
      <c r="L158" s="2127"/>
      <c r="M158" s="2127"/>
      <c r="N158" s="2127"/>
      <c r="O158" s="2127"/>
      <c r="P158" s="2127"/>
      <c r="Q158" s="2127"/>
      <c r="R158" s="2127"/>
      <c r="S158" s="1479"/>
      <c r="T158" s="1479"/>
      <c r="U158" s="1086"/>
      <c r="V158" s="1086"/>
      <c r="W158" s="1086"/>
      <c r="X158" s="1086"/>
      <c r="BI158" s="285"/>
      <c r="BJ158" s="285"/>
      <c r="BK158" s="285"/>
      <c r="BL158" s="285"/>
      <c r="BM158" s="285"/>
      <c r="BN158" s="285"/>
      <c r="BO158" s="285"/>
      <c r="BP158" s="285"/>
      <c r="BQ158" s="285"/>
      <c r="BR158" s="285"/>
      <c r="BS158" s="285"/>
      <c r="BT158" s="285"/>
      <c r="BU158" s="285"/>
      <c r="BV158" s="285"/>
      <c r="BW158" s="285"/>
      <c r="BX158" s="285"/>
      <c r="BY158" s="1476"/>
      <c r="BZ158" s="1476"/>
      <c r="CA158" s="1476"/>
      <c r="CB158" s="1476"/>
      <c r="CC158" s="1476"/>
      <c r="CD158" s="1476"/>
      <c r="CE158" s="1476"/>
      <c r="CF158" s="1476"/>
      <c r="CG158" s="1476"/>
      <c r="CH158" s="84"/>
    </row>
    <row r="159" spans="2:86">
      <c r="B159" s="1479"/>
      <c r="C159" s="1479"/>
      <c r="D159" s="2127"/>
      <c r="E159" s="2127"/>
      <c r="F159" s="2127"/>
      <c r="G159" s="2127"/>
      <c r="H159" s="2127"/>
      <c r="I159" s="2127"/>
      <c r="J159" s="2127"/>
      <c r="K159" s="2127"/>
      <c r="L159" s="2127"/>
      <c r="M159" s="2127"/>
      <c r="N159" s="2127"/>
      <c r="O159" s="2127"/>
      <c r="P159" s="2127"/>
      <c r="Q159" s="2127"/>
      <c r="R159" s="2127"/>
      <c r="S159" s="1479"/>
      <c r="T159" s="1479"/>
      <c r="U159" s="1086"/>
      <c r="V159" s="1086"/>
      <c r="W159" s="1086"/>
      <c r="X159" s="1086"/>
      <c r="BY159" s="1475"/>
      <c r="BZ159" s="1475"/>
      <c r="CA159" s="1475"/>
      <c r="CB159" s="1475"/>
      <c r="CC159" s="1475"/>
      <c r="CD159" s="1475"/>
      <c r="CE159" s="1475"/>
      <c r="CF159" s="1475"/>
      <c r="CG159" s="1475"/>
      <c r="CH159" s="1475"/>
    </row>
    <row r="160" spans="2:86">
      <c r="B160" s="1479"/>
      <c r="C160" s="1479"/>
      <c r="D160" s="2127"/>
      <c r="E160" s="2127"/>
      <c r="F160" s="2127"/>
      <c r="G160" s="2127"/>
      <c r="H160" s="2127"/>
      <c r="I160" s="2127"/>
      <c r="J160" s="2127"/>
      <c r="K160" s="2127"/>
      <c r="L160" s="2127"/>
      <c r="M160" s="2127"/>
      <c r="N160" s="2127"/>
      <c r="O160" s="2127"/>
      <c r="P160" s="2127"/>
      <c r="Q160" s="2127"/>
      <c r="R160" s="2127"/>
      <c r="S160" s="1479"/>
      <c r="T160" s="1479"/>
      <c r="U160" s="1086"/>
      <c r="V160" s="1086"/>
      <c r="W160" s="1086"/>
      <c r="X160" s="1086"/>
      <c r="BY160" s="1475"/>
      <c r="BZ160" s="1475"/>
      <c r="CA160" s="1475"/>
      <c r="CB160" s="1475"/>
      <c r="CC160" s="1475"/>
      <c r="CD160" s="1475"/>
      <c r="CE160" s="1475"/>
      <c r="CF160" s="1475"/>
      <c r="CG160" s="1475"/>
      <c r="CH160" s="1475"/>
    </row>
    <row r="161" spans="2:24">
      <c r="B161" s="1479"/>
      <c r="C161" s="1479"/>
      <c r="D161" s="2127"/>
      <c r="E161" s="2127"/>
      <c r="F161" s="2127"/>
      <c r="G161" s="2127"/>
      <c r="H161" s="2127"/>
      <c r="I161" s="2127"/>
      <c r="J161" s="2127"/>
      <c r="K161" s="2127"/>
      <c r="L161" s="2127"/>
      <c r="M161" s="2127"/>
      <c r="N161" s="2127"/>
      <c r="O161" s="2127"/>
      <c r="P161" s="2127"/>
      <c r="Q161" s="2127"/>
      <c r="R161" s="2127"/>
      <c r="S161" s="1479"/>
      <c r="T161" s="1479"/>
      <c r="U161" s="1086"/>
      <c r="V161" s="1086"/>
      <c r="W161" s="1086"/>
      <c r="X161" s="1086"/>
    </row>
    <row r="162" spans="2:24">
      <c r="B162" s="1479"/>
      <c r="C162" s="1479"/>
      <c r="D162" s="2127"/>
      <c r="E162" s="2127"/>
      <c r="F162" s="2127"/>
      <c r="G162" s="2127"/>
      <c r="H162" s="2127"/>
      <c r="I162" s="2127"/>
      <c r="J162" s="2127"/>
      <c r="K162" s="2127"/>
      <c r="L162" s="2127"/>
      <c r="M162" s="2127"/>
      <c r="N162" s="2127"/>
      <c r="O162" s="2127"/>
      <c r="P162" s="2127"/>
      <c r="Q162" s="2127"/>
      <c r="R162" s="2127"/>
      <c r="S162" s="1479"/>
      <c r="T162" s="1479"/>
      <c r="U162" s="1086"/>
      <c r="V162" s="1086"/>
      <c r="W162" s="1086"/>
      <c r="X162" s="1086"/>
    </row>
    <row r="163" spans="2:24" ht="15.75">
      <c r="B163" s="1479"/>
      <c r="C163" s="1479"/>
      <c r="D163" s="1479"/>
      <c r="E163" s="1479"/>
      <c r="F163" s="1479"/>
      <c r="G163" s="1110"/>
      <c r="H163" s="1479"/>
      <c r="I163" s="1479"/>
      <c r="J163" s="1479"/>
      <c r="K163" s="1479"/>
      <c r="L163" s="1479"/>
      <c r="M163" s="1479"/>
      <c r="N163" s="1479"/>
      <c r="O163" s="1479"/>
      <c r="P163" s="1479"/>
      <c r="Q163" s="1479"/>
      <c r="R163" s="1479"/>
      <c r="S163" s="1479"/>
      <c r="T163" s="1479"/>
      <c r="U163" s="1086"/>
      <c r="V163" s="1086"/>
      <c r="W163" s="1086"/>
      <c r="X163" s="1111"/>
    </row>
    <row r="164" spans="2:24">
      <c r="B164" s="94" t="s">
        <v>3637</v>
      </c>
      <c r="C164" s="94"/>
      <c r="D164" s="1518"/>
      <c r="E164" s="1518"/>
      <c r="F164" s="1518"/>
      <c r="G164" s="1518"/>
      <c r="H164" s="1518"/>
      <c r="I164" s="1518"/>
      <c r="J164" s="1518"/>
      <c r="K164" s="1518"/>
      <c r="L164" s="1518"/>
      <c r="M164" s="1518"/>
      <c r="N164" s="1518"/>
      <c r="O164" s="1518"/>
      <c r="P164" s="1518"/>
      <c r="Q164" s="1518"/>
      <c r="R164" s="1518"/>
      <c r="S164" s="1518"/>
      <c r="T164" s="1518"/>
      <c r="U164" s="485"/>
      <c r="V164" s="485"/>
      <c r="W164" s="485"/>
    </row>
    <row r="165" spans="2:24" ht="18.75">
      <c r="B165" s="85" t="s">
        <v>3638</v>
      </c>
      <c r="C165" s="85"/>
      <c r="D165" s="1476"/>
      <c r="E165" s="1476"/>
      <c r="F165" s="1476"/>
      <c r="G165" s="1519"/>
      <c r="H165" s="1519"/>
      <c r="I165" s="1519"/>
      <c r="J165" s="1519"/>
      <c r="K165" s="1476"/>
      <c r="L165" s="1476"/>
      <c r="M165" s="1476"/>
      <c r="N165" s="1476"/>
      <c r="O165" s="1476"/>
      <c r="P165" s="1476"/>
      <c r="Q165" s="1476"/>
      <c r="R165" s="1476"/>
      <c r="S165" s="1476"/>
      <c r="T165" s="1476"/>
      <c r="U165" s="450"/>
      <c r="V165" s="450"/>
      <c r="W165" s="450"/>
    </row>
    <row r="166" spans="2:24">
      <c r="B166" s="1479"/>
      <c r="C166" s="1479"/>
      <c r="D166" s="1109"/>
      <c r="E166" s="1109"/>
      <c r="F166" s="1479"/>
      <c r="G166" s="1479"/>
      <c r="H166" s="1479"/>
      <c r="I166" s="1479"/>
      <c r="J166" s="1479"/>
      <c r="K166" s="1479"/>
      <c r="L166" s="1479"/>
      <c r="M166" s="1479"/>
      <c r="N166" s="1479"/>
      <c r="O166" s="1479"/>
      <c r="P166" s="1479"/>
      <c r="Q166" s="1479"/>
      <c r="R166" s="1479"/>
      <c r="S166" s="1479"/>
      <c r="T166" s="1479"/>
      <c r="U166" s="1086"/>
      <c r="V166" s="1086"/>
      <c r="W166" s="1086"/>
      <c r="X166" s="1086"/>
    </row>
    <row r="167" spans="2:24">
      <c r="B167" s="1479"/>
      <c r="C167" s="1479"/>
      <c r="D167" s="2127"/>
      <c r="E167" s="2127"/>
      <c r="F167" s="2127"/>
      <c r="G167" s="2127"/>
      <c r="H167" s="2127"/>
      <c r="I167" s="2127"/>
      <c r="J167" s="2127"/>
      <c r="K167" s="2127"/>
      <c r="L167" s="2127"/>
      <c r="M167" s="2127"/>
      <c r="N167" s="2127"/>
      <c r="O167" s="2127"/>
      <c r="P167" s="2127"/>
      <c r="Q167" s="2127"/>
      <c r="R167" s="2127"/>
      <c r="S167" s="1479"/>
      <c r="T167" s="1479"/>
      <c r="U167" s="1086"/>
      <c r="V167" s="1086"/>
      <c r="W167" s="1086"/>
      <c r="X167" s="1086"/>
    </row>
    <row r="168" spans="2:24">
      <c r="B168" s="1479"/>
      <c r="C168" s="1479"/>
      <c r="D168" s="2127"/>
      <c r="E168" s="2127"/>
      <c r="F168" s="2127"/>
      <c r="G168" s="2127"/>
      <c r="H168" s="2127"/>
      <c r="I168" s="2127"/>
      <c r="J168" s="2127"/>
      <c r="K168" s="2127"/>
      <c r="L168" s="2127"/>
      <c r="M168" s="2127"/>
      <c r="N168" s="2127"/>
      <c r="O168" s="2127"/>
      <c r="P168" s="2127"/>
      <c r="Q168" s="2127"/>
      <c r="R168" s="2127"/>
      <c r="S168" s="1479"/>
      <c r="T168" s="1479"/>
      <c r="U168" s="1086"/>
      <c r="V168" s="1086"/>
      <c r="W168" s="1086"/>
      <c r="X168" s="1086"/>
    </row>
    <row r="169" spans="2:24">
      <c r="B169" s="1479"/>
      <c r="C169" s="1479"/>
      <c r="D169" s="2127"/>
      <c r="E169" s="2127"/>
      <c r="F169" s="2127"/>
      <c r="G169" s="2127"/>
      <c r="H169" s="2127"/>
      <c r="I169" s="2127"/>
      <c r="J169" s="2127"/>
      <c r="K169" s="2127"/>
      <c r="L169" s="2127"/>
      <c r="M169" s="2127"/>
      <c r="N169" s="2127"/>
      <c r="O169" s="2127"/>
      <c r="P169" s="2127"/>
      <c r="Q169" s="2127"/>
      <c r="R169" s="2127"/>
      <c r="S169" s="1479"/>
      <c r="T169" s="1479"/>
      <c r="U169" s="1086"/>
      <c r="V169" s="1086"/>
      <c r="W169" s="1086"/>
      <c r="X169" s="1086"/>
    </row>
    <row r="170" spans="2:24">
      <c r="B170" s="1479"/>
      <c r="C170" s="1479"/>
      <c r="D170" s="2127"/>
      <c r="E170" s="2127"/>
      <c r="F170" s="2127"/>
      <c r="G170" s="2127"/>
      <c r="H170" s="2127"/>
      <c r="I170" s="2127"/>
      <c r="J170" s="2127"/>
      <c r="K170" s="2127"/>
      <c r="L170" s="2127"/>
      <c r="M170" s="2127"/>
      <c r="N170" s="2127"/>
      <c r="O170" s="2127"/>
      <c r="P170" s="2127"/>
      <c r="Q170" s="2127"/>
      <c r="R170" s="2127"/>
      <c r="S170" s="1479"/>
      <c r="T170" s="1479"/>
      <c r="U170" s="1086"/>
      <c r="V170" s="1086"/>
      <c r="W170" s="1086"/>
      <c r="X170" s="1086"/>
    </row>
    <row r="171" spans="2:24">
      <c r="B171" s="1479"/>
      <c r="C171" s="1479"/>
      <c r="D171" s="1479"/>
      <c r="E171" s="1479"/>
      <c r="F171" s="1479"/>
      <c r="G171" s="1479"/>
      <c r="H171" s="1479"/>
      <c r="I171" s="1479"/>
      <c r="J171" s="1479"/>
      <c r="K171" s="1479"/>
      <c r="L171" s="1479"/>
      <c r="M171" s="1479"/>
      <c r="N171" s="1479"/>
      <c r="O171" s="1479"/>
      <c r="P171" s="1479"/>
      <c r="Q171" s="1479"/>
      <c r="R171" s="1479"/>
      <c r="S171" s="1479"/>
      <c r="T171" s="1479"/>
      <c r="U171" s="1086"/>
      <c r="V171" s="1086"/>
      <c r="W171" s="1086"/>
      <c r="X171" s="1086"/>
    </row>
  </sheetData>
  <sheetProtection algorithmName="SHA-512" hashValue="yDEE3MdkLJN3eEUS+IJOqagZpclvVyJTVhz0FBGyb2vhLEq6jXCBK66gFMvWAr5t8Kd+f5/wZpZtauLxjjXT3w==" saltValue="J8Angxqi6hlBNNBVw4cWPw==" spinCount="100000" sheet="1" objects="1" scenarios="1" selectLockedCells="1"/>
  <dataConsolidate/>
  <mergeCells count="74">
    <mergeCell ref="C69:E69"/>
    <mergeCell ref="D13:F13"/>
    <mergeCell ref="AD13:AR13"/>
    <mergeCell ref="AD14:AD15"/>
    <mergeCell ref="AE14:AK14"/>
    <mergeCell ref="AL14:AR14"/>
    <mergeCell ref="BF14:BG14"/>
    <mergeCell ref="BB14:BC14"/>
    <mergeCell ref="AS14:AU14"/>
    <mergeCell ref="D74:F74"/>
    <mergeCell ref="G74:I74"/>
    <mergeCell ref="J74:L74"/>
    <mergeCell ref="AV14:AX14"/>
    <mergeCell ref="AY14:BA14"/>
    <mergeCell ref="M69:N69"/>
    <mergeCell ref="C71:R71"/>
    <mergeCell ref="C72:C73"/>
    <mergeCell ref="D73:F73"/>
    <mergeCell ref="G73:I73"/>
    <mergeCell ref="J73:L73"/>
    <mergeCell ref="M72:R72"/>
    <mergeCell ref="R67:T67"/>
    <mergeCell ref="D75:F75"/>
    <mergeCell ref="G75:I75"/>
    <mergeCell ref="J75:L75"/>
    <mergeCell ref="D76:F76"/>
    <mergeCell ref="G76:I76"/>
    <mergeCell ref="J76:L76"/>
    <mergeCell ref="D77:F77"/>
    <mergeCell ref="G77:I77"/>
    <mergeCell ref="J77:L77"/>
    <mergeCell ref="D78:F78"/>
    <mergeCell ref="G78:I78"/>
    <mergeCell ref="J78:L78"/>
    <mergeCell ref="D79:F79"/>
    <mergeCell ref="D80:F80"/>
    <mergeCell ref="D81:F81"/>
    <mergeCell ref="H81:K81"/>
    <mergeCell ref="D82:F82"/>
    <mergeCell ref="I82:J82"/>
    <mergeCell ref="D83:F83"/>
    <mergeCell ref="D84:F84"/>
    <mergeCell ref="D85:F85"/>
    <mergeCell ref="H85:K85"/>
    <mergeCell ref="J86:L86"/>
    <mergeCell ref="H125:I125"/>
    <mergeCell ref="M87:P87"/>
    <mergeCell ref="C88:D88"/>
    <mergeCell ref="E88:I88"/>
    <mergeCell ref="M88:P88"/>
    <mergeCell ref="C89:D89"/>
    <mergeCell ref="E89:I89"/>
    <mergeCell ref="M89:S92"/>
    <mergeCell ref="C90:D90"/>
    <mergeCell ref="E90:I90"/>
    <mergeCell ref="C91:D91"/>
    <mergeCell ref="C87:I87"/>
    <mergeCell ref="H120:I120"/>
    <mergeCell ref="H121:I121"/>
    <mergeCell ref="H122:I122"/>
    <mergeCell ref="H123:I123"/>
    <mergeCell ref="H124:I124"/>
    <mergeCell ref="E91:I91"/>
    <mergeCell ref="C92:D92"/>
    <mergeCell ref="E92:I92"/>
    <mergeCell ref="H119:I119"/>
    <mergeCell ref="H118:I118"/>
    <mergeCell ref="D167:R170"/>
    <mergeCell ref="H126:I126"/>
    <mergeCell ref="H128:I128"/>
    <mergeCell ref="H129:I129"/>
    <mergeCell ref="H130:I130"/>
    <mergeCell ref="D148:R151"/>
    <mergeCell ref="D155:R162"/>
  </mergeCells>
  <phoneticPr fontId="12" type="noConversion"/>
  <conditionalFormatting sqref="G74:I74">
    <cfRule type="expression" dxfId="305" priority="10">
      <formula>$C$74="Yes"</formula>
    </cfRule>
  </conditionalFormatting>
  <conditionalFormatting sqref="G75:L75">
    <cfRule type="expression" dxfId="304" priority="9">
      <formula>$C$75="Yes"</formula>
    </cfRule>
  </conditionalFormatting>
  <conditionalFormatting sqref="G76:L76">
    <cfRule type="expression" dxfId="303" priority="8">
      <formula>$C$76="Yes"</formula>
    </cfRule>
  </conditionalFormatting>
  <conditionalFormatting sqref="G77:L77">
    <cfRule type="expression" dxfId="302" priority="7">
      <formula>$C$77="Yes"</formula>
    </cfRule>
  </conditionalFormatting>
  <conditionalFormatting sqref="G78:L78">
    <cfRule type="expression" dxfId="301" priority="6">
      <formula>$C$78="Yes"</formula>
    </cfRule>
  </conditionalFormatting>
  <conditionalFormatting sqref="J74:L74">
    <cfRule type="expression" dxfId="300" priority="1">
      <formula>$C$77="Yes"</formula>
    </cfRule>
  </conditionalFormatting>
  <conditionalFormatting sqref="K16:K65">
    <cfRule type="expression" dxfId="299" priority="3">
      <formula>IF($J16="Low Income",$N16&gt;$O16)</formula>
    </cfRule>
  </conditionalFormatting>
  <conditionalFormatting sqref="K135">
    <cfRule type="expression" dxfId="298" priority="11">
      <formula>$G$135="Yes"</formula>
    </cfRule>
  </conditionalFormatting>
  <conditionalFormatting sqref="M16:M65">
    <cfRule type="expression" dxfId="297" priority="5">
      <formula>IF($J16="Low Income",$N16&gt;$O16)</formula>
    </cfRule>
  </conditionalFormatting>
  <dataValidations count="15">
    <dataValidation type="list" allowBlank="1" showInputMessage="1" showErrorMessage="1" sqref="I66" xr:uid="{CF2EAD66-049A-40B9-BBDB-A7A686C54AF6}">
      <formula1>#REF!</formula1>
    </dataValidation>
    <dataValidation type="list" allowBlank="1" showInputMessage="1" showErrorMessage="1" sqref="F69 J69 G135:G138 G13 Q87 J88:J92" xr:uid="{D6ACAEA4-4F1B-44C2-AEE3-A0712B9A2988}">
      <formula1>YesNo</formula1>
    </dataValidation>
    <dataValidation type="list" allowBlank="1" showInputMessage="1" showErrorMessage="1" sqref="H81:K81" xr:uid="{461CCC9E-610D-43BB-9AF6-B332889ADF5A}">
      <formula1>SourceUtlityAllowanceAssumptions</formula1>
    </dataValidation>
    <dataValidation type="list" allowBlank="1" showInputMessage="1" showErrorMessage="1" sqref="G74:I78" xr:uid="{79079896-025B-4ADC-8BE0-698614C9CA0B}">
      <formula1>UtilityTypes</formula1>
    </dataValidation>
    <dataValidation type="list" allowBlank="1" showInputMessage="1" showErrorMessage="1" sqref="J77:L77 J74:L74" xr:uid="{BCF4D5EA-2882-4183-8A3D-CFBF49E5F7E9}">
      <formula1>UtilityApplicanceType</formula1>
    </dataValidation>
    <dataValidation type="list" allowBlank="1" showInputMessage="1" showErrorMessage="1" sqref="J75:L75" xr:uid="{7E6B0DE0-AD46-4261-B5BF-02DCDBE8BC98}">
      <formula1>Cooling</formula1>
    </dataValidation>
    <dataValidation type="list" allowBlank="1" showInputMessage="1" showErrorMessage="1" sqref="J76:L76" xr:uid="{788AF96D-0FF3-4D81-B521-3E625EC2908F}">
      <formula1>Cooking</formula1>
    </dataValidation>
    <dataValidation type="list" allowBlank="1" showInputMessage="1" showErrorMessage="1" sqref="J78:L78" xr:uid="{72DB88E6-D191-43D2-A872-AFBEAF0D1E2E}">
      <formula1>Hot_Water</formula1>
    </dataValidation>
    <dataValidation type="whole" errorStyle="information" operator="greaterThan" allowBlank="1" showInputMessage="1" showErrorMessage="1" errorTitle="Square footage" error="Whole numbers only." sqref="G143" xr:uid="{8C69E1EC-D480-459E-A628-07435C84EAA2}">
      <formula1>0</formula1>
    </dataValidation>
    <dataValidation type="custom" allowBlank="1" showInputMessage="1" showErrorMessage="1" sqref="H1 A8:A49 A4:A6 A94 A102" xr:uid="{9393797B-A6C6-488C-B7AE-F4A093A68614}">
      <formula1>"&lt;0&gt;0"</formula1>
    </dataValidation>
    <dataValidation type="list" allowBlank="1" showInputMessage="1" showErrorMessage="1" sqref="I16:I65" xr:uid="{E04495E2-6851-4D5E-8DCD-F785D88371D7}">
      <formula1>IF(J16="VOUCHER",Voucher_CMI,CMI_Percentage_Unit_Mix)</formula1>
    </dataValidation>
    <dataValidation type="custom" allowBlank="1" showInputMessage="1" showErrorMessage="1" errorTitle="Numeric Value Error" error="Please enter numeric values only." sqref="G144 F96:G98 G16 F132 L132 K135 G142 H16:H65 H104:H113 G104" xr:uid="{059CABDD-3052-4EAD-8693-12E0C088B14C}">
      <formula1>ISNUMBER(F16)</formula1>
    </dataValidation>
    <dataValidation type="custom" showInputMessage="1" showErrorMessage="1" error="Please enter unit mix data in consecutive rows. Do not leave empty rows between unit mix data." sqref="G17:G65 G105:G113" xr:uid="{64491068-2117-4F25-A443-3E99A43DA2CD}">
      <formula1>NOT(ISBLANK(G16))</formula1>
    </dataValidation>
    <dataValidation type="custom" allowBlank="1" showInputMessage="1" showErrorMessage="1" errorTitle="Max HTC Rent Exceeded" error="Monthly Net Rent + Utility Allowance may not exceed Max HTC Rent." sqref="K16:K65" xr:uid="{6755ECB1-72E3-488A-9798-490C8B4F3081}">
      <formula1>IF(J16="Low Income",AND(P16&gt;=0,P16&lt;=1),P16&gt;=0)</formula1>
    </dataValidation>
    <dataValidation type="list" allowBlank="1" showInputMessage="1" showErrorMessage="1" sqref="V16:V65" xr:uid="{B491F6F4-0670-4C63-A3D7-6ED78F703443}">
      <formula1>"Yes, No"</formula1>
    </dataValidation>
  </dataValidations>
  <pageMargins left="0.7" right="0.7" top="0.75" bottom="0.75" header="0.3" footer="0.3"/>
  <pageSetup scale="33" fitToHeight="0" orientation="landscape" r:id="rId1"/>
  <headerFooter>
    <oddHeader>&amp;L&amp;G</oddHeader>
    <oddFooter>&amp;CWHEDA MULTIFAMILY APPLICATION&amp;R&amp;P of &amp;N</oddFooter>
  </headerFooter>
  <colBreaks count="1" manualBreakCount="1">
    <brk id="23" min="3" max="161" man="1"/>
  </colBreaks>
  <legacy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B8916A24-5001-4EFC-B6CC-E7ED77EA1755}">
          <x14:formula1>
            <xm:f>'Dropdown Lists'!$S$3:$S$8</xm:f>
          </x14:formula1>
          <xm:sqref>D96:D98 E16:E65 E104:E113</xm:sqref>
        </x14:dataValidation>
        <x14:dataValidation type="list" allowBlank="1" showInputMessage="1" showErrorMessage="1" xr:uid="{AD3C5F3B-06AB-4468-AB7F-8D2E3A262F46}">
          <x14:formula1>
            <xm:f>'Dropdown Lists'!$T$3:$T$7</xm:f>
          </x14:formula1>
          <xm:sqref>E96:E98 F16:F65 F104:F113</xm:sqref>
        </x14:dataValidation>
        <x14:dataValidation type="list" allowBlank="1" showInputMessage="1" showErrorMessage="1" xr:uid="{2324FC6F-AF56-44AE-9A7A-C8C606A4F52C}">
          <x14:formula1>
            <xm:f>'Dropdown Lists'!$H$2:$H$5</xm:f>
          </x14:formula1>
          <xm:sqref>C96:C98 C104:C113 C16:C65</xm:sqref>
        </x14:dataValidation>
        <x14:dataValidation type="list" allowBlank="1" showInputMessage="1" showErrorMessage="1" xr:uid="{7C4D8B34-F826-4574-A8FE-2DFFBF77EC7B}">
          <x14:formula1>
            <xm:f>'Dropdown Lists'!$AA$2:$AA$3</xm:f>
          </x14:formula1>
          <xm:sqref>D104:D113 D16:D65</xm:sqref>
        </x14:dataValidation>
        <x14:dataValidation type="list" allowBlank="1" showInputMessage="1" showErrorMessage="1" xr:uid="{1C99716A-7530-4546-B981-11F2F7354308}">
          <x14:formula1>
            <xm:f>IF(OR(NOT(I16&lt;&gt;0.6),NOT(I16&lt;&gt;0.3),ISBLANK(I16)),'Dropdown Lists'!$W$2:$W$5,Non_Voucher_Unit_Types)</xm:f>
          </x14:formula1>
          <xm:sqref>J16:J65</xm:sqref>
        </x14:dataValidation>
        <x14:dataValidation type="list" allowBlank="1" showInputMessage="1" showErrorMessage="1" xr:uid="{7D2ACA45-3F0A-45D2-91B7-7173264931E0}">
          <x14:formula1>
            <xm:f>'Dropdown Lists'!$AG$2:$AG$3</xm:f>
          </x14:formula1>
          <xm:sqref>C74:C85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BD5-01DD-4526-9339-921E06ECDE76}">
  <sheetPr codeName="Sheet12">
    <pageSetUpPr fitToPage="1"/>
  </sheetPr>
  <dimension ref="A1:AQ105"/>
  <sheetViews>
    <sheetView workbookViewId="0">
      <selection activeCell="E11" sqref="E11"/>
    </sheetView>
  </sheetViews>
  <sheetFormatPr defaultColWidth="9.140625" defaultRowHeight="15"/>
  <cols>
    <col min="1" max="2" width="5.85546875" style="82" customWidth="1"/>
    <col min="3" max="3" width="44.28515625" style="29" customWidth="1"/>
    <col min="4" max="4" width="27" style="29" customWidth="1"/>
    <col min="5" max="5" width="23" style="29" customWidth="1"/>
    <col min="6" max="6" width="30.28515625" style="29" customWidth="1"/>
    <col min="7" max="7" width="21.42578125" style="29" customWidth="1"/>
    <col min="8" max="8" width="37.28515625" style="29" customWidth="1"/>
    <col min="9" max="9" width="17.140625" style="29" customWidth="1"/>
    <col min="10" max="10" width="29.28515625" style="29" customWidth="1"/>
    <col min="11" max="11" width="10.7109375" style="29" customWidth="1"/>
    <col min="12" max="12" width="14.140625" style="29" customWidth="1"/>
    <col min="13" max="13" width="27.140625" style="29" customWidth="1"/>
    <col min="14" max="14" width="20" style="29" customWidth="1"/>
    <col min="15" max="15" width="4.5703125" style="285" customWidth="1"/>
    <col min="16" max="16" width="13" style="450" customWidth="1"/>
    <col min="17" max="17" width="24.5703125" style="450" customWidth="1"/>
    <col min="18" max="20" width="9.42578125" style="450" customWidth="1"/>
    <col min="21" max="21" width="9.140625" style="450" customWidth="1"/>
    <col min="22" max="22" width="9.28515625" style="450" customWidth="1"/>
    <col min="23" max="26" width="9.140625" style="450" customWidth="1"/>
    <col min="27" max="43" width="9.140625" style="450"/>
    <col min="44" max="16384" width="9.140625" style="82"/>
  </cols>
  <sheetData>
    <row r="1" spans="1:43" s="64" customFormat="1" ht="28.5">
      <c r="A1" s="1477"/>
      <c r="B1" s="30" t="str">
        <f>'1. TOC'!B1</f>
        <v>WHEDA 2025 Multifamily Application</v>
      </c>
      <c r="C1" s="1478"/>
      <c r="D1" s="30"/>
      <c r="E1" s="1475"/>
      <c r="F1" s="296" t="str">
        <f>'1. TOC'!L1</f>
        <v>v25.1.12</v>
      </c>
      <c r="G1" s="947" t="str">
        <f>HYPERLINK("#Table_of_Contents", Table_of_Contents)</f>
        <v>Table of Contents</v>
      </c>
      <c r="H1" s="1475"/>
      <c r="I1" s="1475"/>
      <c r="J1" s="1475"/>
      <c r="K1" s="1475"/>
      <c r="L1" s="1475"/>
      <c r="M1" s="1475"/>
      <c r="N1" s="1475"/>
      <c r="O1" s="285"/>
      <c r="P1" s="450"/>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row>
    <row r="2" spans="1:43" s="64" customFormat="1" ht="18.75">
      <c r="A2" s="1477"/>
      <c r="B2" s="811" t="str">
        <f>_xlfn.CONCAT(IF(ISBLANK(WHEDA_Project_Number),"",_xlfn.CONCAT(WHEDA_Project_Number," - ")), Project_Name, IF(ISBLANK(Credit_percentage_applied_for),"",_xlfn.CONCAT(" - ", Credit_percentage_applied_for," HTC")))</f>
        <v/>
      </c>
      <c r="C2" s="31"/>
      <c r="D2" s="31"/>
      <c r="E2" s="1475"/>
      <c r="F2" s="1475"/>
      <c r="G2" s="1475"/>
      <c r="H2" s="1475"/>
      <c r="I2" s="1475"/>
      <c r="J2" s="1475"/>
      <c r="K2" s="1475"/>
      <c r="L2" s="1475"/>
      <c r="M2" s="1475"/>
      <c r="N2" s="1475"/>
      <c r="O2" s="1475"/>
      <c r="P2" s="450"/>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row>
    <row r="3" spans="1:43" s="64" customFormat="1" ht="18.75">
      <c r="A3" s="1477"/>
      <c r="B3" s="1477"/>
      <c r="C3" s="32"/>
      <c r="D3" s="1520"/>
      <c r="E3" s="1520"/>
      <c r="F3" s="1520"/>
      <c r="G3" s="1520"/>
      <c r="H3" s="1520"/>
      <c r="I3" s="1520"/>
      <c r="J3" s="1520"/>
      <c r="K3" s="1520"/>
      <c r="L3" s="1520"/>
      <c r="M3" s="1520"/>
      <c r="N3" s="1520"/>
      <c r="O3" s="1520"/>
      <c r="P3" s="450"/>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row>
    <row r="4" spans="1:43" ht="28.5">
      <c r="A4" s="1476"/>
      <c r="B4" s="4" t="s">
        <v>2851</v>
      </c>
      <c r="C4" s="1475"/>
      <c r="D4" s="34"/>
      <c r="E4" s="1475"/>
      <c r="F4" s="1475"/>
      <c r="G4" s="1475"/>
      <c r="H4" s="1475"/>
      <c r="I4" s="1475"/>
      <c r="J4" s="1475"/>
      <c r="K4" s="1475"/>
      <c r="L4" s="1475"/>
      <c r="M4" s="1475"/>
      <c r="N4" s="1475"/>
      <c r="O4" s="1475"/>
    </row>
    <row r="5" spans="1:43">
      <c r="A5" s="1476"/>
      <c r="B5" s="1479"/>
      <c r="C5" s="1115" t="s">
        <v>4001</v>
      </c>
      <c r="D5" s="1479"/>
      <c r="E5" s="1479"/>
      <c r="F5" s="1479"/>
      <c r="G5" s="1479"/>
      <c r="H5" s="1479"/>
      <c r="I5" s="1479"/>
      <c r="J5" s="1479"/>
      <c r="K5" s="1479"/>
      <c r="L5" s="1479"/>
      <c r="M5" s="1479"/>
      <c r="N5" s="1479"/>
      <c r="O5" s="1479"/>
    </row>
    <row r="6" spans="1:43">
      <c r="A6" s="1476"/>
      <c r="B6" s="1479"/>
      <c r="C6" s="1479" t="s">
        <v>4012</v>
      </c>
      <c r="D6" s="1479"/>
      <c r="E6" s="1479"/>
      <c r="F6" s="1479"/>
      <c r="G6" s="1479"/>
      <c r="H6" s="1479"/>
      <c r="I6" s="1479"/>
      <c r="J6" s="1479"/>
      <c r="K6" s="1479"/>
      <c r="L6" s="1479"/>
      <c r="M6" s="1479"/>
      <c r="N6" s="1479"/>
      <c r="O6" s="1479"/>
    </row>
    <row r="7" spans="1:43" s="3" customFormat="1" ht="18.75">
      <c r="B7" s="8" t="s">
        <v>4118</v>
      </c>
      <c r="P7" s="115"/>
      <c r="Q7" s="115"/>
      <c r="R7" s="115"/>
      <c r="S7" s="115"/>
      <c r="T7" s="115"/>
      <c r="U7" s="115"/>
      <c r="V7" s="115"/>
      <c r="W7" s="115"/>
      <c r="X7" s="115"/>
      <c r="Y7" s="115"/>
      <c r="Z7" s="115"/>
      <c r="AA7" s="115"/>
      <c r="AB7" s="115"/>
      <c r="AC7" s="115"/>
      <c r="AD7" s="115"/>
      <c r="AE7" s="115"/>
      <c r="AF7" s="115"/>
      <c r="AG7" s="115"/>
      <c r="AH7" s="115"/>
    </row>
    <row r="8" spans="1:43" s="3" customFormat="1" ht="15.75">
      <c r="B8" s="1276" t="s">
        <v>3527</v>
      </c>
      <c r="C8" s="1479"/>
      <c r="D8" s="1479"/>
      <c r="E8" s="1479"/>
      <c r="F8" s="1479"/>
      <c r="G8" s="1479"/>
      <c r="H8" s="1479"/>
      <c r="I8" s="1479"/>
      <c r="J8" s="1479"/>
      <c r="K8" s="1479"/>
      <c r="L8" s="1479"/>
      <c r="M8" s="1479"/>
      <c r="N8" s="1479"/>
      <c r="O8" s="1479"/>
      <c r="P8" s="115"/>
      <c r="Q8" s="115"/>
      <c r="R8" s="115"/>
      <c r="S8" s="115"/>
      <c r="T8" s="115"/>
      <c r="U8" s="115"/>
      <c r="V8" s="115"/>
      <c r="W8" s="115"/>
      <c r="X8" s="115"/>
      <c r="Y8" s="115"/>
      <c r="Z8" s="115"/>
      <c r="AA8" s="115"/>
      <c r="AB8" s="115"/>
      <c r="AC8" s="115"/>
      <c r="AD8" s="115"/>
      <c r="AE8" s="115"/>
      <c r="AF8" s="115"/>
      <c r="AG8" s="115"/>
      <c r="AH8" s="115"/>
    </row>
    <row r="9" spans="1:43">
      <c r="A9" s="1476"/>
      <c r="B9" s="1479"/>
      <c r="C9" s="1109" t="s">
        <v>4119</v>
      </c>
      <c r="D9" s="1479"/>
      <c r="E9" s="1479"/>
      <c r="F9" s="1479"/>
      <c r="G9" s="1479"/>
      <c r="H9" s="1479"/>
      <c r="I9" s="1479"/>
      <c r="J9" s="1479"/>
      <c r="K9" s="1479"/>
      <c r="L9" s="1479"/>
      <c r="M9" s="1479"/>
      <c r="N9" s="1112"/>
      <c r="O9" s="1479"/>
      <c r="P9" s="1658"/>
      <c r="Q9" s="1658"/>
      <c r="R9" s="1658"/>
      <c r="S9" s="1658"/>
      <c r="T9" s="1658"/>
      <c r="U9" s="1658"/>
      <c r="V9" s="1658"/>
      <c r="W9" s="1658"/>
    </row>
    <row r="10" spans="1:43" ht="15" customHeight="1">
      <c r="A10" s="1476"/>
      <c r="B10" s="1479"/>
      <c r="C10" s="67" t="s">
        <v>4120</v>
      </c>
      <c r="D10" s="67" t="s">
        <v>4121</v>
      </c>
      <c r="E10" s="67" t="s">
        <v>2866</v>
      </c>
      <c r="F10" s="67" t="s">
        <v>4122</v>
      </c>
      <c r="G10" s="67" t="s">
        <v>4123</v>
      </c>
      <c r="H10" s="67" t="s">
        <v>4124</v>
      </c>
      <c r="I10" s="67" t="s">
        <v>4125</v>
      </c>
      <c r="J10" s="67" t="s">
        <v>4126</v>
      </c>
      <c r="K10" s="67" t="s">
        <v>4127</v>
      </c>
      <c r="L10" s="67" t="s">
        <v>4128</v>
      </c>
      <c r="M10" s="67" t="s">
        <v>4129</v>
      </c>
      <c r="N10" s="67" t="s">
        <v>4130</v>
      </c>
      <c r="O10" s="1479"/>
      <c r="P10" s="1658"/>
      <c r="Q10" s="1658"/>
      <c r="R10" s="1658"/>
      <c r="S10" s="1658"/>
      <c r="T10" s="1658"/>
      <c r="U10" s="1658"/>
      <c r="V10" s="1658"/>
      <c r="W10" s="1658"/>
    </row>
    <row r="11" spans="1:43">
      <c r="A11" s="118"/>
      <c r="B11" s="1479"/>
      <c r="C11" s="1521" t="str">
        <f>IF(Credit_percentage_applied_for="9%","Permanent Loan 1", "Tax-Exempt Bonds - Permanent")</f>
        <v>Tax-Exempt Bonds - Permanent</v>
      </c>
      <c r="D11" s="95" t="s">
        <v>4131</v>
      </c>
      <c r="E11" s="1522"/>
      <c r="F11" s="1744">
        <f>IF(E$56=0, 0, Amount_1/E$56)</f>
        <v>0</v>
      </c>
      <c r="G11" s="1584" t="str">
        <f>IF(Source_1="Tax-Exempt Bonds - Permanent","Yes","No")</f>
        <v>Yes</v>
      </c>
      <c r="H11" s="1501"/>
      <c r="I11" s="1501"/>
      <c r="J11" s="1501"/>
      <c r="K11" s="1523"/>
      <c r="L11" s="1524"/>
      <c r="M11" s="1525"/>
      <c r="N11" s="1526">
        <f t="shared" ref="N11:N17" si="0">IF(ISNUMBER((-PMT(K11/12,M11*12,E11)*12)), IF(J11=$R$11,(-PMT(K11/12,M11*12,E11)*12),0), 0)</f>
        <v>0</v>
      </c>
      <c r="O11" s="1479"/>
      <c r="P11" s="1658" t="b">
        <f t="shared" ref="P11:P20" si="1">G11="Yes"</f>
        <v>1</v>
      </c>
      <c r="Q11" s="1658" t="b">
        <f>AND(OR(P12:P20), NOT(P11))</f>
        <v>0</v>
      </c>
      <c r="R11" s="1658" t="s">
        <v>4132</v>
      </c>
      <c r="S11" s="1658"/>
      <c r="T11" s="1658"/>
      <c r="U11" s="1658" t="b">
        <f>IF(I11="Yes", Amount_1*Rate_1/12)</f>
        <v>0</v>
      </c>
      <c r="V11" s="1658" t="s">
        <v>4133</v>
      </c>
      <c r="W11" s="1658" t="s">
        <v>4134</v>
      </c>
      <c r="X11" s="1658" t="s">
        <v>4135</v>
      </c>
      <c r="Y11" s="1658"/>
    </row>
    <row r="12" spans="1:43">
      <c r="A12" s="1476"/>
      <c r="B12" s="1479"/>
      <c r="C12" s="1521" t="s">
        <v>3956</v>
      </c>
      <c r="D12" s="1521" t="s">
        <v>284</v>
      </c>
      <c r="E12" s="1522"/>
      <c r="F12" s="1744">
        <f>IF(E$56=0, 0, Amount_2/E$56)</f>
        <v>0</v>
      </c>
      <c r="G12" s="1501"/>
      <c r="H12" s="1501"/>
      <c r="I12" s="1501"/>
      <c r="J12" s="1501"/>
      <c r="K12" s="1523"/>
      <c r="L12" s="1524"/>
      <c r="M12" s="1525"/>
      <c r="N12" s="1526">
        <f t="shared" si="0"/>
        <v>0</v>
      </c>
      <c r="O12" s="1479"/>
      <c r="P12" s="1658" t="b">
        <f t="shared" si="1"/>
        <v>0</v>
      </c>
      <c r="Q12" s="1658"/>
      <c r="R12" s="1658" t="s">
        <v>4136</v>
      </c>
      <c r="S12" s="1658"/>
      <c r="T12" s="1658"/>
      <c r="U12" s="1658"/>
      <c r="V12" s="1658">
        <f>IF(G11="Yes",E11,0)</f>
        <v>0</v>
      </c>
      <c r="W12" s="1658" t="str" cm="1">
        <f t="array" ref="W12">IF(AND(G62="Yes",E62&lt;&gt;$E$11:$E$23),E62,0)</f>
        <v>$0</v>
      </c>
      <c r="X12" s="1658">
        <f>SUM(_xlfn.UNIQUE(V12:W25))</f>
        <v>0</v>
      </c>
    </row>
    <row r="13" spans="1:43">
      <c r="A13" s="1476"/>
      <c r="B13" s="1479"/>
      <c r="C13" s="1521" t="s">
        <v>3957</v>
      </c>
      <c r="D13" s="1521" t="s">
        <v>284</v>
      </c>
      <c r="E13" s="1522"/>
      <c r="F13" s="1744">
        <f>IF(E$56=0, 0, Amount_3/E$56)</f>
        <v>0</v>
      </c>
      <c r="G13" s="1501"/>
      <c r="H13" s="1501"/>
      <c r="I13" s="1501"/>
      <c r="J13" s="1501"/>
      <c r="K13" s="1523"/>
      <c r="L13" s="1524"/>
      <c r="M13" s="1525"/>
      <c r="N13" s="1526">
        <f t="shared" si="0"/>
        <v>0</v>
      </c>
      <c r="O13" s="1479"/>
      <c r="P13" s="1658" t="b">
        <f t="shared" si="1"/>
        <v>0</v>
      </c>
      <c r="Q13" s="1658"/>
      <c r="R13" s="1658" t="s">
        <v>4137</v>
      </c>
      <c r="S13" s="1658"/>
      <c r="T13" s="1658"/>
      <c r="U13" s="1658"/>
      <c r="V13" s="1658">
        <f t="shared" ref="V13:V23" si="2">IF(G12="Yes",E12,0)</f>
        <v>0</v>
      </c>
      <c r="W13" s="1658" cm="1">
        <f t="array" ref="W13">IF(AND(G63="Yes",E63&lt;&gt;$E$11:$E$23),E63,0)</f>
        <v>0</v>
      </c>
      <c r="Y13" s="1658"/>
    </row>
    <row r="14" spans="1:43">
      <c r="A14" s="1476"/>
      <c r="B14" s="1479"/>
      <c r="C14" s="1521" t="s">
        <v>3958</v>
      </c>
      <c r="D14" s="1521" t="s">
        <v>284</v>
      </c>
      <c r="E14" s="1522"/>
      <c r="F14" s="1744">
        <f>IF(E$56=0, 0, Amount_4/E$56)</f>
        <v>0</v>
      </c>
      <c r="G14" s="1501"/>
      <c r="H14" s="1501"/>
      <c r="I14" s="1501"/>
      <c r="J14" s="1501"/>
      <c r="K14" s="1523"/>
      <c r="L14" s="1524"/>
      <c r="M14" s="1525"/>
      <c r="N14" s="1526">
        <f t="shared" si="0"/>
        <v>0</v>
      </c>
      <c r="O14" s="1479"/>
      <c r="P14" s="1658" t="b">
        <f t="shared" si="1"/>
        <v>0</v>
      </c>
      <c r="Q14" s="1658"/>
      <c r="R14" s="1658" t="s">
        <v>4138</v>
      </c>
      <c r="S14" s="1658"/>
      <c r="T14" s="1658"/>
      <c r="U14" s="1658"/>
      <c r="V14" s="1658">
        <f t="shared" si="2"/>
        <v>0</v>
      </c>
      <c r="W14" s="1658" cm="1">
        <f t="array" ref="W14">IF(AND(G64="Yes",E64&lt;&gt;$E$11:$E$23),E64,0)</f>
        <v>0</v>
      </c>
      <c r="X14" s="1658"/>
      <c r="Y14" s="1658"/>
    </row>
    <row r="15" spans="1:43">
      <c r="A15" s="1476"/>
      <c r="B15" s="1479"/>
      <c r="C15" s="1521" t="s">
        <v>4139</v>
      </c>
      <c r="D15" s="1521" t="s">
        <v>284</v>
      </c>
      <c r="E15" s="1522"/>
      <c r="F15" s="1744">
        <f>IF(E$56=0, 0, Amount_5/E$56)</f>
        <v>0</v>
      </c>
      <c r="G15" s="1501"/>
      <c r="H15" s="1501"/>
      <c r="I15" s="22" t="str">
        <f>+IF(OR(ISBLANK(E15),E15=0)," ",IF(E15&gt;0,"Yes","No"))</f>
        <v xml:space="preserve"> </v>
      </c>
      <c r="J15" s="1501"/>
      <c r="K15" s="1523"/>
      <c r="L15" s="1524"/>
      <c r="M15" s="1525"/>
      <c r="N15" s="1526">
        <f t="shared" si="0"/>
        <v>0</v>
      </c>
      <c r="O15" s="1479"/>
      <c r="P15" s="1658" t="b">
        <f t="shared" si="1"/>
        <v>0</v>
      </c>
      <c r="Q15" s="1658"/>
      <c r="V15" s="1658">
        <f t="shared" si="2"/>
        <v>0</v>
      </c>
      <c r="W15" s="1658" cm="1">
        <f t="array" ref="W15">IF(AND(G65="Yes",E65&lt;&gt;$E$11:$E$23),E65,0)</f>
        <v>0</v>
      </c>
      <c r="X15" s="1658"/>
      <c r="Y15" s="1658"/>
    </row>
    <row r="16" spans="1:43">
      <c r="A16" s="1476"/>
      <c r="B16" s="1479"/>
      <c r="C16" s="1521" t="s">
        <v>3960</v>
      </c>
      <c r="D16" s="687" t="s">
        <v>4140</v>
      </c>
      <c r="E16" s="1522"/>
      <c r="F16" s="1744">
        <f>IF(E$56=0, 0, Amount_6/E$56)</f>
        <v>0</v>
      </c>
      <c r="G16" s="1501"/>
      <c r="H16" s="1521"/>
      <c r="I16" s="1501"/>
      <c r="J16" s="1501"/>
      <c r="K16" s="1523"/>
      <c r="L16" s="1524"/>
      <c r="M16" s="1525"/>
      <c r="N16" s="1526">
        <f t="shared" si="0"/>
        <v>0</v>
      </c>
      <c r="O16" s="1479"/>
      <c r="P16" s="1658" t="b">
        <f t="shared" si="1"/>
        <v>0</v>
      </c>
      <c r="Q16" s="1658"/>
      <c r="V16" s="1658">
        <f t="shared" si="2"/>
        <v>0</v>
      </c>
      <c r="W16" s="1658" cm="1">
        <f t="array" ref="W16">IF(AND(G66="Yes",E66&lt;&gt;$E$11:$E$23),E66,0)</f>
        <v>0</v>
      </c>
      <c r="X16" s="1658"/>
      <c r="Y16" s="1658"/>
    </row>
    <row r="17" spans="1:34">
      <c r="A17" s="1476"/>
      <c r="B17" s="1479"/>
      <c r="C17" s="1521" t="s">
        <v>3961</v>
      </c>
      <c r="D17" s="95" t="s">
        <v>4141</v>
      </c>
      <c r="E17" s="1522"/>
      <c r="F17" s="1744">
        <f>IF(E$56=0, 0, Amount_7/E$56)</f>
        <v>0</v>
      </c>
      <c r="G17" s="1501"/>
      <c r="H17" s="1521"/>
      <c r="I17" s="1501"/>
      <c r="J17" s="1501"/>
      <c r="K17" s="1523"/>
      <c r="L17" s="1524"/>
      <c r="M17" s="1475"/>
      <c r="N17" s="1526">
        <f t="shared" si="0"/>
        <v>0</v>
      </c>
      <c r="O17" s="1479"/>
      <c r="P17" s="1658" t="b">
        <f>G17="Yes"</f>
        <v>0</v>
      </c>
      <c r="Q17" s="1658"/>
      <c r="V17" s="1658">
        <f t="shared" si="2"/>
        <v>0</v>
      </c>
      <c r="W17" s="1658" cm="1">
        <f t="array" ref="W17">IF(AND(G67="Yes",E67&lt;&gt;$E$11:$E$23),E67,0)</f>
        <v>0</v>
      </c>
      <c r="X17" s="1658"/>
      <c r="Y17" s="1658"/>
    </row>
    <row r="18" spans="1:34">
      <c r="A18" s="1476"/>
      <c r="B18" s="1479"/>
      <c r="C18" s="1527" t="s">
        <v>365</v>
      </c>
      <c r="D18" s="95" t="s">
        <v>4131</v>
      </c>
      <c r="E18" s="1522"/>
      <c r="F18" s="1744">
        <f>IF(E$56=0, 0, Amount_8/E$56)</f>
        <v>0</v>
      </c>
      <c r="G18" s="1501"/>
      <c r="H18" s="1521"/>
      <c r="I18" s="1501"/>
      <c r="J18" s="1501"/>
      <c r="K18" s="1523"/>
      <c r="L18" s="1524"/>
      <c r="M18" s="1525"/>
      <c r="N18" s="1526">
        <f t="shared" ref="N18:N23" si="3">IF(ISNUMBER((-PMT(K18/12,M18*12,E18)*12)), IF(J18=$R$11,(-PMT(K18/12,M18*12,E18)*12),0), 0)</f>
        <v>0</v>
      </c>
      <c r="O18" s="1479"/>
      <c r="P18" s="1658" t="b">
        <f t="shared" si="1"/>
        <v>0</v>
      </c>
      <c r="Q18" s="1658"/>
      <c r="V18" s="1658">
        <f t="shared" si="2"/>
        <v>0</v>
      </c>
      <c r="W18" s="1658" cm="1">
        <f t="array" ref="W18">IF(AND(G68="Yes",E68&lt;&gt;$E$11:$E$23),E68,0)</f>
        <v>0</v>
      </c>
      <c r="Y18" s="1658"/>
    </row>
    <row r="19" spans="1:34">
      <c r="A19" s="1476"/>
      <c r="B19" s="1479"/>
      <c r="C19" s="1527" t="s">
        <v>365</v>
      </c>
      <c r="D19" s="95" t="s">
        <v>4131</v>
      </c>
      <c r="E19" s="1522"/>
      <c r="F19" s="1744">
        <f>IF(E$56=0, 0, Amount_9/E$56)</f>
        <v>0</v>
      </c>
      <c r="G19" s="1501"/>
      <c r="H19" s="1521"/>
      <c r="I19" s="1501"/>
      <c r="J19" s="1501"/>
      <c r="K19" s="1523"/>
      <c r="L19" s="1524"/>
      <c r="M19" s="1525"/>
      <c r="N19" s="1526">
        <f t="shared" si="3"/>
        <v>0</v>
      </c>
      <c r="O19" s="1479"/>
      <c r="P19" s="1658" t="b">
        <f t="shared" si="1"/>
        <v>0</v>
      </c>
      <c r="Q19" s="1658"/>
      <c r="V19" s="1658">
        <f t="shared" si="2"/>
        <v>0</v>
      </c>
      <c r="W19" s="1658" cm="1">
        <f t="array" ref="W19">IF(AND(G69="Yes",E69&lt;&gt;$E$11:$E$23),E69,0)</f>
        <v>0</v>
      </c>
      <c r="Y19" s="1658"/>
    </row>
    <row r="20" spans="1:34">
      <c r="A20" s="1476"/>
      <c r="B20" s="1479"/>
      <c r="C20" s="1527" t="s">
        <v>365</v>
      </c>
      <c r="D20" s="95" t="s">
        <v>4131</v>
      </c>
      <c r="E20" s="1522"/>
      <c r="F20" s="1744">
        <f>IF(E$56=0, 0, Amount_10/E$56)</f>
        <v>0</v>
      </c>
      <c r="G20" s="1501"/>
      <c r="H20" s="1521"/>
      <c r="I20" s="1501"/>
      <c r="J20" s="1501"/>
      <c r="K20" s="1523"/>
      <c r="L20" s="1524"/>
      <c r="M20" s="1525"/>
      <c r="N20" s="1526">
        <f t="shared" si="3"/>
        <v>0</v>
      </c>
      <c r="O20" s="1479"/>
      <c r="P20" s="1658" t="b">
        <f t="shared" si="1"/>
        <v>0</v>
      </c>
      <c r="Q20" s="1658"/>
      <c r="V20" s="1658">
        <f t="shared" si="2"/>
        <v>0</v>
      </c>
      <c r="W20" s="1658" cm="1">
        <f t="array" ref="W20">IF(AND(G70="Yes",E70&lt;&gt;$E$11:$E$23),E70,0)</f>
        <v>0</v>
      </c>
    </row>
    <row r="21" spans="1:34">
      <c r="A21" s="1476"/>
      <c r="B21" s="1479"/>
      <c r="C21" s="1527" t="s">
        <v>365</v>
      </c>
      <c r="D21" s="95" t="s">
        <v>4131</v>
      </c>
      <c r="E21" s="1522"/>
      <c r="F21" s="1744">
        <f>IF(E$56=0, 0, Amount_11/E$56)</f>
        <v>0</v>
      </c>
      <c r="G21" s="1501"/>
      <c r="H21" s="1521"/>
      <c r="I21" s="1501"/>
      <c r="J21" s="1501"/>
      <c r="K21" s="1523"/>
      <c r="L21" s="1524"/>
      <c r="M21" s="1525"/>
      <c r="N21" s="1526">
        <f t="shared" si="3"/>
        <v>0</v>
      </c>
      <c r="O21" s="1479"/>
      <c r="P21" s="1658"/>
      <c r="Q21" s="1658"/>
      <c r="V21" s="1658">
        <f t="shared" si="2"/>
        <v>0</v>
      </c>
      <c r="W21" s="1658" cm="1">
        <f t="array" ref="W21">IF(AND(G71="Yes",E71&lt;&gt;$E$11:$E$23),E71,0)</f>
        <v>0</v>
      </c>
    </row>
    <row r="22" spans="1:34">
      <c r="A22" s="1476"/>
      <c r="B22" s="1479"/>
      <c r="C22" s="1527" t="s">
        <v>365</v>
      </c>
      <c r="D22" s="95" t="s">
        <v>4131</v>
      </c>
      <c r="E22" s="1522"/>
      <c r="F22" s="1744">
        <f>IF(E$56=0, 0, Amount_12/E$56)</f>
        <v>0</v>
      </c>
      <c r="G22" s="1501"/>
      <c r="H22" s="1521"/>
      <c r="I22" s="1501"/>
      <c r="J22" s="1501"/>
      <c r="K22" s="1523"/>
      <c r="L22" s="1524"/>
      <c r="M22" s="1525"/>
      <c r="N22" s="1526">
        <f t="shared" si="3"/>
        <v>0</v>
      </c>
      <c r="O22" s="1479"/>
      <c r="P22" s="1658"/>
      <c r="Q22" s="1658"/>
      <c r="V22" s="1658">
        <f t="shared" si="2"/>
        <v>0</v>
      </c>
      <c r="W22" s="1658" cm="1">
        <f t="array" ref="W22">IF(AND(G72="Yes",E72&lt;&gt;$E$11:$E$23),E72,0)</f>
        <v>0</v>
      </c>
    </row>
    <row r="23" spans="1:34">
      <c r="A23" s="1476"/>
      <c r="B23" s="1479"/>
      <c r="C23" s="1527" t="s">
        <v>365</v>
      </c>
      <c r="D23" s="95" t="s">
        <v>4131</v>
      </c>
      <c r="E23" s="1522"/>
      <c r="F23" s="1744">
        <f>IF(E$56=0, 0, Amount_13/E$56)</f>
        <v>0</v>
      </c>
      <c r="G23" s="1501"/>
      <c r="H23" s="1521"/>
      <c r="I23" s="1501"/>
      <c r="J23" s="1501"/>
      <c r="K23" s="1523"/>
      <c r="L23" s="1524"/>
      <c r="M23" s="1525"/>
      <c r="N23" s="1526">
        <f t="shared" si="3"/>
        <v>0</v>
      </c>
      <c r="O23" s="1479"/>
      <c r="P23" s="1658"/>
      <c r="Q23" s="1658"/>
      <c r="V23" s="1658">
        <f t="shared" si="2"/>
        <v>0</v>
      </c>
      <c r="W23" s="1658" cm="1">
        <f t="array" ref="W23">IF(AND(G73="Yes",E73&lt;&gt;$E$11:$E$23),E73,0)</f>
        <v>0</v>
      </c>
    </row>
    <row r="24" spans="1:34">
      <c r="A24" s="1476"/>
      <c r="B24" s="1479"/>
      <c r="C24" s="1479"/>
      <c r="D24" s="1279" t="s">
        <v>4142</v>
      </c>
      <c r="E24" s="1274">
        <f>SUM(E11:E23)</f>
        <v>0</v>
      </c>
      <c r="F24" s="1275">
        <f>SUM(F11:F23)</f>
        <v>0</v>
      </c>
      <c r="G24" s="1479"/>
      <c r="H24" s="1479"/>
      <c r="I24" s="1479"/>
      <c r="J24" s="1479"/>
      <c r="K24" s="1479"/>
      <c r="L24" s="1479"/>
      <c r="M24" s="1479"/>
      <c r="N24" s="1479"/>
      <c r="O24" s="1479"/>
      <c r="P24" s="1658"/>
      <c r="Q24" s="1658"/>
      <c r="V24" s="1658"/>
      <c r="W24" s="1658"/>
    </row>
    <row r="25" spans="1:34" s="285" customFormat="1" ht="15" customHeight="1">
      <c r="B25" s="1292"/>
      <c r="C25" s="2178"/>
      <c r="D25" s="2178"/>
      <c r="E25" s="2178"/>
      <c r="F25" s="2178"/>
      <c r="G25" s="1293"/>
      <c r="H25" s="1293"/>
      <c r="I25" s="1293"/>
      <c r="J25" s="1293"/>
      <c r="K25" s="1293"/>
      <c r="L25" s="1294">
        <f>SUM(N11:N20)</f>
        <v>0</v>
      </c>
      <c r="M25" s="1292"/>
      <c r="N25" s="1292"/>
      <c r="O25" s="1292"/>
      <c r="P25" s="1658"/>
      <c r="Q25" s="1658"/>
      <c r="R25" s="1658"/>
      <c r="S25" s="1658"/>
      <c r="T25" s="1658"/>
      <c r="U25" s="1658"/>
      <c r="V25" s="1658">
        <f>IF(G23="Yes",E23,0)</f>
        <v>0</v>
      </c>
      <c r="W25" s="1658" cm="1">
        <f t="array" ref="W25">IF(AND(G74="Yes",E74&lt;&gt;$E$11:$E$23),E74,0)</f>
        <v>0</v>
      </c>
      <c r="X25" s="450"/>
      <c r="Y25" s="450"/>
      <c r="Z25" s="450"/>
      <c r="AA25" s="450"/>
    </row>
    <row r="26" spans="1:34" s="3" customFormat="1" ht="15.75">
      <c r="B26" s="1276" t="s">
        <v>2931</v>
      </c>
      <c r="C26" s="1479"/>
      <c r="D26" s="1479"/>
      <c r="E26" s="1479"/>
      <c r="F26" s="1479"/>
      <c r="G26" s="1479"/>
      <c r="H26" s="1479"/>
      <c r="I26" s="1479"/>
      <c r="J26" s="1479"/>
      <c r="K26" s="1479"/>
      <c r="L26" s="1479"/>
      <c r="M26" s="1479"/>
      <c r="N26" s="1479"/>
      <c r="O26" s="1479"/>
      <c r="P26" s="115"/>
      <c r="Q26" s="115"/>
      <c r="R26" s="115"/>
      <c r="S26" s="115"/>
      <c r="T26" s="115"/>
      <c r="U26" s="115"/>
      <c r="V26" s="115"/>
      <c r="W26" s="115"/>
      <c r="X26" s="115"/>
      <c r="Y26" s="115"/>
      <c r="Z26" s="115"/>
      <c r="AA26" s="115"/>
      <c r="AB26" s="115"/>
      <c r="AC26" s="115"/>
      <c r="AD26" s="115"/>
      <c r="AE26" s="115"/>
      <c r="AF26" s="115"/>
      <c r="AG26" s="115"/>
      <c r="AH26" s="115"/>
    </row>
    <row r="27" spans="1:34">
      <c r="A27" s="1476"/>
      <c r="B27" s="1479"/>
      <c r="C27" s="1109" t="s">
        <v>4143</v>
      </c>
      <c r="D27" s="1113"/>
      <c r="E27" s="1528"/>
      <c r="F27" s="1479"/>
      <c r="G27" s="1479"/>
      <c r="H27" s="1479"/>
      <c r="I27" s="1479"/>
      <c r="J27" s="1479"/>
      <c r="K27" s="1479"/>
      <c r="L27" s="1479"/>
      <c r="M27" s="1479"/>
      <c r="N27" s="1112"/>
      <c r="O27" s="1479"/>
      <c r="P27" s="1658"/>
      <c r="Q27" s="1659" t="s">
        <v>4144</v>
      </c>
      <c r="R27" s="1658">
        <f>TC_Percent</f>
        <v>0</v>
      </c>
      <c r="S27" s="1658"/>
      <c r="T27" s="1658"/>
      <c r="U27" s="1658"/>
    </row>
    <row r="28" spans="1:34" ht="15" customHeight="1">
      <c r="A28" s="1476"/>
      <c r="B28" s="1479"/>
      <c r="C28" s="67" t="s">
        <v>4120</v>
      </c>
      <c r="D28" s="67" t="s">
        <v>4121</v>
      </c>
      <c r="E28" s="67" t="s">
        <v>2866</v>
      </c>
      <c r="F28" s="67" t="s">
        <v>4122</v>
      </c>
      <c r="G28" s="1479"/>
      <c r="H28" s="1479"/>
      <c r="I28" s="1479"/>
      <c r="J28" s="1479"/>
      <c r="K28" s="1479"/>
      <c r="L28" s="1479"/>
      <c r="M28" s="1479"/>
      <c r="N28" s="1112"/>
      <c r="O28" s="1479"/>
      <c r="P28" s="1658"/>
      <c r="Q28" s="1658"/>
      <c r="R28" s="1658"/>
      <c r="S28" s="1658"/>
      <c r="T28" s="1658"/>
      <c r="U28" s="1658"/>
    </row>
    <row r="29" spans="1:34">
      <c r="A29" s="118"/>
      <c r="B29" s="1479"/>
      <c r="C29" s="1521" t="s">
        <v>3963</v>
      </c>
      <c r="D29" s="96" t="s">
        <v>4145</v>
      </c>
      <c r="E29" s="1529">
        <v>0</v>
      </c>
      <c r="F29" s="1744">
        <f>IF($E$56=0, 0, Grant_Amount_1/$E$56)</f>
        <v>0</v>
      </c>
      <c r="G29" s="1479"/>
      <c r="H29" s="1479"/>
      <c r="I29" s="1479"/>
      <c r="J29" s="1479"/>
      <c r="K29" s="1479"/>
      <c r="L29" s="1479"/>
      <c r="M29" s="1479"/>
      <c r="N29" s="1112"/>
      <c r="O29" s="1479"/>
      <c r="P29" s="1658"/>
      <c r="Q29" s="1660" t="s">
        <v>4146</v>
      </c>
      <c r="R29" s="1661">
        <f>IF('14. Project Costs'!G214="", 0, '14. Project Costs'!G214)</f>
        <v>0</v>
      </c>
      <c r="S29" s="1661">
        <f>IF('14. Project Costs'!F214="", 0, '14. Project Costs'!F214)</f>
        <v>0</v>
      </c>
      <c r="T29" s="1661">
        <f>IF('14. Project Costs'!G214="", 0, '14. Project Costs'!G214)</f>
        <v>0</v>
      </c>
      <c r="U29" s="1658"/>
      <c r="V29" s="1658"/>
      <c r="W29" s="1658"/>
    </row>
    <row r="30" spans="1:34">
      <c r="A30" s="1476"/>
      <c r="B30" s="1479"/>
      <c r="C30" s="1521" t="s">
        <v>3964</v>
      </c>
      <c r="D30" s="96" t="s">
        <v>4147</v>
      </c>
      <c r="E30" s="1529">
        <v>0</v>
      </c>
      <c r="F30" s="1744">
        <f>IF($E$56=0, 0, Grant_Amount_2/$E$56)</f>
        <v>0</v>
      </c>
      <c r="G30" s="1479"/>
      <c r="H30" s="1479"/>
      <c r="I30" s="1479"/>
      <c r="J30" s="1479"/>
      <c r="K30" s="1479"/>
      <c r="L30" s="1479"/>
      <c r="M30" s="1479"/>
      <c r="N30" s="1112"/>
      <c r="O30" s="1479"/>
      <c r="P30" s="1658"/>
      <c r="Q30" s="1658">
        <f>IF(R27="4%", R29, IF(R27="9%", S29, IF(R27="State + Fed 4%", T29,0)))</f>
        <v>0</v>
      </c>
      <c r="R30" s="1661">
        <f>IF(OR(R27="4%", R27="Fed 4%+State"), R29, 0)</f>
        <v>0</v>
      </c>
      <c r="S30" s="1661">
        <f>IF(R27="9%", S29, 0)</f>
        <v>0</v>
      </c>
      <c r="T30" s="1658">
        <f>IF(OR(R27="4%", R27="Fed 4%+State"), R29, 0)</f>
        <v>0</v>
      </c>
      <c r="U30" s="1658"/>
      <c r="V30" s="1658"/>
      <c r="W30" s="1658"/>
    </row>
    <row r="31" spans="1:34">
      <c r="A31" s="1476"/>
      <c r="B31" s="1479"/>
      <c r="C31" s="1530" t="s">
        <v>365</v>
      </c>
      <c r="D31" s="96" t="s">
        <v>4147</v>
      </c>
      <c r="E31" s="1529">
        <v>0</v>
      </c>
      <c r="F31" s="1744">
        <f>IF($E$56=0, 0, Grant_Amount_3/$E$56)</f>
        <v>0</v>
      </c>
      <c r="G31" s="1479"/>
      <c r="H31" s="1479"/>
      <c r="I31" s="1479"/>
      <c r="J31" s="1479"/>
      <c r="K31" s="1479"/>
      <c r="L31" s="1479"/>
      <c r="M31" s="1479"/>
      <c r="N31" s="1112"/>
      <c r="O31" s="1479"/>
      <c r="P31" s="1658"/>
      <c r="Q31" s="1658"/>
      <c r="R31" s="1658" t="s">
        <v>4148</v>
      </c>
      <c r="S31" s="1658" t="s">
        <v>4149</v>
      </c>
      <c r="T31" s="1658" t="s">
        <v>317</v>
      </c>
      <c r="U31" s="1658"/>
      <c r="V31" s="1658"/>
      <c r="W31" s="1658"/>
    </row>
    <row r="32" spans="1:34">
      <c r="A32" s="1476"/>
      <c r="B32" s="1479"/>
      <c r="C32" s="1531" t="s">
        <v>365</v>
      </c>
      <c r="D32" s="96" t="s">
        <v>4147</v>
      </c>
      <c r="E32" s="1529">
        <v>0</v>
      </c>
      <c r="F32" s="1744">
        <f>IF($E$56=0, 0, Grant_Amount_4/$E$56)</f>
        <v>0</v>
      </c>
      <c r="G32" s="1479"/>
      <c r="H32" s="1479"/>
      <c r="I32" s="1479"/>
      <c r="J32" s="1479"/>
      <c r="K32" s="1479"/>
      <c r="L32" s="1479"/>
      <c r="M32" s="1479"/>
      <c r="N32" s="1112"/>
      <c r="O32" s="1479"/>
      <c r="P32" s="1658"/>
      <c r="Q32" s="1658"/>
      <c r="R32" s="1658"/>
      <c r="S32" s="1658"/>
      <c r="T32" s="1658"/>
      <c r="U32" s="1658"/>
      <c r="V32" s="1658"/>
      <c r="W32" s="1658"/>
    </row>
    <row r="33" spans="2:34">
      <c r="B33" s="1479"/>
      <c r="C33" s="1531" t="s">
        <v>365</v>
      </c>
      <c r="D33" s="96" t="s">
        <v>4147</v>
      </c>
      <c r="E33" s="1529">
        <v>0</v>
      </c>
      <c r="F33" s="1744">
        <f>IF($E$56=0, 0, Grant_Amount_5/$E$56)</f>
        <v>0</v>
      </c>
      <c r="G33" s="1479"/>
      <c r="H33" s="1479"/>
      <c r="I33" s="1479"/>
      <c r="J33" s="1479"/>
      <c r="K33" s="1479"/>
      <c r="L33" s="1479"/>
      <c r="M33" s="1479"/>
      <c r="N33" s="1112"/>
      <c r="O33" s="1479"/>
      <c r="P33" s="1658"/>
      <c r="Q33" s="1658"/>
      <c r="R33" s="1658"/>
      <c r="S33" s="1658"/>
      <c r="T33" s="1658"/>
      <c r="U33" s="1658"/>
      <c r="V33" s="1658"/>
      <c r="W33" s="1658"/>
    </row>
    <row r="34" spans="2:34">
      <c r="B34" s="1479"/>
      <c r="C34" s="1531" t="s">
        <v>365</v>
      </c>
      <c r="D34" s="96" t="s">
        <v>4147</v>
      </c>
      <c r="E34" s="1529">
        <v>0</v>
      </c>
      <c r="F34" s="1744">
        <f>IF($E$56=0, 0, Grant_Amount_6/$E$56)</f>
        <v>0</v>
      </c>
      <c r="G34" s="1479"/>
      <c r="H34" s="1479"/>
      <c r="I34" s="1479"/>
      <c r="J34" s="1479"/>
      <c r="K34" s="1479"/>
      <c r="L34" s="1479"/>
      <c r="M34" s="1479"/>
      <c r="N34" s="1112"/>
      <c r="O34" s="1479"/>
      <c r="P34" s="1658"/>
      <c r="Q34" s="1658"/>
      <c r="R34" s="1658"/>
      <c r="S34" s="1658"/>
      <c r="T34" s="1658"/>
      <c r="U34" s="1658"/>
      <c r="V34" s="1658"/>
      <c r="W34" s="1658"/>
    </row>
    <row r="35" spans="2:34">
      <c r="B35" s="1479"/>
      <c r="C35" s="1531" t="s">
        <v>365</v>
      </c>
      <c r="D35" s="96" t="s">
        <v>4147</v>
      </c>
      <c r="E35" s="1529">
        <v>0</v>
      </c>
      <c r="F35" s="1744">
        <f>IF($E$56=0, 0, Grant_Amount_7/$E$56)</f>
        <v>0</v>
      </c>
      <c r="G35" s="1479"/>
      <c r="H35" s="1479"/>
      <c r="I35" s="1479"/>
      <c r="J35" s="1479"/>
      <c r="K35" s="1479"/>
      <c r="L35" s="1479"/>
      <c r="M35" s="1479"/>
      <c r="N35" s="1112"/>
      <c r="O35" s="1479"/>
      <c r="P35" s="1658"/>
      <c r="S35" s="1658"/>
      <c r="T35" s="1658"/>
      <c r="U35" s="1658"/>
      <c r="V35" s="1658"/>
      <c r="W35" s="1658"/>
    </row>
    <row r="36" spans="2:34">
      <c r="B36" s="1479"/>
      <c r="C36" s="1531" t="s">
        <v>365</v>
      </c>
      <c r="D36" s="96" t="s">
        <v>4147</v>
      </c>
      <c r="E36" s="1529">
        <v>0</v>
      </c>
      <c r="F36" s="1744">
        <f>IF($E$56=0, 0, Grant_Amount_8/$E$56)</f>
        <v>0</v>
      </c>
      <c r="G36" s="1479"/>
      <c r="H36" s="1479"/>
      <c r="I36" s="1479"/>
      <c r="J36" s="1479"/>
      <c r="K36" s="1479"/>
      <c r="L36" s="1479"/>
      <c r="M36" s="1479"/>
      <c r="N36" s="1112"/>
      <c r="O36" s="1479"/>
      <c r="P36" s="1658"/>
      <c r="S36" s="1658"/>
      <c r="T36" s="1658"/>
      <c r="U36" s="1658"/>
      <c r="V36" s="1658"/>
      <c r="W36" s="1658"/>
    </row>
    <row r="37" spans="2:34">
      <c r="B37" s="1479"/>
      <c r="C37" s="1531" t="s">
        <v>365</v>
      </c>
      <c r="D37" s="96" t="s">
        <v>4147</v>
      </c>
      <c r="E37" s="1529">
        <v>0</v>
      </c>
      <c r="F37" s="1744">
        <f>IF($E$56=0, 0, Grant_Amount_9/$E$56)</f>
        <v>0</v>
      </c>
      <c r="G37" s="1479"/>
      <c r="H37" s="1479"/>
      <c r="I37" s="1479"/>
      <c r="J37" s="1479"/>
      <c r="K37" s="1479"/>
      <c r="L37" s="1479"/>
      <c r="M37" s="1479"/>
      <c r="N37" s="1112"/>
      <c r="O37" s="1479"/>
      <c r="P37" s="1658"/>
      <c r="S37" s="1658"/>
      <c r="T37" s="1658"/>
      <c r="U37" s="1658"/>
      <c r="V37" s="1658"/>
      <c r="W37" s="1658"/>
    </row>
    <row r="38" spans="2:34">
      <c r="B38" s="1479"/>
      <c r="C38" s="1531" t="s">
        <v>365</v>
      </c>
      <c r="D38" s="96" t="s">
        <v>4147</v>
      </c>
      <c r="E38" s="1529">
        <v>0</v>
      </c>
      <c r="F38" s="1744">
        <f>IF($E$56=0, 0, Grant_Amount_10/$E$56)</f>
        <v>0</v>
      </c>
      <c r="G38" s="1479"/>
      <c r="H38" s="1479"/>
      <c r="I38" s="1479"/>
      <c r="J38" s="1479"/>
      <c r="K38" s="1479"/>
      <c r="L38" s="1479"/>
      <c r="M38" s="1479"/>
      <c r="N38" s="1112"/>
      <c r="O38" s="1479"/>
      <c r="P38" s="1658"/>
      <c r="S38" s="1658"/>
      <c r="T38" s="1658"/>
      <c r="U38" s="1658"/>
      <c r="V38" s="1658"/>
      <c r="W38" s="1658"/>
    </row>
    <row r="39" spans="2:34">
      <c r="B39" s="1479"/>
      <c r="C39" s="1531" t="s">
        <v>365</v>
      </c>
      <c r="D39" s="96" t="s">
        <v>4147</v>
      </c>
      <c r="E39" s="1529">
        <v>0</v>
      </c>
      <c r="F39" s="1744">
        <f>IF($E$56=0, 0, Grant_Amount_11/$E$56)</f>
        <v>0</v>
      </c>
      <c r="G39" s="1479"/>
      <c r="H39" s="1479"/>
      <c r="I39" s="1479"/>
      <c r="J39" s="1479"/>
      <c r="K39" s="1479"/>
      <c r="L39" s="1479"/>
      <c r="M39" s="1479"/>
      <c r="N39" s="1112"/>
      <c r="O39" s="1479"/>
      <c r="P39" s="1658"/>
      <c r="S39" s="1658"/>
      <c r="T39" s="1658"/>
      <c r="U39" s="1658"/>
      <c r="V39" s="1658"/>
      <c r="W39" s="1658"/>
    </row>
    <row r="40" spans="2:34">
      <c r="B40" s="1479"/>
      <c r="C40" s="1109"/>
      <c r="D40" s="1279" t="s">
        <v>4150</v>
      </c>
      <c r="E40" s="1274">
        <f>SUM(E29:E39)</f>
        <v>0</v>
      </c>
      <c r="F40" s="1275">
        <f>SUM(F29:F39)</f>
        <v>0</v>
      </c>
      <c r="G40" s="1479"/>
      <c r="H40" s="1479"/>
      <c r="I40" s="1479"/>
      <c r="J40" s="1479"/>
      <c r="K40" s="1479"/>
      <c r="L40" s="1479"/>
      <c r="M40" s="1479"/>
      <c r="N40" s="1112"/>
      <c r="O40" s="1479"/>
      <c r="P40" s="1658"/>
      <c r="S40" s="1658"/>
      <c r="T40" s="1658"/>
      <c r="U40" s="1658"/>
      <c r="V40" s="1658"/>
      <c r="W40" s="1658"/>
    </row>
    <row r="41" spans="2:34" s="3" customFormat="1">
      <c r="B41" s="1479"/>
      <c r="C41" s="1479"/>
      <c r="D41" s="1479"/>
      <c r="E41" s="1479"/>
      <c r="F41" s="1479"/>
      <c r="G41" s="1479"/>
      <c r="H41" s="1479"/>
      <c r="I41" s="1479"/>
      <c r="J41" s="1479"/>
      <c r="K41" s="1479"/>
      <c r="L41" s="1479"/>
      <c r="M41" s="1479"/>
      <c r="N41" s="1479"/>
      <c r="O41" s="1479"/>
      <c r="P41" s="115"/>
      <c r="Q41" s="115"/>
      <c r="R41" s="115"/>
      <c r="S41" s="115"/>
      <c r="T41" s="115"/>
      <c r="U41" s="115"/>
      <c r="V41" s="115"/>
      <c r="W41" s="115"/>
      <c r="X41" s="115"/>
      <c r="Y41" s="115"/>
      <c r="Z41" s="115"/>
      <c r="AA41" s="115"/>
      <c r="AB41" s="115"/>
      <c r="AC41" s="115"/>
      <c r="AD41" s="115"/>
      <c r="AE41" s="115"/>
      <c r="AF41" s="115"/>
      <c r="AG41" s="115"/>
      <c r="AH41" s="115"/>
    </row>
    <row r="42" spans="2:34" ht="15.75">
      <c r="B42" s="1276" t="s">
        <v>4151</v>
      </c>
      <c r="C42" s="1109"/>
      <c r="D42" s="1114"/>
      <c r="E42" s="1532"/>
      <c r="F42" s="1532"/>
      <c r="G42" s="1479"/>
      <c r="H42" s="1479"/>
      <c r="I42" s="1479"/>
      <c r="J42" s="1479"/>
      <c r="K42" s="1479"/>
      <c r="L42" s="1479"/>
      <c r="M42" s="1479"/>
      <c r="N42" s="1112"/>
      <c r="O42" s="1479"/>
      <c r="P42" s="1658"/>
      <c r="S42" s="1658"/>
      <c r="T42" s="1658"/>
      <c r="U42" s="1658"/>
      <c r="V42" s="1658"/>
      <c r="W42" s="1658"/>
    </row>
    <row r="43" spans="2:34" ht="17.100000000000001" customHeight="1">
      <c r="B43" s="1479"/>
      <c r="C43" s="67" t="s">
        <v>4120</v>
      </c>
      <c r="D43" s="67" t="s">
        <v>4121</v>
      </c>
      <c r="E43" s="67" t="s">
        <v>2866</v>
      </c>
      <c r="F43" s="67" t="s">
        <v>4122</v>
      </c>
      <c r="G43" s="68" t="s">
        <v>4152</v>
      </c>
      <c r="H43" s="68" t="s">
        <v>4153</v>
      </c>
      <c r="I43" s="68" t="s">
        <v>4154</v>
      </c>
      <c r="J43" s="68" t="s">
        <v>4155</v>
      </c>
      <c r="K43" s="1533"/>
      <c r="L43" s="1479"/>
      <c r="M43" s="1479"/>
      <c r="N43" s="1112"/>
      <c r="O43" s="1479"/>
      <c r="P43" s="1658"/>
      <c r="S43" s="1658"/>
      <c r="T43" s="1658"/>
      <c r="U43" s="1658"/>
      <c r="V43" s="1658"/>
      <c r="W43" s="1658"/>
    </row>
    <row r="44" spans="2:34">
      <c r="B44" s="1479"/>
      <c r="C44" s="1521" t="s">
        <v>3547</v>
      </c>
      <c r="D44" s="96" t="s">
        <v>4156</v>
      </c>
      <c r="E44" s="1534">
        <f>ROUND(I44*H44*G44*J44, 0)</f>
        <v>0</v>
      </c>
      <c r="F44" s="1744">
        <f>IF($E$56=0, 0, E44/$E$56)</f>
        <v>0</v>
      </c>
      <c r="G44" s="1535"/>
      <c r="H44" s="1536"/>
      <c r="I44" s="1537"/>
      <c r="J44" s="1538">
        <f>Federal_Credits</f>
        <v>0</v>
      </c>
      <c r="K44" s="1539"/>
      <c r="L44" s="1479"/>
      <c r="M44" s="1479"/>
      <c r="N44" s="1112"/>
      <c r="O44" s="1479"/>
      <c r="P44" s="1658"/>
      <c r="S44" s="1658"/>
      <c r="T44" s="1658"/>
      <c r="U44" s="1658"/>
      <c r="V44" s="1658"/>
      <c r="W44" s="1658"/>
    </row>
    <row r="45" spans="2:34">
      <c r="B45" s="1479"/>
      <c r="C45" s="1521" t="s">
        <v>3967</v>
      </c>
      <c r="D45" s="96" t="s">
        <v>4156</v>
      </c>
      <c r="E45" s="1540">
        <v>0</v>
      </c>
      <c r="F45" s="1744">
        <f t="shared" ref="F45:F54" si="4">IF($E$56=0, 0, E45/$E$56)</f>
        <v>0</v>
      </c>
      <c r="G45" s="1541"/>
      <c r="H45" s="1541"/>
      <c r="I45" s="1541"/>
      <c r="J45" s="1541"/>
      <c r="K45" s="1539"/>
      <c r="L45" s="1479"/>
      <c r="M45" s="1479"/>
      <c r="N45" s="1112"/>
      <c r="O45" s="1479"/>
      <c r="P45" s="1658"/>
      <c r="Q45" s="450">
        <f>IF('14. Project Costs'!I214="",0,'14. Project Costs'!I214)</f>
        <v>0</v>
      </c>
      <c r="S45" s="1658"/>
      <c r="T45" s="1658"/>
      <c r="U45" s="1658"/>
      <c r="V45" s="1658"/>
      <c r="W45" s="1658"/>
    </row>
    <row r="46" spans="2:34">
      <c r="B46" s="1479"/>
      <c r="C46" s="1521" t="s">
        <v>3548</v>
      </c>
      <c r="D46" s="96" t="s">
        <v>4156</v>
      </c>
      <c r="E46" s="1534">
        <f>ROUND(I46*H46*G46*J46, 0)</f>
        <v>0</v>
      </c>
      <c r="F46" s="1744">
        <f t="shared" si="4"/>
        <v>0</v>
      </c>
      <c r="G46" s="1535"/>
      <c r="H46" s="1536"/>
      <c r="I46" s="1537"/>
      <c r="J46" s="1538">
        <f>State_Credits</f>
        <v>0</v>
      </c>
      <c r="K46" s="1539"/>
      <c r="L46" s="1479"/>
      <c r="M46" s="1479"/>
      <c r="N46" s="1112"/>
      <c r="O46" s="1479"/>
      <c r="P46" s="1658"/>
      <c r="Q46" s="487"/>
      <c r="R46" s="1662"/>
      <c r="S46" s="1658"/>
      <c r="T46" s="1658"/>
      <c r="U46" s="1658"/>
      <c r="V46" s="1658"/>
      <c r="W46" s="1658"/>
    </row>
    <row r="47" spans="2:34">
      <c r="B47" s="1479"/>
      <c r="C47" s="1521" t="s">
        <v>3968</v>
      </c>
      <c r="D47" s="96" t="s">
        <v>4156</v>
      </c>
      <c r="E47" s="1540">
        <v>0</v>
      </c>
      <c r="F47" s="1744">
        <f t="shared" si="4"/>
        <v>0</v>
      </c>
      <c r="G47" s="2179" t="s">
        <v>4157</v>
      </c>
      <c r="H47" s="2180"/>
      <c r="I47" s="2180"/>
      <c r="J47" s="2180"/>
      <c r="K47" s="1539"/>
      <c r="L47" s="1539"/>
      <c r="M47" s="1479"/>
      <c r="N47" s="1112"/>
      <c r="O47" s="1479"/>
      <c r="P47" s="1658"/>
      <c r="Q47" s="487"/>
      <c r="R47" s="487"/>
      <c r="S47" s="1658"/>
      <c r="T47" s="1658"/>
      <c r="U47" s="1658"/>
      <c r="V47" s="1658"/>
      <c r="W47" s="1658"/>
    </row>
    <row r="48" spans="2:34">
      <c r="B48" s="1479"/>
      <c r="C48" s="1521" t="s">
        <v>3969</v>
      </c>
      <c r="D48" s="96" t="s">
        <v>4156</v>
      </c>
      <c r="E48" s="1534">
        <f>PC_DEV_Dev_Fee_Deferred_Total</f>
        <v>0</v>
      </c>
      <c r="F48" s="1744">
        <f t="shared" si="4"/>
        <v>0</v>
      </c>
      <c r="G48" s="2181"/>
      <c r="H48" s="2182"/>
      <c r="I48" s="2182"/>
      <c r="J48" s="2182"/>
      <c r="K48" s="1539"/>
      <c r="L48" s="1539"/>
      <c r="M48" s="1479"/>
      <c r="N48" s="1112"/>
      <c r="O48" s="1479"/>
      <c r="P48" s="1658"/>
      <c r="Q48" s="487"/>
      <c r="R48" s="487"/>
      <c r="S48" s="1658"/>
      <c r="T48" s="1658"/>
      <c r="U48" s="1658"/>
      <c r="V48" s="1658"/>
      <c r="W48" s="1658"/>
    </row>
    <row r="49" spans="1:43">
      <c r="A49" s="1476"/>
      <c r="B49" s="1479"/>
      <c r="C49" s="1521" t="s">
        <v>3970</v>
      </c>
      <c r="D49" s="96" t="s">
        <v>4156</v>
      </c>
      <c r="E49" s="1540">
        <v>0</v>
      </c>
      <c r="F49" s="1744">
        <f t="shared" si="4"/>
        <v>0</v>
      </c>
      <c r="G49" s="2181"/>
      <c r="H49" s="2182"/>
      <c r="I49" s="2182"/>
      <c r="J49" s="2182"/>
      <c r="K49" s="1539"/>
      <c r="L49" s="1539"/>
      <c r="M49" s="1479"/>
      <c r="N49" s="1112"/>
      <c r="O49" s="1479"/>
      <c r="P49" s="1658"/>
      <c r="Q49" s="487"/>
      <c r="R49" s="487"/>
      <c r="S49" s="1658"/>
      <c r="T49" s="1658"/>
      <c r="U49" s="1658"/>
      <c r="V49" s="1658"/>
      <c r="W49" s="1658"/>
    </row>
    <row r="50" spans="1:43">
      <c r="A50" s="1476"/>
      <c r="B50" s="1479"/>
      <c r="C50" s="1542" t="s">
        <v>365</v>
      </c>
      <c r="D50" s="96" t="s">
        <v>4156</v>
      </c>
      <c r="E50" s="1540">
        <v>0</v>
      </c>
      <c r="F50" s="1744">
        <f t="shared" si="4"/>
        <v>0</v>
      </c>
      <c r="G50" s="2181"/>
      <c r="H50" s="2182"/>
      <c r="I50" s="2182"/>
      <c r="J50" s="2182"/>
      <c r="K50" s="1539"/>
      <c r="L50" s="1539"/>
      <c r="M50" s="1479"/>
      <c r="N50" s="1112"/>
      <c r="O50" s="1479"/>
      <c r="P50" s="1663">
        <f>E54+E74</f>
        <v>0</v>
      </c>
      <c r="Q50" s="487"/>
      <c r="R50" s="487"/>
      <c r="S50" s="1658"/>
      <c r="T50" s="1658"/>
      <c r="U50" s="1658"/>
      <c r="V50" s="1658"/>
      <c r="W50" s="1658"/>
    </row>
    <row r="51" spans="1:43">
      <c r="A51" s="1476"/>
      <c r="B51" s="1479"/>
      <c r="C51" s="1542" t="s">
        <v>365</v>
      </c>
      <c r="D51" s="96" t="s">
        <v>4156</v>
      </c>
      <c r="E51" s="1540">
        <v>0</v>
      </c>
      <c r="F51" s="1744">
        <f t="shared" si="4"/>
        <v>0</v>
      </c>
      <c r="G51" s="2181"/>
      <c r="H51" s="2182"/>
      <c r="I51" s="2182"/>
      <c r="J51" s="2182"/>
      <c r="K51" s="1539"/>
      <c r="L51" s="1539"/>
      <c r="M51" s="1479"/>
      <c r="N51" s="1112"/>
      <c r="O51" s="1479"/>
      <c r="P51" s="1663"/>
      <c r="Q51" s="487"/>
      <c r="R51" s="487"/>
      <c r="S51" s="1658"/>
      <c r="T51" s="1658"/>
      <c r="U51" s="1658"/>
      <c r="V51" s="1658"/>
      <c r="W51" s="1658"/>
    </row>
    <row r="52" spans="1:43">
      <c r="A52" s="1476"/>
      <c r="B52" s="1479"/>
      <c r="C52" s="1542" t="s">
        <v>365</v>
      </c>
      <c r="D52" s="96" t="s">
        <v>4156</v>
      </c>
      <c r="E52" s="1540">
        <v>0</v>
      </c>
      <c r="F52" s="1744">
        <f t="shared" si="4"/>
        <v>0</v>
      </c>
      <c r="G52" s="2181"/>
      <c r="H52" s="2182"/>
      <c r="I52" s="2182"/>
      <c r="J52" s="2182"/>
      <c r="K52" s="1539"/>
      <c r="L52" s="1539"/>
      <c r="M52" s="1479"/>
      <c r="N52" s="1112"/>
      <c r="O52" s="1479"/>
      <c r="P52" s="1663"/>
      <c r="Q52" s="487"/>
      <c r="R52" s="487"/>
      <c r="S52" s="1658"/>
      <c r="T52" s="1658"/>
      <c r="U52" s="1658"/>
      <c r="V52" s="1658"/>
      <c r="W52" s="1658"/>
    </row>
    <row r="53" spans="1:43">
      <c r="A53" s="1476"/>
      <c r="B53" s="1479"/>
      <c r="C53" s="1542" t="s">
        <v>365</v>
      </c>
      <c r="D53" s="96" t="s">
        <v>4156</v>
      </c>
      <c r="E53" s="1540">
        <v>0</v>
      </c>
      <c r="F53" s="1744">
        <f t="shared" si="4"/>
        <v>0</v>
      </c>
      <c r="G53" s="2181"/>
      <c r="H53" s="2182"/>
      <c r="I53" s="2182"/>
      <c r="J53" s="2182"/>
      <c r="K53" s="1539"/>
      <c r="L53" s="1539"/>
      <c r="M53" s="1479"/>
      <c r="N53" s="1112"/>
      <c r="O53" s="1479"/>
      <c r="P53" s="1663"/>
      <c r="Q53" s="487"/>
      <c r="R53" s="487"/>
      <c r="S53" s="1658"/>
      <c r="T53" s="1658"/>
      <c r="U53" s="1658"/>
      <c r="V53" s="1658"/>
      <c r="W53" s="1658"/>
    </row>
    <row r="54" spans="1:43">
      <c r="A54" s="1476"/>
      <c r="B54" s="1479"/>
      <c r="C54" s="1278"/>
      <c r="D54" s="1279" t="s">
        <v>4158</v>
      </c>
      <c r="E54" s="1274">
        <f>SUM(E44:E53)</f>
        <v>0</v>
      </c>
      <c r="F54" s="1275">
        <f t="shared" si="4"/>
        <v>0</v>
      </c>
      <c r="G54" s="2181"/>
      <c r="H54" s="2182"/>
      <c r="I54" s="2182"/>
      <c r="J54" s="2182"/>
      <c r="K54" s="1479"/>
      <c r="L54" s="1479"/>
      <c r="M54" s="1479"/>
      <c r="N54" s="1112"/>
      <c r="O54" s="1479"/>
      <c r="P54" s="1658"/>
      <c r="Q54" s="1658"/>
      <c r="R54" s="1658"/>
      <c r="S54" s="1658"/>
      <c r="T54" s="1658"/>
      <c r="U54" s="1658"/>
      <c r="V54" s="1658"/>
      <c r="W54" s="1658"/>
    </row>
    <row r="55" spans="1:43" ht="15.75">
      <c r="A55" s="1476"/>
      <c r="B55" s="1276" t="s">
        <v>3230</v>
      </c>
      <c r="C55" s="1277"/>
      <c r="D55" s="1277"/>
      <c r="E55" s="1479"/>
      <c r="F55" s="1479"/>
      <c r="G55" s="1718"/>
      <c r="H55" s="1718"/>
      <c r="I55" s="1718"/>
      <c r="J55" s="1718"/>
      <c r="K55" s="1479"/>
      <c r="L55" s="1479"/>
      <c r="M55" s="1479"/>
      <c r="N55" s="1112"/>
      <c r="O55" s="1479"/>
      <c r="P55" s="1658"/>
      <c r="Q55" s="1658"/>
      <c r="R55" s="1658"/>
      <c r="S55" s="1658"/>
      <c r="T55" s="1658"/>
      <c r="U55" s="1658"/>
      <c r="V55" s="1658"/>
      <c r="W55" s="1658"/>
    </row>
    <row r="56" spans="1:43">
      <c r="A56" s="1476"/>
      <c r="B56" s="1479"/>
      <c r="C56" s="1277"/>
      <c r="D56" s="1282" t="s">
        <v>3230</v>
      </c>
      <c r="E56" s="1274">
        <f>SUM(E44:E53,E29:E39,E11:E23)</f>
        <v>0</v>
      </c>
      <c r="F56" s="1479"/>
      <c r="G56" s="1718"/>
      <c r="H56" s="1718"/>
      <c r="I56" s="1718"/>
      <c r="J56" s="1718"/>
      <c r="K56" s="1479"/>
      <c r="L56" s="1479"/>
      <c r="M56" s="1479"/>
      <c r="N56" s="1112"/>
      <c r="O56" s="1479"/>
      <c r="P56" s="1658"/>
      <c r="Q56" s="1658"/>
      <c r="R56" s="1658"/>
      <c r="S56" s="1658"/>
      <c r="T56" s="1658"/>
      <c r="U56" s="1658"/>
      <c r="V56" s="1658"/>
      <c r="W56" s="1658"/>
    </row>
    <row r="57" spans="1:43">
      <c r="A57" s="1476"/>
      <c r="B57" s="1479"/>
      <c r="C57" s="1479"/>
      <c r="D57" s="1479"/>
      <c r="E57" s="1479"/>
      <c r="F57" s="1479"/>
      <c r="G57" s="1479"/>
      <c r="H57" s="1479"/>
      <c r="I57" s="1479"/>
      <c r="J57" s="1479"/>
      <c r="K57" s="1479"/>
      <c r="L57" s="1479"/>
      <c r="M57" s="1479"/>
      <c r="N57" s="1112"/>
      <c r="O57" s="1479"/>
    </row>
    <row r="58" spans="1:43" s="64" customFormat="1" ht="18.75">
      <c r="A58" s="1477"/>
      <c r="B58" s="8" t="s">
        <v>4159</v>
      </c>
      <c r="C58" s="1477"/>
      <c r="D58" s="1477"/>
      <c r="E58" s="1477"/>
      <c r="F58" s="1477"/>
      <c r="G58" s="1477"/>
      <c r="H58" s="1477"/>
      <c r="I58" s="1477"/>
      <c r="J58" s="1477"/>
      <c r="K58" s="1477"/>
      <c r="L58" s="1477"/>
      <c r="M58" s="1477"/>
      <c r="N58" s="83"/>
      <c r="O58" s="1477"/>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row>
    <row r="59" spans="1:43" s="64" customFormat="1" ht="15.75">
      <c r="A59" s="1477"/>
      <c r="B59" s="2184" t="s">
        <v>4160</v>
      </c>
      <c r="C59" s="2184"/>
      <c r="D59" s="261"/>
      <c r="E59" s="1684" t="str">
        <f>IF(D59="No","WHEDA permanent loans are funded during construction.","")</f>
        <v/>
      </c>
      <c r="F59" s="1116"/>
      <c r="G59" s="1116"/>
      <c r="H59" s="1116"/>
      <c r="I59" s="1116"/>
      <c r="J59" s="1116"/>
      <c r="K59" s="1116"/>
      <c r="L59" s="1116"/>
      <c r="M59" s="1116"/>
      <c r="N59" s="1116"/>
      <c r="O59" s="1477"/>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row>
    <row r="60" spans="1:43" s="3" customFormat="1">
      <c r="B60" s="1479"/>
      <c r="C60" s="1479" t="s">
        <v>4161</v>
      </c>
      <c r="D60" s="1116"/>
      <c r="E60" s="1116"/>
      <c r="F60" s="1116"/>
      <c r="G60" s="1116"/>
      <c r="H60" s="1116"/>
      <c r="I60" s="1116"/>
      <c r="J60" s="1116"/>
      <c r="K60" s="1116"/>
      <c r="L60" s="1116"/>
      <c r="M60" s="1116"/>
      <c r="N60" s="1116"/>
      <c r="O60" s="1116"/>
      <c r="P60" s="115"/>
      <c r="Q60" s="115"/>
      <c r="R60" s="115"/>
      <c r="S60" s="115"/>
      <c r="T60" s="115"/>
      <c r="U60" s="115"/>
      <c r="V60" s="115"/>
      <c r="W60" s="115"/>
      <c r="X60" s="115"/>
      <c r="Y60" s="115"/>
      <c r="Z60" s="115"/>
      <c r="AA60" s="115"/>
      <c r="AB60" s="115"/>
      <c r="AC60" s="115"/>
      <c r="AD60" s="115"/>
      <c r="AE60" s="115"/>
      <c r="AF60" s="115"/>
      <c r="AG60" s="115"/>
      <c r="AH60" s="115"/>
    </row>
    <row r="61" spans="1:43">
      <c r="A61" s="1476"/>
      <c r="B61" s="1479"/>
      <c r="C61" s="69" t="s">
        <v>4162</v>
      </c>
      <c r="D61" s="67" t="s">
        <v>4121</v>
      </c>
      <c r="E61" s="67" t="s">
        <v>2866</v>
      </c>
      <c r="F61" s="67" t="s">
        <v>4163</v>
      </c>
      <c r="G61" s="67" t="s">
        <v>4164</v>
      </c>
      <c r="H61" s="69" t="s">
        <v>4127</v>
      </c>
      <c r="I61" s="69" t="s">
        <v>4165</v>
      </c>
      <c r="J61" s="1479"/>
      <c r="K61" s="1479"/>
      <c r="L61" s="1479"/>
      <c r="M61" s="1479"/>
      <c r="N61" s="1112"/>
      <c r="O61" s="1479"/>
    </row>
    <row r="62" spans="1:43">
      <c r="A62" s="1476"/>
      <c r="B62" s="1479"/>
      <c r="C62" s="1521" t="str">
        <f>IF(Source_1="Permanent Loan 1", "Construction Loan 1 (Construction-Permanent)","Tax-Exempt Bonds - Permanent")</f>
        <v>Tax-Exempt Bonds - Permanent</v>
      </c>
      <c r="D62" s="1686" t="str">
        <f>D11</f>
        <v>Lender Name/Bond Issuer</v>
      </c>
      <c r="E62" s="1685" t="str">
        <f>IF(D59="Yes",Amount_1,"$0")</f>
        <v>$0</v>
      </c>
      <c r="F62" s="1744">
        <f t="shared" ref="F62:F73" si="5">IF($E$74=0, 0, E62/$E$74)</f>
        <v>0</v>
      </c>
      <c r="G62" s="1584" t="str">
        <f>IF(Construction_Source_1="Tax-Exempt Bonds - Permanent","Yes","No")</f>
        <v>Yes</v>
      </c>
      <c r="H62" s="1544"/>
      <c r="I62" s="1545"/>
      <c r="J62" s="1479"/>
      <c r="K62" s="1479"/>
      <c r="L62" s="1479"/>
      <c r="M62" s="1479"/>
      <c r="N62" s="1112"/>
      <c r="O62" s="1479"/>
    </row>
    <row r="63" spans="1:43">
      <c r="A63" s="1476"/>
      <c r="B63" s="1479"/>
      <c r="C63" s="1521" t="str">
        <f>IF(Construction_Source_1="Tax-Exempt Bonds - Permanent","Tax-Exempt Bonds - Construction","Construction Loan 2")</f>
        <v>Tax-Exempt Bonds - Construction</v>
      </c>
      <c r="D63" s="95" t="s">
        <v>4166</v>
      </c>
      <c r="E63" s="1543">
        <v>0</v>
      </c>
      <c r="F63" s="1744">
        <f t="shared" si="5"/>
        <v>0</v>
      </c>
      <c r="G63" s="1584" t="str">
        <f>IF(Construction_Source_2="Tax-Exempt Bonds - Construction", "Yes", "No")</f>
        <v>Yes</v>
      </c>
      <c r="H63" s="1544"/>
      <c r="I63" s="1545"/>
      <c r="J63" s="1479"/>
      <c r="K63" s="1479"/>
      <c r="L63" s="1479"/>
      <c r="M63" s="1479"/>
      <c r="N63" s="1112"/>
      <c r="O63" s="1479"/>
    </row>
    <row r="64" spans="1:43">
      <c r="A64" s="1476" t="s">
        <v>3830</v>
      </c>
      <c r="B64" s="1479"/>
      <c r="C64" s="1521" t="s">
        <v>4167</v>
      </c>
      <c r="D64" s="95" t="s">
        <v>4166</v>
      </c>
      <c r="E64" s="1543">
        <v>0</v>
      </c>
      <c r="F64" s="1744">
        <f t="shared" si="5"/>
        <v>0</v>
      </c>
      <c r="G64" s="1501"/>
      <c r="H64" s="1544"/>
      <c r="I64" s="1545"/>
      <c r="J64" s="1479"/>
      <c r="K64" s="1479"/>
      <c r="L64" s="1479"/>
      <c r="M64" s="1479"/>
      <c r="N64" s="1112"/>
      <c r="O64" s="1479"/>
    </row>
    <row r="65" spans="1:15">
      <c r="A65" s="1476"/>
      <c r="B65" s="1479"/>
      <c r="C65" s="1521" t="s">
        <v>4168</v>
      </c>
      <c r="D65" s="95" t="s">
        <v>4166</v>
      </c>
      <c r="E65" s="1543">
        <v>0</v>
      </c>
      <c r="F65" s="1744">
        <f t="shared" si="5"/>
        <v>0</v>
      </c>
      <c r="G65" s="1501"/>
      <c r="H65" s="1544"/>
      <c r="I65" s="1545"/>
      <c r="J65" s="1479"/>
      <c r="K65" s="1479"/>
      <c r="L65" s="1479"/>
      <c r="M65" s="1479"/>
      <c r="N65" s="1112"/>
      <c r="O65" s="1479"/>
    </row>
    <row r="66" spans="1:15">
      <c r="A66" s="1476"/>
      <c r="B66" s="1479"/>
      <c r="C66" s="1521" t="s">
        <v>4169</v>
      </c>
      <c r="D66" s="95" t="s">
        <v>4166</v>
      </c>
      <c r="E66" s="1543">
        <v>0</v>
      </c>
      <c r="F66" s="1744">
        <f t="shared" si="5"/>
        <v>0</v>
      </c>
      <c r="G66" s="1501"/>
      <c r="H66" s="1546"/>
      <c r="I66" s="1547"/>
      <c r="J66" s="1479"/>
      <c r="K66" s="1479"/>
      <c r="L66" s="1479"/>
      <c r="M66" s="1479"/>
      <c r="N66" s="1112"/>
      <c r="O66" s="1479"/>
    </row>
    <row r="67" spans="1:15">
      <c r="A67" s="1476"/>
      <c r="B67" s="1479"/>
      <c r="C67" s="1521" t="s">
        <v>3547</v>
      </c>
      <c r="D67" s="95" t="s">
        <v>4156</v>
      </c>
      <c r="E67" s="1543">
        <v>0</v>
      </c>
      <c r="F67" s="1744">
        <f t="shared" si="5"/>
        <v>0</v>
      </c>
      <c r="G67" s="1501"/>
      <c r="H67" s="1548"/>
      <c r="I67" s="1549"/>
      <c r="J67" s="1479"/>
      <c r="K67" s="1479"/>
      <c r="L67" s="1479"/>
      <c r="M67" s="1479"/>
      <c r="N67" s="1112"/>
      <c r="O67" s="1479"/>
    </row>
    <row r="68" spans="1:15">
      <c r="A68" s="1476"/>
      <c r="B68" s="1479"/>
      <c r="C68" s="1521" t="s">
        <v>3548</v>
      </c>
      <c r="D68" s="95" t="s">
        <v>4156</v>
      </c>
      <c r="E68" s="1543">
        <v>0</v>
      </c>
      <c r="F68" s="1744">
        <f t="shared" si="5"/>
        <v>0</v>
      </c>
      <c r="G68" s="1501"/>
      <c r="H68" s="1550"/>
      <c r="I68" s="1541"/>
      <c r="J68" s="1479"/>
      <c r="K68" s="1479"/>
      <c r="L68" s="1479"/>
      <c r="M68" s="1479"/>
      <c r="N68" s="1112"/>
      <c r="O68" s="1479"/>
    </row>
    <row r="69" spans="1:15">
      <c r="A69" s="1476"/>
      <c r="B69" s="1479"/>
      <c r="C69" s="1521" t="s">
        <v>3967</v>
      </c>
      <c r="D69" s="95" t="s">
        <v>4156</v>
      </c>
      <c r="E69" s="1543">
        <v>0</v>
      </c>
      <c r="F69" s="1744">
        <f t="shared" si="5"/>
        <v>0</v>
      </c>
      <c r="G69" s="1501"/>
      <c r="H69" s="1551"/>
      <c r="I69" s="1532"/>
      <c r="J69" s="1479"/>
      <c r="K69" s="1479"/>
      <c r="L69" s="1479"/>
      <c r="M69" s="1479"/>
      <c r="N69" s="1112"/>
      <c r="O69" s="1479"/>
    </row>
    <row r="70" spans="1:15">
      <c r="A70" s="1476"/>
      <c r="B70" s="1479"/>
      <c r="C70" s="1552" t="s">
        <v>4170</v>
      </c>
      <c r="D70" s="95" t="s">
        <v>4156</v>
      </c>
      <c r="E70" s="1543">
        <v>0</v>
      </c>
      <c r="F70" s="1744">
        <f t="shared" si="5"/>
        <v>0</v>
      </c>
      <c r="G70" s="1501"/>
      <c r="H70" s="1546"/>
      <c r="I70" s="1553"/>
      <c r="J70" s="1479"/>
      <c r="K70" s="1479"/>
      <c r="L70" s="1479"/>
      <c r="M70" s="1479"/>
      <c r="N70" s="1112"/>
      <c r="O70" s="1479"/>
    </row>
    <row r="71" spans="1:15">
      <c r="A71" s="1476"/>
      <c r="B71" s="1479"/>
      <c r="C71" s="1552" t="s">
        <v>4170</v>
      </c>
      <c r="D71" s="95" t="s">
        <v>4156</v>
      </c>
      <c r="E71" s="1543">
        <v>0</v>
      </c>
      <c r="F71" s="1744">
        <f t="shared" si="5"/>
        <v>0</v>
      </c>
      <c r="G71" s="1501"/>
      <c r="H71" s="1546"/>
      <c r="I71" s="1553"/>
      <c r="J71" s="1479"/>
      <c r="K71" s="1479"/>
      <c r="L71" s="1479"/>
      <c r="M71" s="1479"/>
      <c r="N71" s="1112"/>
      <c r="O71" s="1479"/>
    </row>
    <row r="72" spans="1:15">
      <c r="A72" s="1476"/>
      <c r="B72" s="1479"/>
      <c r="C72" s="1552" t="s">
        <v>4170</v>
      </c>
      <c r="D72" s="95" t="s">
        <v>4156</v>
      </c>
      <c r="E72" s="1543">
        <v>0</v>
      </c>
      <c r="F72" s="1744">
        <f t="shared" si="5"/>
        <v>0</v>
      </c>
      <c r="G72" s="1501"/>
      <c r="H72" s="1546"/>
      <c r="I72" s="1553"/>
      <c r="J72" s="1479"/>
      <c r="K72" s="1479"/>
      <c r="L72" s="1479"/>
      <c r="M72" s="1479"/>
      <c r="N72" s="1112"/>
      <c r="O72" s="1479"/>
    </row>
    <row r="73" spans="1:15">
      <c r="A73" s="1476"/>
      <c r="B73" s="1479"/>
      <c r="C73" s="1552" t="s">
        <v>4170</v>
      </c>
      <c r="D73" s="95" t="s">
        <v>4156</v>
      </c>
      <c r="E73" s="1543">
        <v>0</v>
      </c>
      <c r="F73" s="1744">
        <f t="shared" si="5"/>
        <v>0</v>
      </c>
      <c r="G73" s="1501"/>
      <c r="H73" s="1554"/>
      <c r="I73" s="1555"/>
      <c r="J73" s="1479"/>
      <c r="K73" s="1479"/>
      <c r="L73" s="1479"/>
      <c r="M73" s="1479"/>
      <c r="N73" s="1112"/>
      <c r="O73" s="1479"/>
    </row>
    <row r="74" spans="1:15">
      <c r="A74" s="1476"/>
      <c r="B74" s="1479"/>
      <c r="C74" s="1479" t="s">
        <v>4171</v>
      </c>
      <c r="D74" s="1279" t="s">
        <v>4171</v>
      </c>
      <c r="E74" s="1280">
        <f>SUM(E62:E73)</f>
        <v>0</v>
      </c>
      <c r="F74" s="1281">
        <f>SUM(F62:F71)</f>
        <v>0</v>
      </c>
      <c r="G74" s="1479"/>
      <c r="H74" s="1479"/>
      <c r="I74" s="1479"/>
      <c r="J74" s="1479"/>
      <c r="K74" s="1479"/>
      <c r="L74" s="1479"/>
      <c r="M74" s="1479"/>
      <c r="N74" s="1112"/>
      <c r="O74" s="1479"/>
    </row>
    <row r="75" spans="1:15">
      <c r="A75" s="1476"/>
      <c r="B75" s="1479"/>
      <c r="C75" s="1479"/>
      <c r="D75" s="1479"/>
      <c r="E75" s="1479"/>
      <c r="F75" s="1479"/>
      <c r="G75" s="1479"/>
      <c r="H75" s="1479"/>
      <c r="I75" s="1479"/>
      <c r="J75" s="1479"/>
      <c r="K75" s="1479"/>
      <c r="L75" s="1479"/>
      <c r="M75" s="1479"/>
      <c r="N75" s="1112"/>
      <c r="O75" s="1479"/>
    </row>
    <row r="76" spans="1:15">
      <c r="A76" s="1476"/>
      <c r="B76" s="1479"/>
      <c r="C76" s="1479"/>
      <c r="D76" s="1479"/>
      <c r="E76" s="1479"/>
      <c r="F76" s="1479"/>
      <c r="G76" s="1479"/>
      <c r="H76" s="1479"/>
      <c r="I76" s="1479"/>
      <c r="J76" s="1479"/>
      <c r="K76" s="1479"/>
      <c r="L76" s="1479"/>
      <c r="M76" s="1479"/>
      <c r="N76" s="1112"/>
      <c r="O76" s="1479"/>
    </row>
    <row r="77" spans="1:15" ht="30">
      <c r="A77" s="1476"/>
      <c r="B77" s="1479"/>
      <c r="C77" s="2183" t="s">
        <v>4172</v>
      </c>
      <c r="D77" s="1719" t="s">
        <v>4173</v>
      </c>
      <c r="E77" s="1719" t="s">
        <v>805</v>
      </c>
      <c r="F77" s="67" t="s">
        <v>4174</v>
      </c>
      <c r="G77" s="1719" t="s">
        <v>4175</v>
      </c>
      <c r="H77" s="1479"/>
      <c r="I77" s="1479"/>
      <c r="J77" s="1479"/>
      <c r="K77" s="1479"/>
      <c r="L77" s="1479"/>
      <c r="M77" s="1479"/>
      <c r="N77" s="1112"/>
      <c r="O77" s="1479"/>
    </row>
    <row r="78" spans="1:15">
      <c r="A78" s="1476"/>
      <c r="B78" s="1479"/>
      <c r="C78" s="2183"/>
      <c r="D78" s="1556">
        <f>IF(Credit_percentage_applied_for="9%","N/A for 9% Transactions",(SUM(PC_ACQ_Land_Acq_Total+'14. Project Costs'!K173)))</f>
        <v>0</v>
      </c>
      <c r="E78" s="1556">
        <f>IF(Credit_percentage_applied_for="9%","N/A for 9% Transactions",(X12))</f>
        <v>0</v>
      </c>
      <c r="F78" s="1557">
        <f>IF(Credit_percentage_applied_for="9%","N/A for 9% Transactions",(IFERROR(E78/D78,0)))</f>
        <v>0</v>
      </c>
      <c r="G78" s="1557" t="str">
        <f>IF(Credit_percentage_applied_for="9%","N/A for 9% Transactions",(IF(F78=0,"-",IF(F78&gt;=49.5%,"Yes","No"))))</f>
        <v>-</v>
      </c>
      <c r="H78" s="1479"/>
      <c r="I78" s="1479"/>
      <c r="J78" s="1479"/>
      <c r="K78" s="1479"/>
      <c r="L78" s="1479"/>
      <c r="M78" s="1479"/>
      <c r="N78" s="1112"/>
      <c r="O78" s="1479"/>
    </row>
    <row r="79" spans="1:15">
      <c r="A79" s="1476"/>
      <c r="B79" s="1479"/>
      <c r="C79" s="1479" t="s">
        <v>4176</v>
      </c>
      <c r="D79" s="1479"/>
      <c r="E79" s="1479"/>
      <c r="F79" s="1479"/>
      <c r="G79" s="1479"/>
      <c r="H79" s="1479"/>
      <c r="I79" s="1479"/>
      <c r="J79" s="1479"/>
      <c r="K79" s="1479"/>
      <c r="L79" s="1479"/>
      <c r="M79" s="1479"/>
      <c r="N79" s="1112"/>
      <c r="O79" s="1479"/>
    </row>
    <row r="80" spans="1:15">
      <c r="A80" s="1476"/>
      <c r="B80" s="1479"/>
      <c r="C80" s="1479" t="s">
        <v>4177</v>
      </c>
      <c r="D80" s="1479"/>
      <c r="E80" s="1479"/>
      <c r="F80" s="1479"/>
      <c r="G80" s="1479"/>
      <c r="H80" s="1479"/>
      <c r="I80" s="1479"/>
      <c r="J80" s="1479"/>
      <c r="K80" s="1479"/>
      <c r="L80" s="1479"/>
      <c r="M80" s="1479"/>
      <c r="N80" s="1112"/>
      <c r="O80" s="1479"/>
    </row>
    <row r="81" spans="2:15">
      <c r="B81" s="1479"/>
      <c r="C81" s="2131"/>
      <c r="D81" s="2131"/>
      <c r="E81" s="2131"/>
      <c r="F81" s="2131"/>
      <c r="G81" s="2131"/>
      <c r="H81" s="2131"/>
      <c r="I81" s="2131"/>
      <c r="J81" s="2131"/>
      <c r="K81" s="2131"/>
      <c r="L81" s="1479"/>
      <c r="M81" s="1479"/>
      <c r="N81" s="1479"/>
      <c r="O81" s="1479"/>
    </row>
    <row r="82" spans="2:15">
      <c r="B82" s="1479"/>
      <c r="C82" s="2131"/>
      <c r="D82" s="2131"/>
      <c r="E82" s="2131"/>
      <c r="F82" s="2131"/>
      <c r="G82" s="2131"/>
      <c r="H82" s="2131"/>
      <c r="I82" s="2131"/>
      <c r="J82" s="2131"/>
      <c r="K82" s="2131"/>
      <c r="L82" s="1479"/>
      <c r="M82" s="1479"/>
      <c r="N82" s="1479"/>
      <c r="O82" s="1479"/>
    </row>
    <row r="83" spans="2:15">
      <c r="B83" s="1479"/>
      <c r="C83" s="2131"/>
      <c r="D83" s="2131"/>
      <c r="E83" s="2131"/>
      <c r="F83" s="2131"/>
      <c r="G83" s="2131"/>
      <c r="H83" s="2131"/>
      <c r="I83" s="2131"/>
      <c r="J83" s="2131"/>
      <c r="K83" s="2131"/>
      <c r="L83" s="1479"/>
      <c r="M83" s="1479"/>
      <c r="N83" s="1479"/>
      <c r="O83" s="1479"/>
    </row>
    <row r="84" spans="2:15">
      <c r="B84" s="1479"/>
      <c r="C84" s="2131"/>
      <c r="D84" s="2131"/>
      <c r="E84" s="2131"/>
      <c r="F84" s="2131"/>
      <c r="G84" s="2131"/>
      <c r="H84" s="2131"/>
      <c r="I84" s="2131"/>
      <c r="J84" s="2131"/>
      <c r="K84" s="2131"/>
      <c r="L84" s="1479"/>
      <c r="M84" s="1479"/>
      <c r="N84" s="1479"/>
      <c r="O84" s="1479"/>
    </row>
    <row r="85" spans="2:15">
      <c r="B85" s="1479"/>
      <c r="C85" s="2131"/>
      <c r="D85" s="2131"/>
      <c r="E85" s="2131"/>
      <c r="F85" s="2131"/>
      <c r="G85" s="2131"/>
      <c r="H85" s="2131"/>
      <c r="I85" s="2131"/>
      <c r="J85" s="2131"/>
      <c r="K85" s="2131"/>
      <c r="L85" s="1479"/>
      <c r="M85" s="1479"/>
      <c r="N85" s="1479"/>
      <c r="O85" s="1479"/>
    </row>
    <row r="86" spans="2:15">
      <c r="B86" s="1479"/>
      <c r="C86" s="2131"/>
      <c r="D86" s="2131"/>
      <c r="E86" s="2131"/>
      <c r="F86" s="2131"/>
      <c r="G86" s="2131"/>
      <c r="H86" s="2131"/>
      <c r="I86" s="2131"/>
      <c r="J86" s="2131"/>
      <c r="K86" s="2131"/>
      <c r="L86" s="1479"/>
      <c r="M86" s="1479"/>
      <c r="N86" s="1479"/>
      <c r="O86" s="1479"/>
    </row>
    <row r="87" spans="2:15">
      <c r="B87" s="1479"/>
      <c r="C87" s="2131"/>
      <c r="D87" s="2131"/>
      <c r="E87" s="2131"/>
      <c r="F87" s="2131"/>
      <c r="G87" s="2131"/>
      <c r="H87" s="2131"/>
      <c r="I87" s="2131"/>
      <c r="J87" s="2131"/>
      <c r="K87" s="2131"/>
      <c r="L87" s="1479"/>
      <c r="M87" s="1479"/>
      <c r="N87" s="1479"/>
      <c r="O87" s="1479"/>
    </row>
    <row r="88" spans="2:15">
      <c r="B88" s="1479"/>
      <c r="C88" s="2131"/>
      <c r="D88" s="2131"/>
      <c r="E88" s="2131"/>
      <c r="F88" s="2131"/>
      <c r="G88" s="2131"/>
      <c r="H88" s="2131"/>
      <c r="I88" s="2131"/>
      <c r="J88" s="2131"/>
      <c r="K88" s="2131"/>
      <c r="L88" s="1479"/>
      <c r="M88" s="1479"/>
      <c r="N88" s="1479"/>
      <c r="O88" s="1479"/>
    </row>
    <row r="89" spans="2:15">
      <c r="B89" s="1479"/>
      <c r="C89" s="1479"/>
      <c r="D89" s="1479"/>
      <c r="E89" s="1479"/>
      <c r="F89" s="1479"/>
      <c r="G89" s="1479"/>
      <c r="H89" s="1479"/>
      <c r="I89" s="1479"/>
      <c r="J89" s="1479"/>
      <c r="K89" s="1479"/>
      <c r="L89" s="1479"/>
      <c r="M89" s="1479"/>
      <c r="N89" s="1479"/>
      <c r="O89" s="1479"/>
    </row>
    <row r="90" spans="2:15" ht="18.75">
      <c r="B90" s="33" t="s">
        <v>1055</v>
      </c>
      <c r="C90" s="1475"/>
      <c r="D90" s="1475"/>
      <c r="E90" s="1475"/>
      <c r="F90" s="1558"/>
      <c r="G90" s="1558"/>
      <c r="H90" s="1558"/>
      <c r="I90" s="1475"/>
      <c r="J90" s="1475"/>
      <c r="K90" s="1475"/>
      <c r="L90" s="1475"/>
      <c r="M90" s="1475"/>
      <c r="N90" s="1475"/>
      <c r="O90" s="3"/>
    </row>
    <row r="91" spans="2:15">
      <c r="B91" s="1479"/>
      <c r="C91" s="1109" t="s">
        <v>4117</v>
      </c>
      <c r="D91" s="1479"/>
      <c r="E91" s="1479"/>
      <c r="F91" s="1479"/>
      <c r="G91" s="1479"/>
      <c r="H91" s="1479"/>
      <c r="I91" s="1479"/>
      <c r="J91" s="1479"/>
      <c r="K91" s="1479"/>
      <c r="L91" s="1479"/>
      <c r="M91" s="1479"/>
      <c r="N91" s="1479"/>
      <c r="O91" s="1479"/>
    </row>
    <row r="92" spans="2:15">
      <c r="B92" s="1479"/>
      <c r="C92" s="2131"/>
      <c r="D92" s="2131"/>
      <c r="E92" s="2131"/>
      <c r="F92" s="2131"/>
      <c r="G92" s="2131"/>
      <c r="H92" s="2131"/>
      <c r="I92" s="1479"/>
      <c r="J92" s="1479"/>
      <c r="K92" s="1479"/>
      <c r="L92" s="1479"/>
      <c r="M92" s="1479"/>
      <c r="N92" s="1479"/>
      <c r="O92" s="1479"/>
    </row>
    <row r="93" spans="2:15">
      <c r="B93" s="1479"/>
      <c r="C93" s="2131"/>
      <c r="D93" s="2131"/>
      <c r="E93" s="2131"/>
      <c r="F93" s="2131"/>
      <c r="G93" s="2131"/>
      <c r="H93" s="2131"/>
      <c r="I93" s="1479"/>
      <c r="J93" s="1479"/>
      <c r="K93" s="1479"/>
      <c r="L93" s="1479"/>
      <c r="M93" s="1479"/>
      <c r="N93" s="1479"/>
      <c r="O93" s="1479"/>
    </row>
    <row r="94" spans="2:15">
      <c r="B94" s="1479"/>
      <c r="C94" s="2131"/>
      <c r="D94" s="2131"/>
      <c r="E94" s="2131"/>
      <c r="F94" s="2131"/>
      <c r="G94" s="2131"/>
      <c r="H94" s="2131"/>
      <c r="I94" s="1479"/>
      <c r="J94" s="1479"/>
      <c r="K94" s="1479"/>
      <c r="L94" s="1479"/>
      <c r="M94" s="1479"/>
      <c r="N94" s="1479"/>
      <c r="O94" s="1479"/>
    </row>
    <row r="95" spans="2:15">
      <c r="B95" s="1479"/>
      <c r="C95" s="2131"/>
      <c r="D95" s="2131"/>
      <c r="E95" s="2131"/>
      <c r="F95" s="2131"/>
      <c r="G95" s="2131"/>
      <c r="H95" s="2131"/>
      <c r="I95" s="1479"/>
      <c r="J95" s="1479"/>
      <c r="K95" s="1479"/>
      <c r="L95" s="1479"/>
      <c r="M95" s="1479"/>
      <c r="N95" s="1479"/>
      <c r="O95" s="1479"/>
    </row>
    <row r="96" spans="2:15">
      <c r="B96" s="1479"/>
      <c r="C96" s="1479"/>
      <c r="D96" s="1479"/>
      <c r="E96" s="1479"/>
      <c r="F96" s="1479"/>
      <c r="G96" s="1479"/>
      <c r="H96" s="1479"/>
      <c r="I96" s="1479"/>
      <c r="J96" s="1479"/>
      <c r="K96" s="1479"/>
      <c r="L96" s="1479"/>
      <c r="M96" s="1479"/>
      <c r="N96" s="1479"/>
      <c r="O96" s="1479"/>
    </row>
    <row r="97" spans="2:15">
      <c r="B97" s="35" t="s">
        <v>3637</v>
      </c>
      <c r="C97" s="1520"/>
      <c r="D97" s="1520"/>
      <c r="E97" s="1520"/>
      <c r="F97" s="1520"/>
      <c r="G97" s="1520"/>
      <c r="H97" s="1520"/>
      <c r="I97" s="1520"/>
      <c r="J97" s="1520"/>
      <c r="K97" s="1520"/>
      <c r="L97" s="1520"/>
      <c r="M97" s="1520"/>
      <c r="N97" s="1520"/>
      <c r="O97" s="1520"/>
    </row>
    <row r="98" spans="2:15" ht="18.75">
      <c r="B98" s="33" t="s">
        <v>3638</v>
      </c>
      <c r="C98" s="1475"/>
      <c r="D98" s="1475"/>
      <c r="E98" s="1475"/>
      <c r="F98" s="1558"/>
      <c r="G98" s="1558"/>
      <c r="H98" s="1558"/>
      <c r="I98" s="1475"/>
      <c r="J98" s="1475"/>
      <c r="K98" s="1475"/>
      <c r="L98" s="1475"/>
      <c r="M98" s="1475"/>
      <c r="N98" s="1475"/>
      <c r="O98" s="1475"/>
    </row>
    <row r="99" spans="2:15">
      <c r="B99" s="1479"/>
      <c r="C99" s="1109"/>
      <c r="D99" s="1479"/>
      <c r="E99" s="1479"/>
      <c r="F99" s="1479"/>
      <c r="G99" s="1479"/>
      <c r="H99" s="1479"/>
      <c r="I99" s="1479"/>
      <c r="J99" s="1479"/>
      <c r="K99" s="1479"/>
      <c r="L99" s="1479"/>
      <c r="M99" s="1479"/>
      <c r="N99" s="1479"/>
      <c r="O99" s="1479"/>
    </row>
    <row r="100" spans="2:15">
      <c r="B100" s="1479"/>
      <c r="C100" s="2131"/>
      <c r="D100" s="2131"/>
      <c r="E100" s="2131"/>
      <c r="F100" s="2131"/>
      <c r="G100" s="2131"/>
      <c r="H100" s="2131"/>
      <c r="I100" s="1479"/>
      <c r="J100" s="1479"/>
      <c r="K100" s="1479"/>
      <c r="L100" s="1479"/>
      <c r="M100" s="1479"/>
      <c r="N100" s="1479"/>
      <c r="O100" s="1479"/>
    </row>
    <row r="101" spans="2:15">
      <c r="B101" s="1479"/>
      <c r="C101" s="2131"/>
      <c r="D101" s="2131"/>
      <c r="E101" s="2131"/>
      <c r="F101" s="2131"/>
      <c r="G101" s="2131"/>
      <c r="H101" s="2131"/>
      <c r="I101" s="1479"/>
      <c r="J101" s="1479"/>
      <c r="K101" s="1479"/>
      <c r="L101" s="1479"/>
      <c r="M101" s="1479"/>
      <c r="N101" s="1479"/>
      <c r="O101" s="1479"/>
    </row>
    <row r="102" spans="2:15">
      <c r="B102" s="1479"/>
      <c r="C102" s="2131"/>
      <c r="D102" s="2131"/>
      <c r="E102" s="2131"/>
      <c r="F102" s="2131"/>
      <c r="G102" s="2131"/>
      <c r="H102" s="2131"/>
      <c r="I102" s="1479"/>
      <c r="J102" s="1479"/>
      <c r="K102" s="1479"/>
      <c r="L102" s="1479"/>
      <c r="M102" s="1479"/>
      <c r="N102" s="1479"/>
      <c r="O102" s="1479"/>
    </row>
    <row r="103" spans="2:15">
      <c r="B103" s="1479"/>
      <c r="C103" s="2131"/>
      <c r="D103" s="2131"/>
      <c r="E103" s="2131"/>
      <c r="F103" s="2131"/>
      <c r="G103" s="2131"/>
      <c r="H103" s="2131"/>
      <c r="I103" s="1479"/>
      <c r="J103" s="1479"/>
      <c r="K103" s="1479"/>
      <c r="L103" s="1479"/>
      <c r="M103" s="1479"/>
      <c r="N103" s="1479"/>
      <c r="O103" s="1479"/>
    </row>
    <row r="104" spans="2:15">
      <c r="B104" s="1479"/>
      <c r="C104" s="1479"/>
      <c r="D104" s="1479"/>
      <c r="E104" s="1479"/>
      <c r="F104" s="1479"/>
      <c r="G104" s="1479"/>
      <c r="H104" s="1479"/>
      <c r="I104" s="1479"/>
      <c r="J104" s="1479"/>
      <c r="K104" s="1479"/>
      <c r="L104" s="1479"/>
      <c r="M104" s="1479"/>
      <c r="N104" s="1479"/>
      <c r="O104" s="1479"/>
    </row>
    <row r="105" spans="2:15" ht="15.75">
      <c r="B105" s="1476"/>
      <c r="C105" s="36"/>
      <c r="D105" s="36"/>
      <c r="E105" s="36"/>
      <c r="F105" s="37"/>
      <c r="G105" s="1475"/>
      <c r="H105" s="1475"/>
      <c r="I105" s="1475"/>
      <c r="J105" s="1475"/>
      <c r="K105" s="1475"/>
      <c r="L105" s="1475"/>
      <c r="M105" s="1475"/>
      <c r="N105" s="1475"/>
    </row>
  </sheetData>
  <sheetProtection algorithmName="SHA-512" hashValue="lJiu48PwkruPgW7P9o9/lcXTg27+DlsucV1AWULNp2uYkdv/YM7UAC1wJWB3C1dMgol8nH+HBHQl2NTinxIcRQ==" saltValue="MOGQ0hDAwBFsi92lFjjIsQ==" spinCount="100000" sheet="1" objects="1" scenarios="1" selectLockedCells="1"/>
  <mergeCells count="7">
    <mergeCell ref="C25:F25"/>
    <mergeCell ref="C92:H95"/>
    <mergeCell ref="C100:H103"/>
    <mergeCell ref="C81:K88"/>
    <mergeCell ref="G47:J54"/>
    <mergeCell ref="C77:C78"/>
    <mergeCell ref="B59:C59"/>
  </mergeCells>
  <conditionalFormatting sqref="C11 E11:H11 D12:D15 C29:C31 C44:C49 C62:C69 F62:F73">
    <cfRule type="expression" dxfId="296" priority="28">
      <formula>$Q$11</formula>
    </cfRule>
  </conditionalFormatting>
  <conditionalFormatting sqref="D62">
    <cfRule type="expression" dxfId="295" priority="1">
      <formula>$Q$11</formula>
    </cfRule>
  </conditionalFormatting>
  <conditionalFormatting sqref="E11:E23">
    <cfRule type="expression" dxfId="294" priority="31">
      <formula>AND(E11&gt;0, ISBLANK(I11))</formula>
    </cfRule>
  </conditionalFormatting>
  <conditionalFormatting sqref="F11:F24">
    <cfRule type="expression" dxfId="293" priority="11">
      <formula>$Q$11</formula>
    </cfRule>
  </conditionalFormatting>
  <conditionalFormatting sqref="F29:F40">
    <cfRule type="expression" dxfId="292" priority="8">
      <formula>$Q$11</formula>
    </cfRule>
  </conditionalFormatting>
  <conditionalFormatting sqref="F44:F54">
    <cfRule type="expression" dxfId="291" priority="2">
      <formula>$Q$11</formula>
    </cfRule>
  </conditionalFormatting>
  <conditionalFormatting sqref="F78:G78">
    <cfRule type="expression" dxfId="290" priority="26">
      <formula>IF(AND($F$78&lt;=49.5%,$F$78&gt;0),TRUE,FALSE)</formula>
    </cfRule>
  </conditionalFormatting>
  <conditionalFormatting sqref="I11:I14">
    <cfRule type="expression" dxfId="289" priority="117">
      <formula>$Q$11</formula>
    </cfRule>
  </conditionalFormatting>
  <conditionalFormatting sqref="I16:I23">
    <cfRule type="expression" dxfId="288" priority="30">
      <formula>$Q$11</formula>
    </cfRule>
  </conditionalFormatting>
  <conditionalFormatting sqref="J11:J23">
    <cfRule type="expression" dxfId="287" priority="243">
      <formula>IF(E11&gt;0,TRUE,FALSE)</formula>
    </cfRule>
  </conditionalFormatting>
  <conditionalFormatting sqref="K11:M11">
    <cfRule type="expression" dxfId="286" priority="118">
      <formula>$Q$11</formula>
    </cfRule>
  </conditionalFormatting>
  <dataValidations count="6">
    <dataValidation type="list" allowBlank="1" showInputMessage="1" showErrorMessage="1" sqref="I12:I14 I16:I23 G62:G73 G11:G23" xr:uid="{BBD766AF-E5ED-4806-8037-87A6DCCA90E6}">
      <formula1>YesNo</formula1>
    </dataValidation>
    <dataValidation type="custom" allowBlank="1" showInputMessage="1" showErrorMessage="1" sqref="G1" xr:uid="{F2034C58-9737-477E-996C-BD9CD3A14F2A}">
      <formula1>"&lt;0&gt;0"</formula1>
    </dataValidation>
    <dataValidation type="list" showInputMessage="1" showErrorMessage="1" sqref="I11" xr:uid="{9174610C-10E6-499C-B716-02E762D257B4}">
      <formula1>YesNo</formula1>
    </dataValidation>
    <dataValidation type="custom" allowBlank="1" showInputMessage="1" showErrorMessage="1" errorTitle="Numeric Value Error" error="Please enter numeric values only." sqref="I62:I66 I70 M16 L11:M15 L16:L17 L18:M23" xr:uid="{F3414E66-9F82-4F53-AB44-2114276F88E8}">
      <formula1>ISNUMBER(I11)</formula1>
    </dataValidation>
    <dataValidation type="list" allowBlank="1" showInputMessage="1" showErrorMessage="1" sqref="J11:J23" xr:uid="{8B636C11-827A-4F25-8751-04A5AB7BF4C1}">
      <formula1>$R$11:$R$14</formula1>
    </dataValidation>
    <dataValidation type="list" allowBlank="1" showInputMessage="1" showErrorMessage="1" sqref="H11:H15" xr:uid="{FD189B46-E187-4D8F-8882-651ADACCD6A7}">
      <formula1>FinancingType</formula1>
    </dataValidation>
  </dataValidations>
  <pageMargins left="0.7" right="0.7" top="0.75" bottom="0.75" header="0.3" footer="0.3"/>
  <pageSetup scale="28" fitToHeight="0" orientation="portrait" r:id="rId1"/>
  <headerFooter>
    <oddHeader>&amp;L&amp;G</oddHeader>
    <oddFooter>&amp;CWHEDA MULTIFAMILY APPLICATION&amp;R&amp;P of &amp;N</oddFooter>
  </headerFooter>
  <colBreaks count="1" manualBreakCount="1">
    <brk id="14" min="3" max="8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A5A9946-A8D8-414B-A704-4D0BC81C5090}">
          <x14:formula1>
            <xm:f>'Dropdown Lists'!$A$2:$A$3</xm:f>
          </x14:formula1>
          <xm:sqref>D59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E4D3-466A-4A00-9B13-AF1B77DAEA77}">
  <sheetPr codeName="Sheet2"/>
  <dimension ref="A1:C2"/>
  <sheetViews>
    <sheetView workbookViewId="0"/>
  </sheetViews>
  <sheetFormatPr defaultRowHeight="15"/>
  <cols>
    <col min="1" max="1" width="17" customWidth="1"/>
    <col min="2" max="2" width="12.42578125" customWidth="1"/>
    <col min="3" max="3" width="12" customWidth="1"/>
  </cols>
  <sheetData>
    <row r="1" spans="1:3">
      <c r="A1" s="41" t="s">
        <v>219</v>
      </c>
      <c r="B1" s="41" t="s">
        <v>220</v>
      </c>
      <c r="C1" s="41" t="s">
        <v>221</v>
      </c>
    </row>
    <row r="2" spans="1:3">
      <c r="A2" t="s">
        <v>222</v>
      </c>
      <c r="B2">
        <v>2025</v>
      </c>
      <c r="C2" t="s">
        <v>223</v>
      </c>
    </row>
  </sheetData>
  <sheetProtection algorithmName="SHA-512" hashValue="g7DTAR9hyibL/SIZRDflt8b2SpMyNc6X8cpJgO0Zxfcr4c1eV6TZPUrGzGFX6H1eTMLcVtbXzqoQpF0Xy1QYtA==" saltValue="JUN1gP3dJ7F2eGRxCiDfXQ==" spinCount="100000"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8076-4848-4F81-97A9-D50F285314E3}">
  <sheetPr codeName="Sheet56">
    <pageSetUpPr autoPageBreaks="0" fitToPage="1"/>
  </sheetPr>
  <dimension ref="B1:CC428"/>
  <sheetViews>
    <sheetView workbookViewId="0">
      <selection activeCell="F8" sqref="F8"/>
    </sheetView>
  </sheetViews>
  <sheetFormatPr defaultColWidth="9.140625" defaultRowHeight="15.75"/>
  <cols>
    <col min="1" max="1" width="4.42578125" style="3" customWidth="1"/>
    <col min="2" max="2" width="5.7109375" style="3" customWidth="1"/>
    <col min="3" max="3" width="41.140625" style="397" customWidth="1"/>
    <col min="4" max="4" width="26.140625" style="398" customWidth="1"/>
    <col min="5" max="5" width="16.5703125" style="393" customWidth="1"/>
    <col min="6" max="6" width="21.42578125" style="793" customWidth="1"/>
    <col min="7" max="7" width="20.5703125" style="3" customWidth="1"/>
    <col min="8" max="8" width="20.5703125" style="3" hidden="1" customWidth="1"/>
    <col min="9" max="10" width="20.5703125" style="3" customWidth="1"/>
    <col min="11" max="41" width="20.5703125" style="3" hidden="1" customWidth="1"/>
    <col min="42" max="42" width="8.28515625" style="3" customWidth="1"/>
    <col min="43" max="43" width="20.5703125" style="3" customWidth="1"/>
    <col min="44" max="44" width="9.140625" style="3" customWidth="1"/>
    <col min="45" max="45" width="9.140625" style="97" customWidth="1"/>
    <col min="46" max="46" width="20.5703125" style="97" customWidth="1"/>
    <col min="47" max="47" width="9.140625" style="97"/>
    <col min="48" max="48" width="14.140625" style="97" customWidth="1"/>
    <col min="49" max="49" width="23.85546875" style="97" bestFit="1" customWidth="1"/>
    <col min="50" max="50" width="11.7109375" style="97" customWidth="1"/>
    <col min="51" max="64" width="9.140625" style="97"/>
    <col min="65" max="16384" width="9.140625" style="3"/>
  </cols>
  <sheetData>
    <row r="1" spans="2:81" ht="22.5" customHeight="1">
      <c r="B1" s="4" t="str">
        <f>'1. TOC'!B1</f>
        <v>WHEDA 2025 Multifamily Application</v>
      </c>
      <c r="G1" s="115" t="str">
        <f>'1. TOC'!L1</f>
        <v>v25.1.12</v>
      </c>
      <c r="I1" s="947" t="str">
        <f>HYPERLINK("#Table_of_Contents", Table_of_Contents)</f>
        <v>Table of Contents</v>
      </c>
    </row>
    <row r="2" spans="2:81" s="395" customFormat="1" ht="18" customHeight="1">
      <c r="B2" s="841" t="str">
        <f>_xlfn.CONCAT(IF(ISBLANK(WHEDA_Project_Number),"",_xlfn.CONCAT(WHEDA_Project_Number," - ")), Project_Name, IF(ISBLANK(Credit_percentage_applied_for),"",_xlfn.CONCAT(" - ", Credit_percentage_applied_for," HTC")))</f>
        <v/>
      </c>
      <c r="C2" s="5"/>
      <c r="D2" s="5"/>
      <c r="E2" s="394"/>
      <c r="F2" s="394"/>
      <c r="W2" s="396"/>
      <c r="X2" s="396"/>
      <c r="Y2" s="396"/>
      <c r="Z2" s="396"/>
      <c r="AA2" s="396"/>
      <c r="AB2" s="396"/>
      <c r="AC2" s="396"/>
      <c r="AD2" s="396"/>
      <c r="AE2" s="396"/>
      <c r="AF2" s="396"/>
      <c r="AL2" s="396"/>
    </row>
    <row r="3" spans="2:81" ht="18.75">
      <c r="B3" s="98"/>
      <c r="C3" s="13"/>
      <c r="D3" s="13"/>
      <c r="E3" s="7"/>
      <c r="F3" s="7"/>
      <c r="G3" s="7"/>
      <c r="H3" s="7"/>
      <c r="I3" s="7"/>
      <c r="J3" s="373"/>
      <c r="K3" s="373"/>
      <c r="L3" s="373"/>
      <c r="M3" s="373"/>
      <c r="N3" s="373"/>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373"/>
      <c r="AQ3" s="115"/>
      <c r="AR3" s="115"/>
    </row>
    <row r="4" spans="2:81" ht="28.5">
      <c r="B4" s="4" t="s">
        <v>4178</v>
      </c>
      <c r="D4" s="3"/>
      <c r="E4" s="3"/>
      <c r="F4" s="3"/>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row>
    <row r="5" spans="2:81" s="969" customFormat="1" ht="15">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513"/>
      <c r="AR5" s="513"/>
      <c r="AS5" s="864"/>
      <c r="AT5" s="864"/>
      <c r="AU5" s="864"/>
      <c r="AV5" s="864"/>
      <c r="AW5" s="864"/>
      <c r="AX5" s="864"/>
      <c r="AY5" s="864"/>
      <c r="AZ5" s="864"/>
      <c r="BA5" s="864"/>
      <c r="BB5" s="864"/>
      <c r="BC5" s="864"/>
      <c r="BD5" s="864"/>
      <c r="BE5" s="864"/>
      <c r="BF5" s="864"/>
      <c r="BG5" s="864"/>
      <c r="BH5" s="864"/>
      <c r="BI5" s="864"/>
      <c r="BJ5" s="864"/>
      <c r="BK5" s="864"/>
      <c r="BL5" s="864"/>
      <c r="BM5" s="513"/>
      <c r="BN5" s="513"/>
      <c r="BO5" s="513"/>
      <c r="BP5" s="513"/>
      <c r="BQ5" s="513"/>
      <c r="BR5" s="513"/>
      <c r="BS5" s="513"/>
      <c r="BT5" s="513"/>
      <c r="BU5" s="513"/>
      <c r="BV5" s="513"/>
      <c r="BW5" s="513"/>
      <c r="BX5" s="513"/>
      <c r="BY5" s="513"/>
      <c r="BZ5" s="513"/>
      <c r="CA5" s="513"/>
      <c r="CB5" s="513"/>
      <c r="CC5" s="513"/>
    </row>
    <row r="6" spans="2:81" s="795" customFormat="1" ht="30">
      <c r="B6" s="1117"/>
      <c r="C6" s="2185" t="s">
        <v>4179</v>
      </c>
      <c r="D6" s="2186"/>
      <c r="E6" s="1746" t="s">
        <v>4180</v>
      </c>
      <c r="F6" s="1746" t="s">
        <v>4181</v>
      </c>
      <c r="G6" s="1758" t="s">
        <v>4182</v>
      </c>
      <c r="H6" s="1758" t="s">
        <v>4183</v>
      </c>
      <c r="I6" s="1758" t="s">
        <v>4184</v>
      </c>
      <c r="J6" s="1758" t="s">
        <v>4185</v>
      </c>
      <c r="K6" s="155"/>
      <c r="L6" s="155"/>
      <c r="M6" s="155"/>
      <c r="N6" s="549"/>
      <c r="O6" s="549"/>
      <c r="P6" s="549"/>
      <c r="Q6" s="549"/>
      <c r="R6" s="549"/>
      <c r="S6" s="549"/>
      <c r="T6" s="549"/>
      <c r="U6" s="549"/>
      <c r="V6" s="549"/>
      <c r="W6" s="549"/>
      <c r="X6" s="549"/>
      <c r="Y6" s="549"/>
      <c r="Z6" s="549"/>
      <c r="AA6" s="549"/>
      <c r="AB6" s="549"/>
      <c r="AC6" s="549"/>
      <c r="AD6" s="549"/>
      <c r="AE6" s="549"/>
      <c r="AF6" s="549"/>
      <c r="AG6" s="549"/>
      <c r="AH6" s="549"/>
      <c r="AI6" s="549"/>
      <c r="AJ6" s="549"/>
      <c r="AK6" s="549"/>
      <c r="AL6" s="549"/>
      <c r="AM6" s="549"/>
      <c r="AN6" s="549"/>
      <c r="AO6" s="549"/>
      <c r="AP6" s="1117"/>
      <c r="AQ6" s="3"/>
      <c r="AR6" s="3"/>
      <c r="AS6" s="97"/>
      <c r="AT6" s="97"/>
      <c r="AU6" s="97"/>
      <c r="AV6" s="97"/>
      <c r="AW6" s="97"/>
      <c r="AX6" s="97"/>
    </row>
    <row r="7" spans="2:81" s="796" customFormat="1">
      <c r="B7" s="1117"/>
      <c r="C7" s="550" t="s">
        <v>4186</v>
      </c>
      <c r="D7" s="551"/>
      <c r="E7" s="562">
        <f>+SUM(E8:E17)</f>
        <v>0</v>
      </c>
      <c r="F7" s="562">
        <f t="shared" ref="F7:H7" si="0">+SUM(F8:F17)</f>
        <v>0</v>
      </c>
      <c r="G7" s="562">
        <f t="shared" si="0"/>
        <v>0</v>
      </c>
      <c r="H7" s="562">
        <f t="shared" si="0"/>
        <v>0</v>
      </c>
      <c r="I7" s="562">
        <f>IF('11. Unit Mix'!$G$142&lt;&gt;0,+E7/'11. Unit Mix'!$G$142,0)</f>
        <v>0</v>
      </c>
      <c r="J7" s="562">
        <f t="shared" ref="J7:J17" si="1">IF(Total_Units&lt;&gt;0,+E7/Total_Units,0)</f>
        <v>0</v>
      </c>
      <c r="K7" s="155"/>
      <c r="L7" s="155"/>
      <c r="M7" s="155"/>
      <c r="N7" s="942"/>
      <c r="O7" s="942"/>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1117"/>
      <c r="AQ7" s="3"/>
      <c r="AR7" s="3"/>
      <c r="AS7" s="97"/>
      <c r="AT7" s="97"/>
      <c r="AU7" s="97"/>
      <c r="AV7" s="97"/>
      <c r="AW7" s="97"/>
      <c r="AX7" s="97"/>
    </row>
    <row r="8" spans="2:81" s="795" customFormat="1" ht="16.5">
      <c r="B8" s="1117"/>
      <c r="C8" s="552" t="s">
        <v>4187</v>
      </c>
      <c r="D8" s="553"/>
      <c r="E8" s="973">
        <f>+SUM(F8:H8)</f>
        <v>0</v>
      </c>
      <c r="F8" s="972"/>
      <c r="G8" s="972"/>
      <c r="H8" s="800"/>
      <c r="I8" s="973">
        <f>IF('11. Unit Mix'!$G$142&lt;&gt;0,+E8/'11. Unit Mix'!$G$142,0)</f>
        <v>0</v>
      </c>
      <c r="J8" s="973">
        <f t="shared" si="1"/>
        <v>0</v>
      </c>
      <c r="K8" s="155"/>
      <c r="L8" s="155"/>
      <c r="M8" s="155"/>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1117"/>
      <c r="AQ8" s="3"/>
      <c r="AR8" s="3"/>
      <c r="AS8" s="97"/>
      <c r="AT8" s="97"/>
      <c r="AU8" s="97"/>
      <c r="AV8" s="97"/>
      <c r="AW8" s="97"/>
      <c r="AX8" s="97"/>
    </row>
    <row r="9" spans="2:81" s="795" customFormat="1" ht="16.5">
      <c r="B9" s="1117"/>
      <c r="C9" s="552" t="s">
        <v>4188</v>
      </c>
      <c r="D9" s="553"/>
      <c r="E9" s="973">
        <f t="shared" ref="E9:E17" si="2">+SUM(F9:H9)</f>
        <v>0</v>
      </c>
      <c r="F9" s="972"/>
      <c r="G9" s="972"/>
      <c r="H9" s="800"/>
      <c r="I9" s="973">
        <f>IF('11. Unit Mix'!$G$142&lt;&gt;0,+E9/'11. Unit Mix'!$G$142,0)</f>
        <v>0</v>
      </c>
      <c r="J9" s="973">
        <f t="shared" si="1"/>
        <v>0</v>
      </c>
      <c r="K9" s="155"/>
      <c r="L9" s="155"/>
      <c r="M9" s="155"/>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AN9" s="549"/>
      <c r="AO9" s="549"/>
      <c r="AP9" s="1117"/>
      <c r="AQ9" s="3"/>
      <c r="AR9" s="3"/>
      <c r="AS9" s="97"/>
      <c r="AT9" s="97"/>
      <c r="AU9" s="97"/>
      <c r="AV9" s="97"/>
      <c r="AW9" s="97"/>
      <c r="AX9" s="97"/>
    </row>
    <row r="10" spans="2:81" s="795" customFormat="1" ht="16.5">
      <c r="B10" s="1117"/>
      <c r="C10" s="552" t="s">
        <v>4189</v>
      </c>
      <c r="D10" s="553"/>
      <c r="E10" s="973">
        <f t="shared" si="2"/>
        <v>0</v>
      </c>
      <c r="F10" s="972"/>
      <c r="G10" s="972"/>
      <c r="H10" s="800"/>
      <c r="I10" s="973">
        <f>IF('11. Unit Mix'!$G$142&lt;&gt;0,+E10/'11. Unit Mix'!$G$142,0)</f>
        <v>0</v>
      </c>
      <c r="J10" s="973">
        <f t="shared" si="1"/>
        <v>0</v>
      </c>
      <c r="K10" s="155"/>
      <c r="L10" s="155"/>
      <c r="M10" s="155"/>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AN10" s="549"/>
      <c r="AO10" s="549"/>
      <c r="AP10" s="1117"/>
      <c r="AQ10" s="3"/>
      <c r="AR10" s="3"/>
      <c r="AS10" s="97"/>
      <c r="AT10" s="97"/>
      <c r="AU10" s="97"/>
      <c r="AV10" s="97"/>
      <c r="AW10" s="97"/>
      <c r="AX10" s="97"/>
    </row>
    <row r="11" spans="2:81" s="795" customFormat="1" ht="16.5">
      <c r="B11" s="1117"/>
      <c r="C11" s="552" t="s">
        <v>4190</v>
      </c>
      <c r="D11" s="553"/>
      <c r="E11" s="973">
        <f t="shared" si="2"/>
        <v>0</v>
      </c>
      <c r="F11" s="972"/>
      <c r="G11" s="972"/>
      <c r="H11" s="800"/>
      <c r="I11" s="973">
        <f>IF('11. Unit Mix'!$G$142&lt;&gt;0,+E11/'11. Unit Mix'!$G$142,0)</f>
        <v>0</v>
      </c>
      <c r="J11" s="973">
        <f t="shared" si="1"/>
        <v>0</v>
      </c>
      <c r="K11" s="155"/>
      <c r="L11" s="155"/>
      <c r="M11" s="155"/>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49"/>
      <c r="AL11" s="549"/>
      <c r="AM11" s="549"/>
      <c r="AN11" s="549"/>
      <c r="AO11" s="549"/>
      <c r="AP11" s="1117"/>
      <c r="AQ11" s="3"/>
      <c r="AR11" s="3"/>
      <c r="AS11" s="97"/>
      <c r="AT11" s="97"/>
      <c r="AU11" s="97"/>
      <c r="AV11" s="97"/>
      <c r="AW11" s="97"/>
      <c r="AX11" s="97"/>
    </row>
    <row r="12" spans="2:81" s="795" customFormat="1" ht="16.5">
      <c r="B12" s="1117"/>
      <c r="C12" s="552" t="s">
        <v>4191</v>
      </c>
      <c r="D12" s="553"/>
      <c r="E12" s="973">
        <f t="shared" si="2"/>
        <v>0</v>
      </c>
      <c r="F12" s="972"/>
      <c r="G12" s="972"/>
      <c r="H12" s="800"/>
      <c r="I12" s="973">
        <f>IF('11. Unit Mix'!$G$142&lt;&gt;0,+E12/'11. Unit Mix'!$G$142,0)</f>
        <v>0</v>
      </c>
      <c r="J12" s="973">
        <f t="shared" si="1"/>
        <v>0</v>
      </c>
      <c r="K12" s="155"/>
      <c r="L12" s="155"/>
      <c r="M12" s="155"/>
      <c r="N12" s="549"/>
      <c r="O12" s="549"/>
      <c r="P12" s="549"/>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49"/>
      <c r="AO12" s="549"/>
      <c r="AP12" s="1117"/>
      <c r="AQ12" s="3"/>
      <c r="AR12" s="3"/>
      <c r="AS12" s="97"/>
      <c r="AT12" s="97"/>
      <c r="AU12" s="97"/>
      <c r="AV12" s="97"/>
      <c r="AW12" s="97"/>
      <c r="AX12" s="97"/>
    </row>
    <row r="13" spans="2:81" s="795" customFormat="1" ht="16.5">
      <c r="B13" s="1117"/>
      <c r="C13" s="552" t="s">
        <v>4192</v>
      </c>
      <c r="D13" s="553"/>
      <c r="E13" s="973">
        <f t="shared" si="2"/>
        <v>0</v>
      </c>
      <c r="F13" s="972"/>
      <c r="G13" s="972"/>
      <c r="H13" s="800"/>
      <c r="I13" s="973">
        <f>IF('11. Unit Mix'!$G$142&lt;&gt;0,+E13/'11. Unit Mix'!$G$142,0)</f>
        <v>0</v>
      </c>
      <c r="J13" s="973">
        <f t="shared" si="1"/>
        <v>0</v>
      </c>
      <c r="K13" s="155"/>
      <c r="L13" s="155"/>
      <c r="M13" s="155"/>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1117"/>
      <c r="AQ13" s="3"/>
      <c r="AR13" s="3"/>
      <c r="AS13" s="97"/>
      <c r="AT13" s="97"/>
      <c r="AU13" s="97"/>
      <c r="AV13" s="97"/>
      <c r="AW13" s="97"/>
      <c r="AX13" s="97"/>
    </row>
    <row r="14" spans="2:81" s="795" customFormat="1" ht="16.5">
      <c r="B14" s="1117"/>
      <c r="C14" s="552" t="s">
        <v>4193</v>
      </c>
      <c r="D14" s="553"/>
      <c r="E14" s="973">
        <f t="shared" si="2"/>
        <v>0</v>
      </c>
      <c r="F14" s="972"/>
      <c r="G14" s="972"/>
      <c r="H14" s="800"/>
      <c r="I14" s="973">
        <f>IF('11. Unit Mix'!$G$142&lt;&gt;0,+E14/'11. Unit Mix'!$G$142,0)</f>
        <v>0</v>
      </c>
      <c r="J14" s="973">
        <f t="shared" si="1"/>
        <v>0</v>
      </c>
      <c r="K14" s="155"/>
      <c r="L14" s="155"/>
      <c r="M14" s="155"/>
      <c r="N14" s="549"/>
      <c r="O14" s="549"/>
      <c r="P14" s="549"/>
      <c r="Q14" s="549"/>
      <c r="R14" s="549"/>
      <c r="S14" s="549"/>
      <c r="T14" s="549"/>
      <c r="U14" s="549"/>
      <c r="V14" s="549"/>
      <c r="W14" s="549"/>
      <c r="X14" s="549"/>
      <c r="Y14" s="549"/>
      <c r="Z14" s="549"/>
      <c r="AA14" s="549"/>
      <c r="AB14" s="549"/>
      <c r="AC14" s="549"/>
      <c r="AD14" s="549"/>
      <c r="AE14" s="549"/>
      <c r="AF14" s="549"/>
      <c r="AG14" s="549"/>
      <c r="AH14" s="549"/>
      <c r="AI14" s="549"/>
      <c r="AJ14" s="549"/>
      <c r="AK14" s="549"/>
      <c r="AL14" s="549"/>
      <c r="AM14" s="549"/>
      <c r="AN14" s="549"/>
      <c r="AO14" s="549"/>
      <c r="AP14" s="1117"/>
      <c r="AQ14" s="3"/>
      <c r="AR14" s="3"/>
      <c r="AS14" s="97"/>
      <c r="AT14" s="97"/>
      <c r="AU14" s="97"/>
      <c r="AV14" s="97"/>
      <c r="AW14" s="97"/>
      <c r="AX14" s="97"/>
    </row>
    <row r="15" spans="2:81" s="795" customFormat="1" ht="16.5">
      <c r="B15" s="1117"/>
      <c r="C15" s="552" t="s">
        <v>4194</v>
      </c>
      <c r="D15" s="553"/>
      <c r="E15" s="973">
        <f t="shared" si="2"/>
        <v>0</v>
      </c>
      <c r="F15" s="972"/>
      <c r="G15" s="972"/>
      <c r="H15" s="800"/>
      <c r="I15" s="973">
        <f>IF('11. Unit Mix'!$G$142&lt;&gt;0,+E15/'11. Unit Mix'!$G$142,0)</f>
        <v>0</v>
      </c>
      <c r="J15" s="973">
        <f t="shared" si="1"/>
        <v>0</v>
      </c>
      <c r="K15" s="155"/>
      <c r="L15" s="155"/>
      <c r="M15" s="155"/>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1117"/>
      <c r="AQ15" s="3"/>
      <c r="AR15" s="3"/>
      <c r="AS15" s="97"/>
      <c r="AT15" s="97"/>
      <c r="AU15" s="97"/>
      <c r="AV15" s="97"/>
      <c r="AW15" s="97"/>
      <c r="AX15" s="97"/>
    </row>
    <row r="16" spans="2:81" s="795" customFormat="1" ht="16.5">
      <c r="B16" s="1117"/>
      <c r="C16" s="552" t="s">
        <v>4195</v>
      </c>
      <c r="D16" s="553"/>
      <c r="E16" s="973">
        <f t="shared" si="2"/>
        <v>0</v>
      </c>
      <c r="F16" s="972"/>
      <c r="G16" s="972"/>
      <c r="H16" s="800"/>
      <c r="I16" s="973">
        <f>IF('11. Unit Mix'!$G$142&lt;&gt;0,+E16/'11. Unit Mix'!$G$142,0)</f>
        <v>0</v>
      </c>
      <c r="J16" s="973">
        <f t="shared" si="1"/>
        <v>0</v>
      </c>
      <c r="K16" s="155"/>
      <c r="L16" s="155"/>
      <c r="M16" s="155"/>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1117"/>
      <c r="AQ16" s="3"/>
      <c r="AR16" s="3"/>
      <c r="AS16" s="97"/>
      <c r="AT16" s="97"/>
      <c r="AU16" s="97"/>
      <c r="AV16" s="97"/>
      <c r="AW16" s="97"/>
      <c r="AX16" s="97"/>
    </row>
    <row r="17" spans="2:50" s="795" customFormat="1" ht="16.5">
      <c r="B17" s="1117"/>
      <c r="C17" s="552" t="s">
        <v>4196</v>
      </c>
      <c r="D17" s="553"/>
      <c r="E17" s="973">
        <f t="shared" si="2"/>
        <v>0</v>
      </c>
      <c r="F17" s="972"/>
      <c r="G17" s="972"/>
      <c r="H17" s="800"/>
      <c r="I17" s="973">
        <f>IF('11. Unit Mix'!$G$142&lt;&gt;0,+E17/'11. Unit Mix'!$G$142,0)</f>
        <v>0</v>
      </c>
      <c r="J17" s="973">
        <f t="shared" si="1"/>
        <v>0</v>
      </c>
      <c r="K17" s="155"/>
      <c r="L17" s="155"/>
      <c r="M17" s="155"/>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1117"/>
      <c r="AQ17" s="3"/>
      <c r="AR17" s="3"/>
      <c r="AS17" s="97"/>
      <c r="AT17" s="97"/>
      <c r="AU17" s="97"/>
      <c r="AV17" s="97"/>
      <c r="AW17" s="97"/>
      <c r="AX17" s="97"/>
    </row>
    <row r="18" spans="2:50" s="795" customFormat="1" ht="16.5">
      <c r="B18" s="1117"/>
      <c r="C18" s="1118"/>
      <c r="D18" s="1118"/>
      <c r="E18" s="1118"/>
      <c r="F18" s="1118"/>
      <c r="G18" s="1118"/>
      <c r="H18" s="1118"/>
      <c r="I18" s="1118"/>
      <c r="J18" s="1118"/>
      <c r="K18" s="155"/>
      <c r="L18" s="155"/>
      <c r="M18" s="155"/>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c r="AL18" s="549"/>
      <c r="AM18" s="549"/>
      <c r="AN18" s="549"/>
      <c r="AO18" s="549"/>
      <c r="AP18" s="1117"/>
      <c r="AQ18" s="3"/>
      <c r="AR18" s="3"/>
      <c r="AS18" s="97"/>
      <c r="AT18" s="97"/>
      <c r="AU18" s="97"/>
      <c r="AV18" s="97"/>
      <c r="AW18" s="97"/>
      <c r="AX18" s="97"/>
    </row>
    <row r="19" spans="2:50" s="796" customFormat="1" hidden="1">
      <c r="B19" s="1117"/>
      <c r="C19" s="550" t="s">
        <v>4197</v>
      </c>
      <c r="D19" s="551"/>
      <c r="E19" s="562">
        <f>+SUM(E20:E29)</f>
        <v>0</v>
      </c>
      <c r="F19" s="562">
        <f t="shared" ref="F19:H19" si="3">+SUM(F20:F29)</f>
        <v>0</v>
      </c>
      <c r="G19" s="562">
        <f t="shared" si="3"/>
        <v>0</v>
      </c>
      <c r="H19" s="562">
        <f t="shared" si="3"/>
        <v>0</v>
      </c>
      <c r="I19" s="562">
        <f>IF('11. Unit Mix'!$G$142&lt;&gt;0,+E19/'11. Unit Mix'!$G$142,0)</f>
        <v>0</v>
      </c>
      <c r="J19" s="562">
        <f t="shared" ref="J19:J29" si="4">IF(Total_Units&lt;&gt;0,+E19/Total_Units,0)</f>
        <v>0</v>
      </c>
      <c r="K19" s="155"/>
      <c r="L19" s="155"/>
      <c r="M19" s="155"/>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2"/>
      <c r="AO19" s="942"/>
      <c r="AP19" s="1117"/>
      <c r="AQ19" s="3"/>
      <c r="AR19" s="3"/>
      <c r="AS19" s="97"/>
      <c r="AT19" s="97"/>
      <c r="AU19" s="97"/>
      <c r="AV19" s="97"/>
      <c r="AW19" s="97"/>
      <c r="AX19" s="97"/>
    </row>
    <row r="20" spans="2:50" s="795" customFormat="1" ht="16.5" hidden="1">
      <c r="B20" s="1117"/>
      <c r="C20" s="552" t="s">
        <v>4198</v>
      </c>
      <c r="D20" s="553"/>
      <c r="E20" s="554">
        <f>SUM(F20:H20)</f>
        <v>0</v>
      </c>
      <c r="F20" s="801"/>
      <c r="G20" s="801"/>
      <c r="H20" s="800"/>
      <c r="I20" s="554">
        <f>IF('11. Unit Mix'!$G$142&lt;&gt;0,+E20/'11. Unit Mix'!$G$142,0)</f>
        <v>0</v>
      </c>
      <c r="J20" s="554">
        <f t="shared" si="4"/>
        <v>0</v>
      </c>
      <c r="K20" s="155"/>
      <c r="L20" s="155"/>
      <c r="M20" s="155"/>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9"/>
      <c r="AO20" s="549"/>
      <c r="AP20" s="1117"/>
      <c r="AQ20" s="3"/>
      <c r="AR20" s="3"/>
      <c r="AS20" s="97"/>
      <c r="AT20" s="97"/>
      <c r="AU20" s="97"/>
      <c r="AV20" s="97"/>
      <c r="AW20" s="97"/>
      <c r="AX20" s="97"/>
    </row>
    <row r="21" spans="2:50" s="795" customFormat="1" ht="16.5" hidden="1">
      <c r="B21" s="1117"/>
      <c r="C21" s="552" t="s">
        <v>4199</v>
      </c>
      <c r="D21" s="553"/>
      <c r="E21" s="554">
        <f t="shared" ref="E21:E29" si="5">SUM(F21:H21)</f>
        <v>0</v>
      </c>
      <c r="F21" s="801"/>
      <c r="G21" s="801"/>
      <c r="H21" s="800"/>
      <c r="I21" s="554">
        <f>IF('11. Unit Mix'!$G$142&lt;&gt;0,+E21/'11. Unit Mix'!$G$142,0)</f>
        <v>0</v>
      </c>
      <c r="J21" s="554">
        <f t="shared" si="4"/>
        <v>0</v>
      </c>
      <c r="K21" s="155"/>
      <c r="L21" s="155"/>
      <c r="M21" s="155"/>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c r="AO21" s="549"/>
      <c r="AP21" s="1117"/>
      <c r="AQ21" s="3"/>
      <c r="AR21" s="3"/>
      <c r="AS21" s="97"/>
      <c r="AT21" s="97"/>
      <c r="AU21" s="97"/>
      <c r="AV21" s="97"/>
      <c r="AW21" s="97"/>
      <c r="AX21" s="97"/>
    </row>
    <row r="22" spans="2:50" s="795" customFormat="1" ht="16.5" hidden="1">
      <c r="B22" s="1117"/>
      <c r="C22" s="552" t="s">
        <v>4200</v>
      </c>
      <c r="D22" s="553"/>
      <c r="E22" s="554">
        <f t="shared" si="5"/>
        <v>0</v>
      </c>
      <c r="F22" s="801"/>
      <c r="G22" s="801"/>
      <c r="H22" s="800"/>
      <c r="I22" s="554">
        <f>IF('11. Unit Mix'!$G$142&lt;&gt;0,+E22/'11. Unit Mix'!$G$142,0)</f>
        <v>0</v>
      </c>
      <c r="J22" s="554">
        <f t="shared" si="4"/>
        <v>0</v>
      </c>
      <c r="K22" s="155"/>
      <c r="L22" s="155"/>
      <c r="M22" s="155"/>
      <c r="N22" s="549"/>
      <c r="O22" s="549"/>
      <c r="P22" s="549"/>
      <c r="Q22" s="549"/>
      <c r="R22" s="549"/>
      <c r="S22" s="549"/>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1117"/>
      <c r="AQ22" s="3"/>
      <c r="AR22" s="3"/>
      <c r="AS22" s="97"/>
      <c r="AT22" s="97"/>
      <c r="AU22" s="97"/>
      <c r="AV22" s="97"/>
      <c r="AW22" s="97"/>
      <c r="AX22" s="97"/>
    </row>
    <row r="23" spans="2:50" s="795" customFormat="1" ht="16.5" hidden="1">
      <c r="B23" s="1117"/>
      <c r="C23" s="552" t="s">
        <v>4201</v>
      </c>
      <c r="D23" s="553"/>
      <c r="E23" s="554">
        <f t="shared" si="5"/>
        <v>0</v>
      </c>
      <c r="F23" s="801"/>
      <c r="G23" s="801"/>
      <c r="H23" s="800"/>
      <c r="I23" s="554">
        <f>IF('11. Unit Mix'!$G$142&lt;&gt;0,+E23/'11. Unit Mix'!$G$142,0)</f>
        <v>0</v>
      </c>
      <c r="J23" s="554">
        <f t="shared" si="4"/>
        <v>0</v>
      </c>
      <c r="K23" s="155"/>
      <c r="L23" s="155"/>
      <c r="M23" s="155"/>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1117"/>
      <c r="AQ23" s="3"/>
      <c r="AR23" s="3"/>
      <c r="AS23" s="97"/>
      <c r="AT23" s="97"/>
      <c r="AU23" s="97"/>
      <c r="AV23" s="97"/>
      <c r="AW23" s="97"/>
      <c r="AX23" s="97"/>
    </row>
    <row r="24" spans="2:50" s="795" customFormat="1" ht="16.5" hidden="1">
      <c r="B24" s="1117"/>
      <c r="C24" s="552" t="s">
        <v>4202</v>
      </c>
      <c r="D24" s="553"/>
      <c r="E24" s="554">
        <f t="shared" si="5"/>
        <v>0</v>
      </c>
      <c r="F24" s="801"/>
      <c r="G24" s="801"/>
      <c r="H24" s="800"/>
      <c r="I24" s="554">
        <f>IF('11. Unit Mix'!$G$142&lt;&gt;0,+E24/'11. Unit Mix'!$G$142,0)</f>
        <v>0</v>
      </c>
      <c r="J24" s="554">
        <f t="shared" si="4"/>
        <v>0</v>
      </c>
      <c r="K24" s="155"/>
      <c r="L24" s="155"/>
      <c r="M24" s="155"/>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1117"/>
      <c r="AQ24" s="3"/>
      <c r="AR24" s="3"/>
      <c r="AS24" s="97"/>
      <c r="AT24" s="97"/>
      <c r="AU24" s="97"/>
      <c r="AV24" s="97"/>
      <c r="AW24" s="97"/>
      <c r="AX24" s="97"/>
    </row>
    <row r="25" spans="2:50" s="795" customFormat="1" ht="16.5" hidden="1">
      <c r="B25" s="1117"/>
      <c r="C25" s="552" t="s">
        <v>4203</v>
      </c>
      <c r="D25" s="553"/>
      <c r="E25" s="554">
        <f t="shared" si="5"/>
        <v>0</v>
      </c>
      <c r="F25" s="801"/>
      <c r="G25" s="801"/>
      <c r="H25" s="800"/>
      <c r="I25" s="554">
        <f>IF('11. Unit Mix'!$G$142&lt;&gt;0,+E25/'11. Unit Mix'!$G$142,0)</f>
        <v>0</v>
      </c>
      <c r="J25" s="554">
        <f t="shared" si="4"/>
        <v>0</v>
      </c>
      <c r="K25" s="155"/>
      <c r="L25" s="155"/>
      <c r="M25" s="155"/>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1117"/>
      <c r="AQ25" s="3"/>
      <c r="AR25" s="3"/>
      <c r="AS25" s="97"/>
      <c r="AT25" s="97"/>
      <c r="AU25" s="97"/>
      <c r="AV25" s="97"/>
      <c r="AW25" s="97"/>
      <c r="AX25" s="97"/>
    </row>
    <row r="26" spans="2:50" s="795" customFormat="1" ht="16.5" hidden="1">
      <c r="B26" s="1117"/>
      <c r="C26" s="552" t="s">
        <v>4204</v>
      </c>
      <c r="D26" s="553"/>
      <c r="E26" s="554">
        <f t="shared" si="5"/>
        <v>0</v>
      </c>
      <c r="F26" s="801"/>
      <c r="G26" s="801"/>
      <c r="H26" s="800"/>
      <c r="I26" s="554">
        <f>IF('11. Unit Mix'!$G$142&lt;&gt;0,+E26/'11. Unit Mix'!$G$142,0)</f>
        <v>0</v>
      </c>
      <c r="J26" s="554">
        <f t="shared" si="4"/>
        <v>0</v>
      </c>
      <c r="K26" s="155"/>
      <c r="L26" s="155"/>
      <c r="M26" s="155"/>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1117"/>
      <c r="AQ26" s="3"/>
      <c r="AR26" s="3"/>
      <c r="AS26" s="97"/>
      <c r="AT26" s="97"/>
      <c r="AU26" s="97"/>
      <c r="AV26" s="97"/>
      <c r="AW26" s="97"/>
      <c r="AX26" s="97"/>
    </row>
    <row r="27" spans="2:50" s="795" customFormat="1" ht="16.5" hidden="1">
      <c r="B27" s="1117"/>
      <c r="C27" s="552" t="s">
        <v>4205</v>
      </c>
      <c r="D27" s="553"/>
      <c r="E27" s="554">
        <f t="shared" si="5"/>
        <v>0</v>
      </c>
      <c r="F27" s="801"/>
      <c r="G27" s="801"/>
      <c r="H27" s="800"/>
      <c r="I27" s="554">
        <f>IF('11. Unit Mix'!$G$142&lt;&gt;0,+E27/'11. Unit Mix'!$G$142,0)</f>
        <v>0</v>
      </c>
      <c r="J27" s="554">
        <f t="shared" si="4"/>
        <v>0</v>
      </c>
      <c r="K27" s="155"/>
      <c r="L27" s="155"/>
      <c r="M27" s="155"/>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1117"/>
      <c r="AQ27" s="3"/>
      <c r="AR27" s="3"/>
      <c r="AS27" s="97"/>
      <c r="AT27" s="97"/>
      <c r="AU27" s="97"/>
      <c r="AV27" s="97"/>
      <c r="AW27" s="97"/>
      <c r="AX27" s="97"/>
    </row>
    <row r="28" spans="2:50" s="795" customFormat="1" ht="16.5" hidden="1">
      <c r="B28" s="1117"/>
      <c r="C28" s="552" t="s">
        <v>4206</v>
      </c>
      <c r="D28" s="553"/>
      <c r="E28" s="554">
        <f t="shared" si="5"/>
        <v>0</v>
      </c>
      <c r="F28" s="801"/>
      <c r="G28" s="801"/>
      <c r="H28" s="800"/>
      <c r="I28" s="554">
        <f>IF('11. Unit Mix'!$G$142&lt;&gt;0,+E28/'11. Unit Mix'!$G$142,0)</f>
        <v>0</v>
      </c>
      <c r="J28" s="554">
        <f t="shared" si="4"/>
        <v>0</v>
      </c>
      <c r="K28" s="155"/>
      <c r="L28" s="155"/>
      <c r="M28" s="155"/>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1117"/>
      <c r="AQ28" s="3"/>
      <c r="AR28" s="3"/>
      <c r="AS28" s="97"/>
      <c r="AT28" s="97"/>
      <c r="AU28" s="97"/>
      <c r="AV28" s="97"/>
      <c r="AW28" s="97"/>
      <c r="AX28" s="97"/>
    </row>
    <row r="29" spans="2:50" s="795" customFormat="1" ht="16.5" hidden="1">
      <c r="B29" s="1117"/>
      <c r="C29" s="552" t="s">
        <v>4207</v>
      </c>
      <c r="D29" s="553"/>
      <c r="E29" s="554">
        <f t="shared" si="5"/>
        <v>0</v>
      </c>
      <c r="F29" s="801"/>
      <c r="G29" s="801"/>
      <c r="H29" s="800"/>
      <c r="I29" s="554">
        <f>IF('11. Unit Mix'!$G$142&lt;&gt;0,+E29/'11. Unit Mix'!$G$142,0)</f>
        <v>0</v>
      </c>
      <c r="J29" s="554">
        <f t="shared" si="4"/>
        <v>0</v>
      </c>
      <c r="K29" s="155"/>
      <c r="L29" s="155"/>
      <c r="M29" s="155"/>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1117"/>
      <c r="AQ29" s="3"/>
      <c r="AR29" s="3"/>
      <c r="AS29" s="97"/>
      <c r="AT29" s="97"/>
      <c r="AU29" s="97"/>
      <c r="AV29" s="97"/>
      <c r="AW29" s="97"/>
      <c r="AX29" s="97"/>
    </row>
    <row r="30" spans="2:50" s="795" customFormat="1" ht="16.5" hidden="1">
      <c r="B30" s="1117"/>
      <c r="C30" s="155"/>
      <c r="D30" s="155"/>
      <c r="E30" s="155"/>
      <c r="F30" s="155"/>
      <c r="G30" s="155"/>
      <c r="H30" s="155"/>
      <c r="I30" s="155"/>
      <c r="J30" s="155"/>
      <c r="K30" s="155"/>
      <c r="L30" s="155"/>
      <c r="M30" s="155"/>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1117"/>
      <c r="AQ30" s="3"/>
      <c r="AR30" s="3"/>
      <c r="AS30" s="97"/>
      <c r="AT30" s="97"/>
      <c r="AU30" s="97"/>
      <c r="AV30" s="97"/>
      <c r="AW30" s="97"/>
      <c r="AX30" s="97"/>
    </row>
    <row r="31" spans="2:50" s="796" customFormat="1">
      <c r="B31" s="1117"/>
      <c r="C31" s="555" t="s">
        <v>4208</v>
      </c>
      <c r="D31" s="556"/>
      <c r="E31" s="562">
        <f>+SUM(E32:E39)</f>
        <v>0</v>
      </c>
      <c r="F31" s="562">
        <f t="shared" ref="F31:H31" si="6">+SUM(F32:F39)</f>
        <v>0</v>
      </c>
      <c r="G31" s="562">
        <f>+SUM(G32:G39)</f>
        <v>0</v>
      </c>
      <c r="H31" s="562">
        <f t="shared" si="6"/>
        <v>0</v>
      </c>
      <c r="I31" s="562">
        <f>IF('11. Unit Mix'!$G$142&lt;&gt;0,+E31/'11. Unit Mix'!$G$142,0)</f>
        <v>0</v>
      </c>
      <c r="J31" s="562">
        <f t="shared" ref="J31:J39" si="7">IF(Total_Units&lt;&gt;0,+E31/Total_Units,0)</f>
        <v>0</v>
      </c>
      <c r="K31" s="155"/>
      <c r="L31" s="155"/>
      <c r="M31" s="155"/>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1117"/>
      <c r="AQ31" s="3"/>
      <c r="AR31" s="3"/>
      <c r="AS31" s="97"/>
      <c r="AT31" s="97"/>
      <c r="AU31" s="97"/>
      <c r="AV31" s="97"/>
      <c r="AW31" s="97"/>
      <c r="AX31" s="97"/>
    </row>
    <row r="32" spans="2:50" s="795" customFormat="1" ht="16.5">
      <c r="B32" s="1117"/>
      <c r="C32" s="552" t="s">
        <v>4209</v>
      </c>
      <c r="D32" s="553"/>
      <c r="E32" s="973">
        <f t="shared" ref="E32:E39" si="8">SUM(F32:H32)</f>
        <v>0</v>
      </c>
      <c r="F32" s="972"/>
      <c r="G32" s="972"/>
      <c r="H32" s="800"/>
      <c r="I32" s="973">
        <f>IF('11. Unit Mix'!$G$142&lt;&gt;0,+E32/'11. Unit Mix'!$G$142,0)</f>
        <v>0</v>
      </c>
      <c r="J32" s="973">
        <f t="shared" si="7"/>
        <v>0</v>
      </c>
      <c r="K32" s="155"/>
      <c r="L32" s="155"/>
      <c r="M32" s="155"/>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1117"/>
      <c r="AQ32" s="3"/>
      <c r="AR32" s="3"/>
      <c r="AS32" s="97"/>
      <c r="AT32" s="97"/>
      <c r="AU32" s="97"/>
      <c r="AV32" s="97"/>
      <c r="AW32" s="97"/>
      <c r="AX32" s="97"/>
    </row>
    <row r="33" spans="2:50" s="795" customFormat="1" ht="16.5">
      <c r="B33" s="1117"/>
      <c r="C33" s="552" t="s">
        <v>4210</v>
      </c>
      <c r="D33" s="553"/>
      <c r="E33" s="973">
        <f t="shared" si="8"/>
        <v>0</v>
      </c>
      <c r="F33" s="972"/>
      <c r="G33" s="972"/>
      <c r="H33" s="800"/>
      <c r="I33" s="973">
        <f>IF('11. Unit Mix'!$G$142&lt;&gt;0,+E33/'11. Unit Mix'!$G$142,0)</f>
        <v>0</v>
      </c>
      <c r="J33" s="973">
        <f t="shared" si="7"/>
        <v>0</v>
      </c>
      <c r="K33" s="155"/>
      <c r="L33" s="155"/>
      <c r="M33" s="155"/>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1117"/>
      <c r="AQ33" s="3"/>
      <c r="AR33" s="3"/>
      <c r="AS33" s="97"/>
      <c r="AT33" s="97"/>
      <c r="AU33" s="97"/>
      <c r="AV33" s="97"/>
      <c r="AW33" s="97"/>
      <c r="AX33" s="97"/>
    </row>
    <row r="34" spans="2:50" s="795" customFormat="1" ht="16.5">
      <c r="B34" s="1117"/>
      <c r="C34" s="552" t="s">
        <v>4211</v>
      </c>
      <c r="D34" s="553"/>
      <c r="E34" s="973">
        <f t="shared" si="8"/>
        <v>0</v>
      </c>
      <c r="F34" s="972"/>
      <c r="G34" s="972"/>
      <c r="H34" s="800"/>
      <c r="I34" s="973">
        <f>IF('11. Unit Mix'!$G$142&lt;&gt;0,+E34/'11. Unit Mix'!$G$142,0)</f>
        <v>0</v>
      </c>
      <c r="J34" s="973">
        <f t="shared" si="7"/>
        <v>0</v>
      </c>
      <c r="K34" s="155"/>
      <c r="L34" s="155"/>
      <c r="M34" s="155"/>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1117"/>
      <c r="AQ34" s="3"/>
      <c r="AR34" s="3"/>
      <c r="AS34" s="97"/>
      <c r="AT34" s="97"/>
      <c r="AU34" s="97"/>
      <c r="AV34" s="97"/>
      <c r="AW34" s="97"/>
      <c r="AX34" s="97"/>
    </row>
    <row r="35" spans="2:50" s="795" customFormat="1" ht="16.5">
      <c r="B35" s="1117"/>
      <c r="C35" s="552" t="s">
        <v>4212</v>
      </c>
      <c r="D35" s="553"/>
      <c r="E35" s="973">
        <f t="shared" si="8"/>
        <v>0</v>
      </c>
      <c r="F35" s="972"/>
      <c r="G35" s="972"/>
      <c r="H35" s="800"/>
      <c r="I35" s="973">
        <f>IF('11. Unit Mix'!$G$142&lt;&gt;0,+E35/'11. Unit Mix'!$G$142,0)</f>
        <v>0</v>
      </c>
      <c r="J35" s="973">
        <f t="shared" si="7"/>
        <v>0</v>
      </c>
      <c r="K35" s="155"/>
      <c r="L35" s="155"/>
      <c r="M35" s="155"/>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1117"/>
      <c r="AQ35" s="3"/>
      <c r="AR35" s="3"/>
      <c r="AS35" s="97"/>
      <c r="AT35" s="97"/>
      <c r="AU35" s="97"/>
      <c r="AV35" s="97"/>
      <c r="AW35" s="97"/>
      <c r="AX35" s="97"/>
    </row>
    <row r="36" spans="2:50" s="795" customFormat="1" ht="16.5">
      <c r="B36" s="1117"/>
      <c r="C36" s="552" t="s">
        <v>4213</v>
      </c>
      <c r="D36" s="553"/>
      <c r="E36" s="973">
        <f t="shared" si="8"/>
        <v>0</v>
      </c>
      <c r="F36" s="972"/>
      <c r="G36" s="972"/>
      <c r="H36" s="800"/>
      <c r="I36" s="973">
        <f>IF('11. Unit Mix'!$G$142&lt;&gt;0,+E36/'11. Unit Mix'!$G$142,0)</f>
        <v>0</v>
      </c>
      <c r="J36" s="973">
        <f t="shared" si="7"/>
        <v>0</v>
      </c>
      <c r="K36" s="155"/>
      <c r="L36" s="155"/>
      <c r="M36" s="155"/>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1117"/>
      <c r="AQ36" s="3"/>
      <c r="AR36" s="3"/>
      <c r="AS36" s="97"/>
      <c r="AT36" s="97"/>
      <c r="AU36" s="97"/>
      <c r="AV36" s="97"/>
      <c r="AW36" s="97"/>
      <c r="AX36" s="97"/>
    </row>
    <row r="37" spans="2:50" s="795" customFormat="1" ht="16.5">
      <c r="B37" s="1117"/>
      <c r="C37" s="552" t="s">
        <v>4214</v>
      </c>
      <c r="D37" s="553"/>
      <c r="E37" s="973">
        <f t="shared" si="8"/>
        <v>0</v>
      </c>
      <c r="F37" s="972"/>
      <c r="G37" s="972"/>
      <c r="H37" s="800"/>
      <c r="I37" s="973">
        <f>IF('11. Unit Mix'!$G$142&lt;&gt;0,+E37/'11. Unit Mix'!$G$142,0)</f>
        <v>0</v>
      </c>
      <c r="J37" s="973">
        <f t="shared" si="7"/>
        <v>0</v>
      </c>
      <c r="K37" s="155"/>
      <c r="L37" s="155"/>
      <c r="M37" s="155"/>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1117"/>
      <c r="AQ37" s="3"/>
      <c r="AR37" s="3"/>
      <c r="AS37" s="97"/>
      <c r="AT37" s="97"/>
      <c r="AU37" s="97"/>
      <c r="AV37" s="97"/>
      <c r="AW37" s="97"/>
      <c r="AX37" s="97"/>
    </row>
    <row r="38" spans="2:50" s="795" customFormat="1" ht="16.5">
      <c r="B38" s="1117"/>
      <c r="C38" s="552" t="s">
        <v>4215</v>
      </c>
      <c r="D38" s="553"/>
      <c r="E38" s="973">
        <f t="shared" si="8"/>
        <v>0</v>
      </c>
      <c r="F38" s="972"/>
      <c r="G38" s="972"/>
      <c r="H38" s="800"/>
      <c r="I38" s="973">
        <f>IF('11. Unit Mix'!$G$142&lt;&gt;0,+E38/'11. Unit Mix'!$G$142,0)</f>
        <v>0</v>
      </c>
      <c r="J38" s="973">
        <f t="shared" si="7"/>
        <v>0</v>
      </c>
      <c r="K38" s="155"/>
      <c r="L38" s="155"/>
      <c r="M38" s="155"/>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1117"/>
      <c r="AQ38" s="3"/>
      <c r="AR38" s="3"/>
      <c r="AS38" s="97"/>
      <c r="AT38" s="97"/>
      <c r="AU38" s="97"/>
      <c r="AV38" s="97"/>
      <c r="AW38" s="97"/>
      <c r="AX38" s="97"/>
    </row>
    <row r="39" spans="2:50" s="795" customFormat="1" ht="16.5">
      <c r="B39" s="1117"/>
      <c r="C39" s="552" t="s">
        <v>4216</v>
      </c>
      <c r="D39" s="553"/>
      <c r="E39" s="973">
        <f t="shared" si="8"/>
        <v>0</v>
      </c>
      <c r="F39" s="972"/>
      <c r="G39" s="972"/>
      <c r="H39" s="800"/>
      <c r="I39" s="973">
        <f>IF('11. Unit Mix'!$G$142&lt;&gt;0,+E39/'11. Unit Mix'!$G$142,0)</f>
        <v>0</v>
      </c>
      <c r="J39" s="973">
        <f t="shared" si="7"/>
        <v>0</v>
      </c>
      <c r="K39" s="155"/>
      <c r="L39" s="155"/>
      <c r="M39" s="155"/>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1117"/>
      <c r="AQ39" s="3"/>
      <c r="AR39" s="3"/>
      <c r="AS39" s="97"/>
      <c r="AT39" s="97"/>
      <c r="AU39" s="97"/>
      <c r="AV39" s="97"/>
      <c r="AW39" s="97"/>
      <c r="AX39" s="97"/>
    </row>
    <row r="40" spans="2:50" s="795" customFormat="1" ht="16.5">
      <c r="B40" s="1117"/>
      <c r="C40" s="1118"/>
      <c r="D40" s="1118"/>
      <c r="E40" s="1118"/>
      <c r="F40" s="1118"/>
      <c r="G40" s="1118"/>
      <c r="H40" s="1118"/>
      <c r="I40" s="1118"/>
      <c r="J40" s="1118"/>
      <c r="K40" s="155"/>
      <c r="L40" s="155"/>
      <c r="M40" s="155"/>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1117"/>
      <c r="AQ40" s="3"/>
      <c r="AR40" s="3"/>
      <c r="AS40" s="97"/>
      <c r="AT40" s="97"/>
      <c r="AU40" s="97"/>
      <c r="AV40" s="97"/>
      <c r="AW40" s="97"/>
      <c r="AX40" s="97"/>
    </row>
    <row r="41" spans="2:50" s="796" customFormat="1">
      <c r="B41" s="1117"/>
      <c r="C41" s="555" t="s">
        <v>4217</v>
      </c>
      <c r="D41" s="556"/>
      <c r="E41" s="562">
        <f>+SUM(E42:E50)</f>
        <v>0</v>
      </c>
      <c r="F41" s="562">
        <f t="shared" ref="F41:H41" si="9">+SUM(F42:F50)</f>
        <v>0</v>
      </c>
      <c r="G41" s="562">
        <f t="shared" si="9"/>
        <v>0</v>
      </c>
      <c r="H41" s="562">
        <f t="shared" si="9"/>
        <v>0</v>
      </c>
      <c r="I41" s="562">
        <f>IF('11. Unit Mix'!$G$142&lt;&gt;0,+E41/'11. Unit Mix'!$G$142,0)</f>
        <v>0</v>
      </c>
      <c r="J41" s="562">
        <f t="shared" ref="J41:J50" si="10">IF(Total_Units&lt;&gt;0,+E41/Total_Units,0)</f>
        <v>0</v>
      </c>
      <c r="K41" s="155"/>
      <c r="L41" s="155"/>
      <c r="M41" s="155"/>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1117"/>
      <c r="AQ41" s="3"/>
      <c r="AR41" s="3"/>
      <c r="AS41" s="97"/>
      <c r="AT41" s="97"/>
      <c r="AU41" s="97"/>
      <c r="AV41" s="97"/>
      <c r="AW41" s="97"/>
      <c r="AX41" s="97"/>
    </row>
    <row r="42" spans="2:50" s="795" customFormat="1" ht="16.5">
      <c r="B42" s="1117"/>
      <c r="C42" s="552" t="s">
        <v>4218</v>
      </c>
      <c r="D42" s="553"/>
      <c r="E42" s="973">
        <f t="shared" ref="E42:E50" si="11">SUM(F42:H42)</f>
        <v>0</v>
      </c>
      <c r="F42" s="972"/>
      <c r="G42" s="972"/>
      <c r="H42" s="800"/>
      <c r="I42" s="973">
        <f>IF('11. Unit Mix'!$G$142&lt;&gt;0,+E42/'11. Unit Mix'!$G$142,0)</f>
        <v>0</v>
      </c>
      <c r="J42" s="973">
        <f t="shared" si="10"/>
        <v>0</v>
      </c>
      <c r="K42" s="155"/>
      <c r="L42" s="155"/>
      <c r="M42" s="155"/>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1117"/>
      <c r="AQ42" s="3"/>
      <c r="AR42" s="3"/>
      <c r="AS42" s="97"/>
      <c r="AT42" s="97"/>
      <c r="AU42" s="97"/>
      <c r="AV42" s="97"/>
      <c r="AW42" s="97"/>
      <c r="AX42" s="97"/>
    </row>
    <row r="43" spans="2:50" s="795" customFormat="1" ht="16.5">
      <c r="B43" s="1117"/>
      <c r="C43" s="552" t="s">
        <v>4219</v>
      </c>
      <c r="D43" s="553"/>
      <c r="E43" s="973">
        <f t="shared" si="11"/>
        <v>0</v>
      </c>
      <c r="F43" s="972"/>
      <c r="G43" s="972"/>
      <c r="H43" s="800"/>
      <c r="I43" s="973">
        <f>IF('11. Unit Mix'!$G$142&lt;&gt;0,+E43/'11. Unit Mix'!$G$142,0)</f>
        <v>0</v>
      </c>
      <c r="J43" s="973">
        <f t="shared" si="10"/>
        <v>0</v>
      </c>
      <c r="K43" s="155"/>
      <c r="L43" s="155"/>
      <c r="M43" s="155"/>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1117"/>
      <c r="AQ43" s="3"/>
      <c r="AR43" s="3"/>
      <c r="AS43" s="97"/>
      <c r="AT43" s="97"/>
      <c r="AU43" s="97"/>
      <c r="AV43" s="97"/>
      <c r="AW43" s="97"/>
      <c r="AX43" s="97"/>
    </row>
    <row r="44" spans="2:50" s="795" customFormat="1" ht="16.5">
      <c r="B44" s="1117"/>
      <c r="C44" s="552" t="s">
        <v>4220</v>
      </c>
      <c r="D44" s="553"/>
      <c r="E44" s="973">
        <f t="shared" si="11"/>
        <v>0</v>
      </c>
      <c r="F44" s="972"/>
      <c r="G44" s="972"/>
      <c r="H44" s="800"/>
      <c r="I44" s="973">
        <f>IF('11. Unit Mix'!$G$142&lt;&gt;0,+E44/'11. Unit Mix'!$G$142,0)</f>
        <v>0</v>
      </c>
      <c r="J44" s="973">
        <f t="shared" si="10"/>
        <v>0</v>
      </c>
      <c r="K44" s="155"/>
      <c r="L44" s="155"/>
      <c r="M44" s="155"/>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1117"/>
      <c r="AQ44" s="3"/>
      <c r="AR44" s="3"/>
      <c r="AS44" s="97"/>
      <c r="AT44" s="97"/>
      <c r="AU44" s="97"/>
      <c r="AV44" s="97"/>
      <c r="AW44" s="97"/>
      <c r="AX44" s="97"/>
    </row>
    <row r="45" spans="2:50" s="795" customFormat="1" ht="16.5">
      <c r="B45" s="1117"/>
      <c r="C45" s="552" t="s">
        <v>4221</v>
      </c>
      <c r="D45" s="553"/>
      <c r="E45" s="973">
        <f t="shared" si="11"/>
        <v>0</v>
      </c>
      <c r="F45" s="972"/>
      <c r="G45" s="972"/>
      <c r="H45" s="800"/>
      <c r="I45" s="973">
        <f>IF('11. Unit Mix'!$G$142&lt;&gt;0,+E45/'11. Unit Mix'!$G$142,0)</f>
        <v>0</v>
      </c>
      <c r="J45" s="973">
        <f t="shared" si="10"/>
        <v>0</v>
      </c>
      <c r="K45" s="155"/>
      <c r="L45" s="155"/>
      <c r="M45" s="155"/>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1117"/>
      <c r="AQ45" s="3"/>
      <c r="AR45" s="3"/>
      <c r="AS45" s="97"/>
      <c r="AT45" s="97"/>
      <c r="AU45" s="97"/>
      <c r="AV45" s="97"/>
      <c r="AW45" s="97"/>
      <c r="AX45" s="97"/>
    </row>
    <row r="46" spans="2:50" s="795" customFormat="1" ht="16.5">
      <c r="B46" s="1117"/>
      <c r="C46" s="552" t="s">
        <v>4222</v>
      </c>
      <c r="D46" s="553"/>
      <c r="E46" s="973">
        <f t="shared" si="11"/>
        <v>0</v>
      </c>
      <c r="F46" s="972"/>
      <c r="G46" s="972"/>
      <c r="H46" s="800"/>
      <c r="I46" s="973">
        <f>IF('11. Unit Mix'!$G$142&lt;&gt;0,+E46/'11. Unit Mix'!$G$142,0)</f>
        <v>0</v>
      </c>
      <c r="J46" s="973">
        <f t="shared" si="10"/>
        <v>0</v>
      </c>
      <c r="K46" s="155"/>
      <c r="L46" s="155"/>
      <c r="M46" s="155"/>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1117"/>
      <c r="AQ46" s="3"/>
      <c r="AR46" s="3"/>
      <c r="AS46" s="97"/>
      <c r="AT46" s="97"/>
      <c r="AU46" s="97"/>
      <c r="AV46" s="97"/>
      <c r="AW46" s="97"/>
      <c r="AX46" s="97"/>
    </row>
    <row r="47" spans="2:50" s="795" customFormat="1" ht="16.5">
      <c r="B47" s="1117"/>
      <c r="C47" s="552" t="s">
        <v>4223</v>
      </c>
      <c r="D47" s="553"/>
      <c r="E47" s="973">
        <f t="shared" si="11"/>
        <v>0</v>
      </c>
      <c r="F47" s="972"/>
      <c r="G47" s="972"/>
      <c r="H47" s="800"/>
      <c r="I47" s="973">
        <f>IF('11. Unit Mix'!$G$142&lt;&gt;0,+E47/'11. Unit Mix'!$G$142,0)</f>
        <v>0</v>
      </c>
      <c r="J47" s="973">
        <f t="shared" si="10"/>
        <v>0</v>
      </c>
      <c r="K47" s="155"/>
      <c r="L47" s="155"/>
      <c r="M47" s="155"/>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1117"/>
      <c r="AQ47" s="3"/>
      <c r="AR47" s="3"/>
      <c r="AS47" s="97"/>
      <c r="AT47" s="97"/>
      <c r="AU47" s="97"/>
      <c r="AV47" s="97"/>
      <c r="AW47" s="97"/>
      <c r="AX47" s="97"/>
    </row>
    <row r="48" spans="2:50" s="795" customFormat="1" ht="16.5">
      <c r="B48" s="1117"/>
      <c r="C48" s="552" t="s">
        <v>4224</v>
      </c>
      <c r="D48" s="553"/>
      <c r="E48" s="973">
        <f t="shared" si="11"/>
        <v>0</v>
      </c>
      <c r="F48" s="972"/>
      <c r="G48" s="972"/>
      <c r="H48" s="800"/>
      <c r="I48" s="973">
        <f>IF('11. Unit Mix'!$G$142&lt;&gt;0,+E48/'11. Unit Mix'!$G$142,0)</f>
        <v>0</v>
      </c>
      <c r="J48" s="973">
        <f t="shared" si="10"/>
        <v>0</v>
      </c>
      <c r="K48" s="155"/>
      <c r="L48" s="155"/>
      <c r="M48" s="155"/>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1117"/>
      <c r="AQ48" s="3"/>
      <c r="AR48" s="3"/>
      <c r="AS48" s="97"/>
      <c r="AT48" s="97"/>
      <c r="AU48" s="97"/>
      <c r="AV48" s="97"/>
      <c r="AW48" s="97"/>
      <c r="AX48" s="97"/>
    </row>
    <row r="49" spans="2:50" s="795" customFormat="1" ht="16.5">
      <c r="B49" s="1117"/>
      <c r="C49" s="552" t="s">
        <v>4225</v>
      </c>
      <c r="D49" s="553"/>
      <c r="E49" s="973">
        <f t="shared" si="11"/>
        <v>0</v>
      </c>
      <c r="F49" s="972"/>
      <c r="G49" s="972"/>
      <c r="H49" s="800"/>
      <c r="I49" s="973">
        <f>IF('11. Unit Mix'!$G$142&lt;&gt;0,+E49/'11. Unit Mix'!$G$142,0)</f>
        <v>0</v>
      </c>
      <c r="J49" s="973">
        <f t="shared" si="10"/>
        <v>0</v>
      </c>
      <c r="K49" s="155"/>
      <c r="L49" s="155"/>
      <c r="M49" s="155"/>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1117"/>
      <c r="AQ49" s="3"/>
      <c r="AR49" s="3"/>
      <c r="AS49" s="97"/>
      <c r="AT49" s="97"/>
      <c r="AU49" s="97"/>
      <c r="AV49" s="97"/>
      <c r="AW49" s="97"/>
      <c r="AX49" s="97"/>
    </row>
    <row r="50" spans="2:50" s="795" customFormat="1" ht="16.5">
      <c r="B50" s="1117"/>
      <c r="C50" s="552" t="s">
        <v>4226</v>
      </c>
      <c r="D50" s="553"/>
      <c r="E50" s="973">
        <f t="shared" si="11"/>
        <v>0</v>
      </c>
      <c r="F50" s="972"/>
      <c r="G50" s="972"/>
      <c r="H50" s="800"/>
      <c r="I50" s="973">
        <f>IF('11. Unit Mix'!$G$142&lt;&gt;0,+E50/'11. Unit Mix'!$G$142,0)</f>
        <v>0</v>
      </c>
      <c r="J50" s="973">
        <f t="shared" si="10"/>
        <v>0</v>
      </c>
      <c r="K50" s="155"/>
      <c r="L50" s="155"/>
      <c r="M50" s="155"/>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1117"/>
      <c r="AQ50" s="3"/>
      <c r="AR50" s="3"/>
      <c r="AS50" s="97"/>
      <c r="AT50" s="97"/>
      <c r="AU50" s="97"/>
      <c r="AV50" s="97"/>
      <c r="AW50" s="97"/>
      <c r="AX50" s="97"/>
    </row>
    <row r="51" spans="2:50" s="795" customFormat="1" ht="16.5">
      <c r="B51" s="1117"/>
      <c r="C51" s="1118"/>
      <c r="D51" s="1118"/>
      <c r="E51" s="1118"/>
      <c r="F51" s="1118"/>
      <c r="G51" s="1118"/>
      <c r="H51" s="1118"/>
      <c r="I51" s="1118"/>
      <c r="J51" s="1118"/>
      <c r="K51" s="155"/>
      <c r="L51" s="155"/>
      <c r="M51" s="155"/>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1117"/>
      <c r="AQ51" s="3"/>
      <c r="AR51" s="3"/>
      <c r="AS51" s="97"/>
      <c r="AT51" s="97"/>
      <c r="AU51" s="97"/>
      <c r="AV51" s="97"/>
      <c r="AW51" s="97"/>
      <c r="AX51" s="97"/>
    </row>
    <row r="52" spans="2:50" s="796" customFormat="1">
      <c r="B52" s="1117"/>
      <c r="C52" s="555" t="s">
        <v>4227</v>
      </c>
      <c r="D52" s="556"/>
      <c r="E52" s="562">
        <f>+SUM(E53:E58)</f>
        <v>0</v>
      </c>
      <c r="F52" s="562">
        <f t="shared" ref="F52:H52" si="12">+SUM(F53:F58)</f>
        <v>0</v>
      </c>
      <c r="G52" s="562">
        <f t="shared" si="12"/>
        <v>0</v>
      </c>
      <c r="H52" s="562">
        <f t="shared" si="12"/>
        <v>0</v>
      </c>
      <c r="I52" s="562">
        <f>IF('11. Unit Mix'!$G$142&lt;&gt;0,+E52/'11. Unit Mix'!$G$142,0)</f>
        <v>0</v>
      </c>
      <c r="J52" s="562">
        <f t="shared" ref="J52:J58" si="13">IF(Total_Units&lt;&gt;0,+E52/Total_Units,0)</f>
        <v>0</v>
      </c>
      <c r="K52" s="155"/>
      <c r="L52" s="155"/>
      <c r="M52" s="155"/>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1117"/>
      <c r="AQ52" s="3"/>
      <c r="AR52" s="3"/>
      <c r="AS52" s="97"/>
      <c r="AT52" s="97"/>
      <c r="AU52" s="97"/>
      <c r="AV52" s="97"/>
      <c r="AW52" s="97"/>
      <c r="AX52" s="97"/>
    </row>
    <row r="53" spans="2:50" s="795" customFormat="1" ht="16.5">
      <c r="B53" s="1117"/>
      <c r="C53" s="552" t="s">
        <v>4228</v>
      </c>
      <c r="D53" s="553"/>
      <c r="E53" s="973">
        <f t="shared" ref="E53:E58" si="14">SUM(F53:H53)</f>
        <v>0</v>
      </c>
      <c r="F53" s="972"/>
      <c r="G53" s="972"/>
      <c r="H53" s="800"/>
      <c r="I53" s="973">
        <f>IF('11. Unit Mix'!$G$142&lt;&gt;0,+E53/'11. Unit Mix'!$G$142,0)</f>
        <v>0</v>
      </c>
      <c r="J53" s="973">
        <f t="shared" si="13"/>
        <v>0</v>
      </c>
      <c r="K53" s="155"/>
      <c r="L53" s="155"/>
      <c r="M53" s="155"/>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1117"/>
      <c r="AQ53" s="3"/>
      <c r="AR53" s="3"/>
      <c r="AS53" s="97"/>
      <c r="AT53" s="97"/>
      <c r="AU53" s="97"/>
      <c r="AV53" s="97"/>
      <c r="AW53" s="97"/>
      <c r="AX53" s="97"/>
    </row>
    <row r="54" spans="2:50" s="795" customFormat="1" ht="16.5">
      <c r="B54" s="1117"/>
      <c r="C54" s="552" t="s">
        <v>4229</v>
      </c>
      <c r="D54" s="553"/>
      <c r="E54" s="973">
        <f t="shared" si="14"/>
        <v>0</v>
      </c>
      <c r="F54" s="972"/>
      <c r="G54" s="972"/>
      <c r="H54" s="800"/>
      <c r="I54" s="973">
        <f>IF('11. Unit Mix'!$G$142&lt;&gt;0,+E54/'11. Unit Mix'!$G$142,0)</f>
        <v>0</v>
      </c>
      <c r="J54" s="973">
        <f t="shared" si="13"/>
        <v>0</v>
      </c>
      <c r="K54" s="155"/>
      <c r="L54" s="155"/>
      <c r="M54" s="155"/>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1117"/>
      <c r="AQ54" s="3"/>
      <c r="AR54" s="3"/>
      <c r="AS54" s="97"/>
      <c r="AT54" s="97"/>
      <c r="AU54" s="97"/>
      <c r="AV54" s="97"/>
      <c r="AW54" s="97"/>
      <c r="AX54" s="97"/>
    </row>
    <row r="55" spans="2:50" s="795" customFormat="1" ht="16.5">
      <c r="B55" s="1117"/>
      <c r="C55" s="552" t="s">
        <v>4230</v>
      </c>
      <c r="D55" s="553"/>
      <c r="E55" s="973">
        <f t="shared" si="14"/>
        <v>0</v>
      </c>
      <c r="F55" s="972"/>
      <c r="G55" s="972"/>
      <c r="H55" s="800"/>
      <c r="I55" s="973">
        <f>IF('11. Unit Mix'!$G$142&lt;&gt;0,+E55/'11. Unit Mix'!$G$142,0)</f>
        <v>0</v>
      </c>
      <c r="J55" s="973">
        <f t="shared" si="13"/>
        <v>0</v>
      </c>
      <c r="K55" s="155"/>
      <c r="L55" s="155"/>
      <c r="M55" s="155"/>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1117"/>
      <c r="AQ55" s="3"/>
      <c r="AR55" s="3"/>
      <c r="AS55" s="97"/>
      <c r="AT55" s="97"/>
      <c r="AU55" s="97"/>
      <c r="AV55" s="97"/>
      <c r="AW55" s="97"/>
      <c r="AX55" s="97"/>
    </row>
    <row r="56" spans="2:50" s="795" customFormat="1" ht="16.5">
      <c r="B56" s="1117"/>
      <c r="C56" s="552" t="s">
        <v>4231</v>
      </c>
      <c r="D56" s="553"/>
      <c r="E56" s="973">
        <f t="shared" si="14"/>
        <v>0</v>
      </c>
      <c r="F56" s="972"/>
      <c r="G56" s="972"/>
      <c r="H56" s="800"/>
      <c r="I56" s="973">
        <f>IF('11. Unit Mix'!$G$142&lt;&gt;0,+E56/'11. Unit Mix'!$G$142,0)</f>
        <v>0</v>
      </c>
      <c r="J56" s="973">
        <f t="shared" si="13"/>
        <v>0</v>
      </c>
      <c r="K56" s="155"/>
      <c r="L56" s="155"/>
      <c r="M56" s="155"/>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1117"/>
      <c r="AQ56" s="3"/>
      <c r="AR56" s="3"/>
      <c r="AS56" s="97"/>
      <c r="AT56" s="97"/>
      <c r="AU56" s="97"/>
      <c r="AV56" s="97"/>
      <c r="AW56" s="97"/>
      <c r="AX56" s="97"/>
    </row>
    <row r="57" spans="2:50" s="795" customFormat="1" ht="16.5">
      <c r="B57" s="1117"/>
      <c r="C57" s="552" t="s">
        <v>4232</v>
      </c>
      <c r="D57" s="553"/>
      <c r="E57" s="973">
        <f t="shared" si="14"/>
        <v>0</v>
      </c>
      <c r="F57" s="972"/>
      <c r="G57" s="972"/>
      <c r="H57" s="800"/>
      <c r="I57" s="973">
        <f>IF('11. Unit Mix'!$G$142&lt;&gt;0,+E57/'11. Unit Mix'!$G$142,0)</f>
        <v>0</v>
      </c>
      <c r="J57" s="973">
        <f t="shared" si="13"/>
        <v>0</v>
      </c>
      <c r="K57" s="155"/>
      <c r="L57" s="155"/>
      <c r="M57" s="155"/>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1117"/>
      <c r="AQ57" s="3"/>
      <c r="AR57" s="3"/>
      <c r="AS57" s="97"/>
      <c r="AT57" s="97"/>
      <c r="AU57" s="97"/>
      <c r="AV57" s="97"/>
      <c r="AW57" s="97"/>
      <c r="AX57" s="97"/>
    </row>
    <row r="58" spans="2:50" s="795" customFormat="1" ht="16.5">
      <c r="B58" s="1117"/>
      <c r="C58" s="552" t="s">
        <v>4233</v>
      </c>
      <c r="D58" s="553"/>
      <c r="E58" s="973">
        <f t="shared" si="14"/>
        <v>0</v>
      </c>
      <c r="F58" s="972"/>
      <c r="G58" s="972"/>
      <c r="H58" s="800"/>
      <c r="I58" s="973">
        <f>IF('11. Unit Mix'!$G$142&lt;&gt;0,+E58/'11. Unit Mix'!$G$142,0)</f>
        <v>0</v>
      </c>
      <c r="J58" s="973">
        <f t="shared" si="13"/>
        <v>0</v>
      </c>
      <c r="K58" s="155"/>
      <c r="L58" s="155"/>
      <c r="M58" s="155"/>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1117"/>
      <c r="AQ58" s="3"/>
      <c r="AR58" s="3"/>
      <c r="AS58" s="97"/>
      <c r="AT58" s="97"/>
      <c r="AU58" s="97"/>
      <c r="AV58" s="97"/>
      <c r="AW58" s="97"/>
      <c r="AX58" s="97"/>
    </row>
    <row r="59" spans="2:50" s="795" customFormat="1" ht="16.5">
      <c r="B59" s="1117"/>
      <c r="C59" s="1118"/>
      <c r="D59" s="1118"/>
      <c r="E59" s="1118"/>
      <c r="F59" s="1118"/>
      <c r="G59" s="1118"/>
      <c r="H59" s="1118"/>
      <c r="I59" s="1118"/>
      <c r="J59" s="1118"/>
      <c r="K59" s="155"/>
      <c r="L59" s="155"/>
      <c r="M59" s="155"/>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1117"/>
      <c r="AQ59" s="3"/>
      <c r="AR59" s="3"/>
      <c r="AS59" s="97"/>
      <c r="AT59" s="97"/>
      <c r="AU59" s="97"/>
      <c r="AV59" s="97"/>
      <c r="AW59" s="97"/>
      <c r="AX59" s="97"/>
    </row>
    <row r="60" spans="2:50" s="796" customFormat="1">
      <c r="B60" s="1117"/>
      <c r="C60" s="550" t="s">
        <v>4234</v>
      </c>
      <c r="D60" s="551"/>
      <c r="E60" s="562">
        <f>+SUM(E61:E67)</f>
        <v>0</v>
      </c>
      <c r="F60" s="562">
        <f t="shared" ref="F60:H60" si="15">+SUM(F61:F67)</f>
        <v>0</v>
      </c>
      <c r="G60" s="562">
        <f t="shared" si="15"/>
        <v>0</v>
      </c>
      <c r="H60" s="562">
        <f t="shared" si="15"/>
        <v>0</v>
      </c>
      <c r="I60" s="562">
        <f>IF('11. Unit Mix'!$G$142&lt;&gt;0,+E60/'11. Unit Mix'!$G$142,0)</f>
        <v>0</v>
      </c>
      <c r="J60" s="562">
        <f t="shared" ref="J60:J67" si="16">IF(Total_Units&lt;&gt;0,+E60/Total_Units,0)</f>
        <v>0</v>
      </c>
      <c r="K60" s="155"/>
      <c r="L60" s="155"/>
      <c r="M60" s="155"/>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1117"/>
      <c r="AQ60" s="3"/>
      <c r="AR60" s="3"/>
      <c r="AS60" s="97"/>
      <c r="AT60" s="97"/>
      <c r="AU60" s="97"/>
      <c r="AV60" s="97"/>
      <c r="AW60" s="97"/>
      <c r="AX60" s="97"/>
    </row>
    <row r="61" spans="2:50" s="795" customFormat="1" ht="16.5">
      <c r="B61" s="1117"/>
      <c r="C61" s="552" t="s">
        <v>4235</v>
      </c>
      <c r="D61" s="553"/>
      <c r="E61" s="973">
        <f t="shared" ref="E61:E67" si="17">SUM(F61:H61)</f>
        <v>0</v>
      </c>
      <c r="F61" s="972"/>
      <c r="G61" s="972"/>
      <c r="H61" s="800"/>
      <c r="I61" s="973">
        <f>IF('11. Unit Mix'!$G$142&lt;&gt;0,+E61/'11. Unit Mix'!$G$142,0)</f>
        <v>0</v>
      </c>
      <c r="J61" s="973">
        <f t="shared" si="16"/>
        <v>0</v>
      </c>
      <c r="K61" s="155"/>
      <c r="L61" s="155"/>
      <c r="M61" s="155"/>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1117"/>
      <c r="AQ61" s="3"/>
      <c r="AR61" s="3"/>
      <c r="AS61" s="97"/>
      <c r="AT61" s="97"/>
      <c r="AU61" s="97"/>
      <c r="AV61" s="97"/>
      <c r="AW61" s="97"/>
      <c r="AX61" s="97"/>
    </row>
    <row r="62" spans="2:50" s="795" customFormat="1" ht="16.5">
      <c r="B62" s="1117"/>
      <c r="C62" s="552" t="s">
        <v>4236</v>
      </c>
      <c r="D62" s="553"/>
      <c r="E62" s="973">
        <f t="shared" si="17"/>
        <v>0</v>
      </c>
      <c r="F62" s="972"/>
      <c r="G62" s="972"/>
      <c r="H62" s="800"/>
      <c r="I62" s="973">
        <f>IF('11. Unit Mix'!$G$142&lt;&gt;0,+E62/'11. Unit Mix'!$G$142,0)</f>
        <v>0</v>
      </c>
      <c r="J62" s="973">
        <f t="shared" si="16"/>
        <v>0</v>
      </c>
      <c r="K62" s="155"/>
      <c r="L62" s="155"/>
      <c r="M62" s="155"/>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1117"/>
      <c r="AQ62" s="3"/>
      <c r="AR62" s="3"/>
      <c r="AS62" s="97"/>
      <c r="AT62" s="97"/>
      <c r="AU62" s="97"/>
      <c r="AV62" s="97"/>
      <c r="AW62" s="97"/>
      <c r="AX62" s="97"/>
    </row>
    <row r="63" spans="2:50" s="795" customFormat="1" ht="16.5">
      <c r="B63" s="1117"/>
      <c r="C63" s="552" t="s">
        <v>4237</v>
      </c>
      <c r="D63" s="553"/>
      <c r="E63" s="973">
        <f t="shared" si="17"/>
        <v>0</v>
      </c>
      <c r="F63" s="972"/>
      <c r="G63" s="972"/>
      <c r="H63" s="800"/>
      <c r="I63" s="973">
        <f>IF('11. Unit Mix'!$G$142&lt;&gt;0,+E63/'11. Unit Mix'!$G$142,0)</f>
        <v>0</v>
      </c>
      <c r="J63" s="973">
        <f t="shared" si="16"/>
        <v>0</v>
      </c>
      <c r="K63" s="155"/>
      <c r="L63" s="155"/>
      <c r="M63" s="155"/>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1117"/>
      <c r="AQ63" s="3"/>
      <c r="AR63" s="3"/>
      <c r="AS63" s="97"/>
      <c r="AT63" s="97"/>
      <c r="AU63" s="97"/>
      <c r="AV63" s="97"/>
      <c r="AW63" s="97"/>
      <c r="AX63" s="97"/>
    </row>
    <row r="64" spans="2:50" s="795" customFormat="1" ht="16.5">
      <c r="B64" s="1117"/>
      <c r="C64" s="552" t="s">
        <v>4238</v>
      </c>
      <c r="D64" s="553"/>
      <c r="E64" s="973">
        <f t="shared" si="17"/>
        <v>0</v>
      </c>
      <c r="F64" s="972"/>
      <c r="G64" s="972"/>
      <c r="H64" s="800"/>
      <c r="I64" s="973">
        <f>IF('11. Unit Mix'!$G$142&lt;&gt;0,+E64/'11. Unit Mix'!$G$142,0)</f>
        <v>0</v>
      </c>
      <c r="J64" s="973">
        <f t="shared" si="16"/>
        <v>0</v>
      </c>
      <c r="K64" s="155"/>
      <c r="L64" s="155"/>
      <c r="M64" s="155"/>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1117"/>
      <c r="AQ64" s="3"/>
      <c r="AR64" s="3"/>
      <c r="AS64" s="97"/>
      <c r="AT64" s="97"/>
      <c r="AU64" s="97"/>
      <c r="AV64" s="97"/>
      <c r="AW64" s="97"/>
      <c r="AX64" s="97"/>
    </row>
    <row r="65" spans="2:50" s="795" customFormat="1" ht="16.5">
      <c r="B65" s="1117"/>
      <c r="C65" s="552" t="s">
        <v>4239</v>
      </c>
      <c r="D65" s="553"/>
      <c r="E65" s="973">
        <f t="shared" si="17"/>
        <v>0</v>
      </c>
      <c r="F65" s="972"/>
      <c r="G65" s="972"/>
      <c r="H65" s="800"/>
      <c r="I65" s="973">
        <f>IF('11. Unit Mix'!$G$142&lt;&gt;0,+E65/'11. Unit Mix'!$G$142,0)</f>
        <v>0</v>
      </c>
      <c r="J65" s="973">
        <f t="shared" si="16"/>
        <v>0</v>
      </c>
      <c r="K65" s="155"/>
      <c r="L65" s="155"/>
      <c r="M65" s="155"/>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1117"/>
      <c r="AQ65" s="3"/>
      <c r="AR65" s="3"/>
      <c r="AS65" s="97"/>
      <c r="AT65" s="97"/>
      <c r="AU65" s="97"/>
      <c r="AV65" s="97"/>
      <c r="AW65" s="97"/>
      <c r="AX65" s="97"/>
    </row>
    <row r="66" spans="2:50" s="795" customFormat="1" ht="16.5">
      <c r="B66" s="1117"/>
      <c r="C66" s="552" t="s">
        <v>4240</v>
      </c>
      <c r="D66" s="553"/>
      <c r="E66" s="973">
        <f t="shared" si="17"/>
        <v>0</v>
      </c>
      <c r="F66" s="972"/>
      <c r="G66" s="972"/>
      <c r="H66" s="800"/>
      <c r="I66" s="973">
        <f>IF('11. Unit Mix'!$G$142&lt;&gt;0,+E66/'11. Unit Mix'!$G$142,0)</f>
        <v>0</v>
      </c>
      <c r="J66" s="973">
        <f t="shared" si="16"/>
        <v>0</v>
      </c>
      <c r="K66" s="155"/>
      <c r="L66" s="155"/>
      <c r="M66" s="155"/>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1117"/>
      <c r="AQ66" s="3"/>
      <c r="AR66" s="3"/>
      <c r="AS66" s="97"/>
      <c r="AT66" s="97"/>
      <c r="AU66" s="97"/>
      <c r="AV66" s="97"/>
      <c r="AW66" s="97"/>
      <c r="AX66" s="97"/>
    </row>
    <row r="67" spans="2:50" s="795" customFormat="1" ht="16.5">
      <c r="B67" s="1117"/>
      <c r="C67" s="552" t="s">
        <v>4241</v>
      </c>
      <c r="D67" s="553"/>
      <c r="E67" s="973">
        <f t="shared" si="17"/>
        <v>0</v>
      </c>
      <c r="F67" s="972"/>
      <c r="G67" s="972"/>
      <c r="H67" s="800"/>
      <c r="I67" s="973">
        <f>IF('11. Unit Mix'!$G$142&lt;&gt;0,+E67/'11. Unit Mix'!$G$142,0)</f>
        <v>0</v>
      </c>
      <c r="J67" s="973">
        <f t="shared" si="16"/>
        <v>0</v>
      </c>
      <c r="K67" s="155"/>
      <c r="L67" s="155"/>
      <c r="M67" s="155"/>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1117"/>
      <c r="AQ67" s="3"/>
      <c r="AR67" s="3"/>
      <c r="AS67" s="97"/>
      <c r="AT67" s="97"/>
      <c r="AU67" s="97"/>
      <c r="AV67" s="97"/>
      <c r="AW67" s="97"/>
      <c r="AX67" s="97"/>
    </row>
    <row r="68" spans="2:50" s="795" customFormat="1" ht="16.5">
      <c r="B68" s="1117"/>
      <c r="C68" s="1118"/>
      <c r="D68" s="1118"/>
      <c r="E68" s="1118"/>
      <c r="F68" s="1118"/>
      <c r="G68" s="1118"/>
      <c r="H68" s="1118"/>
      <c r="I68" s="1118"/>
      <c r="J68" s="1118"/>
      <c r="K68" s="155"/>
      <c r="L68" s="155"/>
      <c r="M68" s="155"/>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1117"/>
      <c r="AQ68" s="3"/>
      <c r="AR68" s="3"/>
      <c r="AS68" s="97"/>
      <c r="AT68" s="97"/>
      <c r="AU68" s="97"/>
      <c r="AV68" s="97"/>
      <c r="AW68" s="97"/>
      <c r="AX68" s="97"/>
    </row>
    <row r="69" spans="2:50" s="796" customFormat="1">
      <c r="B69" s="1117"/>
      <c r="C69" s="550" t="s">
        <v>4242</v>
      </c>
      <c r="D69" s="551"/>
      <c r="E69" s="562">
        <f>+SUM(E70:E77)</f>
        <v>0</v>
      </c>
      <c r="F69" s="562">
        <f t="shared" ref="F69:H69" si="18">+SUM(F70:F77)</f>
        <v>0</v>
      </c>
      <c r="G69" s="562">
        <f t="shared" si="18"/>
        <v>0</v>
      </c>
      <c r="H69" s="562">
        <f t="shared" si="18"/>
        <v>0</v>
      </c>
      <c r="I69" s="562">
        <f>IF('11. Unit Mix'!$G$142&lt;&gt;0,+E69/'11. Unit Mix'!$G$142,0)</f>
        <v>0</v>
      </c>
      <c r="J69" s="562">
        <f t="shared" ref="J69:J77" si="19">IF(Total_Units&lt;&gt;0,+E69/Total_Units,0)</f>
        <v>0</v>
      </c>
      <c r="K69" s="155"/>
      <c r="L69" s="155"/>
      <c r="M69" s="155"/>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1117"/>
      <c r="AQ69" s="3"/>
      <c r="AR69" s="3"/>
      <c r="AS69" s="97"/>
      <c r="AT69" s="97"/>
      <c r="AU69" s="97"/>
      <c r="AV69" s="97"/>
      <c r="AW69" s="97"/>
      <c r="AX69" s="97"/>
    </row>
    <row r="70" spans="2:50" s="795" customFormat="1" ht="16.5">
      <c r="B70" s="1117"/>
      <c r="C70" s="552" t="s">
        <v>4243</v>
      </c>
      <c r="D70" s="553"/>
      <c r="E70" s="973">
        <f t="shared" ref="E70:E77" si="20">SUM(F70:H70)</f>
        <v>0</v>
      </c>
      <c r="F70" s="972"/>
      <c r="G70" s="972"/>
      <c r="H70" s="800"/>
      <c r="I70" s="973">
        <f>IF('11. Unit Mix'!$G$142&lt;&gt;0,+E70/'11. Unit Mix'!$G$142,0)</f>
        <v>0</v>
      </c>
      <c r="J70" s="973">
        <f t="shared" si="19"/>
        <v>0</v>
      </c>
      <c r="K70" s="155"/>
      <c r="L70" s="155"/>
      <c r="M70" s="155"/>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1117"/>
      <c r="AQ70" s="3"/>
      <c r="AR70" s="3"/>
      <c r="AS70" s="97"/>
      <c r="AT70" s="97"/>
      <c r="AU70" s="97"/>
      <c r="AV70" s="97"/>
      <c r="AW70" s="97"/>
      <c r="AX70" s="97"/>
    </row>
    <row r="71" spans="2:50" s="795" customFormat="1" ht="16.5">
      <c r="B71" s="1117"/>
      <c r="C71" s="552" t="s">
        <v>4244</v>
      </c>
      <c r="D71" s="553"/>
      <c r="E71" s="973">
        <f t="shared" si="20"/>
        <v>0</v>
      </c>
      <c r="F71" s="972"/>
      <c r="G71" s="972"/>
      <c r="H71" s="800"/>
      <c r="I71" s="973">
        <f>IF('11. Unit Mix'!$G$142&lt;&gt;0,+E71/'11. Unit Mix'!$G$142,0)</f>
        <v>0</v>
      </c>
      <c r="J71" s="973">
        <f t="shared" si="19"/>
        <v>0</v>
      </c>
      <c r="K71" s="155"/>
      <c r="L71" s="155"/>
      <c r="M71" s="155"/>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1117"/>
      <c r="AQ71" s="3"/>
      <c r="AR71" s="3"/>
      <c r="AS71" s="97"/>
      <c r="AT71" s="97"/>
      <c r="AU71" s="97"/>
      <c r="AV71" s="97"/>
      <c r="AW71" s="97"/>
      <c r="AX71" s="97"/>
    </row>
    <row r="72" spans="2:50" s="795" customFormat="1" ht="16.5">
      <c r="B72" s="1117"/>
      <c r="C72" s="552" t="s">
        <v>4245</v>
      </c>
      <c r="D72" s="553"/>
      <c r="E72" s="973">
        <f t="shared" si="20"/>
        <v>0</v>
      </c>
      <c r="F72" s="972"/>
      <c r="G72" s="972"/>
      <c r="H72" s="800"/>
      <c r="I72" s="973">
        <f>IF('11. Unit Mix'!$G$142&lt;&gt;0,+E72/'11. Unit Mix'!$G$142,0)</f>
        <v>0</v>
      </c>
      <c r="J72" s="973">
        <f t="shared" si="19"/>
        <v>0</v>
      </c>
      <c r="K72" s="155"/>
      <c r="L72" s="155"/>
      <c r="M72" s="155"/>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1117"/>
      <c r="AQ72" s="3"/>
      <c r="AR72" s="3"/>
      <c r="AS72" s="97"/>
      <c r="AT72" s="97"/>
      <c r="AU72" s="97"/>
      <c r="AV72" s="97"/>
      <c r="AW72" s="97"/>
      <c r="AX72" s="97"/>
    </row>
    <row r="73" spans="2:50" s="795" customFormat="1" ht="16.5">
      <c r="B73" s="1117"/>
      <c r="C73" s="552" t="s">
        <v>4246</v>
      </c>
      <c r="D73" s="553"/>
      <c r="E73" s="973">
        <f t="shared" si="20"/>
        <v>0</v>
      </c>
      <c r="F73" s="972"/>
      <c r="G73" s="972"/>
      <c r="H73" s="800"/>
      <c r="I73" s="973">
        <f>IF('11. Unit Mix'!$G$142&lt;&gt;0,+E73/'11. Unit Mix'!$G$142,0)</f>
        <v>0</v>
      </c>
      <c r="J73" s="973">
        <f t="shared" si="19"/>
        <v>0</v>
      </c>
      <c r="K73" s="155"/>
      <c r="L73" s="155"/>
      <c r="M73" s="155"/>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1117"/>
      <c r="AQ73" s="3"/>
      <c r="AR73" s="3"/>
      <c r="AS73" s="97"/>
      <c r="AT73" s="97"/>
      <c r="AU73" s="97"/>
      <c r="AV73" s="97"/>
      <c r="AW73" s="97"/>
      <c r="AX73" s="97"/>
    </row>
    <row r="74" spans="2:50" s="795" customFormat="1" ht="16.5">
      <c r="B74" s="1117"/>
      <c r="C74" s="552" t="s">
        <v>4247</v>
      </c>
      <c r="D74" s="553"/>
      <c r="E74" s="973">
        <f t="shared" si="20"/>
        <v>0</v>
      </c>
      <c r="F74" s="972"/>
      <c r="G74" s="972"/>
      <c r="H74" s="800"/>
      <c r="I74" s="973">
        <f>IF('11. Unit Mix'!$G$142&lt;&gt;0,+E74/'11. Unit Mix'!$G$142,0)</f>
        <v>0</v>
      </c>
      <c r="J74" s="973">
        <f t="shared" si="19"/>
        <v>0</v>
      </c>
      <c r="K74" s="155"/>
      <c r="L74" s="155"/>
      <c r="M74" s="155"/>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1117"/>
      <c r="AQ74" s="3"/>
      <c r="AR74" s="3"/>
      <c r="AS74" s="97"/>
      <c r="AT74" s="97"/>
      <c r="AU74" s="97"/>
      <c r="AV74" s="97"/>
      <c r="AW74" s="97"/>
      <c r="AX74" s="97"/>
    </row>
    <row r="75" spans="2:50" s="795" customFormat="1" ht="16.5">
      <c r="B75" s="1117"/>
      <c r="C75" s="552" t="s">
        <v>4248</v>
      </c>
      <c r="D75" s="553"/>
      <c r="E75" s="973">
        <f t="shared" si="20"/>
        <v>0</v>
      </c>
      <c r="F75" s="972"/>
      <c r="G75" s="972"/>
      <c r="H75" s="800"/>
      <c r="I75" s="973">
        <f>IF('11. Unit Mix'!$G$142&lt;&gt;0,+E75/'11. Unit Mix'!$G$142,0)</f>
        <v>0</v>
      </c>
      <c r="J75" s="973">
        <f t="shared" si="19"/>
        <v>0</v>
      </c>
      <c r="K75" s="155"/>
      <c r="L75" s="155"/>
      <c r="M75" s="155"/>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1117"/>
      <c r="AQ75" s="3"/>
      <c r="AR75" s="3"/>
      <c r="AS75" s="97"/>
      <c r="AT75" s="97"/>
      <c r="AU75" s="97"/>
      <c r="AV75" s="97"/>
      <c r="AW75" s="97"/>
      <c r="AX75" s="97"/>
    </row>
    <row r="76" spans="2:50" s="795" customFormat="1" ht="16.5">
      <c r="B76" s="1117"/>
      <c r="C76" s="552" t="s">
        <v>4249</v>
      </c>
      <c r="D76" s="553"/>
      <c r="E76" s="973">
        <f t="shared" si="20"/>
        <v>0</v>
      </c>
      <c r="F76" s="972"/>
      <c r="G76" s="972"/>
      <c r="H76" s="800"/>
      <c r="I76" s="973">
        <f>IF('11. Unit Mix'!$G$142&lt;&gt;0,+E76/'11. Unit Mix'!$G$142,0)</f>
        <v>0</v>
      </c>
      <c r="J76" s="973">
        <f t="shared" si="19"/>
        <v>0</v>
      </c>
      <c r="K76" s="155"/>
      <c r="L76" s="155"/>
      <c r="M76" s="155"/>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1117"/>
      <c r="AQ76" s="3"/>
      <c r="AR76" s="3"/>
      <c r="AS76" s="97"/>
      <c r="AT76" s="97"/>
      <c r="AU76" s="97"/>
      <c r="AV76" s="97"/>
      <c r="AW76" s="97"/>
      <c r="AX76" s="97"/>
    </row>
    <row r="77" spans="2:50" s="795" customFormat="1" ht="16.5">
      <c r="B77" s="1117"/>
      <c r="C77" s="552" t="s">
        <v>4250</v>
      </c>
      <c r="D77" s="553"/>
      <c r="E77" s="973">
        <f t="shared" si="20"/>
        <v>0</v>
      </c>
      <c r="F77" s="972"/>
      <c r="G77" s="972"/>
      <c r="H77" s="800"/>
      <c r="I77" s="973">
        <f>IF('11. Unit Mix'!$G$142&lt;&gt;0,+E77/'11. Unit Mix'!$G$142,0)</f>
        <v>0</v>
      </c>
      <c r="J77" s="973">
        <f t="shared" si="19"/>
        <v>0</v>
      </c>
      <c r="K77" s="155"/>
      <c r="L77" s="155"/>
      <c r="M77" s="155"/>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1117"/>
      <c r="AQ77" s="3"/>
      <c r="AR77" s="3"/>
      <c r="AS77" s="97"/>
      <c r="AT77" s="97"/>
      <c r="AU77" s="97"/>
      <c r="AV77" s="97"/>
      <c r="AW77" s="97"/>
      <c r="AX77" s="97"/>
    </row>
    <row r="78" spans="2:50" s="795" customFormat="1" ht="16.5">
      <c r="B78" s="1117"/>
      <c r="C78" s="1118"/>
      <c r="D78" s="1118"/>
      <c r="E78" s="1118"/>
      <c r="F78" s="1118"/>
      <c r="G78" s="1118"/>
      <c r="H78" s="1118"/>
      <c r="I78" s="1118"/>
      <c r="J78" s="1118"/>
      <c r="K78" s="155"/>
      <c r="L78" s="155"/>
      <c r="M78" s="155"/>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1117"/>
      <c r="AQ78" s="3"/>
      <c r="AR78" s="3"/>
      <c r="AS78" s="97"/>
      <c r="AT78" s="97"/>
      <c r="AU78" s="97"/>
      <c r="AV78" s="97"/>
      <c r="AW78" s="97"/>
      <c r="AX78" s="97"/>
    </row>
    <row r="79" spans="2:50" s="796" customFormat="1">
      <c r="B79" s="1117"/>
      <c r="C79" s="550" t="s">
        <v>4251</v>
      </c>
      <c r="D79" s="551"/>
      <c r="E79" s="562">
        <f>+SUM(E80:E90)</f>
        <v>0</v>
      </c>
      <c r="F79" s="562">
        <f t="shared" ref="F79:H79" si="21">+SUM(F80:F90)</f>
        <v>0</v>
      </c>
      <c r="G79" s="562">
        <f t="shared" si="21"/>
        <v>0</v>
      </c>
      <c r="H79" s="562">
        <f t="shared" si="21"/>
        <v>0</v>
      </c>
      <c r="I79" s="562">
        <f>IF('11. Unit Mix'!$G$142&lt;&gt;0,+E79/'11. Unit Mix'!$G$142,0)</f>
        <v>0</v>
      </c>
      <c r="J79" s="562">
        <f t="shared" ref="J79:J90" si="22">IF(Total_Units&lt;&gt;0,+E79/Total_Units,0)</f>
        <v>0</v>
      </c>
      <c r="K79" s="155"/>
      <c r="L79" s="155"/>
      <c r="M79" s="155"/>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1117"/>
      <c r="AQ79" s="3"/>
      <c r="AR79" s="3"/>
      <c r="AS79" s="97"/>
      <c r="AT79" s="97"/>
      <c r="AU79" s="97"/>
      <c r="AV79" s="97"/>
      <c r="AW79" s="97"/>
      <c r="AX79" s="97"/>
    </row>
    <row r="80" spans="2:50" s="795" customFormat="1" ht="16.5">
      <c r="B80" s="1117"/>
      <c r="C80" s="552" t="s">
        <v>4252</v>
      </c>
      <c r="D80" s="553"/>
      <c r="E80" s="973">
        <f t="shared" ref="E80:E90" si="23">SUM(F80:H80)</f>
        <v>0</v>
      </c>
      <c r="F80" s="972"/>
      <c r="G80" s="972"/>
      <c r="H80" s="800"/>
      <c r="I80" s="973">
        <f>IF('11. Unit Mix'!$G$142&lt;&gt;0,+E80/'11. Unit Mix'!$G$142,0)</f>
        <v>0</v>
      </c>
      <c r="J80" s="973">
        <f t="shared" si="22"/>
        <v>0</v>
      </c>
      <c r="K80" s="155"/>
      <c r="L80" s="155"/>
      <c r="M80" s="155"/>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1117"/>
      <c r="AQ80" s="3"/>
      <c r="AR80" s="3"/>
      <c r="AS80" s="97"/>
      <c r="AT80" s="97"/>
      <c r="AU80" s="97"/>
      <c r="AV80" s="97"/>
      <c r="AW80" s="97"/>
      <c r="AX80" s="97"/>
    </row>
    <row r="81" spans="2:50" s="795" customFormat="1" ht="16.5">
      <c r="B81" s="1117"/>
      <c r="C81" s="552" t="s">
        <v>4253</v>
      </c>
      <c r="D81" s="553"/>
      <c r="E81" s="973">
        <f t="shared" si="23"/>
        <v>0</v>
      </c>
      <c r="F81" s="972"/>
      <c r="G81" s="972"/>
      <c r="H81" s="800"/>
      <c r="I81" s="973">
        <f>IF('11. Unit Mix'!$G$142&lt;&gt;0,+E81/'11. Unit Mix'!$G$142,0)</f>
        <v>0</v>
      </c>
      <c r="J81" s="973">
        <f t="shared" si="22"/>
        <v>0</v>
      </c>
      <c r="K81" s="155"/>
      <c r="L81" s="155"/>
      <c r="M81" s="155"/>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c r="AK81" s="549"/>
      <c r="AL81" s="549"/>
      <c r="AM81" s="549"/>
      <c r="AN81" s="549"/>
      <c r="AO81" s="549"/>
      <c r="AP81" s="1117"/>
      <c r="AQ81" s="3"/>
      <c r="AR81" s="3"/>
      <c r="AS81" s="97"/>
      <c r="AT81" s="97"/>
      <c r="AU81" s="97"/>
      <c r="AV81" s="97"/>
      <c r="AW81" s="97"/>
      <c r="AX81" s="97"/>
    </row>
    <row r="82" spans="2:50" s="795" customFormat="1" ht="16.5">
      <c r="B82" s="1117"/>
      <c r="C82" s="552" t="s">
        <v>4254</v>
      </c>
      <c r="D82" s="553"/>
      <c r="E82" s="973">
        <f t="shared" si="23"/>
        <v>0</v>
      </c>
      <c r="F82" s="972"/>
      <c r="G82" s="972"/>
      <c r="H82" s="800"/>
      <c r="I82" s="973">
        <f>IF('11. Unit Mix'!$G$142&lt;&gt;0,+E82/'11. Unit Mix'!$G$142,0)</f>
        <v>0</v>
      </c>
      <c r="J82" s="973">
        <f t="shared" si="22"/>
        <v>0</v>
      </c>
      <c r="K82" s="155"/>
      <c r="L82" s="155"/>
      <c r="M82" s="155"/>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1117"/>
      <c r="AQ82" s="3"/>
      <c r="AR82" s="3"/>
      <c r="AS82" s="97"/>
      <c r="AT82" s="97"/>
      <c r="AU82" s="97"/>
      <c r="AV82" s="97"/>
      <c r="AW82" s="97"/>
      <c r="AX82" s="97"/>
    </row>
    <row r="83" spans="2:50" s="795" customFormat="1" ht="16.5">
      <c r="B83" s="1117"/>
      <c r="C83" s="552" t="s">
        <v>4255</v>
      </c>
      <c r="D83" s="553"/>
      <c r="E83" s="973">
        <f t="shared" si="23"/>
        <v>0</v>
      </c>
      <c r="F83" s="972"/>
      <c r="G83" s="972"/>
      <c r="H83" s="800"/>
      <c r="I83" s="973">
        <f>IF('11. Unit Mix'!$G$142&lt;&gt;0,+E83/'11. Unit Mix'!$G$142,0)</f>
        <v>0</v>
      </c>
      <c r="J83" s="973">
        <f t="shared" si="22"/>
        <v>0</v>
      </c>
      <c r="K83" s="155"/>
      <c r="L83" s="155"/>
      <c r="M83" s="155"/>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1117"/>
      <c r="AQ83" s="3"/>
      <c r="AR83" s="3"/>
      <c r="AS83" s="97"/>
      <c r="AT83" s="97"/>
      <c r="AU83" s="97"/>
      <c r="AV83" s="97"/>
      <c r="AW83" s="97"/>
      <c r="AX83" s="97"/>
    </row>
    <row r="84" spans="2:50" s="795" customFormat="1" ht="16.5">
      <c r="B84" s="1117"/>
      <c r="C84" s="552" t="s">
        <v>4256</v>
      </c>
      <c r="D84" s="553"/>
      <c r="E84" s="973">
        <f t="shared" si="23"/>
        <v>0</v>
      </c>
      <c r="F84" s="972"/>
      <c r="G84" s="972"/>
      <c r="H84" s="800"/>
      <c r="I84" s="973">
        <f>IF('11. Unit Mix'!$G$142&lt;&gt;0,+E84/'11. Unit Mix'!$G$142,0)</f>
        <v>0</v>
      </c>
      <c r="J84" s="973">
        <f t="shared" si="22"/>
        <v>0</v>
      </c>
      <c r="K84" s="155"/>
      <c r="L84" s="155"/>
      <c r="M84" s="155"/>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1117"/>
      <c r="AQ84" s="3"/>
      <c r="AR84" s="3"/>
      <c r="AS84" s="97"/>
      <c r="AT84" s="97"/>
      <c r="AU84" s="97"/>
      <c r="AV84" s="97"/>
      <c r="AW84" s="97"/>
      <c r="AX84" s="97"/>
    </row>
    <row r="85" spans="2:50" s="795" customFormat="1" ht="16.5">
      <c r="B85" s="1117"/>
      <c r="C85" s="552" t="s">
        <v>4257</v>
      </c>
      <c r="D85" s="553"/>
      <c r="E85" s="973">
        <f t="shared" si="23"/>
        <v>0</v>
      </c>
      <c r="F85" s="972"/>
      <c r="G85" s="972"/>
      <c r="H85" s="800"/>
      <c r="I85" s="973">
        <f>IF('11. Unit Mix'!$G$142&lt;&gt;0,+E85/'11. Unit Mix'!$G$142,0)</f>
        <v>0</v>
      </c>
      <c r="J85" s="973">
        <f t="shared" si="22"/>
        <v>0</v>
      </c>
      <c r="K85" s="155"/>
      <c r="L85" s="155"/>
      <c r="M85" s="155"/>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1117"/>
      <c r="AQ85" s="3"/>
      <c r="AR85" s="3"/>
      <c r="AS85" s="97"/>
      <c r="AT85" s="97"/>
      <c r="AU85" s="97"/>
      <c r="AV85" s="97"/>
      <c r="AW85" s="97"/>
      <c r="AX85" s="97"/>
    </row>
    <row r="86" spans="2:50" s="795" customFormat="1" ht="16.5">
      <c r="B86" s="1117"/>
      <c r="C86" s="552" t="s">
        <v>4258</v>
      </c>
      <c r="D86" s="553"/>
      <c r="E86" s="973">
        <f t="shared" si="23"/>
        <v>0</v>
      </c>
      <c r="F86" s="972"/>
      <c r="G86" s="972"/>
      <c r="H86" s="800"/>
      <c r="I86" s="973">
        <f>IF('11. Unit Mix'!$G$142&lt;&gt;0,+E86/'11. Unit Mix'!$G$142,0)</f>
        <v>0</v>
      </c>
      <c r="J86" s="973">
        <f t="shared" si="22"/>
        <v>0</v>
      </c>
      <c r="K86" s="155"/>
      <c r="L86" s="155"/>
      <c r="M86" s="155"/>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1117"/>
      <c r="AQ86" s="3"/>
      <c r="AR86" s="3"/>
      <c r="AS86" s="97"/>
      <c r="AT86" s="97"/>
      <c r="AU86" s="97"/>
      <c r="AV86" s="97"/>
      <c r="AW86" s="97"/>
      <c r="AX86" s="97"/>
    </row>
    <row r="87" spans="2:50" s="795" customFormat="1" ht="16.5">
      <c r="B87" s="1117"/>
      <c r="C87" s="552" t="s">
        <v>4259</v>
      </c>
      <c r="D87" s="553"/>
      <c r="E87" s="973">
        <f t="shared" si="23"/>
        <v>0</v>
      </c>
      <c r="F87" s="972"/>
      <c r="G87" s="972"/>
      <c r="H87" s="800"/>
      <c r="I87" s="973">
        <f>IF('11. Unit Mix'!$G$142&lt;&gt;0,+E87/'11. Unit Mix'!$G$142,0)</f>
        <v>0</v>
      </c>
      <c r="J87" s="973">
        <f t="shared" si="22"/>
        <v>0</v>
      </c>
      <c r="K87" s="155"/>
      <c r="L87" s="155"/>
      <c r="M87" s="155"/>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1117"/>
      <c r="AQ87" s="3"/>
      <c r="AR87" s="3"/>
      <c r="AS87" s="97"/>
      <c r="AT87" s="97"/>
      <c r="AU87" s="97"/>
      <c r="AV87" s="97"/>
      <c r="AW87" s="97"/>
      <c r="AX87" s="97"/>
    </row>
    <row r="88" spans="2:50" s="795" customFormat="1" ht="16.5">
      <c r="B88" s="1117"/>
      <c r="C88" s="552" t="s">
        <v>4260</v>
      </c>
      <c r="D88" s="553"/>
      <c r="E88" s="973">
        <f t="shared" si="23"/>
        <v>0</v>
      </c>
      <c r="F88" s="972"/>
      <c r="G88" s="972"/>
      <c r="H88" s="800"/>
      <c r="I88" s="973">
        <f>IF('11. Unit Mix'!$G$142&lt;&gt;0,+E88/'11. Unit Mix'!$G$142,0)</f>
        <v>0</v>
      </c>
      <c r="J88" s="973">
        <f t="shared" si="22"/>
        <v>0</v>
      </c>
      <c r="K88" s="155"/>
      <c r="L88" s="155"/>
      <c r="M88" s="155"/>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1117"/>
      <c r="AQ88" s="3"/>
      <c r="AR88" s="3"/>
      <c r="AS88" s="97"/>
      <c r="AT88" s="97"/>
      <c r="AU88" s="97"/>
      <c r="AV88" s="97"/>
      <c r="AW88" s="97"/>
      <c r="AX88" s="97"/>
    </row>
    <row r="89" spans="2:50" s="795" customFormat="1" ht="16.5">
      <c r="B89" s="1117"/>
      <c r="C89" s="552" t="s">
        <v>4261</v>
      </c>
      <c r="D89" s="553"/>
      <c r="E89" s="973">
        <f t="shared" si="23"/>
        <v>0</v>
      </c>
      <c r="F89" s="972"/>
      <c r="G89" s="972"/>
      <c r="H89" s="800"/>
      <c r="I89" s="973">
        <f>IF('11. Unit Mix'!$G$142&lt;&gt;0,+E89/'11. Unit Mix'!$G$142,0)</f>
        <v>0</v>
      </c>
      <c r="J89" s="973">
        <f t="shared" si="22"/>
        <v>0</v>
      </c>
      <c r="K89" s="155"/>
      <c r="L89" s="155"/>
      <c r="M89" s="155"/>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1117"/>
      <c r="AQ89" s="3"/>
      <c r="AR89" s="3"/>
      <c r="AS89" s="97"/>
      <c r="AT89" s="97"/>
      <c r="AU89" s="97"/>
      <c r="AV89" s="97"/>
      <c r="AW89" s="97"/>
      <c r="AX89" s="97"/>
    </row>
    <row r="90" spans="2:50" s="795" customFormat="1" ht="16.5">
      <c r="B90" s="1117"/>
      <c r="C90" s="552" t="s">
        <v>4262</v>
      </c>
      <c r="D90" s="553"/>
      <c r="E90" s="973">
        <f t="shared" si="23"/>
        <v>0</v>
      </c>
      <c r="F90" s="972"/>
      <c r="G90" s="972"/>
      <c r="H90" s="800"/>
      <c r="I90" s="973">
        <f>IF('11. Unit Mix'!$G$142&lt;&gt;0,+E90/'11. Unit Mix'!$G$142,0)</f>
        <v>0</v>
      </c>
      <c r="J90" s="973">
        <f t="shared" si="22"/>
        <v>0</v>
      </c>
      <c r="K90" s="155"/>
      <c r="L90" s="155"/>
      <c r="M90" s="155"/>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1117"/>
      <c r="AQ90" s="3"/>
      <c r="AR90" s="3"/>
      <c r="AS90" s="97"/>
      <c r="AT90" s="97"/>
      <c r="AU90" s="97"/>
      <c r="AV90" s="97"/>
      <c r="AW90" s="97"/>
      <c r="AX90" s="97"/>
    </row>
    <row r="91" spans="2:50" s="795" customFormat="1" ht="16.5">
      <c r="B91" s="1117"/>
      <c r="C91" s="1118"/>
      <c r="D91" s="1118"/>
      <c r="E91" s="1118"/>
      <c r="F91" s="1118"/>
      <c r="G91" s="1118"/>
      <c r="H91" s="1118"/>
      <c r="I91" s="1118"/>
      <c r="J91" s="1118"/>
      <c r="K91" s="155"/>
      <c r="L91" s="155"/>
      <c r="M91" s="155"/>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1117"/>
      <c r="AQ91" s="3"/>
      <c r="AR91" s="3"/>
      <c r="AS91" s="97"/>
      <c r="AT91" s="97"/>
      <c r="AU91" s="97"/>
      <c r="AV91" s="97"/>
      <c r="AW91" s="97"/>
      <c r="AX91" s="97"/>
    </row>
    <row r="92" spans="2:50" s="796" customFormat="1">
      <c r="B92" s="1117"/>
      <c r="C92" s="550" t="s">
        <v>4263</v>
      </c>
      <c r="D92" s="551"/>
      <c r="E92" s="562">
        <f>+SUM(E93:E101)</f>
        <v>0</v>
      </c>
      <c r="F92" s="562">
        <f t="shared" ref="F92:H92" si="24">+SUM(F93:F101)</f>
        <v>0</v>
      </c>
      <c r="G92" s="562">
        <f t="shared" si="24"/>
        <v>0</v>
      </c>
      <c r="H92" s="562">
        <f t="shared" si="24"/>
        <v>0</v>
      </c>
      <c r="I92" s="562">
        <f>IF('11. Unit Mix'!$G$142&lt;&gt;0,+E92/'11. Unit Mix'!$G$142,0)</f>
        <v>0</v>
      </c>
      <c r="J92" s="562">
        <f t="shared" ref="J92:J101" si="25">IF(Total_Units&lt;&gt;0,+E92/Total_Units,0)</f>
        <v>0</v>
      </c>
      <c r="K92" s="155"/>
      <c r="L92" s="155"/>
      <c r="M92" s="155"/>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c r="AL92" s="942"/>
      <c r="AM92" s="942"/>
      <c r="AN92" s="942"/>
      <c r="AO92" s="942"/>
      <c r="AP92" s="1117"/>
      <c r="AQ92" s="3"/>
      <c r="AR92" s="3"/>
      <c r="AS92" s="97"/>
      <c r="AT92" s="97"/>
      <c r="AU92" s="97"/>
      <c r="AV92" s="97"/>
      <c r="AW92" s="97"/>
      <c r="AX92" s="97"/>
    </row>
    <row r="93" spans="2:50" s="795" customFormat="1" ht="16.5">
      <c r="B93" s="1117"/>
      <c r="C93" s="552" t="s">
        <v>4264</v>
      </c>
      <c r="D93" s="553"/>
      <c r="E93" s="973">
        <f t="shared" ref="E93:E101" si="26">SUM(F93:H93)</f>
        <v>0</v>
      </c>
      <c r="F93" s="972"/>
      <c r="G93" s="972"/>
      <c r="H93" s="800"/>
      <c r="I93" s="973">
        <f>IF('11. Unit Mix'!$G$142&lt;&gt;0,+E93/'11. Unit Mix'!$G$142,0)</f>
        <v>0</v>
      </c>
      <c r="J93" s="973">
        <f t="shared" si="25"/>
        <v>0</v>
      </c>
      <c r="K93" s="155"/>
      <c r="L93" s="155"/>
      <c r="M93" s="155"/>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1117"/>
      <c r="AQ93" s="3"/>
      <c r="AR93" s="3"/>
      <c r="AS93" s="97"/>
      <c r="AT93" s="97"/>
      <c r="AU93" s="97"/>
      <c r="AV93" s="97"/>
      <c r="AW93" s="97"/>
      <c r="AX93" s="97"/>
    </row>
    <row r="94" spans="2:50" s="795" customFormat="1" ht="16.5">
      <c r="B94" s="1117"/>
      <c r="C94" s="552" t="s">
        <v>4265</v>
      </c>
      <c r="D94" s="553"/>
      <c r="E94" s="973">
        <f t="shared" si="26"/>
        <v>0</v>
      </c>
      <c r="F94" s="972"/>
      <c r="G94" s="972"/>
      <c r="H94" s="800"/>
      <c r="I94" s="973">
        <f>IF('11. Unit Mix'!$G$142&lt;&gt;0,+E94/'11. Unit Mix'!$G$142,0)</f>
        <v>0</v>
      </c>
      <c r="J94" s="973">
        <f t="shared" si="25"/>
        <v>0</v>
      </c>
      <c r="K94" s="155"/>
      <c r="L94" s="155"/>
      <c r="M94" s="155"/>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1117"/>
      <c r="AQ94" s="3"/>
      <c r="AR94" s="3"/>
      <c r="AS94" s="97"/>
      <c r="AT94" s="97"/>
      <c r="AU94" s="97"/>
      <c r="AV94" s="97"/>
      <c r="AW94" s="97"/>
      <c r="AX94" s="97"/>
    </row>
    <row r="95" spans="2:50" s="795" customFormat="1" ht="16.5">
      <c r="B95" s="1117"/>
      <c r="C95" s="552" t="s">
        <v>4266</v>
      </c>
      <c r="D95" s="553"/>
      <c r="E95" s="973">
        <f t="shared" si="26"/>
        <v>0</v>
      </c>
      <c r="F95" s="972"/>
      <c r="G95" s="972"/>
      <c r="H95" s="800"/>
      <c r="I95" s="973">
        <f>IF('11. Unit Mix'!$G$142&lt;&gt;0,+E95/'11. Unit Mix'!$G$142,0)</f>
        <v>0</v>
      </c>
      <c r="J95" s="973">
        <f t="shared" si="25"/>
        <v>0</v>
      </c>
      <c r="K95" s="155"/>
      <c r="L95" s="155"/>
      <c r="M95" s="155"/>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1117"/>
      <c r="AQ95" s="3"/>
      <c r="AR95" s="3"/>
      <c r="AS95" s="97"/>
      <c r="AT95" s="97"/>
      <c r="AU95" s="97"/>
      <c r="AV95" s="97"/>
      <c r="AW95" s="97"/>
      <c r="AX95" s="97"/>
    </row>
    <row r="96" spans="2:50" s="795" customFormat="1" ht="16.5">
      <c r="B96" s="1117"/>
      <c r="C96" s="552" t="s">
        <v>4267</v>
      </c>
      <c r="D96" s="553"/>
      <c r="E96" s="973">
        <f t="shared" si="26"/>
        <v>0</v>
      </c>
      <c r="F96" s="972"/>
      <c r="G96" s="972"/>
      <c r="H96" s="800"/>
      <c r="I96" s="973">
        <f>IF('11. Unit Mix'!$G$142&lt;&gt;0,+E96/'11. Unit Mix'!$G$142,0)</f>
        <v>0</v>
      </c>
      <c r="J96" s="973">
        <f t="shared" si="25"/>
        <v>0</v>
      </c>
      <c r="K96" s="155"/>
      <c r="L96" s="155"/>
      <c r="M96" s="155"/>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1117"/>
      <c r="AQ96" s="3"/>
      <c r="AR96" s="3"/>
      <c r="AS96" s="97"/>
      <c r="AT96" s="97"/>
      <c r="AU96" s="97"/>
      <c r="AV96" s="97"/>
      <c r="AW96" s="97"/>
      <c r="AX96" s="97"/>
    </row>
    <row r="97" spans="2:50" s="795" customFormat="1" ht="16.5">
      <c r="B97" s="1117"/>
      <c r="C97" s="552" t="s">
        <v>4268</v>
      </c>
      <c r="D97" s="553"/>
      <c r="E97" s="973">
        <f t="shared" si="26"/>
        <v>0</v>
      </c>
      <c r="F97" s="972"/>
      <c r="G97" s="972"/>
      <c r="H97" s="800"/>
      <c r="I97" s="973">
        <f>IF('11. Unit Mix'!$G$142&lt;&gt;0,+E97/'11. Unit Mix'!$G$142,0)</f>
        <v>0</v>
      </c>
      <c r="J97" s="973">
        <f t="shared" si="25"/>
        <v>0</v>
      </c>
      <c r="K97" s="155"/>
      <c r="L97" s="155"/>
      <c r="M97" s="155"/>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1117"/>
      <c r="AQ97" s="3"/>
      <c r="AR97" s="3"/>
      <c r="AS97" s="97"/>
      <c r="AT97" s="97"/>
      <c r="AU97" s="97"/>
      <c r="AV97" s="97"/>
      <c r="AW97" s="97"/>
      <c r="AX97" s="97"/>
    </row>
    <row r="98" spans="2:50" s="795" customFormat="1" ht="16.5">
      <c r="B98" s="1117"/>
      <c r="C98" s="552" t="s">
        <v>4269</v>
      </c>
      <c r="D98" s="553"/>
      <c r="E98" s="973">
        <f t="shared" si="26"/>
        <v>0</v>
      </c>
      <c r="F98" s="972"/>
      <c r="G98" s="972"/>
      <c r="H98" s="800"/>
      <c r="I98" s="973">
        <f>IF('11. Unit Mix'!$G$142&lt;&gt;0,+E98/'11. Unit Mix'!$G$142,0)</f>
        <v>0</v>
      </c>
      <c r="J98" s="973">
        <f t="shared" si="25"/>
        <v>0</v>
      </c>
      <c r="K98" s="155"/>
      <c r="L98" s="155"/>
      <c r="M98" s="155"/>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1117"/>
      <c r="AQ98" s="3"/>
      <c r="AR98" s="3"/>
      <c r="AS98" s="97"/>
      <c r="AT98" s="97"/>
      <c r="AU98" s="97"/>
      <c r="AV98" s="97"/>
      <c r="AW98" s="97"/>
      <c r="AX98" s="97"/>
    </row>
    <row r="99" spans="2:50" s="795" customFormat="1" ht="16.5">
      <c r="B99" s="1117"/>
      <c r="C99" s="552" t="s">
        <v>4270</v>
      </c>
      <c r="D99" s="553"/>
      <c r="E99" s="973">
        <f t="shared" si="26"/>
        <v>0</v>
      </c>
      <c r="F99" s="972"/>
      <c r="G99" s="972"/>
      <c r="H99" s="800"/>
      <c r="I99" s="973">
        <f>IF('11. Unit Mix'!$G$142&lt;&gt;0,+E99/'11. Unit Mix'!$G$142,0)</f>
        <v>0</v>
      </c>
      <c r="J99" s="973">
        <f t="shared" si="25"/>
        <v>0</v>
      </c>
      <c r="K99" s="155"/>
      <c r="L99" s="155"/>
      <c r="M99" s="155"/>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1117"/>
      <c r="AQ99" s="3"/>
      <c r="AR99" s="3"/>
      <c r="AS99" s="97"/>
      <c r="AT99" s="97"/>
      <c r="AU99" s="97"/>
      <c r="AV99" s="97"/>
      <c r="AW99" s="97"/>
      <c r="AX99" s="97"/>
    </row>
    <row r="100" spans="2:50" s="795" customFormat="1" ht="16.5">
      <c r="B100" s="1117"/>
      <c r="C100" s="552" t="s">
        <v>4271</v>
      </c>
      <c r="D100" s="553"/>
      <c r="E100" s="973">
        <f t="shared" si="26"/>
        <v>0</v>
      </c>
      <c r="F100" s="972"/>
      <c r="G100" s="972"/>
      <c r="H100" s="800"/>
      <c r="I100" s="973">
        <f>IF('11. Unit Mix'!$G$142&lt;&gt;0,+E100/'11. Unit Mix'!$G$142,0)</f>
        <v>0</v>
      </c>
      <c r="J100" s="973">
        <f t="shared" si="25"/>
        <v>0</v>
      </c>
      <c r="K100" s="155"/>
      <c r="L100" s="155"/>
      <c r="M100" s="155"/>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1117"/>
      <c r="AQ100" s="3"/>
      <c r="AR100" s="3"/>
      <c r="AS100" s="97"/>
      <c r="AT100" s="97"/>
      <c r="AU100" s="97"/>
      <c r="AV100" s="97"/>
      <c r="AW100" s="97"/>
      <c r="AX100" s="97"/>
    </row>
    <row r="101" spans="2:50" s="795" customFormat="1" ht="16.5">
      <c r="B101" s="1117"/>
      <c r="C101" s="552" t="s">
        <v>4272</v>
      </c>
      <c r="D101" s="553"/>
      <c r="E101" s="973">
        <f t="shared" si="26"/>
        <v>0</v>
      </c>
      <c r="F101" s="972"/>
      <c r="G101" s="972"/>
      <c r="H101" s="800"/>
      <c r="I101" s="973">
        <f>IF('11. Unit Mix'!$G$142&lt;&gt;0,+E101/'11. Unit Mix'!$G$142,0)</f>
        <v>0</v>
      </c>
      <c r="J101" s="973">
        <f t="shared" si="25"/>
        <v>0</v>
      </c>
      <c r="K101" s="155"/>
      <c r="L101" s="155"/>
      <c r="M101" s="155"/>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1117"/>
      <c r="AQ101" s="3"/>
      <c r="AR101" s="3"/>
      <c r="AS101" s="97"/>
      <c r="AT101" s="97"/>
      <c r="AU101" s="97"/>
      <c r="AV101" s="97"/>
      <c r="AW101" s="97"/>
      <c r="AX101" s="97"/>
    </row>
    <row r="102" spans="2:50" s="795" customFormat="1" ht="16.5">
      <c r="B102" s="1117"/>
      <c r="C102" s="1118"/>
      <c r="D102" s="1118"/>
      <c r="E102" s="1118"/>
      <c r="F102" s="1118"/>
      <c r="G102" s="1118"/>
      <c r="H102" s="1118"/>
      <c r="I102" s="1118"/>
      <c r="J102" s="1118"/>
      <c r="K102" s="155"/>
      <c r="L102" s="155"/>
      <c r="M102" s="155"/>
      <c r="N102" s="549"/>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1117"/>
      <c r="AQ102" s="3"/>
      <c r="AR102" s="3"/>
      <c r="AS102" s="97"/>
      <c r="AT102" s="97"/>
      <c r="AU102" s="97"/>
      <c r="AV102" s="97"/>
      <c r="AW102" s="97"/>
      <c r="AX102" s="97"/>
    </row>
    <row r="103" spans="2:50" s="796" customFormat="1">
      <c r="B103" s="1117"/>
      <c r="C103" s="550" t="s">
        <v>4273</v>
      </c>
      <c r="D103" s="551"/>
      <c r="E103" s="562">
        <f>+SUM(E104:E112)</f>
        <v>0</v>
      </c>
      <c r="F103" s="562">
        <f t="shared" ref="F103:H103" si="27">+SUM(F104:F112)</f>
        <v>0</v>
      </c>
      <c r="G103" s="562">
        <f t="shared" si="27"/>
        <v>0</v>
      </c>
      <c r="H103" s="562">
        <f t="shared" si="27"/>
        <v>0</v>
      </c>
      <c r="I103" s="562">
        <f>IF('11. Unit Mix'!$G$142&lt;&gt;0,+E103/'11. Unit Mix'!$G$142,0)</f>
        <v>0</v>
      </c>
      <c r="J103" s="562">
        <f t="shared" ref="J103:J112" si="28">IF(Total_Units&lt;&gt;0,+E103/Total_Units,0)</f>
        <v>0</v>
      </c>
      <c r="K103" s="155"/>
      <c r="L103" s="155"/>
      <c r="M103" s="155"/>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1117"/>
      <c r="AQ103" s="3"/>
      <c r="AR103" s="3"/>
      <c r="AS103" s="97"/>
      <c r="AT103" s="97"/>
      <c r="AU103" s="97"/>
      <c r="AV103" s="97"/>
      <c r="AW103" s="97"/>
      <c r="AX103" s="97"/>
    </row>
    <row r="104" spans="2:50" s="795" customFormat="1" ht="16.5">
      <c r="B104" s="1117"/>
      <c r="C104" s="552" t="s">
        <v>4274</v>
      </c>
      <c r="D104" s="553"/>
      <c r="E104" s="973">
        <f t="shared" ref="E104:E112" si="29">SUM(F104:H104)</f>
        <v>0</v>
      </c>
      <c r="F104" s="972"/>
      <c r="G104" s="972"/>
      <c r="H104" s="800"/>
      <c r="I104" s="973">
        <f>IF('11. Unit Mix'!$G$142&lt;&gt;0,+E104/'11. Unit Mix'!$G$142,0)</f>
        <v>0</v>
      </c>
      <c r="J104" s="973">
        <f t="shared" si="28"/>
        <v>0</v>
      </c>
      <c r="K104" s="155"/>
      <c r="L104" s="155"/>
      <c r="M104" s="155"/>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1117"/>
      <c r="AQ104" s="3"/>
      <c r="AR104" s="3"/>
      <c r="AS104" s="97"/>
      <c r="AT104" s="97"/>
      <c r="AU104" s="97"/>
      <c r="AV104" s="97"/>
      <c r="AW104" s="97"/>
      <c r="AX104" s="97"/>
    </row>
    <row r="105" spans="2:50" s="795" customFormat="1" ht="16.5">
      <c r="B105" s="1117"/>
      <c r="C105" s="552" t="s">
        <v>4275</v>
      </c>
      <c r="D105" s="553"/>
      <c r="E105" s="973">
        <f t="shared" si="29"/>
        <v>0</v>
      </c>
      <c r="F105" s="972"/>
      <c r="G105" s="972"/>
      <c r="H105" s="800"/>
      <c r="I105" s="973">
        <f>IF('11. Unit Mix'!$G$142&lt;&gt;0,+E105/'11. Unit Mix'!$G$142,0)</f>
        <v>0</v>
      </c>
      <c r="J105" s="973">
        <f t="shared" si="28"/>
        <v>0</v>
      </c>
      <c r="K105" s="155"/>
      <c r="L105" s="155"/>
      <c r="M105" s="155"/>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1117"/>
      <c r="AQ105" s="3"/>
      <c r="AR105" s="3"/>
      <c r="AS105" s="97"/>
      <c r="AT105" s="97"/>
      <c r="AU105" s="97"/>
      <c r="AV105" s="97"/>
      <c r="AW105" s="97"/>
      <c r="AX105" s="97"/>
    </row>
    <row r="106" spans="2:50" s="795" customFormat="1" ht="16.5">
      <c r="B106" s="1117"/>
      <c r="C106" s="552" t="s">
        <v>4276</v>
      </c>
      <c r="D106" s="553"/>
      <c r="E106" s="973">
        <f t="shared" si="29"/>
        <v>0</v>
      </c>
      <c r="F106" s="972"/>
      <c r="G106" s="972"/>
      <c r="H106" s="800"/>
      <c r="I106" s="973">
        <f>IF('11. Unit Mix'!$G$142&lt;&gt;0,+E106/'11. Unit Mix'!$G$142,0)</f>
        <v>0</v>
      </c>
      <c r="J106" s="973">
        <f t="shared" si="28"/>
        <v>0</v>
      </c>
      <c r="K106" s="155"/>
      <c r="L106" s="155"/>
      <c r="M106" s="155"/>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1117"/>
      <c r="AQ106" s="3"/>
      <c r="AR106" s="3"/>
      <c r="AS106" s="97"/>
      <c r="AT106" s="97"/>
      <c r="AU106" s="97"/>
      <c r="AV106" s="97"/>
      <c r="AW106" s="97"/>
      <c r="AX106" s="97"/>
    </row>
    <row r="107" spans="2:50" s="795" customFormat="1" ht="16.5">
      <c r="B107" s="1117"/>
      <c r="C107" s="552" t="s">
        <v>4277</v>
      </c>
      <c r="D107" s="553"/>
      <c r="E107" s="973">
        <f t="shared" si="29"/>
        <v>0</v>
      </c>
      <c r="F107" s="972"/>
      <c r="G107" s="972"/>
      <c r="H107" s="800"/>
      <c r="I107" s="973">
        <f>IF('11. Unit Mix'!$G$142&lt;&gt;0,+E107/'11. Unit Mix'!$G$142,0)</f>
        <v>0</v>
      </c>
      <c r="J107" s="973">
        <f t="shared" si="28"/>
        <v>0</v>
      </c>
      <c r="K107" s="155"/>
      <c r="L107" s="155"/>
      <c r="M107" s="155"/>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1117"/>
      <c r="AQ107" s="3"/>
      <c r="AR107" s="3"/>
      <c r="AS107" s="97"/>
      <c r="AT107" s="97"/>
      <c r="AU107" s="97"/>
      <c r="AV107" s="97"/>
      <c r="AW107" s="97"/>
      <c r="AX107" s="97"/>
    </row>
    <row r="108" spans="2:50" s="795" customFormat="1" ht="16.5">
      <c r="B108" s="1117"/>
      <c r="C108" s="552" t="s">
        <v>4278</v>
      </c>
      <c r="D108" s="553"/>
      <c r="E108" s="973">
        <f t="shared" si="29"/>
        <v>0</v>
      </c>
      <c r="F108" s="972"/>
      <c r="G108" s="972"/>
      <c r="H108" s="800"/>
      <c r="I108" s="973">
        <f>IF('11. Unit Mix'!$G$142&lt;&gt;0,+E108/'11. Unit Mix'!$G$142,0)</f>
        <v>0</v>
      </c>
      <c r="J108" s="973">
        <f t="shared" si="28"/>
        <v>0</v>
      </c>
      <c r="K108" s="155"/>
      <c r="L108" s="155"/>
      <c r="M108" s="155"/>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1117"/>
      <c r="AQ108" s="3"/>
      <c r="AR108" s="3"/>
      <c r="AS108" s="97"/>
      <c r="AT108" s="97"/>
      <c r="AU108" s="97"/>
      <c r="AV108" s="97"/>
      <c r="AW108" s="97"/>
      <c r="AX108" s="97"/>
    </row>
    <row r="109" spans="2:50" s="795" customFormat="1" ht="16.5">
      <c r="B109" s="1117"/>
      <c r="C109" s="552" t="s">
        <v>4279</v>
      </c>
      <c r="D109" s="553"/>
      <c r="E109" s="973">
        <f t="shared" si="29"/>
        <v>0</v>
      </c>
      <c r="F109" s="972"/>
      <c r="G109" s="972"/>
      <c r="H109" s="800"/>
      <c r="I109" s="973">
        <f>IF('11. Unit Mix'!$G$142&lt;&gt;0,+E109/'11. Unit Mix'!$G$142,0)</f>
        <v>0</v>
      </c>
      <c r="J109" s="973">
        <f t="shared" si="28"/>
        <v>0</v>
      </c>
      <c r="K109" s="155"/>
      <c r="L109" s="155"/>
      <c r="M109" s="155"/>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1117"/>
      <c r="AQ109" s="3"/>
      <c r="AR109" s="3"/>
      <c r="AS109" s="97"/>
      <c r="AT109" s="97"/>
      <c r="AU109" s="97"/>
      <c r="AV109" s="97"/>
      <c r="AW109" s="97"/>
      <c r="AX109" s="97"/>
    </row>
    <row r="110" spans="2:50" s="795" customFormat="1" ht="16.5">
      <c r="B110" s="1117"/>
      <c r="C110" s="552" t="s">
        <v>4280</v>
      </c>
      <c r="D110" s="553"/>
      <c r="E110" s="973">
        <f t="shared" si="29"/>
        <v>0</v>
      </c>
      <c r="F110" s="972"/>
      <c r="G110" s="972"/>
      <c r="H110" s="800"/>
      <c r="I110" s="973">
        <f>IF('11. Unit Mix'!$G$142&lt;&gt;0,+E110/'11. Unit Mix'!$G$142,0)</f>
        <v>0</v>
      </c>
      <c r="J110" s="973">
        <f t="shared" si="28"/>
        <v>0</v>
      </c>
      <c r="K110" s="155"/>
      <c r="L110" s="155"/>
      <c r="M110" s="155"/>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1117"/>
      <c r="AQ110" s="3"/>
      <c r="AR110" s="3"/>
      <c r="AS110" s="97"/>
      <c r="AT110" s="97"/>
      <c r="AU110" s="97"/>
      <c r="AV110" s="97"/>
      <c r="AW110" s="97"/>
      <c r="AX110" s="97"/>
    </row>
    <row r="111" spans="2:50" s="795" customFormat="1" ht="16.5">
      <c r="B111" s="1117"/>
      <c r="C111" s="552" t="s">
        <v>4281</v>
      </c>
      <c r="D111" s="553"/>
      <c r="E111" s="973">
        <f t="shared" si="29"/>
        <v>0</v>
      </c>
      <c r="F111" s="972"/>
      <c r="G111" s="972"/>
      <c r="H111" s="800"/>
      <c r="I111" s="973">
        <f>IF('11. Unit Mix'!$G$142&lt;&gt;0,+E111/'11. Unit Mix'!$G$142,0)</f>
        <v>0</v>
      </c>
      <c r="J111" s="973">
        <f t="shared" si="28"/>
        <v>0</v>
      </c>
      <c r="K111" s="155"/>
      <c r="L111" s="155"/>
      <c r="M111" s="155"/>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1117"/>
      <c r="AQ111" s="3"/>
      <c r="AR111" s="3"/>
      <c r="AS111" s="97"/>
      <c r="AT111" s="97"/>
      <c r="AU111" s="97"/>
      <c r="AV111" s="97"/>
      <c r="AW111" s="97"/>
      <c r="AX111" s="97"/>
    </row>
    <row r="112" spans="2:50" s="795" customFormat="1" ht="16.5">
      <c r="B112" s="1117"/>
      <c r="C112" s="552" t="s">
        <v>4282</v>
      </c>
      <c r="D112" s="553"/>
      <c r="E112" s="973">
        <f t="shared" si="29"/>
        <v>0</v>
      </c>
      <c r="F112" s="972"/>
      <c r="G112" s="972"/>
      <c r="H112" s="800"/>
      <c r="I112" s="973">
        <f>IF('11. Unit Mix'!$G$142&lt;&gt;0,+E112/'11. Unit Mix'!$G$142,0)</f>
        <v>0</v>
      </c>
      <c r="J112" s="973">
        <f t="shared" si="28"/>
        <v>0</v>
      </c>
      <c r="K112" s="155"/>
      <c r="L112" s="155"/>
      <c r="M112" s="155"/>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1117"/>
      <c r="AQ112" s="3"/>
      <c r="AR112" s="3"/>
      <c r="AS112" s="97"/>
      <c r="AT112" s="97"/>
      <c r="AU112" s="97"/>
      <c r="AV112" s="97"/>
      <c r="AW112" s="97"/>
      <c r="AX112" s="97"/>
    </row>
    <row r="113" spans="2:50" s="795" customFormat="1" ht="16.5">
      <c r="B113" s="1117"/>
      <c r="C113" s="1118"/>
      <c r="D113" s="1118"/>
      <c r="E113" s="1118"/>
      <c r="F113" s="1118"/>
      <c r="G113" s="1118"/>
      <c r="H113" s="1118"/>
      <c r="I113" s="1118"/>
      <c r="J113" s="1118"/>
      <c r="K113" s="155"/>
      <c r="L113" s="155"/>
      <c r="M113" s="155"/>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1117"/>
      <c r="AQ113" s="3"/>
      <c r="AR113" s="3"/>
      <c r="AS113" s="97"/>
      <c r="AT113" s="97"/>
      <c r="AU113" s="97"/>
      <c r="AV113" s="97"/>
      <c r="AW113" s="97"/>
      <c r="AX113" s="97"/>
    </row>
    <row r="114" spans="2:50" s="796" customFormat="1">
      <c r="B114" s="1117"/>
      <c r="C114" s="550" t="s">
        <v>4283</v>
      </c>
      <c r="D114" s="551"/>
      <c r="E114" s="562">
        <f>+SUM(E115:E122)</f>
        <v>0</v>
      </c>
      <c r="F114" s="562">
        <f t="shared" ref="F114:H114" si="30">+SUM(F115:F122)</f>
        <v>0</v>
      </c>
      <c r="G114" s="562">
        <f t="shared" si="30"/>
        <v>0</v>
      </c>
      <c r="H114" s="562">
        <f t="shared" si="30"/>
        <v>0</v>
      </c>
      <c r="I114" s="562">
        <f>IF('11. Unit Mix'!$G$142&lt;&gt;0,+E114/'11. Unit Mix'!$G$142,0)</f>
        <v>0</v>
      </c>
      <c r="J114" s="562">
        <f t="shared" ref="J114:J122" si="31">IF(Total_Units&lt;&gt;0,+E114/Total_Units,0)</f>
        <v>0</v>
      </c>
      <c r="K114" s="155"/>
      <c r="L114" s="155"/>
      <c r="M114" s="155"/>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1117"/>
      <c r="AQ114" s="3"/>
      <c r="AR114" s="3"/>
      <c r="AS114" s="97"/>
      <c r="AT114" s="97"/>
      <c r="AU114" s="97"/>
      <c r="AV114" s="97"/>
      <c r="AW114" s="97"/>
      <c r="AX114" s="97"/>
    </row>
    <row r="115" spans="2:50" s="795" customFormat="1" ht="16.5">
      <c r="B115" s="1117"/>
      <c r="C115" s="552" t="s">
        <v>4284</v>
      </c>
      <c r="D115" s="553"/>
      <c r="E115" s="973">
        <f t="shared" ref="E115:E122" si="32">SUM(F115:H115)</f>
        <v>0</v>
      </c>
      <c r="F115" s="972"/>
      <c r="G115" s="972"/>
      <c r="H115" s="800"/>
      <c r="I115" s="973">
        <f>IF('11. Unit Mix'!$G$142&lt;&gt;0,+E115/'11. Unit Mix'!$G$142,0)</f>
        <v>0</v>
      </c>
      <c r="J115" s="973">
        <f t="shared" si="31"/>
        <v>0</v>
      </c>
      <c r="K115" s="155"/>
      <c r="L115" s="155"/>
      <c r="M115" s="155"/>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1117"/>
      <c r="AQ115" s="3"/>
      <c r="AR115" s="3"/>
      <c r="AS115" s="97"/>
      <c r="AT115" s="97"/>
      <c r="AU115" s="97"/>
      <c r="AV115" s="97"/>
      <c r="AW115" s="97"/>
      <c r="AX115" s="97"/>
    </row>
    <row r="116" spans="2:50" s="795" customFormat="1" ht="16.5">
      <c r="B116" s="1117"/>
      <c r="C116" s="552" t="s">
        <v>4285</v>
      </c>
      <c r="D116" s="553"/>
      <c r="E116" s="973">
        <f t="shared" si="32"/>
        <v>0</v>
      </c>
      <c r="F116" s="972"/>
      <c r="G116" s="972"/>
      <c r="H116" s="800"/>
      <c r="I116" s="973">
        <f>IF('11. Unit Mix'!$G$142&lt;&gt;0,+E116/'11. Unit Mix'!$G$142,0)</f>
        <v>0</v>
      </c>
      <c r="J116" s="973">
        <f t="shared" si="31"/>
        <v>0</v>
      </c>
      <c r="K116" s="155"/>
      <c r="L116" s="155"/>
      <c r="M116" s="155"/>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1117"/>
      <c r="AQ116" s="3"/>
      <c r="AR116" s="3"/>
      <c r="AS116" s="97"/>
      <c r="AT116" s="97"/>
      <c r="AU116" s="97"/>
      <c r="AV116" s="97"/>
      <c r="AW116" s="97"/>
      <c r="AX116" s="97"/>
    </row>
    <row r="117" spans="2:50" s="795" customFormat="1" ht="16.5">
      <c r="B117" s="1117"/>
      <c r="C117" s="552" t="s">
        <v>4286</v>
      </c>
      <c r="D117" s="553"/>
      <c r="E117" s="973">
        <f t="shared" si="32"/>
        <v>0</v>
      </c>
      <c r="F117" s="972"/>
      <c r="G117" s="972"/>
      <c r="H117" s="800"/>
      <c r="I117" s="973">
        <f>IF('11. Unit Mix'!$G$142&lt;&gt;0,+E117/'11. Unit Mix'!$G$142,0)</f>
        <v>0</v>
      </c>
      <c r="J117" s="973">
        <f t="shared" si="31"/>
        <v>0</v>
      </c>
      <c r="K117" s="155"/>
      <c r="L117" s="155"/>
      <c r="M117" s="155"/>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1117"/>
      <c r="AQ117" s="3"/>
      <c r="AR117" s="3"/>
      <c r="AS117" s="97"/>
      <c r="AT117" s="97"/>
      <c r="AU117" s="97"/>
      <c r="AV117" s="97"/>
      <c r="AW117" s="97"/>
      <c r="AX117" s="97"/>
    </row>
    <row r="118" spans="2:50" s="795" customFormat="1" ht="16.5">
      <c r="B118" s="1117"/>
      <c r="C118" s="552" t="s">
        <v>4287</v>
      </c>
      <c r="D118" s="553"/>
      <c r="E118" s="973">
        <f t="shared" si="32"/>
        <v>0</v>
      </c>
      <c r="F118" s="972"/>
      <c r="G118" s="972"/>
      <c r="H118" s="800"/>
      <c r="I118" s="973">
        <f>IF('11. Unit Mix'!$G$142&lt;&gt;0,+E118/'11. Unit Mix'!$G$142,0)</f>
        <v>0</v>
      </c>
      <c r="J118" s="973">
        <f t="shared" si="31"/>
        <v>0</v>
      </c>
      <c r="K118" s="155"/>
      <c r="L118" s="155"/>
      <c r="M118" s="155"/>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1117"/>
      <c r="AQ118" s="3"/>
      <c r="AR118" s="3"/>
      <c r="AS118" s="97"/>
      <c r="AT118" s="97"/>
      <c r="AU118" s="97"/>
      <c r="AV118" s="97"/>
      <c r="AW118" s="97"/>
      <c r="AX118" s="97"/>
    </row>
    <row r="119" spans="2:50" s="795" customFormat="1" ht="16.5">
      <c r="B119" s="1117"/>
      <c r="C119" s="552" t="s">
        <v>4288</v>
      </c>
      <c r="D119" s="553"/>
      <c r="E119" s="973">
        <f t="shared" si="32"/>
        <v>0</v>
      </c>
      <c r="F119" s="972"/>
      <c r="G119" s="972"/>
      <c r="H119" s="800"/>
      <c r="I119" s="973">
        <f>IF('11. Unit Mix'!$G$142&lt;&gt;0,+E119/'11. Unit Mix'!$G$142,0)</f>
        <v>0</v>
      </c>
      <c r="J119" s="973">
        <f t="shared" si="31"/>
        <v>0</v>
      </c>
      <c r="K119" s="155"/>
      <c r="L119" s="155"/>
      <c r="M119" s="155"/>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1117"/>
      <c r="AQ119" s="3"/>
      <c r="AR119" s="3"/>
      <c r="AS119" s="97"/>
      <c r="AT119" s="97"/>
      <c r="AU119" s="97"/>
      <c r="AV119" s="97"/>
      <c r="AW119" s="97"/>
      <c r="AX119" s="97"/>
    </row>
    <row r="120" spans="2:50" s="795" customFormat="1" ht="16.5">
      <c r="B120" s="1117"/>
      <c r="C120" s="552" t="s">
        <v>4289</v>
      </c>
      <c r="D120" s="553"/>
      <c r="E120" s="973">
        <f t="shared" si="32"/>
        <v>0</v>
      </c>
      <c r="F120" s="972"/>
      <c r="G120" s="972"/>
      <c r="H120" s="800"/>
      <c r="I120" s="973">
        <f>IF('11. Unit Mix'!$G$142&lt;&gt;0,+E120/'11. Unit Mix'!$G$142,0)</f>
        <v>0</v>
      </c>
      <c r="J120" s="973">
        <f t="shared" si="31"/>
        <v>0</v>
      </c>
      <c r="K120" s="155"/>
      <c r="L120" s="155"/>
      <c r="M120" s="155"/>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1117"/>
      <c r="AQ120" s="3"/>
      <c r="AR120" s="3"/>
      <c r="AS120" s="97"/>
      <c r="AT120" s="97"/>
      <c r="AU120" s="97"/>
      <c r="AV120" s="97"/>
      <c r="AW120" s="97"/>
      <c r="AX120" s="97"/>
    </row>
    <row r="121" spans="2:50" s="795" customFormat="1" ht="16.5">
      <c r="B121" s="1117"/>
      <c r="C121" s="552" t="s">
        <v>4290</v>
      </c>
      <c r="D121" s="553"/>
      <c r="E121" s="973">
        <f t="shared" si="32"/>
        <v>0</v>
      </c>
      <c r="F121" s="972"/>
      <c r="G121" s="972"/>
      <c r="H121" s="800"/>
      <c r="I121" s="973">
        <f>IF('11. Unit Mix'!$G$142&lt;&gt;0,+E121/'11. Unit Mix'!$G$142,0)</f>
        <v>0</v>
      </c>
      <c r="J121" s="973">
        <f t="shared" si="31"/>
        <v>0</v>
      </c>
      <c r="K121" s="155"/>
      <c r="L121" s="155"/>
      <c r="M121" s="155"/>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1117"/>
      <c r="AQ121" s="3"/>
      <c r="AR121" s="3"/>
      <c r="AS121" s="97"/>
      <c r="AT121" s="97"/>
      <c r="AU121" s="97"/>
      <c r="AV121" s="97"/>
      <c r="AW121" s="97"/>
      <c r="AX121" s="97"/>
    </row>
    <row r="122" spans="2:50" s="795" customFormat="1" ht="16.5">
      <c r="B122" s="1117"/>
      <c r="C122" s="552" t="s">
        <v>4291</v>
      </c>
      <c r="D122" s="553"/>
      <c r="E122" s="973">
        <f t="shared" si="32"/>
        <v>0</v>
      </c>
      <c r="F122" s="972"/>
      <c r="G122" s="972"/>
      <c r="H122" s="800"/>
      <c r="I122" s="973">
        <f>IF('11. Unit Mix'!$G$142&lt;&gt;0,+E122/'11. Unit Mix'!$G$142,0)</f>
        <v>0</v>
      </c>
      <c r="J122" s="973">
        <f t="shared" si="31"/>
        <v>0</v>
      </c>
      <c r="K122" s="155"/>
      <c r="L122" s="155"/>
      <c r="M122" s="155"/>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1117"/>
      <c r="AQ122" s="3"/>
      <c r="AR122" s="3"/>
      <c r="AS122" s="97"/>
      <c r="AT122" s="97"/>
      <c r="AU122" s="97"/>
      <c r="AV122" s="97"/>
      <c r="AW122" s="97"/>
      <c r="AX122" s="97"/>
    </row>
    <row r="123" spans="2:50" s="795" customFormat="1" ht="16.5">
      <c r="B123" s="1117"/>
      <c r="C123" s="1118"/>
      <c r="D123" s="1118"/>
      <c r="E123" s="1118"/>
      <c r="F123" s="1118"/>
      <c r="G123" s="1118"/>
      <c r="H123" s="1118"/>
      <c r="I123" s="1118"/>
      <c r="J123" s="1118"/>
      <c r="K123" s="155"/>
      <c r="L123" s="155"/>
      <c r="M123" s="155"/>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1117"/>
      <c r="AQ123" s="3"/>
      <c r="AR123" s="3"/>
      <c r="AS123" s="97"/>
      <c r="AT123" s="97"/>
      <c r="AU123" s="97"/>
      <c r="AV123" s="97"/>
      <c r="AW123" s="97"/>
      <c r="AX123" s="97"/>
    </row>
    <row r="124" spans="2:50" s="795" customFormat="1" ht="16.5">
      <c r="B124" s="1117"/>
      <c r="C124" s="550" t="s">
        <v>4292</v>
      </c>
      <c r="D124" s="551"/>
      <c r="E124" s="562">
        <f>+SUM(E125:E136)</f>
        <v>0</v>
      </c>
      <c r="F124" s="562">
        <f t="shared" ref="F124:H124" si="33">+SUM(F125:F136)</f>
        <v>0</v>
      </c>
      <c r="G124" s="562">
        <f t="shared" si="33"/>
        <v>0</v>
      </c>
      <c r="H124" s="562">
        <f t="shared" si="33"/>
        <v>0</v>
      </c>
      <c r="I124" s="562">
        <f>IF('11. Unit Mix'!$G$142&lt;&gt;0,+E124/'11. Unit Mix'!$G$142,0)</f>
        <v>0</v>
      </c>
      <c r="J124" s="562">
        <f t="shared" ref="J124:J136" si="34">IF(Total_Units&lt;&gt;0,+E124/Total_Units,0)</f>
        <v>0</v>
      </c>
      <c r="K124" s="155"/>
      <c r="L124" s="155"/>
      <c r="M124" s="155"/>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1117"/>
      <c r="AQ124" s="3"/>
      <c r="AR124" s="3"/>
      <c r="AS124" s="97"/>
      <c r="AT124" s="97"/>
      <c r="AU124" s="97"/>
      <c r="AV124" s="97"/>
      <c r="AW124" s="97"/>
      <c r="AX124" s="97"/>
    </row>
    <row r="125" spans="2:50" s="796" customFormat="1">
      <c r="B125" s="1117"/>
      <c r="C125" s="552" t="s">
        <v>4293</v>
      </c>
      <c r="D125" s="553"/>
      <c r="E125" s="973">
        <f t="shared" ref="E125:E136" si="35">SUM(F125:H125)</f>
        <v>0</v>
      </c>
      <c r="F125" s="972"/>
      <c r="G125" s="972"/>
      <c r="H125" s="800"/>
      <c r="I125" s="973">
        <f>IF('11. Unit Mix'!$G$142&lt;&gt;0,+E125/'11. Unit Mix'!$G$142,0)</f>
        <v>0</v>
      </c>
      <c r="J125" s="973">
        <f t="shared" si="34"/>
        <v>0</v>
      </c>
      <c r="K125" s="155"/>
      <c r="L125" s="155"/>
      <c r="M125" s="155"/>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1117"/>
      <c r="AQ125" s="3"/>
      <c r="AR125" s="3"/>
      <c r="AS125" s="97"/>
      <c r="AT125" s="97"/>
      <c r="AU125" s="97"/>
      <c r="AV125" s="97"/>
      <c r="AW125" s="97"/>
      <c r="AX125" s="97"/>
    </row>
    <row r="126" spans="2:50" s="795" customFormat="1" ht="16.5">
      <c r="B126" s="1117"/>
      <c r="C126" s="552" t="s">
        <v>4294</v>
      </c>
      <c r="D126" s="553"/>
      <c r="E126" s="973">
        <f t="shared" si="35"/>
        <v>0</v>
      </c>
      <c r="F126" s="972"/>
      <c r="G126" s="972"/>
      <c r="H126" s="800"/>
      <c r="I126" s="973">
        <f>IF('11. Unit Mix'!$G$142&lt;&gt;0,+E126/'11. Unit Mix'!$G$142,0)</f>
        <v>0</v>
      </c>
      <c r="J126" s="973">
        <f t="shared" si="34"/>
        <v>0</v>
      </c>
      <c r="K126" s="155"/>
      <c r="L126" s="155"/>
      <c r="M126" s="155"/>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1117"/>
      <c r="AQ126" s="3"/>
      <c r="AR126" s="3"/>
      <c r="AS126" s="97"/>
      <c r="AT126" s="97"/>
      <c r="AU126" s="97"/>
      <c r="AV126" s="97"/>
      <c r="AW126" s="97"/>
      <c r="AX126" s="97"/>
    </row>
    <row r="127" spans="2:50" s="795" customFormat="1" ht="16.5">
      <c r="B127" s="1117"/>
      <c r="C127" s="552" t="s">
        <v>4295</v>
      </c>
      <c r="D127" s="553"/>
      <c r="E127" s="973">
        <f t="shared" si="35"/>
        <v>0</v>
      </c>
      <c r="F127" s="972"/>
      <c r="G127" s="972"/>
      <c r="H127" s="800"/>
      <c r="I127" s="973">
        <f>IF('11. Unit Mix'!$G$142&lt;&gt;0,+E127/'11. Unit Mix'!$G$142,0)</f>
        <v>0</v>
      </c>
      <c r="J127" s="973">
        <f t="shared" si="34"/>
        <v>0</v>
      </c>
      <c r="K127" s="155"/>
      <c r="L127" s="155"/>
      <c r="M127" s="155"/>
      <c r="N127" s="549"/>
      <c r="O127" s="549"/>
      <c r="P127" s="549"/>
      <c r="Q127" s="549"/>
      <c r="R127" s="549"/>
      <c r="S127" s="549"/>
      <c r="T127" s="549"/>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549"/>
      <c r="AP127" s="1117"/>
      <c r="AQ127" s="3"/>
      <c r="AR127" s="3"/>
      <c r="AS127" s="97"/>
      <c r="AT127" s="97"/>
      <c r="AU127" s="97"/>
      <c r="AV127" s="97"/>
      <c r="AW127" s="97"/>
      <c r="AX127" s="97"/>
    </row>
    <row r="128" spans="2:50" s="795" customFormat="1" ht="16.5">
      <c r="B128" s="1117"/>
      <c r="C128" s="552" t="s">
        <v>4296</v>
      </c>
      <c r="D128" s="553"/>
      <c r="E128" s="973">
        <f t="shared" si="35"/>
        <v>0</v>
      </c>
      <c r="F128" s="972"/>
      <c r="G128" s="972"/>
      <c r="H128" s="800"/>
      <c r="I128" s="973">
        <f>IF('11. Unit Mix'!$G$142&lt;&gt;0,+E128/'11. Unit Mix'!$G$142,0)</f>
        <v>0</v>
      </c>
      <c r="J128" s="973">
        <f t="shared" si="34"/>
        <v>0</v>
      </c>
      <c r="K128" s="155"/>
      <c r="L128" s="155"/>
      <c r="M128" s="155"/>
      <c r="N128" s="549"/>
      <c r="O128" s="549"/>
      <c r="P128" s="549"/>
      <c r="Q128" s="549"/>
      <c r="R128" s="549"/>
      <c r="S128" s="549"/>
      <c r="T128" s="549"/>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549"/>
      <c r="AP128" s="1117"/>
      <c r="AQ128" s="3"/>
      <c r="AR128" s="3"/>
      <c r="AS128" s="97"/>
      <c r="AT128" s="97"/>
      <c r="AU128" s="97"/>
      <c r="AV128" s="97"/>
      <c r="AW128" s="97"/>
      <c r="AX128" s="97"/>
    </row>
    <row r="129" spans="2:50" s="795" customFormat="1" ht="16.5">
      <c r="B129" s="1117"/>
      <c r="C129" s="552" t="s">
        <v>4297</v>
      </c>
      <c r="D129" s="553"/>
      <c r="E129" s="973">
        <f t="shared" si="35"/>
        <v>0</v>
      </c>
      <c r="F129" s="972"/>
      <c r="G129" s="972"/>
      <c r="H129" s="800"/>
      <c r="I129" s="973">
        <f>IF('11. Unit Mix'!$G$142&lt;&gt;0,+E129/'11. Unit Mix'!$G$142,0)</f>
        <v>0</v>
      </c>
      <c r="J129" s="973">
        <f t="shared" si="34"/>
        <v>0</v>
      </c>
      <c r="K129" s="155"/>
      <c r="L129" s="155"/>
      <c r="M129" s="155"/>
      <c r="N129" s="549"/>
      <c r="O129" s="549"/>
      <c r="P129" s="549"/>
      <c r="Q129" s="549"/>
      <c r="R129" s="549"/>
      <c r="S129" s="549"/>
      <c r="T129" s="549"/>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549"/>
      <c r="AP129" s="1117"/>
      <c r="AQ129" s="3"/>
      <c r="AR129" s="3"/>
      <c r="AS129" s="97"/>
      <c r="AT129" s="97"/>
      <c r="AU129" s="97"/>
      <c r="AV129" s="97"/>
      <c r="AW129" s="97"/>
      <c r="AX129" s="97"/>
    </row>
    <row r="130" spans="2:50" s="795" customFormat="1" ht="16.5">
      <c r="B130" s="1117"/>
      <c r="C130" s="552" t="s">
        <v>4298</v>
      </c>
      <c r="D130" s="553"/>
      <c r="E130" s="973">
        <f t="shared" si="35"/>
        <v>0</v>
      </c>
      <c r="F130" s="972"/>
      <c r="G130" s="972"/>
      <c r="H130" s="800"/>
      <c r="I130" s="973">
        <f>IF('11. Unit Mix'!$G$142&lt;&gt;0,+E130/'11. Unit Mix'!$G$142,0)</f>
        <v>0</v>
      </c>
      <c r="J130" s="973">
        <f t="shared" si="34"/>
        <v>0</v>
      </c>
      <c r="K130" s="155"/>
      <c r="L130" s="155"/>
      <c r="M130" s="155"/>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1117"/>
      <c r="AQ130" s="3"/>
      <c r="AR130" s="3"/>
      <c r="AS130" s="97"/>
      <c r="AT130" s="97"/>
      <c r="AU130" s="97"/>
      <c r="AV130" s="97"/>
      <c r="AW130" s="97"/>
      <c r="AX130" s="97"/>
    </row>
    <row r="131" spans="2:50" s="795" customFormat="1" ht="16.5">
      <c r="B131" s="1117"/>
      <c r="C131" s="552" t="s">
        <v>4299</v>
      </c>
      <c r="D131" s="553"/>
      <c r="E131" s="973">
        <f t="shared" si="35"/>
        <v>0</v>
      </c>
      <c r="F131" s="972"/>
      <c r="G131" s="972"/>
      <c r="H131" s="800"/>
      <c r="I131" s="973">
        <f>IF('11. Unit Mix'!$G$142&lt;&gt;0,+E131/'11. Unit Mix'!$G$142,0)</f>
        <v>0</v>
      </c>
      <c r="J131" s="973">
        <f t="shared" si="34"/>
        <v>0</v>
      </c>
      <c r="K131" s="155"/>
      <c r="L131" s="155"/>
      <c r="M131" s="155"/>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1117"/>
      <c r="AQ131" s="3"/>
      <c r="AR131" s="3"/>
      <c r="AS131" s="97"/>
      <c r="AT131" s="97"/>
      <c r="AU131" s="97"/>
      <c r="AV131" s="97"/>
      <c r="AW131" s="97"/>
      <c r="AX131" s="97"/>
    </row>
    <row r="132" spans="2:50" s="795" customFormat="1" ht="16.5">
      <c r="B132" s="1117"/>
      <c r="C132" s="552" t="s">
        <v>4300</v>
      </c>
      <c r="D132" s="553"/>
      <c r="E132" s="973">
        <f t="shared" si="35"/>
        <v>0</v>
      </c>
      <c r="F132" s="972"/>
      <c r="G132" s="972"/>
      <c r="H132" s="800"/>
      <c r="I132" s="973">
        <f>IF('11. Unit Mix'!$G$142&lt;&gt;0,+E132/'11. Unit Mix'!$G$142,0)</f>
        <v>0</v>
      </c>
      <c r="J132" s="973">
        <f t="shared" si="34"/>
        <v>0</v>
      </c>
      <c r="K132" s="155"/>
      <c r="L132" s="155"/>
      <c r="M132" s="155"/>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1117"/>
      <c r="AQ132" s="3"/>
      <c r="AR132" s="3"/>
      <c r="AS132" s="97"/>
      <c r="AT132" s="97"/>
      <c r="AU132" s="97"/>
      <c r="AV132" s="97"/>
      <c r="AW132" s="97"/>
      <c r="AX132" s="97"/>
    </row>
    <row r="133" spans="2:50" s="795" customFormat="1" ht="16.5">
      <c r="B133" s="1117"/>
      <c r="C133" s="552" t="s">
        <v>4301</v>
      </c>
      <c r="D133" s="553"/>
      <c r="E133" s="973">
        <f t="shared" si="35"/>
        <v>0</v>
      </c>
      <c r="F133" s="972"/>
      <c r="G133" s="972"/>
      <c r="H133" s="800"/>
      <c r="I133" s="973">
        <f>IF('11. Unit Mix'!$G$142&lt;&gt;0,+E133/'11. Unit Mix'!$G$142,0)</f>
        <v>0</v>
      </c>
      <c r="J133" s="973">
        <f t="shared" si="34"/>
        <v>0</v>
      </c>
      <c r="K133" s="155"/>
      <c r="L133" s="155"/>
      <c r="M133" s="155"/>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1117"/>
      <c r="AQ133" s="3"/>
      <c r="AR133" s="3"/>
      <c r="AS133" s="97"/>
      <c r="AT133" s="97"/>
      <c r="AU133" s="97"/>
      <c r="AV133" s="97"/>
      <c r="AW133" s="97"/>
      <c r="AX133" s="97"/>
    </row>
    <row r="134" spans="2:50" s="795" customFormat="1" ht="16.5">
      <c r="B134" s="1117"/>
      <c r="C134" s="552" t="s">
        <v>4302</v>
      </c>
      <c r="D134" s="553"/>
      <c r="E134" s="973">
        <f t="shared" si="35"/>
        <v>0</v>
      </c>
      <c r="F134" s="972"/>
      <c r="G134" s="972"/>
      <c r="H134" s="800"/>
      <c r="I134" s="973">
        <f>IF('11. Unit Mix'!$G$142&lt;&gt;0,+E134/'11. Unit Mix'!$G$142,0)</f>
        <v>0</v>
      </c>
      <c r="J134" s="973">
        <f t="shared" si="34"/>
        <v>0</v>
      </c>
      <c r="K134" s="155"/>
      <c r="L134" s="155"/>
      <c r="M134" s="155"/>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1117"/>
      <c r="AQ134" s="3"/>
      <c r="AR134" s="3"/>
      <c r="AS134" s="97"/>
      <c r="AT134" s="97"/>
      <c r="AU134" s="97"/>
      <c r="AV134" s="97"/>
      <c r="AW134" s="97"/>
      <c r="AX134" s="97"/>
    </row>
    <row r="135" spans="2:50" s="795" customFormat="1" ht="16.5">
      <c r="B135" s="1117"/>
      <c r="C135" s="552" t="s">
        <v>4303</v>
      </c>
      <c r="D135" s="553"/>
      <c r="E135" s="973">
        <f t="shared" si="35"/>
        <v>0</v>
      </c>
      <c r="F135" s="972"/>
      <c r="G135" s="972"/>
      <c r="H135" s="800"/>
      <c r="I135" s="973">
        <f>IF('11. Unit Mix'!$G$142&lt;&gt;0,+E135/'11. Unit Mix'!$G$142,0)</f>
        <v>0</v>
      </c>
      <c r="J135" s="973">
        <f t="shared" si="34"/>
        <v>0</v>
      </c>
      <c r="K135" s="155"/>
      <c r="L135" s="155"/>
      <c r="M135" s="155"/>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1117"/>
      <c r="AQ135" s="3"/>
      <c r="AR135" s="3"/>
      <c r="AS135" s="97"/>
      <c r="AT135" s="97"/>
      <c r="AU135" s="97"/>
      <c r="AV135" s="97"/>
      <c r="AW135" s="97"/>
      <c r="AX135" s="97"/>
    </row>
    <row r="136" spans="2:50" s="796" customFormat="1">
      <c r="B136" s="1117"/>
      <c r="C136" s="552" t="s">
        <v>4304</v>
      </c>
      <c r="D136" s="553"/>
      <c r="E136" s="973">
        <f t="shared" si="35"/>
        <v>0</v>
      </c>
      <c r="F136" s="972"/>
      <c r="G136" s="972"/>
      <c r="H136" s="800"/>
      <c r="I136" s="973">
        <f>IF('11. Unit Mix'!$G$142&lt;&gt;0,+E136/'11. Unit Mix'!$G$142,0)</f>
        <v>0</v>
      </c>
      <c r="J136" s="973">
        <f t="shared" si="34"/>
        <v>0</v>
      </c>
      <c r="K136" s="155"/>
      <c r="L136" s="155"/>
      <c r="M136" s="155"/>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1117"/>
      <c r="AQ136" s="3"/>
      <c r="AR136" s="3"/>
      <c r="AS136" s="97"/>
      <c r="AT136" s="97"/>
      <c r="AU136" s="97"/>
      <c r="AV136" s="97"/>
      <c r="AW136" s="97"/>
      <c r="AX136" s="97"/>
    </row>
    <row r="137" spans="2:50" s="795" customFormat="1" ht="16.5">
      <c r="B137" s="1117"/>
      <c r="C137" s="1118"/>
      <c r="D137" s="1118"/>
      <c r="E137" s="1118"/>
      <c r="F137" s="1118"/>
      <c r="G137" s="1118"/>
      <c r="H137" s="1118"/>
      <c r="I137" s="1118"/>
      <c r="J137" s="1118"/>
      <c r="K137" s="155"/>
      <c r="L137" s="155"/>
      <c r="M137" s="155"/>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c r="AN137" s="549"/>
      <c r="AO137" s="549"/>
      <c r="AP137" s="1117"/>
      <c r="AQ137" s="3"/>
      <c r="AR137" s="3"/>
      <c r="AS137" s="97"/>
      <c r="AT137" s="97"/>
      <c r="AU137" s="97"/>
      <c r="AV137" s="97"/>
      <c r="AW137" s="97"/>
      <c r="AX137" s="97"/>
    </row>
    <row r="138" spans="2:50" s="795" customFormat="1" ht="16.5">
      <c r="B138" s="1117"/>
      <c r="C138" s="550" t="s">
        <v>4305</v>
      </c>
      <c r="D138" s="551"/>
      <c r="E138" s="562">
        <f>+SUM(E139:E146)</f>
        <v>0</v>
      </c>
      <c r="F138" s="562">
        <f t="shared" ref="F138:H138" si="36">+SUM(F139:F146)</f>
        <v>0</v>
      </c>
      <c r="G138" s="562">
        <f t="shared" si="36"/>
        <v>0</v>
      </c>
      <c r="H138" s="562">
        <f t="shared" si="36"/>
        <v>0</v>
      </c>
      <c r="I138" s="562">
        <f>IF('11. Unit Mix'!$G$142&lt;&gt;0,+E138/'11. Unit Mix'!$G$142,0)</f>
        <v>0</v>
      </c>
      <c r="J138" s="562">
        <f t="shared" ref="J138:J146" si="37">IF(Total_Units&lt;&gt;0,+E138/Total_Units,0)</f>
        <v>0</v>
      </c>
      <c r="K138" s="155"/>
      <c r="L138" s="155"/>
      <c r="M138" s="155"/>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1117"/>
      <c r="AQ138" s="3"/>
      <c r="AR138" s="3"/>
      <c r="AS138" s="97"/>
      <c r="AT138" s="97"/>
      <c r="AU138" s="97"/>
      <c r="AV138" s="97"/>
      <c r="AW138" s="97"/>
      <c r="AX138" s="97"/>
    </row>
    <row r="139" spans="2:50" s="795" customFormat="1" ht="16.5">
      <c r="B139" s="1117"/>
      <c r="C139" s="552" t="s">
        <v>4306</v>
      </c>
      <c r="D139" s="553"/>
      <c r="E139" s="973">
        <f t="shared" ref="E139:E146" si="38">SUM(F139:H139)</f>
        <v>0</v>
      </c>
      <c r="F139" s="972"/>
      <c r="G139" s="972"/>
      <c r="H139" s="800"/>
      <c r="I139" s="973">
        <f>IF('11. Unit Mix'!$G$142&lt;&gt;0,+E139/'11. Unit Mix'!$G$142,0)</f>
        <v>0</v>
      </c>
      <c r="J139" s="973">
        <f t="shared" si="37"/>
        <v>0</v>
      </c>
      <c r="K139" s="155"/>
      <c r="L139" s="155"/>
      <c r="M139" s="155"/>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1117"/>
      <c r="AQ139" s="3"/>
      <c r="AR139" s="3"/>
      <c r="AS139" s="97"/>
      <c r="AT139" s="97"/>
      <c r="AU139" s="97"/>
      <c r="AV139" s="97"/>
      <c r="AW139" s="97"/>
      <c r="AX139" s="97"/>
    </row>
    <row r="140" spans="2:50" s="795" customFormat="1" ht="16.5">
      <c r="B140" s="1117"/>
      <c r="C140" s="552" t="s">
        <v>4307</v>
      </c>
      <c r="D140" s="553"/>
      <c r="E140" s="973">
        <f t="shared" si="38"/>
        <v>0</v>
      </c>
      <c r="F140" s="972"/>
      <c r="G140" s="972"/>
      <c r="H140" s="800"/>
      <c r="I140" s="973">
        <f>IF('11. Unit Mix'!$G$142&lt;&gt;0,+E140/'11. Unit Mix'!$G$142,0)</f>
        <v>0</v>
      </c>
      <c r="J140" s="973">
        <f t="shared" si="37"/>
        <v>0</v>
      </c>
      <c r="K140" s="155"/>
      <c r="L140" s="155"/>
      <c r="M140" s="155"/>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1117"/>
      <c r="AQ140" s="3"/>
      <c r="AR140" s="3"/>
      <c r="AS140" s="97"/>
      <c r="AT140" s="97"/>
      <c r="AU140" s="97"/>
      <c r="AV140" s="97"/>
      <c r="AW140" s="97"/>
      <c r="AX140" s="97"/>
    </row>
    <row r="141" spans="2:50" s="795" customFormat="1" ht="16.5">
      <c r="B141" s="1117"/>
      <c r="C141" s="552" t="s">
        <v>4308</v>
      </c>
      <c r="D141" s="553"/>
      <c r="E141" s="973">
        <f t="shared" si="38"/>
        <v>0</v>
      </c>
      <c r="F141" s="972"/>
      <c r="G141" s="972"/>
      <c r="H141" s="800"/>
      <c r="I141" s="973">
        <f>IF('11. Unit Mix'!$G$142&lt;&gt;0,+E141/'11. Unit Mix'!$G$142,0)</f>
        <v>0</v>
      </c>
      <c r="J141" s="973">
        <f t="shared" si="37"/>
        <v>0</v>
      </c>
      <c r="K141" s="155"/>
      <c r="L141" s="155"/>
      <c r="M141" s="155"/>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1117"/>
      <c r="AQ141" s="3"/>
      <c r="AR141" s="3"/>
      <c r="AS141" s="97"/>
      <c r="AT141" s="97"/>
      <c r="AU141" s="97"/>
      <c r="AV141" s="97"/>
      <c r="AW141" s="97"/>
      <c r="AX141" s="97"/>
    </row>
    <row r="142" spans="2:50" s="795" customFormat="1" ht="16.5">
      <c r="B142" s="1117"/>
      <c r="C142" s="552" t="s">
        <v>4309</v>
      </c>
      <c r="D142" s="553"/>
      <c r="E142" s="973">
        <f t="shared" si="38"/>
        <v>0</v>
      </c>
      <c r="F142" s="972"/>
      <c r="G142" s="972"/>
      <c r="H142" s="800"/>
      <c r="I142" s="973">
        <f>IF('11. Unit Mix'!$G$142&lt;&gt;0,+E142/'11. Unit Mix'!$G$142,0)</f>
        <v>0</v>
      </c>
      <c r="J142" s="973">
        <f t="shared" si="37"/>
        <v>0</v>
      </c>
      <c r="K142" s="155"/>
      <c r="L142" s="155"/>
      <c r="M142" s="155"/>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1117"/>
      <c r="AQ142" s="3"/>
      <c r="AR142" s="3"/>
      <c r="AS142" s="97"/>
      <c r="AT142" s="97"/>
      <c r="AU142" s="97"/>
      <c r="AV142" s="97"/>
      <c r="AW142" s="97"/>
      <c r="AX142" s="97"/>
    </row>
    <row r="143" spans="2:50" s="795" customFormat="1" ht="16.5">
      <c r="B143" s="1117"/>
      <c r="C143" s="552" t="s">
        <v>4310</v>
      </c>
      <c r="D143" s="553"/>
      <c r="E143" s="973">
        <f t="shared" si="38"/>
        <v>0</v>
      </c>
      <c r="F143" s="972"/>
      <c r="G143" s="972"/>
      <c r="H143" s="800"/>
      <c r="I143" s="973">
        <f>IF('11. Unit Mix'!$G$142&lt;&gt;0,+E143/'11. Unit Mix'!$G$142,0)</f>
        <v>0</v>
      </c>
      <c r="J143" s="973">
        <f t="shared" si="37"/>
        <v>0</v>
      </c>
      <c r="K143" s="155"/>
      <c r="L143" s="155"/>
      <c r="M143" s="155"/>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1117"/>
      <c r="AQ143" s="3"/>
      <c r="AR143" s="3"/>
      <c r="AS143" s="97"/>
      <c r="AT143" s="97"/>
      <c r="AU143" s="97"/>
      <c r="AV143" s="97"/>
      <c r="AW143" s="97"/>
      <c r="AX143" s="97"/>
    </row>
    <row r="144" spans="2:50" s="795" customFormat="1" ht="16.5">
      <c r="B144" s="1117"/>
      <c r="C144" s="552" t="s">
        <v>4311</v>
      </c>
      <c r="D144" s="553"/>
      <c r="E144" s="973">
        <f t="shared" si="38"/>
        <v>0</v>
      </c>
      <c r="F144" s="972"/>
      <c r="G144" s="972"/>
      <c r="H144" s="800"/>
      <c r="I144" s="973">
        <f>IF('11. Unit Mix'!$G$142&lt;&gt;0,+E144/'11. Unit Mix'!$G$142,0)</f>
        <v>0</v>
      </c>
      <c r="J144" s="973">
        <f t="shared" si="37"/>
        <v>0</v>
      </c>
      <c r="K144" s="155"/>
      <c r="L144" s="155"/>
      <c r="M144" s="155"/>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1117"/>
      <c r="AQ144" s="3"/>
      <c r="AR144" s="3"/>
      <c r="AS144" s="97"/>
      <c r="AT144" s="97"/>
      <c r="AU144" s="97"/>
      <c r="AV144" s="97"/>
      <c r="AW144" s="97"/>
      <c r="AX144" s="97"/>
    </row>
    <row r="145" spans="2:50" s="795" customFormat="1" ht="16.5">
      <c r="B145" s="1117"/>
      <c r="C145" s="552" t="s">
        <v>4312</v>
      </c>
      <c r="D145" s="553"/>
      <c r="E145" s="973">
        <f t="shared" si="38"/>
        <v>0</v>
      </c>
      <c r="F145" s="972"/>
      <c r="G145" s="972"/>
      <c r="H145" s="800"/>
      <c r="I145" s="973">
        <f>IF('11. Unit Mix'!$G$142&lt;&gt;0,+E145/'11. Unit Mix'!$G$142,0)</f>
        <v>0</v>
      </c>
      <c r="J145" s="973">
        <f t="shared" si="37"/>
        <v>0</v>
      </c>
      <c r="K145" s="155"/>
      <c r="L145" s="155"/>
      <c r="M145" s="155"/>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1117"/>
      <c r="AQ145" s="3"/>
      <c r="AR145" s="3"/>
      <c r="AS145" s="97"/>
      <c r="AT145" s="97"/>
      <c r="AU145" s="97"/>
      <c r="AV145" s="97"/>
      <c r="AW145" s="97"/>
      <c r="AX145" s="97"/>
    </row>
    <row r="146" spans="2:50" s="796" customFormat="1">
      <c r="B146" s="1117"/>
      <c r="C146" s="552" t="s">
        <v>4313</v>
      </c>
      <c r="D146" s="553"/>
      <c r="E146" s="973">
        <f t="shared" si="38"/>
        <v>0</v>
      </c>
      <c r="F146" s="972"/>
      <c r="G146" s="972"/>
      <c r="H146" s="800"/>
      <c r="I146" s="973">
        <f>IF('11. Unit Mix'!$G$142&lt;&gt;0,+E146/'11. Unit Mix'!$G$142,0)</f>
        <v>0</v>
      </c>
      <c r="J146" s="973">
        <f t="shared" si="37"/>
        <v>0</v>
      </c>
      <c r="K146" s="155"/>
      <c r="L146" s="155"/>
      <c r="M146" s="155"/>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c r="AL146" s="942"/>
      <c r="AM146" s="942"/>
      <c r="AN146" s="942"/>
      <c r="AO146" s="942"/>
      <c r="AP146" s="1117"/>
      <c r="AQ146" s="3"/>
      <c r="AR146" s="3"/>
      <c r="AS146" s="97"/>
      <c r="AT146" s="97"/>
      <c r="AU146" s="97"/>
      <c r="AV146" s="97"/>
      <c r="AW146" s="97"/>
      <c r="AX146" s="97"/>
    </row>
    <row r="147" spans="2:50" s="795" customFormat="1" ht="16.5">
      <c r="B147" s="1117"/>
      <c r="C147" s="1118"/>
      <c r="D147" s="1118"/>
      <c r="E147" s="1118"/>
      <c r="F147" s="1118"/>
      <c r="G147" s="1118"/>
      <c r="H147" s="1118"/>
      <c r="I147" s="1118"/>
      <c r="J147" s="1118"/>
      <c r="K147" s="155"/>
      <c r="L147" s="155"/>
      <c r="M147" s="155"/>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1117"/>
      <c r="AQ147" s="3"/>
      <c r="AR147" s="3"/>
      <c r="AS147" s="97"/>
      <c r="AT147" s="97"/>
      <c r="AU147" s="97"/>
      <c r="AV147" s="97"/>
      <c r="AW147" s="97"/>
      <c r="AX147" s="97"/>
    </row>
    <row r="148" spans="2:50" s="795" customFormat="1" ht="16.5">
      <c r="B148" s="1117"/>
      <c r="C148" s="550" t="s">
        <v>4314</v>
      </c>
      <c r="D148" s="551"/>
      <c r="E148" s="562">
        <f>+SUM(E149:E154)</f>
        <v>0</v>
      </c>
      <c r="F148" s="562">
        <f t="shared" ref="F148:H148" si="39">+SUM(F149:F154)</f>
        <v>0</v>
      </c>
      <c r="G148" s="562">
        <f t="shared" si="39"/>
        <v>0</v>
      </c>
      <c r="H148" s="562">
        <f t="shared" si="39"/>
        <v>0</v>
      </c>
      <c r="I148" s="562">
        <f>IF('11. Unit Mix'!$G$142&lt;&gt;0,+E148/'11. Unit Mix'!$G$142,0)</f>
        <v>0</v>
      </c>
      <c r="J148" s="562">
        <f t="shared" ref="J148:J154" si="40">IF(Total_Units&lt;&gt;0,+E148/Total_Units,0)</f>
        <v>0</v>
      </c>
      <c r="K148" s="155"/>
      <c r="L148" s="155"/>
      <c r="M148" s="155"/>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549"/>
      <c r="AL148" s="549"/>
      <c r="AM148" s="549"/>
      <c r="AN148" s="549"/>
      <c r="AO148" s="549"/>
      <c r="AP148" s="1117"/>
      <c r="AQ148" s="3"/>
      <c r="AR148" s="3"/>
      <c r="AS148" s="97"/>
      <c r="AT148" s="97"/>
      <c r="AU148" s="97"/>
      <c r="AV148" s="97"/>
      <c r="AW148" s="97"/>
      <c r="AX148" s="97"/>
    </row>
    <row r="149" spans="2:50" s="795" customFormat="1" ht="16.5">
      <c r="B149" s="1117"/>
      <c r="C149" s="552" t="s">
        <v>4315</v>
      </c>
      <c r="D149" s="553"/>
      <c r="E149" s="973">
        <f t="shared" ref="E149:E154" si="41">SUM(F149:H149)</f>
        <v>0</v>
      </c>
      <c r="F149" s="972"/>
      <c r="G149" s="972"/>
      <c r="H149" s="800"/>
      <c r="I149" s="973">
        <f>IF('11. Unit Mix'!$G$142&lt;&gt;0,+E149/'11. Unit Mix'!$G$142,0)</f>
        <v>0</v>
      </c>
      <c r="J149" s="973">
        <f t="shared" si="40"/>
        <v>0</v>
      </c>
      <c r="K149" s="155"/>
      <c r="L149" s="155"/>
      <c r="M149" s="155"/>
      <c r="N149" s="549"/>
      <c r="O149" s="549"/>
      <c r="P149" s="549"/>
      <c r="Q149" s="549"/>
      <c r="R149" s="549"/>
      <c r="S149" s="549"/>
      <c r="T149" s="549"/>
      <c r="U149" s="549"/>
      <c r="V149" s="549"/>
      <c r="W149" s="549"/>
      <c r="X149" s="549"/>
      <c r="Y149" s="549"/>
      <c r="Z149" s="549"/>
      <c r="AA149" s="549"/>
      <c r="AB149" s="549"/>
      <c r="AC149" s="549"/>
      <c r="AD149" s="549"/>
      <c r="AE149" s="549"/>
      <c r="AF149" s="549"/>
      <c r="AG149" s="549"/>
      <c r="AH149" s="549"/>
      <c r="AI149" s="549"/>
      <c r="AJ149" s="549"/>
      <c r="AK149" s="549"/>
      <c r="AL149" s="549"/>
      <c r="AM149" s="549"/>
      <c r="AN149" s="549"/>
      <c r="AO149" s="549"/>
      <c r="AP149" s="1117"/>
      <c r="AQ149" s="3"/>
      <c r="AR149" s="3"/>
      <c r="AS149" s="97"/>
      <c r="AT149" s="97"/>
      <c r="AU149" s="97"/>
      <c r="AV149" s="97"/>
      <c r="AW149" s="97"/>
      <c r="AX149" s="97"/>
    </row>
    <row r="150" spans="2:50" s="795" customFormat="1" ht="16.5">
      <c r="B150" s="1117"/>
      <c r="C150" s="552" t="s">
        <v>4316</v>
      </c>
      <c r="D150" s="553"/>
      <c r="E150" s="973">
        <f t="shared" si="41"/>
        <v>0</v>
      </c>
      <c r="F150" s="972"/>
      <c r="G150" s="972"/>
      <c r="H150" s="800"/>
      <c r="I150" s="973">
        <f>IF('11. Unit Mix'!$G$142&lt;&gt;0,+E150/'11. Unit Mix'!$G$142,0)</f>
        <v>0</v>
      </c>
      <c r="J150" s="973">
        <f t="shared" si="40"/>
        <v>0</v>
      </c>
      <c r="K150" s="155"/>
      <c r="L150" s="155"/>
      <c r="M150" s="155"/>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M150" s="549"/>
      <c r="AN150" s="549"/>
      <c r="AO150" s="549"/>
      <c r="AP150" s="1117"/>
      <c r="AQ150" s="3"/>
      <c r="AR150" s="3"/>
      <c r="AS150" s="97"/>
      <c r="AT150" s="97"/>
      <c r="AU150" s="97"/>
      <c r="AV150" s="97"/>
      <c r="AW150" s="97"/>
      <c r="AX150" s="97"/>
    </row>
    <row r="151" spans="2:50" s="795" customFormat="1" ht="16.5">
      <c r="B151" s="1117"/>
      <c r="C151" s="552" t="s">
        <v>4317</v>
      </c>
      <c r="D151" s="553"/>
      <c r="E151" s="973">
        <f t="shared" si="41"/>
        <v>0</v>
      </c>
      <c r="F151" s="972"/>
      <c r="G151" s="972"/>
      <c r="H151" s="800"/>
      <c r="I151" s="973">
        <f>IF('11. Unit Mix'!$G$142&lt;&gt;0,+E151/'11. Unit Mix'!$G$142,0)</f>
        <v>0</v>
      </c>
      <c r="J151" s="973">
        <f t="shared" si="40"/>
        <v>0</v>
      </c>
      <c r="K151" s="155"/>
      <c r="L151" s="155"/>
      <c r="M151" s="155"/>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M151" s="549"/>
      <c r="AN151" s="549"/>
      <c r="AO151" s="549"/>
      <c r="AP151" s="1117"/>
      <c r="AQ151" s="3"/>
      <c r="AR151" s="3"/>
      <c r="AS151" s="97"/>
      <c r="AT151" s="97"/>
      <c r="AU151" s="97"/>
      <c r="AV151" s="97"/>
      <c r="AW151" s="97"/>
      <c r="AX151" s="97"/>
    </row>
    <row r="152" spans="2:50" s="795" customFormat="1" ht="16.5">
      <c r="B152" s="1117"/>
      <c r="C152" s="552" t="s">
        <v>4318</v>
      </c>
      <c r="D152" s="553"/>
      <c r="E152" s="973">
        <f t="shared" si="41"/>
        <v>0</v>
      </c>
      <c r="F152" s="972"/>
      <c r="G152" s="972"/>
      <c r="H152" s="800"/>
      <c r="I152" s="973">
        <f>IF('11. Unit Mix'!$G$142&lt;&gt;0,+E152/'11. Unit Mix'!$G$142,0)</f>
        <v>0</v>
      </c>
      <c r="J152" s="973">
        <f t="shared" si="40"/>
        <v>0</v>
      </c>
      <c r="K152" s="155"/>
      <c r="L152" s="155"/>
      <c r="M152" s="155"/>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M152" s="549"/>
      <c r="AN152" s="549"/>
      <c r="AO152" s="549"/>
      <c r="AP152" s="1117"/>
      <c r="AQ152" s="3"/>
      <c r="AR152" s="3"/>
      <c r="AS152" s="97"/>
      <c r="AT152" s="97"/>
      <c r="AU152" s="97"/>
      <c r="AV152" s="97"/>
      <c r="AW152" s="97"/>
      <c r="AX152" s="97"/>
    </row>
    <row r="153" spans="2:50" s="795" customFormat="1" ht="16.5">
      <c r="B153" s="1117"/>
      <c r="C153" s="552" t="s">
        <v>4319</v>
      </c>
      <c r="D153" s="553"/>
      <c r="E153" s="973">
        <f t="shared" si="41"/>
        <v>0</v>
      </c>
      <c r="F153" s="972"/>
      <c r="G153" s="972"/>
      <c r="H153" s="800"/>
      <c r="I153" s="973">
        <f>IF('11. Unit Mix'!$G$142&lt;&gt;0,+E153/'11. Unit Mix'!$G$142,0)</f>
        <v>0</v>
      </c>
      <c r="J153" s="973">
        <f t="shared" si="40"/>
        <v>0</v>
      </c>
      <c r="K153" s="155"/>
      <c r="L153" s="155"/>
      <c r="M153" s="155"/>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M153" s="549"/>
      <c r="AN153" s="549"/>
      <c r="AO153" s="549"/>
      <c r="AP153" s="1117"/>
      <c r="AQ153" s="3"/>
      <c r="AR153" s="3"/>
      <c r="AS153" s="97"/>
      <c r="AT153" s="97"/>
      <c r="AU153" s="97"/>
      <c r="AV153" s="97"/>
      <c r="AW153" s="97"/>
      <c r="AX153" s="97"/>
    </row>
    <row r="154" spans="2:50" s="796" customFormat="1">
      <c r="B154" s="1117"/>
      <c r="C154" s="552" t="s">
        <v>4320</v>
      </c>
      <c r="D154" s="553"/>
      <c r="E154" s="973">
        <f t="shared" si="41"/>
        <v>0</v>
      </c>
      <c r="F154" s="972"/>
      <c r="G154" s="972"/>
      <c r="H154" s="800"/>
      <c r="I154" s="973">
        <f>IF('11. Unit Mix'!$G$142&lt;&gt;0,+E154/'11. Unit Mix'!$G$142,0)</f>
        <v>0</v>
      </c>
      <c r="J154" s="973">
        <f t="shared" si="40"/>
        <v>0</v>
      </c>
      <c r="K154" s="155"/>
      <c r="L154" s="155"/>
      <c r="M154" s="155"/>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2"/>
      <c r="AL154" s="942"/>
      <c r="AM154" s="942"/>
      <c r="AN154" s="942"/>
      <c r="AO154" s="942"/>
      <c r="AP154" s="1117"/>
      <c r="AQ154" s="3"/>
      <c r="AR154" s="3"/>
      <c r="AS154" s="97"/>
      <c r="AT154" s="97"/>
      <c r="AU154" s="97"/>
      <c r="AV154" s="97"/>
      <c r="AW154" s="97"/>
      <c r="AX154" s="97"/>
    </row>
    <row r="155" spans="2:50" s="795" customFormat="1" ht="16.5">
      <c r="B155" s="1117"/>
      <c r="C155" s="1118"/>
      <c r="D155" s="1118"/>
      <c r="E155" s="1118"/>
      <c r="F155" s="1118"/>
      <c r="G155" s="1118"/>
      <c r="H155" s="1118"/>
      <c r="I155" s="1118"/>
      <c r="J155" s="1118"/>
      <c r="K155" s="155"/>
      <c r="L155" s="155"/>
      <c r="M155" s="155"/>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M155" s="549"/>
      <c r="AN155" s="549"/>
      <c r="AO155" s="549"/>
      <c r="AP155" s="1117"/>
      <c r="AQ155" s="3"/>
      <c r="AR155" s="3"/>
      <c r="AS155" s="97"/>
      <c r="AT155" s="97"/>
      <c r="AU155" s="97"/>
      <c r="AV155" s="97"/>
      <c r="AW155" s="97"/>
      <c r="AX155" s="97"/>
    </row>
    <row r="156" spans="2:50" s="795" customFormat="1" ht="16.5">
      <c r="B156" s="1117"/>
      <c r="C156" s="550" t="s">
        <v>4321</v>
      </c>
      <c r="D156" s="551"/>
      <c r="E156" s="562">
        <f>+SUM(E157:E164)</f>
        <v>0</v>
      </c>
      <c r="F156" s="562">
        <f t="shared" ref="F156:H156" si="42">+SUM(F157:F164)</f>
        <v>0</v>
      </c>
      <c r="G156" s="562">
        <f t="shared" si="42"/>
        <v>0</v>
      </c>
      <c r="H156" s="562">
        <f t="shared" si="42"/>
        <v>0</v>
      </c>
      <c r="I156" s="562">
        <f>IF('11. Unit Mix'!$G$142&lt;&gt;0,+E156/'11. Unit Mix'!$G$142,0)</f>
        <v>0</v>
      </c>
      <c r="J156" s="562">
        <f t="shared" ref="J156:J164" si="43">IF(Total_Units&lt;&gt;0,+E156/Total_Units,0)</f>
        <v>0</v>
      </c>
      <c r="K156" s="155"/>
      <c r="L156" s="155"/>
      <c r="M156" s="155"/>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1117"/>
      <c r="AQ156" s="3"/>
      <c r="AR156" s="3"/>
      <c r="AS156" s="97"/>
      <c r="AT156" s="97"/>
      <c r="AU156" s="97"/>
      <c r="AV156" s="97"/>
      <c r="AW156" s="97"/>
      <c r="AX156" s="97"/>
    </row>
    <row r="157" spans="2:50" s="795" customFormat="1" ht="16.5">
      <c r="B157" s="1117"/>
      <c r="C157" s="552" t="s">
        <v>4322</v>
      </c>
      <c r="D157" s="553"/>
      <c r="E157" s="973">
        <f t="shared" ref="E157:E164" si="44">SUM(F157:H157)</f>
        <v>0</v>
      </c>
      <c r="F157" s="972"/>
      <c r="G157" s="972"/>
      <c r="H157" s="800"/>
      <c r="I157" s="973">
        <f>IF('11. Unit Mix'!$G$142&lt;&gt;0,+E157/'11. Unit Mix'!$G$142,0)</f>
        <v>0</v>
      </c>
      <c r="J157" s="973">
        <f t="shared" si="43"/>
        <v>0</v>
      </c>
      <c r="K157" s="155"/>
      <c r="L157" s="155"/>
      <c r="M157" s="155"/>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1117"/>
      <c r="AQ157" s="3"/>
      <c r="AR157" s="3"/>
      <c r="AS157" s="97"/>
      <c r="AT157" s="97"/>
      <c r="AU157" s="97"/>
      <c r="AV157" s="97"/>
      <c r="AW157" s="97"/>
      <c r="AX157" s="97"/>
    </row>
    <row r="158" spans="2:50" s="795" customFormat="1" ht="16.5">
      <c r="B158" s="1117"/>
      <c r="C158" s="552" t="s">
        <v>4323</v>
      </c>
      <c r="D158" s="553"/>
      <c r="E158" s="973">
        <f t="shared" si="44"/>
        <v>0</v>
      </c>
      <c r="F158" s="972"/>
      <c r="G158" s="972"/>
      <c r="H158" s="800"/>
      <c r="I158" s="973">
        <f>IF('11. Unit Mix'!$G$142&lt;&gt;0,+E158/'11. Unit Mix'!$G$142,0)</f>
        <v>0</v>
      </c>
      <c r="J158" s="973">
        <f t="shared" si="43"/>
        <v>0</v>
      </c>
      <c r="K158" s="155"/>
      <c r="L158" s="155"/>
      <c r="M158" s="155"/>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1117"/>
      <c r="AQ158" s="3"/>
      <c r="AR158" s="3"/>
      <c r="AS158" s="97"/>
      <c r="AT158" s="97"/>
      <c r="AU158" s="97"/>
      <c r="AV158" s="97"/>
      <c r="AW158" s="97"/>
      <c r="AX158" s="97"/>
    </row>
    <row r="159" spans="2:50" s="795" customFormat="1" ht="16.5">
      <c r="B159" s="1117"/>
      <c r="C159" s="552" t="s">
        <v>4324</v>
      </c>
      <c r="D159" s="553"/>
      <c r="E159" s="973">
        <f t="shared" si="44"/>
        <v>0</v>
      </c>
      <c r="F159" s="972"/>
      <c r="G159" s="972"/>
      <c r="H159" s="800"/>
      <c r="I159" s="973">
        <f>IF('11. Unit Mix'!$G$142&lt;&gt;0,+E159/'11. Unit Mix'!$G$142,0)</f>
        <v>0</v>
      </c>
      <c r="J159" s="973">
        <f t="shared" si="43"/>
        <v>0</v>
      </c>
      <c r="K159" s="155"/>
      <c r="L159" s="155"/>
      <c r="M159" s="155"/>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1117"/>
      <c r="AQ159" s="3"/>
      <c r="AR159" s="3"/>
      <c r="AS159" s="97"/>
      <c r="AT159" s="97"/>
      <c r="AU159" s="97"/>
      <c r="AV159" s="97"/>
      <c r="AW159" s="97"/>
      <c r="AX159" s="97"/>
    </row>
    <row r="160" spans="2:50" s="795" customFormat="1" ht="16.5">
      <c r="B160" s="1117"/>
      <c r="C160" s="552" t="s">
        <v>4325</v>
      </c>
      <c r="D160" s="553"/>
      <c r="E160" s="973">
        <f t="shared" si="44"/>
        <v>0</v>
      </c>
      <c r="F160" s="972"/>
      <c r="G160" s="972"/>
      <c r="H160" s="800"/>
      <c r="I160" s="973">
        <f>IF('11. Unit Mix'!$G$142&lt;&gt;0,+E160/'11. Unit Mix'!$G$142,0)</f>
        <v>0</v>
      </c>
      <c r="J160" s="973">
        <f t="shared" si="43"/>
        <v>0</v>
      </c>
      <c r="K160" s="155"/>
      <c r="L160" s="155"/>
      <c r="M160" s="155"/>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1117"/>
      <c r="AQ160" s="3"/>
      <c r="AR160" s="3"/>
      <c r="AS160" s="97"/>
      <c r="AT160" s="97"/>
      <c r="AU160" s="97"/>
      <c r="AV160" s="97"/>
      <c r="AW160" s="97"/>
      <c r="AX160" s="97"/>
    </row>
    <row r="161" spans="2:50" s="795" customFormat="1" ht="16.5">
      <c r="B161" s="1117"/>
      <c r="C161" s="552" t="s">
        <v>4326</v>
      </c>
      <c r="D161" s="553"/>
      <c r="E161" s="973">
        <f t="shared" si="44"/>
        <v>0</v>
      </c>
      <c r="F161" s="972"/>
      <c r="G161" s="972"/>
      <c r="H161" s="800"/>
      <c r="I161" s="973">
        <f>IF('11. Unit Mix'!$G$142&lt;&gt;0,+E161/'11. Unit Mix'!$G$142,0)</f>
        <v>0</v>
      </c>
      <c r="J161" s="973">
        <f t="shared" si="43"/>
        <v>0</v>
      </c>
      <c r="K161" s="155"/>
      <c r="L161" s="155"/>
      <c r="M161" s="155"/>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M161" s="549"/>
      <c r="AN161" s="549"/>
      <c r="AO161" s="549"/>
      <c r="AP161" s="1117"/>
      <c r="AQ161" s="3"/>
      <c r="AR161" s="3"/>
      <c r="AS161" s="97"/>
      <c r="AT161" s="97"/>
      <c r="AU161" s="97"/>
      <c r="AV161" s="97"/>
      <c r="AW161" s="97"/>
      <c r="AX161" s="97"/>
    </row>
    <row r="162" spans="2:50" s="795" customFormat="1" ht="16.5">
      <c r="B162" s="1117"/>
      <c r="C162" s="552" t="s">
        <v>4327</v>
      </c>
      <c r="D162" s="553"/>
      <c r="E162" s="973">
        <f t="shared" si="44"/>
        <v>0</v>
      </c>
      <c r="F162" s="972"/>
      <c r="G162" s="972"/>
      <c r="H162" s="800"/>
      <c r="I162" s="973">
        <f>IF('11. Unit Mix'!$G$142&lt;&gt;0,+E162/'11. Unit Mix'!$G$142,0)</f>
        <v>0</v>
      </c>
      <c r="J162" s="973">
        <f t="shared" si="43"/>
        <v>0</v>
      </c>
      <c r="K162" s="155"/>
      <c r="L162" s="155"/>
      <c r="M162" s="155"/>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M162" s="549"/>
      <c r="AN162" s="549"/>
      <c r="AO162" s="549"/>
      <c r="AP162" s="1117"/>
      <c r="AQ162" s="3"/>
      <c r="AR162" s="3"/>
      <c r="AS162" s="97"/>
      <c r="AT162" s="97"/>
      <c r="AU162" s="97"/>
      <c r="AV162" s="97"/>
      <c r="AW162" s="97"/>
      <c r="AX162" s="97"/>
    </row>
    <row r="163" spans="2:50" s="795" customFormat="1" ht="16.5">
      <c r="B163" s="1117"/>
      <c r="C163" s="552" t="s">
        <v>4328</v>
      </c>
      <c r="D163" s="553"/>
      <c r="E163" s="973">
        <f t="shared" si="44"/>
        <v>0</v>
      </c>
      <c r="F163" s="972"/>
      <c r="G163" s="972"/>
      <c r="H163" s="800"/>
      <c r="I163" s="973">
        <f>IF('11. Unit Mix'!$G$142&lt;&gt;0,+E163/'11. Unit Mix'!$G$142,0)</f>
        <v>0</v>
      </c>
      <c r="J163" s="973">
        <f t="shared" si="43"/>
        <v>0</v>
      </c>
      <c r="K163" s="155"/>
      <c r="L163" s="155"/>
      <c r="M163" s="155"/>
      <c r="N163" s="549"/>
      <c r="O163" s="549"/>
      <c r="P163" s="549"/>
      <c r="Q163" s="549"/>
      <c r="R163" s="549"/>
      <c r="S163" s="549"/>
      <c r="T163" s="549"/>
      <c r="U163" s="549"/>
      <c r="V163" s="549"/>
      <c r="W163" s="549"/>
      <c r="X163" s="549"/>
      <c r="Y163" s="549"/>
      <c r="Z163" s="549"/>
      <c r="AA163" s="549"/>
      <c r="AB163" s="549"/>
      <c r="AC163" s="549"/>
      <c r="AD163" s="549"/>
      <c r="AE163" s="549"/>
      <c r="AF163" s="549"/>
      <c r="AG163" s="549"/>
      <c r="AH163" s="549"/>
      <c r="AI163" s="549"/>
      <c r="AJ163" s="549"/>
      <c r="AK163" s="549"/>
      <c r="AL163" s="549"/>
      <c r="AM163" s="549"/>
      <c r="AN163" s="549"/>
      <c r="AO163" s="549"/>
      <c r="AP163" s="1117"/>
      <c r="AQ163" s="3"/>
      <c r="AR163" s="3"/>
      <c r="AS163" s="97"/>
      <c r="AT163" s="97"/>
      <c r="AU163" s="97"/>
      <c r="AV163" s="97"/>
      <c r="AW163" s="97"/>
      <c r="AX163" s="97"/>
    </row>
    <row r="164" spans="2:50" s="796" customFormat="1">
      <c r="B164" s="1117"/>
      <c r="C164" s="552" t="s">
        <v>4329</v>
      </c>
      <c r="D164" s="553"/>
      <c r="E164" s="973">
        <f t="shared" si="44"/>
        <v>0</v>
      </c>
      <c r="F164" s="972"/>
      <c r="G164" s="972"/>
      <c r="H164" s="800"/>
      <c r="I164" s="973">
        <f>IF('11. Unit Mix'!$G$142&lt;&gt;0,+E164/'11. Unit Mix'!$G$142,0)</f>
        <v>0</v>
      </c>
      <c r="J164" s="973">
        <f t="shared" si="43"/>
        <v>0</v>
      </c>
      <c r="K164" s="155"/>
      <c r="L164" s="155"/>
      <c r="M164" s="155"/>
      <c r="N164" s="942"/>
      <c r="O164" s="942"/>
      <c r="P164" s="942"/>
      <c r="Q164" s="942"/>
      <c r="R164" s="942"/>
      <c r="S164" s="942"/>
      <c r="T164" s="942"/>
      <c r="U164" s="942"/>
      <c r="V164" s="942"/>
      <c r="W164" s="942"/>
      <c r="X164" s="942"/>
      <c r="Y164" s="942"/>
      <c r="Z164" s="942"/>
      <c r="AA164" s="942"/>
      <c r="AB164" s="942"/>
      <c r="AC164" s="942"/>
      <c r="AD164" s="942"/>
      <c r="AE164" s="942"/>
      <c r="AF164" s="942"/>
      <c r="AG164" s="942"/>
      <c r="AH164" s="942"/>
      <c r="AI164" s="942"/>
      <c r="AJ164" s="942"/>
      <c r="AK164" s="942"/>
      <c r="AL164" s="942"/>
      <c r="AM164" s="942"/>
      <c r="AN164" s="942"/>
      <c r="AO164" s="942"/>
      <c r="AP164" s="1117"/>
      <c r="AQ164" s="3"/>
      <c r="AR164" s="3"/>
      <c r="AS164" s="97"/>
      <c r="AT164" s="97"/>
      <c r="AU164" s="97"/>
      <c r="AV164" s="97"/>
      <c r="AW164" s="97"/>
      <c r="AX164" s="97"/>
    </row>
    <row r="165" spans="2:50" s="795" customFormat="1" ht="16.5">
      <c r="B165" s="1117"/>
      <c r="C165" s="1118"/>
      <c r="D165" s="1118"/>
      <c r="E165" s="1118"/>
      <c r="F165" s="1118"/>
      <c r="G165" s="1118"/>
      <c r="H165" s="1118"/>
      <c r="I165" s="1118"/>
      <c r="J165" s="1118"/>
      <c r="K165" s="155"/>
      <c r="L165" s="155"/>
      <c r="M165" s="155"/>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c r="AM165" s="549"/>
      <c r="AN165" s="549"/>
      <c r="AO165" s="549"/>
      <c r="AP165" s="1117"/>
      <c r="AQ165" s="3"/>
      <c r="AR165" s="3"/>
      <c r="AS165" s="97"/>
      <c r="AT165" s="97"/>
      <c r="AU165" s="97"/>
      <c r="AV165" s="97"/>
      <c r="AW165" s="97"/>
      <c r="AX165" s="97"/>
    </row>
    <row r="166" spans="2:50" s="795" customFormat="1" ht="16.5">
      <c r="B166" s="1117"/>
      <c r="C166" s="550" t="s">
        <v>4330</v>
      </c>
      <c r="D166" s="551"/>
      <c r="E166" s="562">
        <f>+SUM(E167:E171)</f>
        <v>0</v>
      </c>
      <c r="F166" s="562">
        <f t="shared" ref="F166:H166" si="45">+SUM(F167:F171)</f>
        <v>0</v>
      </c>
      <c r="G166" s="562">
        <f t="shared" si="45"/>
        <v>0</v>
      </c>
      <c r="H166" s="562">
        <f t="shared" si="45"/>
        <v>0</v>
      </c>
      <c r="I166" s="562">
        <f>IF('11. Unit Mix'!$G$142&lt;&gt;0,+E166/'11. Unit Mix'!$G$142,0)</f>
        <v>0</v>
      </c>
      <c r="J166" s="562">
        <f t="shared" ref="J166:J171" si="46">IF(Total_Units&lt;&gt;0,+E166/Total_Units,0)</f>
        <v>0</v>
      </c>
      <c r="K166" s="155"/>
      <c r="L166" s="155"/>
      <c r="M166" s="155"/>
      <c r="N166" s="549"/>
      <c r="O166" s="549"/>
      <c r="P166" s="549"/>
      <c r="Q166" s="549"/>
      <c r="R166" s="549"/>
      <c r="S166" s="549"/>
      <c r="T166" s="549"/>
      <c r="U166" s="549"/>
      <c r="V166" s="549"/>
      <c r="W166" s="549"/>
      <c r="X166" s="549"/>
      <c r="Y166" s="549"/>
      <c r="Z166" s="549"/>
      <c r="AA166" s="549"/>
      <c r="AB166" s="549"/>
      <c r="AC166" s="549"/>
      <c r="AD166" s="549"/>
      <c r="AE166" s="549"/>
      <c r="AF166" s="549"/>
      <c r="AG166" s="549"/>
      <c r="AH166" s="549"/>
      <c r="AI166" s="549"/>
      <c r="AJ166" s="549"/>
      <c r="AK166" s="549"/>
      <c r="AL166" s="549"/>
      <c r="AM166" s="549"/>
      <c r="AN166" s="549"/>
      <c r="AO166" s="549"/>
      <c r="AP166" s="1117"/>
      <c r="AQ166" s="3"/>
      <c r="AR166" s="3"/>
      <c r="AS166" s="97"/>
      <c r="AT166" s="97"/>
      <c r="AU166" s="97"/>
      <c r="AV166" s="97"/>
      <c r="AW166" s="97"/>
      <c r="AX166" s="97"/>
    </row>
    <row r="167" spans="2:50" s="795" customFormat="1" ht="16.5">
      <c r="B167" s="1117"/>
      <c r="C167" s="552" t="s">
        <v>4331</v>
      </c>
      <c r="D167" s="553"/>
      <c r="E167" s="973">
        <f t="shared" ref="E167:E171" si="47">SUM(F167:H167)</f>
        <v>0</v>
      </c>
      <c r="F167" s="972"/>
      <c r="G167" s="972"/>
      <c r="H167" s="800"/>
      <c r="I167" s="973">
        <f>IF('11. Unit Mix'!$G$142&lt;&gt;0,+E167/'11. Unit Mix'!$G$142,0)</f>
        <v>0</v>
      </c>
      <c r="J167" s="973">
        <f t="shared" si="46"/>
        <v>0</v>
      </c>
      <c r="K167" s="155"/>
      <c r="L167" s="155"/>
      <c r="M167" s="155"/>
      <c r="N167" s="549"/>
      <c r="O167" s="549"/>
      <c r="P167" s="549"/>
      <c r="Q167" s="549"/>
      <c r="R167" s="549"/>
      <c r="S167" s="549"/>
      <c r="T167" s="549"/>
      <c r="U167" s="549"/>
      <c r="V167" s="549"/>
      <c r="W167" s="549"/>
      <c r="X167" s="549"/>
      <c r="Y167" s="549"/>
      <c r="Z167" s="549"/>
      <c r="AA167" s="549"/>
      <c r="AB167" s="549"/>
      <c r="AC167" s="549"/>
      <c r="AD167" s="549"/>
      <c r="AE167" s="549"/>
      <c r="AF167" s="549"/>
      <c r="AG167" s="549"/>
      <c r="AH167" s="549"/>
      <c r="AI167" s="549"/>
      <c r="AJ167" s="549"/>
      <c r="AK167" s="549"/>
      <c r="AL167" s="549"/>
      <c r="AM167" s="549"/>
      <c r="AN167" s="549"/>
      <c r="AO167" s="549"/>
      <c r="AP167" s="1117"/>
      <c r="AQ167" s="3"/>
      <c r="AR167" s="3"/>
      <c r="AS167" s="97"/>
      <c r="AT167" s="97"/>
      <c r="AU167" s="97"/>
      <c r="AV167" s="97"/>
      <c r="AW167" s="97"/>
      <c r="AX167" s="97"/>
    </row>
    <row r="168" spans="2:50" s="795" customFormat="1" ht="16.5">
      <c r="B168" s="1117"/>
      <c r="C168" s="552" t="s">
        <v>4332</v>
      </c>
      <c r="D168" s="553"/>
      <c r="E168" s="973">
        <f t="shared" si="47"/>
        <v>0</v>
      </c>
      <c r="F168" s="972"/>
      <c r="G168" s="972"/>
      <c r="H168" s="800"/>
      <c r="I168" s="973">
        <f>IF('11. Unit Mix'!$G$142&lt;&gt;0,+E168/'11. Unit Mix'!$G$142,0)</f>
        <v>0</v>
      </c>
      <c r="J168" s="973">
        <f t="shared" si="46"/>
        <v>0</v>
      </c>
      <c r="K168" s="155"/>
      <c r="L168" s="155"/>
      <c r="M168" s="155"/>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c r="AM168" s="549"/>
      <c r="AN168" s="549"/>
      <c r="AO168" s="549"/>
      <c r="AP168" s="1117"/>
      <c r="AQ168" s="3"/>
      <c r="AR168" s="3"/>
      <c r="AS168" s="97"/>
      <c r="AT168" s="97"/>
      <c r="AU168" s="97"/>
      <c r="AV168" s="97"/>
      <c r="AW168" s="97"/>
      <c r="AX168" s="97"/>
    </row>
    <row r="169" spans="2:50" s="795" customFormat="1" ht="16.5">
      <c r="B169" s="1117"/>
      <c r="C169" s="552" t="s">
        <v>4333</v>
      </c>
      <c r="D169" s="553"/>
      <c r="E169" s="973">
        <f t="shared" si="47"/>
        <v>0</v>
      </c>
      <c r="F169" s="972"/>
      <c r="G169" s="972"/>
      <c r="H169" s="800"/>
      <c r="I169" s="973">
        <f>IF('11. Unit Mix'!$G$142&lt;&gt;0,+E169/'11. Unit Mix'!$G$142,0)</f>
        <v>0</v>
      </c>
      <c r="J169" s="973">
        <f t="shared" si="46"/>
        <v>0</v>
      </c>
      <c r="K169" s="155"/>
      <c r="L169" s="155"/>
      <c r="M169" s="155"/>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M169" s="549"/>
      <c r="AN169" s="549"/>
      <c r="AO169" s="549"/>
      <c r="AP169" s="1117"/>
      <c r="AQ169" s="3"/>
      <c r="AR169" s="3"/>
      <c r="AS169" s="97"/>
      <c r="AT169" s="97"/>
      <c r="AU169" s="97"/>
      <c r="AV169" s="97"/>
      <c r="AW169" s="97"/>
      <c r="AX169" s="97"/>
    </row>
    <row r="170" spans="2:50" s="795" customFormat="1" ht="16.5">
      <c r="B170" s="1117"/>
      <c r="C170" s="552" t="s">
        <v>4334</v>
      </c>
      <c r="D170" s="553"/>
      <c r="E170" s="973">
        <f t="shared" si="47"/>
        <v>0</v>
      </c>
      <c r="F170" s="972"/>
      <c r="G170" s="972"/>
      <c r="H170" s="800"/>
      <c r="I170" s="973">
        <f>IF('11. Unit Mix'!$G$142&lt;&gt;0,+E170/'11. Unit Mix'!$G$142,0)</f>
        <v>0</v>
      </c>
      <c r="J170" s="973">
        <f t="shared" si="46"/>
        <v>0</v>
      </c>
      <c r="K170" s="155"/>
      <c r="L170" s="155"/>
      <c r="M170" s="155"/>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M170" s="549"/>
      <c r="AN170" s="549"/>
      <c r="AO170" s="549"/>
      <c r="AP170" s="1117"/>
      <c r="AQ170" s="3"/>
      <c r="AR170" s="3"/>
      <c r="AS170" s="97"/>
      <c r="AT170" s="97"/>
      <c r="AU170" s="97"/>
      <c r="AV170" s="97"/>
      <c r="AW170" s="97"/>
      <c r="AX170" s="97"/>
    </row>
    <row r="171" spans="2:50" s="796" customFormat="1">
      <c r="B171" s="1117"/>
      <c r="C171" s="552" t="s">
        <v>4335</v>
      </c>
      <c r="D171" s="553"/>
      <c r="E171" s="973">
        <f t="shared" si="47"/>
        <v>0</v>
      </c>
      <c r="F171" s="972"/>
      <c r="G171" s="972"/>
      <c r="H171" s="800"/>
      <c r="I171" s="973">
        <f>IF('11. Unit Mix'!$G$142&lt;&gt;0,+E171/'11. Unit Mix'!$G$142,0)</f>
        <v>0</v>
      </c>
      <c r="J171" s="973">
        <f t="shared" si="46"/>
        <v>0</v>
      </c>
      <c r="K171" s="155"/>
      <c r="L171" s="155"/>
      <c r="M171" s="155"/>
      <c r="N171" s="942"/>
      <c r="O171" s="942"/>
      <c r="P171" s="942"/>
      <c r="Q171" s="942"/>
      <c r="R171" s="942"/>
      <c r="S171" s="942"/>
      <c r="T171" s="942"/>
      <c r="U171" s="942"/>
      <c r="V171" s="942"/>
      <c r="W171" s="942"/>
      <c r="X171" s="942"/>
      <c r="Y171" s="942"/>
      <c r="Z171" s="942"/>
      <c r="AA171" s="942"/>
      <c r="AB171" s="942"/>
      <c r="AC171" s="942"/>
      <c r="AD171" s="942"/>
      <c r="AE171" s="942"/>
      <c r="AF171" s="942"/>
      <c r="AG171" s="942"/>
      <c r="AH171" s="942"/>
      <c r="AI171" s="942"/>
      <c r="AJ171" s="942"/>
      <c r="AK171" s="942"/>
      <c r="AL171" s="942"/>
      <c r="AM171" s="942"/>
      <c r="AN171" s="942"/>
      <c r="AO171" s="942"/>
      <c r="AP171" s="1117"/>
      <c r="AQ171" s="3"/>
      <c r="AR171" s="3"/>
      <c r="AS171" s="97"/>
      <c r="AT171" s="97"/>
      <c r="AU171" s="97"/>
      <c r="AV171" s="97"/>
      <c r="AW171" s="97"/>
      <c r="AX171" s="97"/>
    </row>
    <row r="172" spans="2:50" s="795" customFormat="1" ht="16.5">
      <c r="B172" s="1117"/>
      <c r="C172" s="1118"/>
      <c r="D172" s="1118"/>
      <c r="E172" s="1118"/>
      <c r="F172" s="1118"/>
      <c r="G172" s="1118"/>
      <c r="H172" s="1118"/>
      <c r="I172" s="1118"/>
      <c r="J172" s="1118"/>
      <c r="K172" s="155"/>
      <c r="L172" s="155"/>
      <c r="M172" s="155"/>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9"/>
      <c r="AK172" s="549"/>
      <c r="AL172" s="549"/>
      <c r="AM172" s="549"/>
      <c r="AN172" s="549"/>
      <c r="AO172" s="549"/>
      <c r="AP172" s="1117"/>
      <c r="AQ172" s="3"/>
      <c r="AR172" s="3"/>
      <c r="AS172" s="97"/>
      <c r="AT172" s="97"/>
      <c r="AU172" s="97"/>
      <c r="AV172" s="97"/>
      <c r="AW172" s="97"/>
      <c r="AX172" s="97"/>
    </row>
    <row r="173" spans="2:50" s="795" customFormat="1" ht="16.5">
      <c r="B173" s="1117"/>
      <c r="C173" s="550" t="s">
        <v>4336</v>
      </c>
      <c r="D173" s="551"/>
      <c r="E173" s="562">
        <f>+SUM(E174:E179)</f>
        <v>0</v>
      </c>
      <c r="F173" s="562">
        <f t="shared" ref="F173:H173" si="48">+SUM(F174:F179)</f>
        <v>0</v>
      </c>
      <c r="G173" s="562">
        <f t="shared" si="48"/>
        <v>0</v>
      </c>
      <c r="H173" s="562">
        <f t="shared" si="48"/>
        <v>0</v>
      </c>
      <c r="I173" s="562">
        <f>IF('11. Unit Mix'!$G$142&lt;&gt;0,+E173/'11. Unit Mix'!$G$142,0)</f>
        <v>0</v>
      </c>
      <c r="J173" s="562">
        <f t="shared" ref="J173:J179" si="49">IF(Total_Units&lt;&gt;0,+E173/Total_Units,0)</f>
        <v>0</v>
      </c>
      <c r="K173" s="155"/>
      <c r="L173" s="155"/>
      <c r="M173" s="155"/>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9"/>
      <c r="AK173" s="549"/>
      <c r="AL173" s="549"/>
      <c r="AM173" s="549"/>
      <c r="AN173" s="549"/>
      <c r="AO173" s="549"/>
      <c r="AP173" s="1117"/>
      <c r="AQ173" s="3"/>
      <c r="AR173" s="3"/>
      <c r="AS173" s="97"/>
      <c r="AT173" s="97"/>
      <c r="AU173" s="97"/>
      <c r="AV173" s="97"/>
      <c r="AW173" s="97"/>
      <c r="AX173" s="97"/>
    </row>
    <row r="174" spans="2:50" s="795" customFormat="1" ht="16.5">
      <c r="B174" s="1117"/>
      <c r="C174" s="552" t="s">
        <v>4337</v>
      </c>
      <c r="D174" s="553"/>
      <c r="E174" s="973">
        <f t="shared" ref="E174:E179" si="50">SUM(F174:H174)</f>
        <v>0</v>
      </c>
      <c r="F174" s="972"/>
      <c r="G174" s="972"/>
      <c r="H174" s="800"/>
      <c r="I174" s="973">
        <f>IF('11. Unit Mix'!$G$142&lt;&gt;0,+E174/'11. Unit Mix'!$G$142,0)</f>
        <v>0</v>
      </c>
      <c r="J174" s="973">
        <f t="shared" si="49"/>
        <v>0</v>
      </c>
      <c r="K174" s="155"/>
      <c r="L174" s="155"/>
      <c r="M174" s="155"/>
      <c r="N174" s="549"/>
      <c r="O174" s="549"/>
      <c r="P174" s="549"/>
      <c r="Q174" s="549"/>
      <c r="R174" s="549"/>
      <c r="S174" s="549"/>
      <c r="T174" s="549"/>
      <c r="U174" s="549"/>
      <c r="V174" s="549"/>
      <c r="W174" s="549"/>
      <c r="X174" s="549"/>
      <c r="Y174" s="549"/>
      <c r="Z174" s="549"/>
      <c r="AA174" s="549"/>
      <c r="AB174" s="549"/>
      <c r="AC174" s="549"/>
      <c r="AD174" s="549"/>
      <c r="AE174" s="549"/>
      <c r="AF174" s="549"/>
      <c r="AG174" s="549"/>
      <c r="AH174" s="549"/>
      <c r="AI174" s="549"/>
      <c r="AJ174" s="549"/>
      <c r="AK174" s="549"/>
      <c r="AL174" s="549"/>
      <c r="AM174" s="549"/>
      <c r="AN174" s="549"/>
      <c r="AO174" s="549"/>
      <c r="AP174" s="1117"/>
      <c r="AQ174" s="3"/>
      <c r="AR174" s="3"/>
      <c r="AS174" s="97"/>
      <c r="AT174" s="97"/>
      <c r="AU174" s="97"/>
      <c r="AV174" s="97"/>
      <c r="AW174" s="97"/>
      <c r="AX174" s="97"/>
    </row>
    <row r="175" spans="2:50" s="795" customFormat="1" ht="16.5">
      <c r="B175" s="1117"/>
      <c r="C175" s="552" t="s">
        <v>4338</v>
      </c>
      <c r="D175" s="553"/>
      <c r="E175" s="973">
        <f t="shared" si="50"/>
        <v>0</v>
      </c>
      <c r="F175" s="972"/>
      <c r="G175" s="972"/>
      <c r="H175" s="800"/>
      <c r="I175" s="973">
        <f>IF('11. Unit Mix'!$G$142&lt;&gt;0,+E175/'11. Unit Mix'!$G$142,0)</f>
        <v>0</v>
      </c>
      <c r="J175" s="973">
        <f t="shared" si="49"/>
        <v>0</v>
      </c>
      <c r="K175" s="155"/>
      <c r="L175" s="155"/>
      <c r="M175" s="155"/>
      <c r="N175" s="549"/>
      <c r="O175" s="549"/>
      <c r="P175" s="549"/>
      <c r="Q175" s="549"/>
      <c r="R175" s="549"/>
      <c r="S175" s="549"/>
      <c r="T175" s="549"/>
      <c r="U175" s="549"/>
      <c r="V175" s="549"/>
      <c r="W175" s="549"/>
      <c r="X175" s="549"/>
      <c r="Y175" s="549"/>
      <c r="Z175" s="549"/>
      <c r="AA175" s="549"/>
      <c r="AB175" s="549"/>
      <c r="AC175" s="549"/>
      <c r="AD175" s="549"/>
      <c r="AE175" s="549"/>
      <c r="AF175" s="549"/>
      <c r="AG175" s="549"/>
      <c r="AH175" s="549"/>
      <c r="AI175" s="549"/>
      <c r="AJ175" s="549"/>
      <c r="AK175" s="549"/>
      <c r="AL175" s="549"/>
      <c r="AM175" s="549"/>
      <c r="AN175" s="549"/>
      <c r="AO175" s="549"/>
      <c r="AP175" s="1117"/>
      <c r="AQ175" s="3"/>
      <c r="AR175" s="3"/>
      <c r="AS175" s="97"/>
      <c r="AT175" s="97"/>
      <c r="AU175" s="97"/>
      <c r="AV175" s="97"/>
      <c r="AW175" s="97"/>
      <c r="AX175" s="97"/>
    </row>
    <row r="176" spans="2:50" s="795" customFormat="1" ht="16.5">
      <c r="B176" s="1117"/>
      <c r="C176" s="552" t="s">
        <v>4339</v>
      </c>
      <c r="D176" s="553"/>
      <c r="E176" s="973">
        <f t="shared" si="50"/>
        <v>0</v>
      </c>
      <c r="F176" s="972"/>
      <c r="G176" s="972"/>
      <c r="H176" s="800"/>
      <c r="I176" s="973">
        <f>IF('11. Unit Mix'!$G$142&lt;&gt;0,+E176/'11. Unit Mix'!$G$142,0)</f>
        <v>0</v>
      </c>
      <c r="J176" s="973">
        <f t="shared" si="49"/>
        <v>0</v>
      </c>
      <c r="K176" s="155"/>
      <c r="L176" s="155"/>
      <c r="M176" s="155"/>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9"/>
      <c r="AK176" s="549"/>
      <c r="AL176" s="549"/>
      <c r="AM176" s="549"/>
      <c r="AN176" s="549"/>
      <c r="AO176" s="549"/>
      <c r="AP176" s="1117"/>
      <c r="AQ176" s="3"/>
      <c r="AR176" s="3"/>
      <c r="AS176" s="97"/>
      <c r="AT176" s="97"/>
      <c r="AU176" s="97"/>
      <c r="AV176" s="97"/>
      <c r="AW176" s="97"/>
      <c r="AX176" s="97"/>
    </row>
    <row r="177" spans="2:50" s="795" customFormat="1" ht="16.5">
      <c r="B177" s="1117"/>
      <c r="C177" s="552" t="s">
        <v>4340</v>
      </c>
      <c r="D177" s="553"/>
      <c r="E177" s="973">
        <f t="shared" si="50"/>
        <v>0</v>
      </c>
      <c r="F177" s="972"/>
      <c r="G177" s="972"/>
      <c r="H177" s="800"/>
      <c r="I177" s="973">
        <f>IF('11. Unit Mix'!$G$142&lt;&gt;0,+E177/'11. Unit Mix'!$G$142,0)</f>
        <v>0</v>
      </c>
      <c r="J177" s="973">
        <f t="shared" si="49"/>
        <v>0</v>
      </c>
      <c r="K177" s="155"/>
      <c r="L177" s="155"/>
      <c r="M177" s="155"/>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1117"/>
      <c r="AQ177" s="3"/>
      <c r="AR177" s="3"/>
      <c r="AS177" s="97"/>
      <c r="AT177" s="97"/>
      <c r="AU177" s="97"/>
      <c r="AV177" s="97"/>
      <c r="AW177" s="97"/>
      <c r="AX177" s="97"/>
    </row>
    <row r="178" spans="2:50" s="795" customFormat="1" ht="16.5">
      <c r="B178" s="1117"/>
      <c r="C178" s="552" t="s">
        <v>4341</v>
      </c>
      <c r="D178" s="553"/>
      <c r="E178" s="973">
        <f t="shared" si="50"/>
        <v>0</v>
      </c>
      <c r="F178" s="972"/>
      <c r="G178" s="972"/>
      <c r="H178" s="800"/>
      <c r="I178" s="973">
        <f>IF('11. Unit Mix'!$G$142&lt;&gt;0,+E178/'11. Unit Mix'!$G$142,0)</f>
        <v>0</v>
      </c>
      <c r="J178" s="973">
        <f t="shared" si="49"/>
        <v>0</v>
      </c>
      <c r="K178" s="155"/>
      <c r="L178" s="155"/>
      <c r="M178" s="155"/>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9"/>
      <c r="AK178" s="549"/>
      <c r="AL178" s="549"/>
      <c r="AM178" s="549"/>
      <c r="AN178" s="549"/>
      <c r="AO178" s="549"/>
      <c r="AP178" s="1117"/>
      <c r="AQ178" s="3"/>
      <c r="AR178" s="3"/>
      <c r="AS178" s="97"/>
      <c r="AT178" s="97"/>
      <c r="AU178" s="97"/>
      <c r="AV178" s="97"/>
      <c r="AW178" s="97"/>
      <c r="AX178" s="97"/>
    </row>
    <row r="179" spans="2:50" s="796" customFormat="1">
      <c r="B179" s="1117"/>
      <c r="C179" s="552" t="s">
        <v>4342</v>
      </c>
      <c r="D179" s="553"/>
      <c r="E179" s="973">
        <f t="shared" si="50"/>
        <v>0</v>
      </c>
      <c r="F179" s="972"/>
      <c r="G179" s="972"/>
      <c r="H179" s="800"/>
      <c r="I179" s="973">
        <f>IF('11. Unit Mix'!$G$142&lt;&gt;0,+E179/'11. Unit Mix'!$G$142,0)</f>
        <v>0</v>
      </c>
      <c r="J179" s="973">
        <f t="shared" si="49"/>
        <v>0</v>
      </c>
      <c r="K179" s="155"/>
      <c r="L179" s="155"/>
      <c r="M179" s="155"/>
      <c r="N179" s="942"/>
      <c r="O179" s="942"/>
      <c r="P179" s="942"/>
      <c r="Q179" s="942"/>
      <c r="R179" s="942"/>
      <c r="S179" s="942"/>
      <c r="T179" s="942"/>
      <c r="U179" s="942"/>
      <c r="V179" s="942"/>
      <c r="W179" s="942"/>
      <c r="X179" s="942"/>
      <c r="Y179" s="942"/>
      <c r="Z179" s="942"/>
      <c r="AA179" s="942"/>
      <c r="AB179" s="942"/>
      <c r="AC179" s="942"/>
      <c r="AD179" s="942"/>
      <c r="AE179" s="942"/>
      <c r="AF179" s="942"/>
      <c r="AG179" s="942"/>
      <c r="AH179" s="942"/>
      <c r="AI179" s="942"/>
      <c r="AJ179" s="942"/>
      <c r="AK179" s="942"/>
      <c r="AL179" s="942"/>
      <c r="AM179" s="942"/>
      <c r="AN179" s="942"/>
      <c r="AO179" s="942"/>
      <c r="AP179" s="1117"/>
      <c r="AQ179" s="3"/>
      <c r="AR179" s="3"/>
      <c r="AS179" s="97"/>
      <c r="AT179" s="97"/>
      <c r="AU179" s="97"/>
      <c r="AV179" s="97"/>
      <c r="AW179" s="97"/>
      <c r="AX179" s="97"/>
    </row>
    <row r="180" spans="2:50" s="795" customFormat="1" ht="16.5">
      <c r="B180" s="1117"/>
      <c r="C180" s="1118"/>
      <c r="D180" s="1118"/>
      <c r="E180" s="1118"/>
      <c r="F180" s="1118"/>
      <c r="G180" s="1118"/>
      <c r="H180" s="1118"/>
      <c r="I180" s="1118"/>
      <c r="J180" s="1118"/>
      <c r="K180" s="155"/>
      <c r="L180" s="155"/>
      <c r="M180" s="155"/>
      <c r="N180" s="549"/>
      <c r="O180" s="549"/>
      <c r="P180" s="549"/>
      <c r="Q180" s="549"/>
      <c r="R180" s="549"/>
      <c r="S180" s="549"/>
      <c r="T180" s="549"/>
      <c r="U180" s="549"/>
      <c r="V180" s="549"/>
      <c r="W180" s="549"/>
      <c r="X180" s="549"/>
      <c r="Y180" s="549"/>
      <c r="Z180" s="549"/>
      <c r="AA180" s="549"/>
      <c r="AB180" s="549"/>
      <c r="AC180" s="549"/>
      <c r="AD180" s="549"/>
      <c r="AE180" s="549"/>
      <c r="AF180" s="549"/>
      <c r="AG180" s="549"/>
      <c r="AH180" s="549"/>
      <c r="AI180" s="549"/>
      <c r="AJ180" s="549"/>
      <c r="AK180" s="549"/>
      <c r="AL180" s="549"/>
      <c r="AM180" s="549"/>
      <c r="AN180" s="549"/>
      <c r="AO180" s="549"/>
      <c r="AP180" s="1117"/>
      <c r="AQ180" s="3"/>
      <c r="AR180" s="3"/>
      <c r="AS180" s="97"/>
      <c r="AT180" s="97"/>
      <c r="AU180" s="97"/>
      <c r="AV180" s="97"/>
      <c r="AW180" s="97"/>
      <c r="AX180" s="97"/>
    </row>
    <row r="181" spans="2:50" s="795" customFormat="1" ht="16.5">
      <c r="B181" s="1117"/>
      <c r="C181" s="550" t="s">
        <v>4343</v>
      </c>
      <c r="D181" s="551"/>
      <c r="E181" s="562">
        <f>+SUM(E182:E190)</f>
        <v>0</v>
      </c>
      <c r="F181" s="562">
        <f t="shared" ref="F181:H181" si="51">+SUM(F182:F190)</f>
        <v>0</v>
      </c>
      <c r="G181" s="562">
        <f t="shared" si="51"/>
        <v>0</v>
      </c>
      <c r="H181" s="562">
        <f t="shared" si="51"/>
        <v>0</v>
      </c>
      <c r="I181" s="562">
        <f>IF('11. Unit Mix'!$G$142&lt;&gt;0,+E181/'11. Unit Mix'!$G$142,0)</f>
        <v>0</v>
      </c>
      <c r="J181" s="562">
        <f t="shared" ref="J181:J190" si="52">IF(Total_Units&lt;&gt;0,+E181/Total_Units,0)</f>
        <v>0</v>
      </c>
      <c r="K181" s="155"/>
      <c r="L181" s="155"/>
      <c r="M181" s="155"/>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1117"/>
      <c r="AQ181" s="3"/>
      <c r="AR181" s="3"/>
      <c r="AS181" s="97"/>
      <c r="AT181" s="97"/>
      <c r="AU181" s="97"/>
      <c r="AV181" s="97"/>
      <c r="AW181" s="97"/>
      <c r="AX181" s="97"/>
    </row>
    <row r="182" spans="2:50" s="795" customFormat="1" ht="16.5">
      <c r="B182" s="1117"/>
      <c r="C182" s="552" t="s">
        <v>4344</v>
      </c>
      <c r="D182" s="553"/>
      <c r="E182" s="973">
        <f t="shared" ref="E182:E190" si="53">SUM(F182:H182)</f>
        <v>0</v>
      </c>
      <c r="F182" s="972"/>
      <c r="G182" s="972"/>
      <c r="H182" s="800"/>
      <c r="I182" s="973">
        <f>IF('11. Unit Mix'!$G$142&lt;&gt;0,+E182/'11. Unit Mix'!$G$142,0)</f>
        <v>0</v>
      </c>
      <c r="J182" s="973">
        <f t="shared" si="52"/>
        <v>0</v>
      </c>
      <c r="K182" s="155"/>
      <c r="L182" s="155"/>
      <c r="M182" s="155"/>
      <c r="N182" s="549"/>
      <c r="O182" s="549"/>
      <c r="P182" s="549"/>
      <c r="Q182" s="549"/>
      <c r="R182" s="549"/>
      <c r="S182" s="549"/>
      <c r="T182" s="549"/>
      <c r="U182" s="549"/>
      <c r="V182" s="549"/>
      <c r="W182" s="549"/>
      <c r="X182" s="549"/>
      <c r="Y182" s="549"/>
      <c r="Z182" s="549"/>
      <c r="AA182" s="549"/>
      <c r="AB182" s="549"/>
      <c r="AC182" s="549"/>
      <c r="AD182" s="549"/>
      <c r="AE182" s="549"/>
      <c r="AF182" s="549"/>
      <c r="AG182" s="549"/>
      <c r="AH182" s="549"/>
      <c r="AI182" s="549"/>
      <c r="AJ182" s="549"/>
      <c r="AK182" s="549"/>
      <c r="AL182" s="549"/>
      <c r="AM182" s="549"/>
      <c r="AN182" s="549"/>
      <c r="AO182" s="549"/>
      <c r="AP182" s="1117"/>
      <c r="AQ182" s="3"/>
      <c r="AR182" s="3"/>
      <c r="AS182" s="97"/>
      <c r="AT182" s="97"/>
      <c r="AU182" s="97"/>
      <c r="AV182" s="97"/>
      <c r="AW182" s="97"/>
      <c r="AX182" s="97"/>
    </row>
    <row r="183" spans="2:50" s="795" customFormat="1" ht="16.5">
      <c r="B183" s="1117"/>
      <c r="C183" s="552" t="s">
        <v>4345</v>
      </c>
      <c r="D183" s="553"/>
      <c r="E183" s="973">
        <f t="shared" si="53"/>
        <v>0</v>
      </c>
      <c r="F183" s="972"/>
      <c r="G183" s="972"/>
      <c r="H183" s="800"/>
      <c r="I183" s="973">
        <f>IF('11. Unit Mix'!$G$142&lt;&gt;0,+E183/'11. Unit Mix'!$G$142,0)</f>
        <v>0</v>
      </c>
      <c r="J183" s="973">
        <f t="shared" si="52"/>
        <v>0</v>
      </c>
      <c r="K183" s="155"/>
      <c r="L183" s="155"/>
      <c r="M183" s="155"/>
      <c r="N183" s="549"/>
      <c r="O183" s="549"/>
      <c r="P183" s="549"/>
      <c r="Q183" s="549"/>
      <c r="R183" s="549"/>
      <c r="S183" s="549"/>
      <c r="T183" s="549"/>
      <c r="U183" s="549"/>
      <c r="V183" s="549"/>
      <c r="W183" s="549"/>
      <c r="X183" s="549"/>
      <c r="Y183" s="549"/>
      <c r="Z183" s="549"/>
      <c r="AA183" s="549"/>
      <c r="AB183" s="549"/>
      <c r="AC183" s="549"/>
      <c r="AD183" s="549"/>
      <c r="AE183" s="549"/>
      <c r="AF183" s="549"/>
      <c r="AG183" s="549"/>
      <c r="AH183" s="549"/>
      <c r="AI183" s="549"/>
      <c r="AJ183" s="549"/>
      <c r="AK183" s="549"/>
      <c r="AL183" s="549"/>
      <c r="AM183" s="549"/>
      <c r="AN183" s="549"/>
      <c r="AO183" s="549"/>
      <c r="AP183" s="1117"/>
      <c r="AQ183" s="3"/>
      <c r="AR183" s="3"/>
      <c r="AS183" s="97"/>
      <c r="AT183" s="97"/>
      <c r="AU183" s="97"/>
      <c r="AV183" s="97"/>
      <c r="AW183" s="97"/>
      <c r="AX183" s="97"/>
    </row>
    <row r="184" spans="2:50" s="795" customFormat="1" ht="16.5">
      <c r="B184" s="1117"/>
      <c r="C184" s="552" t="s">
        <v>4346</v>
      </c>
      <c r="D184" s="553"/>
      <c r="E184" s="973">
        <f t="shared" si="53"/>
        <v>0</v>
      </c>
      <c r="F184" s="972"/>
      <c r="G184" s="972"/>
      <c r="H184" s="800"/>
      <c r="I184" s="973">
        <f>IF('11. Unit Mix'!$G$142&lt;&gt;0,+E184/'11. Unit Mix'!$G$142,0)</f>
        <v>0</v>
      </c>
      <c r="J184" s="973">
        <f t="shared" si="52"/>
        <v>0</v>
      </c>
      <c r="K184" s="155"/>
      <c r="L184" s="155"/>
      <c r="M184" s="155"/>
      <c r="N184" s="549"/>
      <c r="O184" s="549"/>
      <c r="P184" s="549"/>
      <c r="Q184" s="549"/>
      <c r="R184" s="549"/>
      <c r="S184" s="549"/>
      <c r="T184" s="549"/>
      <c r="U184" s="549"/>
      <c r="V184" s="549"/>
      <c r="W184" s="549"/>
      <c r="X184" s="549"/>
      <c r="Y184" s="549"/>
      <c r="Z184" s="549"/>
      <c r="AA184" s="549"/>
      <c r="AB184" s="549"/>
      <c r="AC184" s="549"/>
      <c r="AD184" s="549"/>
      <c r="AE184" s="549"/>
      <c r="AF184" s="549"/>
      <c r="AG184" s="549"/>
      <c r="AH184" s="549"/>
      <c r="AI184" s="549"/>
      <c r="AJ184" s="549"/>
      <c r="AK184" s="549"/>
      <c r="AL184" s="549"/>
      <c r="AM184" s="549"/>
      <c r="AN184" s="549"/>
      <c r="AO184" s="549"/>
      <c r="AP184" s="1117"/>
      <c r="AQ184" s="3"/>
      <c r="AR184" s="3"/>
      <c r="AS184" s="97"/>
      <c r="AT184" s="97"/>
      <c r="AU184" s="97"/>
      <c r="AV184" s="97"/>
      <c r="AW184" s="97"/>
      <c r="AX184" s="97"/>
    </row>
    <row r="185" spans="2:50" s="795" customFormat="1" ht="16.5">
      <c r="B185" s="1117"/>
      <c r="C185" s="552" t="s">
        <v>4347</v>
      </c>
      <c r="D185" s="553"/>
      <c r="E185" s="973">
        <f t="shared" si="53"/>
        <v>0</v>
      </c>
      <c r="F185" s="972"/>
      <c r="G185" s="972"/>
      <c r="H185" s="800"/>
      <c r="I185" s="973">
        <f>IF('11. Unit Mix'!$G$142&lt;&gt;0,+E185/'11. Unit Mix'!$G$142,0)</f>
        <v>0</v>
      </c>
      <c r="J185" s="973">
        <f t="shared" si="52"/>
        <v>0</v>
      </c>
      <c r="K185" s="155"/>
      <c r="L185" s="155"/>
      <c r="M185" s="155"/>
      <c r="N185" s="549"/>
      <c r="O185" s="549"/>
      <c r="P185" s="549"/>
      <c r="Q185" s="549"/>
      <c r="R185" s="549"/>
      <c r="S185" s="549"/>
      <c r="T185" s="549"/>
      <c r="U185" s="549"/>
      <c r="V185" s="549"/>
      <c r="W185" s="549"/>
      <c r="X185" s="549"/>
      <c r="Y185" s="549"/>
      <c r="Z185" s="549"/>
      <c r="AA185" s="549"/>
      <c r="AB185" s="549"/>
      <c r="AC185" s="549"/>
      <c r="AD185" s="549"/>
      <c r="AE185" s="549"/>
      <c r="AF185" s="549"/>
      <c r="AG185" s="549"/>
      <c r="AH185" s="549"/>
      <c r="AI185" s="549"/>
      <c r="AJ185" s="549"/>
      <c r="AK185" s="549"/>
      <c r="AL185" s="549"/>
      <c r="AM185" s="549"/>
      <c r="AN185" s="549"/>
      <c r="AO185" s="549"/>
      <c r="AP185" s="1117"/>
      <c r="AQ185" s="3"/>
      <c r="AR185" s="3"/>
      <c r="AS185" s="97"/>
      <c r="AT185" s="97"/>
      <c r="AU185" s="97"/>
      <c r="AV185" s="97"/>
      <c r="AW185" s="97"/>
      <c r="AX185" s="97"/>
    </row>
    <row r="186" spans="2:50" s="795" customFormat="1" ht="16.5">
      <c r="B186" s="1117"/>
      <c r="C186" s="552" t="s">
        <v>4348</v>
      </c>
      <c r="D186" s="553"/>
      <c r="E186" s="973">
        <f t="shared" si="53"/>
        <v>0</v>
      </c>
      <c r="F186" s="972"/>
      <c r="G186" s="972"/>
      <c r="H186" s="800"/>
      <c r="I186" s="973">
        <f>IF('11. Unit Mix'!$G$142&lt;&gt;0,+E186/'11. Unit Mix'!$G$142,0)</f>
        <v>0</v>
      </c>
      <c r="J186" s="973">
        <f t="shared" si="52"/>
        <v>0</v>
      </c>
      <c r="K186" s="155"/>
      <c r="L186" s="155"/>
      <c r="M186" s="155"/>
      <c r="N186" s="549"/>
      <c r="O186" s="549"/>
      <c r="P186" s="549"/>
      <c r="Q186" s="549"/>
      <c r="R186" s="549"/>
      <c r="S186" s="549"/>
      <c r="T186" s="549"/>
      <c r="U186" s="549"/>
      <c r="V186" s="549"/>
      <c r="W186" s="549"/>
      <c r="X186" s="549"/>
      <c r="Y186" s="549"/>
      <c r="Z186" s="549"/>
      <c r="AA186" s="549"/>
      <c r="AB186" s="549"/>
      <c r="AC186" s="549"/>
      <c r="AD186" s="549"/>
      <c r="AE186" s="549"/>
      <c r="AF186" s="549"/>
      <c r="AG186" s="549"/>
      <c r="AH186" s="549"/>
      <c r="AI186" s="549"/>
      <c r="AJ186" s="549"/>
      <c r="AK186" s="549"/>
      <c r="AL186" s="549"/>
      <c r="AM186" s="549"/>
      <c r="AN186" s="549"/>
      <c r="AO186" s="549"/>
      <c r="AP186" s="1117"/>
      <c r="AQ186" s="3"/>
      <c r="AR186" s="3"/>
      <c r="AS186" s="97"/>
      <c r="AT186" s="97"/>
      <c r="AU186" s="97"/>
      <c r="AV186" s="97"/>
      <c r="AW186" s="97"/>
      <c r="AX186" s="97"/>
    </row>
    <row r="187" spans="2:50" s="795" customFormat="1" ht="16.5">
      <c r="B187" s="1117"/>
      <c r="C187" s="552" t="s">
        <v>4349</v>
      </c>
      <c r="D187" s="553"/>
      <c r="E187" s="973">
        <f t="shared" si="53"/>
        <v>0</v>
      </c>
      <c r="F187" s="972"/>
      <c r="G187" s="972"/>
      <c r="H187" s="800"/>
      <c r="I187" s="973">
        <f>IF('11. Unit Mix'!$G$142&lt;&gt;0,+E187/'11. Unit Mix'!$G$142,0)</f>
        <v>0</v>
      </c>
      <c r="J187" s="973">
        <f t="shared" si="52"/>
        <v>0</v>
      </c>
      <c r="K187" s="155"/>
      <c r="L187" s="155"/>
      <c r="M187" s="155"/>
      <c r="N187" s="549"/>
      <c r="O187" s="549"/>
      <c r="P187" s="549"/>
      <c r="Q187" s="549"/>
      <c r="R187" s="549"/>
      <c r="S187" s="549"/>
      <c r="T187" s="549"/>
      <c r="U187" s="549"/>
      <c r="V187" s="549"/>
      <c r="W187" s="549"/>
      <c r="X187" s="549"/>
      <c r="Y187" s="549"/>
      <c r="Z187" s="549"/>
      <c r="AA187" s="549"/>
      <c r="AB187" s="549"/>
      <c r="AC187" s="549"/>
      <c r="AD187" s="549"/>
      <c r="AE187" s="549"/>
      <c r="AF187" s="549"/>
      <c r="AG187" s="549"/>
      <c r="AH187" s="549"/>
      <c r="AI187" s="549"/>
      <c r="AJ187" s="549"/>
      <c r="AK187" s="549"/>
      <c r="AL187" s="549"/>
      <c r="AM187" s="549"/>
      <c r="AN187" s="549"/>
      <c r="AO187" s="549"/>
      <c r="AP187" s="1117"/>
      <c r="AQ187" s="3"/>
      <c r="AR187" s="3"/>
      <c r="AS187" s="97"/>
      <c r="AT187" s="97"/>
      <c r="AU187" s="97"/>
      <c r="AV187" s="97"/>
      <c r="AW187" s="97"/>
      <c r="AX187" s="97"/>
    </row>
    <row r="188" spans="2:50" s="795" customFormat="1" ht="16.5">
      <c r="B188" s="1117"/>
      <c r="C188" s="552" t="s">
        <v>4350</v>
      </c>
      <c r="D188" s="553"/>
      <c r="E188" s="973">
        <f t="shared" si="53"/>
        <v>0</v>
      </c>
      <c r="F188" s="972"/>
      <c r="G188" s="972"/>
      <c r="H188" s="800"/>
      <c r="I188" s="973">
        <f>IF('11. Unit Mix'!$G$142&lt;&gt;0,+E188/'11. Unit Mix'!$G$142,0)</f>
        <v>0</v>
      </c>
      <c r="J188" s="973">
        <f t="shared" si="52"/>
        <v>0</v>
      </c>
      <c r="K188" s="155"/>
      <c r="L188" s="155"/>
      <c r="M188" s="155"/>
      <c r="N188" s="549"/>
      <c r="O188" s="549"/>
      <c r="P188" s="549"/>
      <c r="Q188" s="549"/>
      <c r="R188" s="549"/>
      <c r="S188" s="549"/>
      <c r="T188" s="549"/>
      <c r="U188" s="549"/>
      <c r="V188" s="549"/>
      <c r="W188" s="549"/>
      <c r="X188" s="549"/>
      <c r="Y188" s="549"/>
      <c r="Z188" s="549"/>
      <c r="AA188" s="549"/>
      <c r="AB188" s="549"/>
      <c r="AC188" s="549"/>
      <c r="AD188" s="549"/>
      <c r="AE188" s="549"/>
      <c r="AF188" s="549"/>
      <c r="AG188" s="549"/>
      <c r="AH188" s="549"/>
      <c r="AI188" s="549"/>
      <c r="AJ188" s="549"/>
      <c r="AK188" s="549"/>
      <c r="AL188" s="549"/>
      <c r="AM188" s="549"/>
      <c r="AN188" s="549"/>
      <c r="AO188" s="549"/>
      <c r="AP188" s="1117"/>
      <c r="AQ188" s="3"/>
      <c r="AR188" s="3"/>
      <c r="AS188" s="97"/>
      <c r="AT188" s="97"/>
      <c r="AU188" s="97"/>
      <c r="AV188" s="97"/>
      <c r="AW188" s="97"/>
      <c r="AX188" s="97"/>
    </row>
    <row r="189" spans="2:50" s="795" customFormat="1" ht="16.5">
      <c r="B189" s="1117"/>
      <c r="C189" s="552" t="s">
        <v>4351</v>
      </c>
      <c r="D189" s="553"/>
      <c r="E189" s="973">
        <f t="shared" si="53"/>
        <v>0</v>
      </c>
      <c r="F189" s="972"/>
      <c r="G189" s="972"/>
      <c r="H189" s="800"/>
      <c r="I189" s="973">
        <f>IF('11. Unit Mix'!$G$142&lt;&gt;0,+E189/'11. Unit Mix'!$G$142,0)</f>
        <v>0</v>
      </c>
      <c r="J189" s="973">
        <f t="shared" si="52"/>
        <v>0</v>
      </c>
      <c r="K189" s="155"/>
      <c r="L189" s="155"/>
      <c r="M189" s="155"/>
      <c r="N189" s="549"/>
      <c r="O189" s="549"/>
      <c r="P189" s="549"/>
      <c r="Q189" s="549"/>
      <c r="R189" s="549"/>
      <c r="S189" s="549"/>
      <c r="T189" s="549"/>
      <c r="U189" s="549"/>
      <c r="V189" s="549"/>
      <c r="W189" s="549"/>
      <c r="X189" s="549"/>
      <c r="Y189" s="549"/>
      <c r="Z189" s="549"/>
      <c r="AA189" s="549"/>
      <c r="AB189" s="549"/>
      <c r="AC189" s="549"/>
      <c r="AD189" s="549"/>
      <c r="AE189" s="549"/>
      <c r="AF189" s="549"/>
      <c r="AG189" s="549"/>
      <c r="AH189" s="549"/>
      <c r="AI189" s="549"/>
      <c r="AJ189" s="549"/>
      <c r="AK189" s="549"/>
      <c r="AL189" s="549"/>
      <c r="AM189" s="549"/>
      <c r="AN189" s="549"/>
      <c r="AO189" s="549"/>
      <c r="AP189" s="1117"/>
      <c r="AQ189" s="3"/>
      <c r="AR189" s="3"/>
      <c r="AS189" s="97"/>
      <c r="AT189" s="97"/>
      <c r="AU189" s="97"/>
      <c r="AV189" s="97"/>
      <c r="AW189" s="97"/>
      <c r="AX189" s="97"/>
    </row>
    <row r="190" spans="2:50" s="796" customFormat="1">
      <c r="B190" s="1117"/>
      <c r="C190" s="552" t="s">
        <v>4352</v>
      </c>
      <c r="D190" s="553"/>
      <c r="E190" s="973">
        <f t="shared" si="53"/>
        <v>0</v>
      </c>
      <c r="F190" s="972"/>
      <c r="G190" s="972"/>
      <c r="H190" s="800"/>
      <c r="I190" s="973">
        <f>IF('11. Unit Mix'!$G$142&lt;&gt;0,+E190/'11. Unit Mix'!$G$142,0)</f>
        <v>0</v>
      </c>
      <c r="J190" s="973">
        <f t="shared" si="52"/>
        <v>0</v>
      </c>
      <c r="K190" s="155"/>
      <c r="L190" s="155"/>
      <c r="M190" s="155"/>
      <c r="N190" s="942"/>
      <c r="O190" s="942"/>
      <c r="P190" s="942"/>
      <c r="Q190" s="942"/>
      <c r="R190" s="942"/>
      <c r="S190" s="942"/>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1117"/>
      <c r="AQ190" s="3"/>
      <c r="AR190" s="3"/>
      <c r="AS190" s="97"/>
      <c r="AT190" s="97"/>
      <c r="AU190" s="97"/>
      <c r="AV190" s="97"/>
      <c r="AW190" s="97"/>
      <c r="AX190" s="97"/>
    </row>
    <row r="191" spans="2:50" s="795" customFormat="1" ht="16.5">
      <c r="B191" s="1117"/>
      <c r="C191" s="1118"/>
      <c r="D191" s="1118"/>
      <c r="E191" s="1118"/>
      <c r="F191" s="1118"/>
      <c r="G191" s="1118"/>
      <c r="H191" s="1118"/>
      <c r="I191" s="1118"/>
      <c r="J191" s="1118"/>
      <c r="K191" s="155"/>
      <c r="L191" s="155"/>
      <c r="M191" s="155"/>
      <c r="N191" s="549"/>
      <c r="O191" s="549"/>
      <c r="P191" s="549"/>
      <c r="Q191" s="549"/>
      <c r="R191" s="549"/>
      <c r="S191" s="549"/>
      <c r="T191" s="549"/>
      <c r="U191" s="549"/>
      <c r="V191" s="549"/>
      <c r="W191" s="549"/>
      <c r="X191" s="549"/>
      <c r="Y191" s="549"/>
      <c r="Z191" s="549"/>
      <c r="AA191" s="549"/>
      <c r="AB191" s="549"/>
      <c r="AC191" s="549"/>
      <c r="AD191" s="549"/>
      <c r="AE191" s="549"/>
      <c r="AF191" s="549"/>
      <c r="AG191" s="549"/>
      <c r="AH191" s="549"/>
      <c r="AI191" s="549"/>
      <c r="AJ191" s="549"/>
      <c r="AK191" s="549"/>
      <c r="AL191" s="549"/>
      <c r="AM191" s="549"/>
      <c r="AN191" s="549"/>
      <c r="AO191" s="549"/>
      <c r="AP191" s="1117"/>
      <c r="AQ191" s="3"/>
      <c r="AR191" s="3"/>
      <c r="AS191" s="97"/>
      <c r="AT191" s="97"/>
      <c r="AU191" s="97"/>
      <c r="AV191" s="97"/>
      <c r="AW191" s="97"/>
      <c r="AX191" s="97"/>
    </row>
    <row r="192" spans="2:50" s="795" customFormat="1" ht="16.5">
      <c r="B192" s="1117"/>
      <c r="C192" s="550" t="s">
        <v>4353</v>
      </c>
      <c r="D192" s="551"/>
      <c r="E192" s="562">
        <f>+SUM(E193:E197)</f>
        <v>0</v>
      </c>
      <c r="F192" s="562">
        <f t="shared" ref="F192:H192" si="54">+SUM(F193:F197)</f>
        <v>0</v>
      </c>
      <c r="G192" s="562">
        <f t="shared" si="54"/>
        <v>0</v>
      </c>
      <c r="H192" s="562">
        <f t="shared" si="54"/>
        <v>0</v>
      </c>
      <c r="I192" s="562">
        <f>IF('11. Unit Mix'!$G$142&lt;&gt;0,+E192/'11. Unit Mix'!$G$142,0)</f>
        <v>0</v>
      </c>
      <c r="J192" s="562">
        <f t="shared" ref="J192:J197" si="55">IF(Total_Units&lt;&gt;0,+E192/Total_Units,0)</f>
        <v>0</v>
      </c>
      <c r="K192" s="155"/>
      <c r="L192" s="155"/>
      <c r="M192" s="155"/>
      <c r="N192" s="549"/>
      <c r="O192" s="549"/>
      <c r="P192" s="549"/>
      <c r="Q192" s="549"/>
      <c r="R192" s="549"/>
      <c r="S192" s="549"/>
      <c r="T192" s="549"/>
      <c r="U192" s="549"/>
      <c r="V192" s="549"/>
      <c r="W192" s="549"/>
      <c r="X192" s="549"/>
      <c r="Y192" s="549"/>
      <c r="Z192" s="549"/>
      <c r="AA192" s="549"/>
      <c r="AB192" s="549"/>
      <c r="AC192" s="549"/>
      <c r="AD192" s="549"/>
      <c r="AE192" s="549"/>
      <c r="AF192" s="549"/>
      <c r="AG192" s="549"/>
      <c r="AH192" s="549"/>
      <c r="AI192" s="549"/>
      <c r="AJ192" s="549"/>
      <c r="AK192" s="549"/>
      <c r="AL192" s="549"/>
      <c r="AM192" s="549"/>
      <c r="AN192" s="549"/>
      <c r="AO192" s="549"/>
      <c r="AP192" s="1117"/>
      <c r="AQ192" s="3"/>
      <c r="AR192" s="3"/>
      <c r="AS192" s="97"/>
      <c r="AT192" s="97"/>
      <c r="AU192" s="97"/>
      <c r="AV192" s="97"/>
      <c r="AW192" s="97"/>
      <c r="AX192" s="97"/>
    </row>
    <row r="193" spans="2:50" s="795" customFormat="1" ht="16.5">
      <c r="B193" s="1117"/>
      <c r="C193" s="552" t="s">
        <v>4354</v>
      </c>
      <c r="D193" s="553"/>
      <c r="E193" s="973">
        <f t="shared" ref="E193:E197" si="56">SUM(F193:H193)</f>
        <v>0</v>
      </c>
      <c r="F193" s="972"/>
      <c r="G193" s="972"/>
      <c r="H193" s="800"/>
      <c r="I193" s="973">
        <f>IF('11. Unit Mix'!$G$142&lt;&gt;0,+E193/'11. Unit Mix'!$G$142,0)</f>
        <v>0</v>
      </c>
      <c r="J193" s="973">
        <f t="shared" si="55"/>
        <v>0</v>
      </c>
      <c r="K193" s="155"/>
      <c r="L193" s="155"/>
      <c r="M193" s="155"/>
      <c r="N193" s="549"/>
      <c r="O193" s="549"/>
      <c r="P193" s="549"/>
      <c r="Q193" s="549"/>
      <c r="R193" s="549"/>
      <c r="S193" s="549"/>
      <c r="T193" s="549"/>
      <c r="U193" s="549"/>
      <c r="V193" s="549"/>
      <c r="W193" s="549"/>
      <c r="X193" s="549"/>
      <c r="Y193" s="549"/>
      <c r="Z193" s="549"/>
      <c r="AA193" s="549"/>
      <c r="AB193" s="549"/>
      <c r="AC193" s="549"/>
      <c r="AD193" s="549"/>
      <c r="AE193" s="549"/>
      <c r="AF193" s="549"/>
      <c r="AG193" s="549"/>
      <c r="AH193" s="549"/>
      <c r="AI193" s="549"/>
      <c r="AJ193" s="549"/>
      <c r="AK193" s="549"/>
      <c r="AL193" s="549"/>
      <c r="AM193" s="549"/>
      <c r="AN193" s="549"/>
      <c r="AO193" s="549"/>
      <c r="AP193" s="1117"/>
      <c r="AQ193" s="3"/>
      <c r="AR193" s="3"/>
      <c r="AS193" s="97"/>
      <c r="AT193" s="97"/>
      <c r="AU193" s="97"/>
      <c r="AV193" s="97"/>
      <c r="AW193" s="97"/>
      <c r="AX193" s="97"/>
    </row>
    <row r="194" spans="2:50" s="795" customFormat="1" ht="16.5">
      <c r="B194" s="1117"/>
      <c r="C194" s="552" t="s">
        <v>4355</v>
      </c>
      <c r="D194" s="553"/>
      <c r="E194" s="973">
        <f t="shared" si="56"/>
        <v>0</v>
      </c>
      <c r="F194" s="972"/>
      <c r="G194" s="972"/>
      <c r="H194" s="800"/>
      <c r="I194" s="973">
        <f>IF('11. Unit Mix'!$G$142&lt;&gt;0,+E194/'11. Unit Mix'!$G$142,0)</f>
        <v>0</v>
      </c>
      <c r="J194" s="973">
        <f t="shared" si="55"/>
        <v>0</v>
      </c>
      <c r="K194" s="155"/>
      <c r="L194" s="155"/>
      <c r="M194" s="155"/>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1117"/>
      <c r="AQ194" s="3"/>
      <c r="AR194" s="3"/>
      <c r="AS194" s="97"/>
      <c r="AT194" s="97"/>
      <c r="AU194" s="97"/>
      <c r="AV194" s="97"/>
      <c r="AW194" s="97"/>
      <c r="AX194" s="97"/>
    </row>
    <row r="195" spans="2:50" s="795" customFormat="1" ht="16.5">
      <c r="B195" s="1117"/>
      <c r="C195" s="552" t="s">
        <v>4356</v>
      </c>
      <c r="D195" s="553"/>
      <c r="E195" s="973">
        <f t="shared" si="56"/>
        <v>0</v>
      </c>
      <c r="F195" s="972"/>
      <c r="G195" s="972"/>
      <c r="H195" s="800"/>
      <c r="I195" s="973">
        <f>IF('11. Unit Mix'!$G$142&lt;&gt;0,+E195/'11. Unit Mix'!$G$142,0)</f>
        <v>0</v>
      </c>
      <c r="J195" s="973">
        <f t="shared" si="55"/>
        <v>0</v>
      </c>
      <c r="K195" s="155"/>
      <c r="L195" s="155"/>
      <c r="M195" s="155"/>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1117"/>
      <c r="AQ195" s="3"/>
      <c r="AR195" s="3"/>
      <c r="AS195" s="97"/>
      <c r="AT195" s="97"/>
      <c r="AU195" s="97"/>
      <c r="AV195" s="97"/>
      <c r="AW195" s="97"/>
      <c r="AX195" s="97"/>
    </row>
    <row r="196" spans="2:50" s="795" customFormat="1" ht="16.5">
      <c r="B196" s="1117"/>
      <c r="C196" s="552" t="s">
        <v>4357</v>
      </c>
      <c r="D196" s="553"/>
      <c r="E196" s="973">
        <f t="shared" si="56"/>
        <v>0</v>
      </c>
      <c r="F196" s="972"/>
      <c r="G196" s="972"/>
      <c r="H196" s="800"/>
      <c r="I196" s="973">
        <f>IF('11. Unit Mix'!$G$142&lt;&gt;0,+E196/'11. Unit Mix'!$G$142,0)</f>
        <v>0</v>
      </c>
      <c r="J196" s="973">
        <f t="shared" si="55"/>
        <v>0</v>
      </c>
      <c r="K196" s="155"/>
      <c r="L196" s="155"/>
      <c r="M196" s="155"/>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1117"/>
      <c r="AQ196" s="3"/>
      <c r="AR196" s="3"/>
      <c r="AS196" s="97"/>
      <c r="AT196" s="97"/>
      <c r="AU196" s="97"/>
      <c r="AV196" s="97"/>
      <c r="AW196" s="97"/>
      <c r="AX196" s="97"/>
    </row>
    <row r="197" spans="2:50" s="796" customFormat="1">
      <c r="B197" s="1117"/>
      <c r="C197" s="552" t="s">
        <v>4358</v>
      </c>
      <c r="D197" s="553"/>
      <c r="E197" s="973">
        <f t="shared" si="56"/>
        <v>0</v>
      </c>
      <c r="F197" s="972"/>
      <c r="G197" s="972"/>
      <c r="H197" s="800"/>
      <c r="I197" s="973">
        <f>IF('11. Unit Mix'!$G$142&lt;&gt;0,+E197/'11. Unit Mix'!$G$142,0)</f>
        <v>0</v>
      </c>
      <c r="J197" s="973">
        <f t="shared" si="55"/>
        <v>0</v>
      </c>
      <c r="K197" s="155"/>
      <c r="L197" s="155"/>
      <c r="M197" s="155"/>
      <c r="N197" s="942"/>
      <c r="O197" s="942"/>
      <c r="P197" s="942"/>
      <c r="Q197" s="942"/>
      <c r="R197" s="942"/>
      <c r="S197" s="942"/>
      <c r="T197" s="942"/>
      <c r="U197" s="942"/>
      <c r="V197" s="942"/>
      <c r="W197" s="942"/>
      <c r="X197" s="942"/>
      <c r="Y197" s="942"/>
      <c r="Z197" s="942"/>
      <c r="AA197" s="942"/>
      <c r="AB197" s="942"/>
      <c r="AC197" s="942"/>
      <c r="AD197" s="942"/>
      <c r="AE197" s="942"/>
      <c r="AF197" s="942"/>
      <c r="AG197" s="942"/>
      <c r="AH197" s="942"/>
      <c r="AI197" s="942"/>
      <c r="AJ197" s="942"/>
      <c r="AK197" s="942"/>
      <c r="AL197" s="942"/>
      <c r="AM197" s="942"/>
      <c r="AN197" s="942"/>
      <c r="AO197" s="942"/>
      <c r="AP197" s="1117"/>
      <c r="AQ197" s="3"/>
      <c r="AR197" s="3"/>
      <c r="AS197" s="97"/>
      <c r="AT197" s="97"/>
      <c r="AU197" s="97"/>
      <c r="AV197" s="97"/>
      <c r="AW197" s="97"/>
      <c r="AX197" s="97"/>
    </row>
    <row r="198" spans="2:50" s="795" customFormat="1" ht="16.5">
      <c r="B198" s="1117"/>
      <c r="C198" s="1118"/>
      <c r="D198" s="1118"/>
      <c r="E198" s="1118"/>
      <c r="F198" s="1118"/>
      <c r="G198" s="1118"/>
      <c r="H198" s="1118"/>
      <c r="I198" s="1118"/>
      <c r="J198" s="1118"/>
      <c r="K198" s="155"/>
      <c r="L198" s="155"/>
      <c r="M198" s="155"/>
      <c r="N198" s="549"/>
      <c r="O198" s="549"/>
      <c r="P198" s="549"/>
      <c r="Q198" s="549"/>
      <c r="R198" s="549"/>
      <c r="S198" s="549"/>
      <c r="T198" s="549"/>
      <c r="U198" s="549"/>
      <c r="V198" s="549"/>
      <c r="W198" s="549"/>
      <c r="X198" s="549"/>
      <c r="Y198" s="549"/>
      <c r="Z198" s="549"/>
      <c r="AA198" s="549"/>
      <c r="AB198" s="549"/>
      <c r="AC198" s="549"/>
      <c r="AD198" s="549"/>
      <c r="AE198" s="549"/>
      <c r="AF198" s="549"/>
      <c r="AG198" s="549"/>
      <c r="AH198" s="549"/>
      <c r="AI198" s="549"/>
      <c r="AJ198" s="549"/>
      <c r="AK198" s="549"/>
      <c r="AL198" s="549"/>
      <c r="AM198" s="549"/>
      <c r="AN198" s="549"/>
      <c r="AO198" s="549"/>
      <c r="AP198" s="1117"/>
      <c r="AQ198" s="3"/>
      <c r="AR198" s="3"/>
      <c r="AS198" s="97"/>
      <c r="AT198" s="97"/>
      <c r="AU198" s="97"/>
      <c r="AV198" s="97"/>
      <c r="AW198" s="97"/>
      <c r="AX198" s="97"/>
    </row>
    <row r="199" spans="2:50" s="795" customFormat="1" ht="16.5">
      <c r="B199" s="1117"/>
      <c r="C199" s="550" t="s">
        <v>4359</v>
      </c>
      <c r="D199" s="551"/>
      <c r="E199" s="562">
        <f>+SUM(E200:E205)</f>
        <v>0</v>
      </c>
      <c r="F199" s="562">
        <f t="shared" ref="F199:H199" si="57">+SUM(F200:F205)</f>
        <v>0</v>
      </c>
      <c r="G199" s="562">
        <f t="shared" si="57"/>
        <v>0</v>
      </c>
      <c r="H199" s="562">
        <f t="shared" si="57"/>
        <v>0</v>
      </c>
      <c r="I199" s="562">
        <f>IF('11. Unit Mix'!$G$142&lt;&gt;0,+E199/'11. Unit Mix'!$G$142,0)</f>
        <v>0</v>
      </c>
      <c r="J199" s="562">
        <f t="shared" ref="J199:J205" si="58">IF(Total_Units&lt;&gt;0,+E199/Total_Units,0)</f>
        <v>0</v>
      </c>
      <c r="K199" s="155"/>
      <c r="L199" s="155"/>
      <c r="M199" s="155"/>
      <c r="N199" s="549"/>
      <c r="O199" s="549"/>
      <c r="P199" s="549"/>
      <c r="Q199" s="549"/>
      <c r="R199" s="549"/>
      <c r="S199" s="549"/>
      <c r="T199" s="549"/>
      <c r="U199" s="549"/>
      <c r="V199" s="549"/>
      <c r="W199" s="549"/>
      <c r="X199" s="549"/>
      <c r="Y199" s="549"/>
      <c r="Z199" s="549"/>
      <c r="AA199" s="549"/>
      <c r="AB199" s="549"/>
      <c r="AC199" s="549"/>
      <c r="AD199" s="549"/>
      <c r="AE199" s="549"/>
      <c r="AF199" s="549"/>
      <c r="AG199" s="549"/>
      <c r="AH199" s="549"/>
      <c r="AI199" s="549"/>
      <c r="AJ199" s="549"/>
      <c r="AK199" s="549"/>
      <c r="AL199" s="549"/>
      <c r="AM199" s="549"/>
      <c r="AN199" s="549"/>
      <c r="AO199" s="549"/>
      <c r="AP199" s="1117"/>
      <c r="AQ199" s="3"/>
      <c r="AR199" s="3"/>
      <c r="AS199" s="97"/>
      <c r="AT199" s="97"/>
      <c r="AU199" s="97"/>
      <c r="AV199" s="97"/>
      <c r="AW199" s="97"/>
      <c r="AX199" s="97"/>
    </row>
    <row r="200" spans="2:50" s="795" customFormat="1" ht="16.5">
      <c r="B200" s="1117"/>
      <c r="C200" s="552" t="s">
        <v>4360</v>
      </c>
      <c r="D200" s="553"/>
      <c r="E200" s="973">
        <f t="shared" ref="E200:E205" si="59">SUM(F200:H200)</f>
        <v>0</v>
      </c>
      <c r="F200" s="972"/>
      <c r="G200" s="972"/>
      <c r="H200" s="800"/>
      <c r="I200" s="973">
        <f>IF('11. Unit Mix'!$G$142&lt;&gt;0,+E200/'11. Unit Mix'!$G$142,0)</f>
        <v>0</v>
      </c>
      <c r="J200" s="973">
        <f t="shared" si="58"/>
        <v>0</v>
      </c>
      <c r="K200" s="155"/>
      <c r="L200" s="155"/>
      <c r="M200" s="155"/>
      <c r="N200" s="549"/>
      <c r="O200" s="549"/>
      <c r="P200" s="549"/>
      <c r="Q200" s="549"/>
      <c r="R200" s="549"/>
      <c r="S200" s="549"/>
      <c r="T200" s="549"/>
      <c r="U200" s="549"/>
      <c r="V200" s="549"/>
      <c r="W200" s="549"/>
      <c r="X200" s="549"/>
      <c r="Y200" s="549"/>
      <c r="Z200" s="549"/>
      <c r="AA200" s="549"/>
      <c r="AB200" s="549"/>
      <c r="AC200" s="549"/>
      <c r="AD200" s="549"/>
      <c r="AE200" s="549"/>
      <c r="AF200" s="549"/>
      <c r="AG200" s="549"/>
      <c r="AH200" s="549"/>
      <c r="AI200" s="549"/>
      <c r="AJ200" s="549"/>
      <c r="AK200" s="549"/>
      <c r="AL200" s="549"/>
      <c r="AM200" s="549"/>
      <c r="AN200" s="549"/>
      <c r="AO200" s="549"/>
      <c r="AP200" s="1117"/>
      <c r="AQ200" s="3"/>
      <c r="AR200" s="3"/>
      <c r="AS200" s="97"/>
      <c r="AT200" s="97"/>
      <c r="AU200" s="97"/>
      <c r="AV200" s="97"/>
      <c r="AW200" s="97"/>
      <c r="AX200" s="97"/>
    </row>
    <row r="201" spans="2:50" s="795" customFormat="1" ht="16.5">
      <c r="B201" s="1117"/>
      <c r="C201" s="552" t="s">
        <v>4361</v>
      </c>
      <c r="D201" s="553"/>
      <c r="E201" s="973">
        <f t="shared" si="59"/>
        <v>0</v>
      </c>
      <c r="F201" s="972"/>
      <c r="G201" s="972"/>
      <c r="H201" s="800"/>
      <c r="I201" s="973">
        <f>IF('11. Unit Mix'!$G$142&lt;&gt;0,+E201/'11. Unit Mix'!$G$142,0)</f>
        <v>0</v>
      </c>
      <c r="J201" s="973">
        <f t="shared" si="58"/>
        <v>0</v>
      </c>
      <c r="K201" s="155"/>
      <c r="L201" s="155"/>
      <c r="M201" s="155"/>
      <c r="N201" s="549"/>
      <c r="O201" s="549"/>
      <c r="P201" s="549"/>
      <c r="Q201" s="549"/>
      <c r="R201" s="549"/>
      <c r="S201" s="549"/>
      <c r="T201" s="549"/>
      <c r="U201" s="549"/>
      <c r="V201" s="549"/>
      <c r="W201" s="549"/>
      <c r="X201" s="549"/>
      <c r="Y201" s="549"/>
      <c r="Z201" s="549"/>
      <c r="AA201" s="549"/>
      <c r="AB201" s="549"/>
      <c r="AC201" s="549"/>
      <c r="AD201" s="549"/>
      <c r="AE201" s="549"/>
      <c r="AF201" s="549"/>
      <c r="AG201" s="549"/>
      <c r="AH201" s="549"/>
      <c r="AI201" s="549"/>
      <c r="AJ201" s="549"/>
      <c r="AK201" s="549"/>
      <c r="AL201" s="549"/>
      <c r="AM201" s="549"/>
      <c r="AN201" s="549"/>
      <c r="AO201" s="549"/>
      <c r="AP201" s="1117"/>
      <c r="AQ201" s="3"/>
      <c r="AR201" s="3"/>
      <c r="AS201" s="97"/>
      <c r="AT201" s="97"/>
      <c r="AU201" s="97"/>
      <c r="AV201" s="97"/>
      <c r="AW201" s="97"/>
      <c r="AX201" s="97"/>
    </row>
    <row r="202" spans="2:50" s="795" customFormat="1" ht="16.5">
      <c r="B202" s="1117"/>
      <c r="C202" s="552" t="s">
        <v>4362</v>
      </c>
      <c r="D202" s="553"/>
      <c r="E202" s="973">
        <f t="shared" si="59"/>
        <v>0</v>
      </c>
      <c r="F202" s="972"/>
      <c r="G202" s="972"/>
      <c r="H202" s="800"/>
      <c r="I202" s="973">
        <f>IF('11. Unit Mix'!$G$142&lt;&gt;0,+E202/'11. Unit Mix'!$G$142,0)</f>
        <v>0</v>
      </c>
      <c r="J202" s="973">
        <f t="shared" si="58"/>
        <v>0</v>
      </c>
      <c r="K202" s="155"/>
      <c r="L202" s="155"/>
      <c r="M202" s="155"/>
      <c r="N202" s="549"/>
      <c r="O202" s="549"/>
      <c r="P202" s="549"/>
      <c r="Q202" s="549"/>
      <c r="R202" s="549"/>
      <c r="S202" s="549"/>
      <c r="T202" s="549"/>
      <c r="U202" s="549"/>
      <c r="V202" s="549"/>
      <c r="W202" s="549"/>
      <c r="X202" s="549"/>
      <c r="Y202" s="549"/>
      <c r="Z202" s="549"/>
      <c r="AA202" s="549"/>
      <c r="AB202" s="549"/>
      <c r="AC202" s="549"/>
      <c r="AD202" s="549"/>
      <c r="AE202" s="549"/>
      <c r="AF202" s="549"/>
      <c r="AG202" s="549"/>
      <c r="AH202" s="549"/>
      <c r="AI202" s="549"/>
      <c r="AJ202" s="549"/>
      <c r="AK202" s="549"/>
      <c r="AL202" s="549"/>
      <c r="AM202" s="549"/>
      <c r="AN202" s="549"/>
      <c r="AO202" s="549"/>
      <c r="AP202" s="1117"/>
      <c r="AQ202" s="3"/>
      <c r="AR202" s="3"/>
      <c r="AS202" s="97"/>
      <c r="AT202" s="97"/>
      <c r="AU202" s="97"/>
      <c r="AV202" s="97"/>
      <c r="AW202" s="97"/>
      <c r="AX202" s="97"/>
    </row>
    <row r="203" spans="2:50" s="795" customFormat="1" ht="16.5">
      <c r="B203" s="1117"/>
      <c r="C203" s="552" t="s">
        <v>4363</v>
      </c>
      <c r="D203" s="553"/>
      <c r="E203" s="973">
        <f t="shared" si="59"/>
        <v>0</v>
      </c>
      <c r="F203" s="972"/>
      <c r="G203" s="972"/>
      <c r="H203" s="800"/>
      <c r="I203" s="973">
        <f>IF('11. Unit Mix'!$G$142&lt;&gt;0,+E203/'11. Unit Mix'!$G$142,0)</f>
        <v>0</v>
      </c>
      <c r="J203" s="973">
        <f t="shared" si="58"/>
        <v>0</v>
      </c>
      <c r="K203" s="155"/>
      <c r="L203" s="155"/>
      <c r="M203" s="155"/>
      <c r="N203" s="549"/>
      <c r="O203" s="549"/>
      <c r="P203" s="549"/>
      <c r="Q203" s="549"/>
      <c r="R203" s="549"/>
      <c r="S203" s="549"/>
      <c r="T203" s="549"/>
      <c r="U203" s="549"/>
      <c r="V203" s="549"/>
      <c r="W203" s="549"/>
      <c r="X203" s="549"/>
      <c r="Y203" s="549"/>
      <c r="Z203" s="549"/>
      <c r="AA203" s="549"/>
      <c r="AB203" s="549"/>
      <c r="AC203" s="549"/>
      <c r="AD203" s="549"/>
      <c r="AE203" s="549"/>
      <c r="AF203" s="549"/>
      <c r="AG203" s="549"/>
      <c r="AH203" s="549"/>
      <c r="AI203" s="549"/>
      <c r="AJ203" s="549"/>
      <c r="AK203" s="549"/>
      <c r="AL203" s="549"/>
      <c r="AM203" s="549"/>
      <c r="AN203" s="549"/>
      <c r="AO203" s="549"/>
      <c r="AP203" s="1117"/>
      <c r="AQ203" s="3"/>
      <c r="AR203" s="3"/>
      <c r="AS203" s="97"/>
      <c r="AT203" s="97"/>
      <c r="AU203" s="97"/>
      <c r="AV203" s="97"/>
      <c r="AW203" s="97"/>
      <c r="AX203" s="97"/>
    </row>
    <row r="204" spans="2:50" s="795" customFormat="1" ht="16.5">
      <c r="B204" s="1117"/>
      <c r="C204" s="552" t="s">
        <v>4364</v>
      </c>
      <c r="D204" s="553"/>
      <c r="E204" s="973">
        <f t="shared" si="59"/>
        <v>0</v>
      </c>
      <c r="F204" s="972"/>
      <c r="G204" s="972"/>
      <c r="H204" s="800"/>
      <c r="I204" s="973">
        <f>IF('11. Unit Mix'!$G$142&lt;&gt;0,+E204/'11. Unit Mix'!$G$142,0)</f>
        <v>0</v>
      </c>
      <c r="J204" s="973">
        <f t="shared" si="58"/>
        <v>0</v>
      </c>
      <c r="K204" s="155"/>
      <c r="L204" s="155"/>
      <c r="M204" s="155"/>
      <c r="N204" s="549"/>
      <c r="O204" s="549"/>
      <c r="P204" s="549"/>
      <c r="Q204" s="549"/>
      <c r="R204" s="549"/>
      <c r="S204" s="549"/>
      <c r="T204" s="549"/>
      <c r="U204" s="549"/>
      <c r="V204" s="549"/>
      <c r="W204" s="549"/>
      <c r="X204" s="549"/>
      <c r="Y204" s="549"/>
      <c r="Z204" s="549"/>
      <c r="AA204" s="549"/>
      <c r="AB204" s="549"/>
      <c r="AC204" s="549"/>
      <c r="AD204" s="549"/>
      <c r="AE204" s="549"/>
      <c r="AF204" s="549"/>
      <c r="AG204" s="549"/>
      <c r="AH204" s="549"/>
      <c r="AI204" s="549"/>
      <c r="AJ204" s="549"/>
      <c r="AK204" s="549"/>
      <c r="AL204" s="549"/>
      <c r="AM204" s="549"/>
      <c r="AN204" s="549"/>
      <c r="AO204" s="549"/>
      <c r="AP204" s="1117"/>
      <c r="AQ204" s="3"/>
      <c r="AR204" s="3"/>
      <c r="AS204" s="97"/>
      <c r="AT204" s="97"/>
      <c r="AU204" s="97"/>
      <c r="AV204" s="97"/>
      <c r="AW204" s="97"/>
      <c r="AX204" s="97"/>
    </row>
    <row r="205" spans="2:50" s="796" customFormat="1">
      <c r="B205" s="1117"/>
      <c r="C205" s="552" t="s">
        <v>4365</v>
      </c>
      <c r="D205" s="553"/>
      <c r="E205" s="973">
        <f t="shared" si="59"/>
        <v>0</v>
      </c>
      <c r="F205" s="972"/>
      <c r="G205" s="972"/>
      <c r="H205" s="800"/>
      <c r="I205" s="973">
        <f>IF('11. Unit Mix'!$G$142&lt;&gt;0,+E205/'11. Unit Mix'!$G$142,0)</f>
        <v>0</v>
      </c>
      <c r="J205" s="973">
        <f t="shared" si="58"/>
        <v>0</v>
      </c>
      <c r="K205" s="155"/>
      <c r="L205" s="155"/>
      <c r="M205" s="155"/>
      <c r="N205" s="942"/>
      <c r="O205" s="942"/>
      <c r="P205" s="942"/>
      <c r="Q205" s="942"/>
      <c r="R205" s="942"/>
      <c r="S205" s="942"/>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1117"/>
      <c r="AQ205" s="3"/>
      <c r="AR205" s="3"/>
      <c r="AS205" s="97"/>
      <c r="AT205" s="97"/>
      <c r="AU205" s="97"/>
      <c r="AV205" s="97"/>
      <c r="AW205" s="97"/>
      <c r="AX205" s="97"/>
    </row>
    <row r="206" spans="2:50" s="795" customFormat="1" ht="16.5">
      <c r="B206" s="1117"/>
      <c r="C206" s="1118"/>
      <c r="D206" s="1118"/>
      <c r="E206" s="1118"/>
      <c r="F206" s="1118"/>
      <c r="G206" s="1118"/>
      <c r="H206" s="1118"/>
      <c r="I206" s="1118"/>
      <c r="J206" s="1118"/>
      <c r="K206" s="155"/>
      <c r="L206" s="155"/>
      <c r="M206" s="155"/>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1117"/>
      <c r="AQ206" s="3"/>
      <c r="AR206" s="3"/>
      <c r="AS206" s="97"/>
      <c r="AT206" s="97"/>
      <c r="AU206" s="97"/>
      <c r="AV206" s="97"/>
      <c r="AW206" s="97"/>
      <c r="AX206" s="97"/>
    </row>
    <row r="207" spans="2:50" s="795" customFormat="1" ht="16.5">
      <c r="B207" s="1117"/>
      <c r="C207" s="550" t="s">
        <v>4366</v>
      </c>
      <c r="D207" s="551"/>
      <c r="E207" s="562">
        <f>+SUM(E208:E213)</f>
        <v>0</v>
      </c>
      <c r="F207" s="562">
        <f t="shared" ref="F207:H207" si="60">+SUM(F208:F213)</f>
        <v>0</v>
      </c>
      <c r="G207" s="562">
        <f t="shared" si="60"/>
        <v>0</v>
      </c>
      <c r="H207" s="562">
        <f t="shared" si="60"/>
        <v>0</v>
      </c>
      <c r="I207" s="562">
        <f>IF('11. Unit Mix'!$G$142&lt;&gt;0,+E207/'11. Unit Mix'!$G$142,0)</f>
        <v>0</v>
      </c>
      <c r="J207" s="562">
        <f t="shared" ref="J207:J213" si="61">IF(Total_Units&lt;&gt;0,+E207/Total_Units,0)</f>
        <v>0</v>
      </c>
      <c r="K207" s="155"/>
      <c r="L207" s="155"/>
      <c r="M207" s="155"/>
      <c r="N207" s="549"/>
      <c r="O207" s="549"/>
      <c r="P207" s="549"/>
      <c r="Q207" s="549"/>
      <c r="R207" s="549"/>
      <c r="S207" s="549"/>
      <c r="T207" s="549"/>
      <c r="U207" s="549"/>
      <c r="V207" s="549"/>
      <c r="W207" s="549"/>
      <c r="X207" s="549"/>
      <c r="Y207" s="549"/>
      <c r="Z207" s="549"/>
      <c r="AA207" s="549"/>
      <c r="AB207" s="549"/>
      <c r="AC207" s="549"/>
      <c r="AD207" s="549"/>
      <c r="AE207" s="549"/>
      <c r="AF207" s="549"/>
      <c r="AG207" s="549"/>
      <c r="AH207" s="549"/>
      <c r="AI207" s="549"/>
      <c r="AJ207" s="549"/>
      <c r="AK207" s="549"/>
      <c r="AL207" s="549"/>
      <c r="AM207" s="549"/>
      <c r="AN207" s="549"/>
      <c r="AO207" s="549"/>
      <c r="AP207" s="1117"/>
      <c r="AQ207" s="3"/>
      <c r="AR207" s="3"/>
      <c r="AS207" s="97"/>
      <c r="AT207" s="97"/>
      <c r="AU207" s="97"/>
      <c r="AV207" s="97"/>
      <c r="AW207" s="97"/>
      <c r="AX207" s="97"/>
    </row>
    <row r="208" spans="2:50" s="795" customFormat="1" ht="16.5">
      <c r="B208" s="1117"/>
      <c r="C208" s="552" t="s">
        <v>4367</v>
      </c>
      <c r="D208" s="553"/>
      <c r="E208" s="973">
        <f t="shared" ref="E208:E213" si="62">SUM(F208:H208)</f>
        <v>0</v>
      </c>
      <c r="F208" s="972"/>
      <c r="G208" s="972"/>
      <c r="H208" s="800"/>
      <c r="I208" s="554">
        <f>IF('11. Unit Mix'!$G$142&lt;&gt;0,+E208/'11. Unit Mix'!$G$142,0)</f>
        <v>0</v>
      </c>
      <c r="J208" s="554">
        <f t="shared" si="61"/>
        <v>0</v>
      </c>
      <c r="K208" s="155"/>
      <c r="L208" s="155"/>
      <c r="M208" s="155"/>
      <c r="N208" s="549"/>
      <c r="O208" s="549"/>
      <c r="P208" s="549"/>
      <c r="Q208" s="549"/>
      <c r="R208" s="549"/>
      <c r="S208" s="549"/>
      <c r="T208" s="549"/>
      <c r="U208" s="549"/>
      <c r="V208" s="549"/>
      <c r="W208" s="549"/>
      <c r="X208" s="549"/>
      <c r="Y208" s="549"/>
      <c r="Z208" s="549"/>
      <c r="AA208" s="549"/>
      <c r="AB208" s="549"/>
      <c r="AC208" s="549"/>
      <c r="AD208" s="549"/>
      <c r="AE208" s="549"/>
      <c r="AF208" s="549"/>
      <c r="AG208" s="549"/>
      <c r="AH208" s="549"/>
      <c r="AI208" s="549"/>
      <c r="AJ208" s="549"/>
      <c r="AK208" s="549"/>
      <c r="AL208" s="549"/>
      <c r="AM208" s="549"/>
      <c r="AN208" s="549"/>
      <c r="AO208" s="549"/>
      <c r="AP208" s="1117"/>
      <c r="AQ208" s="3"/>
      <c r="AR208" s="3"/>
      <c r="AS208" s="97"/>
      <c r="AT208" s="97"/>
      <c r="AU208" s="97"/>
      <c r="AV208" s="97"/>
      <c r="AW208" s="97"/>
      <c r="AX208" s="97"/>
    </row>
    <row r="209" spans="2:50" s="795" customFormat="1" ht="16.5">
      <c r="B209" s="1117"/>
      <c r="C209" s="552" t="s">
        <v>4368</v>
      </c>
      <c r="D209" s="553"/>
      <c r="E209" s="973">
        <f t="shared" si="62"/>
        <v>0</v>
      </c>
      <c r="F209" s="972"/>
      <c r="G209" s="972"/>
      <c r="H209" s="800"/>
      <c r="I209" s="554">
        <f>IF('11. Unit Mix'!$G$142&lt;&gt;0,+E209/'11. Unit Mix'!$G$142,0)</f>
        <v>0</v>
      </c>
      <c r="J209" s="554">
        <f t="shared" si="61"/>
        <v>0</v>
      </c>
      <c r="K209" s="155"/>
      <c r="L209" s="155"/>
      <c r="M209" s="155"/>
      <c r="N209" s="549"/>
      <c r="O209" s="549"/>
      <c r="P209" s="549"/>
      <c r="Q209" s="549"/>
      <c r="R209" s="549"/>
      <c r="S209" s="549"/>
      <c r="T209" s="549"/>
      <c r="U209" s="549"/>
      <c r="V209" s="549"/>
      <c r="W209" s="549"/>
      <c r="X209" s="549"/>
      <c r="Y209" s="549"/>
      <c r="Z209" s="549"/>
      <c r="AA209" s="549"/>
      <c r="AB209" s="549"/>
      <c r="AC209" s="549"/>
      <c r="AD209" s="549"/>
      <c r="AE209" s="549"/>
      <c r="AF209" s="549"/>
      <c r="AG209" s="549"/>
      <c r="AH209" s="549"/>
      <c r="AI209" s="549"/>
      <c r="AJ209" s="549"/>
      <c r="AK209" s="549"/>
      <c r="AL209" s="549"/>
      <c r="AM209" s="549"/>
      <c r="AN209" s="549"/>
      <c r="AO209" s="549"/>
      <c r="AP209" s="1117"/>
      <c r="AQ209" s="3"/>
      <c r="AR209" s="3"/>
      <c r="AS209" s="97"/>
      <c r="AT209" s="97"/>
      <c r="AU209" s="97"/>
      <c r="AV209" s="97"/>
      <c r="AW209" s="97"/>
      <c r="AX209" s="97"/>
    </row>
    <row r="210" spans="2:50" s="795" customFormat="1" ht="16.5">
      <c r="B210" s="1117"/>
      <c r="C210" s="552" t="s">
        <v>4369</v>
      </c>
      <c r="D210" s="553"/>
      <c r="E210" s="973">
        <f t="shared" si="62"/>
        <v>0</v>
      </c>
      <c r="F210" s="972"/>
      <c r="G210" s="972"/>
      <c r="H210" s="800"/>
      <c r="I210" s="554">
        <f>IF('11. Unit Mix'!$G$142&lt;&gt;0,+E210/'11. Unit Mix'!$G$142,0)</f>
        <v>0</v>
      </c>
      <c r="J210" s="554">
        <f t="shared" si="61"/>
        <v>0</v>
      </c>
      <c r="K210" s="155"/>
      <c r="L210" s="155"/>
      <c r="M210" s="155"/>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1117"/>
      <c r="AQ210" s="3"/>
      <c r="AR210" s="3"/>
      <c r="AS210" s="97"/>
      <c r="AT210" s="97"/>
      <c r="AU210" s="97"/>
      <c r="AV210" s="97"/>
      <c r="AW210" s="97"/>
      <c r="AX210" s="97"/>
    </row>
    <row r="211" spans="2:50" s="795" customFormat="1" ht="16.5">
      <c r="B211" s="1117"/>
      <c r="C211" s="552" t="s">
        <v>4370</v>
      </c>
      <c r="D211" s="553"/>
      <c r="E211" s="973">
        <f t="shared" si="62"/>
        <v>0</v>
      </c>
      <c r="F211" s="972"/>
      <c r="G211" s="972"/>
      <c r="H211" s="800"/>
      <c r="I211" s="554">
        <f>IF('11. Unit Mix'!$G$142&lt;&gt;0,+E211/'11. Unit Mix'!$G$142,0)</f>
        <v>0</v>
      </c>
      <c r="J211" s="554">
        <f t="shared" si="61"/>
        <v>0</v>
      </c>
      <c r="K211" s="155"/>
      <c r="L211" s="155"/>
      <c r="M211" s="155"/>
      <c r="N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1117"/>
      <c r="AQ211" s="3"/>
      <c r="AR211" s="3"/>
      <c r="AS211" s="97"/>
      <c r="AT211" s="97"/>
      <c r="AU211" s="97"/>
      <c r="AV211" s="97"/>
      <c r="AW211" s="97"/>
      <c r="AX211" s="97"/>
    </row>
    <row r="212" spans="2:50" s="795" customFormat="1" ht="16.5">
      <c r="B212" s="1117"/>
      <c r="C212" s="552" t="s">
        <v>4371</v>
      </c>
      <c r="D212" s="553"/>
      <c r="E212" s="973">
        <f t="shared" si="62"/>
        <v>0</v>
      </c>
      <c r="F212" s="972"/>
      <c r="G212" s="972"/>
      <c r="H212" s="800"/>
      <c r="I212" s="554">
        <f>IF('11. Unit Mix'!$G$142&lt;&gt;0,+E212/'11. Unit Mix'!$G$142,0)</f>
        <v>0</v>
      </c>
      <c r="J212" s="554">
        <f t="shared" si="61"/>
        <v>0</v>
      </c>
      <c r="K212" s="155"/>
      <c r="L212" s="155"/>
      <c r="M212" s="155"/>
      <c r="N212" s="549"/>
      <c r="O212" s="549"/>
      <c r="P212" s="549"/>
      <c r="Q212" s="549"/>
      <c r="R212" s="549"/>
      <c r="S212" s="549"/>
      <c r="T212" s="549"/>
      <c r="U212" s="549"/>
      <c r="V212" s="549"/>
      <c r="W212" s="549"/>
      <c r="X212" s="549"/>
      <c r="Y212" s="549"/>
      <c r="Z212" s="549"/>
      <c r="AA212" s="549"/>
      <c r="AB212" s="549"/>
      <c r="AC212" s="549"/>
      <c r="AD212" s="549"/>
      <c r="AE212" s="549"/>
      <c r="AF212" s="549"/>
      <c r="AG212" s="549"/>
      <c r="AH212" s="549"/>
      <c r="AI212" s="549"/>
      <c r="AJ212" s="549"/>
      <c r="AK212" s="549"/>
      <c r="AL212" s="549"/>
      <c r="AM212" s="549"/>
      <c r="AN212" s="549"/>
      <c r="AO212" s="549"/>
      <c r="AP212" s="1117"/>
      <c r="AQ212" s="3"/>
      <c r="AR212" s="3"/>
      <c r="AS212" s="97"/>
      <c r="AT212" s="97"/>
      <c r="AU212" s="97"/>
      <c r="AV212" s="97"/>
      <c r="AW212" s="97"/>
      <c r="AX212" s="97"/>
    </row>
    <row r="213" spans="2:50" s="796" customFormat="1">
      <c r="B213" s="1117"/>
      <c r="C213" s="552" t="s">
        <v>4372</v>
      </c>
      <c r="D213" s="553"/>
      <c r="E213" s="973">
        <f t="shared" si="62"/>
        <v>0</v>
      </c>
      <c r="F213" s="972"/>
      <c r="G213" s="972"/>
      <c r="H213" s="800"/>
      <c r="I213" s="554">
        <f>IF('11. Unit Mix'!$G$142&lt;&gt;0,+E213/'11. Unit Mix'!$G$142,0)</f>
        <v>0</v>
      </c>
      <c r="J213" s="554">
        <f t="shared" si="61"/>
        <v>0</v>
      </c>
      <c r="K213" s="155"/>
      <c r="L213" s="155"/>
      <c r="M213" s="155"/>
      <c r="N213" s="942"/>
      <c r="O213" s="942"/>
      <c r="P213" s="942"/>
      <c r="Q213" s="942"/>
      <c r="R213" s="942"/>
      <c r="S213" s="942"/>
      <c r="T213" s="942"/>
      <c r="U213" s="942"/>
      <c r="V213" s="942"/>
      <c r="W213" s="942"/>
      <c r="X213" s="942"/>
      <c r="Y213" s="942"/>
      <c r="Z213" s="942"/>
      <c r="AA213" s="942"/>
      <c r="AB213" s="942"/>
      <c r="AC213" s="942"/>
      <c r="AD213" s="942"/>
      <c r="AE213" s="942"/>
      <c r="AF213" s="942"/>
      <c r="AG213" s="942"/>
      <c r="AH213" s="942"/>
      <c r="AI213" s="942"/>
      <c r="AJ213" s="942"/>
      <c r="AK213" s="942"/>
      <c r="AL213" s="942"/>
      <c r="AM213" s="942"/>
      <c r="AN213" s="942"/>
      <c r="AO213" s="942"/>
      <c r="AP213" s="1117"/>
      <c r="AQ213" s="3"/>
      <c r="AR213" s="3"/>
      <c r="AS213" s="97"/>
      <c r="AT213" s="97"/>
      <c r="AU213" s="97"/>
      <c r="AV213" s="97"/>
      <c r="AW213" s="97"/>
      <c r="AX213" s="97"/>
    </row>
    <row r="214" spans="2:50" s="795" customFormat="1" ht="16.5">
      <c r="B214" s="1117"/>
      <c r="C214" s="1118"/>
      <c r="D214" s="1118"/>
      <c r="E214" s="1118"/>
      <c r="F214" s="1118"/>
      <c r="G214" s="1118"/>
      <c r="H214" s="1118"/>
      <c r="I214" s="1118"/>
      <c r="J214" s="1118"/>
      <c r="K214" s="155"/>
      <c r="L214" s="155"/>
      <c r="M214" s="155"/>
      <c r="N214" s="549"/>
      <c r="O214" s="549"/>
      <c r="P214" s="549"/>
      <c r="Q214" s="549"/>
      <c r="R214" s="549"/>
      <c r="S214" s="549"/>
      <c r="T214" s="549"/>
      <c r="U214" s="549"/>
      <c r="V214" s="549"/>
      <c r="W214" s="549"/>
      <c r="X214" s="549"/>
      <c r="Y214" s="549"/>
      <c r="Z214" s="549"/>
      <c r="AA214" s="549"/>
      <c r="AB214" s="549"/>
      <c r="AC214" s="549"/>
      <c r="AD214" s="549"/>
      <c r="AE214" s="549"/>
      <c r="AF214" s="549"/>
      <c r="AG214" s="549"/>
      <c r="AH214" s="549"/>
      <c r="AI214" s="549"/>
      <c r="AJ214" s="549"/>
      <c r="AK214" s="549"/>
      <c r="AL214" s="549"/>
      <c r="AM214" s="549"/>
      <c r="AN214" s="549"/>
      <c r="AO214" s="549"/>
      <c r="AP214" s="1117"/>
      <c r="AQ214" s="3"/>
      <c r="AR214" s="3"/>
      <c r="AS214" s="97"/>
      <c r="AT214" s="97"/>
      <c r="AU214" s="97"/>
      <c r="AV214" s="97"/>
      <c r="AW214" s="97"/>
      <c r="AX214" s="97"/>
    </row>
    <row r="215" spans="2:50" s="795" customFormat="1" ht="16.5">
      <c r="B215" s="1117"/>
      <c r="C215" s="550" t="s">
        <v>4373</v>
      </c>
      <c r="D215" s="551"/>
      <c r="E215" s="562">
        <f>+SUM(E216:E220)</f>
        <v>0</v>
      </c>
      <c r="F215" s="562">
        <f t="shared" ref="F215:H215" si="63">+SUM(F216:F220)</f>
        <v>0</v>
      </c>
      <c r="G215" s="562">
        <f t="shared" si="63"/>
        <v>0</v>
      </c>
      <c r="H215" s="562">
        <f t="shared" si="63"/>
        <v>0</v>
      </c>
      <c r="I215" s="562">
        <f>IF('11. Unit Mix'!$G$142&lt;&gt;0,+E215/'11. Unit Mix'!$G$142,0)</f>
        <v>0</v>
      </c>
      <c r="J215" s="562">
        <f t="shared" ref="J215:J220" si="64">IF(Total_Units&lt;&gt;0,+E215/Total_Units,0)</f>
        <v>0</v>
      </c>
      <c r="K215" s="155"/>
      <c r="L215" s="155"/>
      <c r="M215" s="155"/>
      <c r="N215" s="549"/>
      <c r="O215" s="549"/>
      <c r="P215" s="549"/>
      <c r="Q215" s="549"/>
      <c r="R215" s="549"/>
      <c r="S215" s="549"/>
      <c r="T215" s="549"/>
      <c r="U215" s="549"/>
      <c r="V215" s="549"/>
      <c r="W215" s="549"/>
      <c r="X215" s="549"/>
      <c r="Y215" s="549"/>
      <c r="Z215" s="549"/>
      <c r="AA215" s="549"/>
      <c r="AB215" s="549"/>
      <c r="AC215" s="549"/>
      <c r="AD215" s="549"/>
      <c r="AE215" s="549"/>
      <c r="AF215" s="549"/>
      <c r="AG215" s="549"/>
      <c r="AH215" s="549"/>
      <c r="AI215" s="549"/>
      <c r="AJ215" s="549"/>
      <c r="AK215" s="549"/>
      <c r="AL215" s="549"/>
      <c r="AM215" s="549"/>
      <c r="AN215" s="549"/>
      <c r="AO215" s="549"/>
      <c r="AP215" s="1117"/>
      <c r="AQ215" s="3"/>
      <c r="AR215" s="3"/>
      <c r="AS215" s="97"/>
      <c r="AT215" s="97"/>
      <c r="AU215" s="97"/>
      <c r="AV215" s="97"/>
      <c r="AW215" s="97"/>
      <c r="AX215" s="97"/>
    </row>
    <row r="216" spans="2:50" s="795" customFormat="1" ht="16.5">
      <c r="B216" s="1117"/>
      <c r="C216" s="552" t="s">
        <v>4374</v>
      </c>
      <c r="D216" s="553"/>
      <c r="E216" s="973">
        <f t="shared" ref="E216:E220" si="65">SUM(F216:H216)</f>
        <v>0</v>
      </c>
      <c r="F216" s="972"/>
      <c r="G216" s="972"/>
      <c r="H216" s="800"/>
      <c r="I216" s="973">
        <f>IF('11. Unit Mix'!$G$142&lt;&gt;0,+E216/'11. Unit Mix'!$G$142,0)</f>
        <v>0</v>
      </c>
      <c r="J216" s="973">
        <f t="shared" si="64"/>
        <v>0</v>
      </c>
      <c r="K216" s="155"/>
      <c r="L216" s="155"/>
      <c r="M216" s="155"/>
      <c r="N216" s="549"/>
      <c r="O216" s="549"/>
      <c r="P216" s="549"/>
      <c r="Q216" s="549"/>
      <c r="R216" s="549"/>
      <c r="S216" s="549"/>
      <c r="T216" s="549"/>
      <c r="U216" s="549"/>
      <c r="V216" s="549"/>
      <c r="W216" s="549"/>
      <c r="X216" s="549"/>
      <c r="Y216" s="549"/>
      <c r="Z216" s="549"/>
      <c r="AA216" s="549"/>
      <c r="AB216" s="549"/>
      <c r="AC216" s="549"/>
      <c r="AD216" s="549"/>
      <c r="AE216" s="549"/>
      <c r="AF216" s="549"/>
      <c r="AG216" s="549"/>
      <c r="AH216" s="549"/>
      <c r="AI216" s="549"/>
      <c r="AJ216" s="549"/>
      <c r="AK216" s="549"/>
      <c r="AL216" s="549"/>
      <c r="AM216" s="549"/>
      <c r="AN216" s="549"/>
      <c r="AO216" s="549"/>
      <c r="AP216" s="1117"/>
      <c r="AQ216" s="3"/>
      <c r="AR216" s="3"/>
      <c r="AS216" s="97"/>
      <c r="AT216" s="97"/>
      <c r="AU216" s="97"/>
      <c r="AV216" s="97"/>
      <c r="AW216" s="97"/>
      <c r="AX216" s="97"/>
    </row>
    <row r="217" spans="2:50" s="795" customFormat="1" ht="16.5">
      <c r="B217" s="1117"/>
      <c r="C217" s="552" t="s">
        <v>4375</v>
      </c>
      <c r="D217" s="553"/>
      <c r="E217" s="973">
        <f t="shared" si="65"/>
        <v>0</v>
      </c>
      <c r="F217" s="972"/>
      <c r="G217" s="972"/>
      <c r="H217" s="800"/>
      <c r="I217" s="973">
        <f>IF('11. Unit Mix'!$G$142&lt;&gt;0,+E217/'11. Unit Mix'!$G$142,0)</f>
        <v>0</v>
      </c>
      <c r="J217" s="973">
        <f t="shared" si="64"/>
        <v>0</v>
      </c>
      <c r="K217" s="155"/>
      <c r="L217" s="155"/>
      <c r="M217" s="155"/>
      <c r="N217" s="549"/>
      <c r="O217" s="549"/>
      <c r="P217" s="549"/>
      <c r="Q217" s="549"/>
      <c r="R217" s="549"/>
      <c r="S217" s="549"/>
      <c r="T217" s="549"/>
      <c r="U217" s="549"/>
      <c r="V217" s="549"/>
      <c r="W217" s="549"/>
      <c r="X217" s="549"/>
      <c r="Y217" s="549"/>
      <c r="Z217" s="549"/>
      <c r="AA217" s="549"/>
      <c r="AB217" s="549"/>
      <c r="AC217" s="549"/>
      <c r="AD217" s="549"/>
      <c r="AE217" s="549"/>
      <c r="AF217" s="549"/>
      <c r="AG217" s="549"/>
      <c r="AH217" s="549"/>
      <c r="AI217" s="549"/>
      <c r="AJ217" s="549"/>
      <c r="AK217" s="549"/>
      <c r="AL217" s="549"/>
      <c r="AM217" s="549"/>
      <c r="AN217" s="549"/>
      <c r="AO217" s="549"/>
      <c r="AP217" s="1117"/>
      <c r="AQ217" s="3"/>
      <c r="AR217" s="3"/>
      <c r="AS217" s="97"/>
      <c r="AT217" s="97"/>
      <c r="AU217" s="97"/>
      <c r="AV217" s="97"/>
      <c r="AW217" s="97"/>
      <c r="AX217" s="97"/>
    </row>
    <row r="218" spans="2:50" s="795" customFormat="1" ht="16.5">
      <c r="B218" s="1117"/>
      <c r="C218" s="552" t="s">
        <v>4376</v>
      </c>
      <c r="D218" s="553"/>
      <c r="E218" s="973">
        <f t="shared" si="65"/>
        <v>0</v>
      </c>
      <c r="F218" s="972"/>
      <c r="G218" s="972"/>
      <c r="H218" s="800"/>
      <c r="I218" s="973">
        <f>IF('11. Unit Mix'!$G$142&lt;&gt;0,+E218/'11. Unit Mix'!$G$142,0)</f>
        <v>0</v>
      </c>
      <c r="J218" s="973">
        <f t="shared" si="64"/>
        <v>0</v>
      </c>
      <c r="K218" s="155"/>
      <c r="L218" s="155"/>
      <c r="M218" s="155"/>
      <c r="N218" s="549"/>
      <c r="O218" s="549"/>
      <c r="P218" s="549"/>
      <c r="Q218" s="549"/>
      <c r="R218" s="549"/>
      <c r="S218" s="549"/>
      <c r="T218" s="549"/>
      <c r="U218" s="549"/>
      <c r="V218" s="549"/>
      <c r="W218" s="549"/>
      <c r="X218" s="549"/>
      <c r="Y218" s="549"/>
      <c r="Z218" s="549"/>
      <c r="AA218" s="549"/>
      <c r="AB218" s="549"/>
      <c r="AC218" s="549"/>
      <c r="AD218" s="549"/>
      <c r="AE218" s="549"/>
      <c r="AF218" s="549"/>
      <c r="AG218" s="549"/>
      <c r="AH218" s="549"/>
      <c r="AI218" s="549"/>
      <c r="AJ218" s="549"/>
      <c r="AK218" s="549"/>
      <c r="AL218" s="549"/>
      <c r="AM218" s="549"/>
      <c r="AN218" s="549"/>
      <c r="AO218" s="549"/>
      <c r="AP218" s="1117"/>
      <c r="AQ218" s="3"/>
      <c r="AR218" s="3"/>
      <c r="AS218" s="97"/>
      <c r="AT218" s="97"/>
      <c r="AU218" s="97"/>
      <c r="AV218" s="97"/>
      <c r="AW218" s="97"/>
      <c r="AX218" s="97"/>
    </row>
    <row r="219" spans="2:50" s="795" customFormat="1" ht="16.5">
      <c r="B219" s="1117"/>
      <c r="C219" s="552" t="s">
        <v>4377</v>
      </c>
      <c r="D219" s="553"/>
      <c r="E219" s="973">
        <f t="shared" si="65"/>
        <v>0</v>
      </c>
      <c r="F219" s="972"/>
      <c r="G219" s="972"/>
      <c r="H219" s="800"/>
      <c r="I219" s="973">
        <f>IF('11. Unit Mix'!$G$142&lt;&gt;0,+E219/'11. Unit Mix'!$G$142,0)</f>
        <v>0</v>
      </c>
      <c r="J219" s="973">
        <f t="shared" si="64"/>
        <v>0</v>
      </c>
      <c r="K219" s="155"/>
      <c r="L219" s="155"/>
      <c r="M219" s="155"/>
      <c r="N219" s="549"/>
      <c r="O219" s="549"/>
      <c r="P219" s="549"/>
      <c r="Q219" s="549"/>
      <c r="R219" s="549"/>
      <c r="S219" s="549"/>
      <c r="T219" s="549"/>
      <c r="U219" s="549"/>
      <c r="V219" s="549"/>
      <c r="W219" s="549"/>
      <c r="X219" s="549"/>
      <c r="Y219" s="549"/>
      <c r="Z219" s="549"/>
      <c r="AA219" s="549"/>
      <c r="AB219" s="549"/>
      <c r="AC219" s="549"/>
      <c r="AD219" s="549"/>
      <c r="AE219" s="549"/>
      <c r="AF219" s="549"/>
      <c r="AG219" s="549"/>
      <c r="AH219" s="549"/>
      <c r="AI219" s="549"/>
      <c r="AJ219" s="549"/>
      <c r="AK219" s="549"/>
      <c r="AL219" s="549"/>
      <c r="AM219" s="549"/>
      <c r="AN219" s="549"/>
      <c r="AO219" s="549"/>
      <c r="AP219" s="1117"/>
      <c r="AQ219" s="3"/>
      <c r="AR219" s="3"/>
      <c r="AS219" s="97"/>
      <c r="AT219" s="97"/>
      <c r="AU219" s="97"/>
      <c r="AV219" s="97"/>
      <c r="AW219" s="97"/>
      <c r="AX219" s="97"/>
    </row>
    <row r="220" spans="2:50" s="796" customFormat="1">
      <c r="B220" s="1117"/>
      <c r="C220" s="552" t="s">
        <v>4378</v>
      </c>
      <c r="D220" s="553"/>
      <c r="E220" s="973">
        <f t="shared" si="65"/>
        <v>0</v>
      </c>
      <c r="F220" s="972"/>
      <c r="G220" s="972"/>
      <c r="H220" s="800"/>
      <c r="I220" s="973">
        <f>IF('11. Unit Mix'!$G$142&lt;&gt;0,+E220/'11. Unit Mix'!$G$142,0)</f>
        <v>0</v>
      </c>
      <c r="J220" s="973">
        <f t="shared" si="64"/>
        <v>0</v>
      </c>
      <c r="K220" s="155"/>
      <c r="L220" s="155"/>
      <c r="M220" s="155"/>
      <c r="N220" s="942"/>
      <c r="O220" s="942"/>
      <c r="P220" s="942"/>
      <c r="Q220" s="942"/>
      <c r="R220" s="942"/>
      <c r="S220" s="942"/>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1117"/>
      <c r="AQ220" s="3"/>
      <c r="AR220" s="3"/>
      <c r="AS220" s="97"/>
      <c r="AT220" s="97"/>
      <c r="AU220" s="97"/>
      <c r="AV220" s="97"/>
      <c r="AW220" s="97"/>
      <c r="AX220" s="97"/>
    </row>
    <row r="221" spans="2:50" s="795" customFormat="1" ht="16.5">
      <c r="B221" s="1117"/>
      <c r="C221" s="1118"/>
      <c r="D221" s="1118"/>
      <c r="E221" s="1118"/>
      <c r="F221" s="1118"/>
      <c r="G221" s="1118"/>
      <c r="H221" s="1118"/>
      <c r="I221" s="1118"/>
      <c r="J221" s="1118"/>
      <c r="K221" s="155"/>
      <c r="L221" s="155"/>
      <c r="M221" s="155"/>
      <c r="N221" s="549"/>
      <c r="O221" s="549"/>
      <c r="P221" s="549"/>
      <c r="Q221" s="549"/>
      <c r="R221" s="549"/>
      <c r="S221" s="549"/>
      <c r="T221" s="549"/>
      <c r="U221" s="549"/>
      <c r="V221" s="549"/>
      <c r="W221" s="549"/>
      <c r="X221" s="549"/>
      <c r="Y221" s="549"/>
      <c r="Z221" s="549"/>
      <c r="AA221" s="549"/>
      <c r="AB221" s="549"/>
      <c r="AC221" s="549"/>
      <c r="AD221" s="549"/>
      <c r="AE221" s="549"/>
      <c r="AF221" s="549"/>
      <c r="AG221" s="549"/>
      <c r="AH221" s="549"/>
      <c r="AI221" s="549"/>
      <c r="AJ221" s="549"/>
      <c r="AK221" s="549"/>
      <c r="AL221" s="549"/>
      <c r="AM221" s="549"/>
      <c r="AN221" s="549"/>
      <c r="AO221" s="549"/>
      <c r="AP221" s="1117"/>
      <c r="AQ221" s="3"/>
      <c r="AR221" s="3"/>
      <c r="AS221" s="97"/>
      <c r="AT221" s="97"/>
      <c r="AU221" s="97"/>
      <c r="AV221" s="97"/>
      <c r="AW221" s="97"/>
      <c r="AX221" s="97"/>
    </row>
    <row r="222" spans="2:50" s="795" customFormat="1" ht="16.5">
      <c r="B222" s="1117"/>
      <c r="C222" s="550" t="s">
        <v>4379</v>
      </c>
      <c r="D222" s="551"/>
      <c r="E222" s="562">
        <f>+SUM(E223:E230)</f>
        <v>0</v>
      </c>
      <c r="F222" s="562">
        <f t="shared" ref="F222:H222" si="66">+SUM(F223:F230)</f>
        <v>0</v>
      </c>
      <c r="G222" s="562">
        <f t="shared" si="66"/>
        <v>0</v>
      </c>
      <c r="H222" s="562">
        <f t="shared" si="66"/>
        <v>0</v>
      </c>
      <c r="I222" s="562">
        <f>IF('11. Unit Mix'!$G$142&lt;&gt;0,+E222/'11. Unit Mix'!$G$142,0)</f>
        <v>0</v>
      </c>
      <c r="J222" s="562">
        <f t="shared" ref="J222:J230" si="67">IF(Total_Units&lt;&gt;0,+E222/Total_Units,0)</f>
        <v>0</v>
      </c>
      <c r="K222" s="155"/>
      <c r="L222" s="155"/>
      <c r="M222" s="155"/>
      <c r="N222" s="549"/>
      <c r="O222" s="549"/>
      <c r="P222" s="549"/>
      <c r="Q222" s="549"/>
      <c r="R222" s="549"/>
      <c r="S222" s="549"/>
      <c r="T222" s="549"/>
      <c r="U222" s="549"/>
      <c r="V222" s="549"/>
      <c r="W222" s="549"/>
      <c r="X222" s="549"/>
      <c r="Y222" s="549"/>
      <c r="Z222" s="549"/>
      <c r="AA222" s="549"/>
      <c r="AB222" s="549"/>
      <c r="AC222" s="549"/>
      <c r="AD222" s="549"/>
      <c r="AE222" s="549"/>
      <c r="AF222" s="549"/>
      <c r="AG222" s="549"/>
      <c r="AH222" s="549"/>
      <c r="AI222" s="549"/>
      <c r="AJ222" s="549"/>
      <c r="AK222" s="549"/>
      <c r="AL222" s="549"/>
      <c r="AM222" s="549"/>
      <c r="AN222" s="549"/>
      <c r="AO222" s="549"/>
      <c r="AP222" s="1117"/>
      <c r="AQ222" s="3"/>
      <c r="AR222" s="3"/>
      <c r="AS222" s="97"/>
      <c r="AT222" s="97"/>
      <c r="AU222" s="97"/>
      <c r="AV222" s="97"/>
      <c r="AW222" s="97"/>
      <c r="AX222" s="97"/>
    </row>
    <row r="223" spans="2:50" s="795" customFormat="1" ht="16.5">
      <c r="B223" s="1117"/>
      <c r="C223" s="552" t="s">
        <v>4380</v>
      </c>
      <c r="D223" s="553"/>
      <c r="E223" s="973">
        <f t="shared" ref="E223:E230" si="68">SUM(F223:H223)</f>
        <v>0</v>
      </c>
      <c r="F223" s="972"/>
      <c r="G223" s="972"/>
      <c r="H223" s="800"/>
      <c r="I223" s="973">
        <f>IF('11. Unit Mix'!$G$142&lt;&gt;0,+E223/'11. Unit Mix'!$G$142,0)</f>
        <v>0</v>
      </c>
      <c r="J223" s="973">
        <f t="shared" si="67"/>
        <v>0</v>
      </c>
      <c r="K223" s="155"/>
      <c r="L223" s="155"/>
      <c r="M223" s="155"/>
      <c r="N223" s="549"/>
      <c r="O223" s="549"/>
      <c r="P223" s="549"/>
      <c r="Q223" s="549"/>
      <c r="R223" s="549"/>
      <c r="S223" s="549"/>
      <c r="T223" s="549"/>
      <c r="U223" s="549"/>
      <c r="V223" s="549"/>
      <c r="W223" s="549"/>
      <c r="X223" s="549"/>
      <c r="Y223" s="549"/>
      <c r="Z223" s="549"/>
      <c r="AA223" s="549"/>
      <c r="AB223" s="549"/>
      <c r="AC223" s="549"/>
      <c r="AD223" s="549"/>
      <c r="AE223" s="549"/>
      <c r="AF223" s="549"/>
      <c r="AG223" s="549"/>
      <c r="AH223" s="549"/>
      <c r="AI223" s="549"/>
      <c r="AJ223" s="549"/>
      <c r="AK223" s="549"/>
      <c r="AL223" s="549"/>
      <c r="AM223" s="549"/>
      <c r="AN223" s="549"/>
      <c r="AO223" s="549"/>
      <c r="AP223" s="1117"/>
      <c r="AQ223" s="3"/>
      <c r="AR223" s="3"/>
      <c r="AS223" s="97"/>
      <c r="AT223" s="97"/>
      <c r="AU223" s="97"/>
      <c r="AV223" s="97"/>
      <c r="AW223" s="97"/>
      <c r="AX223" s="97"/>
    </row>
    <row r="224" spans="2:50" s="795" customFormat="1" ht="16.5">
      <c r="B224" s="1117"/>
      <c r="C224" s="552" t="s">
        <v>4381</v>
      </c>
      <c r="D224" s="553"/>
      <c r="E224" s="973">
        <f t="shared" si="68"/>
        <v>0</v>
      </c>
      <c r="F224" s="972"/>
      <c r="G224" s="972"/>
      <c r="H224" s="800"/>
      <c r="I224" s="973">
        <f>IF('11. Unit Mix'!$G$142&lt;&gt;0,+E224/'11. Unit Mix'!$G$142,0)</f>
        <v>0</v>
      </c>
      <c r="J224" s="973">
        <f t="shared" si="67"/>
        <v>0</v>
      </c>
      <c r="K224" s="155"/>
      <c r="L224" s="155"/>
      <c r="M224" s="155"/>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9"/>
      <c r="AK224" s="549"/>
      <c r="AL224" s="549"/>
      <c r="AM224" s="549"/>
      <c r="AN224" s="549"/>
      <c r="AO224" s="549"/>
      <c r="AP224" s="1117"/>
      <c r="AQ224" s="3"/>
      <c r="AR224" s="3"/>
      <c r="AS224" s="97"/>
      <c r="AT224" s="97"/>
      <c r="AU224" s="97"/>
      <c r="AV224" s="97"/>
      <c r="AW224" s="97"/>
      <c r="AX224" s="97"/>
    </row>
    <row r="225" spans="2:50" s="795" customFormat="1" ht="16.5">
      <c r="B225" s="1117"/>
      <c r="C225" s="552" t="s">
        <v>4382</v>
      </c>
      <c r="D225" s="553"/>
      <c r="E225" s="973">
        <f t="shared" si="68"/>
        <v>0</v>
      </c>
      <c r="F225" s="972"/>
      <c r="G225" s="972"/>
      <c r="H225" s="800"/>
      <c r="I225" s="973">
        <f>IF('11. Unit Mix'!$G$142&lt;&gt;0,+E225/'11. Unit Mix'!$G$142,0)</f>
        <v>0</v>
      </c>
      <c r="J225" s="973">
        <f t="shared" si="67"/>
        <v>0</v>
      </c>
      <c r="K225" s="155"/>
      <c r="L225" s="155"/>
      <c r="M225" s="155"/>
      <c r="N225" s="549"/>
      <c r="O225" s="549"/>
      <c r="P225" s="549"/>
      <c r="Q225" s="549"/>
      <c r="R225" s="549"/>
      <c r="S225" s="549"/>
      <c r="T225" s="549"/>
      <c r="U225" s="549"/>
      <c r="V225" s="549"/>
      <c r="W225" s="549"/>
      <c r="X225" s="549"/>
      <c r="Y225" s="549"/>
      <c r="Z225" s="549"/>
      <c r="AA225" s="549"/>
      <c r="AB225" s="549"/>
      <c r="AC225" s="549"/>
      <c r="AD225" s="549"/>
      <c r="AE225" s="549"/>
      <c r="AF225" s="549"/>
      <c r="AG225" s="549"/>
      <c r="AH225" s="549"/>
      <c r="AI225" s="549"/>
      <c r="AJ225" s="549"/>
      <c r="AK225" s="549"/>
      <c r="AL225" s="549"/>
      <c r="AM225" s="549"/>
      <c r="AN225" s="549"/>
      <c r="AO225" s="549"/>
      <c r="AP225" s="1117"/>
      <c r="AQ225" s="3"/>
      <c r="AR225" s="3"/>
      <c r="AS225" s="97"/>
      <c r="AT225" s="97"/>
      <c r="AU225" s="97"/>
      <c r="AV225" s="97"/>
      <c r="AW225" s="97"/>
      <c r="AX225" s="97"/>
    </row>
    <row r="226" spans="2:50" s="795" customFormat="1" ht="16.5">
      <c r="B226" s="1117"/>
      <c r="C226" s="552" t="s">
        <v>4383</v>
      </c>
      <c r="D226" s="553"/>
      <c r="E226" s="973">
        <f t="shared" si="68"/>
        <v>0</v>
      </c>
      <c r="F226" s="972"/>
      <c r="G226" s="972"/>
      <c r="H226" s="800"/>
      <c r="I226" s="973">
        <f>IF('11. Unit Mix'!$G$142&lt;&gt;0,+E226/'11. Unit Mix'!$G$142,0)</f>
        <v>0</v>
      </c>
      <c r="J226" s="973">
        <f t="shared" si="67"/>
        <v>0</v>
      </c>
      <c r="K226" s="155"/>
      <c r="L226" s="155"/>
      <c r="M226" s="155"/>
      <c r="N226" s="549"/>
      <c r="O226" s="549"/>
      <c r="P226" s="549"/>
      <c r="Q226" s="549"/>
      <c r="R226" s="549"/>
      <c r="S226" s="549"/>
      <c r="T226" s="549"/>
      <c r="U226" s="549"/>
      <c r="V226" s="549"/>
      <c r="W226" s="549"/>
      <c r="X226" s="549"/>
      <c r="Y226" s="549"/>
      <c r="Z226" s="549"/>
      <c r="AA226" s="549"/>
      <c r="AB226" s="549"/>
      <c r="AC226" s="549"/>
      <c r="AD226" s="549"/>
      <c r="AE226" s="549"/>
      <c r="AF226" s="549"/>
      <c r="AG226" s="549"/>
      <c r="AH226" s="549"/>
      <c r="AI226" s="549"/>
      <c r="AJ226" s="549"/>
      <c r="AK226" s="549"/>
      <c r="AL226" s="549"/>
      <c r="AM226" s="549"/>
      <c r="AN226" s="549"/>
      <c r="AO226" s="549"/>
      <c r="AP226" s="1117"/>
      <c r="AQ226" s="3"/>
      <c r="AR226" s="3"/>
      <c r="AS226" s="97"/>
      <c r="AT226" s="97"/>
      <c r="AU226" s="97"/>
      <c r="AV226" s="97"/>
      <c r="AW226" s="97"/>
      <c r="AX226" s="97"/>
    </row>
    <row r="227" spans="2:50" s="795" customFormat="1" ht="16.5">
      <c r="B227" s="1117"/>
      <c r="C227" s="552" t="s">
        <v>4384</v>
      </c>
      <c r="D227" s="553"/>
      <c r="E227" s="973">
        <f t="shared" si="68"/>
        <v>0</v>
      </c>
      <c r="F227" s="972"/>
      <c r="G227" s="972"/>
      <c r="H227" s="800"/>
      <c r="I227" s="973">
        <f>IF('11. Unit Mix'!$G$142&lt;&gt;0,+E227/'11. Unit Mix'!$G$142,0)</f>
        <v>0</v>
      </c>
      <c r="J227" s="973">
        <f t="shared" si="67"/>
        <v>0</v>
      </c>
      <c r="K227" s="155"/>
      <c r="L227" s="155"/>
      <c r="M227" s="155"/>
      <c r="N227" s="549"/>
      <c r="O227" s="549"/>
      <c r="P227" s="549"/>
      <c r="Q227" s="549"/>
      <c r="R227" s="549"/>
      <c r="S227" s="549"/>
      <c r="T227" s="549"/>
      <c r="U227" s="549"/>
      <c r="V227" s="549"/>
      <c r="W227" s="549"/>
      <c r="X227" s="549"/>
      <c r="Y227" s="549"/>
      <c r="Z227" s="549"/>
      <c r="AA227" s="549"/>
      <c r="AB227" s="549"/>
      <c r="AC227" s="549"/>
      <c r="AD227" s="549"/>
      <c r="AE227" s="549"/>
      <c r="AF227" s="549"/>
      <c r="AG227" s="549"/>
      <c r="AH227" s="549"/>
      <c r="AI227" s="549"/>
      <c r="AJ227" s="549"/>
      <c r="AK227" s="549"/>
      <c r="AL227" s="549"/>
      <c r="AM227" s="549"/>
      <c r="AN227" s="549"/>
      <c r="AO227" s="549"/>
      <c r="AP227" s="1117"/>
      <c r="AQ227" s="3"/>
      <c r="AR227" s="3"/>
      <c r="AS227" s="97"/>
      <c r="AT227" s="97"/>
      <c r="AU227" s="97"/>
      <c r="AV227" s="97"/>
      <c r="AW227" s="97"/>
      <c r="AX227" s="97"/>
    </row>
    <row r="228" spans="2:50" s="795" customFormat="1" ht="16.5">
      <c r="B228" s="1117"/>
      <c r="C228" s="552" t="s">
        <v>4385</v>
      </c>
      <c r="D228" s="553"/>
      <c r="E228" s="973">
        <f t="shared" si="68"/>
        <v>0</v>
      </c>
      <c r="F228" s="972"/>
      <c r="G228" s="972"/>
      <c r="H228" s="800"/>
      <c r="I228" s="973">
        <f>IF('11. Unit Mix'!$G$142&lt;&gt;0,+E228/'11. Unit Mix'!$G$142,0)</f>
        <v>0</v>
      </c>
      <c r="J228" s="973">
        <f t="shared" si="67"/>
        <v>0</v>
      </c>
      <c r="K228" s="155"/>
      <c r="L228" s="155"/>
      <c r="M228" s="155"/>
      <c r="N228" s="549"/>
      <c r="O228" s="549"/>
      <c r="P228" s="549"/>
      <c r="Q228" s="549"/>
      <c r="R228" s="549"/>
      <c r="S228" s="549"/>
      <c r="T228" s="549"/>
      <c r="U228" s="549"/>
      <c r="V228" s="549"/>
      <c r="W228" s="549"/>
      <c r="X228" s="549"/>
      <c r="Y228" s="549"/>
      <c r="Z228" s="549"/>
      <c r="AA228" s="549"/>
      <c r="AB228" s="549"/>
      <c r="AC228" s="549"/>
      <c r="AD228" s="549"/>
      <c r="AE228" s="549"/>
      <c r="AF228" s="549"/>
      <c r="AG228" s="549"/>
      <c r="AH228" s="549"/>
      <c r="AI228" s="549"/>
      <c r="AJ228" s="549"/>
      <c r="AK228" s="549"/>
      <c r="AL228" s="549"/>
      <c r="AM228" s="549"/>
      <c r="AN228" s="549"/>
      <c r="AO228" s="549"/>
      <c r="AP228" s="1117"/>
      <c r="AQ228" s="3"/>
      <c r="AR228" s="3"/>
      <c r="AS228" s="97"/>
      <c r="AT228" s="97"/>
      <c r="AU228" s="97"/>
      <c r="AV228" s="97"/>
      <c r="AW228" s="97"/>
      <c r="AX228" s="97"/>
    </row>
    <row r="229" spans="2:50" s="795" customFormat="1" ht="16.5">
      <c r="B229" s="1117"/>
      <c r="C229" s="552" t="s">
        <v>4386</v>
      </c>
      <c r="D229" s="553"/>
      <c r="E229" s="973">
        <f t="shared" si="68"/>
        <v>0</v>
      </c>
      <c r="F229" s="972"/>
      <c r="G229" s="972"/>
      <c r="H229" s="800"/>
      <c r="I229" s="973">
        <f>IF('11. Unit Mix'!$G$142&lt;&gt;0,+E229/'11. Unit Mix'!$G$142,0)</f>
        <v>0</v>
      </c>
      <c r="J229" s="973">
        <f t="shared" si="67"/>
        <v>0</v>
      </c>
      <c r="K229" s="155"/>
      <c r="L229" s="155"/>
      <c r="M229" s="155"/>
      <c r="N229" s="549"/>
      <c r="O229" s="549"/>
      <c r="P229" s="549"/>
      <c r="Q229" s="549"/>
      <c r="R229" s="549"/>
      <c r="S229" s="549"/>
      <c r="T229" s="549"/>
      <c r="U229" s="549"/>
      <c r="V229" s="549"/>
      <c r="W229" s="549"/>
      <c r="X229" s="549"/>
      <c r="Y229" s="549"/>
      <c r="Z229" s="549"/>
      <c r="AA229" s="549"/>
      <c r="AB229" s="549"/>
      <c r="AC229" s="549"/>
      <c r="AD229" s="549"/>
      <c r="AE229" s="549"/>
      <c r="AF229" s="549"/>
      <c r="AG229" s="549"/>
      <c r="AH229" s="549"/>
      <c r="AI229" s="549"/>
      <c r="AJ229" s="549"/>
      <c r="AK229" s="549"/>
      <c r="AL229" s="549"/>
      <c r="AM229" s="549"/>
      <c r="AN229" s="549"/>
      <c r="AO229" s="549"/>
      <c r="AP229" s="1117"/>
      <c r="AQ229" s="3"/>
      <c r="AR229" s="3"/>
      <c r="AS229" s="97"/>
      <c r="AT229" s="97"/>
      <c r="AU229" s="97"/>
      <c r="AV229" s="97"/>
      <c r="AW229" s="97"/>
      <c r="AX229" s="97"/>
    </row>
    <row r="230" spans="2:50" s="796" customFormat="1">
      <c r="B230" s="1117"/>
      <c r="C230" s="552" t="s">
        <v>4387</v>
      </c>
      <c r="D230" s="553"/>
      <c r="E230" s="973">
        <f t="shared" si="68"/>
        <v>0</v>
      </c>
      <c r="F230" s="972"/>
      <c r="G230" s="972"/>
      <c r="H230" s="800"/>
      <c r="I230" s="973">
        <f>IF('11. Unit Mix'!$G$142&lt;&gt;0,+E230/'11. Unit Mix'!$G$142,0)</f>
        <v>0</v>
      </c>
      <c r="J230" s="973">
        <f t="shared" si="67"/>
        <v>0</v>
      </c>
      <c r="K230" s="155"/>
      <c r="L230" s="155"/>
      <c r="M230" s="155"/>
      <c r="N230" s="942"/>
      <c r="O230" s="942"/>
      <c r="P230" s="942"/>
      <c r="Q230" s="942"/>
      <c r="R230" s="942"/>
      <c r="S230" s="942"/>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1117"/>
      <c r="AQ230" s="3"/>
      <c r="AR230" s="3"/>
      <c r="AS230" s="97"/>
      <c r="AT230" s="97"/>
      <c r="AU230" s="97"/>
      <c r="AV230" s="97"/>
      <c r="AW230" s="97"/>
      <c r="AX230" s="97"/>
    </row>
    <row r="231" spans="2:50" s="795" customFormat="1" ht="16.5">
      <c r="B231" s="1117"/>
      <c r="C231" s="1118"/>
      <c r="D231" s="1118"/>
      <c r="E231" s="1118"/>
      <c r="F231" s="1118"/>
      <c r="G231" s="1118"/>
      <c r="H231" s="1118"/>
      <c r="I231" s="1118"/>
      <c r="J231" s="1118"/>
      <c r="K231" s="155"/>
      <c r="L231" s="155"/>
      <c r="M231" s="155"/>
      <c r="N231" s="549"/>
      <c r="O231" s="549"/>
      <c r="P231" s="549"/>
      <c r="Q231" s="549"/>
      <c r="R231" s="549"/>
      <c r="S231" s="549"/>
      <c r="T231" s="549"/>
      <c r="U231" s="549"/>
      <c r="V231" s="549"/>
      <c r="W231" s="549"/>
      <c r="X231" s="549"/>
      <c r="Y231" s="549"/>
      <c r="Z231" s="549"/>
      <c r="AA231" s="549"/>
      <c r="AB231" s="549"/>
      <c r="AC231" s="549"/>
      <c r="AD231" s="549"/>
      <c r="AE231" s="549"/>
      <c r="AF231" s="549"/>
      <c r="AG231" s="549"/>
      <c r="AH231" s="549"/>
      <c r="AI231" s="549"/>
      <c r="AJ231" s="549"/>
      <c r="AK231" s="549"/>
      <c r="AL231" s="549"/>
      <c r="AM231" s="549"/>
      <c r="AN231" s="549"/>
      <c r="AO231" s="549"/>
      <c r="AP231" s="1117"/>
      <c r="AQ231" s="3"/>
      <c r="AR231" s="3"/>
      <c r="AS231" s="97"/>
      <c r="AT231" s="97"/>
      <c r="AU231" s="97"/>
      <c r="AV231" s="97"/>
      <c r="AW231" s="97"/>
      <c r="AX231" s="97"/>
    </row>
    <row r="232" spans="2:50" s="795" customFormat="1" ht="16.5">
      <c r="B232" s="1117"/>
      <c r="C232" s="550" t="s">
        <v>4388</v>
      </c>
      <c r="D232" s="551"/>
      <c r="E232" s="562">
        <f>+SUM(E233:E238)</f>
        <v>0</v>
      </c>
      <c r="F232" s="562">
        <f t="shared" ref="F232:H232" si="69">+SUM(F233:F238)</f>
        <v>0</v>
      </c>
      <c r="G232" s="562">
        <f t="shared" si="69"/>
        <v>0</v>
      </c>
      <c r="H232" s="562">
        <f t="shared" si="69"/>
        <v>0</v>
      </c>
      <c r="I232" s="562">
        <f>IF('11. Unit Mix'!$G$142&lt;&gt;0,+E232/'11. Unit Mix'!$G$142,0)</f>
        <v>0</v>
      </c>
      <c r="J232" s="562">
        <f t="shared" ref="J232:J238" si="70">IF(Total_Units&lt;&gt;0,+E232/Total_Units,0)</f>
        <v>0</v>
      </c>
      <c r="K232" s="155"/>
      <c r="L232" s="155"/>
      <c r="M232" s="155"/>
      <c r="N232" s="549"/>
      <c r="O232" s="549"/>
      <c r="P232" s="549"/>
      <c r="Q232" s="549"/>
      <c r="R232" s="549"/>
      <c r="S232" s="549"/>
      <c r="T232" s="549"/>
      <c r="U232" s="549"/>
      <c r="V232" s="549"/>
      <c r="W232" s="549"/>
      <c r="X232" s="549"/>
      <c r="Y232" s="549"/>
      <c r="Z232" s="549"/>
      <c r="AA232" s="549"/>
      <c r="AB232" s="549"/>
      <c r="AC232" s="549"/>
      <c r="AD232" s="549"/>
      <c r="AE232" s="549"/>
      <c r="AF232" s="549"/>
      <c r="AG232" s="549"/>
      <c r="AH232" s="549"/>
      <c r="AI232" s="549"/>
      <c r="AJ232" s="549"/>
      <c r="AK232" s="549"/>
      <c r="AL232" s="549"/>
      <c r="AM232" s="549"/>
      <c r="AN232" s="549"/>
      <c r="AO232" s="549"/>
      <c r="AP232" s="1117"/>
      <c r="AQ232" s="3"/>
      <c r="AR232" s="3"/>
      <c r="AS232" s="97"/>
      <c r="AT232" s="97"/>
      <c r="AU232" s="97"/>
      <c r="AV232" s="97"/>
      <c r="AW232" s="97"/>
      <c r="AX232" s="97"/>
    </row>
    <row r="233" spans="2:50" s="795" customFormat="1" ht="16.5">
      <c r="B233" s="1117"/>
      <c r="C233" s="552" t="s">
        <v>4389</v>
      </c>
      <c r="D233" s="553"/>
      <c r="E233" s="973">
        <f t="shared" ref="E233:E238" si="71">SUM(F233:H233)</f>
        <v>0</v>
      </c>
      <c r="F233" s="972"/>
      <c r="G233" s="972"/>
      <c r="H233" s="800"/>
      <c r="I233" s="973">
        <f>IF('11. Unit Mix'!$G$142&lt;&gt;0,+E233/'11. Unit Mix'!$G$142,0)</f>
        <v>0</v>
      </c>
      <c r="J233" s="973">
        <f t="shared" si="70"/>
        <v>0</v>
      </c>
      <c r="K233" s="155"/>
      <c r="L233" s="155"/>
      <c r="M233" s="155"/>
      <c r="N233" s="549"/>
      <c r="O233" s="549"/>
      <c r="P233" s="549"/>
      <c r="Q233" s="549"/>
      <c r="R233" s="549"/>
      <c r="S233" s="549"/>
      <c r="T233" s="549"/>
      <c r="U233" s="549"/>
      <c r="V233" s="549"/>
      <c r="W233" s="549"/>
      <c r="X233" s="549"/>
      <c r="Y233" s="549"/>
      <c r="Z233" s="549"/>
      <c r="AA233" s="549"/>
      <c r="AB233" s="549"/>
      <c r="AC233" s="549"/>
      <c r="AD233" s="549"/>
      <c r="AE233" s="549"/>
      <c r="AF233" s="549"/>
      <c r="AG233" s="549"/>
      <c r="AH233" s="549"/>
      <c r="AI233" s="549"/>
      <c r="AJ233" s="549"/>
      <c r="AK233" s="549"/>
      <c r="AL233" s="549"/>
      <c r="AM233" s="549"/>
      <c r="AN233" s="549"/>
      <c r="AO233" s="549"/>
      <c r="AP233" s="1117"/>
      <c r="AQ233" s="3"/>
      <c r="AR233" s="3"/>
      <c r="AS233" s="97"/>
      <c r="AT233" s="97"/>
      <c r="AU233" s="97"/>
      <c r="AV233" s="97"/>
      <c r="AW233" s="97"/>
      <c r="AX233" s="97"/>
    </row>
    <row r="234" spans="2:50" s="795" customFormat="1" ht="16.5">
      <c r="B234" s="1117"/>
      <c r="C234" s="552" t="s">
        <v>4390</v>
      </c>
      <c r="D234" s="553"/>
      <c r="E234" s="973">
        <f t="shared" si="71"/>
        <v>0</v>
      </c>
      <c r="F234" s="972"/>
      <c r="G234" s="972"/>
      <c r="H234" s="800"/>
      <c r="I234" s="973">
        <f>IF('11. Unit Mix'!$G$142&lt;&gt;0,+E234/'11. Unit Mix'!$G$142,0)</f>
        <v>0</v>
      </c>
      <c r="J234" s="973">
        <f t="shared" si="70"/>
        <v>0</v>
      </c>
      <c r="K234" s="155"/>
      <c r="L234" s="155"/>
      <c r="M234" s="155"/>
      <c r="N234" s="549"/>
      <c r="O234" s="549"/>
      <c r="P234" s="549"/>
      <c r="Q234" s="549"/>
      <c r="R234" s="549"/>
      <c r="S234" s="549"/>
      <c r="T234" s="549"/>
      <c r="U234" s="549"/>
      <c r="V234" s="549"/>
      <c r="W234" s="549"/>
      <c r="X234" s="549"/>
      <c r="Y234" s="549"/>
      <c r="Z234" s="549"/>
      <c r="AA234" s="549"/>
      <c r="AB234" s="549"/>
      <c r="AC234" s="549"/>
      <c r="AD234" s="549"/>
      <c r="AE234" s="549"/>
      <c r="AF234" s="549"/>
      <c r="AG234" s="549"/>
      <c r="AH234" s="549"/>
      <c r="AI234" s="549"/>
      <c r="AJ234" s="549"/>
      <c r="AK234" s="549"/>
      <c r="AL234" s="549"/>
      <c r="AM234" s="549"/>
      <c r="AN234" s="549"/>
      <c r="AO234" s="549"/>
      <c r="AP234" s="1117"/>
      <c r="AQ234" s="3"/>
      <c r="AR234" s="3"/>
      <c r="AS234" s="97"/>
      <c r="AT234" s="97"/>
      <c r="AU234" s="97"/>
      <c r="AV234" s="97"/>
      <c r="AW234" s="97"/>
      <c r="AX234" s="97"/>
    </row>
    <row r="235" spans="2:50" s="795" customFormat="1" ht="16.5">
      <c r="B235" s="1117"/>
      <c r="C235" s="552" t="s">
        <v>4391</v>
      </c>
      <c r="D235" s="553"/>
      <c r="E235" s="973">
        <f t="shared" si="71"/>
        <v>0</v>
      </c>
      <c r="F235" s="972"/>
      <c r="G235" s="972"/>
      <c r="H235" s="800"/>
      <c r="I235" s="973">
        <f>IF('11. Unit Mix'!$G$142&lt;&gt;0,+E235/'11. Unit Mix'!$G$142,0)</f>
        <v>0</v>
      </c>
      <c r="J235" s="973">
        <f t="shared" si="70"/>
        <v>0</v>
      </c>
      <c r="K235" s="155"/>
      <c r="L235" s="155"/>
      <c r="M235" s="155"/>
      <c r="N235" s="549"/>
      <c r="O235" s="549"/>
      <c r="P235" s="549"/>
      <c r="Q235" s="549"/>
      <c r="R235" s="549"/>
      <c r="S235" s="549"/>
      <c r="T235" s="549"/>
      <c r="U235" s="549"/>
      <c r="V235" s="549"/>
      <c r="W235" s="549"/>
      <c r="X235" s="549"/>
      <c r="Y235" s="549"/>
      <c r="Z235" s="549"/>
      <c r="AA235" s="549"/>
      <c r="AB235" s="549"/>
      <c r="AC235" s="549"/>
      <c r="AD235" s="549"/>
      <c r="AE235" s="549"/>
      <c r="AF235" s="549"/>
      <c r="AG235" s="549"/>
      <c r="AH235" s="549"/>
      <c r="AI235" s="549"/>
      <c r="AJ235" s="549"/>
      <c r="AK235" s="549"/>
      <c r="AL235" s="549"/>
      <c r="AM235" s="549"/>
      <c r="AN235" s="549"/>
      <c r="AO235" s="549"/>
      <c r="AP235" s="1117"/>
      <c r="AQ235" s="3"/>
      <c r="AR235" s="3"/>
      <c r="AS235" s="97"/>
      <c r="AT235" s="97"/>
      <c r="AU235" s="97"/>
      <c r="AV235" s="97"/>
      <c r="AW235" s="97"/>
      <c r="AX235" s="97"/>
    </row>
    <row r="236" spans="2:50" s="795" customFormat="1" ht="16.5">
      <c r="B236" s="1117"/>
      <c r="C236" s="552" t="s">
        <v>4392</v>
      </c>
      <c r="D236" s="553"/>
      <c r="E236" s="973">
        <f t="shared" si="71"/>
        <v>0</v>
      </c>
      <c r="F236" s="972"/>
      <c r="G236" s="972"/>
      <c r="H236" s="800"/>
      <c r="I236" s="973">
        <f>IF('11. Unit Mix'!$G$142&lt;&gt;0,+E236/'11. Unit Mix'!$G$142,0)</f>
        <v>0</v>
      </c>
      <c r="J236" s="973">
        <f t="shared" si="70"/>
        <v>0</v>
      </c>
      <c r="K236" s="155"/>
      <c r="L236" s="155"/>
      <c r="M236" s="155"/>
      <c r="N236" s="549"/>
      <c r="O236" s="549"/>
      <c r="P236" s="549"/>
      <c r="Q236" s="549"/>
      <c r="R236" s="549"/>
      <c r="S236" s="549"/>
      <c r="T236" s="549"/>
      <c r="U236" s="549"/>
      <c r="V236" s="549"/>
      <c r="W236" s="549"/>
      <c r="X236" s="549"/>
      <c r="Y236" s="549"/>
      <c r="Z236" s="549"/>
      <c r="AA236" s="549"/>
      <c r="AB236" s="549"/>
      <c r="AC236" s="549"/>
      <c r="AD236" s="549"/>
      <c r="AE236" s="549"/>
      <c r="AF236" s="549"/>
      <c r="AG236" s="549"/>
      <c r="AH236" s="549"/>
      <c r="AI236" s="549"/>
      <c r="AJ236" s="549"/>
      <c r="AK236" s="549"/>
      <c r="AL236" s="549"/>
      <c r="AM236" s="549"/>
      <c r="AN236" s="549"/>
      <c r="AO236" s="549"/>
      <c r="AP236" s="1117"/>
      <c r="AQ236" s="3"/>
      <c r="AR236" s="3"/>
      <c r="AS236" s="97"/>
      <c r="AT236" s="97"/>
      <c r="AU236" s="97"/>
      <c r="AV236" s="97"/>
      <c r="AW236" s="97"/>
      <c r="AX236" s="97"/>
    </row>
    <row r="237" spans="2:50" s="795" customFormat="1" ht="16.5">
      <c r="B237" s="1117"/>
      <c r="C237" s="552" t="s">
        <v>4393</v>
      </c>
      <c r="D237" s="553"/>
      <c r="E237" s="973">
        <f t="shared" si="71"/>
        <v>0</v>
      </c>
      <c r="F237" s="972"/>
      <c r="G237" s="972"/>
      <c r="H237" s="800"/>
      <c r="I237" s="973">
        <f>IF('11. Unit Mix'!$G$142&lt;&gt;0,+E237/'11. Unit Mix'!$G$142,0)</f>
        <v>0</v>
      </c>
      <c r="J237" s="973">
        <f t="shared" si="70"/>
        <v>0</v>
      </c>
      <c r="K237" s="155"/>
      <c r="L237" s="155"/>
      <c r="M237" s="155"/>
      <c r="N237" s="549"/>
      <c r="O237" s="549"/>
      <c r="P237" s="549"/>
      <c r="Q237" s="549"/>
      <c r="R237" s="549"/>
      <c r="S237" s="549"/>
      <c r="T237" s="549"/>
      <c r="U237" s="549"/>
      <c r="V237" s="549"/>
      <c r="W237" s="549"/>
      <c r="X237" s="549"/>
      <c r="Y237" s="549"/>
      <c r="Z237" s="549"/>
      <c r="AA237" s="549"/>
      <c r="AB237" s="549"/>
      <c r="AC237" s="549"/>
      <c r="AD237" s="549"/>
      <c r="AE237" s="549"/>
      <c r="AF237" s="549"/>
      <c r="AG237" s="549"/>
      <c r="AH237" s="549"/>
      <c r="AI237" s="549"/>
      <c r="AJ237" s="549"/>
      <c r="AK237" s="549"/>
      <c r="AL237" s="549"/>
      <c r="AM237" s="549"/>
      <c r="AN237" s="549"/>
      <c r="AO237" s="549"/>
      <c r="AP237" s="1117"/>
      <c r="AQ237" s="3"/>
      <c r="AR237" s="3"/>
      <c r="AS237" s="97"/>
      <c r="AT237" s="97"/>
      <c r="AU237" s="97"/>
      <c r="AV237" s="97"/>
      <c r="AW237" s="97"/>
      <c r="AX237" s="97"/>
    </row>
    <row r="238" spans="2:50" s="796" customFormat="1">
      <c r="B238" s="1117"/>
      <c r="C238" s="552" t="s">
        <v>4394</v>
      </c>
      <c r="D238" s="553"/>
      <c r="E238" s="973">
        <f t="shared" si="71"/>
        <v>0</v>
      </c>
      <c r="F238" s="972"/>
      <c r="G238" s="972"/>
      <c r="H238" s="800"/>
      <c r="I238" s="973">
        <f>IF('11. Unit Mix'!$G$142&lt;&gt;0,+E238/'11. Unit Mix'!$G$142,0)</f>
        <v>0</v>
      </c>
      <c r="J238" s="973">
        <f t="shared" si="70"/>
        <v>0</v>
      </c>
      <c r="K238" s="155"/>
      <c r="L238" s="155"/>
      <c r="M238" s="155"/>
      <c r="N238" s="942"/>
      <c r="O238" s="942"/>
      <c r="P238" s="942"/>
      <c r="Q238" s="942"/>
      <c r="R238" s="942"/>
      <c r="S238" s="942"/>
      <c r="T238" s="942"/>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1117"/>
      <c r="AQ238" s="3"/>
      <c r="AR238" s="3"/>
      <c r="AS238" s="97"/>
      <c r="AT238" s="97"/>
      <c r="AU238" s="97"/>
      <c r="AV238" s="97"/>
      <c r="AW238" s="97"/>
      <c r="AX238" s="97"/>
    </row>
    <row r="239" spans="2:50" s="795" customFormat="1" ht="16.5">
      <c r="B239" s="1117"/>
      <c r="C239" s="1118"/>
      <c r="D239" s="1118"/>
      <c r="E239" s="1118"/>
      <c r="F239" s="1118"/>
      <c r="G239" s="1118"/>
      <c r="H239" s="1118"/>
      <c r="I239" s="1118"/>
      <c r="J239" s="1118"/>
      <c r="K239" s="155"/>
      <c r="L239" s="155"/>
      <c r="M239" s="155"/>
      <c r="N239" s="549"/>
      <c r="O239" s="549"/>
      <c r="P239" s="549"/>
      <c r="Q239" s="549"/>
      <c r="R239" s="549"/>
      <c r="S239" s="549"/>
      <c r="T239" s="549"/>
      <c r="U239" s="549"/>
      <c r="V239" s="549"/>
      <c r="W239" s="549"/>
      <c r="X239" s="549"/>
      <c r="Y239" s="549"/>
      <c r="Z239" s="549"/>
      <c r="AA239" s="549"/>
      <c r="AB239" s="549"/>
      <c r="AC239" s="549"/>
      <c r="AD239" s="549"/>
      <c r="AE239" s="549"/>
      <c r="AF239" s="549"/>
      <c r="AG239" s="549"/>
      <c r="AH239" s="549"/>
      <c r="AI239" s="549"/>
      <c r="AJ239" s="549"/>
      <c r="AK239" s="549"/>
      <c r="AL239" s="549"/>
      <c r="AM239" s="549"/>
      <c r="AN239" s="549"/>
      <c r="AO239" s="549"/>
      <c r="AP239" s="1117"/>
      <c r="AQ239" s="3"/>
      <c r="AR239" s="3"/>
      <c r="AS239" s="97"/>
      <c r="AT239" s="97"/>
      <c r="AU239" s="97"/>
      <c r="AV239" s="97"/>
      <c r="AW239" s="97"/>
      <c r="AX239" s="97"/>
    </row>
    <row r="240" spans="2:50" s="795" customFormat="1" ht="16.5">
      <c r="B240" s="1117"/>
      <c r="C240" s="550" t="s">
        <v>4395</v>
      </c>
      <c r="D240" s="551"/>
      <c r="E240" s="562">
        <f>SUM(E241:E249)</f>
        <v>0</v>
      </c>
      <c r="F240" s="562">
        <f t="shared" ref="F240:H240" si="72">SUM(F241:F249)</f>
        <v>0</v>
      </c>
      <c r="G240" s="562">
        <f t="shared" si="72"/>
        <v>0</v>
      </c>
      <c r="H240" s="562">
        <f t="shared" si="72"/>
        <v>0</v>
      </c>
      <c r="I240" s="562">
        <f>IF('11. Unit Mix'!$G$142&lt;&gt;0,+E240/'11. Unit Mix'!$G$142,0)</f>
        <v>0</v>
      </c>
      <c r="J240" s="562">
        <f t="shared" ref="J240:J250" si="73">IF(Total_Units&lt;&gt;0,+E240/Total_Units,0)</f>
        <v>0</v>
      </c>
      <c r="K240" s="155"/>
      <c r="L240" s="155"/>
      <c r="M240" s="155"/>
      <c r="N240" s="549"/>
      <c r="O240" s="549"/>
      <c r="P240" s="549"/>
      <c r="Q240" s="549"/>
      <c r="R240" s="549"/>
      <c r="S240" s="549"/>
      <c r="T240" s="549"/>
      <c r="U240" s="549"/>
      <c r="V240" s="549"/>
      <c r="W240" s="549"/>
      <c r="X240" s="549"/>
      <c r="Y240" s="549"/>
      <c r="Z240" s="549"/>
      <c r="AA240" s="549"/>
      <c r="AB240" s="549"/>
      <c r="AC240" s="549"/>
      <c r="AD240" s="549"/>
      <c r="AE240" s="549"/>
      <c r="AF240" s="549"/>
      <c r="AG240" s="549"/>
      <c r="AH240" s="549"/>
      <c r="AI240" s="549"/>
      <c r="AJ240" s="549"/>
      <c r="AK240" s="549"/>
      <c r="AL240" s="549"/>
      <c r="AM240" s="549"/>
      <c r="AN240" s="549"/>
      <c r="AO240" s="549"/>
      <c r="AP240" s="1117"/>
      <c r="AQ240" s="3"/>
      <c r="AR240" s="3"/>
      <c r="AS240" s="97"/>
      <c r="AT240" s="97"/>
      <c r="AU240" s="97"/>
      <c r="AV240" s="97"/>
      <c r="AW240" s="97"/>
      <c r="AX240" s="97"/>
    </row>
    <row r="241" spans="2:81" s="795" customFormat="1" ht="16.5">
      <c r="B241" s="1117"/>
      <c r="C241" s="552" t="s">
        <v>4396</v>
      </c>
      <c r="D241" s="553"/>
      <c r="E241" s="973">
        <f t="shared" ref="E241:E249" si="74">SUM(F241:H241)</f>
        <v>0</v>
      </c>
      <c r="F241" s="972"/>
      <c r="G241" s="972"/>
      <c r="H241" s="800"/>
      <c r="I241" s="973">
        <f>IF('11. Unit Mix'!$G$142&lt;&gt;0,+E241/'11. Unit Mix'!$G$142,0)</f>
        <v>0</v>
      </c>
      <c r="J241" s="973">
        <f t="shared" si="73"/>
        <v>0</v>
      </c>
      <c r="K241" s="155"/>
      <c r="L241" s="155"/>
      <c r="M241" s="155"/>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1117"/>
      <c r="AQ241" s="3"/>
      <c r="AR241" s="3"/>
      <c r="AS241" s="97"/>
      <c r="AT241" s="97"/>
      <c r="AU241" s="97"/>
      <c r="AV241" s="97"/>
      <c r="AW241" s="97"/>
      <c r="AX241" s="97"/>
    </row>
    <row r="242" spans="2:81" s="795" customFormat="1" ht="16.5">
      <c r="B242" s="1117"/>
      <c r="C242" s="552" t="s">
        <v>4397</v>
      </c>
      <c r="D242" s="553"/>
      <c r="E242" s="973">
        <f t="shared" si="74"/>
        <v>0</v>
      </c>
      <c r="F242" s="972"/>
      <c r="G242" s="972"/>
      <c r="H242" s="800"/>
      <c r="I242" s="973">
        <f>IF('11. Unit Mix'!$G$142&lt;&gt;0,+E242/'11. Unit Mix'!$G$142,0)</f>
        <v>0</v>
      </c>
      <c r="J242" s="973">
        <f t="shared" si="73"/>
        <v>0</v>
      </c>
      <c r="K242" s="155"/>
      <c r="L242" s="155"/>
      <c r="M242" s="155"/>
      <c r="N242" s="549"/>
      <c r="O242" s="549"/>
      <c r="P242" s="549"/>
      <c r="Q242" s="549"/>
      <c r="R242" s="549"/>
      <c r="S242" s="549"/>
      <c r="T242" s="549"/>
      <c r="U242" s="549"/>
      <c r="V242" s="549"/>
      <c r="W242" s="549"/>
      <c r="X242" s="549"/>
      <c r="Y242" s="549"/>
      <c r="Z242" s="549"/>
      <c r="AA242" s="549"/>
      <c r="AB242" s="549"/>
      <c r="AC242" s="549"/>
      <c r="AD242" s="549"/>
      <c r="AE242" s="549"/>
      <c r="AF242" s="549"/>
      <c r="AG242" s="549"/>
      <c r="AH242" s="549"/>
      <c r="AI242" s="549"/>
      <c r="AJ242" s="549"/>
      <c r="AK242" s="549"/>
      <c r="AL242" s="549"/>
      <c r="AM242" s="549"/>
      <c r="AN242" s="549"/>
      <c r="AO242" s="549"/>
      <c r="AP242" s="1117"/>
      <c r="AQ242" s="3"/>
      <c r="AR242" s="3"/>
      <c r="AS242" s="97"/>
      <c r="AT242" s="97"/>
      <c r="AU242" s="97"/>
      <c r="AV242" s="97"/>
      <c r="AW242" s="97"/>
      <c r="AX242" s="97"/>
    </row>
    <row r="243" spans="2:81" s="795" customFormat="1" ht="16.5">
      <c r="B243" s="1117"/>
      <c r="C243" s="552" t="s">
        <v>4398</v>
      </c>
      <c r="D243" s="553"/>
      <c r="E243" s="973">
        <f t="shared" si="74"/>
        <v>0</v>
      </c>
      <c r="F243" s="972"/>
      <c r="G243" s="972"/>
      <c r="H243" s="800"/>
      <c r="I243" s="973">
        <f>IF('11. Unit Mix'!$G$142&lt;&gt;0,+E243/'11. Unit Mix'!$G$142,0)</f>
        <v>0</v>
      </c>
      <c r="J243" s="973">
        <f t="shared" si="73"/>
        <v>0</v>
      </c>
      <c r="K243" s="155"/>
      <c r="L243" s="155"/>
      <c r="M243" s="155"/>
      <c r="N243" s="549"/>
      <c r="O243" s="549"/>
      <c r="P243" s="549"/>
      <c r="Q243" s="549"/>
      <c r="R243" s="549"/>
      <c r="S243" s="549"/>
      <c r="T243" s="549"/>
      <c r="U243" s="549"/>
      <c r="V243" s="549"/>
      <c r="W243" s="549"/>
      <c r="X243" s="549"/>
      <c r="Y243" s="549"/>
      <c r="Z243" s="549"/>
      <c r="AA243" s="549"/>
      <c r="AB243" s="549"/>
      <c r="AC243" s="549"/>
      <c r="AD243" s="549"/>
      <c r="AE243" s="549"/>
      <c r="AF243" s="549"/>
      <c r="AG243" s="549"/>
      <c r="AH243" s="549"/>
      <c r="AI243" s="549"/>
      <c r="AJ243" s="549"/>
      <c r="AK243" s="549"/>
      <c r="AL243" s="549"/>
      <c r="AM243" s="549"/>
      <c r="AN243" s="549"/>
      <c r="AO243" s="549"/>
      <c r="AP243" s="1117"/>
      <c r="AQ243" s="3"/>
      <c r="AR243" s="3"/>
      <c r="AS243" s="97"/>
      <c r="AT243" s="97"/>
      <c r="AU243" s="97"/>
      <c r="AV243" s="97"/>
      <c r="AW243" s="97"/>
      <c r="AX243" s="97"/>
    </row>
    <row r="244" spans="2:81" s="795" customFormat="1" ht="16.5">
      <c r="B244" s="1117"/>
      <c r="C244" s="552" t="s">
        <v>4399</v>
      </c>
      <c r="D244" s="553"/>
      <c r="E244" s="973">
        <f t="shared" si="74"/>
        <v>0</v>
      </c>
      <c r="F244" s="972"/>
      <c r="G244" s="972"/>
      <c r="H244" s="800"/>
      <c r="I244" s="973">
        <f>IF('11. Unit Mix'!$G$142&lt;&gt;0,+E244/'11. Unit Mix'!$G$142,0)</f>
        <v>0</v>
      </c>
      <c r="J244" s="973">
        <f t="shared" si="73"/>
        <v>0</v>
      </c>
      <c r="K244" s="155"/>
      <c r="L244" s="155"/>
      <c r="M244" s="155"/>
      <c r="N244" s="549"/>
      <c r="O244" s="549"/>
      <c r="P244" s="549"/>
      <c r="Q244" s="549"/>
      <c r="R244" s="549"/>
      <c r="S244" s="549"/>
      <c r="T244" s="549"/>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1117"/>
      <c r="AQ244" s="3"/>
      <c r="AR244" s="3"/>
      <c r="AS244" s="97"/>
      <c r="AT244" s="97"/>
      <c r="AU244" s="97"/>
      <c r="AV244" s="97"/>
      <c r="AW244" s="97"/>
      <c r="AX244" s="97"/>
    </row>
    <row r="245" spans="2:81" s="795" customFormat="1" ht="16.5">
      <c r="B245" s="1117"/>
      <c r="C245" s="552" t="s">
        <v>4400</v>
      </c>
      <c r="D245" s="553"/>
      <c r="E245" s="973">
        <f t="shared" si="74"/>
        <v>0</v>
      </c>
      <c r="F245" s="972"/>
      <c r="G245" s="972"/>
      <c r="H245" s="800"/>
      <c r="I245" s="973">
        <f>IF('11. Unit Mix'!$G$142&lt;&gt;0,+E245/'11. Unit Mix'!$G$142,0)</f>
        <v>0</v>
      </c>
      <c r="J245" s="973">
        <f t="shared" si="73"/>
        <v>0</v>
      </c>
      <c r="K245" s="155"/>
      <c r="L245" s="155"/>
      <c r="M245" s="155"/>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1117"/>
      <c r="AQ245" s="3"/>
      <c r="AR245" s="3"/>
      <c r="AS245" s="97"/>
      <c r="AT245" s="97"/>
      <c r="AU245" s="97"/>
      <c r="AV245" s="97"/>
      <c r="AW245" s="97"/>
      <c r="AX245" s="97"/>
    </row>
    <row r="246" spans="2:81" s="795" customFormat="1" ht="16.5">
      <c r="B246" s="1117"/>
      <c r="C246" s="552" t="s">
        <v>4401</v>
      </c>
      <c r="D246" s="553"/>
      <c r="E246" s="973">
        <f t="shared" si="74"/>
        <v>0</v>
      </c>
      <c r="F246" s="972"/>
      <c r="G246" s="972"/>
      <c r="H246" s="800"/>
      <c r="I246" s="973">
        <f>IF('11. Unit Mix'!$G$142&lt;&gt;0,+E246/'11. Unit Mix'!$G$142,0)</f>
        <v>0</v>
      </c>
      <c r="J246" s="973">
        <f t="shared" si="73"/>
        <v>0</v>
      </c>
      <c r="K246" s="155"/>
      <c r="L246" s="155"/>
      <c r="M246" s="155"/>
      <c r="N246" s="549"/>
      <c r="O246" s="549"/>
      <c r="P246" s="549"/>
      <c r="Q246" s="549"/>
      <c r="R246" s="549"/>
      <c r="S246" s="549"/>
      <c r="T246" s="549"/>
      <c r="U246" s="549"/>
      <c r="V246" s="549"/>
      <c r="W246" s="549"/>
      <c r="X246" s="549"/>
      <c r="Y246" s="549"/>
      <c r="Z246" s="549"/>
      <c r="AA246" s="549"/>
      <c r="AB246" s="549"/>
      <c r="AC246" s="549"/>
      <c r="AD246" s="549"/>
      <c r="AE246" s="549"/>
      <c r="AF246" s="549"/>
      <c r="AG246" s="549"/>
      <c r="AH246" s="549"/>
      <c r="AI246" s="549"/>
      <c r="AJ246" s="549"/>
      <c r="AK246" s="549"/>
      <c r="AL246" s="549"/>
      <c r="AM246" s="549"/>
      <c r="AN246" s="549"/>
      <c r="AO246" s="549"/>
      <c r="AP246" s="1117"/>
      <c r="AQ246" s="3"/>
      <c r="AR246" s="3"/>
      <c r="AS246" s="97"/>
      <c r="AT246" s="97"/>
      <c r="AU246" s="97"/>
      <c r="AV246" s="97"/>
      <c r="AW246" s="97"/>
      <c r="AX246" s="97"/>
    </row>
    <row r="247" spans="2:81" s="795" customFormat="1" ht="16.5">
      <c r="B247" s="1117"/>
      <c r="C247" s="552" t="s">
        <v>4402</v>
      </c>
      <c r="D247" s="553"/>
      <c r="E247" s="973">
        <f t="shared" si="74"/>
        <v>0</v>
      </c>
      <c r="F247" s="972"/>
      <c r="G247" s="972"/>
      <c r="H247" s="800"/>
      <c r="I247" s="973">
        <f>IF('11. Unit Mix'!$G$142&lt;&gt;0,+E247/'11. Unit Mix'!$G$142,0)</f>
        <v>0</v>
      </c>
      <c r="J247" s="973">
        <f t="shared" si="73"/>
        <v>0</v>
      </c>
      <c r="K247" s="155"/>
      <c r="L247" s="155"/>
      <c r="M247" s="155"/>
      <c r="N247" s="549"/>
      <c r="O247" s="549"/>
      <c r="P247" s="549"/>
      <c r="Q247" s="549"/>
      <c r="R247" s="549"/>
      <c r="S247" s="549"/>
      <c r="T247" s="549"/>
      <c r="U247" s="549"/>
      <c r="V247" s="549"/>
      <c r="W247" s="549"/>
      <c r="X247" s="549"/>
      <c r="Y247" s="549"/>
      <c r="Z247" s="549"/>
      <c r="AA247" s="549"/>
      <c r="AB247" s="549"/>
      <c r="AC247" s="549"/>
      <c r="AD247" s="549"/>
      <c r="AE247" s="549"/>
      <c r="AF247" s="549"/>
      <c r="AG247" s="549"/>
      <c r="AH247" s="549"/>
      <c r="AI247" s="549"/>
      <c r="AJ247" s="549"/>
      <c r="AK247" s="549"/>
      <c r="AL247" s="549"/>
      <c r="AM247" s="549"/>
      <c r="AN247" s="549"/>
      <c r="AO247" s="549"/>
      <c r="AP247" s="1117"/>
      <c r="AQ247" s="3"/>
      <c r="AR247" s="3"/>
      <c r="AS247" s="97"/>
      <c r="AT247" s="97"/>
      <c r="AU247" s="97"/>
      <c r="AV247" s="97"/>
      <c r="AW247" s="97"/>
      <c r="AX247" s="97"/>
    </row>
    <row r="248" spans="2:81" s="795" customFormat="1" ht="16.5">
      <c r="B248" s="1117"/>
      <c r="C248" s="552" t="s">
        <v>4403</v>
      </c>
      <c r="D248" s="553"/>
      <c r="E248" s="973">
        <f t="shared" si="74"/>
        <v>0</v>
      </c>
      <c r="F248" s="972"/>
      <c r="G248" s="972"/>
      <c r="H248" s="800"/>
      <c r="I248" s="973">
        <f>IF('11. Unit Mix'!$G$142&lt;&gt;0,+E248/'11. Unit Mix'!$G$142,0)</f>
        <v>0</v>
      </c>
      <c r="J248" s="973">
        <f t="shared" si="73"/>
        <v>0</v>
      </c>
      <c r="K248" s="155"/>
      <c r="L248" s="155"/>
      <c r="M248" s="155"/>
      <c r="N248" s="549"/>
      <c r="O248" s="549"/>
      <c r="P248" s="549"/>
      <c r="Q248" s="549"/>
      <c r="R248" s="549"/>
      <c r="S248" s="549"/>
      <c r="T248" s="549"/>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1117"/>
      <c r="AQ248" s="3"/>
      <c r="AR248" s="3"/>
      <c r="AS248" s="97"/>
      <c r="AT248" s="97"/>
      <c r="AU248" s="97"/>
      <c r="AV248" s="97"/>
      <c r="AW248" s="97"/>
      <c r="AX248" s="97"/>
    </row>
    <row r="249" spans="2:81" s="796" customFormat="1">
      <c r="B249" s="1117"/>
      <c r="C249" s="552" t="s">
        <v>4404</v>
      </c>
      <c r="D249" s="553"/>
      <c r="E249" s="973">
        <f t="shared" si="74"/>
        <v>0</v>
      </c>
      <c r="F249" s="972"/>
      <c r="G249" s="972"/>
      <c r="H249" s="800"/>
      <c r="I249" s="973">
        <f>IF('11. Unit Mix'!$G$142&lt;&gt;0,+E249/'11. Unit Mix'!$G$142,0)</f>
        <v>0</v>
      </c>
      <c r="J249" s="973">
        <f t="shared" si="73"/>
        <v>0</v>
      </c>
      <c r="K249" s="155"/>
      <c r="L249" s="155"/>
      <c r="M249" s="155"/>
      <c r="N249" s="942"/>
      <c r="O249" s="942"/>
      <c r="P249" s="942"/>
      <c r="Q249" s="942"/>
      <c r="R249" s="942"/>
      <c r="S249" s="942"/>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1117"/>
      <c r="AQ249" s="3"/>
      <c r="AR249" s="3"/>
      <c r="AS249" s="97"/>
      <c r="AT249" s="97"/>
      <c r="AU249" s="97"/>
      <c r="AV249" s="97"/>
      <c r="AW249" s="97"/>
      <c r="AX249" s="97"/>
    </row>
    <row r="250" spans="2:81" s="795" customFormat="1" ht="16.5">
      <c r="B250" s="1117"/>
      <c r="C250" s="550" t="s">
        <v>4405</v>
      </c>
      <c r="D250" s="557"/>
      <c r="E250" s="562">
        <f>+E240+E232+E222+E215+E207+E199+E181+E166+E156+E148+E138+E124+E114+E103+E92+E79+E69+E60+E52+E41+E31+E19+E7+E192+E173</f>
        <v>0</v>
      </c>
      <c r="F250" s="562">
        <f t="shared" ref="F250:H250" si="75">+F240+F232+F222+F215+F207+F199+F181+F166+F156+F148+F138+F124+F114+F103+F92+F79+F69+F60+F52+F41+F31+F19+F7+F192+F173</f>
        <v>0</v>
      </c>
      <c r="G250" s="562">
        <f t="shared" si="75"/>
        <v>0</v>
      </c>
      <c r="H250" s="562">
        <f t="shared" si="75"/>
        <v>0</v>
      </c>
      <c r="I250" s="562">
        <f>IF('11. Unit Mix'!$G$142&lt;&gt;0,+E250/'11. Unit Mix'!$G$142,0)</f>
        <v>0</v>
      </c>
      <c r="J250" s="562">
        <f t="shared" si="73"/>
        <v>0</v>
      </c>
      <c r="K250" s="155"/>
      <c r="L250" s="155"/>
      <c r="M250" s="155"/>
      <c r="N250" s="549"/>
      <c r="O250" s="549"/>
      <c r="P250" s="549"/>
      <c r="Q250" s="549"/>
      <c r="R250" s="549"/>
      <c r="S250" s="549"/>
      <c r="T250" s="549"/>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1117"/>
      <c r="AQ250" s="3"/>
      <c r="AR250" s="3"/>
      <c r="AS250" s="97"/>
      <c r="AT250" s="97"/>
      <c r="AU250" s="97"/>
      <c r="AV250" s="97"/>
      <c r="AW250" s="97"/>
      <c r="AX250" s="97"/>
    </row>
    <row r="251" spans="2:81" s="795" customFormat="1" ht="16.5">
      <c r="B251" s="1117"/>
      <c r="C251" s="1118"/>
      <c r="D251" s="1118"/>
      <c r="E251" s="1118"/>
      <c r="F251" s="1118"/>
      <c r="G251" s="1118"/>
      <c r="H251" s="1118"/>
      <c r="I251" s="1118"/>
      <c r="J251" s="1118"/>
      <c r="K251" s="155"/>
      <c r="L251" s="155"/>
      <c r="M251" s="155"/>
      <c r="N251" s="549"/>
      <c r="O251" s="549"/>
      <c r="P251" s="549"/>
      <c r="Q251" s="549"/>
      <c r="R251" s="549"/>
      <c r="S251" s="549"/>
      <c r="T251" s="549"/>
      <c r="U251" s="549"/>
      <c r="V251" s="549"/>
      <c r="W251" s="549"/>
      <c r="X251" s="549"/>
      <c r="Y251" s="549"/>
      <c r="Z251" s="549"/>
      <c r="AA251" s="549"/>
      <c r="AB251" s="549"/>
      <c r="AC251" s="549"/>
      <c r="AD251" s="549"/>
      <c r="AE251" s="549"/>
      <c r="AF251" s="549"/>
      <c r="AG251" s="549"/>
      <c r="AH251" s="549"/>
      <c r="AI251" s="549"/>
      <c r="AJ251" s="549"/>
      <c r="AK251" s="549"/>
      <c r="AL251" s="549"/>
      <c r="AM251" s="549"/>
      <c r="AN251" s="549"/>
      <c r="AO251" s="549"/>
      <c r="AP251" s="1117"/>
      <c r="AQ251" s="399"/>
      <c r="AR251" s="3"/>
      <c r="AS251" s="97"/>
      <c r="AT251" s="97"/>
      <c r="AU251" s="97"/>
      <c r="AV251" s="97"/>
      <c r="AW251" s="97"/>
      <c r="AX251" s="97"/>
    </row>
    <row r="252" spans="2:81" s="795" customFormat="1" ht="16.5" hidden="1">
      <c r="B252" s="1117"/>
      <c r="C252" s="550" t="s">
        <v>4406</v>
      </c>
      <c r="D252" s="435">
        <v>0</v>
      </c>
      <c r="E252" s="562">
        <f>+$D252*E250</f>
        <v>0</v>
      </c>
      <c r="F252" s="562">
        <f t="shared" ref="F252:H252" si="76">+$D252*F250</f>
        <v>0</v>
      </c>
      <c r="G252" s="562">
        <f t="shared" si="76"/>
        <v>0</v>
      </c>
      <c r="H252" s="562">
        <f t="shared" si="76"/>
        <v>0</v>
      </c>
      <c r="I252" s="155"/>
      <c r="J252" s="155"/>
      <c r="K252" s="155"/>
      <c r="L252" s="155"/>
      <c r="M252" s="155"/>
      <c r="N252" s="549"/>
      <c r="O252" s="549"/>
      <c r="P252" s="549"/>
      <c r="Q252" s="549"/>
      <c r="R252" s="549"/>
      <c r="S252" s="549"/>
      <c r="T252" s="549"/>
      <c r="U252" s="549"/>
      <c r="V252" s="549"/>
      <c r="W252" s="549"/>
      <c r="X252" s="549"/>
      <c r="Y252" s="549"/>
      <c r="Z252" s="549"/>
      <c r="AA252" s="549"/>
      <c r="AB252" s="549"/>
      <c r="AC252" s="549"/>
      <c r="AD252" s="549"/>
      <c r="AE252" s="549"/>
      <c r="AF252" s="549"/>
      <c r="AG252" s="549"/>
      <c r="AH252" s="549"/>
      <c r="AI252" s="549"/>
      <c r="AJ252" s="549"/>
      <c r="AK252" s="549"/>
      <c r="AL252" s="549"/>
      <c r="AM252" s="549"/>
      <c r="AN252" s="549"/>
      <c r="AO252" s="549"/>
      <c r="AP252" s="1117"/>
      <c r="AQ252" s="689"/>
      <c r="AR252" s="3"/>
      <c r="AS252" s="97"/>
      <c r="AT252" s="97"/>
      <c r="AU252" s="97"/>
      <c r="AV252" s="97"/>
      <c r="AW252" s="97"/>
      <c r="AX252" s="97"/>
    </row>
    <row r="253" spans="2:81" s="795" customFormat="1" ht="16.5" hidden="1">
      <c r="B253" s="1117"/>
      <c r="C253" s="550" t="s">
        <v>4407</v>
      </c>
      <c r="D253" s="435">
        <v>0</v>
      </c>
      <c r="E253" s="562">
        <f>+$D253*E250</f>
        <v>0</v>
      </c>
      <c r="F253" s="562">
        <f t="shared" ref="F253:H253" si="77">+$D253*F250</f>
        <v>0</v>
      </c>
      <c r="G253" s="562">
        <f t="shared" si="77"/>
        <v>0</v>
      </c>
      <c r="H253" s="562">
        <f t="shared" si="77"/>
        <v>0</v>
      </c>
      <c r="I253" s="155"/>
      <c r="J253" s="155"/>
      <c r="K253" s="155"/>
      <c r="L253" s="155"/>
      <c r="M253" s="155"/>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1117"/>
      <c r="AQ253" s="689"/>
      <c r="AR253" s="3"/>
      <c r="AS253" s="97"/>
      <c r="AT253" s="97"/>
      <c r="AU253" s="97"/>
      <c r="AV253" s="97"/>
      <c r="AW253" s="97"/>
      <c r="AX253" s="97"/>
    </row>
    <row r="254" spans="2:81" s="795" customFormat="1" ht="16.5">
      <c r="B254" s="1117"/>
      <c r="C254" s="550" t="s">
        <v>4408</v>
      </c>
      <c r="D254" s="557"/>
      <c r="E254" s="562">
        <f>+E253+E250</f>
        <v>0</v>
      </c>
      <c r="F254" s="562">
        <f t="shared" ref="F254:H254" si="78">+F253+F250</f>
        <v>0</v>
      </c>
      <c r="G254" s="562">
        <f t="shared" si="78"/>
        <v>0</v>
      </c>
      <c r="H254" s="562">
        <f t="shared" si="78"/>
        <v>0</v>
      </c>
      <c r="I254" s="1118"/>
      <c r="J254" s="1118"/>
      <c r="K254" s="155"/>
      <c r="L254" s="155"/>
      <c r="M254" s="155"/>
      <c r="N254" s="549"/>
      <c r="O254" s="549"/>
      <c r="P254" s="549"/>
      <c r="Q254" s="549"/>
      <c r="R254" s="549"/>
      <c r="S254" s="549"/>
      <c r="T254" s="549"/>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1117"/>
      <c r="AQ254" s="399"/>
      <c r="AR254" s="3"/>
      <c r="AS254" s="97"/>
      <c r="AT254" s="97"/>
      <c r="AU254" s="97"/>
      <c r="AV254" s="97"/>
      <c r="AW254" s="97"/>
      <c r="AX254" s="97"/>
    </row>
    <row r="255" spans="2:81" s="549" customFormat="1" ht="16.5" hidden="1">
      <c r="B255" s="1117"/>
      <c r="C255" s="155"/>
      <c r="D255" s="155"/>
      <c r="E255" s="155"/>
      <c r="F255" s="155"/>
      <c r="G255" s="155"/>
      <c r="H255" s="155"/>
      <c r="I255" s="155"/>
      <c r="J255" s="155"/>
      <c r="K255" s="155"/>
      <c r="L255" s="155"/>
      <c r="M255" s="155"/>
      <c r="AP255" s="524"/>
      <c r="AQ255" s="242"/>
      <c r="AR255" s="3"/>
      <c r="AS255" s="97"/>
      <c r="AT255" s="97"/>
      <c r="AU255" s="97"/>
      <c r="AV255" s="97"/>
      <c r="AW255" s="97"/>
      <c r="AX255" s="97"/>
    </row>
    <row r="256" spans="2:81" s="399" customFormat="1" ht="15.75" hidden="1" customHeight="1">
      <c r="B256" s="1117"/>
      <c r="C256" s="21"/>
      <c r="D256" s="521"/>
      <c r="E256" s="696"/>
      <c r="F256" s="1750"/>
      <c r="G256" s="643"/>
      <c r="H256" s="522"/>
      <c r="I256" s="523"/>
      <c r="J256" s="523"/>
      <c r="K256" s="523"/>
      <c r="L256" s="523"/>
      <c r="M256" s="523"/>
      <c r="N256" s="523"/>
      <c r="O256" s="523"/>
      <c r="P256" s="523"/>
      <c r="Q256" s="523"/>
      <c r="R256" s="523"/>
      <c r="S256" s="523"/>
      <c r="T256" s="523"/>
      <c r="U256" s="523"/>
      <c r="V256" s="242"/>
      <c r="W256" s="643"/>
      <c r="X256" s="643"/>
      <c r="Y256" s="643"/>
      <c r="Z256" s="643"/>
      <c r="AA256" s="643"/>
      <c r="AB256" s="643"/>
      <c r="AC256" s="643"/>
      <c r="AD256" s="643"/>
      <c r="AE256" s="643"/>
      <c r="AF256" s="643"/>
      <c r="AG256" s="643"/>
      <c r="AH256" s="643"/>
      <c r="AI256" s="643"/>
      <c r="AJ256" s="523"/>
      <c r="AK256" s="242"/>
      <c r="AL256" s="643"/>
      <c r="AM256" s="643"/>
      <c r="AN256" s="643"/>
      <c r="AO256" s="643"/>
      <c r="AP256" s="524"/>
      <c r="AQ256" s="242"/>
      <c r="AR256" s="3"/>
      <c r="AS256" s="97"/>
      <c r="AT256" s="97"/>
      <c r="AU256" s="97"/>
      <c r="AV256" s="97"/>
      <c r="AW256" s="97"/>
      <c r="AX256" s="97"/>
      <c r="AY256" s="97"/>
      <c r="AZ256" s="97"/>
      <c r="BA256" s="97"/>
      <c r="BB256" s="97"/>
      <c r="BC256" s="97"/>
      <c r="BD256" s="97"/>
      <c r="BE256" s="97"/>
      <c r="BF256" s="97"/>
      <c r="BG256" s="97"/>
      <c r="BH256" s="97"/>
      <c r="BI256" s="97"/>
      <c r="BJ256" s="97"/>
      <c r="BK256" s="97"/>
      <c r="BL256" s="97"/>
      <c r="BM256" s="3"/>
      <c r="BN256" s="3"/>
      <c r="BO256" s="3"/>
      <c r="BP256" s="3"/>
      <c r="BQ256" s="3"/>
      <c r="BR256" s="3"/>
      <c r="BS256" s="3"/>
      <c r="BT256" s="3"/>
      <c r="BU256" s="3"/>
      <c r="BV256" s="3"/>
      <c r="BW256" s="3"/>
      <c r="BX256" s="3"/>
      <c r="BY256" s="3"/>
      <c r="BZ256" s="3"/>
      <c r="CA256" s="3"/>
      <c r="CB256" s="3"/>
      <c r="CC256" s="3"/>
    </row>
    <row r="257" spans="2:80" s="402" customFormat="1" ht="30" hidden="1" customHeight="1">
      <c r="B257" s="1117"/>
      <c r="C257" s="525"/>
      <c r="D257" s="526"/>
      <c r="E257" s="527"/>
      <c r="F257" s="625"/>
      <c r="G257" s="400" t="s">
        <v>4409</v>
      </c>
      <c r="H257" s="400" t="s">
        <v>819</v>
      </c>
      <c r="I257" s="400" t="s">
        <v>4410</v>
      </c>
      <c r="J257" s="400">
        <f>Building_Address_3</f>
        <v>0</v>
      </c>
      <c r="K257" s="400">
        <f>Building_Address_4</f>
        <v>0</v>
      </c>
      <c r="L257" s="400">
        <f>Building_Address_5</f>
        <v>0</v>
      </c>
      <c r="M257" s="400">
        <f>Building_Address_6</f>
        <v>0</v>
      </c>
      <c r="N257" s="400">
        <f>Building_Address_7</f>
        <v>0</v>
      </c>
      <c r="O257" s="400">
        <f>Building_Address_8</f>
        <v>0</v>
      </c>
      <c r="P257" s="400">
        <f>Building_Address_9</f>
        <v>0</v>
      </c>
      <c r="Q257" s="400">
        <f>Building_Address_10</f>
        <v>0</v>
      </c>
      <c r="R257" s="400">
        <f>Building_Address_11</f>
        <v>0</v>
      </c>
      <c r="S257" s="400">
        <f>Building_Address_12</f>
        <v>0</v>
      </c>
      <c r="T257" s="400">
        <f>Building_Address_13</f>
        <v>0</v>
      </c>
      <c r="U257" s="400">
        <f>Building_Address_14</f>
        <v>0</v>
      </c>
      <c r="V257" s="400">
        <f>Building_Address_15</f>
        <v>0</v>
      </c>
      <c r="W257" s="400">
        <f>Building_Address_16</f>
        <v>0</v>
      </c>
      <c r="X257" s="400">
        <f>Building_Address_17</f>
        <v>0</v>
      </c>
      <c r="Y257" s="400">
        <f>Building_Address_18</f>
        <v>0</v>
      </c>
      <c r="Z257" s="400">
        <f>Building_Address_19</f>
        <v>0</v>
      </c>
      <c r="AA257" s="400">
        <f>Building_Address_20</f>
        <v>0</v>
      </c>
      <c r="AB257" s="400">
        <f>Building_Address_21</f>
        <v>0</v>
      </c>
      <c r="AC257" s="400">
        <f>Building_Address_22</f>
        <v>0</v>
      </c>
      <c r="AD257" s="400">
        <f>Building_Address_23</f>
        <v>0</v>
      </c>
      <c r="AE257" s="400">
        <f>Building_Address_24</f>
        <v>0</v>
      </c>
      <c r="AF257" s="400">
        <f>Building_Address_25</f>
        <v>0</v>
      </c>
      <c r="AG257" s="400">
        <f>Building_Address_26</f>
        <v>0</v>
      </c>
      <c r="AH257" s="400">
        <f>Building_Address_27</f>
        <v>0</v>
      </c>
      <c r="AI257" s="400">
        <f>Building_Address_28</f>
        <v>0</v>
      </c>
      <c r="AJ257" s="400">
        <f>Building_Address_29</f>
        <v>0</v>
      </c>
      <c r="AK257" s="400">
        <f>Building_Address_30</f>
        <v>0</v>
      </c>
      <c r="AL257" s="400">
        <f>Building_Address_31</f>
        <v>0</v>
      </c>
      <c r="AM257" s="400">
        <f>Building_Address_32</f>
        <v>0</v>
      </c>
      <c r="AN257" s="400">
        <f>Building_Address_33</f>
        <v>0</v>
      </c>
      <c r="AO257" s="400">
        <f>Building_Address_34</f>
        <v>0</v>
      </c>
      <c r="AP257" s="400" t="s">
        <v>4411</v>
      </c>
      <c r="AQ257" s="401" t="s">
        <v>4412</v>
      </c>
      <c r="AR257" s="797" t="s">
        <v>4413</v>
      </c>
      <c r="AS257" s="483"/>
      <c r="AT257" s="483"/>
      <c r="AU257" s="483"/>
      <c r="AV257" s="483"/>
      <c r="AW257" s="483"/>
      <c r="AX257" s="483"/>
      <c r="AY257" s="483"/>
      <c r="AZ257" s="483"/>
      <c r="BA257" s="483"/>
      <c r="BB257" s="483"/>
      <c r="BC257" s="483"/>
      <c r="BD257" s="483"/>
      <c r="BE257" s="483"/>
      <c r="BF257" s="483"/>
      <c r="BG257" s="483"/>
      <c r="BH257" s="483"/>
      <c r="BI257" s="483"/>
      <c r="BJ257" s="483"/>
      <c r="BK257" s="483"/>
      <c r="BL257" s="483"/>
      <c r="BM257" s="18"/>
      <c r="BN257" s="18"/>
      <c r="BO257" s="18"/>
      <c r="BP257" s="18"/>
      <c r="BQ257" s="18"/>
      <c r="BR257" s="18"/>
      <c r="BS257" s="18"/>
      <c r="BT257" s="18"/>
      <c r="BU257" s="18"/>
      <c r="BV257" s="18"/>
      <c r="BW257" s="18"/>
      <c r="BX257" s="18"/>
      <c r="BY257" s="18"/>
      <c r="BZ257" s="18"/>
      <c r="CA257" s="18"/>
      <c r="CB257" s="18"/>
    </row>
    <row r="258" spans="2:80" s="399" customFormat="1" ht="15" hidden="1" customHeight="1">
      <c r="B258" s="1117"/>
      <c r="C258" s="2223" t="s">
        <v>4414</v>
      </c>
      <c r="D258" s="2222" t="s">
        <v>4415</v>
      </c>
      <c r="E258" s="2204" t="s">
        <v>4416</v>
      </c>
      <c r="F258" s="2205"/>
      <c r="G258" s="429">
        <f t="shared" ref="G258:G265" si="79">+SUM(H258:AP258)</f>
        <v>0</v>
      </c>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c r="AN258" s="430"/>
      <c r="AO258" s="430"/>
      <c r="AP258" s="430"/>
      <c r="AQ258" s="431" t="e">
        <f>+G258/'11. Unit Mix'!$G$142</f>
        <v>#DIV/0!</v>
      </c>
      <c r="AR258" s="798" t="e">
        <f t="shared" ref="AR258:AR264" si="80">+G258/Total_Units</f>
        <v>#DIV/0!</v>
      </c>
      <c r="AS258" s="97"/>
      <c r="AT258" s="97"/>
      <c r="AU258" s="97"/>
      <c r="AV258" s="97"/>
      <c r="AW258" s="97"/>
      <c r="AX258" s="97"/>
      <c r="AY258" s="97"/>
      <c r="AZ258" s="97"/>
      <c r="BA258" s="97"/>
      <c r="BB258" s="97"/>
      <c r="BC258" s="97"/>
      <c r="BD258" s="97"/>
      <c r="BE258" s="97"/>
      <c r="BF258" s="97"/>
      <c r="BG258" s="97"/>
      <c r="BH258" s="97"/>
      <c r="BI258" s="97"/>
      <c r="BJ258" s="97"/>
      <c r="BK258" s="97"/>
      <c r="BL258" s="97"/>
      <c r="BM258" s="3"/>
      <c r="BN258" s="3"/>
      <c r="BO258" s="3"/>
      <c r="BP258" s="3"/>
      <c r="BQ258" s="3"/>
      <c r="BR258" s="3"/>
      <c r="BS258" s="3"/>
      <c r="BT258" s="3"/>
      <c r="BU258" s="3"/>
      <c r="BV258" s="3"/>
      <c r="BW258" s="3"/>
      <c r="BX258" s="3"/>
      <c r="BY258" s="3"/>
      <c r="BZ258" s="3"/>
      <c r="CA258" s="3"/>
      <c r="CB258" s="3"/>
    </row>
    <row r="259" spans="2:80" s="399" customFormat="1" ht="15" hidden="1">
      <c r="B259" s="1117"/>
      <c r="C259" s="2224"/>
      <c r="D259" s="2222"/>
      <c r="E259" s="2204" t="s">
        <v>4417</v>
      </c>
      <c r="F259" s="2205"/>
      <c r="G259" s="429">
        <f t="shared" si="79"/>
        <v>0</v>
      </c>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c r="AP259" s="430"/>
      <c r="AQ259" s="431" t="e">
        <f>+G259/'11. Unit Mix'!$G$142</f>
        <v>#DIV/0!</v>
      </c>
      <c r="AR259" s="798" t="e">
        <f t="shared" si="80"/>
        <v>#DIV/0!</v>
      </c>
      <c r="AS259" s="97"/>
      <c r="AT259" s="97"/>
      <c r="AU259" s="97"/>
      <c r="AV259" s="97"/>
      <c r="AW259" s="97"/>
      <c r="AX259" s="97"/>
      <c r="AY259" s="97"/>
      <c r="AZ259" s="97"/>
      <c r="BA259" s="97"/>
      <c r="BB259" s="97"/>
      <c r="BC259" s="97"/>
      <c r="BD259" s="97"/>
      <c r="BE259" s="97"/>
      <c r="BF259" s="97"/>
      <c r="BG259" s="97"/>
      <c r="BH259" s="97"/>
      <c r="BI259" s="97"/>
      <c r="BJ259" s="97"/>
      <c r="BK259" s="97"/>
      <c r="BL259" s="97"/>
      <c r="BM259" s="3"/>
      <c r="BN259" s="3"/>
      <c r="BO259" s="3"/>
      <c r="BP259" s="3"/>
      <c r="BQ259" s="3"/>
      <c r="BR259" s="3"/>
      <c r="BS259" s="3"/>
      <c r="BT259" s="3"/>
      <c r="BU259" s="3"/>
      <c r="BV259" s="3"/>
      <c r="BW259" s="3"/>
      <c r="BX259" s="3"/>
      <c r="BY259" s="3"/>
      <c r="BZ259" s="3"/>
      <c r="CA259" s="3"/>
      <c r="CB259" s="3"/>
    </row>
    <row r="260" spans="2:80" s="399" customFormat="1" ht="15" hidden="1">
      <c r="B260" s="1117"/>
      <c r="C260" s="2224"/>
      <c r="D260" s="2222"/>
      <c r="E260" s="2204" t="s">
        <v>4418</v>
      </c>
      <c r="F260" s="2205"/>
      <c r="G260" s="429">
        <f t="shared" si="79"/>
        <v>0</v>
      </c>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c r="AN260" s="430"/>
      <c r="AO260" s="430"/>
      <c r="AP260" s="430"/>
      <c r="AQ260" s="431" t="e">
        <f>+G260/'11. Unit Mix'!$G$142</f>
        <v>#DIV/0!</v>
      </c>
      <c r="AR260" s="798" t="e">
        <f t="shared" si="80"/>
        <v>#DIV/0!</v>
      </c>
      <c r="AS260" s="97"/>
      <c r="AT260" s="97"/>
      <c r="AU260" s="97"/>
      <c r="AV260" s="97"/>
      <c r="AW260" s="97"/>
      <c r="AX260" s="97"/>
      <c r="AY260" s="97"/>
      <c r="AZ260" s="97"/>
      <c r="BA260" s="97"/>
      <c r="BB260" s="97"/>
      <c r="BC260" s="97"/>
      <c r="BD260" s="97"/>
      <c r="BE260" s="97"/>
      <c r="BF260" s="97"/>
      <c r="BG260" s="97"/>
      <c r="BH260" s="97"/>
      <c r="BI260" s="97"/>
      <c r="BJ260" s="97"/>
      <c r="BK260" s="97"/>
      <c r="BL260" s="97"/>
      <c r="BM260" s="3"/>
      <c r="BN260" s="3"/>
      <c r="BO260" s="3"/>
      <c r="BP260" s="3"/>
      <c r="BQ260" s="3"/>
      <c r="BR260" s="3"/>
      <c r="BS260" s="3"/>
      <c r="BT260" s="3"/>
      <c r="BU260" s="3"/>
      <c r="BV260" s="3"/>
      <c r="BW260" s="3"/>
      <c r="BX260" s="3"/>
      <c r="BY260" s="3"/>
      <c r="BZ260" s="3"/>
      <c r="CA260" s="3"/>
      <c r="CB260" s="3"/>
    </row>
    <row r="261" spans="2:80" s="399" customFormat="1" ht="15" hidden="1" customHeight="1">
      <c r="B261" s="1117"/>
      <c r="C261" s="2224"/>
      <c r="D261" s="2222" t="s">
        <v>4419</v>
      </c>
      <c r="E261" s="2204" t="s">
        <v>4420</v>
      </c>
      <c r="F261" s="2205"/>
      <c r="G261" s="429">
        <f t="shared" si="79"/>
        <v>0</v>
      </c>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c r="AN261" s="430"/>
      <c r="AO261" s="430"/>
      <c r="AP261" s="430"/>
      <c r="AQ261" s="431" t="e">
        <f>+G261/'11. Unit Mix'!$G$142</f>
        <v>#DIV/0!</v>
      </c>
      <c r="AR261" s="798" t="e">
        <f t="shared" si="80"/>
        <v>#DIV/0!</v>
      </c>
      <c r="AS261" s="97"/>
      <c r="AT261" s="97"/>
      <c r="AU261" s="97"/>
      <c r="AV261" s="97"/>
      <c r="AW261" s="97"/>
      <c r="AX261" s="97"/>
      <c r="AY261" s="97"/>
      <c r="AZ261" s="97"/>
      <c r="BA261" s="97"/>
      <c r="BB261" s="97"/>
      <c r="BC261" s="97"/>
      <c r="BD261" s="97"/>
      <c r="BE261" s="97"/>
      <c r="BF261" s="97"/>
      <c r="BG261" s="97"/>
      <c r="BH261" s="97"/>
      <c r="BI261" s="97"/>
      <c r="BJ261" s="97"/>
      <c r="BK261" s="97"/>
      <c r="BL261" s="97"/>
      <c r="BM261" s="3"/>
      <c r="BN261" s="3"/>
      <c r="BO261" s="3"/>
      <c r="BP261" s="3"/>
      <c r="BQ261" s="3"/>
      <c r="BR261" s="3"/>
      <c r="BS261" s="3"/>
      <c r="BT261" s="3"/>
      <c r="BU261" s="3"/>
      <c r="BV261" s="3"/>
      <c r="BW261" s="3"/>
      <c r="BX261" s="3"/>
      <c r="BY261" s="3"/>
      <c r="BZ261" s="3"/>
      <c r="CA261" s="3"/>
      <c r="CB261" s="3"/>
    </row>
    <row r="262" spans="2:80" s="399" customFormat="1" ht="14.45" hidden="1" customHeight="1">
      <c r="B262" s="1117"/>
      <c r="C262" s="2224"/>
      <c r="D262" s="2222"/>
      <c r="E262" s="2204" t="s">
        <v>4421</v>
      </c>
      <c r="F262" s="2205"/>
      <c r="G262" s="429">
        <f t="shared" si="79"/>
        <v>0</v>
      </c>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c r="AN262" s="430"/>
      <c r="AO262" s="430"/>
      <c r="AP262" s="430"/>
      <c r="AQ262" s="431" t="e">
        <f>+G262/'11. Unit Mix'!$G$142</f>
        <v>#DIV/0!</v>
      </c>
      <c r="AR262" s="798" t="e">
        <f t="shared" si="80"/>
        <v>#DIV/0!</v>
      </c>
      <c r="AS262" s="97"/>
      <c r="AT262" s="97"/>
      <c r="AU262" s="97"/>
      <c r="AV262" s="97"/>
      <c r="AW262" s="97"/>
      <c r="AX262" s="97"/>
      <c r="AY262" s="97"/>
      <c r="AZ262" s="97"/>
      <c r="BA262" s="97"/>
      <c r="BB262" s="97"/>
      <c r="BC262" s="97"/>
      <c r="BD262" s="97"/>
      <c r="BE262" s="97"/>
      <c r="BF262" s="97"/>
      <c r="BG262" s="97"/>
      <c r="BH262" s="97"/>
      <c r="BI262" s="97"/>
      <c r="BJ262" s="97"/>
      <c r="BK262" s="97"/>
      <c r="BL262" s="97"/>
      <c r="BM262" s="3"/>
      <c r="BN262" s="3"/>
      <c r="BO262" s="3"/>
      <c r="BP262" s="3"/>
      <c r="BQ262" s="3"/>
      <c r="BR262" s="3"/>
      <c r="BS262" s="3"/>
      <c r="BT262" s="3"/>
      <c r="BU262" s="3"/>
      <c r="BV262" s="3"/>
      <c r="BW262" s="3"/>
      <c r="BX262" s="3"/>
      <c r="BY262" s="3"/>
      <c r="BZ262" s="3"/>
      <c r="CA262" s="3"/>
      <c r="CB262" s="3"/>
    </row>
    <row r="263" spans="2:80" s="399" customFormat="1" ht="15" hidden="1">
      <c r="B263" s="1117"/>
      <c r="C263" s="2224"/>
      <c r="D263" s="2222" t="s">
        <v>365</v>
      </c>
      <c r="E263" s="403" t="s">
        <v>365</v>
      </c>
      <c r="F263" s="404"/>
      <c r="G263" s="429">
        <f t="shared" si="79"/>
        <v>0</v>
      </c>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c r="AN263" s="430"/>
      <c r="AO263" s="430"/>
      <c r="AP263" s="430"/>
      <c r="AQ263" s="431" t="e">
        <f>+G263/'11. Unit Mix'!$G$142</f>
        <v>#DIV/0!</v>
      </c>
      <c r="AR263" s="798" t="e">
        <f t="shared" si="80"/>
        <v>#DIV/0!</v>
      </c>
      <c r="AS263" s="97"/>
      <c r="AT263" s="97"/>
      <c r="AU263" s="97"/>
      <c r="AV263" s="97"/>
      <c r="AW263" s="97"/>
      <c r="AX263" s="97"/>
      <c r="AY263" s="97"/>
      <c r="AZ263" s="97"/>
      <c r="BA263" s="97"/>
      <c r="BB263" s="97"/>
      <c r="BC263" s="97"/>
      <c r="BD263" s="97"/>
      <c r="BE263" s="97"/>
      <c r="BF263" s="97"/>
      <c r="BG263" s="97"/>
      <c r="BH263" s="97"/>
      <c r="BI263" s="97"/>
      <c r="BJ263" s="97"/>
      <c r="BK263" s="97"/>
      <c r="BL263" s="97"/>
      <c r="BM263" s="3"/>
      <c r="BN263" s="3"/>
      <c r="BO263" s="3"/>
      <c r="BP263" s="3"/>
      <c r="BQ263" s="3"/>
      <c r="BR263" s="3"/>
      <c r="BS263" s="3"/>
      <c r="BT263" s="3"/>
      <c r="BU263" s="3"/>
      <c r="BV263" s="3"/>
      <c r="BW263" s="3"/>
      <c r="BX263" s="3"/>
      <c r="BY263" s="3"/>
      <c r="BZ263" s="3"/>
      <c r="CA263" s="3"/>
      <c r="CB263" s="3"/>
    </row>
    <row r="264" spans="2:80" s="399" customFormat="1" ht="15" hidden="1">
      <c r="B264" s="1117"/>
      <c r="C264" s="2225"/>
      <c r="D264" s="2222"/>
      <c r="E264" s="403" t="s">
        <v>365</v>
      </c>
      <c r="F264" s="404"/>
      <c r="G264" s="429">
        <f t="shared" si="79"/>
        <v>0</v>
      </c>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c r="AN264" s="430"/>
      <c r="AO264" s="430"/>
      <c r="AP264" s="430"/>
      <c r="AQ264" s="431" t="e">
        <f>+G264/'11. Unit Mix'!$G$142</f>
        <v>#DIV/0!</v>
      </c>
      <c r="AR264" s="798" t="e">
        <f t="shared" si="80"/>
        <v>#DIV/0!</v>
      </c>
      <c r="AS264" s="97"/>
      <c r="AT264" s="97"/>
      <c r="AU264" s="97"/>
      <c r="AV264" s="97"/>
      <c r="AW264" s="97"/>
      <c r="AX264" s="97"/>
      <c r="AY264" s="97"/>
      <c r="AZ264" s="97"/>
      <c r="BA264" s="97"/>
      <c r="BB264" s="97"/>
      <c r="BC264" s="97"/>
      <c r="BD264" s="97"/>
      <c r="BE264" s="97"/>
      <c r="BF264" s="97"/>
      <c r="BG264" s="97"/>
      <c r="BH264" s="97"/>
      <c r="BI264" s="97"/>
      <c r="BJ264" s="97"/>
      <c r="BK264" s="97"/>
      <c r="BL264" s="97"/>
      <c r="BM264" s="3"/>
      <c r="BN264" s="3"/>
      <c r="BO264" s="3"/>
      <c r="BP264" s="3"/>
      <c r="BQ264" s="3"/>
      <c r="BR264" s="3"/>
      <c r="BS264" s="3"/>
      <c r="BT264" s="3"/>
      <c r="BU264" s="3"/>
      <c r="BV264" s="3"/>
      <c r="BW264" s="3"/>
      <c r="BX264" s="3"/>
      <c r="BY264" s="3"/>
      <c r="BZ264" s="3"/>
      <c r="CA264" s="3"/>
      <c r="CB264" s="3"/>
    </row>
    <row r="265" spans="2:80" s="399" customFormat="1" hidden="1">
      <c r="B265" s="1117"/>
      <c r="C265" s="525"/>
      <c r="D265" s="526"/>
      <c r="E265" s="2214" t="s">
        <v>4422</v>
      </c>
      <c r="F265" s="2215"/>
      <c r="G265" s="429">
        <f t="shared" si="79"/>
        <v>0</v>
      </c>
      <c r="H265" s="432">
        <f t="shared" ref="H265:AP265" si="81">SUM(H258:H264)</f>
        <v>0</v>
      </c>
      <c r="I265" s="432">
        <f t="shared" si="81"/>
        <v>0</v>
      </c>
      <c r="J265" s="432">
        <f t="shared" si="81"/>
        <v>0</v>
      </c>
      <c r="K265" s="432">
        <f t="shared" si="81"/>
        <v>0</v>
      </c>
      <c r="L265" s="432">
        <f t="shared" si="81"/>
        <v>0</v>
      </c>
      <c r="M265" s="432">
        <f t="shared" si="81"/>
        <v>0</v>
      </c>
      <c r="N265" s="432">
        <f t="shared" si="81"/>
        <v>0</v>
      </c>
      <c r="O265" s="432">
        <f t="shared" si="81"/>
        <v>0</v>
      </c>
      <c r="P265" s="432">
        <f t="shared" si="81"/>
        <v>0</v>
      </c>
      <c r="Q265" s="432">
        <f t="shared" si="81"/>
        <v>0</v>
      </c>
      <c r="R265" s="432">
        <f t="shared" si="81"/>
        <v>0</v>
      </c>
      <c r="S265" s="432">
        <f t="shared" si="81"/>
        <v>0</v>
      </c>
      <c r="T265" s="432">
        <f t="shared" si="81"/>
        <v>0</v>
      </c>
      <c r="U265" s="432">
        <f t="shared" si="81"/>
        <v>0</v>
      </c>
      <c r="V265" s="432">
        <f t="shared" si="81"/>
        <v>0</v>
      </c>
      <c r="W265" s="432">
        <f t="shared" si="81"/>
        <v>0</v>
      </c>
      <c r="X265" s="432">
        <f t="shared" si="81"/>
        <v>0</v>
      </c>
      <c r="Y265" s="432">
        <f t="shared" si="81"/>
        <v>0</v>
      </c>
      <c r="Z265" s="432">
        <f t="shared" si="81"/>
        <v>0</v>
      </c>
      <c r="AA265" s="432">
        <f t="shared" si="81"/>
        <v>0</v>
      </c>
      <c r="AB265" s="432">
        <f t="shared" si="81"/>
        <v>0</v>
      </c>
      <c r="AC265" s="432">
        <f t="shared" si="81"/>
        <v>0</v>
      </c>
      <c r="AD265" s="432">
        <f t="shared" si="81"/>
        <v>0</v>
      </c>
      <c r="AE265" s="432">
        <f t="shared" si="81"/>
        <v>0</v>
      </c>
      <c r="AF265" s="432">
        <f t="shared" si="81"/>
        <v>0</v>
      </c>
      <c r="AG265" s="432">
        <f t="shared" si="81"/>
        <v>0</v>
      </c>
      <c r="AH265" s="432">
        <f t="shared" si="81"/>
        <v>0</v>
      </c>
      <c r="AI265" s="432">
        <f t="shared" si="81"/>
        <v>0</v>
      </c>
      <c r="AJ265" s="432">
        <f t="shared" si="81"/>
        <v>0</v>
      </c>
      <c r="AK265" s="432">
        <f t="shared" si="81"/>
        <v>0</v>
      </c>
      <c r="AL265" s="432">
        <f t="shared" si="81"/>
        <v>0</v>
      </c>
      <c r="AM265" s="432">
        <f t="shared" si="81"/>
        <v>0</v>
      </c>
      <c r="AN265" s="432">
        <f t="shared" si="81"/>
        <v>0</v>
      </c>
      <c r="AO265" s="432">
        <f t="shared" si="81"/>
        <v>0</v>
      </c>
      <c r="AP265" s="432">
        <f t="shared" si="81"/>
        <v>0</v>
      </c>
      <c r="AQ265" s="534"/>
      <c r="AR265" s="433"/>
      <c r="AS265" s="97"/>
      <c r="AT265" s="97"/>
      <c r="AU265" s="97"/>
      <c r="AV265" s="97"/>
      <c r="AW265" s="97"/>
      <c r="AX265" s="97"/>
      <c r="AY265" s="97"/>
      <c r="AZ265" s="97"/>
      <c r="BA265" s="97"/>
      <c r="BB265" s="97"/>
      <c r="BC265" s="97"/>
      <c r="BD265" s="97"/>
      <c r="BE265" s="97"/>
      <c r="BF265" s="97"/>
      <c r="BG265" s="97"/>
      <c r="BH265" s="97"/>
      <c r="BI265" s="97"/>
      <c r="BJ265" s="97"/>
      <c r="BK265" s="97"/>
      <c r="BL265" s="97"/>
      <c r="BM265" s="3"/>
      <c r="BN265" s="3"/>
      <c r="BO265" s="3"/>
      <c r="BP265" s="3"/>
      <c r="BQ265" s="3"/>
      <c r="BR265" s="3"/>
      <c r="BS265" s="3"/>
      <c r="BT265" s="3"/>
      <c r="BU265" s="3"/>
      <c r="BV265" s="3"/>
      <c r="BW265" s="3"/>
      <c r="BX265" s="3"/>
      <c r="BY265" s="3"/>
      <c r="BZ265" s="3"/>
      <c r="CA265" s="3"/>
      <c r="CB265" s="3"/>
    </row>
    <row r="266" spans="2:80" s="399" customFormat="1" hidden="1">
      <c r="B266" s="1117"/>
      <c r="C266" s="528"/>
      <c r="D266" s="529"/>
      <c r="E266" s="530"/>
      <c r="F266" s="531"/>
      <c r="G266" s="532"/>
      <c r="H266" s="532"/>
      <c r="I266" s="532"/>
      <c r="J266" s="532"/>
      <c r="K266" s="532"/>
      <c r="L266" s="532"/>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c r="AM266" s="532"/>
      <c r="AN266" s="532"/>
      <c r="AO266" s="532"/>
      <c r="AP266" s="532"/>
      <c r="AQ266" s="533"/>
      <c r="AR266" s="799"/>
      <c r="AS266" s="97"/>
      <c r="AT266" s="97"/>
      <c r="AU266" s="97"/>
      <c r="AV266" s="97"/>
      <c r="AW266" s="97"/>
      <c r="AX266" s="97"/>
      <c r="AY266" s="97"/>
      <c r="AZ266" s="97"/>
      <c r="BA266" s="97"/>
      <c r="BB266" s="97"/>
      <c r="BC266" s="97"/>
      <c r="BD266" s="97"/>
      <c r="BE266" s="97"/>
      <c r="BF266" s="97"/>
      <c r="BG266" s="97"/>
      <c r="BH266" s="97"/>
      <c r="BI266" s="97"/>
      <c r="BJ266" s="97"/>
      <c r="BK266" s="97"/>
      <c r="BL266" s="97"/>
      <c r="BM266" s="3"/>
      <c r="BN266" s="3"/>
      <c r="BO266" s="3"/>
      <c r="BP266" s="3"/>
      <c r="BQ266" s="3"/>
      <c r="BR266" s="3"/>
      <c r="BS266" s="3"/>
      <c r="BT266" s="3"/>
      <c r="BU266" s="3"/>
      <c r="BV266" s="3"/>
      <c r="BW266" s="3"/>
      <c r="BX266" s="3"/>
      <c r="BY266" s="3"/>
      <c r="BZ266" s="3"/>
      <c r="CA266" s="3"/>
      <c r="CB266" s="3"/>
    </row>
    <row r="267" spans="2:80" s="399" customFormat="1" ht="14.45" hidden="1" customHeight="1">
      <c r="B267" s="1117"/>
      <c r="C267" s="2216" t="s">
        <v>4423</v>
      </c>
      <c r="D267" s="2206" t="s">
        <v>4424</v>
      </c>
      <c r="E267" s="2204" t="s">
        <v>4425</v>
      </c>
      <c r="F267" s="2205"/>
      <c r="G267" s="429">
        <f t="shared" ref="G267:G276" si="82">+SUM(H267:AP267)</f>
        <v>0</v>
      </c>
      <c r="H267" s="430"/>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c r="AN267" s="430"/>
      <c r="AO267" s="430"/>
      <c r="AP267" s="430"/>
      <c r="AQ267" s="431" t="e">
        <f>+G267/'11. Unit Mix'!$G$142</f>
        <v>#DIV/0!</v>
      </c>
      <c r="AR267" s="798" t="e">
        <f t="shared" ref="AR267:AR275" si="83">+G267/Total_Units</f>
        <v>#DIV/0!</v>
      </c>
      <c r="AS267" s="97"/>
      <c r="AT267" s="97"/>
      <c r="AU267" s="97"/>
      <c r="AV267" s="97"/>
      <c r="AW267" s="97"/>
      <c r="AX267" s="97"/>
      <c r="AY267" s="97"/>
      <c r="AZ267" s="97"/>
      <c r="BA267" s="97"/>
      <c r="BB267" s="97"/>
      <c r="BC267" s="97"/>
      <c r="BD267" s="97"/>
      <c r="BE267" s="97"/>
      <c r="BF267" s="97"/>
      <c r="BG267" s="97"/>
      <c r="BH267" s="97"/>
      <c r="BI267" s="97"/>
      <c r="BJ267" s="97"/>
      <c r="BK267" s="97"/>
      <c r="BL267" s="97"/>
      <c r="BM267" s="3"/>
      <c r="BN267" s="3"/>
      <c r="BO267" s="3"/>
      <c r="BP267" s="3"/>
      <c r="BQ267" s="3"/>
      <c r="BR267" s="3"/>
      <c r="BS267" s="3"/>
      <c r="BT267" s="3"/>
      <c r="BU267" s="3"/>
      <c r="BV267" s="3"/>
      <c r="BW267" s="3"/>
      <c r="BX267" s="3"/>
      <c r="BY267" s="3"/>
      <c r="BZ267" s="3"/>
      <c r="CA267" s="3"/>
      <c r="CB267" s="3"/>
    </row>
    <row r="268" spans="2:80" s="399" customFormat="1" ht="15" hidden="1">
      <c r="B268" s="1117"/>
      <c r="C268" s="2217"/>
      <c r="D268" s="2203"/>
      <c r="E268" s="2204" t="s">
        <v>4426</v>
      </c>
      <c r="F268" s="2205"/>
      <c r="G268" s="429">
        <f t="shared" si="82"/>
        <v>0</v>
      </c>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c r="AN268" s="430"/>
      <c r="AO268" s="430"/>
      <c r="AP268" s="430"/>
      <c r="AQ268" s="431" t="e">
        <f>+G268/'11. Unit Mix'!$G$142</f>
        <v>#DIV/0!</v>
      </c>
      <c r="AR268" s="798" t="e">
        <f t="shared" si="83"/>
        <v>#DIV/0!</v>
      </c>
      <c r="AS268" s="97"/>
      <c r="AT268" s="97"/>
      <c r="AU268" s="97"/>
      <c r="AV268" s="97"/>
      <c r="AW268" s="97"/>
      <c r="AX268" s="97"/>
      <c r="AY268" s="97"/>
      <c r="AZ268" s="97"/>
      <c r="BA268" s="97"/>
      <c r="BB268" s="97"/>
      <c r="BC268" s="97"/>
      <c r="BD268" s="97"/>
      <c r="BE268" s="97"/>
      <c r="BF268" s="97"/>
      <c r="BG268" s="97"/>
      <c r="BH268" s="97"/>
      <c r="BI268" s="97"/>
      <c r="BJ268" s="97"/>
      <c r="BK268" s="97"/>
      <c r="BL268" s="97"/>
      <c r="BM268" s="3"/>
      <c r="BN268" s="3"/>
      <c r="BO268" s="3"/>
      <c r="BP268" s="3"/>
      <c r="BQ268" s="3"/>
      <c r="BR268" s="3"/>
      <c r="BS268" s="3"/>
      <c r="BT268" s="3"/>
      <c r="BU268" s="3"/>
      <c r="BV268" s="3"/>
      <c r="BW268" s="3"/>
      <c r="BX268" s="3"/>
      <c r="BY268" s="3"/>
      <c r="BZ268" s="3"/>
      <c r="CA268" s="3"/>
      <c r="CB268" s="3"/>
    </row>
    <row r="269" spans="2:80" s="399" customFormat="1" ht="15" hidden="1">
      <c r="B269" s="1117"/>
      <c r="C269" s="2217"/>
      <c r="D269" s="2219" t="s">
        <v>4427</v>
      </c>
      <c r="E269" s="2204" t="s">
        <v>4428</v>
      </c>
      <c r="F269" s="2205"/>
      <c r="G269" s="429">
        <f t="shared" si="82"/>
        <v>0</v>
      </c>
      <c r="H269" s="430"/>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c r="AP269" s="430"/>
      <c r="AQ269" s="431" t="e">
        <f>+G269/'11. Unit Mix'!$G$142</f>
        <v>#DIV/0!</v>
      </c>
      <c r="AR269" s="798" t="e">
        <f t="shared" si="83"/>
        <v>#DIV/0!</v>
      </c>
      <c r="AS269" s="97"/>
      <c r="AT269" s="97"/>
      <c r="AU269" s="97"/>
      <c r="AV269" s="97"/>
      <c r="AW269" s="97"/>
      <c r="AX269" s="97"/>
      <c r="AY269" s="97"/>
      <c r="AZ269" s="97"/>
      <c r="BA269" s="97"/>
      <c r="BB269" s="97"/>
      <c r="BC269" s="97"/>
      <c r="BD269" s="97"/>
      <c r="BE269" s="97"/>
      <c r="BF269" s="97"/>
      <c r="BG269" s="97"/>
      <c r="BH269" s="97"/>
      <c r="BI269" s="97"/>
      <c r="BJ269" s="97"/>
      <c r="BK269" s="97"/>
      <c r="BL269" s="97"/>
      <c r="BM269" s="3"/>
      <c r="BN269" s="3"/>
      <c r="BO269" s="3"/>
      <c r="BP269" s="3"/>
      <c r="BQ269" s="3"/>
      <c r="BR269" s="3"/>
      <c r="BS269" s="3"/>
      <c r="BT269" s="3"/>
      <c r="BU269" s="3"/>
      <c r="BV269" s="3"/>
      <c r="BW269" s="3"/>
      <c r="BX269" s="3"/>
      <c r="BY269" s="3"/>
      <c r="BZ269" s="3"/>
      <c r="CA269" s="3"/>
      <c r="CB269" s="3"/>
    </row>
    <row r="270" spans="2:80" s="399" customFormat="1" ht="15" hidden="1">
      <c r="B270" s="1117"/>
      <c r="C270" s="2217"/>
      <c r="D270" s="2220"/>
      <c r="E270" s="2204" t="s">
        <v>4429</v>
      </c>
      <c r="F270" s="2205"/>
      <c r="G270" s="429">
        <f t="shared" si="82"/>
        <v>0</v>
      </c>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c r="AP270" s="430"/>
      <c r="AQ270" s="431" t="e">
        <f>+G270/'11. Unit Mix'!$G$142</f>
        <v>#DIV/0!</v>
      </c>
      <c r="AR270" s="798" t="e">
        <f t="shared" si="83"/>
        <v>#DIV/0!</v>
      </c>
      <c r="AS270" s="97"/>
      <c r="AT270" s="97"/>
      <c r="AU270" s="97"/>
      <c r="AV270" s="97"/>
      <c r="AW270" s="97"/>
      <c r="AX270" s="97"/>
      <c r="AY270" s="97"/>
      <c r="AZ270" s="97"/>
      <c r="BA270" s="97"/>
      <c r="BB270" s="97"/>
      <c r="BC270" s="97"/>
      <c r="BD270" s="97"/>
      <c r="BE270" s="97"/>
      <c r="BF270" s="97"/>
      <c r="BG270" s="97"/>
      <c r="BH270" s="97"/>
      <c r="BI270" s="97"/>
      <c r="BJ270" s="97"/>
      <c r="BK270" s="97"/>
      <c r="BL270" s="97"/>
      <c r="BM270" s="3"/>
      <c r="BN270" s="3"/>
      <c r="BO270" s="3"/>
      <c r="BP270" s="3"/>
      <c r="BQ270" s="3"/>
      <c r="BR270" s="3"/>
      <c r="BS270" s="3"/>
      <c r="BT270" s="3"/>
      <c r="BU270" s="3"/>
      <c r="BV270" s="3"/>
      <c r="BW270" s="3"/>
      <c r="BX270" s="3"/>
      <c r="BY270" s="3"/>
      <c r="BZ270" s="3"/>
      <c r="CA270" s="3"/>
      <c r="CB270" s="3"/>
    </row>
    <row r="271" spans="2:80" s="399" customFormat="1" ht="15" hidden="1">
      <c r="B271" s="1117"/>
      <c r="C271" s="2217"/>
      <c r="D271" s="2221"/>
      <c r="E271" s="2204" t="s">
        <v>4430</v>
      </c>
      <c r="F271" s="2205"/>
      <c r="G271" s="429">
        <f t="shared" si="82"/>
        <v>0</v>
      </c>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1" t="e">
        <f>+G271/'11. Unit Mix'!$G$142</f>
        <v>#DIV/0!</v>
      </c>
      <c r="AR271" s="798" t="e">
        <f t="shared" si="83"/>
        <v>#DIV/0!</v>
      </c>
      <c r="AS271" s="97"/>
      <c r="AT271" s="97"/>
      <c r="AU271" s="97"/>
      <c r="AV271" s="97"/>
      <c r="AW271" s="97"/>
      <c r="AX271" s="97"/>
      <c r="AY271" s="97"/>
      <c r="AZ271" s="97"/>
      <c r="BA271" s="97"/>
      <c r="BB271" s="97"/>
      <c r="BC271" s="97"/>
      <c r="BD271" s="97"/>
      <c r="BE271" s="97"/>
      <c r="BF271" s="97"/>
      <c r="BG271" s="97"/>
      <c r="BH271" s="97"/>
      <c r="BI271" s="97"/>
      <c r="BJ271" s="97"/>
      <c r="BK271" s="97"/>
      <c r="BL271" s="97"/>
      <c r="BM271" s="3"/>
      <c r="BN271" s="3"/>
      <c r="BO271" s="3"/>
      <c r="BP271" s="3"/>
      <c r="BQ271" s="3"/>
      <c r="BR271" s="3"/>
      <c r="BS271" s="3"/>
      <c r="BT271" s="3"/>
      <c r="BU271" s="3"/>
      <c r="BV271" s="3"/>
      <c r="BW271" s="3"/>
      <c r="BX271" s="3"/>
      <c r="BY271" s="3"/>
      <c r="BZ271" s="3"/>
      <c r="CA271" s="3"/>
      <c r="CB271" s="3"/>
    </row>
    <row r="272" spans="2:80" s="399" customFormat="1" ht="15" hidden="1">
      <c r="B272" s="1117"/>
      <c r="C272" s="2217"/>
      <c r="D272" s="2206" t="s">
        <v>4431</v>
      </c>
      <c r="E272" s="2204" t="s">
        <v>4432</v>
      </c>
      <c r="F272" s="2205"/>
      <c r="G272" s="429">
        <f t="shared" si="82"/>
        <v>0</v>
      </c>
      <c r="H272" s="430"/>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c r="AP272" s="430"/>
      <c r="AQ272" s="431" t="e">
        <f>+G272/'11. Unit Mix'!$G$142</f>
        <v>#DIV/0!</v>
      </c>
      <c r="AR272" s="798" t="e">
        <f t="shared" si="83"/>
        <v>#DIV/0!</v>
      </c>
      <c r="AS272" s="97"/>
      <c r="AT272" s="97"/>
      <c r="AU272" s="97"/>
      <c r="AV272" s="97"/>
      <c r="AW272" s="97"/>
      <c r="AX272" s="97"/>
      <c r="AY272" s="97"/>
      <c r="AZ272" s="97"/>
      <c r="BA272" s="97"/>
      <c r="BB272" s="97"/>
      <c r="BC272" s="97"/>
      <c r="BD272" s="97"/>
      <c r="BE272" s="97"/>
      <c r="BF272" s="97"/>
      <c r="BG272" s="97"/>
      <c r="BH272" s="97"/>
      <c r="BI272" s="97"/>
      <c r="BJ272" s="97"/>
      <c r="BK272" s="97"/>
      <c r="BL272" s="97"/>
      <c r="BM272" s="3"/>
      <c r="BN272" s="3"/>
      <c r="BO272" s="3"/>
      <c r="BP272" s="3"/>
      <c r="BQ272" s="3"/>
      <c r="BR272" s="3"/>
      <c r="BS272" s="3"/>
      <c r="BT272" s="3"/>
      <c r="BU272" s="3"/>
      <c r="BV272" s="3"/>
      <c r="BW272" s="3"/>
      <c r="BX272" s="3"/>
      <c r="BY272" s="3"/>
      <c r="BZ272" s="3"/>
      <c r="CA272" s="3"/>
      <c r="CB272" s="3"/>
    </row>
    <row r="273" spans="2:80" s="399" customFormat="1" ht="15" hidden="1">
      <c r="B273" s="1117"/>
      <c r="C273" s="2217"/>
      <c r="D273" s="2203"/>
      <c r="E273" s="2204" t="s">
        <v>4433</v>
      </c>
      <c r="F273" s="2205"/>
      <c r="G273" s="429">
        <f t="shared" si="82"/>
        <v>0</v>
      </c>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c r="AP273" s="430"/>
      <c r="AQ273" s="431" t="e">
        <f>+G273/'11. Unit Mix'!$G$142</f>
        <v>#DIV/0!</v>
      </c>
      <c r="AR273" s="798" t="e">
        <f t="shared" si="83"/>
        <v>#DIV/0!</v>
      </c>
      <c r="AS273" s="97"/>
      <c r="AT273" s="97"/>
      <c r="AU273" s="97"/>
      <c r="AV273" s="97"/>
      <c r="AW273" s="97"/>
      <c r="AX273" s="97"/>
      <c r="AY273" s="97"/>
      <c r="AZ273" s="97"/>
      <c r="BA273" s="97"/>
      <c r="BB273" s="97"/>
      <c r="BC273" s="97"/>
      <c r="BD273" s="97"/>
      <c r="BE273" s="97"/>
      <c r="BF273" s="97"/>
      <c r="BG273" s="97"/>
      <c r="BH273" s="97"/>
      <c r="BI273" s="97"/>
      <c r="BJ273" s="97"/>
      <c r="BK273" s="97"/>
      <c r="BL273" s="97"/>
      <c r="BM273" s="3"/>
      <c r="BN273" s="3"/>
      <c r="BO273" s="3"/>
      <c r="BP273" s="3"/>
      <c r="BQ273" s="3"/>
      <c r="BR273" s="3"/>
      <c r="BS273" s="3"/>
      <c r="BT273" s="3"/>
      <c r="BU273" s="3"/>
      <c r="BV273" s="3"/>
      <c r="BW273" s="3"/>
      <c r="BX273" s="3"/>
      <c r="BY273" s="3"/>
      <c r="BZ273" s="3"/>
      <c r="CA273" s="3"/>
      <c r="CB273" s="3"/>
    </row>
    <row r="274" spans="2:80" s="399" customFormat="1" ht="15" hidden="1">
      <c r="B274" s="1117"/>
      <c r="C274" s="2217"/>
      <c r="D274" s="2206" t="s">
        <v>365</v>
      </c>
      <c r="E274" s="403" t="s">
        <v>365</v>
      </c>
      <c r="F274" s="404"/>
      <c r="G274" s="429">
        <f t="shared" si="82"/>
        <v>0</v>
      </c>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c r="AN274" s="430"/>
      <c r="AO274" s="430"/>
      <c r="AP274" s="430"/>
      <c r="AQ274" s="431" t="e">
        <f>+G274/'11. Unit Mix'!$G$142</f>
        <v>#DIV/0!</v>
      </c>
      <c r="AR274" s="798" t="e">
        <f t="shared" si="83"/>
        <v>#DIV/0!</v>
      </c>
      <c r="AS274" s="97"/>
      <c r="AT274" s="97"/>
      <c r="AU274" s="97"/>
      <c r="AV274" s="97"/>
      <c r="AW274" s="97"/>
      <c r="AX274" s="97"/>
      <c r="AY274" s="97"/>
      <c r="AZ274" s="97"/>
      <c r="BA274" s="97"/>
      <c r="BB274" s="97"/>
      <c r="BC274" s="97"/>
      <c r="BD274" s="97"/>
      <c r="BE274" s="97"/>
      <c r="BF274" s="97"/>
      <c r="BG274" s="97"/>
      <c r="BH274" s="97"/>
      <c r="BI274" s="97"/>
      <c r="BJ274" s="97"/>
      <c r="BK274" s="97"/>
      <c r="BL274" s="97"/>
      <c r="BM274" s="3"/>
      <c r="BN274" s="3"/>
      <c r="BO274" s="3"/>
      <c r="BP274" s="3"/>
      <c r="BQ274" s="3"/>
      <c r="BR274" s="3"/>
      <c r="BS274" s="3"/>
      <c r="BT274" s="3"/>
      <c r="BU274" s="3"/>
      <c r="BV274" s="3"/>
      <c r="BW274" s="3"/>
      <c r="BX274" s="3"/>
      <c r="BY274" s="3"/>
      <c r="BZ274" s="3"/>
      <c r="CA274" s="3"/>
      <c r="CB274" s="3"/>
    </row>
    <row r="275" spans="2:80" s="399" customFormat="1" ht="15" hidden="1">
      <c r="B275" s="1117"/>
      <c r="C275" s="2218"/>
      <c r="D275" s="2203"/>
      <c r="E275" s="403" t="s">
        <v>365</v>
      </c>
      <c r="F275" s="404"/>
      <c r="G275" s="429">
        <f t="shared" si="82"/>
        <v>0</v>
      </c>
      <c r="H275" s="430"/>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c r="AP275" s="430"/>
      <c r="AQ275" s="431" t="e">
        <f>+G275/'11. Unit Mix'!$G$142</f>
        <v>#DIV/0!</v>
      </c>
      <c r="AR275" s="798" t="e">
        <f t="shared" si="83"/>
        <v>#DIV/0!</v>
      </c>
      <c r="AS275" s="97"/>
      <c r="AT275" s="97"/>
      <c r="AU275" s="97"/>
      <c r="AV275" s="97"/>
      <c r="AW275" s="97"/>
      <c r="AX275" s="97"/>
      <c r="AY275" s="97"/>
      <c r="AZ275" s="97"/>
      <c r="BA275" s="97"/>
      <c r="BB275" s="97"/>
      <c r="BC275" s="97"/>
      <c r="BD275" s="97"/>
      <c r="BE275" s="97"/>
      <c r="BF275" s="97"/>
      <c r="BG275" s="97"/>
      <c r="BH275" s="97"/>
      <c r="BI275" s="97"/>
      <c r="BJ275" s="97"/>
      <c r="BK275" s="97"/>
      <c r="BL275" s="97"/>
      <c r="BM275" s="3"/>
      <c r="BN275" s="3"/>
      <c r="BO275" s="3"/>
      <c r="BP275" s="3"/>
      <c r="BQ275" s="3"/>
      <c r="BR275" s="3"/>
      <c r="BS275" s="3"/>
      <c r="BT275" s="3"/>
      <c r="BU275" s="3"/>
      <c r="BV275" s="3"/>
      <c r="BW275" s="3"/>
      <c r="BX275" s="3"/>
      <c r="BY275" s="3"/>
      <c r="BZ275" s="3"/>
      <c r="CA275" s="3"/>
      <c r="CB275" s="3"/>
    </row>
    <row r="276" spans="2:80" s="399" customFormat="1" hidden="1">
      <c r="B276" s="1117"/>
      <c r="C276" s="525"/>
      <c r="D276" s="526"/>
      <c r="E276" s="2214" t="s">
        <v>4434</v>
      </c>
      <c r="F276" s="2215"/>
      <c r="G276" s="429">
        <f t="shared" si="82"/>
        <v>0</v>
      </c>
      <c r="H276" s="432">
        <f t="shared" ref="H276:AP276" si="84">SUM(H267:H275)</f>
        <v>0</v>
      </c>
      <c r="I276" s="432">
        <f t="shared" si="84"/>
        <v>0</v>
      </c>
      <c r="J276" s="432">
        <f t="shared" si="84"/>
        <v>0</v>
      </c>
      <c r="K276" s="432">
        <f t="shared" si="84"/>
        <v>0</v>
      </c>
      <c r="L276" s="432">
        <f t="shared" si="84"/>
        <v>0</v>
      </c>
      <c r="M276" s="432">
        <f t="shared" si="84"/>
        <v>0</v>
      </c>
      <c r="N276" s="432">
        <f t="shared" si="84"/>
        <v>0</v>
      </c>
      <c r="O276" s="432">
        <f t="shared" si="84"/>
        <v>0</v>
      </c>
      <c r="P276" s="432">
        <f t="shared" si="84"/>
        <v>0</v>
      </c>
      <c r="Q276" s="432">
        <f t="shared" si="84"/>
        <v>0</v>
      </c>
      <c r="R276" s="432">
        <f t="shared" si="84"/>
        <v>0</v>
      </c>
      <c r="S276" s="432">
        <f t="shared" si="84"/>
        <v>0</v>
      </c>
      <c r="T276" s="432">
        <f t="shared" si="84"/>
        <v>0</v>
      </c>
      <c r="U276" s="432">
        <f t="shared" si="84"/>
        <v>0</v>
      </c>
      <c r="V276" s="432">
        <f t="shared" si="84"/>
        <v>0</v>
      </c>
      <c r="W276" s="432">
        <f t="shared" si="84"/>
        <v>0</v>
      </c>
      <c r="X276" s="432">
        <f t="shared" si="84"/>
        <v>0</v>
      </c>
      <c r="Y276" s="432">
        <f t="shared" si="84"/>
        <v>0</v>
      </c>
      <c r="Z276" s="432">
        <f t="shared" si="84"/>
        <v>0</v>
      </c>
      <c r="AA276" s="432">
        <f t="shared" si="84"/>
        <v>0</v>
      </c>
      <c r="AB276" s="432">
        <f t="shared" si="84"/>
        <v>0</v>
      </c>
      <c r="AC276" s="432">
        <f t="shared" si="84"/>
        <v>0</v>
      </c>
      <c r="AD276" s="432">
        <f t="shared" si="84"/>
        <v>0</v>
      </c>
      <c r="AE276" s="432">
        <f t="shared" si="84"/>
        <v>0</v>
      </c>
      <c r="AF276" s="432">
        <f t="shared" si="84"/>
        <v>0</v>
      </c>
      <c r="AG276" s="432">
        <f t="shared" si="84"/>
        <v>0</v>
      </c>
      <c r="AH276" s="432">
        <f t="shared" si="84"/>
        <v>0</v>
      </c>
      <c r="AI276" s="432">
        <f t="shared" si="84"/>
        <v>0</v>
      </c>
      <c r="AJ276" s="432">
        <f t="shared" si="84"/>
        <v>0</v>
      </c>
      <c r="AK276" s="432">
        <f t="shared" si="84"/>
        <v>0</v>
      </c>
      <c r="AL276" s="432">
        <f t="shared" si="84"/>
        <v>0</v>
      </c>
      <c r="AM276" s="432">
        <f t="shared" si="84"/>
        <v>0</v>
      </c>
      <c r="AN276" s="432">
        <f t="shared" si="84"/>
        <v>0</v>
      </c>
      <c r="AO276" s="432">
        <f t="shared" si="84"/>
        <v>0</v>
      </c>
      <c r="AP276" s="432">
        <f t="shared" si="84"/>
        <v>0</v>
      </c>
      <c r="AQ276" s="534"/>
      <c r="AR276" s="433"/>
      <c r="AS276" s="97"/>
      <c r="AT276" s="97"/>
      <c r="AU276" s="97"/>
      <c r="AV276" s="97"/>
      <c r="AW276" s="97"/>
      <c r="AX276" s="97"/>
      <c r="AY276" s="97"/>
      <c r="AZ276" s="97"/>
      <c r="BA276" s="97"/>
      <c r="BB276" s="97"/>
      <c r="BC276" s="97"/>
      <c r="BD276" s="97"/>
      <c r="BE276" s="97"/>
      <c r="BF276" s="97"/>
      <c r="BG276" s="97"/>
      <c r="BH276" s="97"/>
      <c r="BI276" s="97"/>
      <c r="BJ276" s="97"/>
      <c r="BK276" s="97"/>
      <c r="BL276" s="97"/>
      <c r="BM276" s="3"/>
      <c r="BN276" s="3"/>
      <c r="BO276" s="3"/>
      <c r="BP276" s="3"/>
      <c r="BQ276" s="3"/>
      <c r="BR276" s="3"/>
      <c r="BS276" s="3"/>
      <c r="BT276" s="3"/>
      <c r="BU276" s="3"/>
      <c r="BV276" s="3"/>
      <c r="BW276" s="3"/>
      <c r="BX276" s="3"/>
      <c r="BY276" s="3"/>
      <c r="BZ276" s="3"/>
      <c r="CA276" s="3"/>
      <c r="CB276" s="3"/>
    </row>
    <row r="277" spans="2:80" s="399" customFormat="1" hidden="1">
      <c r="B277" s="1117"/>
      <c r="C277" s="528"/>
      <c r="D277" s="529"/>
      <c r="E277" s="530"/>
      <c r="F277" s="531"/>
      <c r="G277" s="532"/>
      <c r="H277" s="532"/>
      <c r="I277" s="532"/>
      <c r="J277" s="532"/>
      <c r="K277" s="532"/>
      <c r="L277" s="53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c r="AM277" s="532"/>
      <c r="AN277" s="532"/>
      <c r="AO277" s="532"/>
      <c r="AP277" s="532"/>
      <c r="AQ277" s="533"/>
      <c r="AR277" s="799"/>
      <c r="AS277" s="97"/>
      <c r="AT277" s="97"/>
      <c r="AU277" s="97"/>
      <c r="AV277" s="97"/>
      <c r="AW277" s="97"/>
      <c r="AX277" s="97"/>
      <c r="AY277" s="97"/>
      <c r="AZ277" s="97"/>
      <c r="BA277" s="97"/>
      <c r="BB277" s="97"/>
      <c r="BC277" s="97"/>
      <c r="BD277" s="97"/>
      <c r="BE277" s="97"/>
      <c r="BF277" s="97"/>
      <c r="BG277" s="97"/>
      <c r="BH277" s="97"/>
      <c r="BI277" s="97"/>
      <c r="BJ277" s="97"/>
      <c r="BK277" s="97"/>
      <c r="BL277" s="97"/>
      <c r="BM277" s="3"/>
      <c r="BN277" s="3"/>
      <c r="BO277" s="3"/>
      <c r="BP277" s="3"/>
      <c r="BQ277" s="3"/>
      <c r="BR277" s="3"/>
      <c r="BS277" s="3"/>
      <c r="BT277" s="3"/>
      <c r="BU277" s="3"/>
      <c r="BV277" s="3"/>
      <c r="BW277" s="3"/>
      <c r="BX277" s="3"/>
      <c r="BY277" s="3"/>
      <c r="BZ277" s="3"/>
      <c r="CA277" s="3"/>
      <c r="CB277" s="3"/>
    </row>
    <row r="278" spans="2:80" s="399" customFormat="1" ht="14.45" hidden="1" customHeight="1">
      <c r="B278" s="1117"/>
      <c r="C278" s="2216" t="s">
        <v>4435</v>
      </c>
      <c r="D278" s="2206" t="s">
        <v>4436</v>
      </c>
      <c r="E278" s="2204" t="s">
        <v>4437</v>
      </c>
      <c r="F278" s="2205"/>
      <c r="G278" s="429">
        <f t="shared" ref="G278:G288" si="85">+SUM(H278:AP278)</f>
        <v>0</v>
      </c>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c r="AN278" s="430"/>
      <c r="AO278" s="430"/>
      <c r="AP278" s="430"/>
      <c r="AQ278" s="431" t="e">
        <f>+G278/'11. Unit Mix'!$G$142</f>
        <v>#DIV/0!</v>
      </c>
      <c r="AR278" s="798" t="e">
        <f t="shared" ref="AR278:AR287" si="86">+G278/Total_Units</f>
        <v>#DIV/0!</v>
      </c>
      <c r="AS278" s="97"/>
      <c r="AT278" s="97"/>
      <c r="AU278" s="97"/>
      <c r="AV278" s="97"/>
      <c r="AW278" s="97"/>
      <c r="AX278" s="97"/>
      <c r="AY278" s="97"/>
      <c r="AZ278" s="97"/>
      <c r="BA278" s="97"/>
      <c r="BB278" s="97"/>
      <c r="BC278" s="97"/>
      <c r="BD278" s="97"/>
      <c r="BE278" s="97"/>
      <c r="BF278" s="97"/>
      <c r="BG278" s="97"/>
      <c r="BH278" s="97"/>
      <c r="BI278" s="97"/>
      <c r="BJ278" s="97"/>
      <c r="BK278" s="97"/>
      <c r="BL278" s="97"/>
      <c r="BM278" s="3"/>
      <c r="BN278" s="3"/>
      <c r="BO278" s="3"/>
      <c r="BP278" s="3"/>
      <c r="BQ278" s="3"/>
      <c r="BR278" s="3"/>
      <c r="BS278" s="3"/>
      <c r="BT278" s="3"/>
      <c r="BU278" s="3"/>
      <c r="BV278" s="3"/>
      <c r="BW278" s="3"/>
      <c r="BX278" s="3"/>
      <c r="BY278" s="3"/>
      <c r="BZ278" s="3"/>
      <c r="CA278" s="3"/>
      <c r="CB278" s="3"/>
    </row>
    <row r="279" spans="2:80" s="399" customFormat="1" ht="15" hidden="1">
      <c r="B279" s="1117"/>
      <c r="C279" s="2217"/>
      <c r="D279" s="2202"/>
      <c r="E279" s="2204" t="s">
        <v>4438</v>
      </c>
      <c r="F279" s="2205"/>
      <c r="G279" s="429">
        <f t="shared" si="85"/>
        <v>0</v>
      </c>
      <c r="H279" s="430"/>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c r="AN279" s="430"/>
      <c r="AO279" s="430"/>
      <c r="AP279" s="430"/>
      <c r="AQ279" s="431" t="e">
        <f>+G279/'11. Unit Mix'!$G$142</f>
        <v>#DIV/0!</v>
      </c>
      <c r="AR279" s="798" t="e">
        <f t="shared" si="86"/>
        <v>#DIV/0!</v>
      </c>
      <c r="AS279" s="97"/>
      <c r="AT279" s="97"/>
      <c r="AU279" s="97"/>
      <c r="AV279" s="97"/>
      <c r="AW279" s="97"/>
      <c r="AX279" s="97"/>
      <c r="AY279" s="97"/>
      <c r="AZ279" s="97"/>
      <c r="BA279" s="97"/>
      <c r="BB279" s="97"/>
      <c r="BC279" s="97"/>
      <c r="BD279" s="97"/>
      <c r="BE279" s="97"/>
      <c r="BF279" s="97"/>
      <c r="BG279" s="97"/>
      <c r="BH279" s="97"/>
      <c r="BI279" s="97"/>
      <c r="BJ279" s="97"/>
      <c r="BK279" s="97"/>
      <c r="BL279" s="97"/>
      <c r="BM279" s="3"/>
      <c r="BN279" s="3"/>
      <c r="BO279" s="3"/>
      <c r="BP279" s="3"/>
      <c r="BQ279" s="3"/>
      <c r="BR279" s="3"/>
      <c r="BS279" s="3"/>
      <c r="BT279" s="3"/>
      <c r="BU279" s="3"/>
      <c r="BV279" s="3"/>
      <c r="BW279" s="3"/>
      <c r="BX279" s="3"/>
      <c r="BY279" s="3"/>
      <c r="BZ279" s="3"/>
      <c r="CA279" s="3"/>
      <c r="CB279" s="3"/>
    </row>
    <row r="280" spans="2:80" s="399" customFormat="1" ht="15" hidden="1">
      <c r="B280" s="1117"/>
      <c r="C280" s="2217"/>
      <c r="D280" s="2203"/>
      <c r="E280" s="2204" t="s">
        <v>4439</v>
      </c>
      <c r="F280" s="2205"/>
      <c r="G280" s="429">
        <f t="shared" si="85"/>
        <v>0</v>
      </c>
      <c r="H280" s="430"/>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c r="AN280" s="430"/>
      <c r="AO280" s="430"/>
      <c r="AP280" s="430"/>
      <c r="AQ280" s="431" t="e">
        <f>+G280/'11. Unit Mix'!$G$142</f>
        <v>#DIV/0!</v>
      </c>
      <c r="AR280" s="798" t="e">
        <f t="shared" si="86"/>
        <v>#DIV/0!</v>
      </c>
      <c r="AS280" s="97"/>
      <c r="AT280" s="97"/>
      <c r="AU280" s="97"/>
      <c r="AV280" s="97"/>
      <c r="AW280" s="97"/>
      <c r="AX280" s="97"/>
      <c r="AY280" s="97"/>
      <c r="AZ280" s="97"/>
      <c r="BA280" s="97"/>
      <c r="BB280" s="97"/>
      <c r="BC280" s="97"/>
      <c r="BD280" s="97"/>
      <c r="BE280" s="97"/>
      <c r="BF280" s="97"/>
      <c r="BG280" s="97"/>
      <c r="BH280" s="97"/>
      <c r="BI280" s="97"/>
      <c r="BJ280" s="97"/>
      <c r="BK280" s="97"/>
      <c r="BL280" s="97"/>
      <c r="BM280" s="3"/>
      <c r="BN280" s="3"/>
      <c r="BO280" s="3"/>
      <c r="BP280" s="3"/>
      <c r="BQ280" s="3"/>
      <c r="BR280" s="3"/>
      <c r="BS280" s="3"/>
      <c r="BT280" s="3"/>
      <c r="BU280" s="3"/>
      <c r="BV280" s="3"/>
      <c r="BW280" s="3"/>
      <c r="BX280" s="3"/>
      <c r="BY280" s="3"/>
      <c r="BZ280" s="3"/>
      <c r="CA280" s="3"/>
      <c r="CB280" s="3"/>
    </row>
    <row r="281" spans="2:80" s="399" customFormat="1" ht="15" hidden="1">
      <c r="B281" s="1117"/>
      <c r="C281" s="2217"/>
      <c r="D281" s="2206" t="s">
        <v>4440</v>
      </c>
      <c r="E281" s="2204" t="s">
        <v>4441</v>
      </c>
      <c r="F281" s="2205"/>
      <c r="G281" s="429">
        <f t="shared" si="85"/>
        <v>0</v>
      </c>
      <c r="H281" s="430"/>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c r="AN281" s="430"/>
      <c r="AO281" s="430"/>
      <c r="AP281" s="430"/>
      <c r="AQ281" s="431" t="e">
        <f>+G281/'11. Unit Mix'!$G$142</f>
        <v>#DIV/0!</v>
      </c>
      <c r="AR281" s="798" t="e">
        <f t="shared" si="86"/>
        <v>#DIV/0!</v>
      </c>
      <c r="AS281" s="97"/>
      <c r="AT281" s="97"/>
      <c r="AU281" s="97"/>
      <c r="AV281" s="97"/>
      <c r="AW281" s="97"/>
      <c r="AX281" s="97"/>
      <c r="AY281" s="97"/>
      <c r="AZ281" s="97"/>
      <c r="BA281" s="97"/>
      <c r="BB281" s="97"/>
      <c r="BC281" s="97"/>
      <c r="BD281" s="97"/>
      <c r="BE281" s="97"/>
      <c r="BF281" s="97"/>
      <c r="BG281" s="97"/>
      <c r="BH281" s="97"/>
      <c r="BI281" s="97"/>
      <c r="BJ281" s="97"/>
      <c r="BK281" s="97"/>
      <c r="BL281" s="97"/>
      <c r="BM281" s="3"/>
      <c r="BN281" s="3"/>
      <c r="BO281" s="3"/>
      <c r="BP281" s="3"/>
      <c r="BQ281" s="3"/>
      <c r="BR281" s="3"/>
      <c r="BS281" s="3"/>
      <c r="BT281" s="3"/>
      <c r="BU281" s="3"/>
      <c r="BV281" s="3"/>
      <c r="BW281" s="3"/>
      <c r="BX281" s="3"/>
      <c r="BY281" s="3"/>
      <c r="BZ281" s="3"/>
      <c r="CA281" s="3"/>
      <c r="CB281" s="3"/>
    </row>
    <row r="282" spans="2:80" s="399" customFormat="1" ht="15" hidden="1">
      <c r="B282" s="1117"/>
      <c r="C282" s="2217"/>
      <c r="D282" s="2203"/>
      <c r="E282" s="2204" t="s">
        <v>4442</v>
      </c>
      <c r="F282" s="2205"/>
      <c r="G282" s="429">
        <f t="shared" si="85"/>
        <v>0</v>
      </c>
      <c r="H282" s="430"/>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c r="AN282" s="430"/>
      <c r="AO282" s="430"/>
      <c r="AP282" s="430"/>
      <c r="AQ282" s="431" t="e">
        <f>+G282/'11. Unit Mix'!$G$142</f>
        <v>#DIV/0!</v>
      </c>
      <c r="AR282" s="798" t="e">
        <f t="shared" si="86"/>
        <v>#DIV/0!</v>
      </c>
      <c r="AS282" s="97"/>
      <c r="AT282" s="97"/>
      <c r="AU282" s="97"/>
      <c r="AV282" s="97"/>
      <c r="AW282" s="97"/>
      <c r="AX282" s="97"/>
      <c r="AY282" s="97"/>
      <c r="AZ282" s="97"/>
      <c r="BA282" s="97"/>
      <c r="BB282" s="97"/>
      <c r="BC282" s="97"/>
      <c r="BD282" s="97"/>
      <c r="BE282" s="97"/>
      <c r="BF282" s="97"/>
      <c r="BG282" s="97"/>
      <c r="BH282" s="97"/>
      <c r="BI282" s="97"/>
      <c r="BJ282" s="97"/>
      <c r="BK282" s="97"/>
      <c r="BL282" s="97"/>
      <c r="BM282" s="3"/>
      <c r="BN282" s="3"/>
      <c r="BO282" s="3"/>
      <c r="BP282" s="3"/>
      <c r="BQ282" s="3"/>
      <c r="BR282" s="3"/>
      <c r="BS282" s="3"/>
      <c r="BT282" s="3"/>
      <c r="BU282" s="3"/>
      <c r="BV282" s="3"/>
      <c r="BW282" s="3"/>
      <c r="BX282" s="3"/>
      <c r="BY282" s="3"/>
      <c r="BZ282" s="3"/>
      <c r="CA282" s="3"/>
      <c r="CB282" s="3"/>
    </row>
    <row r="283" spans="2:80" s="399" customFormat="1" ht="15" hidden="1">
      <c r="B283" s="1117"/>
      <c r="C283" s="2217"/>
      <c r="D283" s="2206" t="s">
        <v>4443</v>
      </c>
      <c r="E283" s="2204" t="s">
        <v>4444</v>
      </c>
      <c r="F283" s="2205"/>
      <c r="G283" s="429">
        <f t="shared" si="85"/>
        <v>0</v>
      </c>
      <c r="H283" s="430"/>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c r="AN283" s="430"/>
      <c r="AO283" s="430"/>
      <c r="AP283" s="430"/>
      <c r="AQ283" s="431" t="e">
        <f>+G283/'11. Unit Mix'!$G$142</f>
        <v>#DIV/0!</v>
      </c>
      <c r="AR283" s="798" t="e">
        <f t="shared" si="86"/>
        <v>#DIV/0!</v>
      </c>
      <c r="AS283" s="97"/>
      <c r="AT283" s="97"/>
      <c r="AU283" s="97"/>
      <c r="AV283" s="97"/>
      <c r="AW283" s="97"/>
      <c r="AX283" s="97"/>
      <c r="AY283" s="97"/>
      <c r="AZ283" s="97"/>
      <c r="BA283" s="97"/>
      <c r="BB283" s="97"/>
      <c r="BC283" s="97"/>
      <c r="BD283" s="97"/>
      <c r="BE283" s="97"/>
      <c r="BF283" s="97"/>
      <c r="BG283" s="97"/>
      <c r="BH283" s="97"/>
      <c r="BI283" s="97"/>
      <c r="BJ283" s="97"/>
      <c r="BK283" s="97"/>
      <c r="BL283" s="97"/>
      <c r="BM283" s="3"/>
      <c r="BN283" s="3"/>
      <c r="BO283" s="3"/>
      <c r="BP283" s="3"/>
      <c r="BQ283" s="3"/>
      <c r="BR283" s="3"/>
      <c r="BS283" s="3"/>
      <c r="BT283" s="3"/>
      <c r="BU283" s="3"/>
      <c r="BV283" s="3"/>
      <c r="BW283" s="3"/>
      <c r="BX283" s="3"/>
      <c r="BY283" s="3"/>
      <c r="BZ283" s="3"/>
      <c r="CA283" s="3"/>
      <c r="CB283" s="3"/>
    </row>
    <row r="284" spans="2:80" s="399" customFormat="1" ht="15" hidden="1">
      <c r="B284" s="1117"/>
      <c r="C284" s="2217"/>
      <c r="D284" s="2202"/>
      <c r="E284" s="2204" t="s">
        <v>4445</v>
      </c>
      <c r="F284" s="2205"/>
      <c r="G284" s="429">
        <f t="shared" si="85"/>
        <v>0</v>
      </c>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c r="AN284" s="430"/>
      <c r="AO284" s="430"/>
      <c r="AP284" s="430"/>
      <c r="AQ284" s="431" t="e">
        <f>+G284/'11. Unit Mix'!$G$142</f>
        <v>#DIV/0!</v>
      </c>
      <c r="AR284" s="798" t="e">
        <f t="shared" si="86"/>
        <v>#DIV/0!</v>
      </c>
      <c r="AS284" s="97"/>
      <c r="AT284" s="97"/>
      <c r="AU284" s="97"/>
      <c r="AV284" s="97"/>
      <c r="AW284" s="97"/>
      <c r="AX284" s="97"/>
      <c r="AY284" s="97"/>
      <c r="AZ284" s="97"/>
      <c r="BA284" s="97"/>
      <c r="BB284" s="97"/>
      <c r="BC284" s="97"/>
      <c r="BD284" s="97"/>
      <c r="BE284" s="97"/>
      <c r="BF284" s="97"/>
      <c r="BG284" s="97"/>
      <c r="BH284" s="97"/>
      <c r="BI284" s="97"/>
      <c r="BJ284" s="97"/>
      <c r="BK284" s="97"/>
      <c r="BL284" s="97"/>
      <c r="BM284" s="3"/>
      <c r="BN284" s="3"/>
      <c r="BO284" s="3"/>
      <c r="BP284" s="3"/>
      <c r="BQ284" s="3"/>
      <c r="BR284" s="3"/>
      <c r="BS284" s="3"/>
      <c r="BT284" s="3"/>
      <c r="BU284" s="3"/>
      <c r="BV284" s="3"/>
      <c r="BW284" s="3"/>
      <c r="BX284" s="3"/>
      <c r="BY284" s="3"/>
      <c r="BZ284" s="3"/>
      <c r="CA284" s="3"/>
      <c r="CB284" s="3"/>
    </row>
    <row r="285" spans="2:80" s="399" customFormat="1" ht="15" hidden="1">
      <c r="B285" s="1117"/>
      <c r="C285" s="2217"/>
      <c r="D285" s="2203"/>
      <c r="E285" s="2204" t="s">
        <v>4446</v>
      </c>
      <c r="F285" s="2205"/>
      <c r="G285" s="429">
        <f t="shared" si="85"/>
        <v>0</v>
      </c>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c r="AN285" s="430"/>
      <c r="AO285" s="430"/>
      <c r="AP285" s="430"/>
      <c r="AQ285" s="431" t="e">
        <f>+G285/'11. Unit Mix'!$G$142</f>
        <v>#DIV/0!</v>
      </c>
      <c r="AR285" s="798" t="e">
        <f t="shared" si="86"/>
        <v>#DIV/0!</v>
      </c>
      <c r="AS285" s="97"/>
      <c r="AT285" s="97"/>
      <c r="AU285" s="97"/>
      <c r="AV285" s="97"/>
      <c r="AW285" s="97"/>
      <c r="AX285" s="97"/>
      <c r="AY285" s="97"/>
      <c r="AZ285" s="97"/>
      <c r="BA285" s="97"/>
      <c r="BB285" s="97"/>
      <c r="BC285" s="97"/>
      <c r="BD285" s="97"/>
      <c r="BE285" s="97"/>
      <c r="BF285" s="97"/>
      <c r="BG285" s="97"/>
      <c r="BH285" s="97"/>
      <c r="BI285" s="97"/>
      <c r="BJ285" s="97"/>
      <c r="BK285" s="97"/>
      <c r="BL285" s="97"/>
      <c r="BM285" s="3"/>
      <c r="BN285" s="3"/>
      <c r="BO285" s="3"/>
      <c r="BP285" s="3"/>
      <c r="BQ285" s="3"/>
      <c r="BR285" s="3"/>
      <c r="BS285" s="3"/>
      <c r="BT285" s="3"/>
      <c r="BU285" s="3"/>
      <c r="BV285" s="3"/>
      <c r="BW285" s="3"/>
      <c r="BX285" s="3"/>
      <c r="BY285" s="3"/>
      <c r="BZ285" s="3"/>
      <c r="CA285" s="3"/>
      <c r="CB285" s="3"/>
    </row>
    <row r="286" spans="2:80" s="399" customFormat="1" ht="15" hidden="1">
      <c r="B286" s="1117"/>
      <c r="C286" s="2217"/>
      <c r="D286" s="2222" t="s">
        <v>365</v>
      </c>
      <c r="E286" s="403" t="s">
        <v>365</v>
      </c>
      <c r="F286" s="404"/>
      <c r="G286" s="429">
        <f t="shared" si="85"/>
        <v>0</v>
      </c>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c r="AN286" s="430"/>
      <c r="AO286" s="430"/>
      <c r="AP286" s="430"/>
      <c r="AQ286" s="431" t="e">
        <f>+G286/'11. Unit Mix'!$G$142</f>
        <v>#DIV/0!</v>
      </c>
      <c r="AR286" s="798" t="e">
        <f t="shared" si="86"/>
        <v>#DIV/0!</v>
      </c>
      <c r="AS286" s="97"/>
      <c r="AT286" s="97"/>
      <c r="AU286" s="97"/>
      <c r="AV286" s="97"/>
      <c r="AW286" s="97"/>
      <c r="AX286" s="97"/>
      <c r="AY286" s="97"/>
      <c r="AZ286" s="97"/>
      <c r="BA286" s="97"/>
      <c r="BB286" s="97"/>
      <c r="BC286" s="97"/>
      <c r="BD286" s="97"/>
      <c r="BE286" s="97"/>
      <c r="BF286" s="97"/>
      <c r="BG286" s="97"/>
      <c r="BH286" s="97"/>
      <c r="BI286" s="97"/>
      <c r="BJ286" s="97"/>
      <c r="BK286" s="97"/>
      <c r="BL286" s="97"/>
      <c r="BM286" s="3"/>
      <c r="BN286" s="3"/>
      <c r="BO286" s="3"/>
      <c r="BP286" s="3"/>
      <c r="BQ286" s="3"/>
      <c r="BR286" s="3"/>
      <c r="BS286" s="3"/>
      <c r="BT286" s="3"/>
      <c r="BU286" s="3"/>
      <c r="BV286" s="3"/>
      <c r="BW286" s="3"/>
      <c r="BX286" s="3"/>
      <c r="BY286" s="3"/>
      <c r="BZ286" s="3"/>
      <c r="CA286" s="3"/>
      <c r="CB286" s="3"/>
    </row>
    <row r="287" spans="2:80" s="399" customFormat="1" ht="15" hidden="1">
      <c r="B287" s="1117"/>
      <c r="C287" s="2218"/>
      <c r="D287" s="2222"/>
      <c r="E287" s="403" t="s">
        <v>365</v>
      </c>
      <c r="F287" s="404"/>
      <c r="G287" s="429">
        <f t="shared" si="85"/>
        <v>0</v>
      </c>
      <c r="H287" s="430"/>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c r="AN287" s="430"/>
      <c r="AO287" s="430"/>
      <c r="AP287" s="430"/>
      <c r="AQ287" s="431" t="e">
        <f>+G287/'11. Unit Mix'!$G$142</f>
        <v>#DIV/0!</v>
      </c>
      <c r="AR287" s="798" t="e">
        <f t="shared" si="86"/>
        <v>#DIV/0!</v>
      </c>
      <c r="AS287" s="97"/>
      <c r="AT287" s="97"/>
      <c r="AU287" s="97"/>
      <c r="AV287" s="97"/>
      <c r="AW287" s="97"/>
      <c r="AX287" s="97"/>
      <c r="AY287" s="97"/>
      <c r="AZ287" s="97"/>
      <c r="BA287" s="97"/>
      <c r="BB287" s="97"/>
      <c r="BC287" s="97"/>
      <c r="BD287" s="97"/>
      <c r="BE287" s="97"/>
      <c r="BF287" s="97"/>
      <c r="BG287" s="97"/>
      <c r="BH287" s="97"/>
      <c r="BI287" s="97"/>
      <c r="BJ287" s="97"/>
      <c r="BK287" s="97"/>
      <c r="BL287" s="97"/>
      <c r="BM287" s="3"/>
      <c r="BN287" s="3"/>
      <c r="BO287" s="3"/>
      <c r="BP287" s="3"/>
      <c r="BQ287" s="3"/>
      <c r="BR287" s="3"/>
      <c r="BS287" s="3"/>
      <c r="BT287" s="3"/>
      <c r="BU287" s="3"/>
      <c r="BV287" s="3"/>
      <c r="BW287" s="3"/>
      <c r="BX287" s="3"/>
      <c r="BY287" s="3"/>
      <c r="BZ287" s="3"/>
      <c r="CA287" s="3"/>
      <c r="CB287" s="3"/>
    </row>
    <row r="288" spans="2:80" s="399" customFormat="1" hidden="1">
      <c r="B288" s="1117"/>
      <c r="C288" s="525"/>
      <c r="D288" s="526"/>
      <c r="E288" s="2214" t="s">
        <v>4447</v>
      </c>
      <c r="F288" s="2215"/>
      <c r="G288" s="429">
        <f t="shared" si="85"/>
        <v>0</v>
      </c>
      <c r="H288" s="432">
        <f t="shared" ref="H288:AP288" si="87">SUM(H278:H287)</f>
        <v>0</v>
      </c>
      <c r="I288" s="432">
        <f t="shared" si="87"/>
        <v>0</v>
      </c>
      <c r="J288" s="432">
        <f t="shared" si="87"/>
        <v>0</v>
      </c>
      <c r="K288" s="432">
        <f t="shared" si="87"/>
        <v>0</v>
      </c>
      <c r="L288" s="432">
        <f t="shared" si="87"/>
        <v>0</v>
      </c>
      <c r="M288" s="432">
        <f t="shared" si="87"/>
        <v>0</v>
      </c>
      <c r="N288" s="432">
        <f t="shared" si="87"/>
        <v>0</v>
      </c>
      <c r="O288" s="432">
        <f t="shared" si="87"/>
        <v>0</v>
      </c>
      <c r="P288" s="432">
        <f t="shared" si="87"/>
        <v>0</v>
      </c>
      <c r="Q288" s="432">
        <f t="shared" si="87"/>
        <v>0</v>
      </c>
      <c r="R288" s="432">
        <f t="shared" si="87"/>
        <v>0</v>
      </c>
      <c r="S288" s="432">
        <f t="shared" si="87"/>
        <v>0</v>
      </c>
      <c r="T288" s="432">
        <f t="shared" si="87"/>
        <v>0</v>
      </c>
      <c r="U288" s="432">
        <f t="shared" si="87"/>
        <v>0</v>
      </c>
      <c r="V288" s="432">
        <f t="shared" si="87"/>
        <v>0</v>
      </c>
      <c r="W288" s="432">
        <f t="shared" si="87"/>
        <v>0</v>
      </c>
      <c r="X288" s="432">
        <f t="shared" si="87"/>
        <v>0</v>
      </c>
      <c r="Y288" s="432">
        <f t="shared" si="87"/>
        <v>0</v>
      </c>
      <c r="Z288" s="432">
        <f t="shared" si="87"/>
        <v>0</v>
      </c>
      <c r="AA288" s="432">
        <f t="shared" si="87"/>
        <v>0</v>
      </c>
      <c r="AB288" s="432">
        <f t="shared" si="87"/>
        <v>0</v>
      </c>
      <c r="AC288" s="432">
        <f t="shared" si="87"/>
        <v>0</v>
      </c>
      <c r="AD288" s="432">
        <f t="shared" si="87"/>
        <v>0</v>
      </c>
      <c r="AE288" s="432">
        <f t="shared" si="87"/>
        <v>0</v>
      </c>
      <c r="AF288" s="432">
        <f t="shared" si="87"/>
        <v>0</v>
      </c>
      <c r="AG288" s="432">
        <f t="shared" si="87"/>
        <v>0</v>
      </c>
      <c r="AH288" s="432">
        <f t="shared" si="87"/>
        <v>0</v>
      </c>
      <c r="AI288" s="432">
        <f t="shared" si="87"/>
        <v>0</v>
      </c>
      <c r="AJ288" s="432">
        <f t="shared" si="87"/>
        <v>0</v>
      </c>
      <c r="AK288" s="432">
        <f t="shared" si="87"/>
        <v>0</v>
      </c>
      <c r="AL288" s="432">
        <f t="shared" si="87"/>
        <v>0</v>
      </c>
      <c r="AM288" s="432">
        <f t="shared" si="87"/>
        <v>0</v>
      </c>
      <c r="AN288" s="432">
        <f t="shared" si="87"/>
        <v>0</v>
      </c>
      <c r="AO288" s="432">
        <f t="shared" si="87"/>
        <v>0</v>
      </c>
      <c r="AP288" s="432">
        <f t="shared" si="87"/>
        <v>0</v>
      </c>
      <c r="AQ288" s="534"/>
      <c r="AR288" s="433"/>
      <c r="AS288" s="97"/>
      <c r="AT288" s="97"/>
      <c r="AU288" s="97"/>
      <c r="AV288" s="97"/>
      <c r="AW288" s="97"/>
      <c r="AX288" s="97"/>
      <c r="AY288" s="97"/>
      <c r="AZ288" s="97"/>
      <c r="BA288" s="97"/>
      <c r="BB288" s="97"/>
      <c r="BC288" s="97"/>
      <c r="BD288" s="97"/>
      <c r="BE288" s="97"/>
      <c r="BF288" s="97"/>
      <c r="BG288" s="97"/>
      <c r="BH288" s="97"/>
      <c r="BI288" s="97"/>
      <c r="BJ288" s="97"/>
      <c r="BK288" s="97"/>
      <c r="BL288" s="97"/>
      <c r="BM288" s="3"/>
      <c r="BN288" s="3"/>
      <c r="BO288" s="3"/>
      <c r="BP288" s="3"/>
      <c r="BQ288" s="3"/>
      <c r="BR288" s="3"/>
      <c r="BS288" s="3"/>
      <c r="BT288" s="3"/>
      <c r="BU288" s="3"/>
      <c r="BV288" s="3"/>
      <c r="BW288" s="3"/>
      <c r="BX288" s="3"/>
      <c r="BY288" s="3"/>
      <c r="BZ288" s="3"/>
      <c r="CA288" s="3"/>
      <c r="CB288" s="3"/>
    </row>
    <row r="289" spans="2:80" s="399" customFormat="1" hidden="1">
      <c r="B289" s="1117"/>
      <c r="C289" s="528"/>
      <c r="D289" s="529"/>
      <c r="E289" s="530"/>
      <c r="F289" s="531"/>
      <c r="G289" s="532"/>
      <c r="H289" s="532"/>
      <c r="I289" s="532"/>
      <c r="J289" s="532"/>
      <c r="K289" s="532"/>
      <c r="L289" s="53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c r="AM289" s="532"/>
      <c r="AN289" s="532"/>
      <c r="AO289" s="532"/>
      <c r="AP289" s="532"/>
      <c r="AQ289" s="533"/>
      <c r="AR289" s="799"/>
      <c r="AS289" s="97"/>
      <c r="AT289" s="97"/>
      <c r="AU289" s="97"/>
      <c r="AV289" s="97"/>
      <c r="AW289" s="97"/>
      <c r="AX289" s="97"/>
      <c r="AY289" s="97"/>
      <c r="AZ289" s="97"/>
      <c r="BA289" s="97"/>
      <c r="BB289" s="97"/>
      <c r="BC289" s="97"/>
      <c r="BD289" s="97"/>
      <c r="BE289" s="97"/>
      <c r="BF289" s="97"/>
      <c r="BG289" s="97"/>
      <c r="BH289" s="97"/>
      <c r="BI289" s="97"/>
      <c r="BJ289" s="97"/>
      <c r="BK289" s="97"/>
      <c r="BL289" s="97"/>
      <c r="BM289" s="3"/>
      <c r="BN289" s="3"/>
      <c r="BO289" s="3"/>
      <c r="BP289" s="3"/>
      <c r="BQ289" s="3"/>
      <c r="BR289" s="3"/>
      <c r="BS289" s="3"/>
      <c r="BT289" s="3"/>
      <c r="BU289" s="3"/>
      <c r="BV289" s="3"/>
      <c r="BW289" s="3"/>
      <c r="BX289" s="3"/>
      <c r="BY289" s="3"/>
      <c r="BZ289" s="3"/>
      <c r="CA289" s="3"/>
      <c r="CB289" s="3"/>
    </row>
    <row r="290" spans="2:80" s="399" customFormat="1" ht="14.45" hidden="1" customHeight="1">
      <c r="B290" s="1117"/>
      <c r="C290" s="2216" t="s">
        <v>4448</v>
      </c>
      <c r="D290" s="2206" t="s">
        <v>4449</v>
      </c>
      <c r="E290" s="2204" t="s">
        <v>4450</v>
      </c>
      <c r="F290" s="2205"/>
      <c r="G290" s="429">
        <f t="shared" ref="G290:G316" si="88">+SUM(H290:AP290)</f>
        <v>0</v>
      </c>
      <c r="H290" s="430"/>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c r="AN290" s="430"/>
      <c r="AO290" s="430"/>
      <c r="AP290" s="430"/>
      <c r="AQ290" s="431" t="e">
        <f>+G290/'11. Unit Mix'!$G$142</f>
        <v>#DIV/0!</v>
      </c>
      <c r="AR290" s="798" t="e">
        <f t="shared" ref="AR290:AR315" si="89">+G290/Total_Units</f>
        <v>#DIV/0!</v>
      </c>
      <c r="AS290" s="97"/>
      <c r="AT290" s="97"/>
      <c r="AU290" s="97"/>
      <c r="AV290" s="97"/>
      <c r="AW290" s="97"/>
      <c r="AX290" s="97"/>
      <c r="AY290" s="97"/>
      <c r="AZ290" s="97"/>
      <c r="BA290" s="97"/>
      <c r="BB290" s="97"/>
      <c r="BC290" s="97"/>
      <c r="BD290" s="97"/>
      <c r="BE290" s="97"/>
      <c r="BF290" s="97"/>
      <c r="BG290" s="97"/>
      <c r="BH290" s="97"/>
      <c r="BI290" s="97"/>
      <c r="BJ290" s="97"/>
      <c r="BK290" s="97"/>
      <c r="BL290" s="97"/>
      <c r="BM290" s="3"/>
      <c r="BN290" s="3"/>
      <c r="BO290" s="3"/>
      <c r="BP290" s="3"/>
      <c r="BQ290" s="3"/>
      <c r="BR290" s="3"/>
      <c r="BS290" s="3"/>
      <c r="BT290" s="3"/>
      <c r="BU290" s="3"/>
      <c r="BV290" s="3"/>
      <c r="BW290" s="3"/>
      <c r="BX290" s="3"/>
      <c r="BY290" s="3"/>
      <c r="BZ290" s="3"/>
      <c r="CA290" s="3"/>
      <c r="CB290" s="3"/>
    </row>
    <row r="291" spans="2:80" s="399" customFormat="1" ht="15" hidden="1">
      <c r="B291" s="1117"/>
      <c r="C291" s="2217"/>
      <c r="D291" s="2202"/>
      <c r="E291" s="2204" t="s">
        <v>4451</v>
      </c>
      <c r="F291" s="2205"/>
      <c r="G291" s="429">
        <f t="shared" si="88"/>
        <v>0</v>
      </c>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c r="AN291" s="430"/>
      <c r="AO291" s="430"/>
      <c r="AP291" s="430"/>
      <c r="AQ291" s="431" t="e">
        <f>+G291/'11. Unit Mix'!$G$142</f>
        <v>#DIV/0!</v>
      </c>
      <c r="AR291" s="798" t="e">
        <f t="shared" si="89"/>
        <v>#DIV/0!</v>
      </c>
      <c r="AS291" s="97"/>
      <c r="AT291" s="97"/>
      <c r="AU291" s="97"/>
      <c r="AV291" s="97"/>
      <c r="AW291" s="97"/>
      <c r="AX291" s="97"/>
      <c r="AY291" s="97"/>
      <c r="AZ291" s="97"/>
      <c r="BA291" s="97"/>
      <c r="BB291" s="97"/>
      <c r="BC291" s="97"/>
      <c r="BD291" s="97"/>
      <c r="BE291" s="97"/>
      <c r="BF291" s="97"/>
      <c r="BG291" s="97"/>
      <c r="BH291" s="97"/>
      <c r="BI291" s="97"/>
      <c r="BJ291" s="97"/>
      <c r="BK291" s="97"/>
      <c r="BL291" s="97"/>
      <c r="BM291" s="3"/>
      <c r="BN291" s="3"/>
      <c r="BO291" s="3"/>
      <c r="BP291" s="3"/>
      <c r="BQ291" s="3"/>
      <c r="BR291" s="3"/>
      <c r="BS291" s="3"/>
      <c r="BT291" s="3"/>
      <c r="BU291" s="3"/>
      <c r="BV291" s="3"/>
      <c r="BW291" s="3"/>
      <c r="BX291" s="3"/>
      <c r="BY291" s="3"/>
      <c r="BZ291" s="3"/>
      <c r="CA291" s="3"/>
      <c r="CB291" s="3"/>
    </row>
    <row r="292" spans="2:80" s="399" customFormat="1" ht="15" hidden="1">
      <c r="B292" s="1117"/>
      <c r="C292" s="2217"/>
      <c r="D292" s="2203"/>
      <c r="E292" s="2204" t="s">
        <v>4452</v>
      </c>
      <c r="F292" s="2205"/>
      <c r="G292" s="429">
        <f t="shared" si="88"/>
        <v>0</v>
      </c>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c r="AN292" s="430"/>
      <c r="AO292" s="430"/>
      <c r="AP292" s="430"/>
      <c r="AQ292" s="431" t="e">
        <f>+G292/'11. Unit Mix'!$G$142</f>
        <v>#DIV/0!</v>
      </c>
      <c r="AR292" s="798" t="e">
        <f t="shared" si="89"/>
        <v>#DIV/0!</v>
      </c>
      <c r="AS292" s="97"/>
      <c r="AT292" s="97"/>
      <c r="AU292" s="97"/>
      <c r="AV292" s="97"/>
      <c r="AW292" s="97"/>
      <c r="AX292" s="97"/>
      <c r="AY292" s="97"/>
      <c r="AZ292" s="97"/>
      <c r="BA292" s="97"/>
      <c r="BB292" s="97"/>
      <c r="BC292" s="97"/>
      <c r="BD292" s="97"/>
      <c r="BE292" s="97"/>
      <c r="BF292" s="97"/>
      <c r="BG292" s="97"/>
      <c r="BH292" s="97"/>
      <c r="BI292" s="97"/>
      <c r="BJ292" s="97"/>
      <c r="BK292" s="97"/>
      <c r="BL292" s="97"/>
      <c r="BM292" s="3"/>
      <c r="BN292" s="3"/>
      <c r="BO292" s="3"/>
      <c r="BP292" s="3"/>
      <c r="BQ292" s="3"/>
      <c r="BR292" s="3"/>
      <c r="BS292" s="3"/>
      <c r="BT292" s="3"/>
      <c r="BU292" s="3"/>
      <c r="BV292" s="3"/>
      <c r="BW292" s="3"/>
      <c r="BX292" s="3"/>
      <c r="BY292" s="3"/>
      <c r="BZ292" s="3"/>
      <c r="CA292" s="3"/>
      <c r="CB292" s="3"/>
    </row>
    <row r="293" spans="2:80" s="399" customFormat="1" ht="15" hidden="1">
      <c r="B293" s="1117"/>
      <c r="C293" s="2217"/>
      <c r="D293" s="2206" t="s">
        <v>4453</v>
      </c>
      <c r="E293" s="2204" t="s">
        <v>4454</v>
      </c>
      <c r="F293" s="2205"/>
      <c r="G293" s="429">
        <f t="shared" si="88"/>
        <v>0</v>
      </c>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c r="AN293" s="430"/>
      <c r="AO293" s="430"/>
      <c r="AP293" s="430"/>
      <c r="AQ293" s="431" t="e">
        <f>+G293/'11. Unit Mix'!$G$142</f>
        <v>#DIV/0!</v>
      </c>
      <c r="AR293" s="798" t="e">
        <f t="shared" si="89"/>
        <v>#DIV/0!</v>
      </c>
      <c r="AS293" s="97"/>
      <c r="AT293" s="97"/>
      <c r="AU293" s="97"/>
      <c r="AV293" s="97"/>
      <c r="AW293" s="97"/>
      <c r="AX293" s="97"/>
      <c r="AY293" s="97"/>
      <c r="AZ293" s="97"/>
      <c r="BA293" s="97"/>
      <c r="BB293" s="97"/>
      <c r="BC293" s="97"/>
      <c r="BD293" s="97"/>
      <c r="BE293" s="97"/>
      <c r="BF293" s="97"/>
      <c r="BG293" s="97"/>
      <c r="BH293" s="97"/>
      <c r="BI293" s="97"/>
      <c r="BJ293" s="97"/>
      <c r="BK293" s="97"/>
      <c r="BL293" s="97"/>
      <c r="BM293" s="3"/>
      <c r="BN293" s="3"/>
      <c r="BO293" s="3"/>
      <c r="BP293" s="3"/>
      <c r="BQ293" s="3"/>
      <c r="BR293" s="3"/>
      <c r="BS293" s="3"/>
      <c r="BT293" s="3"/>
      <c r="BU293" s="3"/>
      <c r="BV293" s="3"/>
      <c r="BW293" s="3"/>
      <c r="BX293" s="3"/>
      <c r="BY293" s="3"/>
      <c r="BZ293" s="3"/>
      <c r="CA293" s="3"/>
      <c r="CB293" s="3"/>
    </row>
    <row r="294" spans="2:80" s="399" customFormat="1" ht="15" hidden="1">
      <c r="B294" s="1117"/>
      <c r="C294" s="2217"/>
      <c r="D294" s="2202"/>
      <c r="E294" s="2204" t="s">
        <v>4455</v>
      </c>
      <c r="F294" s="2205"/>
      <c r="G294" s="429">
        <f t="shared" si="88"/>
        <v>0</v>
      </c>
      <c r="H294" s="430"/>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c r="AN294" s="430"/>
      <c r="AO294" s="430"/>
      <c r="AP294" s="430"/>
      <c r="AQ294" s="431" t="e">
        <f>+G294/'11. Unit Mix'!$G$142</f>
        <v>#DIV/0!</v>
      </c>
      <c r="AR294" s="798" t="e">
        <f t="shared" si="89"/>
        <v>#DIV/0!</v>
      </c>
      <c r="AS294" s="97"/>
      <c r="AT294" s="97"/>
      <c r="AU294" s="97"/>
      <c r="AV294" s="97"/>
      <c r="AW294" s="97"/>
      <c r="AX294" s="97"/>
      <c r="AY294" s="97"/>
      <c r="AZ294" s="97"/>
      <c r="BA294" s="97"/>
      <c r="BB294" s="97"/>
      <c r="BC294" s="97"/>
      <c r="BD294" s="97"/>
      <c r="BE294" s="97"/>
      <c r="BF294" s="97"/>
      <c r="BG294" s="97"/>
      <c r="BH294" s="97"/>
      <c r="BI294" s="97"/>
      <c r="BJ294" s="97"/>
      <c r="BK294" s="97"/>
      <c r="BL294" s="97"/>
      <c r="BM294" s="3"/>
      <c r="BN294" s="3"/>
      <c r="BO294" s="3"/>
      <c r="BP294" s="3"/>
      <c r="BQ294" s="3"/>
      <c r="BR294" s="3"/>
      <c r="BS294" s="3"/>
      <c r="BT294" s="3"/>
      <c r="BU294" s="3"/>
      <c r="BV294" s="3"/>
      <c r="BW294" s="3"/>
      <c r="BX294" s="3"/>
      <c r="BY294" s="3"/>
      <c r="BZ294" s="3"/>
      <c r="CA294" s="3"/>
      <c r="CB294" s="3"/>
    </row>
    <row r="295" spans="2:80" s="399" customFormat="1" ht="15" hidden="1">
      <c r="B295" s="1117"/>
      <c r="C295" s="2217"/>
      <c r="D295" s="2202"/>
      <c r="E295" s="2204" t="s">
        <v>4456</v>
      </c>
      <c r="F295" s="2205"/>
      <c r="G295" s="429">
        <f t="shared" si="88"/>
        <v>0</v>
      </c>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1" t="e">
        <f>+G295/'11. Unit Mix'!$G$142</f>
        <v>#DIV/0!</v>
      </c>
      <c r="AR295" s="798" t="e">
        <f t="shared" si="89"/>
        <v>#DIV/0!</v>
      </c>
      <c r="AS295" s="97"/>
      <c r="AT295" s="97"/>
      <c r="AU295" s="97"/>
      <c r="AV295" s="97"/>
      <c r="AW295" s="97"/>
      <c r="AX295" s="97"/>
      <c r="AY295" s="97"/>
      <c r="AZ295" s="97"/>
      <c r="BA295" s="97"/>
      <c r="BB295" s="97"/>
      <c r="BC295" s="97"/>
      <c r="BD295" s="97"/>
      <c r="BE295" s="97"/>
      <c r="BF295" s="97"/>
      <c r="BG295" s="97"/>
      <c r="BH295" s="97"/>
      <c r="BI295" s="97"/>
      <c r="BJ295" s="97"/>
      <c r="BK295" s="97"/>
      <c r="BL295" s="97"/>
      <c r="BM295" s="3"/>
      <c r="BN295" s="3"/>
      <c r="BO295" s="3"/>
      <c r="BP295" s="3"/>
      <c r="BQ295" s="3"/>
      <c r="BR295" s="3"/>
      <c r="BS295" s="3"/>
      <c r="BT295" s="3"/>
      <c r="BU295" s="3"/>
      <c r="BV295" s="3"/>
      <c r="BW295" s="3"/>
      <c r="BX295" s="3"/>
      <c r="BY295" s="3"/>
      <c r="BZ295" s="3"/>
      <c r="CA295" s="3"/>
      <c r="CB295" s="3"/>
    </row>
    <row r="296" spans="2:80" s="399" customFormat="1" ht="15" hidden="1">
      <c r="B296" s="1117"/>
      <c r="C296" s="2217"/>
      <c r="D296" s="2202"/>
      <c r="E296" s="2204" t="s">
        <v>4457</v>
      </c>
      <c r="F296" s="2205"/>
      <c r="G296" s="429">
        <f t="shared" si="88"/>
        <v>0</v>
      </c>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c r="AP296" s="430"/>
      <c r="AQ296" s="431" t="e">
        <f>+G296/'11. Unit Mix'!$G$142</f>
        <v>#DIV/0!</v>
      </c>
      <c r="AR296" s="798" t="e">
        <f t="shared" si="89"/>
        <v>#DIV/0!</v>
      </c>
      <c r="AS296" s="97"/>
      <c r="AT296" s="97"/>
      <c r="AU296" s="97"/>
      <c r="AV296" s="97"/>
      <c r="AW296" s="97"/>
      <c r="AX296" s="97"/>
      <c r="AY296" s="97"/>
      <c r="AZ296" s="97"/>
      <c r="BA296" s="97"/>
      <c r="BB296" s="97"/>
      <c r="BC296" s="97"/>
      <c r="BD296" s="97"/>
      <c r="BE296" s="97"/>
      <c r="BF296" s="97"/>
      <c r="BG296" s="97"/>
      <c r="BH296" s="97"/>
      <c r="BI296" s="97"/>
      <c r="BJ296" s="97"/>
      <c r="BK296" s="97"/>
      <c r="BL296" s="97"/>
      <c r="BM296" s="3"/>
      <c r="BN296" s="3"/>
      <c r="BO296" s="3"/>
      <c r="BP296" s="3"/>
      <c r="BQ296" s="3"/>
      <c r="BR296" s="3"/>
      <c r="BS296" s="3"/>
      <c r="BT296" s="3"/>
      <c r="BU296" s="3"/>
      <c r="BV296" s="3"/>
      <c r="BW296" s="3"/>
      <c r="BX296" s="3"/>
      <c r="BY296" s="3"/>
      <c r="BZ296" s="3"/>
      <c r="CA296" s="3"/>
      <c r="CB296" s="3"/>
    </row>
    <row r="297" spans="2:80" s="399" customFormat="1" ht="15" hidden="1">
      <c r="B297" s="1117"/>
      <c r="C297" s="2217"/>
      <c r="D297" s="2203"/>
      <c r="E297" s="2204" t="s">
        <v>4458</v>
      </c>
      <c r="F297" s="2205"/>
      <c r="G297" s="429">
        <f t="shared" si="88"/>
        <v>0</v>
      </c>
      <c r="H297" s="430"/>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c r="AN297" s="430"/>
      <c r="AO297" s="430"/>
      <c r="AP297" s="430"/>
      <c r="AQ297" s="431" t="e">
        <f>+G297/'11. Unit Mix'!$G$142</f>
        <v>#DIV/0!</v>
      </c>
      <c r="AR297" s="798" t="e">
        <f t="shared" si="89"/>
        <v>#DIV/0!</v>
      </c>
      <c r="AS297" s="97"/>
      <c r="AT297" s="97"/>
      <c r="AU297" s="97"/>
      <c r="AV297" s="97"/>
      <c r="AW297" s="97"/>
      <c r="AX297" s="97"/>
      <c r="AY297" s="97"/>
      <c r="AZ297" s="97"/>
      <c r="BA297" s="97"/>
      <c r="BB297" s="97"/>
      <c r="BC297" s="97"/>
      <c r="BD297" s="97"/>
      <c r="BE297" s="97"/>
      <c r="BF297" s="97"/>
      <c r="BG297" s="97"/>
      <c r="BH297" s="97"/>
      <c r="BI297" s="97"/>
      <c r="BJ297" s="97"/>
      <c r="BK297" s="97"/>
      <c r="BL297" s="97"/>
      <c r="BM297" s="3"/>
      <c r="BN297" s="3"/>
      <c r="BO297" s="3"/>
      <c r="BP297" s="3"/>
      <c r="BQ297" s="3"/>
      <c r="BR297" s="3"/>
      <c r="BS297" s="3"/>
      <c r="BT297" s="3"/>
      <c r="BU297" s="3"/>
      <c r="BV297" s="3"/>
      <c r="BW297" s="3"/>
      <c r="BX297" s="3"/>
      <c r="BY297" s="3"/>
      <c r="BZ297" s="3"/>
      <c r="CA297" s="3"/>
      <c r="CB297" s="3"/>
    </row>
    <row r="298" spans="2:80" s="399" customFormat="1" ht="15" hidden="1">
      <c r="B298" s="1117"/>
      <c r="C298" s="2217"/>
      <c r="D298" s="2206" t="s">
        <v>4459</v>
      </c>
      <c r="E298" s="2204" t="s">
        <v>4460</v>
      </c>
      <c r="F298" s="2205"/>
      <c r="G298" s="429">
        <f t="shared" si="88"/>
        <v>0</v>
      </c>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1" t="e">
        <f>+G298/'11. Unit Mix'!$G$142</f>
        <v>#DIV/0!</v>
      </c>
      <c r="AR298" s="798" t="e">
        <f t="shared" si="89"/>
        <v>#DIV/0!</v>
      </c>
      <c r="AS298" s="97"/>
      <c r="AT298" s="97"/>
      <c r="AU298" s="97"/>
      <c r="AV298" s="97"/>
      <c r="AW298" s="97"/>
      <c r="AX298" s="97"/>
      <c r="AY298" s="97"/>
      <c r="AZ298" s="97"/>
      <c r="BA298" s="97"/>
      <c r="BB298" s="97"/>
      <c r="BC298" s="97"/>
      <c r="BD298" s="97"/>
      <c r="BE298" s="97"/>
      <c r="BF298" s="97"/>
      <c r="BG298" s="97"/>
      <c r="BH298" s="97"/>
      <c r="BI298" s="97"/>
      <c r="BJ298" s="97"/>
      <c r="BK298" s="97"/>
      <c r="BL298" s="97"/>
      <c r="BM298" s="3"/>
      <c r="BN298" s="3"/>
      <c r="BO298" s="3"/>
      <c r="BP298" s="3"/>
      <c r="BQ298" s="3"/>
      <c r="BR298" s="3"/>
      <c r="BS298" s="3"/>
      <c r="BT298" s="3"/>
      <c r="BU298" s="3"/>
      <c r="BV298" s="3"/>
      <c r="BW298" s="3"/>
      <c r="BX298" s="3"/>
      <c r="BY298" s="3"/>
      <c r="BZ298" s="3"/>
      <c r="CA298" s="3"/>
      <c r="CB298" s="3"/>
    </row>
    <row r="299" spans="2:80" s="399" customFormat="1" ht="15" hidden="1">
      <c r="B299" s="1117"/>
      <c r="C299" s="2217"/>
      <c r="D299" s="2202"/>
      <c r="E299" s="2204" t="s">
        <v>4461</v>
      </c>
      <c r="F299" s="2205"/>
      <c r="G299" s="429">
        <f t="shared" si="88"/>
        <v>0</v>
      </c>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c r="AN299" s="430"/>
      <c r="AO299" s="430"/>
      <c r="AP299" s="430"/>
      <c r="AQ299" s="431" t="e">
        <f>+G299/'11. Unit Mix'!$G$142</f>
        <v>#DIV/0!</v>
      </c>
      <c r="AR299" s="798" t="e">
        <f t="shared" si="89"/>
        <v>#DIV/0!</v>
      </c>
      <c r="AS299" s="97"/>
      <c r="AT299" s="97"/>
      <c r="AU299" s="97"/>
      <c r="AV299" s="97"/>
      <c r="AW299" s="97"/>
      <c r="AX299" s="97"/>
      <c r="AY299" s="97"/>
      <c r="AZ299" s="97"/>
      <c r="BA299" s="97"/>
      <c r="BB299" s="97"/>
      <c r="BC299" s="97"/>
      <c r="BD299" s="97"/>
      <c r="BE299" s="97"/>
      <c r="BF299" s="97"/>
      <c r="BG299" s="97"/>
      <c r="BH299" s="97"/>
      <c r="BI299" s="97"/>
      <c r="BJ299" s="97"/>
      <c r="BK299" s="97"/>
      <c r="BL299" s="97"/>
      <c r="BM299" s="3"/>
      <c r="BN299" s="3"/>
      <c r="BO299" s="3"/>
      <c r="BP299" s="3"/>
      <c r="BQ299" s="3"/>
      <c r="BR299" s="3"/>
      <c r="BS299" s="3"/>
      <c r="BT299" s="3"/>
      <c r="BU299" s="3"/>
      <c r="BV299" s="3"/>
      <c r="BW299" s="3"/>
      <c r="BX299" s="3"/>
      <c r="BY299" s="3"/>
      <c r="BZ299" s="3"/>
      <c r="CA299" s="3"/>
      <c r="CB299" s="3"/>
    </row>
    <row r="300" spans="2:80" s="399" customFormat="1" ht="15" hidden="1">
      <c r="B300" s="1117"/>
      <c r="C300" s="2217"/>
      <c r="D300" s="2202"/>
      <c r="E300" s="2204" t="s">
        <v>4462</v>
      </c>
      <c r="F300" s="2205"/>
      <c r="G300" s="429">
        <f t="shared" si="88"/>
        <v>0</v>
      </c>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c r="AN300" s="430"/>
      <c r="AO300" s="430"/>
      <c r="AP300" s="430"/>
      <c r="AQ300" s="431" t="e">
        <f>+G300/'11. Unit Mix'!$G$142</f>
        <v>#DIV/0!</v>
      </c>
      <c r="AR300" s="798" t="e">
        <f t="shared" si="89"/>
        <v>#DIV/0!</v>
      </c>
      <c r="AS300" s="97"/>
      <c r="AT300" s="97"/>
      <c r="AU300" s="97"/>
      <c r="AV300" s="97"/>
      <c r="AW300" s="97"/>
      <c r="AX300" s="97"/>
      <c r="AY300" s="97"/>
      <c r="AZ300" s="97"/>
      <c r="BA300" s="97"/>
      <c r="BB300" s="97"/>
      <c r="BC300" s="97"/>
      <c r="BD300" s="97"/>
      <c r="BE300" s="97"/>
      <c r="BF300" s="97"/>
      <c r="BG300" s="97"/>
      <c r="BH300" s="97"/>
      <c r="BI300" s="97"/>
      <c r="BJ300" s="97"/>
      <c r="BK300" s="97"/>
      <c r="BL300" s="97"/>
      <c r="BM300" s="3"/>
      <c r="BN300" s="3"/>
      <c r="BO300" s="3"/>
      <c r="BP300" s="3"/>
      <c r="BQ300" s="3"/>
      <c r="BR300" s="3"/>
      <c r="BS300" s="3"/>
      <c r="BT300" s="3"/>
      <c r="BU300" s="3"/>
      <c r="BV300" s="3"/>
      <c r="BW300" s="3"/>
      <c r="BX300" s="3"/>
      <c r="BY300" s="3"/>
      <c r="BZ300" s="3"/>
      <c r="CA300" s="3"/>
      <c r="CB300" s="3"/>
    </row>
    <row r="301" spans="2:80" s="399" customFormat="1" ht="15" hidden="1">
      <c r="B301" s="1117"/>
      <c r="C301" s="2217"/>
      <c r="D301" s="2202"/>
      <c r="E301" s="2204" t="s">
        <v>4463</v>
      </c>
      <c r="F301" s="2205"/>
      <c r="G301" s="429">
        <f t="shared" si="88"/>
        <v>0</v>
      </c>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c r="AN301" s="430"/>
      <c r="AO301" s="430"/>
      <c r="AP301" s="430"/>
      <c r="AQ301" s="431" t="e">
        <f>+G301/'11. Unit Mix'!$G$142</f>
        <v>#DIV/0!</v>
      </c>
      <c r="AR301" s="798" t="e">
        <f t="shared" si="89"/>
        <v>#DIV/0!</v>
      </c>
      <c r="AS301" s="97"/>
      <c r="AT301" s="97"/>
      <c r="AU301" s="97"/>
      <c r="AV301" s="97"/>
      <c r="AW301" s="97"/>
      <c r="AX301" s="97"/>
      <c r="AY301" s="97"/>
      <c r="AZ301" s="97"/>
      <c r="BA301" s="97"/>
      <c r="BB301" s="97"/>
      <c r="BC301" s="97"/>
      <c r="BD301" s="97"/>
      <c r="BE301" s="97"/>
      <c r="BF301" s="97"/>
      <c r="BG301" s="97"/>
      <c r="BH301" s="97"/>
      <c r="BI301" s="97"/>
      <c r="BJ301" s="97"/>
      <c r="BK301" s="97"/>
      <c r="BL301" s="97"/>
      <c r="BM301" s="3"/>
      <c r="BN301" s="3"/>
      <c r="BO301" s="3"/>
      <c r="BP301" s="3"/>
      <c r="BQ301" s="3"/>
      <c r="BR301" s="3"/>
      <c r="BS301" s="3"/>
      <c r="BT301" s="3"/>
      <c r="BU301" s="3"/>
      <c r="BV301" s="3"/>
      <c r="BW301" s="3"/>
      <c r="BX301" s="3"/>
      <c r="BY301" s="3"/>
      <c r="BZ301" s="3"/>
      <c r="CA301" s="3"/>
      <c r="CB301" s="3"/>
    </row>
    <row r="302" spans="2:80" s="399" customFormat="1" ht="15" hidden="1">
      <c r="B302" s="1117"/>
      <c r="C302" s="2217"/>
      <c r="D302" s="2202"/>
      <c r="E302" s="2204" t="s">
        <v>4464</v>
      </c>
      <c r="F302" s="2205"/>
      <c r="G302" s="429">
        <f t="shared" si="88"/>
        <v>0</v>
      </c>
      <c r="H302" s="430"/>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c r="AN302" s="430"/>
      <c r="AO302" s="430"/>
      <c r="AP302" s="430"/>
      <c r="AQ302" s="431" t="e">
        <f>+G302/'11. Unit Mix'!$G$142</f>
        <v>#DIV/0!</v>
      </c>
      <c r="AR302" s="798" t="e">
        <f t="shared" si="89"/>
        <v>#DIV/0!</v>
      </c>
      <c r="AS302" s="97"/>
      <c r="AT302" s="97"/>
      <c r="AU302" s="97"/>
      <c r="AV302" s="97"/>
      <c r="AW302" s="97"/>
      <c r="AX302" s="97"/>
      <c r="AY302" s="97"/>
      <c r="AZ302" s="97"/>
      <c r="BA302" s="97"/>
      <c r="BB302" s="97"/>
      <c r="BC302" s="97"/>
      <c r="BD302" s="97"/>
      <c r="BE302" s="97"/>
      <c r="BF302" s="97"/>
      <c r="BG302" s="97"/>
      <c r="BH302" s="97"/>
      <c r="BI302" s="97"/>
      <c r="BJ302" s="97"/>
      <c r="BK302" s="97"/>
      <c r="BL302" s="97"/>
      <c r="BM302" s="3"/>
      <c r="BN302" s="3"/>
      <c r="BO302" s="3"/>
      <c r="BP302" s="3"/>
      <c r="BQ302" s="3"/>
      <c r="BR302" s="3"/>
      <c r="BS302" s="3"/>
      <c r="BT302" s="3"/>
      <c r="BU302" s="3"/>
      <c r="BV302" s="3"/>
      <c r="BW302" s="3"/>
      <c r="BX302" s="3"/>
      <c r="BY302" s="3"/>
      <c r="BZ302" s="3"/>
      <c r="CA302" s="3"/>
      <c r="CB302" s="3"/>
    </row>
    <row r="303" spans="2:80" s="399" customFormat="1" ht="15" hidden="1">
      <c r="B303" s="1117"/>
      <c r="C303" s="2217"/>
      <c r="D303" s="2202"/>
      <c r="E303" s="2204" t="s">
        <v>4465</v>
      </c>
      <c r="F303" s="2205"/>
      <c r="G303" s="429">
        <f t="shared" si="88"/>
        <v>0</v>
      </c>
      <c r="H303" s="430"/>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c r="AN303" s="430"/>
      <c r="AO303" s="430"/>
      <c r="AP303" s="430"/>
      <c r="AQ303" s="431" t="e">
        <f>+G303/'11. Unit Mix'!$G$142</f>
        <v>#DIV/0!</v>
      </c>
      <c r="AR303" s="798" t="e">
        <f t="shared" si="89"/>
        <v>#DIV/0!</v>
      </c>
      <c r="AS303" s="97"/>
      <c r="AT303" s="97"/>
      <c r="AU303" s="97"/>
      <c r="AV303" s="97"/>
      <c r="AW303" s="97"/>
      <c r="AX303" s="97"/>
      <c r="AY303" s="97"/>
      <c r="AZ303" s="97"/>
      <c r="BA303" s="97"/>
      <c r="BB303" s="97"/>
      <c r="BC303" s="97"/>
      <c r="BD303" s="97"/>
      <c r="BE303" s="97"/>
      <c r="BF303" s="97"/>
      <c r="BG303" s="97"/>
      <c r="BH303" s="97"/>
      <c r="BI303" s="97"/>
      <c r="BJ303" s="97"/>
      <c r="BK303" s="97"/>
      <c r="BL303" s="97"/>
      <c r="BM303" s="3"/>
      <c r="BN303" s="3"/>
      <c r="BO303" s="3"/>
      <c r="BP303" s="3"/>
      <c r="BQ303" s="3"/>
      <c r="BR303" s="3"/>
      <c r="BS303" s="3"/>
      <c r="BT303" s="3"/>
      <c r="BU303" s="3"/>
      <c r="BV303" s="3"/>
      <c r="BW303" s="3"/>
      <c r="BX303" s="3"/>
      <c r="BY303" s="3"/>
      <c r="BZ303" s="3"/>
      <c r="CA303" s="3"/>
      <c r="CB303" s="3"/>
    </row>
    <row r="304" spans="2:80" s="399" customFormat="1" ht="15" hidden="1">
      <c r="B304" s="1117"/>
      <c r="C304" s="2217"/>
      <c r="D304" s="2202"/>
      <c r="E304" s="2204" t="s">
        <v>4466</v>
      </c>
      <c r="F304" s="2205"/>
      <c r="G304" s="429">
        <f t="shared" si="88"/>
        <v>0</v>
      </c>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c r="AN304" s="430"/>
      <c r="AO304" s="430"/>
      <c r="AP304" s="430"/>
      <c r="AQ304" s="431" t="e">
        <f>+G304/'11. Unit Mix'!$G$142</f>
        <v>#DIV/0!</v>
      </c>
      <c r="AR304" s="798" t="e">
        <f t="shared" si="89"/>
        <v>#DIV/0!</v>
      </c>
      <c r="AS304" s="97"/>
      <c r="AT304" s="97"/>
      <c r="AU304" s="97"/>
      <c r="AV304" s="97"/>
      <c r="AW304" s="97"/>
      <c r="AX304" s="97"/>
      <c r="AY304" s="97"/>
      <c r="AZ304" s="97"/>
      <c r="BA304" s="97"/>
      <c r="BB304" s="97"/>
      <c r="BC304" s="97"/>
      <c r="BD304" s="97"/>
      <c r="BE304" s="97"/>
      <c r="BF304" s="97"/>
      <c r="BG304" s="97"/>
      <c r="BH304" s="97"/>
      <c r="BI304" s="97"/>
      <c r="BJ304" s="97"/>
      <c r="BK304" s="97"/>
      <c r="BL304" s="97"/>
      <c r="BM304" s="3"/>
      <c r="BN304" s="3"/>
      <c r="BO304" s="3"/>
      <c r="BP304" s="3"/>
      <c r="BQ304" s="3"/>
      <c r="BR304" s="3"/>
      <c r="BS304" s="3"/>
      <c r="BT304" s="3"/>
      <c r="BU304" s="3"/>
      <c r="BV304" s="3"/>
      <c r="BW304" s="3"/>
      <c r="BX304" s="3"/>
      <c r="BY304" s="3"/>
      <c r="BZ304" s="3"/>
      <c r="CA304" s="3"/>
      <c r="CB304" s="3"/>
    </row>
    <row r="305" spans="2:80" s="399" customFormat="1" ht="15" hidden="1">
      <c r="B305" s="1117"/>
      <c r="C305" s="2217"/>
      <c r="D305" s="2203"/>
      <c r="E305" s="2204" t="s">
        <v>4467</v>
      </c>
      <c r="F305" s="2205"/>
      <c r="G305" s="429">
        <f t="shared" si="88"/>
        <v>0</v>
      </c>
      <c r="H305" s="430"/>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c r="AN305" s="430"/>
      <c r="AO305" s="430"/>
      <c r="AP305" s="430"/>
      <c r="AQ305" s="431" t="e">
        <f>+G305/'11. Unit Mix'!$G$142</f>
        <v>#DIV/0!</v>
      </c>
      <c r="AR305" s="798" t="e">
        <f t="shared" si="89"/>
        <v>#DIV/0!</v>
      </c>
      <c r="AS305" s="97"/>
      <c r="AT305" s="97"/>
      <c r="AU305" s="97"/>
      <c r="AV305" s="97"/>
      <c r="AW305" s="97"/>
      <c r="AX305" s="97"/>
      <c r="AY305" s="97"/>
      <c r="AZ305" s="97"/>
      <c r="BA305" s="97"/>
      <c r="BB305" s="97"/>
      <c r="BC305" s="97"/>
      <c r="BD305" s="97"/>
      <c r="BE305" s="97"/>
      <c r="BF305" s="97"/>
      <c r="BG305" s="97"/>
      <c r="BH305" s="97"/>
      <c r="BI305" s="97"/>
      <c r="BJ305" s="97"/>
      <c r="BK305" s="97"/>
      <c r="BL305" s="97"/>
      <c r="BM305" s="3"/>
      <c r="BN305" s="3"/>
      <c r="BO305" s="3"/>
      <c r="BP305" s="3"/>
      <c r="BQ305" s="3"/>
      <c r="BR305" s="3"/>
      <c r="BS305" s="3"/>
      <c r="BT305" s="3"/>
      <c r="BU305" s="3"/>
      <c r="BV305" s="3"/>
      <c r="BW305" s="3"/>
      <c r="BX305" s="3"/>
      <c r="BY305" s="3"/>
      <c r="BZ305" s="3"/>
      <c r="CA305" s="3"/>
      <c r="CB305" s="3"/>
    </row>
    <row r="306" spans="2:80" s="399" customFormat="1" ht="15" hidden="1">
      <c r="B306" s="1117"/>
      <c r="C306" s="2217"/>
      <c r="D306" s="2206" t="s">
        <v>4468</v>
      </c>
      <c r="E306" s="2204" t="s">
        <v>4469</v>
      </c>
      <c r="F306" s="2205"/>
      <c r="G306" s="429">
        <f t="shared" si="88"/>
        <v>0</v>
      </c>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c r="AN306" s="430"/>
      <c r="AO306" s="430"/>
      <c r="AP306" s="430"/>
      <c r="AQ306" s="431" t="e">
        <f>+G306/'11. Unit Mix'!$G$142</f>
        <v>#DIV/0!</v>
      </c>
      <c r="AR306" s="798" t="e">
        <f t="shared" si="89"/>
        <v>#DIV/0!</v>
      </c>
      <c r="AS306" s="97"/>
      <c r="AT306" s="97"/>
      <c r="AU306" s="97"/>
      <c r="AV306" s="97"/>
      <c r="AW306" s="97"/>
      <c r="AX306" s="97"/>
      <c r="AY306" s="97"/>
      <c r="AZ306" s="97"/>
      <c r="BA306" s="97"/>
      <c r="BB306" s="97"/>
      <c r="BC306" s="97"/>
      <c r="BD306" s="97"/>
      <c r="BE306" s="97"/>
      <c r="BF306" s="97"/>
      <c r="BG306" s="97"/>
      <c r="BH306" s="97"/>
      <c r="BI306" s="97"/>
      <c r="BJ306" s="97"/>
      <c r="BK306" s="97"/>
      <c r="BL306" s="97"/>
      <c r="BM306" s="3"/>
      <c r="BN306" s="3"/>
      <c r="BO306" s="3"/>
      <c r="BP306" s="3"/>
      <c r="BQ306" s="3"/>
      <c r="BR306" s="3"/>
      <c r="BS306" s="3"/>
      <c r="BT306" s="3"/>
      <c r="BU306" s="3"/>
      <c r="BV306" s="3"/>
      <c r="BW306" s="3"/>
      <c r="BX306" s="3"/>
      <c r="BY306" s="3"/>
      <c r="BZ306" s="3"/>
      <c r="CA306" s="3"/>
      <c r="CB306" s="3"/>
    </row>
    <row r="307" spans="2:80" s="399" customFormat="1" ht="15" hidden="1">
      <c r="B307" s="1117"/>
      <c r="C307" s="2217"/>
      <c r="D307" s="2202"/>
      <c r="E307" s="2204" t="s">
        <v>4470</v>
      </c>
      <c r="F307" s="2205"/>
      <c r="G307" s="429">
        <f t="shared" si="88"/>
        <v>0</v>
      </c>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c r="AN307" s="430"/>
      <c r="AO307" s="430"/>
      <c r="AP307" s="430"/>
      <c r="AQ307" s="431" t="e">
        <f>+G307/'11. Unit Mix'!$G$142</f>
        <v>#DIV/0!</v>
      </c>
      <c r="AR307" s="798" t="e">
        <f t="shared" si="89"/>
        <v>#DIV/0!</v>
      </c>
      <c r="AS307" s="97"/>
      <c r="AT307" s="97"/>
      <c r="AU307" s="97"/>
      <c r="AV307" s="97"/>
      <c r="AW307" s="97"/>
      <c r="AX307" s="97"/>
      <c r="AY307" s="97"/>
      <c r="AZ307" s="97"/>
      <c r="BA307" s="97"/>
      <c r="BB307" s="97"/>
      <c r="BC307" s="97"/>
      <c r="BD307" s="97"/>
      <c r="BE307" s="97"/>
      <c r="BF307" s="97"/>
      <c r="BG307" s="97"/>
      <c r="BH307" s="97"/>
      <c r="BI307" s="97"/>
      <c r="BJ307" s="97"/>
      <c r="BK307" s="97"/>
      <c r="BL307" s="97"/>
      <c r="BM307" s="3"/>
      <c r="BN307" s="3"/>
      <c r="BO307" s="3"/>
      <c r="BP307" s="3"/>
      <c r="BQ307" s="3"/>
      <c r="BR307" s="3"/>
      <c r="BS307" s="3"/>
      <c r="BT307" s="3"/>
      <c r="BU307" s="3"/>
      <c r="BV307" s="3"/>
      <c r="BW307" s="3"/>
      <c r="BX307" s="3"/>
      <c r="BY307" s="3"/>
      <c r="BZ307" s="3"/>
      <c r="CA307" s="3"/>
      <c r="CB307" s="3"/>
    </row>
    <row r="308" spans="2:80" s="399" customFormat="1" ht="15" hidden="1">
      <c r="B308" s="1117"/>
      <c r="C308" s="2217"/>
      <c r="D308" s="2202"/>
      <c r="E308" s="2204" t="s">
        <v>4471</v>
      </c>
      <c r="F308" s="2205"/>
      <c r="G308" s="429">
        <f t="shared" si="88"/>
        <v>0</v>
      </c>
      <c r="H308" s="430"/>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c r="AN308" s="430"/>
      <c r="AO308" s="430"/>
      <c r="AP308" s="430"/>
      <c r="AQ308" s="431" t="e">
        <f>+G308/'11. Unit Mix'!$G$142</f>
        <v>#DIV/0!</v>
      </c>
      <c r="AR308" s="798" t="e">
        <f t="shared" si="89"/>
        <v>#DIV/0!</v>
      </c>
      <c r="AS308" s="97"/>
      <c r="AT308" s="97"/>
      <c r="AU308" s="97"/>
      <c r="AV308" s="97"/>
      <c r="AW308" s="97"/>
      <c r="AX308" s="97"/>
      <c r="AY308" s="97"/>
      <c r="AZ308" s="97"/>
      <c r="BA308" s="97"/>
      <c r="BB308" s="97"/>
      <c r="BC308" s="97"/>
      <c r="BD308" s="97"/>
      <c r="BE308" s="97"/>
      <c r="BF308" s="97"/>
      <c r="BG308" s="97"/>
      <c r="BH308" s="97"/>
      <c r="BI308" s="97"/>
      <c r="BJ308" s="97"/>
      <c r="BK308" s="97"/>
      <c r="BL308" s="97"/>
      <c r="BM308" s="3"/>
      <c r="BN308" s="3"/>
      <c r="BO308" s="3"/>
      <c r="BP308" s="3"/>
      <c r="BQ308" s="3"/>
      <c r="BR308" s="3"/>
      <c r="BS308" s="3"/>
      <c r="BT308" s="3"/>
      <c r="BU308" s="3"/>
      <c r="BV308" s="3"/>
      <c r="BW308" s="3"/>
      <c r="BX308" s="3"/>
      <c r="BY308" s="3"/>
      <c r="BZ308" s="3"/>
      <c r="CA308" s="3"/>
      <c r="CB308" s="3"/>
    </row>
    <row r="309" spans="2:80" s="399" customFormat="1" ht="15" hidden="1">
      <c r="B309" s="1117"/>
      <c r="C309" s="2217"/>
      <c r="D309" s="2203"/>
      <c r="E309" s="2204" t="s">
        <v>4472</v>
      </c>
      <c r="F309" s="2205"/>
      <c r="G309" s="429">
        <f t="shared" si="88"/>
        <v>0</v>
      </c>
      <c r="H309" s="430"/>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c r="AP309" s="430"/>
      <c r="AQ309" s="431" t="e">
        <f>+G309/'11. Unit Mix'!$G$142</f>
        <v>#DIV/0!</v>
      </c>
      <c r="AR309" s="798" t="e">
        <f t="shared" si="89"/>
        <v>#DIV/0!</v>
      </c>
      <c r="AS309" s="97"/>
      <c r="AT309" s="97"/>
      <c r="AU309" s="97"/>
      <c r="AV309" s="97"/>
      <c r="AW309" s="97"/>
      <c r="AX309" s="97"/>
      <c r="AY309" s="97"/>
      <c r="AZ309" s="97"/>
      <c r="BA309" s="97"/>
      <c r="BB309" s="97"/>
      <c r="BC309" s="97"/>
      <c r="BD309" s="97"/>
      <c r="BE309" s="97"/>
      <c r="BF309" s="97"/>
      <c r="BG309" s="97"/>
      <c r="BH309" s="97"/>
      <c r="BI309" s="97"/>
      <c r="BJ309" s="97"/>
      <c r="BK309" s="97"/>
      <c r="BL309" s="97"/>
      <c r="BM309" s="3"/>
      <c r="BN309" s="3"/>
      <c r="BO309" s="3"/>
      <c r="BP309" s="3"/>
      <c r="BQ309" s="3"/>
      <c r="BR309" s="3"/>
      <c r="BS309" s="3"/>
      <c r="BT309" s="3"/>
      <c r="BU309" s="3"/>
      <c r="BV309" s="3"/>
      <c r="BW309" s="3"/>
      <c r="BX309" s="3"/>
      <c r="BY309" s="3"/>
      <c r="BZ309" s="3"/>
      <c r="CA309" s="3"/>
      <c r="CB309" s="3"/>
    </row>
    <row r="310" spans="2:80" s="399" customFormat="1" ht="15" hidden="1">
      <c r="B310" s="1117"/>
      <c r="C310" s="2217"/>
      <c r="D310" s="2206" t="s">
        <v>4473</v>
      </c>
      <c r="E310" s="2204" t="s">
        <v>4474</v>
      </c>
      <c r="F310" s="2205"/>
      <c r="G310" s="429">
        <f t="shared" si="88"/>
        <v>0</v>
      </c>
      <c r="H310" s="430"/>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c r="AN310" s="430"/>
      <c r="AO310" s="430"/>
      <c r="AP310" s="430"/>
      <c r="AQ310" s="431" t="e">
        <f>+G310/'11. Unit Mix'!$G$142</f>
        <v>#DIV/0!</v>
      </c>
      <c r="AR310" s="798" t="e">
        <f t="shared" si="89"/>
        <v>#DIV/0!</v>
      </c>
      <c r="AS310" s="97"/>
      <c r="AT310" s="97"/>
      <c r="AU310" s="97"/>
      <c r="AV310" s="97"/>
      <c r="AW310" s="97"/>
      <c r="AX310" s="97"/>
      <c r="AY310" s="97"/>
      <c r="AZ310" s="97"/>
      <c r="BA310" s="97"/>
      <c r="BB310" s="97"/>
      <c r="BC310" s="97"/>
      <c r="BD310" s="97"/>
      <c r="BE310" s="97"/>
      <c r="BF310" s="97"/>
      <c r="BG310" s="97"/>
      <c r="BH310" s="97"/>
      <c r="BI310" s="97"/>
      <c r="BJ310" s="97"/>
      <c r="BK310" s="97"/>
      <c r="BL310" s="97"/>
      <c r="BM310" s="3"/>
      <c r="BN310" s="3"/>
      <c r="BO310" s="3"/>
      <c r="BP310" s="3"/>
      <c r="BQ310" s="3"/>
      <c r="BR310" s="3"/>
      <c r="BS310" s="3"/>
      <c r="BT310" s="3"/>
      <c r="BU310" s="3"/>
      <c r="BV310" s="3"/>
      <c r="BW310" s="3"/>
      <c r="BX310" s="3"/>
      <c r="BY310" s="3"/>
      <c r="BZ310" s="3"/>
      <c r="CA310" s="3"/>
      <c r="CB310" s="3"/>
    </row>
    <row r="311" spans="2:80" s="399" customFormat="1" ht="15" hidden="1">
      <c r="B311" s="1117"/>
      <c r="C311" s="2217"/>
      <c r="D311" s="2202"/>
      <c r="E311" s="2204" t="s">
        <v>4475</v>
      </c>
      <c r="F311" s="2205"/>
      <c r="G311" s="429">
        <f t="shared" si="88"/>
        <v>0</v>
      </c>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c r="AN311" s="430"/>
      <c r="AO311" s="430"/>
      <c r="AP311" s="430"/>
      <c r="AQ311" s="431" t="e">
        <f>+G311/'11. Unit Mix'!$G$142</f>
        <v>#DIV/0!</v>
      </c>
      <c r="AR311" s="798" t="e">
        <f t="shared" si="89"/>
        <v>#DIV/0!</v>
      </c>
      <c r="AS311" s="97"/>
      <c r="AT311" s="97"/>
      <c r="AU311" s="97"/>
      <c r="AV311" s="97"/>
      <c r="AW311" s="97"/>
      <c r="AX311" s="97"/>
      <c r="AY311" s="97"/>
      <c r="AZ311" s="97"/>
      <c r="BA311" s="97"/>
      <c r="BB311" s="97"/>
      <c r="BC311" s="97"/>
      <c r="BD311" s="97"/>
      <c r="BE311" s="97"/>
      <c r="BF311" s="97"/>
      <c r="BG311" s="97"/>
      <c r="BH311" s="97"/>
      <c r="BI311" s="97"/>
      <c r="BJ311" s="97"/>
      <c r="BK311" s="97"/>
      <c r="BL311" s="97"/>
      <c r="BM311" s="3"/>
      <c r="BN311" s="3"/>
      <c r="BO311" s="3"/>
      <c r="BP311" s="3"/>
      <c r="BQ311" s="3"/>
      <c r="BR311" s="3"/>
      <c r="BS311" s="3"/>
      <c r="BT311" s="3"/>
      <c r="BU311" s="3"/>
      <c r="BV311" s="3"/>
      <c r="BW311" s="3"/>
      <c r="BX311" s="3"/>
      <c r="BY311" s="3"/>
      <c r="BZ311" s="3"/>
      <c r="CA311" s="3"/>
      <c r="CB311" s="3"/>
    </row>
    <row r="312" spans="2:80" s="399" customFormat="1" ht="15" hidden="1">
      <c r="B312" s="1117"/>
      <c r="C312" s="2217"/>
      <c r="D312" s="2202"/>
      <c r="E312" s="2204" t="s">
        <v>4476</v>
      </c>
      <c r="F312" s="2205"/>
      <c r="G312" s="429">
        <f t="shared" si="88"/>
        <v>0</v>
      </c>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c r="AN312" s="430"/>
      <c r="AO312" s="430"/>
      <c r="AP312" s="430"/>
      <c r="AQ312" s="431" t="e">
        <f>+G312/'11. Unit Mix'!$G$142</f>
        <v>#DIV/0!</v>
      </c>
      <c r="AR312" s="798" t="e">
        <f t="shared" si="89"/>
        <v>#DIV/0!</v>
      </c>
      <c r="AS312" s="97"/>
      <c r="AT312" s="97"/>
      <c r="AU312" s="97"/>
      <c r="AV312" s="97"/>
      <c r="AW312" s="97"/>
      <c r="AX312" s="97"/>
      <c r="AY312" s="97"/>
      <c r="AZ312" s="97"/>
      <c r="BA312" s="97"/>
      <c r="BB312" s="97"/>
      <c r="BC312" s="97"/>
      <c r="BD312" s="97"/>
      <c r="BE312" s="97"/>
      <c r="BF312" s="97"/>
      <c r="BG312" s="97"/>
      <c r="BH312" s="97"/>
      <c r="BI312" s="97"/>
      <c r="BJ312" s="97"/>
      <c r="BK312" s="97"/>
      <c r="BL312" s="97"/>
      <c r="BM312" s="3"/>
      <c r="BN312" s="3"/>
      <c r="BO312" s="3"/>
      <c r="BP312" s="3"/>
      <c r="BQ312" s="3"/>
      <c r="BR312" s="3"/>
      <c r="BS312" s="3"/>
      <c r="BT312" s="3"/>
      <c r="BU312" s="3"/>
      <c r="BV312" s="3"/>
      <c r="BW312" s="3"/>
      <c r="BX312" s="3"/>
      <c r="BY312" s="3"/>
      <c r="BZ312" s="3"/>
      <c r="CA312" s="3"/>
      <c r="CB312" s="3"/>
    </row>
    <row r="313" spans="2:80" s="399" customFormat="1" ht="15" hidden="1">
      <c r="B313" s="1117"/>
      <c r="C313" s="2217"/>
      <c r="D313" s="2203"/>
      <c r="E313" s="2204" t="s">
        <v>4477</v>
      </c>
      <c r="F313" s="2205"/>
      <c r="G313" s="429">
        <f t="shared" si="88"/>
        <v>0</v>
      </c>
      <c r="H313" s="430"/>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c r="AN313" s="430"/>
      <c r="AO313" s="430"/>
      <c r="AP313" s="430"/>
      <c r="AQ313" s="431" t="e">
        <f>+G313/'11. Unit Mix'!$G$142</f>
        <v>#DIV/0!</v>
      </c>
      <c r="AR313" s="798" t="e">
        <f t="shared" si="89"/>
        <v>#DIV/0!</v>
      </c>
      <c r="AS313" s="97"/>
      <c r="AT313" s="97"/>
      <c r="AU313" s="97"/>
      <c r="AV313" s="97"/>
      <c r="AW313" s="97"/>
      <c r="AX313" s="97"/>
      <c r="AY313" s="97"/>
      <c r="AZ313" s="97"/>
      <c r="BA313" s="97"/>
      <c r="BB313" s="97"/>
      <c r="BC313" s="97"/>
      <c r="BD313" s="97"/>
      <c r="BE313" s="97"/>
      <c r="BF313" s="97"/>
      <c r="BG313" s="97"/>
      <c r="BH313" s="97"/>
      <c r="BI313" s="97"/>
      <c r="BJ313" s="97"/>
      <c r="BK313" s="97"/>
      <c r="BL313" s="97"/>
      <c r="BM313" s="3"/>
      <c r="BN313" s="3"/>
      <c r="BO313" s="3"/>
      <c r="BP313" s="3"/>
      <c r="BQ313" s="3"/>
      <c r="BR313" s="3"/>
      <c r="BS313" s="3"/>
      <c r="BT313" s="3"/>
      <c r="BU313" s="3"/>
      <c r="BV313" s="3"/>
      <c r="BW313" s="3"/>
      <c r="BX313" s="3"/>
      <c r="BY313" s="3"/>
      <c r="BZ313" s="3"/>
      <c r="CA313" s="3"/>
      <c r="CB313" s="3"/>
    </row>
    <row r="314" spans="2:80" s="399" customFormat="1" ht="15" hidden="1">
      <c r="B314" s="1117"/>
      <c r="C314" s="2217"/>
      <c r="D314" s="2222" t="s">
        <v>365</v>
      </c>
      <c r="E314" s="403" t="s">
        <v>365</v>
      </c>
      <c r="F314" s="404"/>
      <c r="G314" s="429">
        <f t="shared" si="88"/>
        <v>0</v>
      </c>
      <c r="H314" s="430"/>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c r="AN314" s="430"/>
      <c r="AO314" s="430"/>
      <c r="AP314" s="430"/>
      <c r="AQ314" s="431" t="e">
        <f>+G314/'11. Unit Mix'!$G$142</f>
        <v>#DIV/0!</v>
      </c>
      <c r="AR314" s="798" t="e">
        <f t="shared" si="89"/>
        <v>#DIV/0!</v>
      </c>
      <c r="AS314" s="97"/>
      <c r="AT314" s="97"/>
      <c r="AU314" s="97"/>
      <c r="AV314" s="97"/>
      <c r="AW314" s="97"/>
      <c r="AX314" s="97"/>
      <c r="AY314" s="97"/>
      <c r="AZ314" s="97"/>
      <c r="BA314" s="97"/>
      <c r="BB314" s="97"/>
      <c r="BC314" s="97"/>
      <c r="BD314" s="97"/>
      <c r="BE314" s="97"/>
      <c r="BF314" s="97"/>
      <c r="BG314" s="97"/>
      <c r="BH314" s="97"/>
      <c r="BI314" s="97"/>
      <c r="BJ314" s="97"/>
      <c r="BK314" s="97"/>
      <c r="BL314" s="97"/>
      <c r="BM314" s="3"/>
      <c r="BN314" s="3"/>
      <c r="BO314" s="3"/>
      <c r="BP314" s="3"/>
      <c r="BQ314" s="3"/>
      <c r="BR314" s="3"/>
      <c r="BS314" s="3"/>
      <c r="BT314" s="3"/>
      <c r="BU314" s="3"/>
      <c r="BV314" s="3"/>
      <c r="BW314" s="3"/>
      <c r="BX314" s="3"/>
      <c r="BY314" s="3"/>
      <c r="BZ314" s="3"/>
      <c r="CA314" s="3"/>
      <c r="CB314" s="3"/>
    </row>
    <row r="315" spans="2:80" s="399" customFormat="1" ht="15" hidden="1">
      <c r="B315" s="1117"/>
      <c r="C315" s="2218"/>
      <c r="D315" s="2222"/>
      <c r="E315" s="403" t="s">
        <v>365</v>
      </c>
      <c r="F315" s="404"/>
      <c r="G315" s="429">
        <f t="shared" si="88"/>
        <v>0</v>
      </c>
      <c r="H315" s="430"/>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c r="AN315" s="430"/>
      <c r="AO315" s="430"/>
      <c r="AP315" s="430"/>
      <c r="AQ315" s="431" t="e">
        <f>+G315/'11. Unit Mix'!$G$142</f>
        <v>#DIV/0!</v>
      </c>
      <c r="AR315" s="798" t="e">
        <f t="shared" si="89"/>
        <v>#DIV/0!</v>
      </c>
      <c r="AS315" s="97"/>
      <c r="AT315" s="97"/>
      <c r="AU315" s="97"/>
      <c r="AV315" s="97"/>
      <c r="AW315" s="97"/>
      <c r="AX315" s="97"/>
      <c r="AY315" s="97"/>
      <c r="AZ315" s="97"/>
      <c r="BA315" s="97"/>
      <c r="BB315" s="97"/>
      <c r="BC315" s="97"/>
      <c r="BD315" s="97"/>
      <c r="BE315" s="97"/>
      <c r="BF315" s="97"/>
      <c r="BG315" s="97"/>
      <c r="BH315" s="97"/>
      <c r="BI315" s="97"/>
      <c r="BJ315" s="97"/>
      <c r="BK315" s="97"/>
      <c r="BL315" s="97"/>
      <c r="BM315" s="3"/>
      <c r="BN315" s="3"/>
      <c r="BO315" s="3"/>
      <c r="BP315" s="3"/>
      <c r="BQ315" s="3"/>
      <c r="BR315" s="3"/>
      <c r="BS315" s="3"/>
      <c r="BT315" s="3"/>
      <c r="BU315" s="3"/>
      <c r="BV315" s="3"/>
      <c r="BW315" s="3"/>
      <c r="BX315" s="3"/>
      <c r="BY315" s="3"/>
      <c r="BZ315" s="3"/>
      <c r="CA315" s="3"/>
      <c r="CB315" s="3"/>
    </row>
    <row r="316" spans="2:80" s="399" customFormat="1" hidden="1">
      <c r="B316" s="1117"/>
      <c r="C316" s="525"/>
      <c r="D316" s="526"/>
      <c r="E316" s="2214" t="s">
        <v>4478</v>
      </c>
      <c r="F316" s="2215"/>
      <c r="G316" s="429">
        <f t="shared" si="88"/>
        <v>0</v>
      </c>
      <c r="H316" s="432">
        <f t="shared" ref="H316:AP316" si="90">SUM(H290:H315)</f>
        <v>0</v>
      </c>
      <c r="I316" s="432">
        <f t="shared" si="90"/>
        <v>0</v>
      </c>
      <c r="J316" s="432">
        <f t="shared" si="90"/>
        <v>0</v>
      </c>
      <c r="K316" s="432">
        <f t="shared" si="90"/>
        <v>0</v>
      </c>
      <c r="L316" s="432">
        <f t="shared" si="90"/>
        <v>0</v>
      </c>
      <c r="M316" s="432">
        <f t="shared" si="90"/>
        <v>0</v>
      </c>
      <c r="N316" s="432">
        <f t="shared" si="90"/>
        <v>0</v>
      </c>
      <c r="O316" s="432">
        <f t="shared" si="90"/>
        <v>0</v>
      </c>
      <c r="P316" s="432">
        <f t="shared" si="90"/>
        <v>0</v>
      </c>
      <c r="Q316" s="432">
        <f t="shared" si="90"/>
        <v>0</v>
      </c>
      <c r="R316" s="432">
        <f t="shared" si="90"/>
        <v>0</v>
      </c>
      <c r="S316" s="432">
        <f t="shared" si="90"/>
        <v>0</v>
      </c>
      <c r="T316" s="432">
        <f t="shared" si="90"/>
        <v>0</v>
      </c>
      <c r="U316" s="432">
        <f t="shared" si="90"/>
        <v>0</v>
      </c>
      <c r="V316" s="432">
        <f t="shared" si="90"/>
        <v>0</v>
      </c>
      <c r="W316" s="432">
        <f t="shared" si="90"/>
        <v>0</v>
      </c>
      <c r="X316" s="432">
        <f t="shared" si="90"/>
        <v>0</v>
      </c>
      <c r="Y316" s="432">
        <f t="shared" si="90"/>
        <v>0</v>
      </c>
      <c r="Z316" s="432">
        <f t="shared" si="90"/>
        <v>0</v>
      </c>
      <c r="AA316" s="432">
        <f t="shared" si="90"/>
        <v>0</v>
      </c>
      <c r="AB316" s="432">
        <f t="shared" si="90"/>
        <v>0</v>
      </c>
      <c r="AC316" s="432">
        <f t="shared" si="90"/>
        <v>0</v>
      </c>
      <c r="AD316" s="432">
        <f t="shared" si="90"/>
        <v>0</v>
      </c>
      <c r="AE316" s="432">
        <f t="shared" si="90"/>
        <v>0</v>
      </c>
      <c r="AF316" s="432">
        <f t="shared" si="90"/>
        <v>0</v>
      </c>
      <c r="AG316" s="432">
        <f t="shared" si="90"/>
        <v>0</v>
      </c>
      <c r="AH316" s="432">
        <f t="shared" si="90"/>
        <v>0</v>
      </c>
      <c r="AI316" s="432">
        <f t="shared" si="90"/>
        <v>0</v>
      </c>
      <c r="AJ316" s="432">
        <f t="shared" si="90"/>
        <v>0</v>
      </c>
      <c r="AK316" s="432">
        <f t="shared" si="90"/>
        <v>0</v>
      </c>
      <c r="AL316" s="432">
        <f t="shared" si="90"/>
        <v>0</v>
      </c>
      <c r="AM316" s="432">
        <f t="shared" si="90"/>
        <v>0</v>
      </c>
      <c r="AN316" s="432">
        <f t="shared" si="90"/>
        <v>0</v>
      </c>
      <c r="AO316" s="432">
        <f t="shared" si="90"/>
        <v>0</v>
      </c>
      <c r="AP316" s="432">
        <f t="shared" si="90"/>
        <v>0</v>
      </c>
      <c r="AQ316" s="534"/>
      <c r="AR316" s="433"/>
      <c r="AS316" s="97"/>
      <c r="AT316" s="97"/>
      <c r="AU316" s="97"/>
      <c r="AV316" s="97"/>
      <c r="AW316" s="97"/>
      <c r="AX316" s="97"/>
      <c r="AY316" s="97"/>
      <c r="AZ316" s="97"/>
      <c r="BA316" s="97"/>
      <c r="BB316" s="97"/>
      <c r="BC316" s="97"/>
      <c r="BD316" s="97"/>
      <c r="BE316" s="97"/>
      <c r="BF316" s="97"/>
      <c r="BG316" s="97"/>
      <c r="BH316" s="97"/>
      <c r="BI316" s="97"/>
      <c r="BJ316" s="97"/>
      <c r="BK316" s="97"/>
      <c r="BL316" s="97"/>
      <c r="BM316" s="3"/>
      <c r="BN316" s="3"/>
      <c r="BO316" s="3"/>
      <c r="BP316" s="3"/>
      <c r="BQ316" s="3"/>
      <c r="BR316" s="3"/>
      <c r="BS316" s="3"/>
      <c r="BT316" s="3"/>
      <c r="BU316" s="3"/>
      <c r="BV316" s="3"/>
      <c r="BW316" s="3"/>
      <c r="BX316" s="3"/>
      <c r="BY316" s="3"/>
      <c r="BZ316" s="3"/>
      <c r="CA316" s="3"/>
      <c r="CB316" s="3"/>
    </row>
    <row r="317" spans="2:80" s="399" customFormat="1" hidden="1">
      <c r="B317" s="1117"/>
      <c r="C317" s="528"/>
      <c r="D317" s="529"/>
      <c r="E317" s="530"/>
      <c r="F317" s="531"/>
      <c r="G317" s="532"/>
      <c r="H317" s="532"/>
      <c r="I317" s="532"/>
      <c r="J317" s="532"/>
      <c r="K317" s="532"/>
      <c r="L317" s="532"/>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c r="AM317" s="532"/>
      <c r="AN317" s="532"/>
      <c r="AO317" s="532"/>
      <c r="AP317" s="532"/>
      <c r="AQ317" s="533"/>
      <c r="AR317" s="799"/>
      <c r="AS317" s="97"/>
      <c r="AT317" s="97"/>
      <c r="AU317" s="97"/>
      <c r="AV317" s="97"/>
      <c r="AW317" s="97"/>
      <c r="AX317" s="97"/>
      <c r="AY317" s="97"/>
      <c r="AZ317" s="97"/>
      <c r="BA317" s="97"/>
      <c r="BB317" s="97"/>
      <c r="BC317" s="97"/>
      <c r="BD317" s="97"/>
      <c r="BE317" s="97"/>
      <c r="BF317" s="97"/>
      <c r="BG317" s="97"/>
      <c r="BH317" s="97"/>
      <c r="BI317" s="97"/>
      <c r="BJ317" s="97"/>
      <c r="BK317" s="97"/>
      <c r="BL317" s="97"/>
      <c r="BM317" s="3"/>
      <c r="BN317" s="3"/>
      <c r="BO317" s="3"/>
      <c r="BP317" s="3"/>
      <c r="BQ317" s="3"/>
      <c r="BR317" s="3"/>
      <c r="BS317" s="3"/>
      <c r="BT317" s="3"/>
      <c r="BU317" s="3"/>
      <c r="BV317" s="3"/>
      <c r="BW317" s="3"/>
      <c r="BX317" s="3"/>
      <c r="BY317" s="3"/>
      <c r="BZ317" s="3"/>
      <c r="CA317" s="3"/>
      <c r="CB317" s="3"/>
    </row>
    <row r="318" spans="2:80" s="399" customFormat="1" ht="14.45" hidden="1" customHeight="1">
      <c r="B318" s="1117"/>
      <c r="C318" s="2216" t="s">
        <v>4479</v>
      </c>
      <c r="D318" s="2206" t="s">
        <v>4480</v>
      </c>
      <c r="E318" s="2204" t="s">
        <v>4481</v>
      </c>
      <c r="F318" s="2205"/>
      <c r="G318" s="429">
        <f t="shared" ref="G318:G327" si="91">+SUM(H318:AP318)</f>
        <v>0</v>
      </c>
      <c r="H318" s="430"/>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c r="AN318" s="430"/>
      <c r="AO318" s="430"/>
      <c r="AP318" s="430"/>
      <c r="AQ318" s="431" t="e">
        <f>+G318/'11. Unit Mix'!$G$142</f>
        <v>#DIV/0!</v>
      </c>
      <c r="AR318" s="798" t="e">
        <f t="shared" ref="AR318:AR326" si="92">+G318/Total_Units</f>
        <v>#DIV/0!</v>
      </c>
      <c r="AS318" s="97"/>
      <c r="AT318" s="97"/>
      <c r="AU318" s="97"/>
      <c r="AV318" s="97"/>
      <c r="AW318" s="97"/>
      <c r="AX318" s="97"/>
      <c r="AY318" s="97"/>
      <c r="AZ318" s="97"/>
      <c r="BA318" s="97"/>
      <c r="BB318" s="97"/>
      <c r="BC318" s="97"/>
      <c r="BD318" s="97"/>
      <c r="BE318" s="97"/>
      <c r="BF318" s="97"/>
      <c r="BG318" s="97"/>
      <c r="BH318" s="97"/>
      <c r="BI318" s="97"/>
      <c r="BJ318" s="97"/>
      <c r="BK318" s="97"/>
      <c r="BL318" s="97"/>
      <c r="BM318" s="3"/>
      <c r="BN318" s="3"/>
      <c r="BO318" s="3"/>
      <c r="BP318" s="3"/>
      <c r="BQ318" s="3"/>
      <c r="BR318" s="3"/>
      <c r="BS318" s="3"/>
      <c r="BT318" s="3"/>
      <c r="BU318" s="3"/>
      <c r="BV318" s="3"/>
      <c r="BW318" s="3"/>
      <c r="BX318" s="3"/>
      <c r="BY318" s="3"/>
      <c r="BZ318" s="3"/>
      <c r="CA318" s="3"/>
      <c r="CB318" s="3"/>
    </row>
    <row r="319" spans="2:80" s="399" customFormat="1" ht="15" hidden="1">
      <c r="B319" s="1117"/>
      <c r="C319" s="2217"/>
      <c r="D319" s="2202"/>
      <c r="E319" s="2204" t="s">
        <v>4482</v>
      </c>
      <c r="F319" s="2205"/>
      <c r="G319" s="429">
        <f t="shared" si="91"/>
        <v>0</v>
      </c>
      <c r="H319" s="430"/>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c r="AP319" s="430"/>
      <c r="AQ319" s="431" t="e">
        <f>+G319/'11. Unit Mix'!$G$142</f>
        <v>#DIV/0!</v>
      </c>
      <c r="AR319" s="798" t="e">
        <f t="shared" si="92"/>
        <v>#DIV/0!</v>
      </c>
      <c r="AS319" s="97"/>
      <c r="AT319" s="97"/>
      <c r="AU319" s="97"/>
      <c r="AV319" s="97"/>
      <c r="AW319" s="97"/>
      <c r="AX319" s="97"/>
      <c r="AY319" s="97"/>
      <c r="AZ319" s="97"/>
      <c r="BA319" s="97"/>
      <c r="BB319" s="97"/>
      <c r="BC319" s="97"/>
      <c r="BD319" s="97"/>
      <c r="BE319" s="97"/>
      <c r="BF319" s="97"/>
      <c r="BG319" s="97"/>
      <c r="BH319" s="97"/>
      <c r="BI319" s="97"/>
      <c r="BJ319" s="97"/>
      <c r="BK319" s="97"/>
      <c r="BL319" s="97"/>
      <c r="BM319" s="3"/>
      <c r="BN319" s="3"/>
      <c r="BO319" s="3"/>
      <c r="BP319" s="3"/>
      <c r="BQ319" s="3"/>
      <c r="BR319" s="3"/>
      <c r="BS319" s="3"/>
      <c r="BT319" s="3"/>
      <c r="BU319" s="3"/>
      <c r="BV319" s="3"/>
      <c r="BW319" s="3"/>
      <c r="BX319" s="3"/>
      <c r="BY319" s="3"/>
      <c r="BZ319" s="3"/>
      <c r="CA319" s="3"/>
      <c r="CB319" s="3"/>
    </row>
    <row r="320" spans="2:80" s="399" customFormat="1" ht="15" hidden="1">
      <c r="B320" s="1117"/>
      <c r="C320" s="2217"/>
      <c r="D320" s="2202"/>
      <c r="E320" s="2204" t="s">
        <v>4483</v>
      </c>
      <c r="F320" s="2205"/>
      <c r="G320" s="429">
        <f t="shared" si="91"/>
        <v>0</v>
      </c>
      <c r="H320" s="430"/>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c r="AN320" s="430"/>
      <c r="AO320" s="430"/>
      <c r="AP320" s="430"/>
      <c r="AQ320" s="431" t="e">
        <f>+G320/'11. Unit Mix'!$G$142</f>
        <v>#DIV/0!</v>
      </c>
      <c r="AR320" s="798" t="e">
        <f t="shared" si="92"/>
        <v>#DIV/0!</v>
      </c>
      <c r="AS320" s="97"/>
      <c r="AT320" s="97"/>
      <c r="AU320" s="97"/>
      <c r="AV320" s="97"/>
      <c r="AW320" s="97"/>
      <c r="AX320" s="97"/>
      <c r="AY320" s="97"/>
      <c r="AZ320" s="97"/>
      <c r="BA320" s="97"/>
      <c r="BB320" s="97"/>
      <c r="BC320" s="97"/>
      <c r="BD320" s="97"/>
      <c r="BE320" s="97"/>
      <c r="BF320" s="97"/>
      <c r="BG320" s="97"/>
      <c r="BH320" s="97"/>
      <c r="BI320" s="97"/>
      <c r="BJ320" s="97"/>
      <c r="BK320" s="97"/>
      <c r="BL320" s="97"/>
      <c r="BM320" s="3"/>
      <c r="BN320" s="3"/>
      <c r="BO320" s="3"/>
      <c r="BP320" s="3"/>
      <c r="BQ320" s="3"/>
      <c r="BR320" s="3"/>
      <c r="BS320" s="3"/>
      <c r="BT320" s="3"/>
      <c r="BU320" s="3"/>
      <c r="BV320" s="3"/>
      <c r="BW320" s="3"/>
      <c r="BX320" s="3"/>
      <c r="BY320" s="3"/>
      <c r="BZ320" s="3"/>
      <c r="CA320" s="3"/>
      <c r="CB320" s="3"/>
    </row>
    <row r="321" spans="2:80" s="399" customFormat="1" ht="15" hidden="1">
      <c r="B321" s="1117"/>
      <c r="C321" s="2217"/>
      <c r="D321" s="2202"/>
      <c r="E321" s="1720" t="s">
        <v>4484</v>
      </c>
      <c r="F321" s="1721"/>
      <c r="G321" s="429">
        <f t="shared" si="91"/>
        <v>0</v>
      </c>
      <c r="H321" s="430"/>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c r="AN321" s="430"/>
      <c r="AO321" s="430"/>
      <c r="AP321" s="430"/>
      <c r="AQ321" s="431" t="e">
        <f>+G321/'11. Unit Mix'!$G$142</f>
        <v>#DIV/0!</v>
      </c>
      <c r="AR321" s="798" t="e">
        <f t="shared" si="92"/>
        <v>#DIV/0!</v>
      </c>
      <c r="AS321" s="97"/>
      <c r="AT321" s="97"/>
      <c r="AU321" s="97"/>
      <c r="AV321" s="97"/>
      <c r="AW321" s="97"/>
      <c r="AX321" s="97"/>
      <c r="AY321" s="97"/>
      <c r="AZ321" s="97"/>
      <c r="BA321" s="97"/>
      <c r="BB321" s="97"/>
      <c r="BC321" s="97"/>
      <c r="BD321" s="97"/>
      <c r="BE321" s="97"/>
      <c r="BF321" s="97"/>
      <c r="BG321" s="97"/>
      <c r="BH321" s="97"/>
      <c r="BI321" s="97"/>
      <c r="BJ321" s="97"/>
      <c r="BK321" s="97"/>
      <c r="BL321" s="97"/>
      <c r="BM321" s="3"/>
      <c r="BN321" s="3"/>
      <c r="BO321" s="3"/>
      <c r="BP321" s="3"/>
      <c r="BQ321" s="3"/>
      <c r="BR321" s="3"/>
      <c r="BS321" s="3"/>
      <c r="BT321" s="3"/>
      <c r="BU321" s="3"/>
      <c r="BV321" s="3"/>
      <c r="BW321" s="3"/>
      <c r="BX321" s="3"/>
      <c r="BY321" s="3"/>
      <c r="BZ321" s="3"/>
      <c r="CA321" s="3"/>
      <c r="CB321" s="3"/>
    </row>
    <row r="322" spans="2:80" s="399" customFormat="1" ht="15" hidden="1">
      <c r="B322" s="1117"/>
      <c r="C322" s="2217"/>
      <c r="D322" s="2203"/>
      <c r="E322" s="2204" t="s">
        <v>4485</v>
      </c>
      <c r="F322" s="2205"/>
      <c r="G322" s="429">
        <f t="shared" si="91"/>
        <v>0</v>
      </c>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c r="AN322" s="430"/>
      <c r="AO322" s="430"/>
      <c r="AP322" s="430"/>
      <c r="AQ322" s="431" t="e">
        <f>+G322/'11. Unit Mix'!$G$142</f>
        <v>#DIV/0!</v>
      </c>
      <c r="AR322" s="798" t="e">
        <f t="shared" si="92"/>
        <v>#DIV/0!</v>
      </c>
      <c r="AS322" s="97"/>
      <c r="AT322" s="97"/>
      <c r="AU322" s="97"/>
      <c r="AV322" s="97"/>
      <c r="AW322" s="97"/>
      <c r="AX322" s="97"/>
      <c r="AY322" s="97"/>
      <c r="AZ322" s="97"/>
      <c r="BA322" s="97"/>
      <c r="BB322" s="97"/>
      <c r="BC322" s="97"/>
      <c r="BD322" s="97"/>
      <c r="BE322" s="97"/>
      <c r="BF322" s="97"/>
      <c r="BG322" s="97"/>
      <c r="BH322" s="97"/>
      <c r="BI322" s="97"/>
      <c r="BJ322" s="97"/>
      <c r="BK322" s="97"/>
      <c r="BL322" s="97"/>
      <c r="BM322" s="3"/>
      <c r="BN322" s="3"/>
      <c r="BO322" s="3"/>
      <c r="BP322" s="3"/>
      <c r="BQ322" s="3"/>
      <c r="BR322" s="3"/>
      <c r="BS322" s="3"/>
      <c r="BT322" s="3"/>
      <c r="BU322" s="3"/>
      <c r="BV322" s="3"/>
      <c r="BW322" s="3"/>
      <c r="BX322" s="3"/>
      <c r="BY322" s="3"/>
      <c r="BZ322" s="3"/>
      <c r="CA322" s="3"/>
      <c r="CB322" s="3"/>
    </row>
    <row r="323" spans="2:80" s="399" customFormat="1" ht="15" hidden="1">
      <c r="B323" s="1117"/>
      <c r="C323" s="2217"/>
      <c r="D323" s="2206" t="s">
        <v>4486</v>
      </c>
      <c r="E323" s="2204" t="s">
        <v>4487</v>
      </c>
      <c r="F323" s="2205"/>
      <c r="G323" s="429">
        <f t="shared" si="91"/>
        <v>0</v>
      </c>
      <c r="H323" s="430"/>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c r="AN323" s="430"/>
      <c r="AO323" s="430"/>
      <c r="AP323" s="430"/>
      <c r="AQ323" s="431" t="e">
        <f>+G323/'11. Unit Mix'!$G$142</f>
        <v>#DIV/0!</v>
      </c>
      <c r="AR323" s="798" t="e">
        <f t="shared" si="92"/>
        <v>#DIV/0!</v>
      </c>
      <c r="AS323" s="97"/>
      <c r="AT323" s="97"/>
      <c r="AU323" s="97"/>
      <c r="AV323" s="97"/>
      <c r="AW323" s="97"/>
      <c r="AX323" s="97"/>
      <c r="AY323" s="97"/>
      <c r="AZ323" s="97"/>
      <c r="BA323" s="97"/>
      <c r="BB323" s="97"/>
      <c r="BC323" s="97"/>
      <c r="BD323" s="97"/>
      <c r="BE323" s="97"/>
      <c r="BF323" s="97"/>
      <c r="BG323" s="97"/>
      <c r="BH323" s="97"/>
      <c r="BI323" s="97"/>
      <c r="BJ323" s="97"/>
      <c r="BK323" s="97"/>
      <c r="BL323" s="97"/>
      <c r="BM323" s="3"/>
      <c r="BN323" s="3"/>
      <c r="BO323" s="3"/>
      <c r="BP323" s="3"/>
      <c r="BQ323" s="3"/>
      <c r="BR323" s="3"/>
      <c r="BS323" s="3"/>
      <c r="BT323" s="3"/>
      <c r="BU323" s="3"/>
      <c r="BV323" s="3"/>
      <c r="BW323" s="3"/>
      <c r="BX323" s="3"/>
      <c r="BY323" s="3"/>
      <c r="BZ323" s="3"/>
      <c r="CA323" s="3"/>
      <c r="CB323" s="3"/>
    </row>
    <row r="324" spans="2:80" s="399" customFormat="1" ht="15" hidden="1">
      <c r="B324" s="1117"/>
      <c r="C324" s="2217"/>
      <c r="D324" s="2203"/>
      <c r="E324" s="2204" t="s">
        <v>4488</v>
      </c>
      <c r="F324" s="2205"/>
      <c r="G324" s="429">
        <f t="shared" si="91"/>
        <v>0</v>
      </c>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c r="AN324" s="430"/>
      <c r="AO324" s="430"/>
      <c r="AP324" s="430"/>
      <c r="AQ324" s="431" t="e">
        <f>+G324/'11. Unit Mix'!$G$142</f>
        <v>#DIV/0!</v>
      </c>
      <c r="AR324" s="798" t="e">
        <f t="shared" si="92"/>
        <v>#DIV/0!</v>
      </c>
      <c r="AS324" s="97"/>
      <c r="AT324" s="97"/>
      <c r="AU324" s="97"/>
      <c r="AV324" s="97"/>
      <c r="AW324" s="97"/>
      <c r="AX324" s="97"/>
      <c r="AY324" s="97"/>
      <c r="AZ324" s="97"/>
      <c r="BA324" s="97"/>
      <c r="BB324" s="97"/>
      <c r="BC324" s="97"/>
      <c r="BD324" s="97"/>
      <c r="BE324" s="97"/>
      <c r="BF324" s="97"/>
      <c r="BG324" s="97"/>
      <c r="BH324" s="97"/>
      <c r="BI324" s="97"/>
      <c r="BJ324" s="97"/>
      <c r="BK324" s="97"/>
      <c r="BL324" s="97"/>
      <c r="BM324" s="3"/>
      <c r="BN324" s="3"/>
      <c r="BO324" s="3"/>
      <c r="BP324" s="3"/>
      <c r="BQ324" s="3"/>
      <c r="BR324" s="3"/>
      <c r="BS324" s="3"/>
      <c r="BT324" s="3"/>
      <c r="BU324" s="3"/>
      <c r="BV324" s="3"/>
      <c r="BW324" s="3"/>
      <c r="BX324" s="3"/>
      <c r="BY324" s="3"/>
      <c r="BZ324" s="3"/>
      <c r="CA324" s="3"/>
      <c r="CB324" s="3"/>
    </row>
    <row r="325" spans="2:80" s="399" customFormat="1" ht="15" hidden="1">
      <c r="B325" s="1117"/>
      <c r="C325" s="2217"/>
      <c r="D325" s="2222" t="s">
        <v>365</v>
      </c>
      <c r="E325" s="403" t="s">
        <v>365</v>
      </c>
      <c r="F325" s="406"/>
      <c r="G325" s="429">
        <f t="shared" si="91"/>
        <v>0</v>
      </c>
      <c r="H325" s="430"/>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c r="AN325" s="430"/>
      <c r="AO325" s="430"/>
      <c r="AP325" s="430"/>
      <c r="AQ325" s="431" t="e">
        <f>+G325/'11. Unit Mix'!$G$142</f>
        <v>#DIV/0!</v>
      </c>
      <c r="AR325" s="798" t="e">
        <f t="shared" si="92"/>
        <v>#DIV/0!</v>
      </c>
      <c r="AS325" s="97"/>
      <c r="AT325" s="97"/>
      <c r="AU325" s="97"/>
      <c r="AV325" s="97"/>
      <c r="AW325" s="97"/>
      <c r="AX325" s="97"/>
      <c r="AY325" s="97"/>
      <c r="AZ325" s="97"/>
      <c r="BA325" s="97"/>
      <c r="BB325" s="97"/>
      <c r="BC325" s="97"/>
      <c r="BD325" s="97"/>
      <c r="BE325" s="97"/>
      <c r="BF325" s="97"/>
      <c r="BG325" s="97"/>
      <c r="BH325" s="97"/>
      <c r="BI325" s="97"/>
      <c r="BJ325" s="97"/>
      <c r="BK325" s="97"/>
      <c r="BL325" s="97"/>
      <c r="BM325" s="3"/>
      <c r="BN325" s="3"/>
      <c r="BO325" s="3"/>
      <c r="BP325" s="3"/>
      <c r="BQ325" s="3"/>
      <c r="BR325" s="3"/>
      <c r="BS325" s="3"/>
      <c r="BT325" s="3"/>
      <c r="BU325" s="3"/>
      <c r="BV325" s="3"/>
      <c r="BW325" s="3"/>
      <c r="BX325" s="3"/>
      <c r="BY325" s="3"/>
      <c r="BZ325" s="3"/>
      <c r="CA325" s="3"/>
      <c r="CB325" s="3"/>
    </row>
    <row r="326" spans="2:80" s="399" customFormat="1" ht="15" hidden="1">
      <c r="B326" s="1117"/>
      <c r="C326" s="2218"/>
      <c r="D326" s="2222"/>
      <c r="E326" s="403" t="s">
        <v>365</v>
      </c>
      <c r="F326" s="406"/>
      <c r="G326" s="429">
        <f t="shared" si="91"/>
        <v>0</v>
      </c>
      <c r="H326" s="430"/>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c r="AN326" s="430"/>
      <c r="AO326" s="430"/>
      <c r="AP326" s="430"/>
      <c r="AQ326" s="431" t="e">
        <f>+G326/'11. Unit Mix'!$G$142</f>
        <v>#DIV/0!</v>
      </c>
      <c r="AR326" s="798" t="e">
        <f t="shared" si="92"/>
        <v>#DIV/0!</v>
      </c>
      <c r="AS326" s="97"/>
      <c r="AT326" s="97"/>
      <c r="AU326" s="97"/>
      <c r="AV326" s="97"/>
      <c r="AW326" s="97"/>
      <c r="AX326" s="97"/>
      <c r="AY326" s="97"/>
      <c r="AZ326" s="97"/>
      <c r="BA326" s="97"/>
      <c r="BB326" s="97"/>
      <c r="BC326" s="97"/>
      <c r="BD326" s="97"/>
      <c r="BE326" s="97"/>
      <c r="BF326" s="97"/>
      <c r="BG326" s="97"/>
      <c r="BH326" s="97"/>
      <c r="BI326" s="97"/>
      <c r="BJ326" s="97"/>
      <c r="BK326" s="97"/>
      <c r="BL326" s="97"/>
      <c r="BM326" s="3"/>
      <c r="BN326" s="3"/>
      <c r="BO326" s="3"/>
      <c r="BP326" s="3"/>
      <c r="BQ326" s="3"/>
      <c r="BR326" s="3"/>
      <c r="BS326" s="3"/>
      <c r="BT326" s="3"/>
      <c r="BU326" s="3"/>
      <c r="BV326" s="3"/>
      <c r="BW326" s="3"/>
      <c r="BX326" s="3"/>
      <c r="BY326" s="3"/>
      <c r="BZ326" s="3"/>
      <c r="CA326" s="3"/>
      <c r="CB326" s="3"/>
    </row>
    <row r="327" spans="2:80" s="399" customFormat="1" hidden="1">
      <c r="B327" s="1117"/>
      <c r="C327" s="525"/>
      <c r="D327" s="526"/>
      <c r="E327" s="2214" t="s">
        <v>4489</v>
      </c>
      <c r="F327" s="2215"/>
      <c r="G327" s="429">
        <f t="shared" si="91"/>
        <v>0</v>
      </c>
      <c r="H327" s="432">
        <f t="shared" ref="H327:AP327" si="93">SUM(H318:H326)</f>
        <v>0</v>
      </c>
      <c r="I327" s="432">
        <f t="shared" si="93"/>
        <v>0</v>
      </c>
      <c r="J327" s="432">
        <f t="shared" si="93"/>
        <v>0</v>
      </c>
      <c r="K327" s="432">
        <f t="shared" si="93"/>
        <v>0</v>
      </c>
      <c r="L327" s="432">
        <f t="shared" si="93"/>
        <v>0</v>
      </c>
      <c r="M327" s="432">
        <f t="shared" si="93"/>
        <v>0</v>
      </c>
      <c r="N327" s="432">
        <f t="shared" si="93"/>
        <v>0</v>
      </c>
      <c r="O327" s="432">
        <f t="shared" si="93"/>
        <v>0</v>
      </c>
      <c r="P327" s="432">
        <f t="shared" si="93"/>
        <v>0</v>
      </c>
      <c r="Q327" s="432">
        <f t="shared" si="93"/>
        <v>0</v>
      </c>
      <c r="R327" s="432">
        <f t="shared" si="93"/>
        <v>0</v>
      </c>
      <c r="S327" s="432">
        <f t="shared" si="93"/>
        <v>0</v>
      </c>
      <c r="T327" s="432">
        <f t="shared" si="93"/>
        <v>0</v>
      </c>
      <c r="U327" s="432">
        <f t="shared" si="93"/>
        <v>0</v>
      </c>
      <c r="V327" s="432">
        <f t="shared" si="93"/>
        <v>0</v>
      </c>
      <c r="W327" s="432">
        <f t="shared" si="93"/>
        <v>0</v>
      </c>
      <c r="X327" s="432">
        <f t="shared" si="93"/>
        <v>0</v>
      </c>
      <c r="Y327" s="432">
        <f t="shared" si="93"/>
        <v>0</v>
      </c>
      <c r="Z327" s="432">
        <f t="shared" si="93"/>
        <v>0</v>
      </c>
      <c r="AA327" s="432">
        <f t="shared" si="93"/>
        <v>0</v>
      </c>
      <c r="AB327" s="432">
        <f t="shared" si="93"/>
        <v>0</v>
      </c>
      <c r="AC327" s="432">
        <f t="shared" si="93"/>
        <v>0</v>
      </c>
      <c r="AD327" s="432">
        <f t="shared" si="93"/>
        <v>0</v>
      </c>
      <c r="AE327" s="432">
        <f t="shared" si="93"/>
        <v>0</v>
      </c>
      <c r="AF327" s="432">
        <f t="shared" si="93"/>
        <v>0</v>
      </c>
      <c r="AG327" s="432">
        <f t="shared" si="93"/>
        <v>0</v>
      </c>
      <c r="AH327" s="432">
        <f t="shared" si="93"/>
        <v>0</v>
      </c>
      <c r="AI327" s="432">
        <f t="shared" si="93"/>
        <v>0</v>
      </c>
      <c r="AJ327" s="432">
        <f t="shared" si="93"/>
        <v>0</v>
      </c>
      <c r="AK327" s="432">
        <f t="shared" si="93"/>
        <v>0</v>
      </c>
      <c r="AL327" s="432">
        <f t="shared" si="93"/>
        <v>0</v>
      </c>
      <c r="AM327" s="432">
        <f t="shared" si="93"/>
        <v>0</v>
      </c>
      <c r="AN327" s="432">
        <f t="shared" si="93"/>
        <v>0</v>
      </c>
      <c r="AO327" s="432">
        <f t="shared" si="93"/>
        <v>0</v>
      </c>
      <c r="AP327" s="432">
        <f t="shared" si="93"/>
        <v>0</v>
      </c>
      <c r="AQ327" s="534"/>
      <c r="AR327" s="433"/>
      <c r="AS327" s="97"/>
      <c r="AT327" s="97"/>
      <c r="AU327" s="97"/>
      <c r="AV327" s="97"/>
      <c r="AW327" s="97"/>
      <c r="AX327" s="97"/>
      <c r="AY327" s="97"/>
      <c r="AZ327" s="97"/>
      <c r="BA327" s="97"/>
      <c r="BB327" s="97"/>
      <c r="BC327" s="97"/>
      <c r="BD327" s="97"/>
      <c r="BE327" s="97"/>
      <c r="BF327" s="97"/>
      <c r="BG327" s="97"/>
      <c r="BH327" s="97"/>
      <c r="BI327" s="97"/>
      <c r="BJ327" s="97"/>
      <c r="BK327" s="97"/>
      <c r="BL327" s="97"/>
      <c r="BM327" s="3"/>
      <c r="BN327" s="3"/>
      <c r="BO327" s="3"/>
      <c r="BP327" s="3"/>
      <c r="BQ327" s="3"/>
      <c r="BR327" s="3"/>
      <c r="BS327" s="3"/>
      <c r="BT327" s="3"/>
      <c r="BU327" s="3"/>
      <c r="BV327" s="3"/>
      <c r="BW327" s="3"/>
      <c r="BX327" s="3"/>
      <c r="BY327" s="3"/>
      <c r="BZ327" s="3"/>
      <c r="CA327" s="3"/>
      <c r="CB327" s="3"/>
    </row>
    <row r="328" spans="2:80" hidden="1">
      <c r="B328" s="1117"/>
      <c r="C328" s="21"/>
      <c r="D328" s="521"/>
      <c r="E328" s="696"/>
      <c r="F328" s="1750"/>
      <c r="G328" s="643"/>
      <c r="H328" s="643"/>
      <c r="I328" s="643"/>
      <c r="J328" s="643"/>
      <c r="K328" s="643"/>
      <c r="L328" s="643"/>
      <c r="M328" s="643"/>
      <c r="N328" s="643"/>
      <c r="O328" s="643"/>
      <c r="P328" s="643"/>
      <c r="Q328" s="643"/>
      <c r="R328" s="643"/>
      <c r="S328" s="643"/>
      <c r="T328" s="643"/>
      <c r="U328" s="643"/>
      <c r="V328" s="643"/>
      <c r="W328" s="643"/>
      <c r="X328" s="643"/>
      <c r="Y328" s="643"/>
      <c r="Z328" s="643"/>
      <c r="AA328" s="643"/>
      <c r="AB328" s="643"/>
      <c r="AC328" s="643"/>
      <c r="AD328" s="643"/>
      <c r="AE328" s="643"/>
      <c r="AF328" s="643"/>
      <c r="AG328" s="643"/>
      <c r="AH328" s="643"/>
      <c r="AI328" s="643"/>
      <c r="AJ328" s="643"/>
      <c r="AK328" s="643"/>
      <c r="AL328" s="643"/>
      <c r="AM328" s="643"/>
      <c r="AN328" s="643"/>
      <c r="AO328" s="643"/>
      <c r="AP328" s="643"/>
      <c r="AQ328" s="643"/>
    </row>
    <row r="329" spans="2:80" s="399" customFormat="1" ht="15" hidden="1" customHeight="1">
      <c r="B329" s="1117"/>
      <c r="C329" s="2216" t="s">
        <v>4490</v>
      </c>
      <c r="D329" s="2206" t="s">
        <v>4491</v>
      </c>
      <c r="E329" s="2204" t="s">
        <v>4492</v>
      </c>
      <c r="F329" s="2205"/>
      <c r="G329" s="429">
        <f t="shared" ref="G329:G338" si="94">+SUM(H329:AP329)</f>
        <v>0</v>
      </c>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c r="AN329" s="430"/>
      <c r="AO329" s="430"/>
      <c r="AP329" s="430"/>
      <c r="AQ329" s="431" t="e">
        <f>+G329/'11. Unit Mix'!$G$142</f>
        <v>#DIV/0!</v>
      </c>
      <c r="AR329" s="798" t="e">
        <f t="shared" ref="AR329:AR337" si="95">+G329/Total_Units</f>
        <v>#DIV/0!</v>
      </c>
      <c r="AS329" s="97"/>
      <c r="AT329" s="97"/>
      <c r="AU329" s="97"/>
      <c r="AV329" s="97"/>
      <c r="AW329" s="97"/>
      <c r="AX329" s="97"/>
      <c r="AY329" s="97"/>
      <c r="AZ329" s="97"/>
      <c r="BA329" s="97"/>
      <c r="BB329" s="97"/>
      <c r="BC329" s="97"/>
      <c r="BD329" s="97"/>
      <c r="BE329" s="97"/>
      <c r="BF329" s="97"/>
      <c r="BG329" s="97"/>
      <c r="BH329" s="97"/>
      <c r="BI329" s="97"/>
      <c r="BJ329" s="97"/>
      <c r="BK329" s="97"/>
      <c r="BL329" s="97"/>
      <c r="BM329" s="3"/>
      <c r="BN329" s="3"/>
      <c r="BO329" s="3"/>
      <c r="BP329" s="3"/>
      <c r="BQ329" s="3"/>
      <c r="BR329" s="3"/>
      <c r="BS329" s="3"/>
      <c r="BT329" s="3"/>
      <c r="BU329" s="3"/>
      <c r="BV329" s="3"/>
      <c r="BW329" s="3"/>
      <c r="BX329" s="3"/>
      <c r="BY329" s="3"/>
      <c r="BZ329" s="3"/>
      <c r="CA329" s="3"/>
      <c r="CB329" s="3"/>
    </row>
    <row r="330" spans="2:80" s="399" customFormat="1" ht="15" hidden="1">
      <c r="B330" s="1117"/>
      <c r="C330" s="2217"/>
      <c r="D330" s="2202"/>
      <c r="E330" s="2204" t="s">
        <v>4493</v>
      </c>
      <c r="F330" s="2205"/>
      <c r="G330" s="429">
        <f t="shared" si="94"/>
        <v>0</v>
      </c>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c r="AN330" s="430"/>
      <c r="AO330" s="430"/>
      <c r="AP330" s="430"/>
      <c r="AQ330" s="431" t="e">
        <f>+G330/'11. Unit Mix'!$G$142</f>
        <v>#DIV/0!</v>
      </c>
      <c r="AR330" s="798" t="e">
        <f t="shared" si="95"/>
        <v>#DIV/0!</v>
      </c>
      <c r="AS330" s="97"/>
      <c r="AT330" s="97"/>
      <c r="AU330" s="97"/>
      <c r="AV330" s="97"/>
      <c r="AW330" s="97"/>
      <c r="AX330" s="97"/>
      <c r="AY330" s="97"/>
      <c r="AZ330" s="97"/>
      <c r="BA330" s="97"/>
      <c r="BB330" s="97"/>
      <c r="BC330" s="97"/>
      <c r="BD330" s="97"/>
      <c r="BE330" s="97"/>
      <c r="BF330" s="97"/>
      <c r="BG330" s="97"/>
      <c r="BH330" s="97"/>
      <c r="BI330" s="97"/>
      <c r="BJ330" s="97"/>
      <c r="BK330" s="97"/>
      <c r="BL330" s="97"/>
      <c r="BM330" s="3"/>
      <c r="BN330" s="3"/>
      <c r="BO330" s="3"/>
      <c r="BP330" s="3"/>
      <c r="BQ330" s="3"/>
      <c r="BR330" s="3"/>
      <c r="BS330" s="3"/>
      <c r="BT330" s="3"/>
      <c r="BU330" s="3"/>
      <c r="BV330" s="3"/>
      <c r="BW330" s="3"/>
      <c r="BX330" s="3"/>
      <c r="BY330" s="3"/>
      <c r="BZ330" s="3"/>
      <c r="CA330" s="3"/>
      <c r="CB330" s="3"/>
    </row>
    <row r="331" spans="2:80" s="399" customFormat="1" ht="15" hidden="1">
      <c r="B331" s="1117"/>
      <c r="C331" s="2217"/>
      <c r="D331" s="2202"/>
      <c r="E331" s="2204" t="s">
        <v>4494</v>
      </c>
      <c r="F331" s="2205"/>
      <c r="G331" s="429">
        <f t="shared" si="94"/>
        <v>0</v>
      </c>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c r="AN331" s="430"/>
      <c r="AO331" s="430"/>
      <c r="AP331" s="430"/>
      <c r="AQ331" s="431" t="e">
        <f>+G331/'11. Unit Mix'!$G$142</f>
        <v>#DIV/0!</v>
      </c>
      <c r="AR331" s="798" t="e">
        <f t="shared" si="95"/>
        <v>#DIV/0!</v>
      </c>
      <c r="AS331" s="97"/>
      <c r="AT331" s="97"/>
      <c r="AU331" s="97"/>
      <c r="AV331" s="97"/>
      <c r="AW331" s="97"/>
      <c r="AX331" s="97"/>
      <c r="AY331" s="97"/>
      <c r="AZ331" s="97"/>
      <c r="BA331" s="97"/>
      <c r="BB331" s="97"/>
      <c r="BC331" s="97"/>
      <c r="BD331" s="97"/>
      <c r="BE331" s="97"/>
      <c r="BF331" s="97"/>
      <c r="BG331" s="97"/>
      <c r="BH331" s="97"/>
      <c r="BI331" s="97"/>
      <c r="BJ331" s="97"/>
      <c r="BK331" s="97"/>
      <c r="BL331" s="97"/>
      <c r="BM331" s="3"/>
      <c r="BN331" s="3"/>
      <c r="BO331" s="3"/>
      <c r="BP331" s="3"/>
      <c r="BQ331" s="3"/>
      <c r="BR331" s="3"/>
      <c r="BS331" s="3"/>
      <c r="BT331" s="3"/>
      <c r="BU331" s="3"/>
      <c r="BV331" s="3"/>
      <c r="BW331" s="3"/>
      <c r="BX331" s="3"/>
      <c r="BY331" s="3"/>
      <c r="BZ331" s="3"/>
      <c r="CA331" s="3"/>
      <c r="CB331" s="3"/>
    </row>
    <row r="332" spans="2:80" s="399" customFormat="1" ht="15" hidden="1">
      <c r="B332" s="1117"/>
      <c r="C332" s="2217"/>
      <c r="D332" s="2202"/>
      <c r="E332" s="2204" t="s">
        <v>4495</v>
      </c>
      <c r="F332" s="2205"/>
      <c r="G332" s="429">
        <f t="shared" si="94"/>
        <v>0</v>
      </c>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c r="AP332" s="430"/>
      <c r="AQ332" s="431" t="e">
        <f>+G332/'11. Unit Mix'!$G$142</f>
        <v>#DIV/0!</v>
      </c>
      <c r="AR332" s="798" t="e">
        <f t="shared" si="95"/>
        <v>#DIV/0!</v>
      </c>
      <c r="AS332" s="97"/>
      <c r="AT332" s="97"/>
      <c r="AU332" s="97"/>
      <c r="AV332" s="97"/>
      <c r="AW332" s="97"/>
      <c r="AX332" s="97"/>
      <c r="AY332" s="97"/>
      <c r="AZ332" s="97"/>
      <c r="BA332" s="97"/>
      <c r="BB332" s="97"/>
      <c r="BC332" s="97"/>
      <c r="BD332" s="97"/>
      <c r="BE332" s="97"/>
      <c r="BF332" s="97"/>
      <c r="BG332" s="97"/>
      <c r="BH332" s="97"/>
      <c r="BI332" s="97"/>
      <c r="BJ332" s="97"/>
      <c r="BK332" s="97"/>
      <c r="BL332" s="97"/>
      <c r="BM332" s="3"/>
      <c r="BN332" s="3"/>
      <c r="BO332" s="3"/>
      <c r="BP332" s="3"/>
      <c r="BQ332" s="3"/>
      <c r="BR332" s="3"/>
      <c r="BS332" s="3"/>
      <c r="BT332" s="3"/>
      <c r="BU332" s="3"/>
      <c r="BV332" s="3"/>
      <c r="BW332" s="3"/>
      <c r="BX332" s="3"/>
      <c r="BY332" s="3"/>
      <c r="BZ332" s="3"/>
      <c r="CA332" s="3"/>
      <c r="CB332" s="3"/>
    </row>
    <row r="333" spans="2:80" s="399" customFormat="1" ht="15" hidden="1">
      <c r="B333" s="1117"/>
      <c r="C333" s="2217"/>
      <c r="D333" s="2203"/>
      <c r="E333" s="2204" t="s">
        <v>4496</v>
      </c>
      <c r="F333" s="2205"/>
      <c r="G333" s="429">
        <f t="shared" si="94"/>
        <v>0</v>
      </c>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c r="AN333" s="430"/>
      <c r="AO333" s="430"/>
      <c r="AP333" s="430"/>
      <c r="AQ333" s="431" t="e">
        <f>+G333/'11. Unit Mix'!$G$142</f>
        <v>#DIV/0!</v>
      </c>
      <c r="AR333" s="798" t="e">
        <f t="shared" si="95"/>
        <v>#DIV/0!</v>
      </c>
      <c r="AS333" s="97"/>
      <c r="AT333" s="97"/>
      <c r="AU333" s="97"/>
      <c r="AV333" s="97"/>
      <c r="AW333" s="97"/>
      <c r="AX333" s="97"/>
      <c r="AY333" s="97"/>
      <c r="AZ333" s="97"/>
      <c r="BA333" s="97"/>
      <c r="BB333" s="97"/>
      <c r="BC333" s="97"/>
      <c r="BD333" s="97"/>
      <c r="BE333" s="97"/>
      <c r="BF333" s="97"/>
      <c r="BG333" s="97"/>
      <c r="BH333" s="97"/>
      <c r="BI333" s="97"/>
      <c r="BJ333" s="97"/>
      <c r="BK333" s="97"/>
      <c r="BL333" s="97"/>
      <c r="BM333" s="3"/>
      <c r="BN333" s="3"/>
      <c r="BO333" s="3"/>
      <c r="BP333" s="3"/>
      <c r="BQ333" s="3"/>
      <c r="BR333" s="3"/>
      <c r="BS333" s="3"/>
      <c r="BT333" s="3"/>
      <c r="BU333" s="3"/>
      <c r="BV333" s="3"/>
      <c r="BW333" s="3"/>
      <c r="BX333" s="3"/>
      <c r="BY333" s="3"/>
      <c r="BZ333" s="3"/>
      <c r="CA333" s="3"/>
      <c r="CB333" s="3"/>
    </row>
    <row r="334" spans="2:80" s="399" customFormat="1" ht="14.45" hidden="1" customHeight="1">
      <c r="B334" s="1117"/>
      <c r="C334" s="2217"/>
      <c r="D334" s="2206" t="s">
        <v>4497</v>
      </c>
      <c r="E334" s="2204" t="s">
        <v>4498</v>
      </c>
      <c r="F334" s="2205"/>
      <c r="G334" s="429">
        <f t="shared" si="94"/>
        <v>0</v>
      </c>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c r="AP334" s="430"/>
      <c r="AQ334" s="431" t="e">
        <f>+G334/'11. Unit Mix'!$G$142</f>
        <v>#DIV/0!</v>
      </c>
      <c r="AR334" s="798" t="e">
        <f t="shared" si="95"/>
        <v>#DIV/0!</v>
      </c>
      <c r="AS334" s="97"/>
      <c r="AT334" s="97"/>
      <c r="AU334" s="97"/>
      <c r="AV334" s="97"/>
      <c r="AW334" s="97"/>
      <c r="AX334" s="97"/>
      <c r="AY334" s="97"/>
      <c r="AZ334" s="97"/>
      <c r="BA334" s="97"/>
      <c r="BB334" s="97"/>
      <c r="BC334" s="97"/>
      <c r="BD334" s="97"/>
      <c r="BE334" s="97"/>
      <c r="BF334" s="97"/>
      <c r="BG334" s="97"/>
      <c r="BH334" s="97"/>
      <c r="BI334" s="97"/>
      <c r="BJ334" s="97"/>
      <c r="BK334" s="97"/>
      <c r="BL334" s="97"/>
      <c r="BM334" s="3"/>
      <c r="BN334" s="3"/>
      <c r="BO334" s="3"/>
      <c r="BP334" s="3"/>
      <c r="BQ334" s="3"/>
      <c r="BR334" s="3"/>
      <c r="BS334" s="3"/>
      <c r="BT334" s="3"/>
      <c r="BU334" s="3"/>
      <c r="BV334" s="3"/>
      <c r="BW334" s="3"/>
      <c r="BX334" s="3"/>
      <c r="BY334" s="3"/>
      <c r="BZ334" s="3"/>
      <c r="CA334" s="3"/>
      <c r="CB334" s="3"/>
    </row>
    <row r="335" spans="2:80" s="399" customFormat="1" ht="15" hidden="1">
      <c r="B335" s="1117"/>
      <c r="C335" s="2217"/>
      <c r="D335" s="2203"/>
      <c r="E335" s="2204" t="s">
        <v>4499</v>
      </c>
      <c r="F335" s="2205"/>
      <c r="G335" s="429">
        <f t="shared" si="94"/>
        <v>0</v>
      </c>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c r="AN335" s="430"/>
      <c r="AO335" s="430"/>
      <c r="AP335" s="430"/>
      <c r="AQ335" s="431" t="e">
        <f>+G335/'11. Unit Mix'!$G$142</f>
        <v>#DIV/0!</v>
      </c>
      <c r="AR335" s="798" t="e">
        <f t="shared" si="95"/>
        <v>#DIV/0!</v>
      </c>
      <c r="AS335" s="97"/>
      <c r="AT335" s="97"/>
      <c r="AU335" s="97"/>
      <c r="AV335" s="97"/>
      <c r="AW335" s="97"/>
      <c r="AX335" s="97"/>
      <c r="AY335" s="97"/>
      <c r="AZ335" s="97"/>
      <c r="BA335" s="97"/>
      <c r="BB335" s="97"/>
      <c r="BC335" s="97"/>
      <c r="BD335" s="97"/>
      <c r="BE335" s="97"/>
      <c r="BF335" s="97"/>
      <c r="BG335" s="97"/>
      <c r="BH335" s="97"/>
      <c r="BI335" s="97"/>
      <c r="BJ335" s="97"/>
      <c r="BK335" s="97"/>
      <c r="BL335" s="97"/>
      <c r="BM335" s="3"/>
      <c r="BN335" s="3"/>
      <c r="BO335" s="3"/>
      <c r="BP335" s="3"/>
      <c r="BQ335" s="3"/>
      <c r="BR335" s="3"/>
      <c r="BS335" s="3"/>
      <c r="BT335" s="3"/>
      <c r="BU335" s="3"/>
      <c r="BV335" s="3"/>
      <c r="BW335" s="3"/>
      <c r="BX335" s="3"/>
      <c r="BY335" s="3"/>
      <c r="BZ335" s="3"/>
      <c r="CA335" s="3"/>
      <c r="CB335" s="3"/>
    </row>
    <row r="336" spans="2:80" s="399" customFormat="1" ht="15" hidden="1">
      <c r="B336" s="1117"/>
      <c r="C336" s="2217"/>
      <c r="D336" s="2222" t="s">
        <v>365</v>
      </c>
      <c r="E336" s="403" t="s">
        <v>365</v>
      </c>
      <c r="F336" s="404"/>
      <c r="G336" s="429">
        <f t="shared" si="94"/>
        <v>0</v>
      </c>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c r="AN336" s="430"/>
      <c r="AO336" s="430"/>
      <c r="AP336" s="430"/>
      <c r="AQ336" s="431" t="e">
        <f>+G336/'11. Unit Mix'!$G$142</f>
        <v>#DIV/0!</v>
      </c>
      <c r="AR336" s="798" t="e">
        <f t="shared" si="95"/>
        <v>#DIV/0!</v>
      </c>
      <c r="AS336" s="97"/>
      <c r="AT336" s="97"/>
      <c r="AU336" s="97"/>
      <c r="AV336" s="97"/>
      <c r="AW336" s="97"/>
      <c r="AX336" s="97"/>
      <c r="AY336" s="97"/>
      <c r="AZ336" s="97"/>
      <c r="BA336" s="97"/>
      <c r="BB336" s="97"/>
      <c r="BC336" s="97"/>
      <c r="BD336" s="97"/>
      <c r="BE336" s="97"/>
      <c r="BF336" s="97"/>
      <c r="BG336" s="97"/>
      <c r="BH336" s="97"/>
      <c r="BI336" s="97"/>
      <c r="BJ336" s="97"/>
      <c r="BK336" s="97"/>
      <c r="BL336" s="97"/>
      <c r="BM336" s="3"/>
      <c r="BN336" s="3"/>
      <c r="BO336" s="3"/>
      <c r="BP336" s="3"/>
      <c r="BQ336" s="3"/>
      <c r="BR336" s="3"/>
      <c r="BS336" s="3"/>
      <c r="BT336" s="3"/>
      <c r="BU336" s="3"/>
      <c r="BV336" s="3"/>
      <c r="BW336" s="3"/>
      <c r="BX336" s="3"/>
      <c r="BY336" s="3"/>
      <c r="BZ336" s="3"/>
      <c r="CA336" s="3"/>
      <c r="CB336" s="3"/>
    </row>
    <row r="337" spans="2:80" s="399" customFormat="1" ht="15" hidden="1">
      <c r="B337" s="1117"/>
      <c r="C337" s="2218"/>
      <c r="D337" s="2222"/>
      <c r="E337" s="403" t="s">
        <v>365</v>
      </c>
      <c r="F337" s="404"/>
      <c r="G337" s="429">
        <f t="shared" si="94"/>
        <v>0</v>
      </c>
      <c r="H337" s="430"/>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c r="AN337" s="430"/>
      <c r="AO337" s="430"/>
      <c r="AP337" s="430"/>
      <c r="AQ337" s="431" t="e">
        <f>+G337/'11. Unit Mix'!$G$142</f>
        <v>#DIV/0!</v>
      </c>
      <c r="AR337" s="798" t="e">
        <f t="shared" si="95"/>
        <v>#DIV/0!</v>
      </c>
      <c r="AS337" s="97"/>
      <c r="AT337" s="97"/>
      <c r="AU337" s="97"/>
      <c r="AV337" s="97"/>
      <c r="AW337" s="97"/>
      <c r="AX337" s="97"/>
      <c r="AY337" s="97"/>
      <c r="AZ337" s="97"/>
      <c r="BA337" s="97"/>
      <c r="BB337" s="97"/>
      <c r="BC337" s="97"/>
      <c r="BD337" s="97"/>
      <c r="BE337" s="97"/>
      <c r="BF337" s="97"/>
      <c r="BG337" s="97"/>
      <c r="BH337" s="97"/>
      <c r="BI337" s="97"/>
      <c r="BJ337" s="97"/>
      <c r="BK337" s="97"/>
      <c r="BL337" s="97"/>
      <c r="BM337" s="3"/>
      <c r="BN337" s="3"/>
      <c r="BO337" s="3"/>
      <c r="BP337" s="3"/>
      <c r="BQ337" s="3"/>
      <c r="BR337" s="3"/>
      <c r="BS337" s="3"/>
      <c r="BT337" s="3"/>
      <c r="BU337" s="3"/>
      <c r="BV337" s="3"/>
      <c r="BW337" s="3"/>
      <c r="BX337" s="3"/>
      <c r="BY337" s="3"/>
      <c r="BZ337" s="3"/>
      <c r="CA337" s="3"/>
      <c r="CB337" s="3"/>
    </row>
    <row r="338" spans="2:80" s="399" customFormat="1" hidden="1">
      <c r="B338" s="1117"/>
      <c r="C338" s="525"/>
      <c r="D338" s="526"/>
      <c r="E338" s="2214" t="s">
        <v>4500</v>
      </c>
      <c r="F338" s="2215"/>
      <c r="G338" s="429">
        <f t="shared" si="94"/>
        <v>0</v>
      </c>
      <c r="H338" s="432">
        <f t="shared" ref="H338:AP338" si="96">SUM(H329:H337)</f>
        <v>0</v>
      </c>
      <c r="I338" s="432">
        <f t="shared" si="96"/>
        <v>0</v>
      </c>
      <c r="J338" s="432">
        <f t="shared" si="96"/>
        <v>0</v>
      </c>
      <c r="K338" s="432">
        <f t="shared" si="96"/>
        <v>0</v>
      </c>
      <c r="L338" s="432">
        <f t="shared" si="96"/>
        <v>0</v>
      </c>
      <c r="M338" s="432">
        <f t="shared" si="96"/>
        <v>0</v>
      </c>
      <c r="N338" s="432">
        <f t="shared" si="96"/>
        <v>0</v>
      </c>
      <c r="O338" s="432">
        <f t="shared" si="96"/>
        <v>0</v>
      </c>
      <c r="P338" s="432">
        <f t="shared" si="96"/>
        <v>0</v>
      </c>
      <c r="Q338" s="432">
        <f t="shared" si="96"/>
        <v>0</v>
      </c>
      <c r="R338" s="432">
        <f t="shared" si="96"/>
        <v>0</v>
      </c>
      <c r="S338" s="432">
        <f t="shared" si="96"/>
        <v>0</v>
      </c>
      <c r="T338" s="432">
        <f t="shared" si="96"/>
        <v>0</v>
      </c>
      <c r="U338" s="432">
        <f t="shared" si="96"/>
        <v>0</v>
      </c>
      <c r="V338" s="432">
        <f t="shared" si="96"/>
        <v>0</v>
      </c>
      <c r="W338" s="432">
        <f t="shared" si="96"/>
        <v>0</v>
      </c>
      <c r="X338" s="432">
        <f t="shared" si="96"/>
        <v>0</v>
      </c>
      <c r="Y338" s="432">
        <f t="shared" si="96"/>
        <v>0</v>
      </c>
      <c r="Z338" s="432">
        <f t="shared" si="96"/>
        <v>0</v>
      </c>
      <c r="AA338" s="432">
        <f t="shared" si="96"/>
        <v>0</v>
      </c>
      <c r="AB338" s="432">
        <f t="shared" si="96"/>
        <v>0</v>
      </c>
      <c r="AC338" s="432">
        <f t="shared" si="96"/>
        <v>0</v>
      </c>
      <c r="AD338" s="432">
        <f t="shared" si="96"/>
        <v>0</v>
      </c>
      <c r="AE338" s="432">
        <f t="shared" si="96"/>
        <v>0</v>
      </c>
      <c r="AF338" s="432">
        <f t="shared" si="96"/>
        <v>0</v>
      </c>
      <c r="AG338" s="432">
        <f t="shared" si="96"/>
        <v>0</v>
      </c>
      <c r="AH338" s="432">
        <f t="shared" si="96"/>
        <v>0</v>
      </c>
      <c r="AI338" s="432">
        <f t="shared" si="96"/>
        <v>0</v>
      </c>
      <c r="AJ338" s="432">
        <f t="shared" si="96"/>
        <v>0</v>
      </c>
      <c r="AK338" s="432">
        <f t="shared" si="96"/>
        <v>0</v>
      </c>
      <c r="AL338" s="432">
        <f t="shared" si="96"/>
        <v>0</v>
      </c>
      <c r="AM338" s="432">
        <f t="shared" si="96"/>
        <v>0</v>
      </c>
      <c r="AN338" s="432">
        <f t="shared" si="96"/>
        <v>0</v>
      </c>
      <c r="AO338" s="432">
        <f t="shared" si="96"/>
        <v>0</v>
      </c>
      <c r="AP338" s="432">
        <f t="shared" si="96"/>
        <v>0</v>
      </c>
      <c r="AQ338" s="534"/>
      <c r="AR338" s="433"/>
      <c r="AS338" s="97"/>
      <c r="AT338" s="97"/>
      <c r="AU338" s="97"/>
      <c r="AV338" s="97"/>
      <c r="AW338" s="97"/>
      <c r="AX338" s="97"/>
      <c r="AY338" s="97"/>
      <c r="AZ338" s="97"/>
      <c r="BA338" s="97"/>
      <c r="BB338" s="97"/>
      <c r="BC338" s="97"/>
      <c r="BD338" s="97"/>
      <c r="BE338" s="97"/>
      <c r="BF338" s="97"/>
      <c r="BG338" s="97"/>
      <c r="BH338" s="97"/>
      <c r="BI338" s="97"/>
      <c r="BJ338" s="97"/>
      <c r="BK338" s="97"/>
      <c r="BL338" s="97"/>
      <c r="BM338" s="3"/>
      <c r="BN338" s="3"/>
      <c r="BO338" s="3"/>
      <c r="BP338" s="3"/>
      <c r="BQ338" s="3"/>
      <c r="BR338" s="3"/>
      <c r="BS338" s="3"/>
      <c r="BT338" s="3"/>
      <c r="BU338" s="3"/>
      <c r="BV338" s="3"/>
      <c r="BW338" s="3"/>
      <c r="BX338" s="3"/>
      <c r="BY338" s="3"/>
      <c r="BZ338" s="3"/>
      <c r="CA338" s="3"/>
      <c r="CB338" s="3"/>
    </row>
    <row r="339" spans="2:80" hidden="1">
      <c r="B339" s="1117"/>
      <c r="C339" s="21"/>
      <c r="D339" s="521"/>
      <c r="E339" s="696"/>
      <c r="F339" s="1750"/>
      <c r="G339" s="643"/>
      <c r="H339" s="643"/>
      <c r="I339" s="643"/>
      <c r="J339" s="643"/>
      <c r="K339" s="643"/>
      <c r="L339" s="643"/>
      <c r="M339" s="643"/>
      <c r="N339" s="643"/>
      <c r="O339" s="643"/>
      <c r="P339" s="643"/>
      <c r="Q339" s="643"/>
      <c r="R339" s="643"/>
      <c r="S339" s="643"/>
      <c r="T339" s="643"/>
      <c r="U339" s="643"/>
      <c r="V339" s="643"/>
      <c r="W339" s="643"/>
      <c r="X339" s="643"/>
      <c r="Y339" s="643"/>
      <c r="Z339" s="643"/>
      <c r="AA339" s="643"/>
      <c r="AB339" s="643"/>
      <c r="AC339" s="643"/>
      <c r="AD339" s="643"/>
      <c r="AE339" s="643"/>
      <c r="AF339" s="643"/>
      <c r="AG339" s="643"/>
      <c r="AH339" s="643"/>
      <c r="AI339" s="643"/>
      <c r="AJ339" s="643"/>
      <c r="AK339" s="643"/>
      <c r="AL339" s="643"/>
      <c r="AM339" s="643"/>
      <c r="AN339" s="643"/>
      <c r="AO339" s="643"/>
      <c r="AP339" s="643"/>
      <c r="AQ339" s="643"/>
    </row>
    <row r="340" spans="2:80" s="399" customFormat="1" ht="14.45" hidden="1" customHeight="1">
      <c r="B340" s="1117"/>
      <c r="C340" s="2216" t="s">
        <v>4501</v>
      </c>
      <c r="D340" s="2206" t="s">
        <v>4502</v>
      </c>
      <c r="E340" s="2204" t="s">
        <v>4503</v>
      </c>
      <c r="F340" s="2205"/>
      <c r="G340" s="429">
        <f t="shared" ref="G340:G364" si="97">+SUM(H340:AP340)</f>
        <v>0</v>
      </c>
      <c r="H340" s="430"/>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c r="AN340" s="430"/>
      <c r="AO340" s="430"/>
      <c r="AP340" s="430"/>
      <c r="AQ340" s="431" t="e">
        <f>+G340/'11. Unit Mix'!$G$142</f>
        <v>#DIV/0!</v>
      </c>
      <c r="AR340" s="798" t="e">
        <f t="shared" ref="AR340:AR363" si="98">+G340/Total_Units</f>
        <v>#DIV/0!</v>
      </c>
      <c r="AS340" s="97"/>
      <c r="AT340" s="97"/>
      <c r="AU340" s="97"/>
      <c r="AV340" s="97"/>
      <c r="AW340" s="97"/>
      <c r="AX340" s="97"/>
      <c r="AY340" s="97"/>
      <c r="AZ340" s="97"/>
      <c r="BA340" s="97"/>
      <c r="BB340" s="97"/>
      <c r="BC340" s="97"/>
      <c r="BD340" s="97"/>
      <c r="BE340" s="97"/>
      <c r="BF340" s="97"/>
      <c r="BG340" s="97"/>
      <c r="BH340" s="97"/>
      <c r="BI340" s="97"/>
      <c r="BJ340" s="97"/>
      <c r="BK340" s="97"/>
      <c r="BL340" s="97"/>
      <c r="BM340" s="3"/>
      <c r="BN340" s="3"/>
      <c r="BO340" s="3"/>
      <c r="BP340" s="3"/>
      <c r="BQ340" s="3"/>
      <c r="BR340" s="3"/>
      <c r="BS340" s="3"/>
      <c r="BT340" s="3"/>
      <c r="BU340" s="3"/>
      <c r="BV340" s="3"/>
      <c r="BW340" s="3"/>
      <c r="BX340" s="3"/>
      <c r="BY340" s="3"/>
      <c r="BZ340" s="3"/>
      <c r="CA340" s="3"/>
      <c r="CB340" s="3"/>
    </row>
    <row r="341" spans="2:80" s="399" customFormat="1" ht="15" hidden="1">
      <c r="B341" s="1117"/>
      <c r="C341" s="2217"/>
      <c r="D341" s="2202"/>
      <c r="E341" s="2204" t="s">
        <v>4504</v>
      </c>
      <c r="F341" s="2205"/>
      <c r="G341" s="429">
        <f t="shared" si="97"/>
        <v>0</v>
      </c>
      <c r="H341" s="430"/>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c r="AN341" s="430"/>
      <c r="AO341" s="430"/>
      <c r="AP341" s="430"/>
      <c r="AQ341" s="431" t="e">
        <f>+G341/'11. Unit Mix'!$G$142</f>
        <v>#DIV/0!</v>
      </c>
      <c r="AR341" s="798" t="e">
        <f t="shared" si="98"/>
        <v>#DIV/0!</v>
      </c>
      <c r="AS341" s="97"/>
      <c r="AT341" s="97"/>
      <c r="AU341" s="97"/>
      <c r="AV341" s="97"/>
      <c r="AW341" s="97"/>
      <c r="AX341" s="97"/>
      <c r="AY341" s="97"/>
      <c r="AZ341" s="97"/>
      <c r="BA341" s="97"/>
      <c r="BB341" s="97"/>
      <c r="BC341" s="97"/>
      <c r="BD341" s="97"/>
      <c r="BE341" s="97"/>
      <c r="BF341" s="97"/>
      <c r="BG341" s="97"/>
      <c r="BH341" s="97"/>
      <c r="BI341" s="97"/>
      <c r="BJ341" s="97"/>
      <c r="BK341" s="97"/>
      <c r="BL341" s="97"/>
      <c r="BM341" s="3"/>
      <c r="BN341" s="3"/>
      <c r="BO341" s="3"/>
      <c r="BP341" s="3"/>
      <c r="BQ341" s="3"/>
      <c r="BR341" s="3"/>
      <c r="BS341" s="3"/>
      <c r="BT341" s="3"/>
      <c r="BU341" s="3"/>
      <c r="BV341" s="3"/>
      <c r="BW341" s="3"/>
      <c r="BX341" s="3"/>
      <c r="BY341" s="3"/>
      <c r="BZ341" s="3"/>
      <c r="CA341" s="3"/>
      <c r="CB341" s="3"/>
    </row>
    <row r="342" spans="2:80" s="399" customFormat="1" ht="15" hidden="1">
      <c r="B342" s="1117"/>
      <c r="C342" s="2217"/>
      <c r="D342" s="2202"/>
      <c r="E342" s="2204" t="s">
        <v>4505</v>
      </c>
      <c r="F342" s="2205"/>
      <c r="G342" s="429">
        <f t="shared" si="97"/>
        <v>0</v>
      </c>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c r="AN342" s="430"/>
      <c r="AO342" s="430"/>
      <c r="AP342" s="430"/>
      <c r="AQ342" s="431" t="e">
        <f>+G342/'11. Unit Mix'!$G$142</f>
        <v>#DIV/0!</v>
      </c>
      <c r="AR342" s="798" t="e">
        <f t="shared" si="98"/>
        <v>#DIV/0!</v>
      </c>
      <c r="AS342" s="97"/>
      <c r="AT342" s="97"/>
      <c r="AU342" s="97"/>
      <c r="AV342" s="97"/>
      <c r="AW342" s="97"/>
      <c r="AX342" s="97"/>
      <c r="AY342" s="97"/>
      <c r="AZ342" s="97"/>
      <c r="BA342" s="97"/>
      <c r="BB342" s="97"/>
      <c r="BC342" s="97"/>
      <c r="BD342" s="97"/>
      <c r="BE342" s="97"/>
      <c r="BF342" s="97"/>
      <c r="BG342" s="97"/>
      <c r="BH342" s="97"/>
      <c r="BI342" s="97"/>
      <c r="BJ342" s="97"/>
      <c r="BK342" s="97"/>
      <c r="BL342" s="97"/>
      <c r="BM342" s="3"/>
      <c r="BN342" s="3"/>
      <c r="BO342" s="3"/>
      <c r="BP342" s="3"/>
      <c r="BQ342" s="3"/>
      <c r="BR342" s="3"/>
      <c r="BS342" s="3"/>
      <c r="BT342" s="3"/>
      <c r="BU342" s="3"/>
      <c r="BV342" s="3"/>
      <c r="BW342" s="3"/>
      <c r="BX342" s="3"/>
      <c r="BY342" s="3"/>
      <c r="BZ342" s="3"/>
      <c r="CA342" s="3"/>
      <c r="CB342" s="3"/>
    </row>
    <row r="343" spans="2:80" s="399" customFormat="1" ht="15" hidden="1">
      <c r="B343" s="1117"/>
      <c r="C343" s="2217"/>
      <c r="D343" s="2203"/>
      <c r="E343" s="2204" t="s">
        <v>4506</v>
      </c>
      <c r="F343" s="2205"/>
      <c r="G343" s="429">
        <f t="shared" si="97"/>
        <v>0</v>
      </c>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c r="AN343" s="430"/>
      <c r="AO343" s="430"/>
      <c r="AP343" s="430"/>
      <c r="AQ343" s="431" t="e">
        <f>+G343/'11. Unit Mix'!$G$142</f>
        <v>#DIV/0!</v>
      </c>
      <c r="AR343" s="798" t="e">
        <f t="shared" si="98"/>
        <v>#DIV/0!</v>
      </c>
      <c r="AS343" s="97"/>
      <c r="AT343" s="97"/>
      <c r="AU343" s="97"/>
      <c r="AV343" s="97"/>
      <c r="AW343" s="97"/>
      <c r="AX343" s="97"/>
      <c r="AY343" s="97"/>
      <c r="AZ343" s="97"/>
      <c r="BA343" s="97"/>
      <c r="BB343" s="97"/>
      <c r="BC343" s="97"/>
      <c r="BD343" s="97"/>
      <c r="BE343" s="97"/>
      <c r="BF343" s="97"/>
      <c r="BG343" s="97"/>
      <c r="BH343" s="97"/>
      <c r="BI343" s="97"/>
      <c r="BJ343" s="97"/>
      <c r="BK343" s="97"/>
      <c r="BL343" s="97"/>
      <c r="BM343" s="3"/>
      <c r="BN343" s="3"/>
      <c r="BO343" s="3"/>
      <c r="BP343" s="3"/>
      <c r="BQ343" s="3"/>
      <c r="BR343" s="3"/>
      <c r="BS343" s="3"/>
      <c r="BT343" s="3"/>
      <c r="BU343" s="3"/>
      <c r="BV343" s="3"/>
      <c r="BW343" s="3"/>
      <c r="BX343" s="3"/>
      <c r="BY343" s="3"/>
      <c r="BZ343" s="3"/>
      <c r="CA343" s="3"/>
      <c r="CB343" s="3"/>
    </row>
    <row r="344" spans="2:80" s="399" customFormat="1" ht="15" hidden="1">
      <c r="B344" s="1117"/>
      <c r="C344" s="2217"/>
      <c r="D344" s="2219" t="s">
        <v>4507</v>
      </c>
      <c r="E344" s="2204" t="s">
        <v>4508</v>
      </c>
      <c r="F344" s="2205"/>
      <c r="G344" s="429">
        <f t="shared" si="97"/>
        <v>0</v>
      </c>
      <c r="H344" s="430"/>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c r="AN344" s="430"/>
      <c r="AO344" s="430"/>
      <c r="AP344" s="430"/>
      <c r="AQ344" s="431" t="e">
        <f>+G344/'11. Unit Mix'!$G$142</f>
        <v>#DIV/0!</v>
      </c>
      <c r="AR344" s="798" t="e">
        <f t="shared" si="98"/>
        <v>#DIV/0!</v>
      </c>
      <c r="AS344" s="97"/>
      <c r="AT344" s="97"/>
      <c r="AU344" s="97"/>
      <c r="AV344" s="97"/>
      <c r="AW344" s="97"/>
      <c r="AX344" s="97"/>
      <c r="AY344" s="97"/>
      <c r="AZ344" s="97"/>
      <c r="BA344" s="97"/>
      <c r="BB344" s="97"/>
      <c r="BC344" s="97"/>
      <c r="BD344" s="97"/>
      <c r="BE344" s="97"/>
      <c r="BF344" s="97"/>
      <c r="BG344" s="97"/>
      <c r="BH344" s="97"/>
      <c r="BI344" s="97"/>
      <c r="BJ344" s="97"/>
      <c r="BK344" s="97"/>
      <c r="BL344" s="97"/>
      <c r="BM344" s="3"/>
      <c r="BN344" s="3"/>
      <c r="BO344" s="3"/>
      <c r="BP344" s="3"/>
      <c r="BQ344" s="3"/>
      <c r="BR344" s="3"/>
      <c r="BS344" s="3"/>
      <c r="BT344" s="3"/>
      <c r="BU344" s="3"/>
      <c r="BV344" s="3"/>
      <c r="BW344" s="3"/>
      <c r="BX344" s="3"/>
      <c r="BY344" s="3"/>
      <c r="BZ344" s="3"/>
      <c r="CA344" s="3"/>
      <c r="CB344" s="3"/>
    </row>
    <row r="345" spans="2:80" s="399" customFormat="1" ht="15" hidden="1">
      <c r="B345" s="1117"/>
      <c r="C345" s="2217"/>
      <c r="D345" s="2220"/>
      <c r="E345" s="2204" t="s">
        <v>4509</v>
      </c>
      <c r="F345" s="2205"/>
      <c r="G345" s="429">
        <f t="shared" si="97"/>
        <v>0</v>
      </c>
      <c r="H345" s="430"/>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c r="AN345" s="430"/>
      <c r="AO345" s="430"/>
      <c r="AP345" s="430"/>
      <c r="AQ345" s="431" t="e">
        <f>+G345/'11. Unit Mix'!$G$142</f>
        <v>#DIV/0!</v>
      </c>
      <c r="AR345" s="798" t="e">
        <f t="shared" si="98"/>
        <v>#DIV/0!</v>
      </c>
      <c r="AS345" s="97"/>
      <c r="AT345" s="97"/>
      <c r="AU345" s="97"/>
      <c r="AV345" s="97"/>
      <c r="AW345" s="97"/>
      <c r="AX345" s="97"/>
      <c r="AY345" s="97"/>
      <c r="AZ345" s="97"/>
      <c r="BA345" s="97"/>
      <c r="BB345" s="97"/>
      <c r="BC345" s="97"/>
      <c r="BD345" s="97"/>
      <c r="BE345" s="97"/>
      <c r="BF345" s="97"/>
      <c r="BG345" s="97"/>
      <c r="BH345" s="97"/>
      <c r="BI345" s="97"/>
      <c r="BJ345" s="97"/>
      <c r="BK345" s="97"/>
      <c r="BL345" s="97"/>
      <c r="BM345" s="3"/>
      <c r="BN345" s="3"/>
      <c r="BO345" s="3"/>
      <c r="BP345" s="3"/>
      <c r="BQ345" s="3"/>
      <c r="BR345" s="3"/>
      <c r="BS345" s="3"/>
      <c r="BT345" s="3"/>
      <c r="BU345" s="3"/>
      <c r="BV345" s="3"/>
      <c r="BW345" s="3"/>
      <c r="BX345" s="3"/>
      <c r="BY345" s="3"/>
      <c r="BZ345" s="3"/>
      <c r="CA345" s="3"/>
      <c r="CB345" s="3"/>
    </row>
    <row r="346" spans="2:80" s="399" customFormat="1" ht="15" hidden="1">
      <c r="B346" s="1117"/>
      <c r="C346" s="2217"/>
      <c r="D346" s="2220"/>
      <c r="E346" s="2204" t="s">
        <v>4510</v>
      </c>
      <c r="F346" s="2205"/>
      <c r="G346" s="429">
        <f t="shared" si="97"/>
        <v>0</v>
      </c>
      <c r="H346" s="430"/>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c r="AN346" s="430"/>
      <c r="AO346" s="430"/>
      <c r="AP346" s="430"/>
      <c r="AQ346" s="431" t="e">
        <f>+G346/'11. Unit Mix'!$G$142</f>
        <v>#DIV/0!</v>
      </c>
      <c r="AR346" s="798" t="e">
        <f t="shared" si="98"/>
        <v>#DIV/0!</v>
      </c>
      <c r="AS346" s="97"/>
      <c r="AT346" s="97"/>
      <c r="AU346" s="97"/>
      <c r="AV346" s="97"/>
      <c r="AW346" s="97"/>
      <c r="AX346" s="97"/>
      <c r="AY346" s="97"/>
      <c r="AZ346" s="97"/>
      <c r="BA346" s="97"/>
      <c r="BB346" s="97"/>
      <c r="BC346" s="97"/>
      <c r="BD346" s="97"/>
      <c r="BE346" s="97"/>
      <c r="BF346" s="97"/>
      <c r="BG346" s="97"/>
      <c r="BH346" s="97"/>
      <c r="BI346" s="97"/>
      <c r="BJ346" s="97"/>
      <c r="BK346" s="97"/>
      <c r="BL346" s="97"/>
      <c r="BM346" s="3"/>
      <c r="BN346" s="3"/>
      <c r="BO346" s="3"/>
      <c r="BP346" s="3"/>
      <c r="BQ346" s="3"/>
      <c r="BR346" s="3"/>
      <c r="BS346" s="3"/>
      <c r="BT346" s="3"/>
      <c r="BU346" s="3"/>
      <c r="BV346" s="3"/>
      <c r="BW346" s="3"/>
      <c r="BX346" s="3"/>
      <c r="BY346" s="3"/>
      <c r="BZ346" s="3"/>
      <c r="CA346" s="3"/>
      <c r="CB346" s="3"/>
    </row>
    <row r="347" spans="2:80" s="399" customFormat="1" ht="15" hidden="1">
      <c r="B347" s="1117"/>
      <c r="C347" s="2217"/>
      <c r="D347" s="2220"/>
      <c r="E347" s="2204" t="s">
        <v>4511</v>
      </c>
      <c r="F347" s="2205"/>
      <c r="G347" s="429">
        <f t="shared" si="97"/>
        <v>0</v>
      </c>
      <c r="H347" s="430"/>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c r="AN347" s="430"/>
      <c r="AO347" s="430"/>
      <c r="AP347" s="430"/>
      <c r="AQ347" s="431" t="e">
        <f>+G347/'11. Unit Mix'!$G$142</f>
        <v>#DIV/0!</v>
      </c>
      <c r="AR347" s="798" t="e">
        <f t="shared" si="98"/>
        <v>#DIV/0!</v>
      </c>
      <c r="AS347" s="97"/>
      <c r="AT347" s="97"/>
      <c r="AU347" s="97"/>
      <c r="AV347" s="97"/>
      <c r="AW347" s="97"/>
      <c r="AX347" s="97"/>
      <c r="AY347" s="97"/>
      <c r="AZ347" s="97"/>
      <c r="BA347" s="97"/>
      <c r="BB347" s="97"/>
      <c r="BC347" s="97"/>
      <c r="BD347" s="97"/>
      <c r="BE347" s="97"/>
      <c r="BF347" s="97"/>
      <c r="BG347" s="97"/>
      <c r="BH347" s="97"/>
      <c r="BI347" s="97"/>
      <c r="BJ347" s="97"/>
      <c r="BK347" s="97"/>
      <c r="BL347" s="97"/>
      <c r="BM347" s="3"/>
      <c r="BN347" s="3"/>
      <c r="BO347" s="3"/>
      <c r="BP347" s="3"/>
      <c r="BQ347" s="3"/>
      <c r="BR347" s="3"/>
      <c r="BS347" s="3"/>
      <c r="BT347" s="3"/>
      <c r="BU347" s="3"/>
      <c r="BV347" s="3"/>
      <c r="BW347" s="3"/>
      <c r="BX347" s="3"/>
      <c r="BY347" s="3"/>
      <c r="BZ347" s="3"/>
      <c r="CA347" s="3"/>
      <c r="CB347" s="3"/>
    </row>
    <row r="348" spans="2:80" s="399" customFormat="1" ht="15" hidden="1">
      <c r="B348" s="1117"/>
      <c r="C348" s="2217"/>
      <c r="D348" s="2221"/>
      <c r="E348" s="2204" t="s">
        <v>4512</v>
      </c>
      <c r="F348" s="2205"/>
      <c r="G348" s="429">
        <f t="shared" si="97"/>
        <v>0</v>
      </c>
      <c r="H348" s="430"/>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c r="AN348" s="430"/>
      <c r="AO348" s="430"/>
      <c r="AP348" s="430"/>
      <c r="AQ348" s="431" t="e">
        <f>+G348/'11. Unit Mix'!$G$142</f>
        <v>#DIV/0!</v>
      </c>
      <c r="AR348" s="798" t="e">
        <f t="shared" si="98"/>
        <v>#DIV/0!</v>
      </c>
      <c r="AS348" s="97"/>
      <c r="AT348" s="97"/>
      <c r="AU348" s="97"/>
      <c r="AV348" s="97"/>
      <c r="AW348" s="97"/>
      <c r="AX348" s="97"/>
      <c r="AY348" s="97"/>
      <c r="AZ348" s="97"/>
      <c r="BA348" s="97"/>
      <c r="BB348" s="97"/>
      <c r="BC348" s="97"/>
      <c r="BD348" s="97"/>
      <c r="BE348" s="97"/>
      <c r="BF348" s="97"/>
      <c r="BG348" s="97"/>
      <c r="BH348" s="97"/>
      <c r="BI348" s="97"/>
      <c r="BJ348" s="97"/>
      <c r="BK348" s="97"/>
      <c r="BL348" s="97"/>
      <c r="BM348" s="3"/>
      <c r="BN348" s="3"/>
      <c r="BO348" s="3"/>
      <c r="BP348" s="3"/>
      <c r="BQ348" s="3"/>
      <c r="BR348" s="3"/>
      <c r="BS348" s="3"/>
      <c r="BT348" s="3"/>
      <c r="BU348" s="3"/>
      <c r="BV348" s="3"/>
      <c r="BW348" s="3"/>
      <c r="BX348" s="3"/>
      <c r="BY348" s="3"/>
      <c r="BZ348" s="3"/>
      <c r="CA348" s="3"/>
      <c r="CB348" s="3"/>
    </row>
    <row r="349" spans="2:80" s="399" customFormat="1" ht="14.45" hidden="1" customHeight="1">
      <c r="B349" s="1117"/>
      <c r="C349" s="2217"/>
      <c r="D349" s="2206" t="s">
        <v>4513</v>
      </c>
      <c r="E349" s="2204" t="s">
        <v>4514</v>
      </c>
      <c r="F349" s="2205"/>
      <c r="G349" s="429">
        <f t="shared" si="97"/>
        <v>0</v>
      </c>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c r="AN349" s="430"/>
      <c r="AO349" s="430"/>
      <c r="AP349" s="430"/>
      <c r="AQ349" s="431" t="e">
        <f>+G349/'11. Unit Mix'!$G$142</f>
        <v>#DIV/0!</v>
      </c>
      <c r="AR349" s="798" t="e">
        <f t="shared" si="98"/>
        <v>#DIV/0!</v>
      </c>
      <c r="AS349" s="97"/>
      <c r="AT349" s="97"/>
      <c r="AU349" s="97"/>
      <c r="AV349" s="97"/>
      <c r="AW349" s="97"/>
      <c r="AX349" s="97"/>
      <c r="AY349" s="97"/>
      <c r="AZ349" s="97"/>
      <c r="BA349" s="97"/>
      <c r="BB349" s="97"/>
      <c r="BC349" s="97"/>
      <c r="BD349" s="97"/>
      <c r="BE349" s="97"/>
      <c r="BF349" s="97"/>
      <c r="BG349" s="97"/>
      <c r="BH349" s="97"/>
      <c r="BI349" s="97"/>
      <c r="BJ349" s="97"/>
      <c r="BK349" s="97"/>
      <c r="BL349" s="97"/>
      <c r="BM349" s="3"/>
      <c r="BN349" s="3"/>
      <c r="BO349" s="3"/>
      <c r="BP349" s="3"/>
      <c r="BQ349" s="3"/>
      <c r="BR349" s="3"/>
      <c r="BS349" s="3"/>
      <c r="BT349" s="3"/>
      <c r="BU349" s="3"/>
      <c r="BV349" s="3"/>
      <c r="BW349" s="3"/>
      <c r="BX349" s="3"/>
      <c r="BY349" s="3"/>
      <c r="BZ349" s="3"/>
      <c r="CA349" s="3"/>
      <c r="CB349" s="3"/>
    </row>
    <row r="350" spans="2:80" s="399" customFormat="1" ht="15" hidden="1">
      <c r="B350" s="1117"/>
      <c r="C350" s="2217"/>
      <c r="D350" s="2202"/>
      <c r="E350" s="2204" t="s">
        <v>4515</v>
      </c>
      <c r="F350" s="2205"/>
      <c r="G350" s="429">
        <f t="shared" si="97"/>
        <v>0</v>
      </c>
      <c r="H350" s="430"/>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c r="AN350" s="430"/>
      <c r="AO350" s="430"/>
      <c r="AP350" s="430"/>
      <c r="AQ350" s="431" t="e">
        <f>+G350/'11. Unit Mix'!$G$142</f>
        <v>#DIV/0!</v>
      </c>
      <c r="AR350" s="798" t="e">
        <f t="shared" si="98"/>
        <v>#DIV/0!</v>
      </c>
      <c r="AS350" s="97"/>
      <c r="AT350" s="97"/>
      <c r="AU350" s="97"/>
      <c r="AV350" s="97"/>
      <c r="AW350" s="97"/>
      <c r="AX350" s="97"/>
      <c r="AY350" s="97"/>
      <c r="AZ350" s="97"/>
      <c r="BA350" s="97"/>
      <c r="BB350" s="97"/>
      <c r="BC350" s="97"/>
      <c r="BD350" s="97"/>
      <c r="BE350" s="97"/>
      <c r="BF350" s="97"/>
      <c r="BG350" s="97"/>
      <c r="BH350" s="97"/>
      <c r="BI350" s="97"/>
      <c r="BJ350" s="97"/>
      <c r="BK350" s="97"/>
      <c r="BL350" s="97"/>
      <c r="BM350" s="3"/>
      <c r="BN350" s="3"/>
      <c r="BO350" s="3"/>
      <c r="BP350" s="3"/>
      <c r="BQ350" s="3"/>
      <c r="BR350" s="3"/>
      <c r="BS350" s="3"/>
      <c r="BT350" s="3"/>
      <c r="BU350" s="3"/>
      <c r="BV350" s="3"/>
      <c r="BW350" s="3"/>
      <c r="BX350" s="3"/>
      <c r="BY350" s="3"/>
      <c r="BZ350" s="3"/>
      <c r="CA350" s="3"/>
      <c r="CB350" s="3"/>
    </row>
    <row r="351" spans="2:80" s="399" customFormat="1" ht="15" hidden="1">
      <c r="B351" s="1117"/>
      <c r="C351" s="2217"/>
      <c r="D351" s="2202"/>
      <c r="E351" s="2204" t="s">
        <v>4516</v>
      </c>
      <c r="F351" s="2205"/>
      <c r="G351" s="429">
        <f t="shared" si="97"/>
        <v>0</v>
      </c>
      <c r="H351" s="430"/>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c r="AN351" s="430"/>
      <c r="AO351" s="430"/>
      <c r="AP351" s="430"/>
      <c r="AQ351" s="431" t="e">
        <f>+G351/'11. Unit Mix'!$G$142</f>
        <v>#DIV/0!</v>
      </c>
      <c r="AR351" s="798" t="e">
        <f t="shared" si="98"/>
        <v>#DIV/0!</v>
      </c>
      <c r="AS351" s="97"/>
      <c r="AT351" s="97"/>
      <c r="AU351" s="97"/>
      <c r="AV351" s="97"/>
      <c r="AW351" s="97"/>
      <c r="AX351" s="97"/>
      <c r="AY351" s="97"/>
      <c r="AZ351" s="97"/>
      <c r="BA351" s="97"/>
      <c r="BB351" s="97"/>
      <c r="BC351" s="97"/>
      <c r="BD351" s="97"/>
      <c r="BE351" s="97"/>
      <c r="BF351" s="97"/>
      <c r="BG351" s="97"/>
      <c r="BH351" s="97"/>
      <c r="BI351" s="97"/>
      <c r="BJ351" s="97"/>
      <c r="BK351" s="97"/>
      <c r="BL351" s="97"/>
      <c r="BM351" s="3"/>
      <c r="BN351" s="3"/>
      <c r="BO351" s="3"/>
      <c r="BP351" s="3"/>
      <c r="BQ351" s="3"/>
      <c r="BR351" s="3"/>
      <c r="BS351" s="3"/>
      <c r="BT351" s="3"/>
      <c r="BU351" s="3"/>
      <c r="BV351" s="3"/>
      <c r="BW351" s="3"/>
      <c r="BX351" s="3"/>
      <c r="BY351" s="3"/>
      <c r="BZ351" s="3"/>
      <c r="CA351" s="3"/>
      <c r="CB351" s="3"/>
    </row>
    <row r="352" spans="2:80" s="399" customFormat="1" ht="15" hidden="1">
      <c r="B352" s="1117"/>
      <c r="C352" s="2217"/>
      <c r="D352" s="2202"/>
      <c r="E352" s="2204" t="s">
        <v>4517</v>
      </c>
      <c r="F352" s="2205"/>
      <c r="G352" s="429">
        <f t="shared" si="97"/>
        <v>0</v>
      </c>
      <c r="H352" s="430"/>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c r="AP352" s="430"/>
      <c r="AQ352" s="431" t="e">
        <f>+G352/'11. Unit Mix'!$G$142</f>
        <v>#DIV/0!</v>
      </c>
      <c r="AR352" s="798" t="e">
        <f t="shared" si="98"/>
        <v>#DIV/0!</v>
      </c>
      <c r="AS352" s="97"/>
      <c r="AT352" s="97"/>
      <c r="AU352" s="97"/>
      <c r="AV352" s="97"/>
      <c r="AW352" s="97"/>
      <c r="AX352" s="97"/>
      <c r="AY352" s="97"/>
      <c r="AZ352" s="97"/>
      <c r="BA352" s="97"/>
      <c r="BB352" s="97"/>
      <c r="BC352" s="97"/>
      <c r="BD352" s="97"/>
      <c r="BE352" s="97"/>
      <c r="BF352" s="97"/>
      <c r="BG352" s="97"/>
      <c r="BH352" s="97"/>
      <c r="BI352" s="97"/>
      <c r="BJ352" s="97"/>
      <c r="BK352" s="97"/>
      <c r="BL352" s="97"/>
      <c r="BM352" s="3"/>
      <c r="BN352" s="3"/>
      <c r="BO352" s="3"/>
      <c r="BP352" s="3"/>
      <c r="BQ352" s="3"/>
      <c r="BR352" s="3"/>
      <c r="BS352" s="3"/>
      <c r="BT352" s="3"/>
      <c r="BU352" s="3"/>
      <c r="BV352" s="3"/>
      <c r="BW352" s="3"/>
      <c r="BX352" s="3"/>
      <c r="BY352" s="3"/>
      <c r="BZ352" s="3"/>
      <c r="CA352" s="3"/>
      <c r="CB352" s="3"/>
    </row>
    <row r="353" spans="2:80" s="399" customFormat="1" ht="15" hidden="1">
      <c r="B353" s="1117"/>
      <c r="C353" s="2217"/>
      <c r="D353" s="2202"/>
      <c r="E353" s="2204" t="s">
        <v>4518</v>
      </c>
      <c r="F353" s="2205"/>
      <c r="G353" s="429">
        <f t="shared" si="97"/>
        <v>0</v>
      </c>
      <c r="H353" s="430"/>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c r="AN353" s="430"/>
      <c r="AO353" s="430"/>
      <c r="AP353" s="430"/>
      <c r="AQ353" s="431" t="e">
        <f>+G353/'11. Unit Mix'!$G$142</f>
        <v>#DIV/0!</v>
      </c>
      <c r="AR353" s="798" t="e">
        <f t="shared" si="98"/>
        <v>#DIV/0!</v>
      </c>
      <c r="AS353" s="97"/>
      <c r="AT353" s="97"/>
      <c r="AU353" s="97"/>
      <c r="AV353" s="97"/>
      <c r="AW353" s="97"/>
      <c r="AX353" s="97"/>
      <c r="AY353" s="97"/>
      <c r="AZ353" s="97"/>
      <c r="BA353" s="97"/>
      <c r="BB353" s="97"/>
      <c r="BC353" s="97"/>
      <c r="BD353" s="97"/>
      <c r="BE353" s="97"/>
      <c r="BF353" s="97"/>
      <c r="BG353" s="97"/>
      <c r="BH353" s="97"/>
      <c r="BI353" s="97"/>
      <c r="BJ353" s="97"/>
      <c r="BK353" s="97"/>
      <c r="BL353" s="97"/>
      <c r="BM353" s="3"/>
      <c r="BN353" s="3"/>
      <c r="BO353" s="3"/>
      <c r="BP353" s="3"/>
      <c r="BQ353" s="3"/>
      <c r="BR353" s="3"/>
      <c r="BS353" s="3"/>
      <c r="BT353" s="3"/>
      <c r="BU353" s="3"/>
      <c r="BV353" s="3"/>
      <c r="BW353" s="3"/>
      <c r="BX353" s="3"/>
      <c r="BY353" s="3"/>
      <c r="BZ353" s="3"/>
      <c r="CA353" s="3"/>
      <c r="CB353" s="3"/>
    </row>
    <row r="354" spans="2:80" s="399" customFormat="1" ht="15" hidden="1">
      <c r="B354" s="1117"/>
      <c r="C354" s="2217"/>
      <c r="D354" s="2202"/>
      <c r="E354" s="2204" t="s">
        <v>4519</v>
      </c>
      <c r="F354" s="2205"/>
      <c r="G354" s="429">
        <f t="shared" si="97"/>
        <v>0</v>
      </c>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c r="AP354" s="430"/>
      <c r="AQ354" s="431" t="e">
        <f>+G354/'11. Unit Mix'!$G$142</f>
        <v>#DIV/0!</v>
      </c>
      <c r="AR354" s="798" t="e">
        <f t="shared" si="98"/>
        <v>#DIV/0!</v>
      </c>
      <c r="AS354" s="97"/>
      <c r="AT354" s="97"/>
      <c r="AU354" s="97"/>
      <c r="AV354" s="97"/>
      <c r="AW354" s="97"/>
      <c r="AX354" s="97"/>
      <c r="AY354" s="97"/>
      <c r="AZ354" s="97"/>
      <c r="BA354" s="97"/>
      <c r="BB354" s="97"/>
      <c r="BC354" s="97"/>
      <c r="BD354" s="97"/>
      <c r="BE354" s="97"/>
      <c r="BF354" s="97"/>
      <c r="BG354" s="97"/>
      <c r="BH354" s="97"/>
      <c r="BI354" s="97"/>
      <c r="BJ354" s="97"/>
      <c r="BK354" s="97"/>
      <c r="BL354" s="97"/>
      <c r="BM354" s="3"/>
      <c r="BN354" s="3"/>
      <c r="BO354" s="3"/>
      <c r="BP354" s="3"/>
      <c r="BQ354" s="3"/>
      <c r="BR354" s="3"/>
      <c r="BS354" s="3"/>
      <c r="BT354" s="3"/>
      <c r="BU354" s="3"/>
      <c r="BV354" s="3"/>
      <c r="BW354" s="3"/>
      <c r="BX354" s="3"/>
      <c r="BY354" s="3"/>
      <c r="BZ354" s="3"/>
      <c r="CA354" s="3"/>
      <c r="CB354" s="3"/>
    </row>
    <row r="355" spans="2:80" s="399" customFormat="1" ht="15" hidden="1">
      <c r="B355" s="1117"/>
      <c r="C355" s="2217"/>
      <c r="D355" s="2203"/>
      <c r="E355" s="2204" t="s">
        <v>4520</v>
      </c>
      <c r="F355" s="2205"/>
      <c r="G355" s="429">
        <f t="shared" si="97"/>
        <v>0</v>
      </c>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c r="AP355" s="430"/>
      <c r="AQ355" s="431" t="e">
        <f>+G355/'11. Unit Mix'!$G$142</f>
        <v>#DIV/0!</v>
      </c>
      <c r="AR355" s="798" t="e">
        <f t="shared" si="98"/>
        <v>#DIV/0!</v>
      </c>
      <c r="AS355" s="97"/>
      <c r="AT355" s="97"/>
      <c r="AU355" s="97"/>
      <c r="AV355" s="97"/>
      <c r="AW355" s="97"/>
      <c r="AX355" s="97"/>
      <c r="AY355" s="97"/>
      <c r="AZ355" s="97"/>
      <c r="BA355" s="97"/>
      <c r="BB355" s="97"/>
      <c r="BC355" s="97"/>
      <c r="BD355" s="97"/>
      <c r="BE355" s="97"/>
      <c r="BF355" s="97"/>
      <c r="BG355" s="97"/>
      <c r="BH355" s="97"/>
      <c r="BI355" s="97"/>
      <c r="BJ355" s="97"/>
      <c r="BK355" s="97"/>
      <c r="BL355" s="97"/>
      <c r="BM355" s="3"/>
      <c r="BN355" s="3"/>
      <c r="BO355" s="3"/>
      <c r="BP355" s="3"/>
      <c r="BQ355" s="3"/>
      <c r="BR355" s="3"/>
      <c r="BS355" s="3"/>
      <c r="BT355" s="3"/>
      <c r="BU355" s="3"/>
      <c r="BV355" s="3"/>
      <c r="BW355" s="3"/>
      <c r="BX355" s="3"/>
      <c r="BY355" s="3"/>
      <c r="BZ355" s="3"/>
      <c r="CA355" s="3"/>
      <c r="CB355" s="3"/>
    </row>
    <row r="356" spans="2:80" s="399" customFormat="1" ht="15" hidden="1">
      <c r="B356" s="1117"/>
      <c r="C356" s="2217"/>
      <c r="D356" s="2206" t="s">
        <v>4521</v>
      </c>
      <c r="E356" s="2204" t="s">
        <v>4522</v>
      </c>
      <c r="F356" s="2205"/>
      <c r="G356" s="429">
        <f t="shared" si="97"/>
        <v>0</v>
      </c>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c r="AP356" s="430"/>
      <c r="AQ356" s="431" t="e">
        <f>+G356/'11. Unit Mix'!$G$142</f>
        <v>#DIV/0!</v>
      </c>
      <c r="AR356" s="798" t="e">
        <f t="shared" si="98"/>
        <v>#DIV/0!</v>
      </c>
      <c r="AS356" s="97"/>
      <c r="AT356" s="97"/>
      <c r="AU356" s="97"/>
      <c r="AV356" s="97"/>
      <c r="AW356" s="97"/>
      <c r="AX356" s="97"/>
      <c r="AY356" s="97"/>
      <c r="AZ356" s="97"/>
      <c r="BA356" s="97"/>
      <c r="BB356" s="97"/>
      <c r="BC356" s="97"/>
      <c r="BD356" s="97"/>
      <c r="BE356" s="97"/>
      <c r="BF356" s="97"/>
      <c r="BG356" s="97"/>
      <c r="BH356" s="97"/>
      <c r="BI356" s="97"/>
      <c r="BJ356" s="97"/>
      <c r="BK356" s="97"/>
      <c r="BL356" s="97"/>
      <c r="BM356" s="3"/>
      <c r="BN356" s="3"/>
      <c r="BO356" s="3"/>
      <c r="BP356" s="3"/>
      <c r="BQ356" s="3"/>
      <c r="BR356" s="3"/>
      <c r="BS356" s="3"/>
      <c r="BT356" s="3"/>
      <c r="BU356" s="3"/>
      <c r="BV356" s="3"/>
      <c r="BW356" s="3"/>
      <c r="BX356" s="3"/>
      <c r="BY356" s="3"/>
      <c r="BZ356" s="3"/>
      <c r="CA356" s="3"/>
      <c r="CB356" s="3"/>
    </row>
    <row r="357" spans="2:80" s="399" customFormat="1" ht="15" hidden="1">
      <c r="B357" s="1117"/>
      <c r="C357" s="2217"/>
      <c r="D357" s="2202"/>
      <c r="E357" s="2204" t="s">
        <v>4523</v>
      </c>
      <c r="F357" s="2205"/>
      <c r="G357" s="429">
        <f t="shared" si="97"/>
        <v>0</v>
      </c>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c r="AP357" s="430"/>
      <c r="AQ357" s="431" t="e">
        <f>+G357/'11. Unit Mix'!$G$142</f>
        <v>#DIV/0!</v>
      </c>
      <c r="AR357" s="798" t="e">
        <f t="shared" si="98"/>
        <v>#DIV/0!</v>
      </c>
      <c r="AS357" s="97"/>
      <c r="AT357" s="97"/>
      <c r="AU357" s="97"/>
      <c r="AV357" s="97"/>
      <c r="AW357" s="97"/>
      <c r="AX357" s="97"/>
      <c r="AY357" s="97"/>
      <c r="AZ357" s="97"/>
      <c r="BA357" s="97"/>
      <c r="BB357" s="97"/>
      <c r="BC357" s="97"/>
      <c r="BD357" s="97"/>
      <c r="BE357" s="97"/>
      <c r="BF357" s="97"/>
      <c r="BG357" s="97"/>
      <c r="BH357" s="97"/>
      <c r="BI357" s="97"/>
      <c r="BJ357" s="97"/>
      <c r="BK357" s="97"/>
      <c r="BL357" s="97"/>
      <c r="BM357" s="3"/>
      <c r="BN357" s="3"/>
      <c r="BO357" s="3"/>
      <c r="BP357" s="3"/>
      <c r="BQ357" s="3"/>
      <c r="BR357" s="3"/>
      <c r="BS357" s="3"/>
      <c r="BT357" s="3"/>
      <c r="BU357" s="3"/>
      <c r="BV357" s="3"/>
      <c r="BW357" s="3"/>
      <c r="BX357" s="3"/>
      <c r="BY357" s="3"/>
      <c r="BZ357" s="3"/>
      <c r="CA357" s="3"/>
      <c r="CB357" s="3"/>
    </row>
    <row r="358" spans="2:80" s="399" customFormat="1" ht="15" hidden="1">
      <c r="B358" s="1117"/>
      <c r="C358" s="2217"/>
      <c r="D358" s="2202"/>
      <c r="E358" s="2204" t="s">
        <v>4524</v>
      </c>
      <c r="F358" s="2205"/>
      <c r="G358" s="429">
        <f t="shared" si="97"/>
        <v>0</v>
      </c>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c r="AP358" s="430"/>
      <c r="AQ358" s="431" t="e">
        <f>+G358/'11. Unit Mix'!$G$142</f>
        <v>#DIV/0!</v>
      </c>
      <c r="AR358" s="798" t="e">
        <f t="shared" si="98"/>
        <v>#DIV/0!</v>
      </c>
      <c r="AS358" s="97"/>
      <c r="AT358" s="97"/>
      <c r="AU358" s="97"/>
      <c r="AV358" s="97"/>
      <c r="AW358" s="97"/>
      <c r="AX358" s="97"/>
      <c r="AY358" s="97"/>
      <c r="AZ358" s="97"/>
      <c r="BA358" s="97"/>
      <c r="BB358" s="97"/>
      <c r="BC358" s="97"/>
      <c r="BD358" s="97"/>
      <c r="BE358" s="97"/>
      <c r="BF358" s="97"/>
      <c r="BG358" s="97"/>
      <c r="BH358" s="97"/>
      <c r="BI358" s="97"/>
      <c r="BJ358" s="97"/>
      <c r="BK358" s="97"/>
      <c r="BL358" s="97"/>
      <c r="BM358" s="3"/>
      <c r="BN358" s="3"/>
      <c r="BO358" s="3"/>
      <c r="BP358" s="3"/>
      <c r="BQ358" s="3"/>
      <c r="BR358" s="3"/>
      <c r="BS358" s="3"/>
      <c r="BT358" s="3"/>
      <c r="BU358" s="3"/>
      <c r="BV358" s="3"/>
      <c r="BW358" s="3"/>
      <c r="BX358" s="3"/>
      <c r="BY358" s="3"/>
      <c r="BZ358" s="3"/>
      <c r="CA358" s="3"/>
      <c r="CB358" s="3"/>
    </row>
    <row r="359" spans="2:80" s="399" customFormat="1" ht="15" hidden="1">
      <c r="B359" s="1117"/>
      <c r="C359" s="2217"/>
      <c r="D359" s="2203"/>
      <c r="E359" s="2204" t="s">
        <v>4525</v>
      </c>
      <c r="F359" s="2205"/>
      <c r="G359" s="429">
        <f t="shared" si="97"/>
        <v>0</v>
      </c>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c r="AP359" s="430"/>
      <c r="AQ359" s="431" t="e">
        <f>+G359/'11. Unit Mix'!$G$142</f>
        <v>#DIV/0!</v>
      </c>
      <c r="AR359" s="798" t="e">
        <f t="shared" si="98"/>
        <v>#DIV/0!</v>
      </c>
      <c r="AS359" s="97"/>
      <c r="AT359" s="97"/>
      <c r="AU359" s="97"/>
      <c r="AV359" s="97"/>
      <c r="AW359" s="97"/>
      <c r="AX359" s="97"/>
      <c r="AY359" s="97"/>
      <c r="AZ359" s="97"/>
      <c r="BA359" s="97"/>
      <c r="BB359" s="97"/>
      <c r="BC359" s="97"/>
      <c r="BD359" s="97"/>
      <c r="BE359" s="97"/>
      <c r="BF359" s="97"/>
      <c r="BG359" s="97"/>
      <c r="BH359" s="97"/>
      <c r="BI359" s="97"/>
      <c r="BJ359" s="97"/>
      <c r="BK359" s="97"/>
      <c r="BL359" s="97"/>
      <c r="BM359" s="3"/>
      <c r="BN359" s="3"/>
      <c r="BO359" s="3"/>
      <c r="BP359" s="3"/>
      <c r="BQ359" s="3"/>
      <c r="BR359" s="3"/>
      <c r="BS359" s="3"/>
      <c r="BT359" s="3"/>
      <c r="BU359" s="3"/>
      <c r="BV359" s="3"/>
      <c r="BW359" s="3"/>
      <c r="BX359" s="3"/>
      <c r="BY359" s="3"/>
      <c r="BZ359" s="3"/>
      <c r="CA359" s="3"/>
      <c r="CB359" s="3"/>
    </row>
    <row r="360" spans="2:80" s="399" customFormat="1" ht="15" hidden="1" customHeight="1">
      <c r="B360" s="1117"/>
      <c r="C360" s="2217"/>
      <c r="D360" s="2206" t="s">
        <v>4526</v>
      </c>
      <c r="E360" s="2204" t="s">
        <v>4527</v>
      </c>
      <c r="F360" s="2205"/>
      <c r="G360" s="429">
        <f t="shared" si="97"/>
        <v>0</v>
      </c>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c r="AP360" s="430"/>
      <c r="AQ360" s="431" t="e">
        <f>+G360/'11. Unit Mix'!$G$142</f>
        <v>#DIV/0!</v>
      </c>
      <c r="AR360" s="798" t="e">
        <f t="shared" si="98"/>
        <v>#DIV/0!</v>
      </c>
      <c r="AS360" s="97"/>
      <c r="AT360" s="97"/>
      <c r="AU360" s="97"/>
      <c r="AV360" s="97"/>
      <c r="AW360" s="97"/>
      <c r="AX360" s="97"/>
      <c r="AY360" s="97"/>
      <c r="AZ360" s="97"/>
      <c r="BA360" s="97"/>
      <c r="BB360" s="97"/>
      <c r="BC360" s="97"/>
      <c r="BD360" s="97"/>
      <c r="BE360" s="97"/>
      <c r="BF360" s="97"/>
      <c r="BG360" s="97"/>
      <c r="BH360" s="97"/>
      <c r="BI360" s="97"/>
      <c r="BJ360" s="97"/>
      <c r="BK360" s="97"/>
      <c r="BL360" s="97"/>
      <c r="BM360" s="3"/>
      <c r="BN360" s="3"/>
      <c r="BO360" s="3"/>
      <c r="BP360" s="3"/>
      <c r="BQ360" s="3"/>
      <c r="BR360" s="3"/>
      <c r="BS360" s="3"/>
      <c r="BT360" s="3"/>
      <c r="BU360" s="3"/>
      <c r="BV360" s="3"/>
      <c r="BW360" s="3"/>
      <c r="BX360" s="3"/>
      <c r="BY360" s="3"/>
      <c r="BZ360" s="3"/>
      <c r="CA360" s="3"/>
      <c r="CB360" s="3"/>
    </row>
    <row r="361" spans="2:80" s="399" customFormat="1" ht="15" hidden="1">
      <c r="B361" s="1117"/>
      <c r="C361" s="2217"/>
      <c r="D361" s="2203"/>
      <c r="E361" s="2204" t="s">
        <v>4528</v>
      </c>
      <c r="F361" s="2205"/>
      <c r="G361" s="429">
        <f t="shared" si="97"/>
        <v>0</v>
      </c>
      <c r="H361" s="430"/>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c r="AN361" s="430"/>
      <c r="AO361" s="430"/>
      <c r="AP361" s="430"/>
      <c r="AQ361" s="431" t="e">
        <f>+G361/'11. Unit Mix'!$G$142</f>
        <v>#DIV/0!</v>
      </c>
      <c r="AR361" s="798" t="e">
        <f t="shared" si="98"/>
        <v>#DIV/0!</v>
      </c>
      <c r="AS361" s="97"/>
      <c r="AT361" s="97"/>
      <c r="AU361" s="97"/>
      <c r="AV361" s="97"/>
      <c r="AW361" s="97"/>
      <c r="AX361" s="97"/>
      <c r="AY361" s="97"/>
      <c r="AZ361" s="97"/>
      <c r="BA361" s="97"/>
      <c r="BB361" s="97"/>
      <c r="BC361" s="97"/>
      <c r="BD361" s="97"/>
      <c r="BE361" s="97"/>
      <c r="BF361" s="97"/>
      <c r="BG361" s="97"/>
      <c r="BH361" s="97"/>
      <c r="BI361" s="97"/>
      <c r="BJ361" s="97"/>
      <c r="BK361" s="97"/>
      <c r="BL361" s="97"/>
      <c r="BM361" s="3"/>
      <c r="BN361" s="3"/>
      <c r="BO361" s="3"/>
      <c r="BP361" s="3"/>
      <c r="BQ361" s="3"/>
      <c r="BR361" s="3"/>
      <c r="BS361" s="3"/>
      <c r="BT361" s="3"/>
      <c r="BU361" s="3"/>
      <c r="BV361" s="3"/>
      <c r="BW361" s="3"/>
      <c r="BX361" s="3"/>
      <c r="BY361" s="3"/>
      <c r="BZ361" s="3"/>
      <c r="CA361" s="3"/>
      <c r="CB361" s="3"/>
    </row>
    <row r="362" spans="2:80" s="399" customFormat="1" ht="15" hidden="1">
      <c r="B362" s="1117"/>
      <c r="C362" s="2217"/>
      <c r="D362" s="2213" t="s">
        <v>365</v>
      </c>
      <c r="E362" s="403" t="s">
        <v>365</v>
      </c>
      <c r="F362" s="407"/>
      <c r="G362" s="429">
        <f t="shared" si="97"/>
        <v>0</v>
      </c>
      <c r="H362" s="430"/>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c r="AN362" s="430"/>
      <c r="AO362" s="430"/>
      <c r="AP362" s="430"/>
      <c r="AQ362" s="431" t="e">
        <f>+G362/'11. Unit Mix'!$G$142</f>
        <v>#DIV/0!</v>
      </c>
      <c r="AR362" s="798" t="e">
        <f t="shared" si="98"/>
        <v>#DIV/0!</v>
      </c>
      <c r="AS362" s="97"/>
      <c r="AT362" s="97"/>
      <c r="AU362" s="97"/>
      <c r="AV362" s="97"/>
      <c r="AW362" s="97"/>
      <c r="AX362" s="97"/>
      <c r="AY362" s="97"/>
      <c r="AZ362" s="97"/>
      <c r="BA362" s="97"/>
      <c r="BB362" s="97"/>
      <c r="BC362" s="97"/>
      <c r="BD362" s="97"/>
      <c r="BE362" s="97"/>
      <c r="BF362" s="97"/>
      <c r="BG362" s="97"/>
      <c r="BH362" s="97"/>
      <c r="BI362" s="97"/>
      <c r="BJ362" s="97"/>
      <c r="BK362" s="97"/>
      <c r="BL362" s="97"/>
      <c r="BM362" s="3"/>
      <c r="BN362" s="3"/>
      <c r="BO362" s="3"/>
      <c r="BP362" s="3"/>
      <c r="BQ362" s="3"/>
      <c r="BR362" s="3"/>
      <c r="BS362" s="3"/>
      <c r="BT362" s="3"/>
      <c r="BU362" s="3"/>
      <c r="BV362" s="3"/>
      <c r="BW362" s="3"/>
      <c r="BX362" s="3"/>
      <c r="BY362" s="3"/>
      <c r="BZ362" s="3"/>
      <c r="CA362" s="3"/>
      <c r="CB362" s="3"/>
    </row>
    <row r="363" spans="2:80" s="399" customFormat="1" ht="15" hidden="1">
      <c r="B363" s="1117"/>
      <c r="C363" s="2218"/>
      <c r="D363" s="2213"/>
      <c r="E363" s="408" t="s">
        <v>365</v>
      </c>
      <c r="F363" s="409"/>
      <c r="G363" s="429">
        <f t="shared" si="97"/>
        <v>0</v>
      </c>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c r="AP363" s="430"/>
      <c r="AQ363" s="431" t="e">
        <f>+G363/'11. Unit Mix'!$G$142</f>
        <v>#DIV/0!</v>
      </c>
      <c r="AR363" s="798" t="e">
        <f t="shared" si="98"/>
        <v>#DIV/0!</v>
      </c>
      <c r="AS363" s="97"/>
      <c r="AT363" s="97"/>
      <c r="AU363" s="97"/>
      <c r="AV363" s="97"/>
      <c r="AW363" s="97"/>
      <c r="AX363" s="97"/>
      <c r="AY363" s="97"/>
      <c r="AZ363" s="97"/>
      <c r="BA363" s="97"/>
      <c r="BB363" s="97"/>
      <c r="BC363" s="97"/>
      <c r="BD363" s="97"/>
      <c r="BE363" s="97"/>
      <c r="BF363" s="97"/>
      <c r="BG363" s="97"/>
      <c r="BH363" s="97"/>
      <c r="BI363" s="97"/>
      <c r="BJ363" s="97"/>
      <c r="BK363" s="97"/>
      <c r="BL363" s="97"/>
      <c r="BM363" s="3"/>
      <c r="BN363" s="3"/>
      <c r="BO363" s="3"/>
      <c r="BP363" s="3"/>
      <c r="BQ363" s="3"/>
      <c r="BR363" s="3"/>
      <c r="BS363" s="3"/>
      <c r="BT363" s="3"/>
      <c r="BU363" s="3"/>
      <c r="BV363" s="3"/>
      <c r="BW363" s="3"/>
      <c r="BX363" s="3"/>
      <c r="BY363" s="3"/>
      <c r="BZ363" s="3"/>
      <c r="CA363" s="3"/>
      <c r="CB363" s="3"/>
    </row>
    <row r="364" spans="2:80" s="399" customFormat="1" hidden="1">
      <c r="B364" s="1117"/>
      <c r="C364" s="525"/>
      <c r="D364" s="526"/>
      <c r="E364" s="2214" t="s">
        <v>4529</v>
      </c>
      <c r="F364" s="2215"/>
      <c r="G364" s="429">
        <f t="shared" si="97"/>
        <v>0</v>
      </c>
      <c r="H364" s="432">
        <f t="shared" ref="H364:AP364" si="99">SUM(H340:H363)</f>
        <v>0</v>
      </c>
      <c r="I364" s="432">
        <f t="shared" si="99"/>
        <v>0</v>
      </c>
      <c r="J364" s="432">
        <f t="shared" si="99"/>
        <v>0</v>
      </c>
      <c r="K364" s="432">
        <f t="shared" si="99"/>
        <v>0</v>
      </c>
      <c r="L364" s="432">
        <f t="shared" si="99"/>
        <v>0</v>
      </c>
      <c r="M364" s="432">
        <f t="shared" si="99"/>
        <v>0</v>
      </c>
      <c r="N364" s="432">
        <f t="shared" si="99"/>
        <v>0</v>
      </c>
      <c r="O364" s="432">
        <f t="shared" si="99"/>
        <v>0</v>
      </c>
      <c r="P364" s="432">
        <f t="shared" si="99"/>
        <v>0</v>
      </c>
      <c r="Q364" s="432">
        <f t="shared" si="99"/>
        <v>0</v>
      </c>
      <c r="R364" s="432">
        <f t="shared" si="99"/>
        <v>0</v>
      </c>
      <c r="S364" s="432">
        <f t="shared" si="99"/>
        <v>0</v>
      </c>
      <c r="T364" s="432">
        <f t="shared" si="99"/>
        <v>0</v>
      </c>
      <c r="U364" s="432">
        <f t="shared" si="99"/>
        <v>0</v>
      </c>
      <c r="V364" s="432">
        <f t="shared" si="99"/>
        <v>0</v>
      </c>
      <c r="W364" s="432">
        <f t="shared" si="99"/>
        <v>0</v>
      </c>
      <c r="X364" s="432">
        <f t="shared" si="99"/>
        <v>0</v>
      </c>
      <c r="Y364" s="432">
        <f t="shared" si="99"/>
        <v>0</v>
      </c>
      <c r="Z364" s="432">
        <f t="shared" si="99"/>
        <v>0</v>
      </c>
      <c r="AA364" s="432">
        <f t="shared" si="99"/>
        <v>0</v>
      </c>
      <c r="AB364" s="432">
        <f t="shared" si="99"/>
        <v>0</v>
      </c>
      <c r="AC364" s="432">
        <f t="shared" si="99"/>
        <v>0</v>
      </c>
      <c r="AD364" s="432">
        <f t="shared" si="99"/>
        <v>0</v>
      </c>
      <c r="AE364" s="432">
        <f t="shared" si="99"/>
        <v>0</v>
      </c>
      <c r="AF364" s="432">
        <f t="shared" si="99"/>
        <v>0</v>
      </c>
      <c r="AG364" s="432">
        <f t="shared" si="99"/>
        <v>0</v>
      </c>
      <c r="AH364" s="432">
        <f t="shared" si="99"/>
        <v>0</v>
      </c>
      <c r="AI364" s="432">
        <f t="shared" si="99"/>
        <v>0</v>
      </c>
      <c r="AJ364" s="432">
        <f t="shared" si="99"/>
        <v>0</v>
      </c>
      <c r="AK364" s="432">
        <f t="shared" si="99"/>
        <v>0</v>
      </c>
      <c r="AL364" s="432">
        <f t="shared" si="99"/>
        <v>0</v>
      </c>
      <c r="AM364" s="432">
        <f t="shared" si="99"/>
        <v>0</v>
      </c>
      <c r="AN364" s="432">
        <f t="shared" si="99"/>
        <v>0</v>
      </c>
      <c r="AO364" s="432">
        <f t="shared" si="99"/>
        <v>0</v>
      </c>
      <c r="AP364" s="432">
        <f t="shared" si="99"/>
        <v>0</v>
      </c>
      <c r="AQ364" s="534"/>
      <c r="AR364" s="433"/>
      <c r="AS364" s="97"/>
      <c r="AT364" s="97"/>
      <c r="AU364" s="97"/>
      <c r="AV364" s="97"/>
      <c r="AW364" s="97"/>
      <c r="AX364" s="97"/>
      <c r="AY364" s="97"/>
      <c r="AZ364" s="97"/>
      <c r="BA364" s="97"/>
      <c r="BB364" s="97"/>
      <c r="BC364" s="97"/>
      <c r="BD364" s="97"/>
      <c r="BE364" s="97"/>
      <c r="BF364" s="97"/>
      <c r="BG364" s="97"/>
      <c r="BH364" s="97"/>
      <c r="BI364" s="97"/>
      <c r="BJ364" s="97"/>
      <c r="BK364" s="97"/>
      <c r="BL364" s="97"/>
      <c r="BM364" s="3"/>
      <c r="BN364" s="3"/>
      <c r="BO364" s="3"/>
      <c r="BP364" s="3"/>
      <c r="BQ364" s="3"/>
      <c r="BR364" s="3"/>
      <c r="BS364" s="3"/>
      <c r="BT364" s="3"/>
      <c r="BU364" s="3"/>
      <c r="BV364" s="3"/>
      <c r="BW364" s="3"/>
      <c r="BX364" s="3"/>
      <c r="BY364" s="3"/>
      <c r="BZ364" s="3"/>
      <c r="CA364" s="3"/>
      <c r="CB364" s="3"/>
    </row>
    <row r="365" spans="2:80" hidden="1">
      <c r="B365" s="1117"/>
      <c r="C365" s="21"/>
      <c r="D365" s="521"/>
      <c r="E365" s="696"/>
      <c r="F365" s="1750"/>
      <c r="G365" s="643"/>
      <c r="H365" s="643"/>
      <c r="I365" s="643"/>
      <c r="J365" s="643"/>
      <c r="K365" s="643"/>
      <c r="L365" s="643"/>
      <c r="M365" s="643"/>
      <c r="N365" s="643"/>
      <c r="O365" s="643"/>
      <c r="P365" s="643"/>
      <c r="Q365" s="643"/>
      <c r="R365" s="643"/>
      <c r="S365" s="643"/>
      <c r="T365" s="643"/>
      <c r="U365" s="643"/>
      <c r="V365" s="643"/>
      <c r="W365" s="643"/>
      <c r="X365" s="643"/>
      <c r="Y365" s="643"/>
      <c r="Z365" s="643"/>
      <c r="AA365" s="643"/>
      <c r="AB365" s="643"/>
      <c r="AC365" s="643"/>
      <c r="AD365" s="643"/>
      <c r="AE365" s="643"/>
      <c r="AF365" s="643"/>
      <c r="AG365" s="643"/>
      <c r="AH365" s="643"/>
      <c r="AI365" s="643"/>
      <c r="AJ365" s="643"/>
      <c r="AK365" s="643"/>
      <c r="AL365" s="643"/>
      <c r="AM365" s="643"/>
      <c r="AN365" s="643"/>
      <c r="AO365" s="643"/>
      <c r="AP365" s="643"/>
      <c r="AQ365" s="643"/>
    </row>
    <row r="366" spans="2:80" s="399" customFormat="1" ht="14.45" hidden="1" customHeight="1">
      <c r="B366" s="1117"/>
      <c r="C366" s="2216" t="s">
        <v>4530</v>
      </c>
      <c r="D366" s="2206" t="s">
        <v>4531</v>
      </c>
      <c r="E366" s="2204" t="s">
        <v>4503</v>
      </c>
      <c r="F366" s="2205"/>
      <c r="G366" s="429">
        <f t="shared" ref="G366:G390" si="100">+SUM(H366:AP366)</f>
        <v>0</v>
      </c>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c r="AP366" s="430"/>
      <c r="AQ366" s="431" t="e">
        <f>+G366/'11. Unit Mix'!$G$142</f>
        <v>#DIV/0!</v>
      </c>
      <c r="AR366" s="798" t="e">
        <f t="shared" ref="AR366:AR389" si="101">+G366/Total_Units</f>
        <v>#DIV/0!</v>
      </c>
      <c r="AS366" s="97"/>
      <c r="AT366" s="97"/>
      <c r="AU366" s="97"/>
      <c r="AV366" s="97"/>
      <c r="AW366" s="97"/>
      <c r="AX366" s="97"/>
      <c r="AY366" s="97"/>
      <c r="AZ366" s="97"/>
      <c r="BA366" s="97"/>
      <c r="BB366" s="97"/>
      <c r="BC366" s="97"/>
      <c r="BD366" s="97"/>
      <c r="BE366" s="97"/>
      <c r="BF366" s="97"/>
      <c r="BG366" s="97"/>
      <c r="BH366" s="97"/>
      <c r="BI366" s="97"/>
      <c r="BJ366" s="97"/>
      <c r="BK366" s="97"/>
      <c r="BL366" s="97"/>
      <c r="BM366" s="3"/>
      <c r="BN366" s="3"/>
      <c r="BO366" s="3"/>
      <c r="BP366" s="3"/>
      <c r="BQ366" s="3"/>
      <c r="BR366" s="3"/>
      <c r="BS366" s="3"/>
      <c r="BT366" s="3"/>
      <c r="BU366" s="3"/>
      <c r="BV366" s="3"/>
      <c r="BW366" s="3"/>
      <c r="BX366" s="3"/>
      <c r="BY366" s="3"/>
      <c r="BZ366" s="3"/>
      <c r="CA366" s="3"/>
      <c r="CB366" s="3"/>
    </row>
    <row r="367" spans="2:80" s="399" customFormat="1" ht="15" hidden="1">
      <c r="B367" s="1117"/>
      <c r="C367" s="2217"/>
      <c r="D367" s="2202"/>
      <c r="E367" s="2204" t="s">
        <v>4504</v>
      </c>
      <c r="F367" s="2205"/>
      <c r="G367" s="429">
        <f t="shared" si="100"/>
        <v>0</v>
      </c>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c r="AP367" s="430"/>
      <c r="AQ367" s="431" t="e">
        <f>+G367/'11. Unit Mix'!$G$142</f>
        <v>#DIV/0!</v>
      </c>
      <c r="AR367" s="798" t="e">
        <f t="shared" si="101"/>
        <v>#DIV/0!</v>
      </c>
      <c r="AS367" s="97"/>
      <c r="AT367" s="97"/>
      <c r="AU367" s="97"/>
      <c r="AV367" s="97"/>
      <c r="AW367" s="97"/>
      <c r="AX367" s="97"/>
      <c r="AY367" s="97"/>
      <c r="AZ367" s="97"/>
      <c r="BA367" s="97"/>
      <c r="BB367" s="97"/>
      <c r="BC367" s="97"/>
      <c r="BD367" s="97"/>
      <c r="BE367" s="97"/>
      <c r="BF367" s="97"/>
      <c r="BG367" s="97"/>
      <c r="BH367" s="97"/>
      <c r="BI367" s="97"/>
      <c r="BJ367" s="97"/>
      <c r="BK367" s="97"/>
      <c r="BL367" s="97"/>
      <c r="BM367" s="3"/>
      <c r="BN367" s="3"/>
      <c r="BO367" s="3"/>
      <c r="BP367" s="3"/>
      <c r="BQ367" s="3"/>
      <c r="BR367" s="3"/>
      <c r="BS367" s="3"/>
      <c r="BT367" s="3"/>
      <c r="BU367" s="3"/>
      <c r="BV367" s="3"/>
      <c r="BW367" s="3"/>
      <c r="BX367" s="3"/>
      <c r="BY367" s="3"/>
      <c r="BZ367" s="3"/>
      <c r="CA367" s="3"/>
      <c r="CB367" s="3"/>
    </row>
    <row r="368" spans="2:80" s="399" customFormat="1" ht="15" hidden="1">
      <c r="B368" s="1117"/>
      <c r="C368" s="2217"/>
      <c r="D368" s="2202"/>
      <c r="E368" s="2204" t="s">
        <v>4505</v>
      </c>
      <c r="F368" s="2205"/>
      <c r="G368" s="429">
        <f t="shared" si="100"/>
        <v>0</v>
      </c>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c r="AP368" s="430"/>
      <c r="AQ368" s="431" t="e">
        <f>+G368/'11. Unit Mix'!$G$142</f>
        <v>#DIV/0!</v>
      </c>
      <c r="AR368" s="798" t="e">
        <f t="shared" si="101"/>
        <v>#DIV/0!</v>
      </c>
      <c r="AS368" s="97"/>
      <c r="AT368" s="97"/>
      <c r="AU368" s="97"/>
      <c r="AV368" s="97"/>
      <c r="AW368" s="97"/>
      <c r="AX368" s="97"/>
      <c r="AY368" s="97"/>
      <c r="AZ368" s="97"/>
      <c r="BA368" s="97"/>
      <c r="BB368" s="97"/>
      <c r="BC368" s="97"/>
      <c r="BD368" s="97"/>
      <c r="BE368" s="97"/>
      <c r="BF368" s="97"/>
      <c r="BG368" s="97"/>
      <c r="BH368" s="97"/>
      <c r="BI368" s="97"/>
      <c r="BJ368" s="97"/>
      <c r="BK368" s="97"/>
      <c r="BL368" s="97"/>
      <c r="BM368" s="3"/>
      <c r="BN368" s="3"/>
      <c r="BO368" s="3"/>
      <c r="BP368" s="3"/>
      <c r="BQ368" s="3"/>
      <c r="BR368" s="3"/>
      <c r="BS368" s="3"/>
      <c r="BT368" s="3"/>
      <c r="BU368" s="3"/>
      <c r="BV368" s="3"/>
      <c r="BW368" s="3"/>
      <c r="BX368" s="3"/>
      <c r="BY368" s="3"/>
      <c r="BZ368" s="3"/>
      <c r="CA368" s="3"/>
      <c r="CB368" s="3"/>
    </row>
    <row r="369" spans="2:80" s="399" customFormat="1" ht="15" hidden="1">
      <c r="B369" s="1117"/>
      <c r="C369" s="2217"/>
      <c r="D369" s="2203"/>
      <c r="E369" s="2204" t="s">
        <v>4506</v>
      </c>
      <c r="F369" s="2205"/>
      <c r="G369" s="429">
        <f t="shared" si="100"/>
        <v>0</v>
      </c>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c r="AP369" s="430"/>
      <c r="AQ369" s="431" t="e">
        <f>+G369/'11. Unit Mix'!$G$142</f>
        <v>#DIV/0!</v>
      </c>
      <c r="AR369" s="798" t="e">
        <f t="shared" si="101"/>
        <v>#DIV/0!</v>
      </c>
      <c r="AS369" s="97"/>
      <c r="AT369" s="97"/>
      <c r="AU369" s="97"/>
      <c r="AV369" s="97"/>
      <c r="AW369" s="97"/>
      <c r="AX369" s="97"/>
      <c r="AY369" s="97"/>
      <c r="AZ369" s="97"/>
      <c r="BA369" s="97"/>
      <c r="BB369" s="97"/>
      <c r="BC369" s="97"/>
      <c r="BD369" s="97"/>
      <c r="BE369" s="97"/>
      <c r="BF369" s="97"/>
      <c r="BG369" s="97"/>
      <c r="BH369" s="97"/>
      <c r="BI369" s="97"/>
      <c r="BJ369" s="97"/>
      <c r="BK369" s="97"/>
      <c r="BL369" s="97"/>
      <c r="BM369" s="3"/>
      <c r="BN369" s="3"/>
      <c r="BO369" s="3"/>
      <c r="BP369" s="3"/>
      <c r="BQ369" s="3"/>
      <c r="BR369" s="3"/>
      <c r="BS369" s="3"/>
      <c r="BT369" s="3"/>
      <c r="BU369" s="3"/>
      <c r="BV369" s="3"/>
      <c r="BW369" s="3"/>
      <c r="BX369" s="3"/>
      <c r="BY369" s="3"/>
      <c r="BZ369" s="3"/>
      <c r="CA369" s="3"/>
      <c r="CB369" s="3"/>
    </row>
    <row r="370" spans="2:80" s="399" customFormat="1" ht="15" hidden="1">
      <c r="B370" s="1117"/>
      <c r="C370" s="2217"/>
      <c r="D370" s="2219" t="s">
        <v>4532</v>
      </c>
      <c r="E370" s="2204" t="s">
        <v>4508</v>
      </c>
      <c r="F370" s="2205"/>
      <c r="G370" s="429">
        <f t="shared" si="100"/>
        <v>0</v>
      </c>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1" t="e">
        <f>+G370/'11. Unit Mix'!$G$142</f>
        <v>#DIV/0!</v>
      </c>
      <c r="AR370" s="798" t="e">
        <f t="shared" si="101"/>
        <v>#DIV/0!</v>
      </c>
      <c r="AS370" s="97"/>
      <c r="AT370" s="97"/>
      <c r="AU370" s="97"/>
      <c r="AV370" s="97"/>
      <c r="AW370" s="97"/>
      <c r="AX370" s="97"/>
      <c r="AY370" s="97"/>
      <c r="AZ370" s="97"/>
      <c r="BA370" s="97"/>
      <c r="BB370" s="97"/>
      <c r="BC370" s="97"/>
      <c r="BD370" s="97"/>
      <c r="BE370" s="97"/>
      <c r="BF370" s="97"/>
      <c r="BG370" s="97"/>
      <c r="BH370" s="97"/>
      <c r="BI370" s="97"/>
      <c r="BJ370" s="97"/>
      <c r="BK370" s="97"/>
      <c r="BL370" s="97"/>
      <c r="BM370" s="3"/>
      <c r="BN370" s="3"/>
      <c r="BO370" s="3"/>
      <c r="BP370" s="3"/>
      <c r="BQ370" s="3"/>
      <c r="BR370" s="3"/>
      <c r="BS370" s="3"/>
      <c r="BT370" s="3"/>
      <c r="BU370" s="3"/>
      <c r="BV370" s="3"/>
      <c r="BW370" s="3"/>
      <c r="BX370" s="3"/>
      <c r="BY370" s="3"/>
      <c r="BZ370" s="3"/>
      <c r="CA370" s="3"/>
      <c r="CB370" s="3"/>
    </row>
    <row r="371" spans="2:80" s="399" customFormat="1" ht="15" hidden="1">
      <c r="B371" s="1117"/>
      <c r="C371" s="2217"/>
      <c r="D371" s="2220"/>
      <c r="E371" s="2204" t="s">
        <v>4509</v>
      </c>
      <c r="F371" s="2205"/>
      <c r="G371" s="429">
        <f t="shared" si="100"/>
        <v>0</v>
      </c>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c r="AP371" s="430"/>
      <c r="AQ371" s="431" t="e">
        <f>+G371/'11. Unit Mix'!$G$142</f>
        <v>#DIV/0!</v>
      </c>
      <c r="AR371" s="798" t="e">
        <f t="shared" si="101"/>
        <v>#DIV/0!</v>
      </c>
      <c r="AS371" s="97"/>
      <c r="AT371" s="97"/>
      <c r="AU371" s="97"/>
      <c r="AV371" s="97"/>
      <c r="AW371" s="97"/>
      <c r="AX371" s="97"/>
      <c r="AY371" s="97"/>
      <c r="AZ371" s="97"/>
      <c r="BA371" s="97"/>
      <c r="BB371" s="97"/>
      <c r="BC371" s="97"/>
      <c r="BD371" s="97"/>
      <c r="BE371" s="97"/>
      <c r="BF371" s="97"/>
      <c r="BG371" s="97"/>
      <c r="BH371" s="97"/>
      <c r="BI371" s="97"/>
      <c r="BJ371" s="97"/>
      <c r="BK371" s="97"/>
      <c r="BL371" s="97"/>
      <c r="BM371" s="3"/>
      <c r="BN371" s="3"/>
      <c r="BO371" s="3"/>
      <c r="BP371" s="3"/>
      <c r="BQ371" s="3"/>
      <c r="BR371" s="3"/>
      <c r="BS371" s="3"/>
      <c r="BT371" s="3"/>
      <c r="BU371" s="3"/>
      <c r="BV371" s="3"/>
      <c r="BW371" s="3"/>
      <c r="BX371" s="3"/>
      <c r="BY371" s="3"/>
      <c r="BZ371" s="3"/>
      <c r="CA371" s="3"/>
      <c r="CB371" s="3"/>
    </row>
    <row r="372" spans="2:80" s="399" customFormat="1" ht="15" hidden="1">
      <c r="B372" s="1117"/>
      <c r="C372" s="2217"/>
      <c r="D372" s="2220"/>
      <c r="E372" s="2204" t="s">
        <v>4510</v>
      </c>
      <c r="F372" s="2205"/>
      <c r="G372" s="429">
        <f t="shared" si="100"/>
        <v>0</v>
      </c>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c r="AP372" s="430"/>
      <c r="AQ372" s="431" t="e">
        <f>+G372/'11. Unit Mix'!$G$142</f>
        <v>#DIV/0!</v>
      </c>
      <c r="AR372" s="798" t="e">
        <f t="shared" si="101"/>
        <v>#DIV/0!</v>
      </c>
      <c r="AS372" s="97"/>
      <c r="AT372" s="97"/>
      <c r="AU372" s="97"/>
      <c r="AV372" s="97"/>
      <c r="AW372" s="97"/>
      <c r="AX372" s="97"/>
      <c r="AY372" s="97"/>
      <c r="AZ372" s="97"/>
      <c r="BA372" s="97"/>
      <c r="BB372" s="97"/>
      <c r="BC372" s="97"/>
      <c r="BD372" s="97"/>
      <c r="BE372" s="97"/>
      <c r="BF372" s="97"/>
      <c r="BG372" s="97"/>
      <c r="BH372" s="97"/>
      <c r="BI372" s="97"/>
      <c r="BJ372" s="97"/>
      <c r="BK372" s="97"/>
      <c r="BL372" s="97"/>
      <c r="BM372" s="3"/>
      <c r="BN372" s="3"/>
      <c r="BO372" s="3"/>
      <c r="BP372" s="3"/>
      <c r="BQ372" s="3"/>
      <c r="BR372" s="3"/>
      <c r="BS372" s="3"/>
      <c r="BT372" s="3"/>
      <c r="BU372" s="3"/>
      <c r="BV372" s="3"/>
      <c r="BW372" s="3"/>
      <c r="BX372" s="3"/>
      <c r="BY372" s="3"/>
      <c r="BZ372" s="3"/>
      <c r="CA372" s="3"/>
      <c r="CB372" s="3"/>
    </row>
    <row r="373" spans="2:80" s="399" customFormat="1" ht="15" hidden="1">
      <c r="B373" s="1117"/>
      <c r="C373" s="2217"/>
      <c r="D373" s="2220"/>
      <c r="E373" s="2204" t="s">
        <v>4511</v>
      </c>
      <c r="F373" s="2205"/>
      <c r="G373" s="429">
        <f t="shared" si="100"/>
        <v>0</v>
      </c>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c r="AP373" s="430"/>
      <c r="AQ373" s="431" t="e">
        <f>+G373/'11. Unit Mix'!$G$142</f>
        <v>#DIV/0!</v>
      </c>
      <c r="AR373" s="798" t="e">
        <f t="shared" si="101"/>
        <v>#DIV/0!</v>
      </c>
      <c r="AS373" s="97"/>
      <c r="AT373" s="97"/>
      <c r="AU373" s="97"/>
      <c r="AV373" s="97"/>
      <c r="AW373" s="97"/>
      <c r="AX373" s="97"/>
      <c r="AY373" s="97"/>
      <c r="AZ373" s="97"/>
      <c r="BA373" s="97"/>
      <c r="BB373" s="97"/>
      <c r="BC373" s="97"/>
      <c r="BD373" s="97"/>
      <c r="BE373" s="97"/>
      <c r="BF373" s="97"/>
      <c r="BG373" s="97"/>
      <c r="BH373" s="97"/>
      <c r="BI373" s="97"/>
      <c r="BJ373" s="97"/>
      <c r="BK373" s="97"/>
      <c r="BL373" s="97"/>
      <c r="BM373" s="3"/>
      <c r="BN373" s="3"/>
      <c r="BO373" s="3"/>
      <c r="BP373" s="3"/>
      <c r="BQ373" s="3"/>
      <c r="BR373" s="3"/>
      <c r="BS373" s="3"/>
      <c r="BT373" s="3"/>
      <c r="BU373" s="3"/>
      <c r="BV373" s="3"/>
      <c r="BW373" s="3"/>
      <c r="BX373" s="3"/>
      <c r="BY373" s="3"/>
      <c r="BZ373" s="3"/>
      <c r="CA373" s="3"/>
      <c r="CB373" s="3"/>
    </row>
    <row r="374" spans="2:80" s="399" customFormat="1" ht="15" hidden="1">
      <c r="B374" s="1117"/>
      <c r="C374" s="2217"/>
      <c r="D374" s="2221"/>
      <c r="E374" s="2204" t="s">
        <v>4512</v>
      </c>
      <c r="F374" s="2205"/>
      <c r="G374" s="429">
        <f t="shared" si="100"/>
        <v>0</v>
      </c>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c r="AN374" s="430"/>
      <c r="AO374" s="430"/>
      <c r="AP374" s="430"/>
      <c r="AQ374" s="431" t="e">
        <f>+G374/'11. Unit Mix'!$G$142</f>
        <v>#DIV/0!</v>
      </c>
      <c r="AR374" s="798" t="e">
        <f t="shared" si="101"/>
        <v>#DIV/0!</v>
      </c>
      <c r="AS374" s="97"/>
      <c r="AT374" s="97" t="s">
        <v>4533</v>
      </c>
      <c r="AU374" s="97"/>
      <c r="AV374" s="97"/>
      <c r="AW374" s="97"/>
      <c r="AX374" s="97"/>
      <c r="AY374" s="97"/>
      <c r="AZ374" s="97"/>
      <c r="BA374" s="97"/>
      <c r="BB374" s="97"/>
      <c r="BC374" s="97"/>
      <c r="BD374" s="97"/>
      <c r="BE374" s="97"/>
      <c r="BF374" s="97"/>
      <c r="BG374" s="97"/>
      <c r="BH374" s="97"/>
      <c r="BI374" s="97"/>
      <c r="BJ374" s="97"/>
      <c r="BK374" s="97"/>
      <c r="BL374" s="97"/>
      <c r="BM374" s="3"/>
      <c r="BN374" s="3"/>
      <c r="BO374" s="3"/>
      <c r="BP374" s="3"/>
      <c r="BQ374" s="3"/>
      <c r="BR374" s="3"/>
      <c r="BS374" s="3"/>
      <c r="BT374" s="3"/>
      <c r="BU374" s="3"/>
      <c r="BV374" s="3"/>
      <c r="BW374" s="3"/>
      <c r="BX374" s="3"/>
      <c r="BY374" s="3"/>
      <c r="BZ374" s="3"/>
      <c r="CA374" s="3"/>
      <c r="CB374" s="3"/>
    </row>
    <row r="375" spans="2:80" s="399" customFormat="1" ht="14.45" hidden="1" customHeight="1">
      <c r="B375" s="1117"/>
      <c r="C375" s="2217"/>
      <c r="D375" s="2206" t="s">
        <v>4534</v>
      </c>
      <c r="E375" s="2204" t="s">
        <v>4514</v>
      </c>
      <c r="F375" s="2205"/>
      <c r="G375" s="429">
        <f t="shared" si="100"/>
        <v>0</v>
      </c>
      <c r="H375" s="430"/>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c r="AN375" s="430"/>
      <c r="AO375" s="430"/>
      <c r="AP375" s="430"/>
      <c r="AQ375" s="431" t="e">
        <f>+G375/'11. Unit Mix'!$G$142</f>
        <v>#DIV/0!</v>
      </c>
      <c r="AR375" s="798" t="e">
        <f t="shared" si="101"/>
        <v>#DIV/0!</v>
      </c>
      <c r="AS375" s="97"/>
      <c r="AT375" s="97" t="s">
        <v>4535</v>
      </c>
      <c r="AU375" s="97"/>
      <c r="AV375" s="97"/>
      <c r="AW375" s="97"/>
      <c r="AX375" s="97"/>
      <c r="AY375" s="97"/>
      <c r="AZ375" s="97"/>
      <c r="BA375" s="97"/>
      <c r="BB375" s="97"/>
      <c r="BC375" s="97"/>
      <c r="BD375" s="97"/>
      <c r="BE375" s="97"/>
      <c r="BF375" s="97"/>
      <c r="BG375" s="97"/>
      <c r="BH375" s="97"/>
      <c r="BI375" s="97"/>
      <c r="BJ375" s="97"/>
      <c r="BK375" s="97"/>
      <c r="BL375" s="97"/>
      <c r="BM375" s="3"/>
      <c r="BN375" s="3"/>
      <c r="BO375" s="3"/>
      <c r="BP375" s="3"/>
      <c r="BQ375" s="3"/>
      <c r="BR375" s="3"/>
      <c r="BS375" s="3"/>
      <c r="BT375" s="3"/>
      <c r="BU375" s="3"/>
      <c r="BV375" s="3"/>
      <c r="BW375" s="3"/>
      <c r="BX375" s="3"/>
      <c r="BY375" s="3"/>
      <c r="BZ375" s="3"/>
      <c r="CA375" s="3"/>
      <c r="CB375" s="3"/>
    </row>
    <row r="376" spans="2:80" s="399" customFormat="1" ht="15" hidden="1">
      <c r="B376" s="1117"/>
      <c r="C376" s="2217"/>
      <c r="D376" s="2202"/>
      <c r="E376" s="2204" t="s">
        <v>4515</v>
      </c>
      <c r="F376" s="2205"/>
      <c r="G376" s="429">
        <f t="shared" si="100"/>
        <v>0</v>
      </c>
      <c r="H376" s="430"/>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c r="AN376" s="430"/>
      <c r="AO376" s="430"/>
      <c r="AP376" s="430"/>
      <c r="AQ376" s="431" t="e">
        <f>+G376/'11. Unit Mix'!$G$142</f>
        <v>#DIV/0!</v>
      </c>
      <c r="AR376" s="798" t="e">
        <f t="shared" si="101"/>
        <v>#DIV/0!</v>
      </c>
      <c r="AS376" s="97"/>
      <c r="AT376" s="97" t="s">
        <v>4536</v>
      </c>
      <c r="AU376" s="97"/>
      <c r="AV376" s="97"/>
      <c r="AW376" s="97"/>
      <c r="AX376" s="97"/>
      <c r="AY376" s="97"/>
      <c r="AZ376" s="97"/>
      <c r="BA376" s="97"/>
      <c r="BB376" s="97"/>
      <c r="BC376" s="97"/>
      <c r="BD376" s="97"/>
      <c r="BE376" s="97"/>
      <c r="BF376" s="97"/>
      <c r="BG376" s="97"/>
      <c r="BH376" s="97"/>
      <c r="BI376" s="97"/>
      <c r="BJ376" s="97"/>
      <c r="BK376" s="97"/>
      <c r="BL376" s="97"/>
      <c r="BM376" s="3"/>
      <c r="BN376" s="3"/>
      <c r="BO376" s="3"/>
      <c r="BP376" s="3"/>
      <c r="BQ376" s="3"/>
      <c r="BR376" s="3"/>
      <c r="BS376" s="3"/>
      <c r="BT376" s="3"/>
      <c r="BU376" s="3"/>
      <c r="BV376" s="3"/>
      <c r="BW376" s="3"/>
      <c r="BX376" s="3"/>
      <c r="BY376" s="3"/>
      <c r="BZ376" s="3"/>
      <c r="CA376" s="3"/>
      <c r="CB376" s="3"/>
    </row>
    <row r="377" spans="2:80" s="399" customFormat="1" ht="15" hidden="1">
      <c r="B377" s="1117"/>
      <c r="C377" s="2217"/>
      <c r="D377" s="2202"/>
      <c r="E377" s="2204" t="s">
        <v>4516</v>
      </c>
      <c r="F377" s="2205"/>
      <c r="G377" s="429">
        <f t="shared" si="100"/>
        <v>0</v>
      </c>
      <c r="H377" s="430"/>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c r="AN377" s="430"/>
      <c r="AO377" s="430"/>
      <c r="AP377" s="430"/>
      <c r="AQ377" s="431" t="e">
        <f>+G377/'11. Unit Mix'!$G$142</f>
        <v>#DIV/0!</v>
      </c>
      <c r="AR377" s="798" t="e">
        <f t="shared" si="101"/>
        <v>#DIV/0!</v>
      </c>
      <c r="AS377" s="97"/>
      <c r="AT377" s="97"/>
      <c r="AU377" s="97"/>
      <c r="AV377" s="97"/>
      <c r="AW377" s="97"/>
      <c r="AX377" s="97"/>
      <c r="AY377" s="97"/>
      <c r="AZ377" s="97"/>
      <c r="BA377" s="97"/>
      <c r="BB377" s="97"/>
      <c r="BC377" s="97"/>
      <c r="BD377" s="97"/>
      <c r="BE377" s="97"/>
      <c r="BF377" s="97"/>
      <c r="BG377" s="97"/>
      <c r="BH377" s="97"/>
      <c r="BI377" s="97"/>
      <c r="BJ377" s="97"/>
      <c r="BK377" s="97"/>
      <c r="BL377" s="97"/>
      <c r="BM377" s="3"/>
      <c r="BN377" s="3"/>
      <c r="BO377" s="3"/>
      <c r="BP377" s="3"/>
      <c r="BQ377" s="3"/>
      <c r="BR377" s="3"/>
      <c r="BS377" s="3"/>
      <c r="BT377" s="3"/>
      <c r="BU377" s="3"/>
      <c r="BV377" s="3"/>
      <c r="BW377" s="3"/>
      <c r="BX377" s="3"/>
      <c r="BY377" s="3"/>
      <c r="BZ377" s="3"/>
      <c r="CA377" s="3"/>
      <c r="CB377" s="3"/>
    </row>
    <row r="378" spans="2:80" s="399" customFormat="1" ht="15" hidden="1">
      <c r="B378" s="1117"/>
      <c r="C378" s="2217"/>
      <c r="D378" s="2202"/>
      <c r="E378" s="2204" t="s">
        <v>4517</v>
      </c>
      <c r="F378" s="2205"/>
      <c r="G378" s="429">
        <f t="shared" si="100"/>
        <v>0</v>
      </c>
      <c r="H378" s="430"/>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c r="AN378" s="430"/>
      <c r="AO378" s="430"/>
      <c r="AP378" s="430"/>
      <c r="AQ378" s="431" t="e">
        <f>+G378/'11. Unit Mix'!$G$142</f>
        <v>#DIV/0!</v>
      </c>
      <c r="AR378" s="798" t="e">
        <f t="shared" si="101"/>
        <v>#DIV/0!</v>
      </c>
      <c r="AS378" s="97"/>
      <c r="AT378" s="97"/>
      <c r="AU378" s="97"/>
      <c r="AV378" s="97"/>
      <c r="AW378" s="97"/>
      <c r="AX378" s="97"/>
      <c r="AY378" s="97"/>
      <c r="AZ378" s="97"/>
      <c r="BA378" s="97"/>
      <c r="BB378" s="97"/>
      <c r="BC378" s="97"/>
      <c r="BD378" s="97"/>
      <c r="BE378" s="97"/>
      <c r="BF378" s="97"/>
      <c r="BG378" s="97"/>
      <c r="BH378" s="97"/>
      <c r="BI378" s="97"/>
      <c r="BJ378" s="97"/>
      <c r="BK378" s="97"/>
      <c r="BL378" s="97"/>
      <c r="BM378" s="3"/>
      <c r="BN378" s="3"/>
      <c r="BO378" s="3"/>
      <c r="BP378" s="3"/>
      <c r="BQ378" s="3"/>
      <c r="BR378" s="3"/>
      <c r="BS378" s="3"/>
      <c r="BT378" s="3"/>
      <c r="BU378" s="3"/>
      <c r="BV378" s="3"/>
      <c r="BW378" s="3"/>
      <c r="BX378" s="3"/>
      <c r="BY378" s="3"/>
      <c r="BZ378" s="3"/>
      <c r="CA378" s="3"/>
      <c r="CB378" s="3"/>
    </row>
    <row r="379" spans="2:80" s="399" customFormat="1" ht="15" hidden="1">
      <c r="B379" s="1117"/>
      <c r="C379" s="2217"/>
      <c r="D379" s="2202"/>
      <c r="E379" s="2204" t="s">
        <v>4518</v>
      </c>
      <c r="F379" s="2205"/>
      <c r="G379" s="429">
        <f t="shared" si="100"/>
        <v>0</v>
      </c>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c r="AN379" s="430"/>
      <c r="AO379" s="430"/>
      <c r="AP379" s="430"/>
      <c r="AQ379" s="431" t="e">
        <f>+G379/'11. Unit Mix'!$G$142</f>
        <v>#DIV/0!</v>
      </c>
      <c r="AR379" s="798" t="e">
        <f t="shared" si="101"/>
        <v>#DIV/0!</v>
      </c>
      <c r="AS379" s="97"/>
      <c r="AT379" s="97"/>
      <c r="AU379" s="97"/>
      <c r="AV379" s="97"/>
      <c r="AW379" s="97"/>
      <c r="AX379" s="97"/>
      <c r="AY379" s="97"/>
      <c r="AZ379" s="97"/>
      <c r="BA379" s="97"/>
      <c r="BB379" s="97"/>
      <c r="BC379" s="97"/>
      <c r="BD379" s="97"/>
      <c r="BE379" s="97"/>
      <c r="BF379" s="97"/>
      <c r="BG379" s="97"/>
      <c r="BH379" s="97"/>
      <c r="BI379" s="97"/>
      <c r="BJ379" s="97"/>
      <c r="BK379" s="97"/>
      <c r="BL379" s="97"/>
      <c r="BM379" s="3"/>
      <c r="BN379" s="3"/>
      <c r="BO379" s="3"/>
      <c r="BP379" s="3"/>
      <c r="BQ379" s="3"/>
      <c r="BR379" s="3"/>
      <c r="BS379" s="3"/>
      <c r="BT379" s="3"/>
      <c r="BU379" s="3"/>
      <c r="BV379" s="3"/>
      <c r="BW379" s="3"/>
      <c r="BX379" s="3"/>
      <c r="BY379" s="3"/>
      <c r="BZ379" s="3"/>
      <c r="CA379" s="3"/>
      <c r="CB379" s="3"/>
    </row>
    <row r="380" spans="2:80" s="399" customFormat="1" ht="15" hidden="1">
      <c r="B380" s="1117"/>
      <c r="C380" s="2217"/>
      <c r="D380" s="2202"/>
      <c r="E380" s="2204" t="s">
        <v>4519</v>
      </c>
      <c r="F380" s="2205"/>
      <c r="G380" s="429">
        <f t="shared" si="100"/>
        <v>0</v>
      </c>
      <c r="H380" s="430"/>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c r="AN380" s="430"/>
      <c r="AO380" s="430"/>
      <c r="AP380" s="430"/>
      <c r="AQ380" s="431" t="e">
        <f>+G380/'11. Unit Mix'!$G$142</f>
        <v>#DIV/0!</v>
      </c>
      <c r="AR380" s="798" t="e">
        <f t="shared" si="101"/>
        <v>#DIV/0!</v>
      </c>
      <c r="AS380" s="97"/>
      <c r="AT380" s="97"/>
      <c r="AU380" s="97"/>
      <c r="AV380" s="97"/>
      <c r="AW380" s="97"/>
      <c r="AX380" s="97"/>
      <c r="AY380" s="97"/>
      <c r="AZ380" s="97"/>
      <c r="BA380" s="97"/>
      <c r="BB380" s="97"/>
      <c r="BC380" s="97"/>
      <c r="BD380" s="97"/>
      <c r="BE380" s="97"/>
      <c r="BF380" s="97"/>
      <c r="BG380" s="97"/>
      <c r="BH380" s="97"/>
      <c r="BI380" s="97"/>
      <c r="BJ380" s="97"/>
      <c r="BK380" s="97"/>
      <c r="BL380" s="97"/>
      <c r="BM380" s="3"/>
      <c r="BN380" s="3"/>
      <c r="BO380" s="3"/>
      <c r="BP380" s="3"/>
      <c r="BQ380" s="3"/>
      <c r="BR380" s="3"/>
      <c r="BS380" s="3"/>
      <c r="BT380" s="3"/>
      <c r="BU380" s="3"/>
      <c r="BV380" s="3"/>
      <c r="BW380" s="3"/>
      <c r="BX380" s="3"/>
      <c r="BY380" s="3"/>
      <c r="BZ380" s="3"/>
      <c r="CA380" s="3"/>
      <c r="CB380" s="3"/>
    </row>
    <row r="381" spans="2:80" s="399" customFormat="1" ht="15" hidden="1">
      <c r="B381" s="1117"/>
      <c r="C381" s="2217"/>
      <c r="D381" s="2203"/>
      <c r="E381" s="2204" t="s">
        <v>4520</v>
      </c>
      <c r="F381" s="2205"/>
      <c r="G381" s="429">
        <f t="shared" si="100"/>
        <v>0</v>
      </c>
      <c r="H381" s="430"/>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c r="AP381" s="430"/>
      <c r="AQ381" s="431" t="e">
        <f>+G381/'11. Unit Mix'!$G$142</f>
        <v>#DIV/0!</v>
      </c>
      <c r="AR381" s="798" t="e">
        <f t="shared" si="101"/>
        <v>#DIV/0!</v>
      </c>
      <c r="AS381" s="97"/>
      <c r="AT381" s="97"/>
      <c r="AU381" s="97"/>
      <c r="AV381" s="97"/>
      <c r="AW381" s="97"/>
      <c r="AX381" s="97"/>
      <c r="AY381" s="97"/>
      <c r="AZ381" s="97"/>
      <c r="BA381" s="97"/>
      <c r="BB381" s="97"/>
      <c r="BC381" s="97"/>
      <c r="BD381" s="97"/>
      <c r="BE381" s="97"/>
      <c r="BF381" s="97"/>
      <c r="BG381" s="97"/>
      <c r="BH381" s="97"/>
      <c r="BI381" s="97"/>
      <c r="BJ381" s="97"/>
      <c r="BK381" s="97"/>
      <c r="BL381" s="97"/>
      <c r="BM381" s="3"/>
      <c r="BN381" s="3"/>
      <c r="BO381" s="3"/>
      <c r="BP381" s="3"/>
      <c r="BQ381" s="3"/>
      <c r="BR381" s="3"/>
      <c r="BS381" s="3"/>
      <c r="BT381" s="3"/>
      <c r="BU381" s="3"/>
      <c r="BV381" s="3"/>
      <c r="BW381" s="3"/>
      <c r="BX381" s="3"/>
      <c r="BY381" s="3"/>
      <c r="BZ381" s="3"/>
      <c r="CA381" s="3"/>
      <c r="CB381" s="3"/>
    </row>
    <row r="382" spans="2:80" s="399" customFormat="1" ht="15" hidden="1">
      <c r="B382" s="1117"/>
      <c r="C382" s="2217"/>
      <c r="D382" s="2206" t="s">
        <v>4537</v>
      </c>
      <c r="E382" s="2204" t="s">
        <v>4522</v>
      </c>
      <c r="F382" s="2205"/>
      <c r="G382" s="429">
        <f t="shared" si="100"/>
        <v>0</v>
      </c>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c r="AN382" s="430"/>
      <c r="AO382" s="430"/>
      <c r="AP382" s="430"/>
      <c r="AQ382" s="431" t="e">
        <f>+G382/'11. Unit Mix'!$G$142</f>
        <v>#DIV/0!</v>
      </c>
      <c r="AR382" s="798" t="e">
        <f t="shared" si="101"/>
        <v>#DIV/0!</v>
      </c>
      <c r="AS382" s="97"/>
      <c r="AT382" s="97"/>
      <c r="AU382" s="97"/>
      <c r="AV382" s="97"/>
      <c r="AW382" s="97"/>
      <c r="AX382" s="97"/>
      <c r="AY382" s="97"/>
      <c r="AZ382" s="97"/>
      <c r="BA382" s="97"/>
      <c r="BB382" s="97"/>
      <c r="BC382" s="97"/>
      <c r="BD382" s="97"/>
      <c r="BE382" s="97"/>
      <c r="BF382" s="97"/>
      <c r="BG382" s="97"/>
      <c r="BH382" s="97"/>
      <c r="BI382" s="97"/>
      <c r="BJ382" s="97"/>
      <c r="BK382" s="97"/>
      <c r="BL382" s="97"/>
      <c r="BM382" s="3"/>
      <c r="BN382" s="3"/>
      <c r="BO382" s="3"/>
      <c r="BP382" s="3"/>
      <c r="BQ382" s="3"/>
      <c r="BR382" s="3"/>
      <c r="BS382" s="3"/>
      <c r="BT382" s="3"/>
      <c r="BU382" s="3"/>
      <c r="BV382" s="3"/>
      <c r="BW382" s="3"/>
      <c r="BX382" s="3"/>
      <c r="BY382" s="3"/>
      <c r="BZ382" s="3"/>
      <c r="CA382" s="3"/>
      <c r="CB382" s="3"/>
    </row>
    <row r="383" spans="2:80" s="399" customFormat="1" ht="15" hidden="1">
      <c r="B383" s="1117"/>
      <c r="C383" s="2217"/>
      <c r="D383" s="2202"/>
      <c r="E383" s="2204" t="s">
        <v>4523</v>
      </c>
      <c r="F383" s="2205"/>
      <c r="G383" s="429">
        <f t="shared" si="100"/>
        <v>0</v>
      </c>
      <c r="H383" s="430"/>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c r="AN383" s="430"/>
      <c r="AO383" s="430"/>
      <c r="AP383" s="430"/>
      <c r="AQ383" s="431" t="e">
        <f>+G383/'11. Unit Mix'!$G$142</f>
        <v>#DIV/0!</v>
      </c>
      <c r="AR383" s="798" t="e">
        <f t="shared" si="101"/>
        <v>#DIV/0!</v>
      </c>
      <c r="AS383" s="97"/>
      <c r="AT383" s="97"/>
      <c r="AU383" s="97"/>
      <c r="AV383" s="97"/>
      <c r="AW383" s="97"/>
      <c r="AX383" s="97"/>
      <c r="AY383" s="97"/>
      <c r="AZ383" s="97"/>
      <c r="BA383" s="97"/>
      <c r="BB383" s="97"/>
      <c r="BC383" s="97"/>
      <c r="BD383" s="97"/>
      <c r="BE383" s="97"/>
      <c r="BF383" s="97"/>
      <c r="BG383" s="97"/>
      <c r="BH383" s="97"/>
      <c r="BI383" s="97"/>
      <c r="BJ383" s="97"/>
      <c r="BK383" s="97"/>
      <c r="BL383" s="97"/>
      <c r="BM383" s="3"/>
      <c r="BN383" s="3"/>
      <c r="BO383" s="3"/>
      <c r="BP383" s="3"/>
      <c r="BQ383" s="3"/>
      <c r="BR383" s="3"/>
      <c r="BS383" s="3"/>
      <c r="BT383" s="3"/>
      <c r="BU383" s="3"/>
      <c r="BV383" s="3"/>
      <c r="BW383" s="3"/>
      <c r="BX383" s="3"/>
      <c r="BY383" s="3"/>
      <c r="BZ383" s="3"/>
      <c r="CA383" s="3"/>
      <c r="CB383" s="3"/>
    </row>
    <row r="384" spans="2:80" s="399" customFormat="1" ht="15" hidden="1">
      <c r="B384" s="1117"/>
      <c r="C384" s="2217"/>
      <c r="D384" s="2202"/>
      <c r="E384" s="2204" t="s">
        <v>4524</v>
      </c>
      <c r="F384" s="2205"/>
      <c r="G384" s="429">
        <f t="shared" si="100"/>
        <v>0</v>
      </c>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c r="AP384" s="430"/>
      <c r="AQ384" s="431" t="e">
        <f>+G384/'11. Unit Mix'!$G$142</f>
        <v>#DIV/0!</v>
      </c>
      <c r="AR384" s="798" t="e">
        <f t="shared" si="101"/>
        <v>#DIV/0!</v>
      </c>
      <c r="AS384" s="97"/>
      <c r="AT384" s="97"/>
      <c r="AU384" s="97"/>
      <c r="AV384" s="97"/>
      <c r="AW384" s="97"/>
      <c r="AX384" s="97"/>
      <c r="AY384" s="97"/>
      <c r="AZ384" s="97"/>
      <c r="BA384" s="97"/>
      <c r="BB384" s="97"/>
      <c r="BC384" s="97"/>
      <c r="BD384" s="97"/>
      <c r="BE384" s="97"/>
      <c r="BF384" s="97"/>
      <c r="BG384" s="97"/>
      <c r="BH384" s="97"/>
      <c r="BI384" s="97"/>
      <c r="BJ384" s="97"/>
      <c r="BK384" s="97"/>
      <c r="BL384" s="97"/>
      <c r="BM384" s="3"/>
      <c r="BN384" s="3"/>
      <c r="BO384" s="3"/>
      <c r="BP384" s="3"/>
      <c r="BQ384" s="3"/>
      <c r="BR384" s="3"/>
      <c r="BS384" s="3"/>
      <c r="BT384" s="3"/>
      <c r="BU384" s="3"/>
      <c r="BV384" s="3"/>
      <c r="BW384" s="3"/>
      <c r="BX384" s="3"/>
      <c r="BY384" s="3"/>
      <c r="BZ384" s="3"/>
      <c r="CA384" s="3"/>
      <c r="CB384" s="3"/>
    </row>
    <row r="385" spans="2:80" s="399" customFormat="1" ht="15" hidden="1">
      <c r="B385" s="1117"/>
      <c r="C385" s="2217"/>
      <c r="D385" s="2203"/>
      <c r="E385" s="2204" t="s">
        <v>4525</v>
      </c>
      <c r="F385" s="2205"/>
      <c r="G385" s="429">
        <f t="shared" si="100"/>
        <v>0</v>
      </c>
      <c r="H385" s="430"/>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c r="AN385" s="430"/>
      <c r="AO385" s="430"/>
      <c r="AP385" s="430"/>
      <c r="AQ385" s="431" t="e">
        <f>+G385/'11. Unit Mix'!$G$142</f>
        <v>#DIV/0!</v>
      </c>
      <c r="AR385" s="798" t="e">
        <f t="shared" si="101"/>
        <v>#DIV/0!</v>
      </c>
      <c r="AS385" s="97"/>
      <c r="AT385" s="97"/>
      <c r="AU385" s="97"/>
      <c r="AV385" s="97"/>
      <c r="AW385" s="97"/>
      <c r="AX385" s="97"/>
      <c r="AY385" s="97"/>
      <c r="AZ385" s="97"/>
      <c r="BA385" s="97"/>
      <c r="BB385" s="97"/>
      <c r="BC385" s="97"/>
      <c r="BD385" s="97"/>
      <c r="BE385" s="97"/>
      <c r="BF385" s="97"/>
      <c r="BG385" s="97"/>
      <c r="BH385" s="97"/>
      <c r="BI385" s="97"/>
      <c r="BJ385" s="97"/>
      <c r="BK385" s="97"/>
      <c r="BL385" s="97"/>
      <c r="BM385" s="3"/>
      <c r="BN385" s="3"/>
      <c r="BO385" s="3"/>
      <c r="BP385" s="3"/>
      <c r="BQ385" s="3"/>
      <c r="BR385" s="3"/>
      <c r="BS385" s="3"/>
      <c r="BT385" s="3"/>
      <c r="BU385" s="3"/>
      <c r="BV385" s="3"/>
      <c r="BW385" s="3"/>
      <c r="BX385" s="3"/>
      <c r="BY385" s="3"/>
      <c r="BZ385" s="3"/>
      <c r="CA385" s="3"/>
      <c r="CB385" s="3"/>
    </row>
    <row r="386" spans="2:80" s="399" customFormat="1" ht="15" hidden="1" customHeight="1">
      <c r="B386" s="1117"/>
      <c r="C386" s="2217"/>
      <c r="D386" s="2206" t="s">
        <v>4538</v>
      </c>
      <c r="E386" s="2204" t="s">
        <v>4527</v>
      </c>
      <c r="F386" s="2205"/>
      <c r="G386" s="429">
        <f t="shared" si="100"/>
        <v>0</v>
      </c>
      <c r="H386" s="430"/>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1" t="e">
        <f>+G386/'11. Unit Mix'!$G$142</f>
        <v>#DIV/0!</v>
      </c>
      <c r="AR386" s="798" t="e">
        <f t="shared" si="101"/>
        <v>#DIV/0!</v>
      </c>
      <c r="AS386" s="97"/>
      <c r="AT386" s="97"/>
      <c r="AU386" s="97"/>
      <c r="AV386" s="97"/>
      <c r="AW386" s="97"/>
      <c r="AX386" s="97"/>
      <c r="AY386" s="97"/>
      <c r="AZ386" s="97"/>
      <c r="BA386" s="97"/>
      <c r="BB386" s="97"/>
      <c r="BC386" s="97"/>
      <c r="BD386" s="97"/>
      <c r="BE386" s="97"/>
      <c r="BF386" s="97"/>
      <c r="BG386" s="97"/>
      <c r="BH386" s="97"/>
      <c r="BI386" s="97"/>
      <c r="BJ386" s="97"/>
      <c r="BK386" s="97"/>
      <c r="BL386" s="97"/>
      <c r="BM386" s="3"/>
      <c r="BN386" s="3"/>
      <c r="BO386" s="3"/>
      <c r="BP386" s="3"/>
      <c r="BQ386" s="3"/>
      <c r="BR386" s="3"/>
      <c r="BS386" s="3"/>
      <c r="BT386" s="3"/>
      <c r="BU386" s="3"/>
      <c r="BV386" s="3"/>
      <c r="BW386" s="3"/>
      <c r="BX386" s="3"/>
      <c r="BY386" s="3"/>
      <c r="BZ386" s="3"/>
      <c r="CA386" s="3"/>
      <c r="CB386" s="3"/>
    </row>
    <row r="387" spans="2:80" s="399" customFormat="1" ht="15" hidden="1">
      <c r="B387" s="1117"/>
      <c r="C387" s="2217"/>
      <c r="D387" s="2203"/>
      <c r="E387" s="2204" t="s">
        <v>4528</v>
      </c>
      <c r="F387" s="2205"/>
      <c r="G387" s="429">
        <f t="shared" si="100"/>
        <v>0</v>
      </c>
      <c r="H387" s="430"/>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c r="AN387" s="430"/>
      <c r="AO387" s="430"/>
      <c r="AP387" s="430"/>
      <c r="AQ387" s="431" t="e">
        <f>+G387/'11. Unit Mix'!$G$142</f>
        <v>#DIV/0!</v>
      </c>
      <c r="AR387" s="798" t="e">
        <f t="shared" si="101"/>
        <v>#DIV/0!</v>
      </c>
      <c r="AS387" s="97"/>
      <c r="AT387" s="97"/>
      <c r="AU387" s="97"/>
      <c r="AV387" s="97"/>
      <c r="AW387" s="97"/>
      <c r="AX387" s="97"/>
      <c r="AY387" s="97"/>
      <c r="AZ387" s="97"/>
      <c r="BA387" s="97"/>
      <c r="BB387" s="97"/>
      <c r="BC387" s="97"/>
      <c r="BD387" s="97"/>
      <c r="BE387" s="97"/>
      <c r="BF387" s="97"/>
      <c r="BG387" s="97"/>
      <c r="BH387" s="97"/>
      <c r="BI387" s="97"/>
      <c r="BJ387" s="97"/>
      <c r="BK387" s="97"/>
      <c r="BL387" s="97"/>
      <c r="BM387" s="3"/>
      <c r="BN387" s="3"/>
      <c r="BO387" s="3"/>
      <c r="BP387" s="3"/>
      <c r="BQ387" s="3"/>
      <c r="BR387" s="3"/>
      <c r="BS387" s="3"/>
      <c r="BT387" s="3"/>
      <c r="BU387" s="3"/>
      <c r="BV387" s="3"/>
      <c r="BW387" s="3"/>
      <c r="BX387" s="3"/>
      <c r="BY387" s="3"/>
      <c r="BZ387" s="3"/>
      <c r="CA387" s="3"/>
      <c r="CB387" s="3"/>
    </row>
    <row r="388" spans="2:80" s="399" customFormat="1" ht="15" hidden="1">
      <c r="B388" s="1117"/>
      <c r="C388" s="2217"/>
      <c r="D388" s="2213" t="s">
        <v>365</v>
      </c>
      <c r="E388" s="403" t="s">
        <v>365</v>
      </c>
      <c r="F388" s="407"/>
      <c r="G388" s="429">
        <f t="shared" si="100"/>
        <v>0</v>
      </c>
      <c r="H388" s="430"/>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c r="AN388" s="430"/>
      <c r="AO388" s="430"/>
      <c r="AP388" s="430"/>
      <c r="AQ388" s="431" t="e">
        <f>+G388/'11. Unit Mix'!$G$142</f>
        <v>#DIV/0!</v>
      </c>
      <c r="AR388" s="798" t="e">
        <f t="shared" si="101"/>
        <v>#DIV/0!</v>
      </c>
      <c r="AS388" s="97"/>
      <c r="AT388" s="97"/>
      <c r="AU388" s="97"/>
      <c r="AV388" s="97"/>
      <c r="AW388" s="97"/>
      <c r="AX388" s="97"/>
      <c r="AY388" s="97"/>
      <c r="AZ388" s="97"/>
      <c r="BA388" s="97"/>
      <c r="BB388" s="97"/>
      <c r="BC388" s="97"/>
      <c r="BD388" s="97"/>
      <c r="BE388" s="97"/>
      <c r="BF388" s="97"/>
      <c r="BG388" s="97"/>
      <c r="BH388" s="97"/>
      <c r="BI388" s="97"/>
      <c r="BJ388" s="97"/>
      <c r="BK388" s="97"/>
      <c r="BL388" s="97"/>
      <c r="BM388" s="3"/>
      <c r="BN388" s="3"/>
      <c r="BO388" s="3"/>
      <c r="BP388" s="3"/>
      <c r="BQ388" s="3"/>
      <c r="BR388" s="3"/>
      <c r="BS388" s="3"/>
      <c r="BT388" s="3"/>
      <c r="BU388" s="3"/>
      <c r="BV388" s="3"/>
      <c r="BW388" s="3"/>
      <c r="BX388" s="3"/>
      <c r="BY388" s="3"/>
      <c r="BZ388" s="3"/>
      <c r="CA388" s="3"/>
      <c r="CB388" s="3"/>
    </row>
    <row r="389" spans="2:80" s="399" customFormat="1" ht="15" hidden="1">
      <c r="B389" s="1117"/>
      <c r="C389" s="2218"/>
      <c r="D389" s="2213"/>
      <c r="E389" s="408" t="s">
        <v>365</v>
      </c>
      <c r="F389" s="409"/>
      <c r="G389" s="429">
        <f t="shared" si="100"/>
        <v>0</v>
      </c>
      <c r="H389" s="430"/>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c r="AN389" s="430"/>
      <c r="AO389" s="430"/>
      <c r="AP389" s="430"/>
      <c r="AQ389" s="431" t="e">
        <f>+G389/'11. Unit Mix'!$G$142</f>
        <v>#DIV/0!</v>
      </c>
      <c r="AR389" s="798" t="e">
        <f t="shared" si="101"/>
        <v>#DIV/0!</v>
      </c>
      <c r="AS389" s="97"/>
      <c r="AT389" s="97"/>
      <c r="AU389" s="97"/>
      <c r="AV389" s="97"/>
      <c r="AW389" s="97"/>
      <c r="AX389" s="97"/>
      <c r="AY389" s="97"/>
      <c r="AZ389" s="97"/>
      <c r="BA389" s="97"/>
      <c r="BB389" s="97"/>
      <c r="BC389" s="97"/>
      <c r="BD389" s="97"/>
      <c r="BE389" s="97"/>
      <c r="BF389" s="97"/>
      <c r="BG389" s="97"/>
      <c r="BH389" s="97"/>
      <c r="BI389" s="97"/>
      <c r="BJ389" s="97"/>
      <c r="BK389" s="97"/>
      <c r="BL389" s="97"/>
      <c r="BM389" s="3"/>
      <c r="BN389" s="3"/>
      <c r="BO389" s="3"/>
      <c r="BP389" s="3"/>
      <c r="BQ389" s="3"/>
      <c r="BR389" s="3"/>
      <c r="BS389" s="3"/>
      <c r="BT389" s="3"/>
      <c r="BU389" s="3"/>
      <c r="BV389" s="3"/>
      <c r="BW389" s="3"/>
      <c r="BX389" s="3"/>
      <c r="BY389" s="3"/>
      <c r="BZ389" s="3"/>
      <c r="CA389" s="3"/>
      <c r="CB389" s="3"/>
    </row>
    <row r="390" spans="2:80" s="399" customFormat="1" hidden="1">
      <c r="B390" s="1117"/>
      <c r="C390" s="525"/>
      <c r="D390" s="526"/>
      <c r="E390" s="2214" t="s">
        <v>4539</v>
      </c>
      <c r="F390" s="2215"/>
      <c r="G390" s="429">
        <f t="shared" si="100"/>
        <v>0</v>
      </c>
      <c r="H390" s="432">
        <f t="shared" ref="H390:AP390" si="102">SUM(H366:H389)</f>
        <v>0</v>
      </c>
      <c r="I390" s="432">
        <f t="shared" si="102"/>
        <v>0</v>
      </c>
      <c r="J390" s="432">
        <f t="shared" si="102"/>
        <v>0</v>
      </c>
      <c r="K390" s="432">
        <f t="shared" si="102"/>
        <v>0</v>
      </c>
      <c r="L390" s="432">
        <f t="shared" si="102"/>
        <v>0</v>
      </c>
      <c r="M390" s="432">
        <f t="shared" si="102"/>
        <v>0</v>
      </c>
      <c r="N390" s="432">
        <f t="shared" si="102"/>
        <v>0</v>
      </c>
      <c r="O390" s="432">
        <f t="shared" si="102"/>
        <v>0</v>
      </c>
      <c r="P390" s="432">
        <f t="shared" si="102"/>
        <v>0</v>
      </c>
      <c r="Q390" s="432">
        <f t="shared" si="102"/>
        <v>0</v>
      </c>
      <c r="R390" s="432">
        <f t="shared" si="102"/>
        <v>0</v>
      </c>
      <c r="S390" s="432">
        <f t="shared" si="102"/>
        <v>0</v>
      </c>
      <c r="T390" s="432">
        <f t="shared" si="102"/>
        <v>0</v>
      </c>
      <c r="U390" s="432">
        <f t="shared" si="102"/>
        <v>0</v>
      </c>
      <c r="V390" s="432">
        <f t="shared" si="102"/>
        <v>0</v>
      </c>
      <c r="W390" s="432">
        <f t="shared" si="102"/>
        <v>0</v>
      </c>
      <c r="X390" s="432">
        <f t="shared" si="102"/>
        <v>0</v>
      </c>
      <c r="Y390" s="432">
        <f t="shared" si="102"/>
        <v>0</v>
      </c>
      <c r="Z390" s="432">
        <f t="shared" si="102"/>
        <v>0</v>
      </c>
      <c r="AA390" s="432">
        <f t="shared" si="102"/>
        <v>0</v>
      </c>
      <c r="AB390" s="432">
        <f t="shared" si="102"/>
        <v>0</v>
      </c>
      <c r="AC390" s="432">
        <f t="shared" si="102"/>
        <v>0</v>
      </c>
      <c r="AD390" s="432">
        <f t="shared" si="102"/>
        <v>0</v>
      </c>
      <c r="AE390" s="432">
        <f t="shared" si="102"/>
        <v>0</v>
      </c>
      <c r="AF390" s="432">
        <f t="shared" si="102"/>
        <v>0</v>
      </c>
      <c r="AG390" s="432">
        <f t="shared" si="102"/>
        <v>0</v>
      </c>
      <c r="AH390" s="432">
        <f t="shared" si="102"/>
        <v>0</v>
      </c>
      <c r="AI390" s="432">
        <f t="shared" si="102"/>
        <v>0</v>
      </c>
      <c r="AJ390" s="432">
        <f t="shared" si="102"/>
        <v>0</v>
      </c>
      <c r="AK390" s="432">
        <f t="shared" si="102"/>
        <v>0</v>
      </c>
      <c r="AL390" s="432">
        <f t="shared" si="102"/>
        <v>0</v>
      </c>
      <c r="AM390" s="432">
        <f t="shared" si="102"/>
        <v>0</v>
      </c>
      <c r="AN390" s="432">
        <f t="shared" si="102"/>
        <v>0</v>
      </c>
      <c r="AO390" s="432">
        <f t="shared" si="102"/>
        <v>0</v>
      </c>
      <c r="AP390" s="432">
        <f t="shared" si="102"/>
        <v>0</v>
      </c>
      <c r="AQ390" s="534"/>
      <c r="AR390" s="433"/>
      <c r="AS390" s="97"/>
      <c r="AT390" s="97"/>
      <c r="AU390" s="97"/>
      <c r="AV390" s="97"/>
      <c r="AW390" s="97"/>
      <c r="AX390" s="97"/>
      <c r="AY390" s="97"/>
      <c r="AZ390" s="97"/>
      <c r="BA390" s="97"/>
      <c r="BB390" s="97"/>
      <c r="BC390" s="97"/>
      <c r="BD390" s="97"/>
      <c r="BE390" s="97"/>
      <c r="BF390" s="97"/>
      <c r="BG390" s="97"/>
      <c r="BH390" s="97"/>
      <c r="BI390" s="97"/>
      <c r="BJ390" s="97"/>
      <c r="BK390" s="97"/>
      <c r="BL390" s="97"/>
      <c r="BM390" s="3"/>
      <c r="BN390" s="3"/>
      <c r="BO390" s="3"/>
      <c r="BP390" s="3"/>
      <c r="BQ390" s="3"/>
      <c r="BR390" s="3"/>
      <c r="BS390" s="3"/>
      <c r="BT390" s="3"/>
      <c r="BU390" s="3"/>
      <c r="BV390" s="3"/>
      <c r="BW390" s="3"/>
      <c r="BX390" s="3"/>
      <c r="BY390" s="3"/>
      <c r="BZ390" s="3"/>
      <c r="CA390" s="3"/>
      <c r="CB390" s="3"/>
    </row>
    <row r="391" spans="2:80" hidden="1">
      <c r="B391" s="1117"/>
      <c r="C391" s="21"/>
      <c r="D391" s="521"/>
      <c r="E391" s="696"/>
      <c r="F391" s="1750"/>
      <c r="G391" s="643"/>
      <c r="H391" s="643"/>
      <c r="I391" s="643"/>
      <c r="J391" s="643"/>
      <c r="K391" s="643"/>
      <c r="L391" s="643"/>
      <c r="M391" s="643"/>
      <c r="N391" s="643"/>
      <c r="O391" s="643"/>
      <c r="P391" s="643"/>
      <c r="Q391" s="643"/>
      <c r="R391" s="643"/>
      <c r="S391" s="643"/>
      <c r="T391" s="643"/>
      <c r="U391" s="643"/>
      <c r="V391" s="643"/>
      <c r="W391" s="643"/>
      <c r="X391" s="643"/>
      <c r="Y391" s="643"/>
      <c r="Z391" s="643"/>
      <c r="AA391" s="643"/>
      <c r="AB391" s="643"/>
      <c r="AC391" s="643"/>
      <c r="AD391" s="643"/>
      <c r="AE391" s="643"/>
      <c r="AF391" s="643"/>
      <c r="AG391" s="643"/>
      <c r="AH391" s="643"/>
      <c r="AI391" s="643"/>
      <c r="AJ391" s="643"/>
      <c r="AK391" s="643"/>
      <c r="AL391" s="643"/>
      <c r="AM391" s="643"/>
      <c r="AN391" s="643"/>
      <c r="AO391" s="643"/>
      <c r="AP391" s="643"/>
      <c r="AQ391" s="643"/>
    </row>
    <row r="392" spans="2:80" s="399" customFormat="1" ht="15" hidden="1" customHeight="1">
      <c r="B392" s="1117"/>
      <c r="C392" s="2207" t="s">
        <v>4540</v>
      </c>
      <c r="D392" s="2206" t="s">
        <v>4541</v>
      </c>
      <c r="E392" s="2204" t="s">
        <v>4542</v>
      </c>
      <c r="F392" s="2205"/>
      <c r="G392" s="429">
        <f t="shared" ref="G392:G411" si="103">+SUM(H392:AP392)</f>
        <v>0</v>
      </c>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1" t="e">
        <f>+G392/'11. Unit Mix'!$G$142</f>
        <v>#DIV/0!</v>
      </c>
      <c r="AR392" s="798" t="e">
        <f t="shared" ref="AR392:AR410" si="104">+G392/Total_Units</f>
        <v>#DIV/0!</v>
      </c>
      <c r="AS392" s="97"/>
      <c r="AT392" s="97"/>
      <c r="AU392" s="97"/>
      <c r="AV392" s="97"/>
      <c r="AW392" s="97"/>
      <c r="AX392" s="97"/>
      <c r="AY392" s="97"/>
      <c r="AZ392" s="97"/>
      <c r="BA392" s="97"/>
      <c r="BB392" s="97"/>
      <c r="BC392" s="97"/>
      <c r="BD392" s="97"/>
      <c r="BE392" s="97"/>
      <c r="BF392" s="97"/>
      <c r="BG392" s="97"/>
      <c r="BH392" s="97"/>
      <c r="BI392" s="97"/>
      <c r="BJ392" s="97"/>
      <c r="BK392" s="97"/>
      <c r="BL392" s="97"/>
      <c r="BM392" s="3"/>
      <c r="BN392" s="3"/>
      <c r="BO392" s="3"/>
      <c r="BP392" s="3"/>
      <c r="BQ392" s="3"/>
      <c r="BR392" s="3"/>
      <c r="BS392" s="3"/>
      <c r="BT392" s="3"/>
      <c r="BU392" s="3"/>
      <c r="BV392" s="3"/>
      <c r="BW392" s="3"/>
      <c r="BX392" s="3"/>
      <c r="BY392" s="3"/>
      <c r="BZ392" s="3"/>
      <c r="CA392" s="3"/>
      <c r="CB392" s="3"/>
    </row>
    <row r="393" spans="2:80" s="399" customFormat="1" ht="15" hidden="1" customHeight="1">
      <c r="B393" s="1117"/>
      <c r="C393" s="2208"/>
      <c r="D393" s="2202"/>
      <c r="E393" s="2204" t="s">
        <v>4543</v>
      </c>
      <c r="F393" s="2205"/>
      <c r="G393" s="429">
        <f t="shared" si="103"/>
        <v>0</v>
      </c>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1" t="e">
        <f>+G393/'11. Unit Mix'!$G$142</f>
        <v>#DIV/0!</v>
      </c>
      <c r="AR393" s="798" t="e">
        <f t="shared" si="104"/>
        <v>#DIV/0!</v>
      </c>
      <c r="AS393" s="97"/>
      <c r="AT393" s="97"/>
      <c r="AU393" s="97"/>
      <c r="AV393" s="97"/>
      <c r="AW393" s="97"/>
      <c r="AX393" s="97"/>
      <c r="AY393" s="97"/>
      <c r="AZ393" s="97"/>
      <c r="BA393" s="97"/>
      <c r="BB393" s="97"/>
      <c r="BC393" s="97"/>
      <c r="BD393" s="97"/>
      <c r="BE393" s="97"/>
      <c r="BF393" s="97"/>
      <c r="BG393" s="97"/>
      <c r="BH393" s="97"/>
      <c r="BI393" s="97"/>
      <c r="BJ393" s="97"/>
      <c r="BK393" s="97"/>
      <c r="BL393" s="97"/>
      <c r="BM393" s="3"/>
      <c r="BN393" s="3"/>
      <c r="BO393" s="3"/>
      <c r="BP393" s="3"/>
      <c r="BQ393" s="3"/>
      <c r="BR393" s="3"/>
      <c r="BS393" s="3"/>
      <c r="BT393" s="3"/>
      <c r="BU393" s="3"/>
      <c r="BV393" s="3"/>
      <c r="BW393" s="3"/>
      <c r="BX393" s="3"/>
      <c r="BY393" s="3"/>
      <c r="BZ393" s="3"/>
      <c r="CA393" s="3"/>
      <c r="CB393" s="3"/>
    </row>
    <row r="394" spans="2:80" s="399" customFormat="1" ht="15" hidden="1" customHeight="1">
      <c r="B394" s="1117"/>
      <c r="C394" s="2208"/>
      <c r="D394" s="2202"/>
      <c r="E394" s="2204" t="s">
        <v>4544</v>
      </c>
      <c r="F394" s="2205"/>
      <c r="G394" s="429">
        <f t="shared" si="103"/>
        <v>0</v>
      </c>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c r="AP394" s="430"/>
      <c r="AQ394" s="431" t="e">
        <f>+G394/'11. Unit Mix'!$G$142</f>
        <v>#DIV/0!</v>
      </c>
      <c r="AR394" s="798" t="e">
        <f t="shared" si="104"/>
        <v>#DIV/0!</v>
      </c>
      <c r="AS394" s="97"/>
      <c r="AT394" s="97"/>
      <c r="AU394" s="97"/>
      <c r="AV394" s="97"/>
      <c r="AW394" s="97"/>
      <c r="AX394" s="97"/>
      <c r="AY394" s="97"/>
      <c r="AZ394" s="97"/>
      <c r="BA394" s="97"/>
      <c r="BB394" s="97"/>
      <c r="BC394" s="97"/>
      <c r="BD394" s="97"/>
      <c r="BE394" s="97"/>
      <c r="BF394" s="97"/>
      <c r="BG394" s="97"/>
      <c r="BH394" s="97"/>
      <c r="BI394" s="97"/>
      <c r="BJ394" s="97"/>
      <c r="BK394" s="97"/>
      <c r="BL394" s="97"/>
      <c r="BM394" s="3"/>
      <c r="BN394" s="3"/>
      <c r="BO394" s="3"/>
      <c r="BP394" s="3"/>
      <c r="BQ394" s="3"/>
      <c r="BR394" s="3"/>
      <c r="BS394" s="3"/>
      <c r="BT394" s="3"/>
      <c r="BU394" s="3"/>
      <c r="BV394" s="3"/>
      <c r="BW394" s="3"/>
      <c r="BX394" s="3"/>
      <c r="BY394" s="3"/>
      <c r="BZ394" s="3"/>
      <c r="CA394" s="3"/>
      <c r="CB394" s="3"/>
    </row>
    <row r="395" spans="2:80" s="399" customFormat="1" ht="15" hidden="1" customHeight="1">
      <c r="B395" s="1117"/>
      <c r="C395" s="2208"/>
      <c r="D395" s="2202"/>
      <c r="E395" s="2204" t="s">
        <v>4545</v>
      </c>
      <c r="F395" s="2205"/>
      <c r="G395" s="429">
        <f t="shared" si="103"/>
        <v>0</v>
      </c>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1" t="e">
        <f>+G395/'11. Unit Mix'!$G$142</f>
        <v>#DIV/0!</v>
      </c>
      <c r="AR395" s="798" t="e">
        <f t="shared" si="104"/>
        <v>#DIV/0!</v>
      </c>
      <c r="AS395" s="97"/>
      <c r="AT395" s="97"/>
      <c r="AU395" s="97"/>
      <c r="AV395" s="97"/>
      <c r="AW395" s="97"/>
      <c r="AX395" s="97"/>
      <c r="AY395" s="97"/>
      <c r="AZ395" s="97"/>
      <c r="BA395" s="97"/>
      <c r="BB395" s="97"/>
      <c r="BC395" s="97"/>
      <c r="BD395" s="97"/>
      <c r="BE395" s="97"/>
      <c r="BF395" s="97"/>
      <c r="BG395" s="97"/>
      <c r="BH395" s="97"/>
      <c r="BI395" s="97"/>
      <c r="BJ395" s="97"/>
      <c r="BK395" s="97"/>
      <c r="BL395" s="97"/>
      <c r="BM395" s="3"/>
      <c r="BN395" s="3"/>
      <c r="BO395" s="3"/>
      <c r="BP395" s="3"/>
      <c r="BQ395" s="3"/>
      <c r="BR395" s="3"/>
      <c r="BS395" s="3"/>
      <c r="BT395" s="3"/>
      <c r="BU395" s="3"/>
      <c r="BV395" s="3"/>
      <c r="BW395" s="3"/>
      <c r="BX395" s="3"/>
      <c r="BY395" s="3"/>
      <c r="BZ395" s="3"/>
      <c r="CA395" s="3"/>
      <c r="CB395" s="3"/>
    </row>
    <row r="396" spans="2:80" s="399" customFormat="1" ht="15" hidden="1">
      <c r="B396" s="1117"/>
      <c r="C396" s="2208"/>
      <c r="D396" s="2202"/>
      <c r="E396" s="2204" t="s">
        <v>4546</v>
      </c>
      <c r="F396" s="2205"/>
      <c r="G396" s="429">
        <f t="shared" si="103"/>
        <v>0</v>
      </c>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c r="AP396" s="430"/>
      <c r="AQ396" s="431" t="e">
        <f>+G396/'11. Unit Mix'!$G$142</f>
        <v>#DIV/0!</v>
      </c>
      <c r="AR396" s="798" t="e">
        <f t="shared" si="104"/>
        <v>#DIV/0!</v>
      </c>
      <c r="AS396" s="97"/>
      <c r="AT396" s="97"/>
      <c r="AU396" s="97"/>
      <c r="AV396" s="97"/>
      <c r="AW396" s="97"/>
      <c r="AX396" s="97"/>
      <c r="AY396" s="97"/>
      <c r="AZ396" s="97"/>
      <c r="BA396" s="97"/>
      <c r="BB396" s="97"/>
      <c r="BC396" s="97"/>
      <c r="BD396" s="97"/>
      <c r="BE396" s="97"/>
      <c r="BF396" s="97"/>
      <c r="BG396" s="97"/>
      <c r="BH396" s="97"/>
      <c r="BI396" s="97"/>
      <c r="BJ396" s="97"/>
      <c r="BK396" s="97"/>
      <c r="BL396" s="97"/>
      <c r="BM396" s="3"/>
      <c r="BN396" s="3"/>
      <c r="BO396" s="3"/>
      <c r="BP396" s="3"/>
      <c r="BQ396" s="3"/>
      <c r="BR396" s="3"/>
      <c r="BS396" s="3"/>
      <c r="BT396" s="3"/>
      <c r="BU396" s="3"/>
      <c r="BV396" s="3"/>
      <c r="BW396" s="3"/>
      <c r="BX396" s="3"/>
      <c r="BY396" s="3"/>
      <c r="BZ396" s="3"/>
      <c r="CA396" s="3"/>
      <c r="CB396" s="3"/>
    </row>
    <row r="397" spans="2:80" s="399" customFormat="1" ht="15" hidden="1">
      <c r="B397" s="1117"/>
      <c r="C397" s="2208"/>
      <c r="D397" s="2202"/>
      <c r="E397" s="2204" t="s">
        <v>4547</v>
      </c>
      <c r="F397" s="2205"/>
      <c r="G397" s="429">
        <f t="shared" si="103"/>
        <v>0</v>
      </c>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c r="AP397" s="430"/>
      <c r="AQ397" s="431" t="e">
        <f>+G397/'11. Unit Mix'!$G$142</f>
        <v>#DIV/0!</v>
      </c>
      <c r="AR397" s="798" t="e">
        <f t="shared" si="104"/>
        <v>#DIV/0!</v>
      </c>
      <c r="AS397" s="97"/>
      <c r="AT397" s="97"/>
      <c r="AU397" s="97"/>
      <c r="AV397" s="97"/>
      <c r="AW397" s="97"/>
      <c r="AX397" s="97"/>
      <c r="AY397" s="97"/>
      <c r="AZ397" s="97"/>
      <c r="BA397" s="97"/>
      <c r="BB397" s="97"/>
      <c r="BC397" s="97"/>
      <c r="BD397" s="97"/>
      <c r="BE397" s="97"/>
      <c r="BF397" s="97"/>
      <c r="BG397" s="97"/>
      <c r="BH397" s="97"/>
      <c r="BI397" s="97"/>
      <c r="BJ397" s="97"/>
      <c r="BK397" s="97"/>
      <c r="BL397" s="97"/>
      <c r="BM397" s="3"/>
      <c r="BN397" s="3"/>
      <c r="BO397" s="3"/>
      <c r="BP397" s="3"/>
      <c r="BQ397" s="3"/>
      <c r="BR397" s="3"/>
      <c r="BS397" s="3"/>
      <c r="BT397" s="3"/>
      <c r="BU397" s="3"/>
      <c r="BV397" s="3"/>
      <c r="BW397" s="3"/>
      <c r="BX397" s="3"/>
      <c r="BY397" s="3"/>
      <c r="BZ397" s="3"/>
      <c r="CA397" s="3"/>
      <c r="CB397" s="3"/>
    </row>
    <row r="398" spans="2:80" s="399" customFormat="1" ht="15" hidden="1">
      <c r="B398" s="1117"/>
      <c r="C398" s="2208"/>
      <c r="D398" s="2202"/>
      <c r="E398" s="2204" t="s">
        <v>4548</v>
      </c>
      <c r="F398" s="2205"/>
      <c r="G398" s="429">
        <f t="shared" si="103"/>
        <v>0</v>
      </c>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c r="AP398" s="430"/>
      <c r="AQ398" s="431" t="e">
        <f>+G398/'11. Unit Mix'!$G$142</f>
        <v>#DIV/0!</v>
      </c>
      <c r="AR398" s="798" t="e">
        <f t="shared" si="104"/>
        <v>#DIV/0!</v>
      </c>
      <c r="AS398" s="97"/>
      <c r="AT398" s="97"/>
      <c r="AU398" s="97"/>
      <c r="AV398" s="97"/>
      <c r="AW398" s="97"/>
      <c r="AX398" s="97"/>
      <c r="AY398" s="97"/>
      <c r="AZ398" s="97"/>
      <c r="BA398" s="97"/>
      <c r="BB398" s="97"/>
      <c r="BC398" s="97"/>
      <c r="BD398" s="97"/>
      <c r="BE398" s="97"/>
      <c r="BF398" s="97"/>
      <c r="BG398" s="97"/>
      <c r="BH398" s="97"/>
      <c r="BI398" s="97"/>
      <c r="BJ398" s="97"/>
      <c r="BK398" s="97"/>
      <c r="BL398" s="97"/>
      <c r="BM398" s="3"/>
      <c r="BN398" s="3"/>
      <c r="BO398" s="3"/>
      <c r="BP398" s="3"/>
      <c r="BQ398" s="3"/>
      <c r="BR398" s="3"/>
      <c r="BS398" s="3"/>
      <c r="BT398" s="3"/>
      <c r="BU398" s="3"/>
      <c r="BV398" s="3"/>
      <c r="BW398" s="3"/>
      <c r="BX398" s="3"/>
      <c r="BY398" s="3"/>
      <c r="BZ398" s="3"/>
      <c r="CA398" s="3"/>
      <c r="CB398" s="3"/>
    </row>
    <row r="399" spans="2:80" s="399" customFormat="1" ht="14.45" hidden="1" customHeight="1">
      <c r="B399" s="1117"/>
      <c r="C399" s="2208"/>
      <c r="D399" s="2210" t="s">
        <v>4549</v>
      </c>
      <c r="E399" s="2204" t="s">
        <v>4550</v>
      </c>
      <c r="F399" s="2205"/>
      <c r="G399" s="429">
        <f t="shared" si="103"/>
        <v>0</v>
      </c>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c r="AP399" s="430"/>
      <c r="AQ399" s="431" t="e">
        <f>+G399/'11. Unit Mix'!$G$142</f>
        <v>#DIV/0!</v>
      </c>
      <c r="AR399" s="798" t="e">
        <f t="shared" si="104"/>
        <v>#DIV/0!</v>
      </c>
      <c r="AS399" s="97"/>
      <c r="AT399" s="97"/>
      <c r="AU399" s="97"/>
      <c r="AV399" s="97"/>
      <c r="AW399" s="97"/>
      <c r="AX399" s="97"/>
      <c r="AY399" s="97"/>
      <c r="AZ399" s="97"/>
      <c r="BA399" s="97"/>
      <c r="BB399" s="97"/>
      <c r="BC399" s="97"/>
      <c r="BD399" s="97"/>
      <c r="BE399" s="97"/>
      <c r="BF399" s="97"/>
      <c r="BG399" s="97"/>
      <c r="BH399" s="97"/>
      <c r="BI399" s="97"/>
      <c r="BJ399" s="97"/>
      <c r="BK399" s="97"/>
      <c r="BL399" s="97"/>
      <c r="BM399" s="3"/>
      <c r="BN399" s="3"/>
      <c r="BO399" s="3"/>
      <c r="BP399" s="3"/>
      <c r="BQ399" s="3"/>
      <c r="BR399" s="3"/>
      <c r="BS399" s="3"/>
      <c r="BT399" s="3"/>
      <c r="BU399" s="3"/>
      <c r="BV399" s="3"/>
      <c r="BW399" s="3"/>
      <c r="BX399" s="3"/>
      <c r="BY399" s="3"/>
      <c r="BZ399" s="3"/>
      <c r="CA399" s="3"/>
      <c r="CB399" s="3"/>
    </row>
    <row r="400" spans="2:80" s="399" customFormat="1" ht="14.45" hidden="1" customHeight="1">
      <c r="B400" s="1117"/>
      <c r="C400" s="2208"/>
      <c r="D400" s="2211"/>
      <c r="E400" s="2204" t="s">
        <v>4551</v>
      </c>
      <c r="F400" s="2205"/>
      <c r="G400" s="429">
        <f t="shared" si="103"/>
        <v>0</v>
      </c>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c r="AP400" s="430"/>
      <c r="AQ400" s="431" t="e">
        <f>+G400/'11. Unit Mix'!$G$142</f>
        <v>#DIV/0!</v>
      </c>
      <c r="AR400" s="798" t="e">
        <f t="shared" si="104"/>
        <v>#DIV/0!</v>
      </c>
      <c r="AS400" s="97"/>
      <c r="AT400" s="97"/>
      <c r="AU400" s="97"/>
      <c r="AV400" s="97"/>
      <c r="AW400" s="97"/>
      <c r="AX400" s="97"/>
      <c r="AY400" s="97"/>
      <c r="AZ400" s="97"/>
      <c r="BA400" s="97"/>
      <c r="BB400" s="97"/>
      <c r="BC400" s="97"/>
      <c r="BD400" s="97"/>
      <c r="BE400" s="97"/>
      <c r="BF400" s="97"/>
      <c r="BG400" s="97"/>
      <c r="BH400" s="97"/>
      <c r="BI400" s="97"/>
      <c r="BJ400" s="97"/>
      <c r="BK400" s="97"/>
      <c r="BL400" s="97"/>
      <c r="BM400" s="3"/>
      <c r="BN400" s="3"/>
      <c r="BO400" s="3"/>
      <c r="BP400" s="3"/>
      <c r="BQ400" s="3"/>
      <c r="BR400" s="3"/>
      <c r="BS400" s="3"/>
      <c r="BT400" s="3"/>
      <c r="BU400" s="3"/>
      <c r="BV400" s="3"/>
      <c r="BW400" s="3"/>
      <c r="BX400" s="3"/>
      <c r="BY400" s="3"/>
      <c r="BZ400" s="3"/>
      <c r="CA400" s="3"/>
      <c r="CB400" s="3"/>
    </row>
    <row r="401" spans="2:80" s="399" customFormat="1" ht="14.45" hidden="1" customHeight="1">
      <c r="B401" s="1117"/>
      <c r="C401" s="2208"/>
      <c r="D401" s="2211"/>
      <c r="E401" s="2204" t="s">
        <v>4552</v>
      </c>
      <c r="F401" s="2205"/>
      <c r="G401" s="429">
        <f t="shared" si="103"/>
        <v>0</v>
      </c>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1" t="e">
        <f>+G401/'11. Unit Mix'!$G$142</f>
        <v>#DIV/0!</v>
      </c>
      <c r="AR401" s="798" t="e">
        <f t="shared" si="104"/>
        <v>#DIV/0!</v>
      </c>
      <c r="AS401" s="97"/>
      <c r="AT401" s="97"/>
      <c r="AU401" s="97"/>
      <c r="AV401" s="97"/>
      <c r="AW401" s="97"/>
      <c r="AX401" s="97"/>
      <c r="AY401" s="97"/>
      <c r="AZ401" s="97"/>
      <c r="BA401" s="97"/>
      <c r="BB401" s="97"/>
      <c r="BC401" s="97"/>
      <c r="BD401" s="97"/>
      <c r="BE401" s="97"/>
      <c r="BF401" s="97"/>
      <c r="BG401" s="97"/>
      <c r="BH401" s="97"/>
      <c r="BI401" s="97"/>
      <c r="BJ401" s="97"/>
      <c r="BK401" s="97"/>
      <c r="BL401" s="97"/>
      <c r="BM401" s="3"/>
      <c r="BN401" s="3"/>
      <c r="BO401" s="3"/>
      <c r="BP401" s="3"/>
      <c r="BQ401" s="3"/>
      <c r="BR401" s="3"/>
      <c r="BS401" s="3"/>
      <c r="BT401" s="3"/>
      <c r="BU401" s="3"/>
      <c r="BV401" s="3"/>
      <c r="BW401" s="3"/>
      <c r="BX401" s="3"/>
      <c r="BY401" s="3"/>
      <c r="BZ401" s="3"/>
      <c r="CA401" s="3"/>
      <c r="CB401" s="3"/>
    </row>
    <row r="402" spans="2:80" s="399" customFormat="1" ht="14.45" hidden="1" customHeight="1">
      <c r="B402" s="1117"/>
      <c r="C402" s="2208"/>
      <c r="D402" s="2211"/>
      <c r="E402" s="1720" t="s">
        <v>4553</v>
      </c>
      <c r="F402" s="1721"/>
      <c r="G402" s="429">
        <f t="shared" si="103"/>
        <v>0</v>
      </c>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c r="AP402" s="430"/>
      <c r="AQ402" s="431" t="e">
        <f>+G402/'11. Unit Mix'!$G$142</f>
        <v>#DIV/0!</v>
      </c>
      <c r="AR402" s="798" t="e">
        <f t="shared" si="104"/>
        <v>#DIV/0!</v>
      </c>
      <c r="AS402" s="97"/>
      <c r="AT402" s="97"/>
      <c r="AU402" s="97"/>
      <c r="AV402" s="97"/>
      <c r="AW402" s="97"/>
      <c r="AX402" s="97"/>
      <c r="AY402" s="97"/>
      <c r="AZ402" s="97"/>
      <c r="BA402" s="97"/>
      <c r="BB402" s="97"/>
      <c r="BC402" s="97"/>
      <c r="BD402" s="97"/>
      <c r="BE402" s="97"/>
      <c r="BF402" s="97"/>
      <c r="BG402" s="97"/>
      <c r="BH402" s="97"/>
      <c r="BI402" s="97"/>
      <c r="BJ402" s="97"/>
      <c r="BK402" s="97"/>
      <c r="BL402" s="97"/>
      <c r="BM402" s="3"/>
      <c r="BN402" s="3"/>
      <c r="BO402" s="3"/>
      <c r="BP402" s="3"/>
      <c r="BQ402" s="3"/>
      <c r="BR402" s="3"/>
      <c r="BS402" s="3"/>
      <c r="BT402" s="3"/>
      <c r="BU402" s="3"/>
      <c r="BV402" s="3"/>
      <c r="BW402" s="3"/>
      <c r="BX402" s="3"/>
      <c r="BY402" s="3"/>
      <c r="BZ402" s="3"/>
      <c r="CA402" s="3"/>
      <c r="CB402" s="3"/>
    </row>
    <row r="403" spans="2:80" s="399" customFormat="1" ht="14.45" hidden="1" customHeight="1">
      <c r="B403" s="1117"/>
      <c r="C403" s="2208"/>
      <c r="D403" s="2212"/>
      <c r="E403" s="2204" t="s">
        <v>4554</v>
      </c>
      <c r="F403" s="2205"/>
      <c r="G403" s="429">
        <f t="shared" si="103"/>
        <v>0</v>
      </c>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c r="AP403" s="430"/>
      <c r="AQ403" s="431" t="e">
        <f>+G403/'11. Unit Mix'!$G$142</f>
        <v>#DIV/0!</v>
      </c>
      <c r="AR403" s="798" t="e">
        <f t="shared" si="104"/>
        <v>#DIV/0!</v>
      </c>
      <c r="AS403" s="97"/>
      <c r="AT403" s="97"/>
      <c r="AU403" s="97"/>
      <c r="AV403" s="97"/>
      <c r="AW403" s="97"/>
      <c r="AX403" s="97"/>
      <c r="AY403" s="97"/>
      <c r="AZ403" s="97"/>
      <c r="BA403" s="97"/>
      <c r="BB403" s="97"/>
      <c r="BC403" s="97"/>
      <c r="BD403" s="97"/>
      <c r="BE403" s="97"/>
      <c r="BF403" s="97"/>
      <c r="BG403" s="97"/>
      <c r="BH403" s="97"/>
      <c r="BI403" s="97"/>
      <c r="BJ403" s="97"/>
      <c r="BK403" s="97"/>
      <c r="BL403" s="97"/>
      <c r="BM403" s="3"/>
      <c r="BN403" s="3"/>
      <c r="BO403" s="3"/>
      <c r="BP403" s="3"/>
      <c r="BQ403" s="3"/>
      <c r="BR403" s="3"/>
      <c r="BS403" s="3"/>
      <c r="BT403" s="3"/>
      <c r="BU403" s="3"/>
      <c r="BV403" s="3"/>
      <c r="BW403" s="3"/>
      <c r="BX403" s="3"/>
      <c r="BY403" s="3"/>
      <c r="BZ403" s="3"/>
      <c r="CA403" s="3"/>
      <c r="CB403" s="3"/>
    </row>
    <row r="404" spans="2:80" s="399" customFormat="1" ht="14.45" hidden="1" customHeight="1">
      <c r="B404" s="1117"/>
      <c r="C404" s="2208"/>
      <c r="D404" s="2202" t="s">
        <v>4555</v>
      </c>
      <c r="E404" s="2204" t="s">
        <v>4556</v>
      </c>
      <c r="F404" s="2205"/>
      <c r="G404" s="429">
        <f t="shared" si="103"/>
        <v>0</v>
      </c>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c r="AP404" s="430"/>
      <c r="AQ404" s="431" t="e">
        <f>+G404/'11. Unit Mix'!$G$142</f>
        <v>#DIV/0!</v>
      </c>
      <c r="AR404" s="798" t="e">
        <f t="shared" si="104"/>
        <v>#DIV/0!</v>
      </c>
      <c r="AS404" s="97"/>
      <c r="AT404" s="97"/>
      <c r="AU404" s="97"/>
      <c r="AV404" s="97"/>
      <c r="AW404" s="97"/>
      <c r="AX404" s="97"/>
      <c r="AY404" s="97"/>
      <c r="AZ404" s="97"/>
      <c r="BA404" s="97"/>
      <c r="BB404" s="97"/>
      <c r="BC404" s="97"/>
      <c r="BD404" s="97"/>
      <c r="BE404" s="97"/>
      <c r="BF404" s="97"/>
      <c r="BG404" s="97"/>
      <c r="BH404" s="97"/>
      <c r="BI404" s="97"/>
      <c r="BJ404" s="97"/>
      <c r="BK404" s="97"/>
      <c r="BL404" s="97"/>
      <c r="BM404" s="3"/>
      <c r="BN404" s="3"/>
      <c r="BO404" s="3"/>
      <c r="BP404" s="3"/>
      <c r="BQ404" s="3"/>
      <c r="BR404" s="3"/>
      <c r="BS404" s="3"/>
      <c r="BT404" s="3"/>
      <c r="BU404" s="3"/>
      <c r="BV404" s="3"/>
      <c r="BW404" s="3"/>
      <c r="BX404" s="3"/>
      <c r="BY404" s="3"/>
      <c r="BZ404" s="3"/>
      <c r="CA404" s="3"/>
      <c r="CB404" s="3"/>
    </row>
    <row r="405" spans="2:80" s="399" customFormat="1" ht="14.45" hidden="1" customHeight="1">
      <c r="B405" s="1117"/>
      <c r="C405" s="2208"/>
      <c r="D405" s="2202"/>
      <c r="E405" s="2204" t="s">
        <v>4557</v>
      </c>
      <c r="F405" s="2205"/>
      <c r="G405" s="429">
        <f t="shared" si="103"/>
        <v>0</v>
      </c>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c r="AP405" s="430"/>
      <c r="AQ405" s="431" t="e">
        <f>+G405/'11. Unit Mix'!$G$142</f>
        <v>#DIV/0!</v>
      </c>
      <c r="AR405" s="798" t="e">
        <f t="shared" si="104"/>
        <v>#DIV/0!</v>
      </c>
      <c r="AS405" s="97"/>
      <c r="AT405" s="97"/>
      <c r="AU405" s="97"/>
      <c r="AV405" s="97"/>
      <c r="AW405" s="97"/>
      <c r="AX405" s="97"/>
      <c r="AY405" s="97"/>
      <c r="AZ405" s="97"/>
      <c r="BA405" s="97"/>
      <c r="BB405" s="97"/>
      <c r="BC405" s="97"/>
      <c r="BD405" s="97"/>
      <c r="BE405" s="97"/>
      <c r="BF405" s="97"/>
      <c r="BG405" s="97"/>
      <c r="BH405" s="97"/>
      <c r="BI405" s="97"/>
      <c r="BJ405" s="97"/>
      <c r="BK405" s="97"/>
      <c r="BL405" s="97"/>
      <c r="BM405" s="3"/>
      <c r="BN405" s="3"/>
      <c r="BO405" s="3"/>
      <c r="BP405" s="3"/>
      <c r="BQ405" s="3"/>
      <c r="BR405" s="3"/>
      <c r="BS405" s="3"/>
      <c r="BT405" s="3"/>
      <c r="BU405" s="3"/>
      <c r="BV405" s="3"/>
      <c r="BW405" s="3"/>
      <c r="BX405" s="3"/>
      <c r="BY405" s="3"/>
      <c r="BZ405" s="3"/>
      <c r="CA405" s="3"/>
      <c r="CB405" s="3"/>
    </row>
    <row r="406" spans="2:80" s="399" customFormat="1" ht="14.45" hidden="1" customHeight="1">
      <c r="B406" s="1117"/>
      <c r="C406" s="2208"/>
      <c r="D406" s="2202"/>
      <c r="E406" s="2204" t="s">
        <v>4558</v>
      </c>
      <c r="F406" s="2205"/>
      <c r="G406" s="429">
        <f t="shared" si="103"/>
        <v>0</v>
      </c>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c r="AP406" s="430"/>
      <c r="AQ406" s="431" t="e">
        <f>+G406/'11. Unit Mix'!$G$142</f>
        <v>#DIV/0!</v>
      </c>
      <c r="AR406" s="798" t="e">
        <f t="shared" si="104"/>
        <v>#DIV/0!</v>
      </c>
      <c r="AS406" s="97"/>
      <c r="AT406" s="97"/>
      <c r="AU406" s="97"/>
      <c r="AV406" s="97"/>
      <c r="AW406" s="97"/>
      <c r="AX406" s="97"/>
      <c r="AY406" s="97"/>
      <c r="AZ406" s="97"/>
      <c r="BA406" s="97"/>
      <c r="BB406" s="97"/>
      <c r="BC406" s="97"/>
      <c r="BD406" s="97"/>
      <c r="BE406" s="97"/>
      <c r="BF406" s="97"/>
      <c r="BG406" s="97"/>
      <c r="BH406" s="97"/>
      <c r="BI406" s="97"/>
      <c r="BJ406" s="97"/>
      <c r="BK406" s="97"/>
      <c r="BL406" s="97"/>
      <c r="BM406" s="3"/>
      <c r="BN406" s="3"/>
      <c r="BO406" s="3"/>
      <c r="BP406" s="3"/>
      <c r="BQ406" s="3"/>
      <c r="BR406" s="3"/>
      <c r="BS406" s="3"/>
      <c r="BT406" s="3"/>
      <c r="BU406" s="3"/>
      <c r="BV406" s="3"/>
      <c r="BW406" s="3"/>
      <c r="BX406" s="3"/>
      <c r="BY406" s="3"/>
      <c r="BZ406" s="3"/>
      <c r="CA406" s="3"/>
      <c r="CB406" s="3"/>
    </row>
    <row r="407" spans="2:80" s="399" customFormat="1" ht="14.45" hidden="1" customHeight="1">
      <c r="B407" s="1117"/>
      <c r="C407" s="2208"/>
      <c r="D407" s="2202"/>
      <c r="E407" s="1720" t="s">
        <v>4559</v>
      </c>
      <c r="F407" s="1721"/>
      <c r="G407" s="429">
        <f t="shared" si="103"/>
        <v>0</v>
      </c>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c r="AP407" s="430"/>
      <c r="AQ407" s="431" t="e">
        <f>+G407/'11. Unit Mix'!$G$142</f>
        <v>#DIV/0!</v>
      </c>
      <c r="AR407" s="798" t="e">
        <f t="shared" si="104"/>
        <v>#DIV/0!</v>
      </c>
      <c r="AS407" s="97"/>
      <c r="AT407" s="97"/>
      <c r="AU407" s="97"/>
      <c r="AV407" s="97"/>
      <c r="AW407" s="97"/>
      <c r="AX407" s="97"/>
      <c r="AY407" s="97"/>
      <c r="AZ407" s="97"/>
      <c r="BA407" s="97"/>
      <c r="BB407" s="97"/>
      <c r="BC407" s="97"/>
      <c r="BD407" s="97"/>
      <c r="BE407" s="97"/>
      <c r="BF407" s="97"/>
      <c r="BG407" s="97"/>
      <c r="BH407" s="97"/>
      <c r="BI407" s="97"/>
      <c r="BJ407" s="97"/>
      <c r="BK407" s="97"/>
      <c r="BL407" s="97"/>
      <c r="BM407" s="3"/>
      <c r="BN407" s="3"/>
      <c r="BO407" s="3"/>
      <c r="BP407" s="3"/>
      <c r="BQ407" s="3"/>
      <c r="BR407" s="3"/>
      <c r="BS407" s="3"/>
      <c r="BT407" s="3"/>
      <c r="BU407" s="3"/>
      <c r="BV407" s="3"/>
      <c r="BW407" s="3"/>
      <c r="BX407" s="3"/>
      <c r="BY407" s="3"/>
      <c r="BZ407" s="3"/>
      <c r="CA407" s="3"/>
      <c r="CB407" s="3"/>
    </row>
    <row r="408" spans="2:80" s="399" customFormat="1" ht="15" hidden="1">
      <c r="B408" s="1117"/>
      <c r="C408" s="2208"/>
      <c r="D408" s="2203"/>
      <c r="E408" s="2204" t="s">
        <v>4560</v>
      </c>
      <c r="F408" s="2205"/>
      <c r="G408" s="429">
        <f t="shared" si="103"/>
        <v>0</v>
      </c>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c r="AP408" s="430"/>
      <c r="AQ408" s="431" t="e">
        <f>+G408/'11. Unit Mix'!$G$142</f>
        <v>#DIV/0!</v>
      </c>
      <c r="AR408" s="798" t="e">
        <f t="shared" si="104"/>
        <v>#DIV/0!</v>
      </c>
      <c r="AS408" s="97"/>
      <c r="AT408" s="97"/>
      <c r="AU408" s="97"/>
      <c r="AV408" s="97"/>
      <c r="AW408" s="97"/>
      <c r="AX408" s="97"/>
      <c r="AY408" s="97"/>
      <c r="AZ408" s="97"/>
      <c r="BA408" s="97"/>
      <c r="BB408" s="97"/>
      <c r="BC408" s="97"/>
      <c r="BD408" s="97"/>
      <c r="BE408" s="97"/>
      <c r="BF408" s="97"/>
      <c r="BG408" s="97"/>
      <c r="BH408" s="97"/>
      <c r="BI408" s="97"/>
      <c r="BJ408" s="97"/>
      <c r="BK408" s="97"/>
      <c r="BL408" s="97"/>
      <c r="BM408" s="3"/>
      <c r="BN408" s="3"/>
      <c r="BO408" s="3"/>
      <c r="BP408" s="3"/>
      <c r="BQ408" s="3"/>
      <c r="BR408" s="3"/>
      <c r="BS408" s="3"/>
      <c r="BT408" s="3"/>
      <c r="BU408" s="3"/>
      <c r="BV408" s="3"/>
      <c r="BW408" s="3"/>
      <c r="BX408" s="3"/>
      <c r="BY408" s="3"/>
      <c r="BZ408" s="3"/>
      <c r="CA408" s="3"/>
      <c r="CB408" s="3"/>
    </row>
    <row r="409" spans="2:80" s="399" customFormat="1" ht="15" hidden="1">
      <c r="B409" s="1117"/>
      <c r="C409" s="2208"/>
      <c r="D409" s="2206" t="s">
        <v>365</v>
      </c>
      <c r="E409" s="403" t="s">
        <v>365</v>
      </c>
      <c r="F409" s="407"/>
      <c r="G409" s="429">
        <f t="shared" si="103"/>
        <v>0</v>
      </c>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c r="AP409" s="430"/>
      <c r="AQ409" s="431" t="e">
        <f>+G409/'11. Unit Mix'!$G$142</f>
        <v>#DIV/0!</v>
      </c>
      <c r="AR409" s="798" t="e">
        <f t="shared" si="104"/>
        <v>#DIV/0!</v>
      </c>
      <c r="AS409" s="97"/>
      <c r="AT409" s="97"/>
      <c r="AU409" s="97"/>
      <c r="AV409" s="97"/>
      <c r="AW409" s="97"/>
      <c r="AX409" s="97"/>
      <c r="AY409" s="97"/>
      <c r="AZ409" s="97"/>
      <c r="BA409" s="97"/>
      <c r="BB409" s="97"/>
      <c r="BC409" s="97"/>
      <c r="BD409" s="97"/>
      <c r="BE409" s="97"/>
      <c r="BF409" s="97"/>
      <c r="BG409" s="97"/>
      <c r="BH409" s="97"/>
      <c r="BI409" s="97"/>
      <c r="BJ409" s="97"/>
      <c r="BK409" s="97"/>
      <c r="BL409" s="97"/>
      <c r="BM409" s="3"/>
      <c r="BN409" s="3"/>
      <c r="BO409" s="3"/>
      <c r="BP409" s="3"/>
      <c r="BQ409" s="3"/>
      <c r="BR409" s="3"/>
      <c r="BS409" s="3"/>
      <c r="BT409" s="3"/>
      <c r="BU409" s="3"/>
      <c r="BV409" s="3"/>
      <c r="BW409" s="3"/>
      <c r="BX409" s="3"/>
      <c r="BY409" s="3"/>
      <c r="BZ409" s="3"/>
      <c r="CA409" s="3"/>
      <c r="CB409" s="3"/>
    </row>
    <row r="410" spans="2:80" s="399" customFormat="1" ht="15" hidden="1">
      <c r="B410" s="1117"/>
      <c r="C410" s="2209"/>
      <c r="D410" s="2203"/>
      <c r="E410" s="403" t="s">
        <v>365</v>
      </c>
      <c r="F410" s="407"/>
      <c r="G410" s="429">
        <f t="shared" si="103"/>
        <v>0</v>
      </c>
      <c r="H410" s="430"/>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c r="AP410" s="430"/>
      <c r="AQ410" s="431" t="e">
        <f>+G410/'11. Unit Mix'!$G$142</f>
        <v>#DIV/0!</v>
      </c>
      <c r="AR410" s="798" t="e">
        <f t="shared" si="104"/>
        <v>#DIV/0!</v>
      </c>
      <c r="AS410" s="945"/>
      <c r="AT410" s="945"/>
      <c r="AU410" s="945"/>
      <c r="AV410" s="945"/>
      <c r="AW410" s="945"/>
      <c r="AX410" s="945"/>
      <c r="AY410" s="945"/>
      <c r="AZ410" s="945"/>
      <c r="BA410" s="945"/>
      <c r="BB410" s="945"/>
      <c r="BC410" s="945"/>
      <c r="BD410" s="945"/>
      <c r="BE410" s="945"/>
      <c r="BF410" s="945"/>
      <c r="BG410" s="945"/>
      <c r="BH410" s="97"/>
      <c r="BI410" s="97"/>
      <c r="BJ410" s="97"/>
      <c r="BK410" s="97"/>
      <c r="BL410" s="97"/>
      <c r="BM410" s="3"/>
      <c r="BN410" s="3"/>
      <c r="BO410" s="3"/>
      <c r="BP410" s="3"/>
      <c r="BQ410" s="3"/>
      <c r="BR410" s="3"/>
      <c r="BS410" s="3"/>
      <c r="BT410" s="3"/>
      <c r="BU410" s="3"/>
      <c r="BV410" s="3"/>
      <c r="BW410" s="3"/>
      <c r="BX410" s="3"/>
      <c r="BY410" s="3"/>
      <c r="BZ410" s="3"/>
      <c r="CA410" s="3"/>
      <c r="CB410" s="3"/>
    </row>
    <row r="411" spans="2:80" s="399" customFormat="1" hidden="1">
      <c r="B411" s="1117"/>
      <c r="C411" s="525"/>
      <c r="D411" s="526"/>
      <c r="E411" s="2187" t="s">
        <v>4561</v>
      </c>
      <c r="F411" s="2188"/>
      <c r="G411" s="429">
        <f t="shared" si="103"/>
        <v>0</v>
      </c>
      <c r="H411" s="432">
        <f t="shared" ref="H411:AP411" si="105">SUM(H392:H410)</f>
        <v>0</v>
      </c>
      <c r="I411" s="432">
        <f t="shared" si="105"/>
        <v>0</v>
      </c>
      <c r="J411" s="432">
        <f t="shared" si="105"/>
        <v>0</v>
      </c>
      <c r="K411" s="432">
        <f t="shared" si="105"/>
        <v>0</v>
      </c>
      <c r="L411" s="432">
        <f t="shared" si="105"/>
        <v>0</v>
      </c>
      <c r="M411" s="432">
        <f t="shared" si="105"/>
        <v>0</v>
      </c>
      <c r="N411" s="432">
        <f t="shared" si="105"/>
        <v>0</v>
      </c>
      <c r="O411" s="432">
        <f t="shared" si="105"/>
        <v>0</v>
      </c>
      <c r="P411" s="432">
        <f t="shared" si="105"/>
        <v>0</v>
      </c>
      <c r="Q411" s="432">
        <f t="shared" si="105"/>
        <v>0</v>
      </c>
      <c r="R411" s="432">
        <f t="shared" si="105"/>
        <v>0</v>
      </c>
      <c r="S411" s="432">
        <f t="shared" si="105"/>
        <v>0</v>
      </c>
      <c r="T411" s="432">
        <f t="shared" si="105"/>
        <v>0</v>
      </c>
      <c r="U411" s="432">
        <f t="shared" si="105"/>
        <v>0</v>
      </c>
      <c r="V411" s="432">
        <f t="shared" si="105"/>
        <v>0</v>
      </c>
      <c r="W411" s="432">
        <f t="shared" si="105"/>
        <v>0</v>
      </c>
      <c r="X411" s="432">
        <f t="shared" si="105"/>
        <v>0</v>
      </c>
      <c r="Y411" s="432">
        <f t="shared" si="105"/>
        <v>0</v>
      </c>
      <c r="Z411" s="432">
        <f t="shared" si="105"/>
        <v>0</v>
      </c>
      <c r="AA411" s="432">
        <f t="shared" si="105"/>
        <v>0</v>
      </c>
      <c r="AB411" s="432">
        <f t="shared" si="105"/>
        <v>0</v>
      </c>
      <c r="AC411" s="432">
        <f t="shared" si="105"/>
        <v>0</v>
      </c>
      <c r="AD411" s="432">
        <f t="shared" si="105"/>
        <v>0</v>
      </c>
      <c r="AE411" s="432">
        <f t="shared" si="105"/>
        <v>0</v>
      </c>
      <c r="AF411" s="432">
        <f t="shared" si="105"/>
        <v>0</v>
      </c>
      <c r="AG411" s="432">
        <f t="shared" si="105"/>
        <v>0</v>
      </c>
      <c r="AH411" s="432">
        <f t="shared" si="105"/>
        <v>0</v>
      </c>
      <c r="AI411" s="432">
        <f t="shared" si="105"/>
        <v>0</v>
      </c>
      <c r="AJ411" s="432">
        <f t="shared" si="105"/>
        <v>0</v>
      </c>
      <c r="AK411" s="432">
        <f t="shared" si="105"/>
        <v>0</v>
      </c>
      <c r="AL411" s="432">
        <f t="shared" si="105"/>
        <v>0</v>
      </c>
      <c r="AM411" s="432">
        <f t="shared" si="105"/>
        <v>0</v>
      </c>
      <c r="AN411" s="432">
        <f t="shared" si="105"/>
        <v>0</v>
      </c>
      <c r="AO411" s="432">
        <f t="shared" si="105"/>
        <v>0</v>
      </c>
      <c r="AP411" s="432">
        <f t="shared" si="105"/>
        <v>0</v>
      </c>
      <c r="AQ411" s="534"/>
      <c r="AR411" s="433"/>
      <c r="AS411" s="97"/>
      <c r="AT411" s="97"/>
      <c r="AU411" s="97"/>
      <c r="AV411" s="97"/>
      <c r="AW411" s="97"/>
      <c r="AX411" s="97"/>
      <c r="AY411" s="97"/>
      <c r="AZ411" s="97"/>
      <c r="BA411" s="97"/>
      <c r="BB411" s="97"/>
      <c r="BC411" s="97"/>
      <c r="BD411" s="97"/>
      <c r="BE411" s="97"/>
      <c r="BF411" s="97"/>
      <c r="BG411" s="97"/>
      <c r="BH411" s="97"/>
      <c r="BI411" s="97"/>
      <c r="BJ411" s="97"/>
      <c r="BK411" s="97"/>
      <c r="BL411" s="97"/>
      <c r="BM411" s="3"/>
      <c r="BN411" s="3"/>
      <c r="BO411" s="3"/>
      <c r="BP411" s="3"/>
      <c r="BQ411" s="3"/>
      <c r="BR411" s="3"/>
      <c r="BS411" s="3"/>
      <c r="BT411" s="3"/>
      <c r="BU411" s="3"/>
      <c r="BV411" s="3"/>
      <c r="BW411" s="3"/>
      <c r="BX411" s="3"/>
      <c r="BY411" s="3"/>
      <c r="BZ411" s="3"/>
      <c r="CA411" s="3"/>
      <c r="CB411" s="3"/>
    </row>
    <row r="412" spans="2:80" s="399" customFormat="1" hidden="1">
      <c r="B412" s="1117"/>
      <c r="C412" s="525"/>
      <c r="D412" s="526"/>
      <c r="E412" s="410" t="s">
        <v>4405</v>
      </c>
      <c r="F412" s="411"/>
      <c r="G412" s="434">
        <v>0</v>
      </c>
      <c r="H412" s="25"/>
      <c r="I412" s="25"/>
      <c r="J412" s="25"/>
      <c r="K412" s="25"/>
      <c r="L412" s="25"/>
      <c r="M412" s="25"/>
      <c r="N412" s="25"/>
      <c r="O412" s="25"/>
      <c r="P412" s="25"/>
      <c r="Q412" s="25"/>
      <c r="R412" s="25"/>
      <c r="S412" s="25"/>
      <c r="T412" s="25"/>
      <c r="U412" s="25"/>
      <c r="V412" s="534"/>
      <c r="W412" s="534"/>
      <c r="X412" s="534"/>
      <c r="Y412" s="534"/>
      <c r="Z412" s="534"/>
      <c r="AA412" s="534"/>
      <c r="AB412" s="534"/>
      <c r="AC412" s="534"/>
      <c r="AD412" s="534"/>
      <c r="AE412" s="534"/>
      <c r="AF412" s="534"/>
      <c r="AG412" s="534"/>
      <c r="AH412" s="534"/>
      <c r="AI412" s="534"/>
      <c r="AJ412" s="25"/>
      <c r="AK412" s="534"/>
      <c r="AL412" s="534"/>
      <c r="AM412" s="534"/>
      <c r="AN412" s="534"/>
      <c r="AO412" s="534"/>
      <c r="AP412" s="534"/>
      <c r="AQ412" s="534"/>
      <c r="AR412" s="433"/>
      <c r="AS412" s="97"/>
      <c r="AT412" s="97"/>
      <c r="AU412" s="97"/>
      <c r="AV412" s="97"/>
      <c r="AW412" s="97"/>
      <c r="AX412" s="97"/>
      <c r="AY412" s="97"/>
      <c r="AZ412" s="97"/>
      <c r="BA412" s="97"/>
      <c r="BB412" s="97"/>
      <c r="BC412" s="97"/>
      <c r="BD412" s="97"/>
      <c r="BE412" s="97"/>
      <c r="BF412" s="97"/>
      <c r="BG412" s="97"/>
      <c r="BH412" s="97"/>
      <c r="BI412" s="97"/>
      <c r="BJ412" s="97"/>
      <c r="BK412" s="97"/>
      <c r="BL412" s="97"/>
      <c r="BM412" s="3"/>
      <c r="BN412" s="3"/>
      <c r="BO412" s="3"/>
      <c r="BP412" s="3"/>
      <c r="BQ412" s="3"/>
      <c r="BR412" s="3"/>
      <c r="BS412" s="3"/>
      <c r="BT412" s="3"/>
      <c r="BU412" s="3"/>
      <c r="BV412" s="3"/>
      <c r="BW412" s="3"/>
      <c r="BX412" s="3"/>
      <c r="BY412" s="3"/>
      <c r="BZ412" s="3"/>
      <c r="CA412" s="3"/>
      <c r="CB412" s="3"/>
    </row>
    <row r="413" spans="2:80" ht="15.6" hidden="1" customHeight="1">
      <c r="B413" s="1117"/>
      <c r="C413" s="21"/>
      <c r="D413" s="521"/>
      <c r="E413" s="696"/>
      <c r="F413" s="1750"/>
      <c r="G413" s="643"/>
      <c r="H413" s="643"/>
      <c r="I413" s="643"/>
      <c r="J413" s="643"/>
      <c r="K413" s="643"/>
      <c r="L413" s="643"/>
      <c r="M413" s="643"/>
      <c r="N413" s="643"/>
      <c r="O413" s="643"/>
      <c r="P413" s="643"/>
      <c r="Q413" s="643"/>
      <c r="R413" s="643"/>
      <c r="S413" s="643"/>
      <c r="T413" s="643"/>
      <c r="U413" s="643"/>
      <c r="V413" s="643"/>
      <c r="W413" s="643"/>
      <c r="X413" s="643"/>
      <c r="Y413" s="643"/>
      <c r="Z413" s="643"/>
      <c r="AA413" s="643"/>
      <c r="AB413" s="643"/>
      <c r="AC413" s="643"/>
      <c r="AD413" s="643"/>
      <c r="AE413" s="643"/>
      <c r="AF413" s="643"/>
      <c r="AG413" s="643"/>
      <c r="AH413" s="643"/>
      <c r="AI413" s="643"/>
      <c r="AJ413" s="643"/>
      <c r="AK413" s="643"/>
      <c r="AL413" s="643"/>
      <c r="AM413" s="643"/>
      <c r="AN413" s="643"/>
      <c r="AO413" s="643"/>
      <c r="AP413" s="643"/>
      <c r="AQ413" s="643"/>
    </row>
    <row r="414" spans="2:80" s="399" customFormat="1" ht="15.6" hidden="1" customHeight="1">
      <c r="B414" s="1117"/>
      <c r="C414" s="525"/>
      <c r="D414" s="2189" t="s">
        <v>4562</v>
      </c>
      <c r="E414" s="412" t="s">
        <v>4406</v>
      </c>
      <c r="F414" s="435">
        <v>0</v>
      </c>
      <c r="G414" s="432">
        <f>(G265+G276+G288+G316+G327+G338+G364+G390+G411)*F414</f>
        <v>0</v>
      </c>
      <c r="H414" s="537"/>
      <c r="I414" s="537"/>
      <c r="J414" s="537"/>
      <c r="K414" s="537"/>
      <c r="L414" s="537"/>
      <c r="M414" s="537"/>
      <c r="N414" s="537"/>
      <c r="O414" s="537"/>
      <c r="P414" s="537"/>
      <c r="Q414" s="537"/>
      <c r="R414" s="537"/>
      <c r="S414" s="537"/>
      <c r="T414" s="537"/>
      <c r="U414" s="537"/>
      <c r="V414" s="535"/>
      <c r="W414" s="535"/>
      <c r="X414" s="535"/>
      <c r="Y414" s="535"/>
      <c r="Z414" s="535"/>
      <c r="AA414" s="535"/>
      <c r="AB414" s="535"/>
      <c r="AC414" s="535"/>
      <c r="AD414" s="535"/>
      <c r="AE414" s="535"/>
      <c r="AF414" s="535"/>
      <c r="AG414" s="535"/>
      <c r="AH414" s="535"/>
      <c r="AI414" s="535"/>
      <c r="AJ414" s="537"/>
      <c r="AK414" s="535"/>
      <c r="AL414" s="535"/>
      <c r="AM414" s="535"/>
      <c r="AN414" s="535"/>
      <c r="AO414" s="535"/>
      <c r="AP414" s="535"/>
      <c r="AQ414" s="534"/>
      <c r="AR414" s="433"/>
      <c r="AS414" s="97"/>
      <c r="AT414" s="97"/>
      <c r="AU414" s="97"/>
      <c r="AV414" s="97"/>
      <c r="AW414" s="97"/>
      <c r="AX414" s="97"/>
      <c r="AY414" s="97"/>
      <c r="AZ414" s="97"/>
      <c r="BA414" s="97"/>
      <c r="BB414" s="97"/>
      <c r="BC414" s="97"/>
      <c r="BD414" s="97"/>
      <c r="BE414" s="97"/>
      <c r="BF414" s="97"/>
      <c r="BG414" s="97"/>
      <c r="BH414" s="97"/>
      <c r="BI414" s="97"/>
      <c r="BJ414" s="97"/>
      <c r="BK414" s="97"/>
      <c r="BL414" s="97"/>
      <c r="BM414" s="3"/>
      <c r="BN414" s="3"/>
      <c r="BO414" s="3"/>
      <c r="BP414" s="3"/>
      <c r="BQ414" s="3"/>
      <c r="BR414" s="3"/>
      <c r="BS414" s="3"/>
      <c r="BT414" s="3"/>
      <c r="BU414" s="3"/>
      <c r="BV414" s="3"/>
      <c r="BW414" s="3"/>
      <c r="BX414" s="3"/>
      <c r="BY414" s="3"/>
      <c r="BZ414" s="3"/>
      <c r="CA414" s="3"/>
      <c r="CB414" s="3"/>
    </row>
    <row r="415" spans="2:80" hidden="1">
      <c r="B415" s="1117"/>
      <c r="C415" s="21"/>
      <c r="D415" s="2189"/>
      <c r="E415" s="412" t="s">
        <v>4563</v>
      </c>
      <c r="F415" s="435">
        <v>0</v>
      </c>
      <c r="G415" s="432">
        <f>(G265+G276+G288+G316+G327+G338+G364+G390+G411)*F415</f>
        <v>0</v>
      </c>
      <c r="H415" s="538"/>
      <c r="I415" s="538"/>
      <c r="J415" s="538"/>
      <c r="K415" s="538"/>
      <c r="L415" s="538"/>
      <c r="M415" s="538"/>
      <c r="N415" s="538"/>
      <c r="O415" s="538"/>
      <c r="P415" s="538"/>
      <c r="Q415" s="538"/>
      <c r="R415" s="538"/>
      <c r="S415" s="538"/>
      <c r="T415" s="538"/>
      <c r="U415" s="538"/>
      <c r="V415" s="643"/>
      <c r="W415" s="643"/>
      <c r="X415" s="643"/>
      <c r="Y415" s="643"/>
      <c r="Z415" s="643"/>
      <c r="AA415" s="643"/>
      <c r="AB415" s="643"/>
      <c r="AC415" s="643"/>
      <c r="AD415" s="643"/>
      <c r="AE415" s="643"/>
      <c r="AF415" s="643"/>
      <c r="AG415" s="643"/>
      <c r="AH415" s="643"/>
      <c r="AI415" s="643"/>
      <c r="AJ415" s="538"/>
      <c r="AK415" s="643"/>
      <c r="AL415" s="643"/>
      <c r="AM415" s="643"/>
      <c r="AN415" s="643"/>
      <c r="AO415" s="643"/>
      <c r="AP415" s="643"/>
      <c r="AQ415" s="643"/>
    </row>
    <row r="416" spans="2:80" hidden="1">
      <c r="B416" s="1117"/>
      <c r="C416" s="21"/>
      <c r="D416" s="2189"/>
      <c r="E416" s="410" t="s">
        <v>4564</v>
      </c>
      <c r="F416" s="411"/>
      <c r="G416" s="434">
        <f>G412+G415</f>
        <v>0</v>
      </c>
      <c r="H416" s="538"/>
      <c r="I416" s="538"/>
      <c r="J416" s="538"/>
      <c r="K416" s="538"/>
      <c r="L416" s="538"/>
      <c r="M416" s="538"/>
      <c r="N416" s="538"/>
      <c r="O416" s="538"/>
      <c r="P416" s="538"/>
      <c r="Q416" s="538"/>
      <c r="R416" s="538"/>
      <c r="S416" s="538"/>
      <c r="T416" s="538"/>
      <c r="U416" s="538"/>
      <c r="V416" s="643"/>
      <c r="W416" s="643"/>
      <c r="X416" s="643"/>
      <c r="Y416" s="643"/>
      <c r="Z416" s="643"/>
      <c r="AA416" s="643"/>
      <c r="AB416" s="643"/>
      <c r="AC416" s="643"/>
      <c r="AD416" s="643"/>
      <c r="AE416" s="643"/>
      <c r="AF416" s="643"/>
      <c r="AG416" s="643"/>
      <c r="AH416" s="643"/>
      <c r="AI416" s="643"/>
      <c r="AJ416" s="538"/>
      <c r="AK416" s="643"/>
      <c r="AL416" s="643"/>
      <c r="AM416" s="643"/>
      <c r="AN416" s="643"/>
      <c r="AO416" s="643"/>
      <c r="AP416" s="643"/>
      <c r="AQ416" s="643"/>
    </row>
    <row r="417" spans="2:50" hidden="1">
      <c r="B417" s="1117"/>
      <c r="C417" s="21"/>
      <c r="D417" s="2189"/>
      <c r="E417" s="696"/>
      <c r="F417" s="1750"/>
      <c r="G417" s="643"/>
      <c r="H417" s="643"/>
      <c r="I417" s="643"/>
      <c r="J417" s="643"/>
      <c r="K417" s="643"/>
      <c r="L417" s="643"/>
      <c r="M417" s="643"/>
      <c r="N417" s="643"/>
      <c r="O417" s="643"/>
      <c r="P417" s="643"/>
      <c r="Q417" s="643"/>
      <c r="R417" s="643"/>
      <c r="S417" s="643"/>
      <c r="T417" s="643"/>
      <c r="U417" s="643"/>
      <c r="V417" s="643"/>
      <c r="W417" s="643"/>
      <c r="X417" s="643"/>
      <c r="Y417" s="643"/>
      <c r="Z417" s="643"/>
      <c r="AA417" s="643"/>
      <c r="AB417" s="643"/>
      <c r="AC417" s="643"/>
      <c r="AD417" s="643"/>
      <c r="AE417" s="643"/>
      <c r="AF417" s="643"/>
      <c r="AG417" s="643"/>
      <c r="AH417" s="643"/>
      <c r="AI417" s="643"/>
      <c r="AJ417" s="643"/>
      <c r="AK417" s="643"/>
      <c r="AL417" s="643"/>
      <c r="AM417" s="643"/>
      <c r="AN417" s="643"/>
      <c r="AO417" s="643"/>
      <c r="AP417" s="643"/>
      <c r="AQ417" s="643"/>
    </row>
    <row r="418" spans="2:50" hidden="1">
      <c r="B418" s="1117"/>
      <c r="C418" s="21"/>
      <c r="D418" s="536"/>
      <c r="E418" s="539"/>
      <c r="F418" s="540"/>
      <c r="G418" s="643"/>
      <c r="H418" s="643"/>
      <c r="I418" s="643"/>
      <c r="J418" s="643"/>
      <c r="K418" s="643"/>
      <c r="L418" s="643"/>
      <c r="M418" s="643"/>
      <c r="N418" s="643"/>
      <c r="O418" s="643"/>
      <c r="P418" s="643"/>
      <c r="Q418" s="643"/>
      <c r="R418" s="643"/>
      <c r="S418" s="643"/>
      <c r="T418" s="643"/>
      <c r="U418" s="643"/>
      <c r="V418" s="643"/>
      <c r="W418" s="643"/>
      <c r="X418" s="643"/>
      <c r="Y418" s="643"/>
      <c r="Z418" s="643"/>
      <c r="AA418" s="643"/>
      <c r="AB418" s="643"/>
      <c r="AC418" s="643"/>
      <c r="AD418" s="643"/>
      <c r="AE418" s="643"/>
      <c r="AF418" s="643"/>
      <c r="AG418" s="643"/>
      <c r="AH418" s="643"/>
      <c r="AI418" s="643"/>
      <c r="AJ418" s="643"/>
      <c r="AK418" s="643"/>
      <c r="AL418" s="643"/>
      <c r="AM418" s="643"/>
      <c r="AN418" s="643"/>
      <c r="AO418" s="643"/>
      <c r="AP418" s="643"/>
      <c r="AQ418" s="643"/>
    </row>
    <row r="419" spans="2:50" ht="15.6" hidden="1" customHeight="1">
      <c r="B419" s="1117"/>
      <c r="C419" s="21"/>
      <c r="D419" s="536"/>
      <c r="E419" s="2190" t="s">
        <v>4565</v>
      </c>
      <c r="F419" s="2191"/>
      <c r="G419" s="2191"/>
      <c r="H419" s="2191"/>
      <c r="I419" s="2191"/>
      <c r="J419" s="2191"/>
      <c r="K419" s="2191"/>
      <c r="L419" s="2191"/>
      <c r="M419" s="2191"/>
      <c r="N419" s="2191"/>
      <c r="O419" s="2191"/>
      <c r="P419" s="2191"/>
      <c r="Q419" s="2191"/>
      <c r="R419" s="2191"/>
      <c r="S419" s="2191"/>
      <c r="T419" s="2191"/>
      <c r="U419" s="2191"/>
      <c r="V419" s="2191"/>
      <c r="W419" s="2191"/>
      <c r="X419" s="2191"/>
      <c r="Y419" s="2191"/>
      <c r="Z419" s="2191"/>
      <c r="AA419" s="2191"/>
      <c r="AB419" s="2191"/>
      <c r="AC419" s="2191"/>
      <c r="AD419" s="2191"/>
      <c r="AE419" s="2191"/>
      <c r="AF419" s="2191"/>
      <c r="AG419" s="2191"/>
      <c r="AH419" s="2191"/>
      <c r="AI419" s="2191"/>
      <c r="AJ419" s="2191"/>
      <c r="AK419" s="2191"/>
      <c r="AL419" s="2191"/>
      <c r="AM419" s="2191"/>
      <c r="AN419" s="2191"/>
      <c r="AO419" s="2191"/>
      <c r="AP419" s="2191"/>
      <c r="AQ419" s="2192"/>
    </row>
    <row r="420" spans="2:50" hidden="1">
      <c r="B420" s="1117"/>
      <c r="C420" s="21"/>
      <c r="D420" s="536"/>
      <c r="E420" s="2193"/>
      <c r="F420" s="2194"/>
      <c r="G420" s="2194"/>
      <c r="H420" s="2194"/>
      <c r="I420" s="2194"/>
      <c r="J420" s="2194"/>
      <c r="K420" s="2194"/>
      <c r="L420" s="2194"/>
      <c r="M420" s="2194"/>
      <c r="N420" s="2194"/>
      <c r="O420" s="2194"/>
      <c r="P420" s="2194"/>
      <c r="Q420" s="2194"/>
      <c r="R420" s="2194"/>
      <c r="S420" s="2194"/>
      <c r="T420" s="2194"/>
      <c r="U420" s="2194"/>
      <c r="V420" s="2194"/>
      <c r="W420" s="2194"/>
      <c r="X420" s="2194"/>
      <c r="Y420" s="2194"/>
      <c r="Z420" s="2194"/>
      <c r="AA420" s="2194"/>
      <c r="AB420" s="2194"/>
      <c r="AC420" s="2194"/>
      <c r="AD420" s="2194"/>
      <c r="AE420" s="2194"/>
      <c r="AF420" s="2194"/>
      <c r="AG420" s="2194"/>
      <c r="AH420" s="2194"/>
      <c r="AI420" s="2194"/>
      <c r="AJ420" s="2194"/>
      <c r="AK420" s="2194"/>
      <c r="AL420" s="2194"/>
      <c r="AM420" s="2194"/>
      <c r="AN420" s="2194"/>
      <c r="AO420" s="2194"/>
      <c r="AP420" s="2194"/>
      <c r="AQ420" s="2195"/>
    </row>
    <row r="421" spans="2:50" hidden="1">
      <c r="B421" s="1117"/>
      <c r="C421" s="21"/>
      <c r="D421" s="536"/>
      <c r="E421" s="2196"/>
      <c r="F421" s="2197"/>
      <c r="G421" s="2197"/>
      <c r="H421" s="2197"/>
      <c r="I421" s="2197"/>
      <c r="J421" s="2197"/>
      <c r="K421" s="2197"/>
      <c r="L421" s="2197"/>
      <c r="M421" s="2197"/>
      <c r="N421" s="2197"/>
      <c r="O421" s="2197"/>
      <c r="P421" s="2197"/>
      <c r="Q421" s="2197"/>
      <c r="R421" s="2197"/>
      <c r="S421" s="2197"/>
      <c r="T421" s="2197"/>
      <c r="U421" s="2197"/>
      <c r="V421" s="2197"/>
      <c r="W421" s="2197"/>
      <c r="X421" s="2197"/>
      <c r="Y421" s="2197"/>
      <c r="Z421" s="2197"/>
      <c r="AA421" s="2197"/>
      <c r="AB421" s="2197"/>
      <c r="AC421" s="2197"/>
      <c r="AD421" s="2197"/>
      <c r="AE421" s="2197"/>
      <c r="AF421" s="2197"/>
      <c r="AG421" s="2197"/>
      <c r="AH421" s="2197"/>
      <c r="AI421" s="2197"/>
      <c r="AJ421" s="2197"/>
      <c r="AK421" s="2197"/>
      <c r="AL421" s="2197"/>
      <c r="AM421" s="2197"/>
      <c r="AN421" s="2197"/>
      <c r="AO421" s="2197"/>
      <c r="AP421" s="2197"/>
      <c r="AQ421" s="2198"/>
    </row>
    <row r="422" spans="2:50" hidden="1">
      <c r="B422" s="1117"/>
      <c r="C422" s="21"/>
      <c r="D422" s="536"/>
      <c r="E422" s="2196"/>
      <c r="F422" s="2197"/>
      <c r="G422" s="2197"/>
      <c r="H422" s="2197"/>
      <c r="I422" s="2197"/>
      <c r="J422" s="2197"/>
      <c r="K422" s="2197"/>
      <c r="L422" s="2197"/>
      <c r="M422" s="2197"/>
      <c r="N422" s="2197"/>
      <c r="O422" s="2197"/>
      <c r="P422" s="2197"/>
      <c r="Q422" s="2197"/>
      <c r="R422" s="2197"/>
      <c r="S422" s="2197"/>
      <c r="T422" s="2197"/>
      <c r="U422" s="2197"/>
      <c r="V422" s="2197"/>
      <c r="W422" s="2197"/>
      <c r="X422" s="2197"/>
      <c r="Y422" s="2197"/>
      <c r="Z422" s="2197"/>
      <c r="AA422" s="2197"/>
      <c r="AB422" s="2197"/>
      <c r="AC422" s="2197"/>
      <c r="AD422" s="2197"/>
      <c r="AE422" s="2197"/>
      <c r="AF422" s="2197"/>
      <c r="AG422" s="2197"/>
      <c r="AH422" s="2197"/>
      <c r="AI422" s="2197"/>
      <c r="AJ422" s="2197"/>
      <c r="AK422" s="2197"/>
      <c r="AL422" s="2197"/>
      <c r="AM422" s="2197"/>
      <c r="AN422" s="2197"/>
      <c r="AO422" s="2197"/>
      <c r="AP422" s="2197"/>
      <c r="AQ422" s="2198"/>
    </row>
    <row r="423" spans="2:50" hidden="1">
      <c r="B423" s="1117"/>
      <c r="C423" s="21"/>
      <c r="D423" s="536"/>
      <c r="E423" s="2196"/>
      <c r="F423" s="2197"/>
      <c r="G423" s="2197"/>
      <c r="H423" s="2197"/>
      <c r="I423" s="2197"/>
      <c r="J423" s="2197"/>
      <c r="K423" s="2197"/>
      <c r="L423" s="2197"/>
      <c r="M423" s="2197"/>
      <c r="N423" s="2197"/>
      <c r="O423" s="2197"/>
      <c r="P423" s="2197"/>
      <c r="Q423" s="2197"/>
      <c r="R423" s="2197"/>
      <c r="S423" s="2197"/>
      <c r="T423" s="2197"/>
      <c r="U423" s="2197"/>
      <c r="V423" s="2197"/>
      <c r="W423" s="2197"/>
      <c r="X423" s="2197"/>
      <c r="Y423" s="2197"/>
      <c r="Z423" s="2197"/>
      <c r="AA423" s="2197"/>
      <c r="AB423" s="2197"/>
      <c r="AC423" s="2197"/>
      <c r="AD423" s="2197"/>
      <c r="AE423" s="2197"/>
      <c r="AF423" s="2197"/>
      <c r="AG423" s="2197"/>
      <c r="AH423" s="2197"/>
      <c r="AI423" s="2197"/>
      <c r="AJ423" s="2197"/>
      <c r="AK423" s="2197"/>
      <c r="AL423" s="2197"/>
      <c r="AM423" s="2197"/>
      <c r="AN423" s="2197"/>
      <c r="AO423" s="2197"/>
      <c r="AP423" s="2197"/>
      <c r="AQ423" s="2198"/>
    </row>
    <row r="424" spans="2:50" hidden="1">
      <c r="B424" s="1117"/>
      <c r="C424" s="21"/>
      <c r="D424" s="536"/>
      <c r="E424" s="2196"/>
      <c r="F424" s="2197"/>
      <c r="G424" s="2197"/>
      <c r="H424" s="2197"/>
      <c r="I424" s="2197"/>
      <c r="J424" s="2197"/>
      <c r="K424" s="2197"/>
      <c r="L424" s="2197"/>
      <c r="M424" s="2197"/>
      <c r="N424" s="2197"/>
      <c r="O424" s="2197"/>
      <c r="P424" s="2197"/>
      <c r="Q424" s="2197"/>
      <c r="R424" s="2197"/>
      <c r="S424" s="2197"/>
      <c r="T424" s="2197"/>
      <c r="U424" s="2197"/>
      <c r="V424" s="2197"/>
      <c r="W424" s="2197"/>
      <c r="X424" s="2197"/>
      <c r="Y424" s="2197"/>
      <c r="Z424" s="2197"/>
      <c r="AA424" s="2197"/>
      <c r="AB424" s="2197"/>
      <c r="AC424" s="2197"/>
      <c r="AD424" s="2197"/>
      <c r="AE424" s="2197"/>
      <c r="AF424" s="2197"/>
      <c r="AG424" s="2197"/>
      <c r="AH424" s="2197"/>
      <c r="AI424" s="2197"/>
      <c r="AJ424" s="2197"/>
      <c r="AK424" s="2197"/>
      <c r="AL424" s="2197"/>
      <c r="AM424" s="2197"/>
      <c r="AN424" s="2197"/>
      <c r="AO424" s="2197"/>
      <c r="AP424" s="2197"/>
      <c r="AQ424" s="2198"/>
    </row>
    <row r="425" spans="2:50" hidden="1">
      <c r="B425" s="1117"/>
      <c r="C425" s="21"/>
      <c r="D425" s="536"/>
      <c r="E425" s="2199"/>
      <c r="F425" s="2200"/>
      <c r="G425" s="2200"/>
      <c r="H425" s="2200"/>
      <c r="I425" s="2200"/>
      <c r="J425" s="2200"/>
      <c r="K425" s="2200"/>
      <c r="L425" s="2200"/>
      <c r="M425" s="2200"/>
      <c r="N425" s="2200"/>
      <c r="O425" s="2200"/>
      <c r="P425" s="2200"/>
      <c r="Q425" s="2200"/>
      <c r="R425" s="2200"/>
      <c r="S425" s="2200"/>
      <c r="T425" s="2200"/>
      <c r="U425" s="2200"/>
      <c r="V425" s="2200"/>
      <c r="W425" s="2200"/>
      <c r="X425" s="2200"/>
      <c r="Y425" s="2200"/>
      <c r="Z425" s="2200"/>
      <c r="AA425" s="2200"/>
      <c r="AB425" s="2200"/>
      <c r="AC425" s="2200"/>
      <c r="AD425" s="2200"/>
      <c r="AE425" s="2200"/>
      <c r="AF425" s="2200"/>
      <c r="AG425" s="2200"/>
      <c r="AH425" s="2200"/>
      <c r="AI425" s="2200"/>
      <c r="AJ425" s="2200"/>
      <c r="AK425" s="2200"/>
      <c r="AL425" s="2200"/>
      <c r="AM425" s="2200"/>
      <c r="AN425" s="2200"/>
      <c r="AO425" s="2200"/>
      <c r="AP425" s="2200"/>
      <c r="AQ425" s="2201"/>
    </row>
    <row r="426" spans="2:50" hidden="1">
      <c r="B426" s="1117"/>
      <c r="C426" s="21"/>
      <c r="D426" s="521"/>
      <c r="E426" s="696"/>
      <c r="F426" s="1750"/>
      <c r="G426" s="643"/>
      <c r="H426" s="643"/>
      <c r="I426" s="643"/>
      <c r="J426" s="643"/>
      <c r="K426" s="643"/>
      <c r="L426" s="643"/>
      <c r="M426" s="643"/>
      <c r="N426" s="643"/>
      <c r="O426" s="643"/>
      <c r="P426" s="643"/>
      <c r="Q426" s="643"/>
      <c r="R426" s="643"/>
      <c r="S426" s="643"/>
      <c r="T426" s="643"/>
      <c r="U426" s="643"/>
      <c r="V426" s="643"/>
      <c r="W426" s="643"/>
      <c r="X426" s="643"/>
      <c r="Y426" s="643"/>
      <c r="Z426" s="643"/>
      <c r="AA426" s="643"/>
      <c r="AB426" s="643"/>
      <c r="AC426" s="643"/>
      <c r="AD426" s="643"/>
      <c r="AE426" s="643"/>
      <c r="AF426" s="643"/>
      <c r="AG426" s="643"/>
      <c r="AH426" s="643"/>
      <c r="AI426" s="643"/>
      <c r="AJ426" s="643"/>
      <c r="AK426" s="643"/>
      <c r="AL426" s="643"/>
      <c r="AM426" s="643"/>
      <c r="AN426" s="643"/>
      <c r="AO426" s="643"/>
      <c r="AP426" s="643"/>
      <c r="AQ426" s="643"/>
    </row>
    <row r="427" spans="2:50" hidden="1">
      <c r="B427" s="1117"/>
      <c r="C427" s="21"/>
      <c r="D427" s="521"/>
      <c r="E427" s="696"/>
      <c r="F427" s="1750"/>
      <c r="G427" s="643"/>
      <c r="H427" s="643"/>
      <c r="I427" s="643"/>
      <c r="J427" s="643"/>
      <c r="K427" s="643"/>
      <c r="L427" s="643"/>
      <c r="M427" s="643"/>
      <c r="N427" s="643"/>
      <c r="O427" s="643"/>
      <c r="P427" s="643"/>
      <c r="Q427" s="643"/>
      <c r="R427" s="643"/>
      <c r="S427" s="643"/>
      <c r="T427" s="643"/>
      <c r="U427" s="643"/>
      <c r="V427" s="643"/>
      <c r="W427" s="643"/>
      <c r="X427" s="643"/>
      <c r="Y427" s="643"/>
      <c r="Z427" s="643"/>
      <c r="AA427" s="643"/>
      <c r="AB427" s="643"/>
      <c r="AC427" s="643"/>
      <c r="AD427" s="643"/>
      <c r="AE427" s="643"/>
      <c r="AF427" s="643"/>
      <c r="AG427" s="643"/>
      <c r="AH427" s="643"/>
      <c r="AI427" s="643"/>
      <c r="AJ427" s="643"/>
      <c r="AK427" s="643"/>
      <c r="AL427" s="643"/>
      <c r="AM427" s="643"/>
      <c r="AN427" s="643"/>
      <c r="AO427" s="643"/>
      <c r="AP427" s="643"/>
      <c r="AQ427" s="643"/>
    </row>
    <row r="428" spans="2:50">
      <c r="B428" s="1117"/>
      <c r="C428" s="1118"/>
      <c r="D428" s="1118"/>
      <c r="E428" s="1118"/>
      <c r="F428" s="1118"/>
      <c r="G428" s="1118"/>
      <c r="H428" s="1118"/>
      <c r="I428" s="1118"/>
      <c r="J428" s="1118"/>
      <c r="K428" s="1431"/>
      <c r="L428" s="1431"/>
      <c r="M428" s="1431"/>
      <c r="N428" s="1431"/>
      <c r="O428" s="1431"/>
      <c r="P428" s="1431"/>
      <c r="Q428" s="1431"/>
      <c r="R428" s="1431"/>
      <c r="S428" s="1431"/>
      <c r="T428" s="1431"/>
      <c r="U428" s="1431"/>
      <c r="V428" s="1431"/>
      <c r="W428" s="1431"/>
      <c r="X428" s="1431"/>
      <c r="Y428" s="1431"/>
      <c r="Z428" s="1431"/>
      <c r="AA428" s="1431"/>
      <c r="AB428" s="1431"/>
      <c r="AC428" s="1431"/>
      <c r="AD428" s="1431"/>
      <c r="AE428" s="1431"/>
      <c r="AF428" s="1431"/>
      <c r="AG428" s="1431"/>
      <c r="AH428" s="1431"/>
      <c r="AI428" s="1431"/>
      <c r="AJ428" s="1431"/>
      <c r="AK428" s="1431"/>
      <c r="AL428" s="1431"/>
      <c r="AM428" s="1431"/>
      <c r="AN428" s="1431"/>
      <c r="AO428" s="1431"/>
      <c r="AP428" s="1118"/>
      <c r="AQ428" s="772"/>
      <c r="AR428" s="772"/>
      <c r="AS428" s="772"/>
      <c r="AT428" s="772"/>
      <c r="AU428" s="772"/>
      <c r="AV428" s="772"/>
      <c r="AW428" s="772"/>
      <c r="AX428" s="772"/>
    </row>
  </sheetData>
  <sheetProtection algorithmName="SHA-512" hashValue="t3HOxEPzF1lqh8OQkZ63TY9IkhSna85KBvNVfWjHErOD6iQT3i2dwx7ogqEgQKycjJeDle5ds3O+4G6RuUwEpg==" saltValue="XsaQS0oAW/VTI2XvbRMf9w==" spinCount="100000" sheet="1" objects="1" scenarios="1" selectLockedCells="1"/>
  <mergeCells count="177">
    <mergeCell ref="C258:C264"/>
    <mergeCell ref="D258:D260"/>
    <mergeCell ref="E258:F258"/>
    <mergeCell ref="E259:F259"/>
    <mergeCell ref="E260:F260"/>
    <mergeCell ref="D261:D262"/>
    <mergeCell ref="E261:F261"/>
    <mergeCell ref="E262:F262"/>
    <mergeCell ref="D263:D264"/>
    <mergeCell ref="E265:F265"/>
    <mergeCell ref="C267:C275"/>
    <mergeCell ref="D267:D268"/>
    <mergeCell ref="E267:F267"/>
    <mergeCell ref="E268:F268"/>
    <mergeCell ref="D269:D271"/>
    <mergeCell ref="E269:F269"/>
    <mergeCell ref="E270:F270"/>
    <mergeCell ref="E271:F271"/>
    <mergeCell ref="D272:D273"/>
    <mergeCell ref="E281:F281"/>
    <mergeCell ref="E282:F282"/>
    <mergeCell ref="D283:D285"/>
    <mergeCell ref="E283:F283"/>
    <mergeCell ref="E284:F284"/>
    <mergeCell ref="E285:F285"/>
    <mergeCell ref="E272:F272"/>
    <mergeCell ref="E273:F273"/>
    <mergeCell ref="D274:D275"/>
    <mergeCell ref="E276:F276"/>
    <mergeCell ref="D278:D280"/>
    <mergeCell ref="E278:F278"/>
    <mergeCell ref="E279:F279"/>
    <mergeCell ref="E280:F280"/>
    <mergeCell ref="D281:D282"/>
    <mergeCell ref="D286:D287"/>
    <mergeCell ref="E288:F288"/>
    <mergeCell ref="C290:C315"/>
    <mergeCell ref="D290:D292"/>
    <mergeCell ref="E290:F290"/>
    <mergeCell ref="E291:F291"/>
    <mergeCell ref="E292:F292"/>
    <mergeCell ref="D293:D297"/>
    <mergeCell ref="E293:F293"/>
    <mergeCell ref="E294:F294"/>
    <mergeCell ref="C278:C287"/>
    <mergeCell ref="E295:F295"/>
    <mergeCell ref="E296:F296"/>
    <mergeCell ref="E297:F297"/>
    <mergeCell ref="D298:D305"/>
    <mergeCell ref="E298:F298"/>
    <mergeCell ref="E299:F299"/>
    <mergeCell ref="E300:F300"/>
    <mergeCell ref="E301:F301"/>
    <mergeCell ref="E302:F302"/>
    <mergeCell ref="E303:F303"/>
    <mergeCell ref="D310:D313"/>
    <mergeCell ref="E310:F310"/>
    <mergeCell ref="E311:F311"/>
    <mergeCell ref="E312:F312"/>
    <mergeCell ref="E313:F313"/>
    <mergeCell ref="D314:D315"/>
    <mergeCell ref="E304:F304"/>
    <mergeCell ref="E305:F305"/>
    <mergeCell ref="D306:D309"/>
    <mergeCell ref="E306:F306"/>
    <mergeCell ref="E307:F307"/>
    <mergeCell ref="E308:F308"/>
    <mergeCell ref="E309:F309"/>
    <mergeCell ref="E316:F316"/>
    <mergeCell ref="C318:C326"/>
    <mergeCell ref="D318:D322"/>
    <mergeCell ref="E318:F318"/>
    <mergeCell ref="E319:F319"/>
    <mergeCell ref="E320:F320"/>
    <mergeCell ref="E322:F322"/>
    <mergeCell ref="D323:D324"/>
    <mergeCell ref="E323:F323"/>
    <mergeCell ref="E324:F324"/>
    <mergeCell ref="D325:D326"/>
    <mergeCell ref="E327:F327"/>
    <mergeCell ref="C329:C337"/>
    <mergeCell ref="D329:D333"/>
    <mergeCell ref="E329:F329"/>
    <mergeCell ref="E330:F330"/>
    <mergeCell ref="E331:F331"/>
    <mergeCell ref="E332:F332"/>
    <mergeCell ref="E333:F333"/>
    <mergeCell ref="D334:D335"/>
    <mergeCell ref="D344:D348"/>
    <mergeCell ref="E344:F344"/>
    <mergeCell ref="E345:F345"/>
    <mergeCell ref="E346:F346"/>
    <mergeCell ref="E347:F347"/>
    <mergeCell ref="E348:F348"/>
    <mergeCell ref="E334:F334"/>
    <mergeCell ref="E335:F335"/>
    <mergeCell ref="D336:D337"/>
    <mergeCell ref="E338:F338"/>
    <mergeCell ref="D340:D343"/>
    <mergeCell ref="E340:F340"/>
    <mergeCell ref="E341:F341"/>
    <mergeCell ref="E342:F342"/>
    <mergeCell ref="E343:F343"/>
    <mergeCell ref="D356:D359"/>
    <mergeCell ref="E356:F356"/>
    <mergeCell ref="E357:F357"/>
    <mergeCell ref="E358:F358"/>
    <mergeCell ref="E359:F359"/>
    <mergeCell ref="D360:D361"/>
    <mergeCell ref="E360:F360"/>
    <mergeCell ref="E361:F361"/>
    <mergeCell ref="D349:D355"/>
    <mergeCell ref="E349:F349"/>
    <mergeCell ref="E350:F350"/>
    <mergeCell ref="E351:F351"/>
    <mergeCell ref="E352:F352"/>
    <mergeCell ref="E353:F353"/>
    <mergeCell ref="E354:F354"/>
    <mergeCell ref="E355:F355"/>
    <mergeCell ref="D362:D363"/>
    <mergeCell ref="E364:F364"/>
    <mergeCell ref="C366:C389"/>
    <mergeCell ref="D366:D369"/>
    <mergeCell ref="E366:F366"/>
    <mergeCell ref="E367:F367"/>
    <mergeCell ref="E368:F368"/>
    <mergeCell ref="E369:F369"/>
    <mergeCell ref="D370:D374"/>
    <mergeCell ref="E370:F370"/>
    <mergeCell ref="C340:C363"/>
    <mergeCell ref="E380:F380"/>
    <mergeCell ref="E381:F381"/>
    <mergeCell ref="D382:D385"/>
    <mergeCell ref="E382:F382"/>
    <mergeCell ref="E383:F383"/>
    <mergeCell ref="E384:F384"/>
    <mergeCell ref="E385:F385"/>
    <mergeCell ref="E371:F371"/>
    <mergeCell ref="E372:F372"/>
    <mergeCell ref="E373:F373"/>
    <mergeCell ref="E374:F374"/>
    <mergeCell ref="D375:D381"/>
    <mergeCell ref="E375:F375"/>
    <mergeCell ref="E403:F403"/>
    <mergeCell ref="E376:F376"/>
    <mergeCell ref="E377:F377"/>
    <mergeCell ref="E378:F378"/>
    <mergeCell ref="E379:F379"/>
    <mergeCell ref="D386:D387"/>
    <mergeCell ref="E386:F386"/>
    <mergeCell ref="E387:F387"/>
    <mergeCell ref="D388:D389"/>
    <mergeCell ref="E390:F390"/>
    <mergeCell ref="C6:D6"/>
    <mergeCell ref="E411:F411"/>
    <mergeCell ref="D414:D417"/>
    <mergeCell ref="E419:AQ419"/>
    <mergeCell ref="E420:AQ425"/>
    <mergeCell ref="D404:D408"/>
    <mergeCell ref="E404:F404"/>
    <mergeCell ref="E405:F405"/>
    <mergeCell ref="E406:F406"/>
    <mergeCell ref="E408:F408"/>
    <mergeCell ref="D409:D410"/>
    <mergeCell ref="C392:C410"/>
    <mergeCell ref="D392:D398"/>
    <mergeCell ref="E392:F392"/>
    <mergeCell ref="E393:F393"/>
    <mergeCell ref="E394:F394"/>
    <mergeCell ref="E395:F395"/>
    <mergeCell ref="E396:F396"/>
    <mergeCell ref="E397:F397"/>
    <mergeCell ref="E398:F398"/>
    <mergeCell ref="D399:D403"/>
    <mergeCell ref="E399:F399"/>
    <mergeCell ref="E400:F400"/>
    <mergeCell ref="E401:F401"/>
  </mergeCells>
  <conditionalFormatting sqref="C51:J51">
    <cfRule type="cellIs" dxfId="285" priority="4" operator="equal">
      <formula>"In Progress"</formula>
    </cfRule>
    <cfRule type="cellIs" dxfId="284" priority="5" operator="equal">
      <formula>"Not Started"</formula>
    </cfRule>
    <cfRule type="cellIs" dxfId="283" priority="6" operator="equal">
      <formula>"Completed"</formula>
    </cfRule>
  </conditionalFormatting>
  <conditionalFormatting sqref="C428:AX428">
    <cfRule type="cellIs" dxfId="282" priority="19" operator="equal">
      <formula>"In Progress"</formula>
    </cfRule>
    <cfRule type="cellIs" dxfId="281" priority="20" operator="equal">
      <formula>"Not Started"</formula>
    </cfRule>
    <cfRule type="cellIs" dxfId="280" priority="21" operator="equal">
      <formula>"Completed"</formula>
    </cfRule>
  </conditionalFormatting>
  <conditionalFormatting sqref="F252:M254">
    <cfRule type="cellIs" dxfId="279" priority="10" operator="equal">
      <formula>"In Progress"</formula>
    </cfRule>
    <cfRule type="cellIs" dxfId="278" priority="11" operator="equal">
      <formula>"Not Started"</formula>
    </cfRule>
    <cfRule type="cellIs" dxfId="277" priority="12" operator="equal">
      <formula>"Completed"</formula>
    </cfRule>
  </conditionalFormatting>
  <conditionalFormatting sqref="K6:M17 C18:M18 K19:M250 C30:J30 C40:J40 C59:J59 C68:J68 C78:J78 C91:J91 C102:J102 C113:J113 C123:J123 C137:J137 C147:J147 C155:J155 C165:J165 C172:J172 C180:J180 C191:J191 C198:J198 C206:J206 C214:J214 C221:J221 C231:J231 C239:J239 C251:M251 C255:M255">
    <cfRule type="cellIs" dxfId="276" priority="16" operator="equal">
      <formula>"In Progress"</formula>
    </cfRule>
    <cfRule type="cellIs" dxfId="275" priority="17" operator="equal">
      <formula>"Not Started"</formula>
    </cfRule>
    <cfRule type="cellIs" dxfId="274" priority="18" operator="equal">
      <formula>"Completed"</formula>
    </cfRule>
  </conditionalFormatting>
  <dataValidations count="2">
    <dataValidation type="whole" allowBlank="1" showErrorMessage="1" errorTitle="Whole Numbers" error="Only enter whole numbers." sqref="H411:AP411" xr:uid="{0E14B9CF-7DB8-4C43-909C-5B0256E1EF1B}">
      <formula1>0</formula1>
      <formula2>9.99999999999999E+46</formula2>
    </dataValidation>
    <dataValidation type="custom" allowBlank="1" showInputMessage="1" showErrorMessage="1" sqref="I1" xr:uid="{9C392109-F34A-4D66-86B1-300E8D60D5E9}">
      <formula1>"&lt;0&gt;0"</formula1>
    </dataValidation>
  </dataValidations>
  <pageMargins left="0.7" right="0.7" top="0.75" bottom="0.75" header="0.3" footer="0.3"/>
  <pageSetup fitToHeight="0" orientation="portrait" r:id="rId1"/>
  <headerFooter>
    <oddHeader>&amp;L&amp;G</oddHeader>
    <oddFooter>&amp;CWHEDA MULTIFAMILY APPLICATION&amp;R&amp;P of &amp;N</oddFooter>
  </headerFooter>
  <rowBreaks count="1" manualBreakCount="1">
    <brk id="91" min="1" max="41" man="1"/>
  </rowBreaks>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CF1-C63D-4F74-9D67-049A05C6B4AB}">
  <sheetPr codeName="Sheet13">
    <pageSetUpPr fitToPage="1"/>
  </sheetPr>
  <dimension ref="A1:BR244"/>
  <sheetViews>
    <sheetView workbookViewId="0">
      <selection activeCell="D8" sqref="D8"/>
    </sheetView>
  </sheetViews>
  <sheetFormatPr defaultColWidth="9.140625" defaultRowHeight="15"/>
  <cols>
    <col min="1" max="2" width="4.85546875" style="3" customWidth="1"/>
    <col min="3" max="3" width="60" style="3" customWidth="1"/>
    <col min="4" max="4" width="19" style="3" customWidth="1"/>
    <col min="5" max="5" width="17.85546875" style="3" bestFit="1" customWidth="1"/>
    <col min="6" max="6" width="23.42578125" style="3" customWidth="1"/>
    <col min="7" max="8" width="19" style="3" customWidth="1"/>
    <col min="9" max="9" width="14.85546875" style="3" hidden="1" customWidth="1"/>
    <col min="10" max="10" width="16.7109375" style="115" hidden="1" customWidth="1"/>
    <col min="11" max="11" width="19.140625" style="115" bestFit="1" customWidth="1"/>
    <col min="12" max="12" width="16.42578125" style="115" hidden="1" customWidth="1"/>
    <col min="13" max="13" width="19.42578125" style="115" bestFit="1" customWidth="1"/>
    <col min="14" max="14" width="20.5703125" style="115" bestFit="1" customWidth="1"/>
    <col min="15" max="15" width="5.7109375" style="115" customWidth="1"/>
    <col min="16" max="16" width="25.42578125" style="115" customWidth="1"/>
    <col min="17" max="18" width="9.140625" style="115"/>
    <col min="19" max="19" width="36.42578125" style="97" customWidth="1"/>
    <col min="20" max="20" width="14.85546875" style="97" customWidth="1"/>
    <col min="21" max="21" width="17.5703125" style="97" customWidth="1"/>
    <col min="22" max="22" width="37.7109375" style="97" bestFit="1" customWidth="1"/>
    <col min="23" max="23" width="9.140625" style="97"/>
    <col min="24" max="24" width="9.28515625" style="97" bestFit="1" customWidth="1"/>
    <col min="25" max="25" width="17" style="97" customWidth="1"/>
    <col min="26" max="26" width="9.140625" style="97"/>
    <col min="27" max="27" width="9.140625" style="97" customWidth="1"/>
    <col min="28" max="30" width="9.140625" style="97"/>
    <col min="31" max="31" width="25.5703125" style="97" bestFit="1" customWidth="1"/>
    <col min="32" max="32" width="9.42578125" style="97" bestFit="1" customWidth="1"/>
    <col min="33" max="46" width="9.140625" style="97"/>
    <col min="47" max="16383" width="9.140625" style="3"/>
    <col min="16384" max="16384" width="9.140625" style="3" bestFit="1" customWidth="1"/>
  </cols>
  <sheetData>
    <row r="1" spans="1:70" customFormat="1" ht="28.5">
      <c r="A1" s="3"/>
      <c r="B1" s="4" t="str">
        <f>'1. TOC'!B1</f>
        <v>WHEDA 2025 Multifamily Application</v>
      </c>
      <c r="C1" s="3"/>
      <c r="E1" s="273" t="str">
        <f>'1. TOC'!L1</f>
        <v>v25.1.12</v>
      </c>
      <c r="F1" s="947" t="str">
        <f>HYPERLINK("#Table_of_Contents", Table_of_Contents)</f>
        <v>Table of Contents</v>
      </c>
      <c r="G1" s="3"/>
      <c r="H1" s="3"/>
      <c r="I1" s="3"/>
      <c r="J1" s="115"/>
      <c r="K1" s="115"/>
      <c r="L1" s="115"/>
      <c r="M1" s="115"/>
      <c r="N1" s="115"/>
      <c r="O1" s="115"/>
      <c r="P1" s="115"/>
      <c r="Q1" s="115"/>
      <c r="R1" s="115"/>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3"/>
      <c r="AV1" s="3"/>
      <c r="AW1" s="3"/>
      <c r="AX1" s="3"/>
      <c r="AY1" s="3"/>
      <c r="AZ1" s="3"/>
      <c r="BA1" s="3"/>
      <c r="BB1" s="3"/>
      <c r="BC1" s="3"/>
      <c r="BD1" s="3"/>
      <c r="BE1" s="3"/>
      <c r="BF1" s="3"/>
      <c r="BG1" s="3"/>
      <c r="BH1" s="3"/>
      <c r="BI1" s="3"/>
      <c r="BJ1" s="3"/>
      <c r="BK1" s="3"/>
      <c r="BL1" s="3"/>
      <c r="BM1" s="3"/>
      <c r="BN1" s="3"/>
      <c r="BO1" s="3"/>
      <c r="BP1" s="3"/>
      <c r="BQ1" s="3"/>
      <c r="BR1" s="3"/>
    </row>
    <row r="2" spans="1:70" customFormat="1" ht="21">
      <c r="A2" s="3"/>
      <c r="B2" s="841" t="str">
        <f>_xlfn.CONCAT(IF(ISBLANK(WHEDA_Project_Number),"",_xlfn.CONCAT(WHEDA_Project_Number," - ")), Project_Name, IF(ISBLANK(Credit_percentage_applied_for),"",_xlfn.CONCAT(" - ", Credit_percentage_applied_for," HTC")))</f>
        <v/>
      </c>
      <c r="C2" s="3"/>
      <c r="D2" s="5"/>
      <c r="E2" s="3"/>
      <c r="F2" s="3"/>
      <c r="G2" s="3"/>
      <c r="H2" s="3"/>
      <c r="I2" s="3"/>
      <c r="J2" s="115"/>
      <c r="K2" s="115"/>
      <c r="L2" s="115"/>
      <c r="M2" s="115"/>
      <c r="N2" s="115"/>
      <c r="O2" s="115"/>
      <c r="P2" s="115"/>
      <c r="Q2" s="115"/>
      <c r="R2" s="115"/>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3"/>
      <c r="AV2" s="3"/>
      <c r="AW2" s="3"/>
      <c r="AX2" s="3"/>
      <c r="AY2" s="3"/>
      <c r="AZ2" s="3"/>
      <c r="BA2" s="3"/>
      <c r="BB2" s="3"/>
      <c r="BC2" s="3"/>
      <c r="BD2" s="3"/>
      <c r="BE2" s="3"/>
      <c r="BF2" s="3"/>
      <c r="BG2" s="3"/>
      <c r="BH2" s="3"/>
      <c r="BI2" s="3"/>
      <c r="BJ2" s="3"/>
      <c r="BK2" s="3"/>
      <c r="BL2" s="3"/>
      <c r="BM2" s="3"/>
      <c r="BN2" s="3"/>
      <c r="BO2" s="3"/>
      <c r="BP2" s="3"/>
      <c r="BQ2" s="3"/>
      <c r="BR2" s="3"/>
    </row>
    <row r="3" spans="1:70" s="175" customFormat="1" ht="15.75">
      <c r="A3" s="890"/>
      <c r="B3" s="891"/>
      <c r="C3" s="892"/>
      <c r="D3" s="892"/>
      <c r="E3" s="892"/>
      <c r="F3" s="892"/>
      <c r="G3" s="892"/>
      <c r="H3" s="892"/>
      <c r="I3" s="892"/>
      <c r="J3" s="893"/>
      <c r="K3" s="893"/>
      <c r="L3" s="893"/>
      <c r="M3" s="893"/>
      <c r="N3" s="893"/>
      <c r="O3" s="893"/>
      <c r="P3" s="848"/>
      <c r="Q3" s="848"/>
      <c r="R3" s="848"/>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row>
    <row r="4" spans="1:70" ht="28.5">
      <c r="B4" s="4" t="s">
        <v>194</v>
      </c>
    </row>
    <row r="5" spans="1:70" ht="18.75">
      <c r="B5" s="8" t="s">
        <v>4566</v>
      </c>
      <c r="D5" s="8"/>
      <c r="E5" s="8"/>
      <c r="F5" s="8"/>
      <c r="G5" s="8"/>
      <c r="H5" s="8"/>
      <c r="I5" s="8"/>
      <c r="J5" s="8"/>
      <c r="K5" s="8"/>
      <c r="L5" s="8"/>
      <c r="M5" s="8"/>
      <c r="N5" s="8"/>
      <c r="O5" s="8"/>
      <c r="R5" s="9"/>
    </row>
    <row r="6" spans="1:70" ht="15" customHeight="1">
      <c r="B6" s="1116"/>
      <c r="C6" s="1116"/>
      <c r="D6" s="1116"/>
      <c r="E6" s="2255"/>
      <c r="F6" s="2255"/>
      <c r="G6" s="2255"/>
      <c r="H6" s="2255"/>
      <c r="I6" s="2255"/>
      <c r="J6" s="2255"/>
      <c r="K6" s="2255"/>
      <c r="L6" s="2255"/>
      <c r="M6" s="1119"/>
      <c r="N6" s="1120"/>
      <c r="O6" s="1120"/>
      <c r="R6" s="9"/>
    </row>
    <row r="7" spans="1:70">
      <c r="B7" s="1116"/>
      <c r="C7" s="1121"/>
      <c r="D7" s="1121" t="s">
        <v>4567</v>
      </c>
      <c r="E7" s="2255"/>
      <c r="F7" s="2255"/>
      <c r="G7" s="2255"/>
      <c r="H7" s="2255"/>
      <c r="I7" s="2255"/>
      <c r="J7" s="2255"/>
      <c r="K7" s="2255"/>
      <c r="L7" s="2255"/>
      <c r="M7" s="1119"/>
      <c r="N7" s="1120"/>
      <c r="O7" s="1120"/>
      <c r="R7" s="9"/>
    </row>
    <row r="8" spans="1:70" ht="15" customHeight="1">
      <c r="B8" s="1116"/>
      <c r="C8" s="1122" t="s">
        <v>4568</v>
      </c>
      <c r="D8" s="1643"/>
      <c r="E8" s="1125"/>
      <c r="F8" s="2256" t="s">
        <v>4569</v>
      </c>
      <c r="G8" s="2256" t="s">
        <v>4570</v>
      </c>
      <c r="H8" s="2258" t="s">
        <v>4571</v>
      </c>
      <c r="I8" s="2256" t="s">
        <v>4572</v>
      </c>
      <c r="J8" s="823"/>
      <c r="K8" s="2258" t="s">
        <v>4573</v>
      </c>
      <c r="L8" s="824"/>
      <c r="M8" s="2256" t="s">
        <v>4574</v>
      </c>
      <c r="N8" s="2256" t="s">
        <v>4575</v>
      </c>
      <c r="O8" s="1126"/>
      <c r="P8" s="545"/>
      <c r="Q8" s="545"/>
      <c r="R8" s="9"/>
      <c r="AU8" s="115"/>
      <c r="AV8" s="115"/>
      <c r="AW8" s="115"/>
      <c r="AX8" s="115"/>
      <c r="AY8" s="115"/>
      <c r="AZ8" s="115"/>
    </row>
    <row r="9" spans="1:70">
      <c r="B9" s="1116"/>
      <c r="C9" s="1122" t="s">
        <v>4576</v>
      </c>
      <c r="D9" s="519">
        <f>1-D8</f>
        <v>1</v>
      </c>
      <c r="E9" s="1125"/>
      <c r="F9" s="2256"/>
      <c r="G9" s="2256"/>
      <c r="H9" s="2256"/>
      <c r="I9" s="2256"/>
      <c r="J9" s="2243"/>
      <c r="K9" s="2256"/>
      <c r="L9" s="2241"/>
      <c r="M9" s="2256"/>
      <c r="N9" s="2256"/>
      <c r="O9" s="1126"/>
      <c r="P9" s="545"/>
      <c r="Q9" s="545"/>
      <c r="R9" s="9" t="s">
        <v>4577</v>
      </c>
      <c r="AU9" s="115"/>
      <c r="AV9" s="115"/>
      <c r="AW9" s="115"/>
      <c r="AX9" s="115"/>
      <c r="AY9" s="115"/>
    </row>
    <row r="10" spans="1:70" ht="25.5" customHeight="1">
      <c r="B10" s="1116"/>
      <c r="C10" s="1123"/>
      <c r="D10" s="1124"/>
      <c r="E10" s="1124"/>
      <c r="F10" s="2257"/>
      <c r="G10" s="2257"/>
      <c r="H10" s="2257"/>
      <c r="I10" s="2257"/>
      <c r="J10" s="2244"/>
      <c r="K10" s="2257"/>
      <c r="L10" s="2242"/>
      <c r="M10" s="2257"/>
      <c r="N10" s="2257"/>
      <c r="O10" s="1126"/>
      <c r="P10" s="545"/>
      <c r="Q10" s="545"/>
      <c r="R10" s="9"/>
      <c r="AU10" s="115"/>
      <c r="AV10" s="115"/>
      <c r="AW10" s="115"/>
      <c r="AX10" s="115"/>
      <c r="AY10" s="115"/>
    </row>
    <row r="11" spans="1:70" ht="15.75">
      <c r="B11" s="1116"/>
      <c r="C11" s="2265" t="s">
        <v>4578</v>
      </c>
      <c r="D11" s="2265"/>
      <c r="E11" s="1732"/>
      <c r="F11" s="830"/>
      <c r="G11" s="830"/>
      <c r="H11" s="830"/>
      <c r="I11" s="830"/>
      <c r="J11" s="1725"/>
      <c r="K11" s="830"/>
      <c r="L11" s="830"/>
      <c r="M11" s="830"/>
      <c r="N11" s="830"/>
      <c r="O11" s="1127"/>
      <c r="P11" s="545"/>
      <c r="Q11" s="545"/>
      <c r="R11" s="9"/>
      <c r="AU11" s="115"/>
      <c r="AV11" s="115"/>
      <c r="AW11" s="115"/>
      <c r="AX11" s="115"/>
      <c r="AY11" s="115"/>
    </row>
    <row r="12" spans="1:70">
      <c r="B12" s="1116"/>
      <c r="C12" s="2266" t="s">
        <v>2971</v>
      </c>
      <c r="D12" s="2266"/>
      <c r="E12" s="825"/>
      <c r="F12" s="826">
        <f>+SUM(G12:J12)</f>
        <v>0</v>
      </c>
      <c r="G12" s="827"/>
      <c r="H12" s="827"/>
      <c r="I12" s="827"/>
      <c r="K12" s="828" t="s">
        <v>3830</v>
      </c>
      <c r="L12" s="828" t="s">
        <v>3830</v>
      </c>
      <c r="M12" s="829">
        <f>IF('11. Unit Mix'!$G$142&lt;&gt;0,+F12/'11. Unit Mix'!$G$142,0)</f>
        <v>0</v>
      </c>
      <c r="N12" s="826">
        <f>IF(Total_Units&lt;&gt;0,+F12/Total_Units,0)</f>
        <v>0</v>
      </c>
      <c r="O12" s="1127"/>
      <c r="P12" s="545"/>
      <c r="Q12" s="545"/>
      <c r="R12" s="9"/>
      <c r="AU12" s="115"/>
      <c r="AV12" s="115"/>
      <c r="AW12" s="115"/>
      <c r="AX12" s="115"/>
      <c r="AY12" s="115"/>
    </row>
    <row r="13" spans="1:70">
      <c r="B13" s="1116"/>
      <c r="C13" s="2254" t="s">
        <v>2975</v>
      </c>
      <c r="D13" s="2254"/>
      <c r="E13" s="698"/>
      <c r="F13" s="413">
        <f>+SUM(G13:J13)</f>
        <v>0</v>
      </c>
      <c r="G13" s="212"/>
      <c r="H13" s="212"/>
      <c r="I13" s="212"/>
      <c r="K13" s="212"/>
      <c r="L13" s="229">
        <f>IF(Credit_percentage_applied_for="State + Fed 4%", PC_ACQ_Building_Acq, 0)</f>
        <v>0</v>
      </c>
      <c r="M13" s="584">
        <f>IF('11. Unit Mix'!$G$142&lt;&gt;0,+F13/'11. Unit Mix'!$G$142,0)</f>
        <v>0</v>
      </c>
      <c r="N13" s="413">
        <f>IF(Total_Units&lt;&gt;0,+F13/Total_Units,0)</f>
        <v>0</v>
      </c>
      <c r="O13" s="1127"/>
      <c r="P13" s="545"/>
      <c r="Q13" s="545"/>
      <c r="R13" s="9"/>
      <c r="AU13" s="115"/>
      <c r="AV13" s="115"/>
      <c r="AW13" s="115"/>
      <c r="AX13" s="115"/>
      <c r="AY13" s="115"/>
    </row>
    <row r="14" spans="1:70" ht="14.25" customHeight="1">
      <c r="B14" s="1116"/>
      <c r="C14" s="2254" t="s">
        <v>2980</v>
      </c>
      <c r="D14" s="2254"/>
      <c r="E14" s="698"/>
      <c r="F14" s="413">
        <f>+SUM(G14:J14)</f>
        <v>0</v>
      </c>
      <c r="G14" s="212"/>
      <c r="H14" s="212"/>
      <c r="I14" s="212"/>
      <c r="K14" s="212"/>
      <c r="L14" s="229">
        <f>IF(Credit_percentage_applied_for="State + Fed 4%", PC_ACQ_Other_Purchase, 0)</f>
        <v>0</v>
      </c>
      <c r="M14" s="584">
        <f>IF('11. Unit Mix'!$G$142&lt;&gt;0,+F14/'11. Unit Mix'!$G$142,0)</f>
        <v>0</v>
      </c>
      <c r="N14" s="413">
        <f>IF(Total_Units&lt;&gt;0,+F14/Total_Units,0)</f>
        <v>0</v>
      </c>
      <c r="O14" s="1127"/>
      <c r="P14" s="545"/>
      <c r="Q14" s="545"/>
      <c r="R14" s="9" t="s">
        <v>4579</v>
      </c>
      <c r="AU14" s="115"/>
      <c r="AV14" s="115"/>
      <c r="AW14" s="115"/>
      <c r="AX14" s="115"/>
      <c r="AY14" s="115"/>
    </row>
    <row r="15" spans="1:70" hidden="1">
      <c r="B15" s="1116"/>
      <c r="C15" s="2267" t="s">
        <v>2984</v>
      </c>
      <c r="D15" s="2267"/>
      <c r="E15" s="699"/>
      <c r="F15" s="700">
        <f>+SUM(I15:J15)</f>
        <v>0</v>
      </c>
      <c r="G15" s="700"/>
      <c r="H15" s="700"/>
      <c r="I15" s="700"/>
      <c r="J15" s="655"/>
      <c r="K15" s="700"/>
      <c r="L15" s="701"/>
      <c r="M15" s="702" t="e">
        <f>+F15/'11. Unit Mix'!$G$142</f>
        <v>#DIV/0!</v>
      </c>
      <c r="N15" s="703" t="e">
        <f>+F15/Total_Units</f>
        <v>#DIV/0!</v>
      </c>
      <c r="O15" s="1127"/>
      <c r="P15" s="545"/>
      <c r="Q15" s="545"/>
      <c r="R15" s="9"/>
      <c r="AU15" s="115"/>
      <c r="AV15" s="115"/>
      <c r="AW15" s="115"/>
      <c r="AX15" s="115"/>
      <c r="AY15" s="115"/>
    </row>
    <row r="16" spans="1:70">
      <c r="A16" s="17"/>
      <c r="B16" s="1116"/>
      <c r="C16" s="2234" t="s">
        <v>2986</v>
      </c>
      <c r="D16" s="2234"/>
      <c r="E16" s="384"/>
      <c r="F16" s="215">
        <f>SUM(F12:F14)</f>
        <v>0</v>
      </c>
      <c r="G16" s="215">
        <f>SUM(G11:G15)</f>
        <v>0</v>
      </c>
      <c r="H16" s="215">
        <f>SUM(H11:H15)</f>
        <v>0</v>
      </c>
      <c r="I16" s="215">
        <f t="shared" ref="I16:J16" si="0">SUM(I12:I15)</f>
        <v>0</v>
      </c>
      <c r="J16" s="215">
        <f t="shared" si="0"/>
        <v>0</v>
      </c>
      <c r="K16" s="215">
        <f>SUM(K11:K15)</f>
        <v>0</v>
      </c>
      <c r="L16" s="216">
        <f>SUM(L12:L15)</f>
        <v>0</v>
      </c>
      <c r="M16" s="590">
        <f>IF('11. Unit Mix'!$G$142&lt;&gt;0,+F16/'11. Unit Mix'!$G$142,0)</f>
        <v>0</v>
      </c>
      <c r="N16" s="517">
        <f>IF(Total_Units&lt;&gt;0,+F16/Total_Units,0)</f>
        <v>0</v>
      </c>
      <c r="O16" s="1127"/>
      <c r="P16" s="545"/>
      <c r="Q16" s="545"/>
      <c r="R16" s="9"/>
      <c r="AU16" s="115"/>
      <c r="AV16" s="115"/>
      <c r="AW16" s="115"/>
      <c r="AX16" s="115"/>
      <c r="AY16" s="115"/>
    </row>
    <row r="17" spans="2:51" ht="15.75">
      <c r="B17" s="1116"/>
      <c r="C17" s="2236" t="s">
        <v>2989</v>
      </c>
      <c r="D17" s="2236"/>
      <c r="E17" s="385"/>
      <c r="F17" s="100"/>
      <c r="G17" s="100"/>
      <c r="H17" s="100"/>
      <c r="I17" s="100"/>
      <c r="K17" s="101"/>
      <c r="L17" s="102"/>
      <c r="M17" s="563"/>
      <c r="N17" s="100"/>
      <c r="O17" s="1127"/>
      <c r="P17" s="545"/>
      <c r="Q17" s="545"/>
      <c r="R17" s="9"/>
      <c r="T17" s="470"/>
      <c r="U17" s="470"/>
      <c r="V17" s="471"/>
      <c r="AU17" s="115"/>
      <c r="AV17" s="115"/>
      <c r="AW17" s="115"/>
      <c r="AX17" s="115"/>
      <c r="AY17" s="115"/>
    </row>
    <row r="18" spans="2:51">
      <c r="B18" s="1116"/>
      <c r="C18" s="103" t="s">
        <v>2991</v>
      </c>
      <c r="D18" s="390"/>
      <c r="E18" s="160"/>
      <c r="F18" s="220"/>
      <c r="G18" s="220"/>
      <c r="H18" s="220"/>
      <c r="I18" s="220"/>
      <c r="K18" s="220"/>
      <c r="L18" s="225"/>
      <c r="M18" s="564"/>
      <c r="N18" s="591"/>
      <c r="O18" s="1128"/>
      <c r="P18" s="802"/>
      <c r="Q18" s="802"/>
      <c r="R18" s="9"/>
      <c r="AU18" s="115"/>
      <c r="AV18" s="115"/>
      <c r="AW18" s="115"/>
      <c r="AX18" s="115"/>
      <c r="AY18" s="115"/>
    </row>
    <row r="19" spans="2:51">
      <c r="B19" s="1116"/>
      <c r="C19" s="2245" t="s">
        <v>4580</v>
      </c>
      <c r="D19" s="2245"/>
      <c r="E19" s="1731"/>
      <c r="F19" s="415">
        <f>+SUM(G19:H19)</f>
        <v>0</v>
      </c>
      <c r="G19" s="415">
        <f>+'13. Construction Cost SOV'!F250-SUM(G24:G26,G41:G42)</f>
        <v>0</v>
      </c>
      <c r="H19" s="415">
        <f>+'13. Construction Cost SOV'!G250-SUM(H24:H26,H41:H42)</f>
        <v>0</v>
      </c>
      <c r="I19" s="415">
        <f>+'13. Construction Cost SOV'!H250-SUM(I24:I26,I42)</f>
        <v>0</v>
      </c>
      <c r="K19" s="212"/>
      <c r="L19" s="229">
        <f>IF(Credit_percentage_applied_for="State + Fed 4%", PC_CST_Building, 0)</f>
        <v>0</v>
      </c>
      <c r="M19" s="584">
        <f>IF('11. Unit Mix'!$G$142&lt;&gt;0,+F19/'11. Unit Mix'!$G$142,0)</f>
        <v>0</v>
      </c>
      <c r="N19" s="413">
        <f t="shared" ref="N19:N39" si="1">IF(Total_Units&lt;&gt;0,+F19/Total_Units,0)</f>
        <v>0</v>
      </c>
      <c r="O19" s="1128"/>
      <c r="P19" s="802"/>
      <c r="Q19" s="802"/>
      <c r="R19" s="9"/>
      <c r="AU19" s="115"/>
      <c r="AV19" s="115"/>
      <c r="AW19" s="115"/>
      <c r="AX19" s="115"/>
      <c r="AY19" s="115"/>
    </row>
    <row r="20" spans="2:51" hidden="1">
      <c r="B20" s="1116"/>
      <c r="C20" s="2264" t="s">
        <v>4414</v>
      </c>
      <c r="D20" s="2264"/>
      <c r="E20" s="1731"/>
      <c r="F20" s="415">
        <f t="shared" ref="F20:F23" si="2">+SUM(G20:J20)</f>
        <v>0</v>
      </c>
      <c r="G20" s="415">
        <v>0</v>
      </c>
      <c r="H20" s="415">
        <v>0</v>
      </c>
      <c r="I20" s="415">
        <v>0</v>
      </c>
      <c r="K20" s="212"/>
      <c r="L20" s="229"/>
      <c r="M20" s="584">
        <f>IF('11. Unit Mix'!$G$142&lt;&gt;0,+F20/'11. Unit Mix'!$G$142,0)</f>
        <v>0</v>
      </c>
      <c r="N20" s="413">
        <f t="shared" si="1"/>
        <v>0</v>
      </c>
      <c r="O20" s="1128"/>
      <c r="P20" s="802"/>
      <c r="Q20" s="802"/>
      <c r="R20" s="9"/>
      <c r="AU20" s="115"/>
      <c r="AV20" s="115"/>
      <c r="AW20" s="115"/>
      <c r="AX20" s="115"/>
      <c r="AY20" s="115"/>
    </row>
    <row r="21" spans="2:51" hidden="1">
      <c r="B21" s="1116"/>
      <c r="C21" s="2264" t="s">
        <v>4423</v>
      </c>
      <c r="D21" s="2264"/>
      <c r="E21" s="1731"/>
      <c r="F21" s="415">
        <f t="shared" si="2"/>
        <v>0</v>
      </c>
      <c r="G21" s="415">
        <v>0</v>
      </c>
      <c r="H21" s="415">
        <v>0</v>
      </c>
      <c r="I21" s="415">
        <v>0</v>
      </c>
      <c r="K21" s="212"/>
      <c r="L21" s="229"/>
      <c r="M21" s="584">
        <f>IF('11. Unit Mix'!$G$142&lt;&gt;0,+F21/'11. Unit Mix'!$G$142,0)</f>
        <v>0</v>
      </c>
      <c r="N21" s="413">
        <f t="shared" si="1"/>
        <v>0</v>
      </c>
      <c r="O21" s="1128"/>
      <c r="P21" s="802"/>
      <c r="Q21" s="802"/>
      <c r="R21" s="9"/>
      <c r="AU21" s="115"/>
      <c r="AV21" s="115"/>
      <c r="AW21" s="115"/>
      <c r="AX21" s="115"/>
      <c r="AY21" s="115"/>
    </row>
    <row r="22" spans="2:51" hidden="1">
      <c r="B22" s="1116"/>
      <c r="C22" s="2264" t="s">
        <v>4435</v>
      </c>
      <c r="D22" s="2264"/>
      <c r="E22" s="1731"/>
      <c r="F22" s="415">
        <f t="shared" si="2"/>
        <v>0</v>
      </c>
      <c r="G22" s="415">
        <v>0</v>
      </c>
      <c r="H22" s="415">
        <v>0</v>
      </c>
      <c r="I22" s="415">
        <v>0</v>
      </c>
      <c r="K22" s="212"/>
      <c r="L22" s="229"/>
      <c r="M22" s="584">
        <f>IF('11. Unit Mix'!$G$142&lt;&gt;0,+F22/'11. Unit Mix'!$G$142,0)</f>
        <v>0</v>
      </c>
      <c r="N22" s="413">
        <f t="shared" si="1"/>
        <v>0</v>
      </c>
      <c r="O22" s="1128"/>
      <c r="P22" s="802"/>
      <c r="Q22" s="802"/>
      <c r="R22" s="9"/>
      <c r="AU22" s="115"/>
      <c r="AV22" s="115"/>
      <c r="AW22" s="115"/>
      <c r="AX22" s="115"/>
      <c r="AY22" s="115"/>
    </row>
    <row r="23" spans="2:51" hidden="1">
      <c r="B23" s="1116"/>
      <c r="C23" s="2264" t="s">
        <v>4448</v>
      </c>
      <c r="D23" s="2264"/>
      <c r="E23" s="1731"/>
      <c r="F23" s="415">
        <f t="shared" si="2"/>
        <v>0</v>
      </c>
      <c r="G23" s="415">
        <v>0</v>
      </c>
      <c r="H23" s="415">
        <v>0</v>
      </c>
      <c r="I23" s="415">
        <v>0</v>
      </c>
      <c r="K23" s="212"/>
      <c r="L23" s="229"/>
      <c r="M23" s="584">
        <f>IF('11. Unit Mix'!$G$142&lt;&gt;0,+F23/'11. Unit Mix'!$G$142,0)</f>
        <v>0</v>
      </c>
      <c r="N23" s="413">
        <f t="shared" si="1"/>
        <v>0</v>
      </c>
      <c r="O23" s="1128"/>
      <c r="P23" s="802"/>
      <c r="Q23" s="802"/>
      <c r="R23" s="9"/>
      <c r="AU23" s="115"/>
      <c r="AV23" s="115"/>
      <c r="AW23" s="115"/>
      <c r="AX23" s="115"/>
      <c r="AY23" s="115"/>
    </row>
    <row r="24" spans="2:51">
      <c r="B24" s="1116"/>
      <c r="C24" s="2264" t="s">
        <v>4479</v>
      </c>
      <c r="D24" s="2264"/>
      <c r="E24" s="1731"/>
      <c r="F24" s="415">
        <f>+SUM(G24:H24)</f>
        <v>0</v>
      </c>
      <c r="G24" s="415">
        <f>+'13. Construction Cost SOV'!F138+'13. Construction Cost SOV'!F124</f>
        <v>0</v>
      </c>
      <c r="H24" s="415">
        <f>+'13. Construction Cost SOV'!G138+'13. Construction Cost SOV'!G124</f>
        <v>0</v>
      </c>
      <c r="I24" s="415"/>
      <c r="K24" s="212"/>
      <c r="L24" s="229"/>
      <c r="M24" s="584">
        <f>IF('11. Unit Mix'!$G$142&lt;&gt;0,+F24/'11. Unit Mix'!$G$142,0)</f>
        <v>0</v>
      </c>
      <c r="N24" s="413">
        <f t="shared" si="1"/>
        <v>0</v>
      </c>
      <c r="O24" s="1128"/>
      <c r="P24" s="802"/>
      <c r="Q24" s="802"/>
      <c r="R24" s="9"/>
      <c r="AU24" s="115"/>
      <c r="AV24" s="115"/>
      <c r="AW24" s="115"/>
      <c r="AX24" s="115"/>
      <c r="AY24" s="115"/>
    </row>
    <row r="25" spans="2:51" ht="14.45" customHeight="1">
      <c r="B25" s="1116"/>
      <c r="C25" s="2264" t="s">
        <v>4581</v>
      </c>
      <c r="D25" s="2264"/>
      <c r="E25" s="1731"/>
      <c r="F25" s="415">
        <f>+SUM(G25:H25)</f>
        <v>0</v>
      </c>
      <c r="G25" s="415">
        <f>+'13. Construction Cost SOV'!F148+'13. Construction Cost SOV'!F114+'13. Construction Cost SOV'!F31</f>
        <v>0</v>
      </c>
      <c r="H25" s="415">
        <f>+'13. Construction Cost SOV'!G148+'13. Construction Cost SOV'!G114+'13. Construction Cost SOV'!G31</f>
        <v>0</v>
      </c>
      <c r="I25" s="415"/>
      <c r="K25" s="212"/>
      <c r="L25" s="229"/>
      <c r="M25" s="584">
        <f>IF('11. Unit Mix'!$G$142&lt;&gt;0,+F25/'11. Unit Mix'!$G$142,0)</f>
        <v>0</v>
      </c>
      <c r="N25" s="413">
        <f t="shared" si="1"/>
        <v>0</v>
      </c>
      <c r="O25" s="1128"/>
      <c r="P25" s="802"/>
      <c r="Q25" s="802"/>
      <c r="R25" s="9"/>
      <c r="AU25" s="115"/>
      <c r="AV25" s="115"/>
      <c r="AW25" s="115"/>
      <c r="AX25" s="115"/>
      <c r="AY25" s="115"/>
    </row>
    <row r="26" spans="2:51" hidden="1">
      <c r="B26" s="1116"/>
      <c r="C26" s="2264" t="s">
        <v>4582</v>
      </c>
      <c r="D26" s="2264"/>
      <c r="E26" s="1731"/>
      <c r="F26" s="415">
        <f t="shared" ref="F26:F30" si="3">+SUM(G26:H26)</f>
        <v>0</v>
      </c>
      <c r="G26" s="415">
        <v>0</v>
      </c>
      <c r="H26" s="415">
        <v>0</v>
      </c>
      <c r="I26" s="415">
        <v>0</v>
      </c>
      <c r="K26" s="212"/>
      <c r="L26" s="229"/>
      <c r="M26" s="584">
        <f>IF('11. Unit Mix'!$G$142&lt;&gt;0,+F26/'11. Unit Mix'!$G$142,0)</f>
        <v>0</v>
      </c>
      <c r="N26" s="413">
        <f t="shared" si="1"/>
        <v>0</v>
      </c>
      <c r="O26" s="1128"/>
      <c r="P26" s="802"/>
      <c r="Q26" s="802"/>
      <c r="R26" s="9"/>
      <c r="AU26" s="115"/>
      <c r="AV26" s="115"/>
      <c r="AW26" s="115"/>
      <c r="AX26" s="115"/>
      <c r="AY26" s="115"/>
    </row>
    <row r="27" spans="2:51" ht="24" hidden="1" customHeight="1">
      <c r="B27" s="1116"/>
      <c r="C27" s="2245" t="s">
        <v>4583</v>
      </c>
      <c r="D27" s="2245"/>
      <c r="E27" s="1731"/>
      <c r="F27" s="415">
        <f t="shared" si="3"/>
        <v>0</v>
      </c>
      <c r="G27" s="415">
        <f>+'13. Construction Cost SOV'!F252</f>
        <v>0</v>
      </c>
      <c r="H27" s="415">
        <f>+'13. Construction Cost SOV'!G252</f>
        <v>0</v>
      </c>
      <c r="I27" s="415"/>
      <c r="K27" s="212"/>
      <c r="L27" s="229"/>
      <c r="M27" s="584">
        <f>IF('11. Unit Mix'!$G$142&lt;&gt;0,+F27/'11. Unit Mix'!$G$142,0)</f>
        <v>0</v>
      </c>
      <c r="N27" s="413">
        <f t="shared" si="1"/>
        <v>0</v>
      </c>
      <c r="O27" s="1128"/>
      <c r="P27" s="802"/>
      <c r="Q27" s="802"/>
      <c r="R27" s="9"/>
      <c r="AU27" s="115"/>
      <c r="AV27" s="115"/>
      <c r="AW27" s="115"/>
      <c r="AX27" s="115"/>
      <c r="AY27" s="115"/>
    </row>
    <row r="28" spans="2:51">
      <c r="B28" s="1116"/>
      <c r="C28" s="1726" t="s">
        <v>4584</v>
      </c>
      <c r="D28" s="1731"/>
      <c r="E28" s="698"/>
      <c r="F28" s="413">
        <f t="shared" si="3"/>
        <v>0</v>
      </c>
      <c r="G28" s="212"/>
      <c r="H28" s="212"/>
      <c r="I28" s="212"/>
      <c r="K28" s="212"/>
      <c r="L28" s="229">
        <f>IF(Credit_percentage_applied_for="State + Fed 4%", PC_CST_Accessory_Building,0)</f>
        <v>0</v>
      </c>
      <c r="M28" s="584">
        <f>IF('11. Unit Mix'!$G$142&lt;&gt;0,+F28/'11. Unit Mix'!$G$142,0)</f>
        <v>0</v>
      </c>
      <c r="N28" s="413">
        <f t="shared" si="1"/>
        <v>0</v>
      </c>
      <c r="O28" s="1128"/>
      <c r="P28" s="802"/>
      <c r="Q28" s="802"/>
      <c r="R28" s="9"/>
      <c r="AU28" s="115"/>
      <c r="AV28" s="115"/>
      <c r="AW28" s="115"/>
      <c r="AX28" s="115"/>
      <c r="AY28" s="115"/>
    </row>
    <row r="29" spans="2:51">
      <c r="B29" s="1116"/>
      <c r="C29" s="2245" t="s">
        <v>4585</v>
      </c>
      <c r="D29" s="2245"/>
      <c r="E29" s="1731"/>
      <c r="F29" s="413">
        <f t="shared" si="3"/>
        <v>0</v>
      </c>
      <c r="G29" s="212"/>
      <c r="H29" s="212"/>
      <c r="I29" s="212"/>
      <c r="K29" s="212"/>
      <c r="L29" s="229">
        <f>IF(Credit_percentage_applied_for="State + Fed 4%", PC_CST_Personal_Property,0)</f>
        <v>0</v>
      </c>
      <c r="M29" s="584">
        <f>IF('11. Unit Mix'!$G$142&lt;&gt;0,+F29/'11. Unit Mix'!$G$142,0)</f>
        <v>0</v>
      </c>
      <c r="N29" s="413">
        <f t="shared" si="1"/>
        <v>0</v>
      </c>
      <c r="O29" s="1128"/>
      <c r="P29" s="802"/>
      <c r="Q29" s="802"/>
      <c r="R29" s="9"/>
      <c r="AU29" s="115"/>
      <c r="AV29" s="115"/>
      <c r="AW29" s="115"/>
      <c r="AX29" s="115"/>
      <c r="AY29" s="115"/>
    </row>
    <row r="30" spans="2:51">
      <c r="B30" s="1116"/>
      <c r="C30" s="1726" t="s">
        <v>3011</v>
      </c>
      <c r="D30" s="1731"/>
      <c r="E30" s="698"/>
      <c r="F30" s="413">
        <f t="shared" si="3"/>
        <v>0</v>
      </c>
      <c r="G30" s="212"/>
      <c r="H30" s="212"/>
      <c r="I30" s="212"/>
      <c r="K30" s="212"/>
      <c r="L30" s="229">
        <f>IF(Credit_percentage_applied_for="State + Fed 4%", PC_CST_Other_New_Construction, 0)</f>
        <v>0</v>
      </c>
      <c r="M30" s="584">
        <f>IF('11. Unit Mix'!$G$142&lt;&gt;0,+F30/'11. Unit Mix'!$G$142,0)</f>
        <v>0</v>
      </c>
      <c r="N30" s="413">
        <f t="shared" si="1"/>
        <v>0</v>
      </c>
      <c r="O30" s="1128"/>
      <c r="P30" s="802"/>
      <c r="Q30" s="802"/>
      <c r="R30" s="9"/>
      <c r="AU30" s="115"/>
      <c r="AV30" s="115"/>
      <c r="AW30" s="115"/>
      <c r="AX30" s="115"/>
      <c r="AY30" s="115"/>
    </row>
    <row r="31" spans="2:51">
      <c r="B31" s="1116"/>
      <c r="C31" s="2233" t="s">
        <v>3017</v>
      </c>
      <c r="D31" s="2233"/>
      <c r="E31" s="386"/>
      <c r="F31" s="444">
        <f>SUM(F19:F30)</f>
        <v>0</v>
      </c>
      <c r="G31" s="444">
        <f>SUM(G19:G30)</f>
        <v>0</v>
      </c>
      <c r="H31" s="444">
        <f>SUM(H19:H30)</f>
        <v>0</v>
      </c>
      <c r="I31" s="223">
        <f>SUM(I28:I30,I19)</f>
        <v>0</v>
      </c>
      <c r="J31" s="223">
        <f>SUM(J28:J30,PC_CST_Building)</f>
        <v>0</v>
      </c>
      <c r="K31" s="223">
        <f>SUM(K18:K30)</f>
        <v>0</v>
      </c>
      <c r="L31" s="224">
        <f>SUM(L28:L30,PC_CST_Building_State)</f>
        <v>0</v>
      </c>
      <c r="M31" s="593">
        <f>IF('11. Unit Mix'!$G$142&lt;&gt;0,+F31/'11. Unit Mix'!$G$142,0)</f>
        <v>0</v>
      </c>
      <c r="N31" s="223">
        <f t="shared" si="1"/>
        <v>0</v>
      </c>
      <c r="O31" s="1128"/>
      <c r="P31" s="802"/>
      <c r="Q31" s="802"/>
      <c r="R31" s="9"/>
      <c r="AU31" s="115"/>
      <c r="AV31" s="115"/>
      <c r="AW31" s="115"/>
      <c r="AX31" s="115"/>
      <c r="AY31" s="115"/>
    </row>
    <row r="32" spans="2:51" hidden="1">
      <c r="B32" s="1116"/>
      <c r="C32" s="103" t="s">
        <v>3019</v>
      </c>
      <c r="D32" s="390"/>
      <c r="E32" s="160"/>
      <c r="F32" s="220"/>
      <c r="G32" s="220"/>
      <c r="H32" s="220"/>
      <c r="I32" s="220"/>
      <c r="K32" s="220"/>
      <c r="L32" s="225"/>
      <c r="M32" s="594">
        <f>IF('11. Unit Mix'!$G$142&lt;&gt;0,+F32/'11. Unit Mix'!$G$142,0)</f>
        <v>0</v>
      </c>
      <c r="N32" s="221">
        <f t="shared" si="1"/>
        <v>0</v>
      </c>
      <c r="O32" s="1128"/>
      <c r="P32" s="802"/>
      <c r="Q32" s="802"/>
      <c r="R32" s="9"/>
      <c r="AU32" s="115"/>
      <c r="AV32" s="115"/>
      <c r="AW32" s="115"/>
      <c r="AX32" s="115"/>
      <c r="AY32" s="115"/>
    </row>
    <row r="33" spans="2:51" hidden="1">
      <c r="B33" s="1116"/>
      <c r="C33" s="2232" t="s">
        <v>3021</v>
      </c>
      <c r="D33" s="2232"/>
      <c r="E33" s="704"/>
      <c r="F33" s="446">
        <v>0</v>
      </c>
      <c r="G33" s="212"/>
      <c r="H33" s="212"/>
      <c r="I33" s="212"/>
      <c r="K33" s="212">
        <v>0</v>
      </c>
      <c r="L33" s="229">
        <f>IF(Credit_percentage_applied_for="State + Fed 4%", PC_CST_Earthwork_Other_4, 0)</f>
        <v>0</v>
      </c>
      <c r="M33" s="592">
        <f>IF('11. Unit Mix'!$G$142&lt;&gt;0,+F33/'11. Unit Mix'!$G$142,0)</f>
        <v>0</v>
      </c>
      <c r="N33" s="446">
        <f t="shared" si="1"/>
        <v>0</v>
      </c>
      <c r="O33" s="1128"/>
      <c r="P33" s="802"/>
      <c r="Q33" s="802"/>
      <c r="R33" s="9"/>
      <c r="AU33" s="115"/>
      <c r="AV33" s="115"/>
      <c r="AW33" s="115"/>
      <c r="AX33" s="115"/>
      <c r="AY33" s="115"/>
    </row>
    <row r="34" spans="2:51" hidden="1">
      <c r="B34" s="1116"/>
      <c r="C34" s="2232" t="s">
        <v>3023</v>
      </c>
      <c r="D34" s="2232"/>
      <c r="E34" s="705"/>
      <c r="F34" s="707">
        <v>0</v>
      </c>
      <c r="G34" s="707"/>
      <c r="H34" s="707"/>
      <c r="I34" s="707"/>
      <c r="J34" s="655"/>
      <c r="K34" s="707">
        <v>0</v>
      </c>
      <c r="L34" s="708">
        <f>IF(Credit_percentage_applied_for="State + Fed 4%", PC_CST_Utilities_4, 0)</f>
        <v>0</v>
      </c>
      <c r="M34" s="709">
        <f>IF('11. Unit Mix'!$G$142&lt;&gt;0,+F34/'11. Unit Mix'!$G$142,0)</f>
        <v>0</v>
      </c>
      <c r="N34" s="707">
        <f t="shared" si="1"/>
        <v>0</v>
      </c>
      <c r="O34" s="1128"/>
      <c r="P34" s="802"/>
      <c r="Q34" s="802"/>
      <c r="R34" s="9"/>
      <c r="AU34" s="115"/>
      <c r="AV34" s="115"/>
      <c r="AW34" s="115"/>
      <c r="AX34" s="115"/>
      <c r="AY34" s="115"/>
    </row>
    <row r="35" spans="2:51" hidden="1">
      <c r="B35" s="1116"/>
      <c r="C35" s="2232" t="s">
        <v>3025</v>
      </c>
      <c r="D35" s="2232"/>
      <c r="E35" s="706"/>
      <c r="F35" s="707">
        <v>0</v>
      </c>
      <c r="G35" s="707"/>
      <c r="H35" s="707"/>
      <c r="I35" s="707"/>
      <c r="J35" s="655"/>
      <c r="K35" s="707">
        <v>0</v>
      </c>
      <c r="L35" s="708">
        <f>IF(Credit_percentage_applied_for="State + Fed 4%", PC_CST_Lawn_4, 0)</f>
        <v>0</v>
      </c>
      <c r="M35" s="709">
        <f>IF('11. Unit Mix'!$G$142&lt;&gt;0,+F35/'11. Unit Mix'!$G$142,0)</f>
        <v>0</v>
      </c>
      <c r="N35" s="707">
        <f t="shared" si="1"/>
        <v>0</v>
      </c>
      <c r="O35" s="1128"/>
      <c r="P35" s="802"/>
      <c r="Q35" s="802"/>
      <c r="R35" s="9"/>
      <c r="AU35" s="115"/>
      <c r="AV35" s="115"/>
      <c r="AW35" s="115"/>
      <c r="AX35" s="115"/>
      <c r="AY35" s="115"/>
    </row>
    <row r="36" spans="2:51" hidden="1">
      <c r="B36" s="1116"/>
      <c r="C36" s="2232" t="s">
        <v>3026</v>
      </c>
      <c r="D36" s="2232"/>
      <c r="E36" s="706"/>
      <c r="F36" s="707">
        <v>0</v>
      </c>
      <c r="G36" s="707"/>
      <c r="H36" s="707"/>
      <c r="I36" s="707"/>
      <c r="J36" s="655"/>
      <c r="K36" s="707">
        <v>0</v>
      </c>
      <c r="L36" s="708">
        <f>IF(Credit_percentage_applied_for="State + Fed 4%", PC_CST_Unusual_Site_4, 0)</f>
        <v>0</v>
      </c>
      <c r="M36" s="709">
        <f>IF('11. Unit Mix'!$G$142&lt;&gt;0,+F36/'11. Unit Mix'!$G$142,0)</f>
        <v>0</v>
      </c>
      <c r="N36" s="707">
        <f t="shared" si="1"/>
        <v>0</v>
      </c>
      <c r="O36" s="1128"/>
      <c r="P36" s="802"/>
      <c r="Q36" s="802"/>
      <c r="R36" s="9"/>
      <c r="AU36" s="115"/>
      <c r="AV36" s="115"/>
      <c r="AW36" s="115"/>
      <c r="AX36" s="115"/>
      <c r="AY36" s="115"/>
    </row>
    <row r="37" spans="2:51" hidden="1">
      <c r="B37" s="1116"/>
      <c r="C37" s="2232" t="s">
        <v>3028</v>
      </c>
      <c r="D37" s="2232"/>
      <c r="E37" s="706"/>
      <c r="F37" s="707">
        <v>0</v>
      </c>
      <c r="G37" s="707"/>
      <c r="H37" s="707"/>
      <c r="I37" s="707"/>
      <c r="J37" s="655"/>
      <c r="K37" s="707">
        <v>0</v>
      </c>
      <c r="L37" s="708">
        <f>IF(Credit_percentage_applied_for="State + Fed 4%", PC_CST_Roads_4, 0)</f>
        <v>0</v>
      </c>
      <c r="M37" s="709">
        <f>IF('11. Unit Mix'!$G$142&lt;&gt;0,+F37/'11. Unit Mix'!$G$142,0)</f>
        <v>0</v>
      </c>
      <c r="N37" s="707">
        <f t="shared" si="1"/>
        <v>0</v>
      </c>
      <c r="O37" s="1128"/>
      <c r="P37" s="802"/>
      <c r="Q37" s="802"/>
      <c r="R37" s="9"/>
      <c r="AU37" s="115"/>
      <c r="AV37" s="115"/>
      <c r="AW37" s="115"/>
      <c r="AX37" s="115"/>
      <c r="AY37" s="115"/>
    </row>
    <row r="38" spans="2:51" hidden="1">
      <c r="B38" s="1116"/>
      <c r="C38" s="2232" t="s">
        <v>3030</v>
      </c>
      <c r="D38" s="2232"/>
      <c r="E38" s="706"/>
      <c r="F38" s="707">
        <v>0</v>
      </c>
      <c r="G38" s="707"/>
      <c r="H38" s="707"/>
      <c r="I38" s="707"/>
      <c r="J38" s="655"/>
      <c r="K38" s="707">
        <v>0</v>
      </c>
      <c r="L38" s="708">
        <f>IF(Credit_percentage_applied_for="State + Fed 4%", PC_CST_Off_Site_Work_4, 0)</f>
        <v>0</v>
      </c>
      <c r="M38" s="709">
        <f>IF('11. Unit Mix'!$G$142&lt;&gt;0,+F38/'11. Unit Mix'!$G$142,0)</f>
        <v>0</v>
      </c>
      <c r="N38" s="707">
        <f t="shared" si="1"/>
        <v>0</v>
      </c>
      <c r="O38" s="1128"/>
      <c r="P38" s="802"/>
      <c r="Q38" s="802"/>
      <c r="R38" s="9"/>
      <c r="AU38" s="115"/>
      <c r="AV38" s="115"/>
      <c r="AW38" s="115"/>
      <c r="AX38" s="115"/>
      <c r="AY38" s="115"/>
    </row>
    <row r="39" spans="2:51" hidden="1">
      <c r="B39" s="1116"/>
      <c r="C39" s="2233" t="s">
        <v>3032</v>
      </c>
      <c r="D39" s="2233"/>
      <c r="E39" s="386"/>
      <c r="F39" s="223">
        <f>SUM(F33:F38)</f>
        <v>0</v>
      </c>
      <c r="G39" s="223"/>
      <c r="H39" s="223"/>
      <c r="I39" s="223"/>
      <c r="K39" s="223">
        <f>SUM(K33:K38)</f>
        <v>0</v>
      </c>
      <c r="L39" s="224">
        <f>SUM(L33:L38)</f>
        <v>0</v>
      </c>
      <c r="M39" s="593">
        <f>IF('11. Unit Mix'!$G$142&lt;&gt;0,+F39/'11. Unit Mix'!$G$142,0)</f>
        <v>0</v>
      </c>
      <c r="N39" s="223">
        <f t="shared" si="1"/>
        <v>0</v>
      </c>
      <c r="O39" s="1128"/>
      <c r="P39" s="802"/>
      <c r="Q39" s="802"/>
      <c r="R39" s="9"/>
      <c r="AU39" s="115"/>
      <c r="AV39" s="115"/>
      <c r="AW39" s="115"/>
      <c r="AX39" s="115"/>
      <c r="AY39" s="115"/>
    </row>
    <row r="40" spans="2:51">
      <c r="B40" s="1116"/>
      <c r="C40" s="103" t="s">
        <v>3038</v>
      </c>
      <c r="D40" s="390"/>
      <c r="E40" s="160"/>
      <c r="F40" s="220"/>
      <c r="G40" s="220"/>
      <c r="H40" s="220"/>
      <c r="I40" s="220"/>
      <c r="K40" s="220"/>
      <c r="L40" s="225"/>
      <c r="M40" s="594"/>
      <c r="N40" s="221"/>
      <c r="O40" s="1128"/>
      <c r="P40" s="802"/>
      <c r="Q40" s="802"/>
      <c r="R40" s="9"/>
      <c r="AU40" s="115"/>
      <c r="AV40" s="115"/>
      <c r="AW40" s="115"/>
      <c r="AX40" s="115"/>
      <c r="AY40" s="115"/>
    </row>
    <row r="41" spans="2:51">
      <c r="B41" s="1116"/>
      <c r="C41" s="2245" t="s">
        <v>4586</v>
      </c>
      <c r="D41" s="2245"/>
      <c r="E41" s="1731"/>
      <c r="F41" s="415">
        <f>+SUM(G41:H41)</f>
        <v>0</v>
      </c>
      <c r="G41" s="415">
        <f>+'13. Construction Cost SOV'!F232</f>
        <v>0</v>
      </c>
      <c r="H41" s="415">
        <f>+'13. Construction Cost SOV'!G232</f>
        <v>0</v>
      </c>
      <c r="I41" s="414"/>
      <c r="K41" s="231"/>
      <c r="L41" s="231"/>
      <c r="M41" s="584">
        <f>IF('11. Unit Mix'!$G$142&lt;&gt;0,+F41/'11. Unit Mix'!$G$142,0)</f>
        <v>0</v>
      </c>
      <c r="N41" s="413">
        <f t="shared" ref="N41:N49" si="4">IF(Total_Units&lt;&gt;0,+F41/Total_Units,0)</f>
        <v>0</v>
      </c>
      <c r="O41" s="1128"/>
      <c r="P41" s="802"/>
      <c r="Q41" s="802"/>
      <c r="R41" s="9"/>
      <c r="AU41" s="115"/>
      <c r="AV41" s="115"/>
      <c r="AW41" s="115"/>
      <c r="AX41" s="115"/>
      <c r="AY41" s="115"/>
    </row>
    <row r="42" spans="2:51">
      <c r="B42" s="1116"/>
      <c r="C42" s="2245" t="s">
        <v>4587</v>
      </c>
      <c r="D42" s="2245"/>
      <c r="E42" s="1731"/>
      <c r="F42" s="415">
        <f>+SUM(G42:H42)</f>
        <v>0</v>
      </c>
      <c r="G42" s="415">
        <f>+'13. Construction Cost SOV'!F222</f>
        <v>0</v>
      </c>
      <c r="H42" s="415">
        <f>+'13. Construction Cost SOV'!G222</f>
        <v>0</v>
      </c>
      <c r="I42" s="416"/>
      <c r="K42" s="212"/>
      <c r="L42" s="229">
        <f>IF(Credit_percentage_applied_for="State + Fed 4%", PC_CST_Earthwork, 0)</f>
        <v>0</v>
      </c>
      <c r="M42" s="584">
        <f>IF('11. Unit Mix'!$G$142&lt;&gt;0,+F42/'11. Unit Mix'!$G$142,0)</f>
        <v>0</v>
      </c>
      <c r="N42" s="413">
        <f t="shared" si="4"/>
        <v>0</v>
      </c>
      <c r="O42" s="1128"/>
      <c r="P42" s="802"/>
      <c r="Q42" s="802"/>
      <c r="R42" s="9"/>
      <c r="AU42" s="115"/>
      <c r="AV42" s="115"/>
      <c r="AW42" s="115"/>
      <c r="AX42" s="115"/>
      <c r="AY42" s="115"/>
    </row>
    <row r="43" spans="2:51" hidden="1">
      <c r="B43" s="1116"/>
      <c r="C43" s="2232" t="s">
        <v>1618</v>
      </c>
      <c r="D43" s="2232"/>
      <c r="E43" s="704"/>
      <c r="F43" s="446">
        <v>0</v>
      </c>
      <c r="G43" s="760"/>
      <c r="H43" s="760"/>
      <c r="I43" s="760"/>
      <c r="J43" s="654"/>
      <c r="K43" s="446">
        <v>0</v>
      </c>
      <c r="L43" s="701">
        <f>IF(Credit_percentage_applied_for="State + Fed 4%", PC_CST_Roads_Walks_4, 0)</f>
        <v>0</v>
      </c>
      <c r="M43" s="446">
        <f>IF('11. Unit Mix'!$G$142&lt;&gt;0,+F43/'11. Unit Mix'!$G$142,0)</f>
        <v>0</v>
      </c>
      <c r="N43" s="446">
        <f t="shared" si="4"/>
        <v>0</v>
      </c>
      <c r="O43" s="1128"/>
      <c r="P43" s="802"/>
      <c r="Q43" s="802"/>
      <c r="R43" s="9"/>
      <c r="AU43" s="115"/>
      <c r="AV43" s="115"/>
      <c r="AW43" s="115"/>
      <c r="AX43" s="115"/>
      <c r="AY43" s="115"/>
    </row>
    <row r="44" spans="2:51" hidden="1">
      <c r="B44" s="1116"/>
      <c r="C44" s="2259" t="s">
        <v>3047</v>
      </c>
      <c r="D44" s="2259"/>
      <c r="E44" s="705"/>
      <c r="F44" s="707">
        <v>0</v>
      </c>
      <c r="G44" s="711"/>
      <c r="H44" s="711"/>
      <c r="I44" s="711"/>
      <c r="J44" s="655"/>
      <c r="K44" s="711">
        <v>0</v>
      </c>
      <c r="L44" s="708">
        <f>IF(Credit_percentage_applied_for="State + Fed 4%", PC_CST_Site_Utilities_4, 0)</f>
        <v>0</v>
      </c>
      <c r="M44" s="709">
        <f>IF('11. Unit Mix'!$G$142&lt;&gt;0,+F44/'11. Unit Mix'!$G$142,0)</f>
        <v>0</v>
      </c>
      <c r="N44" s="707">
        <f t="shared" si="4"/>
        <v>0</v>
      </c>
      <c r="O44" s="1128"/>
      <c r="P44" s="802"/>
      <c r="Q44" s="802"/>
      <c r="R44" s="9"/>
      <c r="AU44" s="115"/>
      <c r="AV44" s="115"/>
      <c r="AW44" s="115"/>
      <c r="AX44" s="115"/>
      <c r="AY44" s="115"/>
    </row>
    <row r="45" spans="2:51">
      <c r="B45" s="1116"/>
      <c r="C45" s="2245" t="s">
        <v>3049</v>
      </c>
      <c r="D45" s="2245"/>
      <c r="E45" s="1731"/>
      <c r="F45" s="413">
        <f>SUM(G45:H45)</f>
        <v>0</v>
      </c>
      <c r="G45" s="212"/>
      <c r="H45" s="212"/>
      <c r="I45" s="212"/>
      <c r="K45" s="214"/>
      <c r="L45" s="229">
        <f>IF(Credit_percentage_applied_for="State + Fed 4%", PC_CST_Lawn_Planting, 0)</f>
        <v>0</v>
      </c>
      <c r="M45" s="592">
        <f>IF('11. Unit Mix'!$G$142&lt;&gt;0,+F45/'11. Unit Mix'!$G$142,0)</f>
        <v>0</v>
      </c>
      <c r="N45" s="446">
        <f t="shared" si="4"/>
        <v>0</v>
      </c>
      <c r="O45" s="1128"/>
      <c r="P45" s="802"/>
      <c r="Q45" s="802"/>
      <c r="R45" s="9"/>
      <c r="AU45" s="115"/>
      <c r="AV45" s="115"/>
      <c r="AW45" s="115"/>
      <c r="AX45" s="115"/>
      <c r="AY45" s="115"/>
    </row>
    <row r="46" spans="2:51" hidden="1">
      <c r="B46" s="1116"/>
      <c r="C46" s="2253" t="s">
        <v>3055</v>
      </c>
      <c r="D46" s="2253"/>
      <c r="E46" s="710"/>
      <c r="F46" s="446">
        <v>0</v>
      </c>
      <c r="G46" s="212"/>
      <c r="H46" s="212"/>
      <c r="I46" s="212"/>
      <c r="K46" s="214">
        <v>0</v>
      </c>
      <c r="L46" s="229">
        <f>IF(Credit_percentage_applied_for="State + Fed 4%", PC_CST_Fixtures_Furn, 0)</f>
        <v>0</v>
      </c>
      <c r="M46" s="592">
        <f>IF('11. Unit Mix'!$G$142&lt;&gt;0,+F46/'11. Unit Mix'!$G$142,0)</f>
        <v>0</v>
      </c>
      <c r="N46" s="446">
        <f t="shared" si="4"/>
        <v>0</v>
      </c>
      <c r="O46" s="1128"/>
      <c r="P46" s="802"/>
      <c r="Q46" s="802"/>
      <c r="R46" s="9"/>
      <c r="AU46" s="115"/>
      <c r="AV46" s="115"/>
      <c r="AW46" s="115"/>
      <c r="AX46" s="115"/>
      <c r="AY46" s="115"/>
    </row>
    <row r="47" spans="2:51" hidden="1">
      <c r="B47" s="1116"/>
      <c r="C47" s="2245" t="s">
        <v>3026</v>
      </c>
      <c r="D47" s="2245"/>
      <c r="E47" s="1731"/>
      <c r="F47" s="446">
        <v>0</v>
      </c>
      <c r="G47" s="212"/>
      <c r="H47" s="212"/>
      <c r="I47" s="212"/>
      <c r="K47" s="214">
        <v>0</v>
      </c>
      <c r="L47" s="229">
        <f>IF(Credit_percentage_applied_for="State + Fed 4%", PC_CST_Unusual_SC_4, 0)</f>
        <v>0</v>
      </c>
      <c r="M47" s="592">
        <f>IF('11. Unit Mix'!$G$142&lt;&gt;0,+F47/'11. Unit Mix'!$G$142,0)</f>
        <v>0</v>
      </c>
      <c r="N47" s="446">
        <f t="shared" si="4"/>
        <v>0</v>
      </c>
      <c r="O47" s="1128"/>
      <c r="P47" s="802"/>
      <c r="Q47" s="802"/>
      <c r="R47" s="9"/>
      <c r="AU47" s="115"/>
      <c r="AV47" s="115"/>
      <c r="AW47" s="115"/>
      <c r="AX47" s="115"/>
      <c r="AY47" s="115"/>
    </row>
    <row r="48" spans="2:51">
      <c r="B48" s="1116"/>
      <c r="C48" s="2253" t="s">
        <v>3059</v>
      </c>
      <c r="D48" s="2253"/>
      <c r="E48" s="710"/>
      <c r="F48" s="413">
        <f>+SUM(G48:H48)</f>
        <v>0</v>
      </c>
      <c r="G48" s="212"/>
      <c r="H48" s="212"/>
      <c r="I48" s="212"/>
      <c r="K48" s="212"/>
      <c r="L48" s="229">
        <f>IF(Credit_percentage_applied_for="State + Fed 4%", PC_CST_Other_Site_Work, 0)</f>
        <v>0</v>
      </c>
      <c r="M48" s="584">
        <f>IF('11. Unit Mix'!$G$142&lt;&gt;0,+F48/'11. Unit Mix'!$G$142,0)</f>
        <v>0</v>
      </c>
      <c r="N48" s="413">
        <f t="shared" si="4"/>
        <v>0</v>
      </c>
      <c r="O48" s="1128"/>
      <c r="P48" s="802"/>
      <c r="Q48" s="802"/>
      <c r="R48" s="9"/>
      <c r="AU48" s="115"/>
      <c r="AV48" s="115"/>
      <c r="AW48" s="115"/>
      <c r="AX48" s="115"/>
      <c r="AY48" s="115"/>
    </row>
    <row r="49" spans="2:51">
      <c r="B49" s="1116"/>
      <c r="C49" s="2233" t="s">
        <v>3062</v>
      </c>
      <c r="D49" s="2233"/>
      <c r="E49" s="386"/>
      <c r="F49" s="444">
        <f>+SUM(F41:F48)</f>
        <v>0</v>
      </c>
      <c r="G49" s="444">
        <f>+SUM(G41:G48)</f>
        <v>0</v>
      </c>
      <c r="H49" s="444">
        <f>+SUM(H41:H48)</f>
        <v>0</v>
      </c>
      <c r="I49" s="444">
        <f>+SUM(I41:I42)</f>
        <v>0</v>
      </c>
      <c r="K49" s="223">
        <f>SUM(K41:K48)</f>
        <v>0</v>
      </c>
      <c r="L49" s="224">
        <f>SUM(L41:L48)</f>
        <v>0</v>
      </c>
      <c r="M49" s="593">
        <f>IF('11. Unit Mix'!$G$142&lt;&gt;0,+F49/'11. Unit Mix'!$G$142,0)</f>
        <v>0</v>
      </c>
      <c r="N49" s="223">
        <f t="shared" si="4"/>
        <v>0</v>
      </c>
      <c r="O49" s="1128"/>
      <c r="P49" s="802"/>
      <c r="Q49" s="802"/>
      <c r="R49" s="9"/>
      <c r="AU49" s="115"/>
      <c r="AV49" s="115"/>
      <c r="AW49" s="115"/>
      <c r="AX49" s="115"/>
      <c r="AY49" s="115"/>
    </row>
    <row r="50" spans="2:51">
      <c r="B50" s="1116"/>
      <c r="C50" s="103" t="s">
        <v>3065</v>
      </c>
      <c r="D50" s="390"/>
      <c r="E50" s="160"/>
      <c r="F50" s="220"/>
      <c r="G50" s="220"/>
      <c r="H50" s="220"/>
      <c r="I50" s="220"/>
      <c r="K50" s="220"/>
      <c r="L50" s="225"/>
      <c r="M50" s="594"/>
      <c r="N50" s="221"/>
      <c r="O50" s="1128"/>
      <c r="P50" s="802"/>
      <c r="Q50" s="802"/>
      <c r="R50" s="9"/>
      <c r="AU50" s="115"/>
      <c r="AV50" s="115"/>
      <c r="AW50" s="115"/>
      <c r="AX50" s="115"/>
      <c r="AY50" s="115"/>
    </row>
    <row r="51" spans="2:51">
      <c r="B51" s="1116"/>
      <c r="C51" s="2245" t="s">
        <v>3067</v>
      </c>
      <c r="D51" s="2245"/>
      <c r="E51" s="1731"/>
      <c r="F51" s="413">
        <f>+SUM(G51:H51)</f>
        <v>0</v>
      </c>
      <c r="G51" s="212"/>
      <c r="H51" s="212"/>
      <c r="I51" s="414">
        <v>0</v>
      </c>
      <c r="J51" s="414">
        <v>0</v>
      </c>
      <c r="K51" s="212"/>
      <c r="L51" s="229">
        <f>IF(Credit_percentage_applied_for="State + Fed 4%", PC_CST_General_Requirements, 0)</f>
        <v>0</v>
      </c>
      <c r="M51" s="584">
        <f>IF('11. Unit Mix'!$G$142&lt;&gt;0,+F51/'11. Unit Mix'!$G$142,0)</f>
        <v>0</v>
      </c>
      <c r="N51" s="413">
        <f t="shared" ref="N51:N63" si="5">IF(Total_Units&lt;&gt;0,+F51/Total_Units,0)</f>
        <v>0</v>
      </c>
      <c r="O51" s="1128"/>
      <c r="P51" s="802"/>
      <c r="Q51" s="802"/>
      <c r="R51" s="9"/>
      <c r="AU51" s="115"/>
      <c r="AV51" s="115"/>
      <c r="AW51" s="115"/>
      <c r="AX51" s="115"/>
      <c r="AY51" s="115"/>
    </row>
    <row r="52" spans="2:51">
      <c r="B52" s="1116"/>
      <c r="C52" s="2245" t="s">
        <v>3071</v>
      </c>
      <c r="D52" s="2245"/>
      <c r="E52" s="1731"/>
      <c r="F52" s="413">
        <f>+SUM(G52:H52)</f>
        <v>0</v>
      </c>
      <c r="G52" s="212"/>
      <c r="H52" s="212"/>
      <c r="I52" s="212"/>
      <c r="K52" s="212"/>
      <c r="L52" s="229">
        <f>IF(Credit_percentage_applied_for="State + Fed 4%", PC_CST_Builders_Overhead, 0)</f>
        <v>0</v>
      </c>
      <c r="M52" s="584">
        <f>IF('11. Unit Mix'!$G$142&lt;&gt;0,+F52/'11. Unit Mix'!$G$142,0)</f>
        <v>0</v>
      </c>
      <c r="N52" s="413">
        <f t="shared" si="5"/>
        <v>0</v>
      </c>
      <c r="O52" s="1128"/>
      <c r="P52" s="802"/>
      <c r="Q52" s="802"/>
      <c r="R52" s="9"/>
      <c r="AU52" s="115"/>
      <c r="AV52" s="115"/>
      <c r="AW52" s="115"/>
      <c r="AX52" s="115"/>
      <c r="AY52" s="115"/>
    </row>
    <row r="53" spans="2:51">
      <c r="B53" s="1116"/>
      <c r="C53" s="2245" t="s">
        <v>3077</v>
      </c>
      <c r="D53" s="2245"/>
      <c r="E53" s="1731"/>
      <c r="F53" s="413">
        <f>+SUM(G53:H53)</f>
        <v>0</v>
      </c>
      <c r="G53" s="212"/>
      <c r="H53" s="212"/>
      <c r="I53" s="212"/>
      <c r="K53" s="212"/>
      <c r="L53" s="229">
        <f>IF(Credit_percentage_applied_for="State + Fed 4%", PC_CST_Builders_Profit, 0)</f>
        <v>0</v>
      </c>
      <c r="M53" s="584">
        <f>IF('11. Unit Mix'!$G$142&lt;&gt;0,+F53/'11. Unit Mix'!$G$142,0)</f>
        <v>0</v>
      </c>
      <c r="N53" s="413">
        <f t="shared" si="5"/>
        <v>0</v>
      </c>
      <c r="O53" s="1128"/>
      <c r="P53" s="802"/>
      <c r="Q53" s="802"/>
      <c r="R53" s="9"/>
      <c r="AU53" s="115"/>
      <c r="AV53" s="115"/>
      <c r="AW53" s="115"/>
      <c r="AX53" s="115"/>
      <c r="AY53" s="115"/>
    </row>
    <row r="54" spans="2:51">
      <c r="B54" s="1116"/>
      <c r="C54" s="2245" t="s">
        <v>3081</v>
      </c>
      <c r="D54" s="2245"/>
      <c r="E54" s="1731"/>
      <c r="F54" s="413">
        <f>+SUM(G54:H54)</f>
        <v>0</v>
      </c>
      <c r="G54" s="212"/>
      <c r="H54" s="212"/>
      <c r="I54" s="212"/>
      <c r="K54" s="212"/>
      <c r="L54" s="229">
        <f>IF(Credit_percentage_applied_for="State + Fed 4%", PC_CST_Constr_Mgmt_Fee, 0)</f>
        <v>0</v>
      </c>
      <c r="M54" s="584">
        <f>IF('11. Unit Mix'!$G$142&lt;&gt;0,+F54/'11. Unit Mix'!$G$142,0)</f>
        <v>0</v>
      </c>
      <c r="N54" s="413">
        <f t="shared" si="5"/>
        <v>0</v>
      </c>
      <c r="O54" s="1128"/>
      <c r="P54" s="802"/>
      <c r="Q54" s="802"/>
      <c r="R54" s="9"/>
      <c r="AU54" s="115"/>
      <c r="AV54" s="115"/>
      <c r="AW54" s="115"/>
      <c r="AX54" s="115"/>
      <c r="AY54" s="115"/>
    </row>
    <row r="55" spans="2:51" hidden="1">
      <c r="B55" s="1116"/>
      <c r="C55" s="2245" t="s">
        <v>3086</v>
      </c>
      <c r="D55" s="2245"/>
      <c r="E55" s="1731"/>
      <c r="F55" s="446">
        <f t="shared" ref="F55:F56" si="6">+SUM(I55:J55)</f>
        <v>0</v>
      </c>
      <c r="G55" s="212"/>
      <c r="H55" s="212"/>
      <c r="I55" s="212"/>
      <c r="K55" s="214">
        <v>0</v>
      </c>
      <c r="L55" s="229">
        <f>PC_CST_Builders_Risk_Ins_4</f>
        <v>0</v>
      </c>
      <c r="M55" s="592">
        <f>IF('11. Unit Mix'!$G$142&lt;&gt;0,+F55/'11. Unit Mix'!$G$142,0)</f>
        <v>0</v>
      </c>
      <c r="N55" s="446">
        <f t="shared" si="5"/>
        <v>0</v>
      </c>
      <c r="O55" s="1128"/>
      <c r="P55" s="802"/>
      <c r="Q55" s="802"/>
      <c r="R55" s="9"/>
      <c r="AU55" s="115"/>
      <c r="AV55" s="115"/>
      <c r="AW55" s="115"/>
      <c r="AX55" s="115"/>
      <c r="AY55" s="115"/>
    </row>
    <row r="56" spans="2:51" hidden="1">
      <c r="B56" s="1116"/>
      <c r="C56" s="2254" t="s">
        <v>3088</v>
      </c>
      <c r="D56" s="2254"/>
      <c r="E56" s="698"/>
      <c r="F56" s="446">
        <f t="shared" si="6"/>
        <v>0</v>
      </c>
      <c r="G56" s="212"/>
      <c r="H56" s="212"/>
      <c r="I56" s="212"/>
      <c r="K56" s="214">
        <v>0</v>
      </c>
      <c r="L56" s="229">
        <f>PC_CST_Other_Contractor_Fee_4</f>
        <v>0</v>
      </c>
      <c r="M56" s="592">
        <f>IF('11. Unit Mix'!$G$142&lt;&gt;0,+F56/'11. Unit Mix'!$G$142,0)</f>
        <v>0</v>
      </c>
      <c r="N56" s="446">
        <f t="shared" si="5"/>
        <v>0</v>
      </c>
      <c r="O56" s="1128"/>
      <c r="P56" s="802"/>
      <c r="Q56" s="802"/>
      <c r="R56" s="9"/>
      <c r="AU56" s="115"/>
      <c r="AV56" s="115"/>
      <c r="AW56" s="115"/>
      <c r="AX56" s="115"/>
      <c r="AY56" s="115"/>
    </row>
    <row r="57" spans="2:51">
      <c r="B57" s="1116"/>
      <c r="C57" s="2252" t="s">
        <v>3090</v>
      </c>
      <c r="D57" s="2252"/>
      <c r="E57" s="387"/>
      <c r="F57" s="223">
        <f>SUM(F51:F54)</f>
        <v>0</v>
      </c>
      <c r="G57" s="223">
        <f>SUM(G51:G56)</f>
        <v>0</v>
      </c>
      <c r="H57" s="223">
        <f>SUM(H51:H56)</f>
        <v>0</v>
      </c>
      <c r="I57" s="223">
        <f t="shared" ref="I57:J57" si="7">SUM(I51:I56)</f>
        <v>0</v>
      </c>
      <c r="J57" s="223">
        <f t="shared" si="7"/>
        <v>0</v>
      </c>
      <c r="K57" s="223">
        <f>SUM(K51:K56)</f>
        <v>0</v>
      </c>
      <c r="L57" s="224">
        <f>SUM(L51:L56)</f>
        <v>0</v>
      </c>
      <c r="M57" s="593">
        <f>IF('11. Unit Mix'!$G$142&lt;&gt;0,+F57/'11. Unit Mix'!$G$142,0)</f>
        <v>0</v>
      </c>
      <c r="N57" s="223">
        <f t="shared" si="5"/>
        <v>0</v>
      </c>
      <c r="O57" s="1128"/>
      <c r="P57" s="802"/>
      <c r="Q57" s="802"/>
      <c r="R57" s="9"/>
      <c r="AU57" s="115"/>
      <c r="AV57" s="115"/>
      <c r="AW57" s="115"/>
      <c r="AX57" s="115"/>
      <c r="AY57" s="115"/>
    </row>
    <row r="58" spans="2:51">
      <c r="B58" s="1116"/>
      <c r="C58" s="2234" t="s">
        <v>3092</v>
      </c>
      <c r="D58" s="2234"/>
      <c r="E58" s="384"/>
      <c r="F58" s="215">
        <f>SUM(F57,PC_CST_Site_Subtotal_Total,PC_CST_New_Constr_Subtotal_Total)</f>
        <v>0</v>
      </c>
      <c r="G58" s="215">
        <f t="shared" ref="G58:J58" si="8">SUM(G31+G39+G49+G57)</f>
        <v>0</v>
      </c>
      <c r="H58" s="215">
        <f>SUM(H31+H39+H49+H57)</f>
        <v>0</v>
      </c>
      <c r="I58" s="215">
        <f t="shared" si="8"/>
        <v>0</v>
      </c>
      <c r="J58" s="215">
        <f t="shared" si="8"/>
        <v>0</v>
      </c>
      <c r="K58" s="215">
        <f>SUM(K31+K39+K49+K57)</f>
        <v>0</v>
      </c>
      <c r="L58" s="216">
        <f>SUM(L31+L39+L49+L57)</f>
        <v>0</v>
      </c>
      <c r="M58" s="595">
        <f>IF('11. Unit Mix'!$G$142&lt;&gt;0,+F58/'11. Unit Mix'!$G$142,0)</f>
        <v>0</v>
      </c>
      <c r="N58" s="215">
        <f t="shared" si="5"/>
        <v>0</v>
      </c>
      <c r="O58" s="1128"/>
      <c r="P58" s="802"/>
      <c r="Q58" s="802"/>
      <c r="R58" s="9"/>
      <c r="AU58" s="115"/>
      <c r="AV58" s="115"/>
      <c r="AW58" s="115"/>
      <c r="AX58" s="115"/>
      <c r="AY58" s="115"/>
    </row>
    <row r="59" spans="2:51" ht="15.75">
      <c r="B59" s="1116"/>
      <c r="C59" s="2236" t="s">
        <v>3094</v>
      </c>
      <c r="D59" s="2236"/>
      <c r="E59" s="385"/>
      <c r="F59" s="104"/>
      <c r="G59" s="104"/>
      <c r="H59" s="104"/>
      <c r="I59" s="104"/>
      <c r="K59" s="105"/>
      <c r="L59" s="106"/>
      <c r="M59" s="596"/>
      <c r="N59" s="112">
        <f t="shared" si="5"/>
        <v>0</v>
      </c>
      <c r="O59" s="1128"/>
      <c r="P59" s="802"/>
      <c r="Q59" s="802"/>
      <c r="R59" s="9"/>
      <c r="AU59" s="115"/>
      <c r="AV59" s="115"/>
      <c r="AW59" s="115"/>
      <c r="AX59" s="115"/>
      <c r="AY59" s="115"/>
    </row>
    <row r="60" spans="2:51">
      <c r="B60" s="1116"/>
      <c r="C60" s="2238" t="s">
        <v>3096</v>
      </c>
      <c r="D60" s="2238"/>
      <c r="E60" s="712">
        <f>IFERROR(PC_CNT_Res_HC_Contingency_Total/F58,0)</f>
        <v>0</v>
      </c>
      <c r="F60" s="415">
        <f>+SUM(G60:J60)</f>
        <v>0</v>
      </c>
      <c r="G60" s="212"/>
      <c r="H60" s="414"/>
      <c r="I60" s="414"/>
      <c r="K60" s="212"/>
      <c r="L60" s="230">
        <f>IF(Credit_percentage_applied_for="State + Fed 4%", PC_CNT_Res_HC_Contingency, 0)</f>
        <v>0</v>
      </c>
      <c r="M60" s="584">
        <f>IF('11. Unit Mix'!$G$142&lt;&gt;0,+F60/'11. Unit Mix'!$G$142,0)</f>
        <v>0</v>
      </c>
      <c r="N60" s="413">
        <f t="shared" si="5"/>
        <v>0</v>
      </c>
      <c r="O60" s="1128"/>
      <c r="P60" s="802"/>
      <c r="Q60" s="802"/>
      <c r="R60" s="9"/>
      <c r="AU60" s="115"/>
      <c r="AV60" s="115"/>
      <c r="AW60" s="115"/>
      <c r="AX60" s="115"/>
      <c r="AY60" s="115"/>
    </row>
    <row r="61" spans="2:51">
      <c r="B61" s="1116"/>
      <c r="C61" s="2238" t="s">
        <v>3102</v>
      </c>
      <c r="D61" s="2238"/>
      <c r="E61" s="713"/>
      <c r="F61" s="415">
        <f>+SUM(G61:J61)</f>
        <v>0</v>
      </c>
      <c r="G61" s="212"/>
      <c r="H61" s="212"/>
      <c r="I61" s="212"/>
      <c r="K61" s="212"/>
      <c r="L61" s="230">
        <f>IF(Credit_percentage_applied_for="State + Fed 4%", PC_CNT_Res_SC_Contingency, 0)</f>
        <v>0</v>
      </c>
      <c r="M61" s="584">
        <f>IF('11. Unit Mix'!$G$142&lt;&gt;0,+F61/'11. Unit Mix'!$G$142,0)</f>
        <v>0</v>
      </c>
      <c r="N61" s="413">
        <f t="shared" si="5"/>
        <v>0</v>
      </c>
      <c r="O61" s="1128"/>
      <c r="P61" s="802"/>
      <c r="Q61" s="802"/>
      <c r="R61" s="9"/>
      <c r="AU61" s="115"/>
      <c r="AV61" s="115"/>
      <c r="AW61" s="115"/>
      <c r="AX61" s="115"/>
      <c r="AY61" s="115"/>
    </row>
    <row r="62" spans="2:51">
      <c r="B62" s="1116"/>
      <c r="C62" s="2239" t="s">
        <v>3106</v>
      </c>
      <c r="D62" s="2239"/>
      <c r="E62" s="388"/>
      <c r="F62" s="445">
        <f>+SUM(F60:F61)</f>
        <v>0</v>
      </c>
      <c r="G62" s="445">
        <f>+SUM(G59:G61)</f>
        <v>0</v>
      </c>
      <c r="H62" s="445">
        <f>+SUM(H59:H61)</f>
        <v>0</v>
      </c>
      <c r="I62" s="445">
        <f>+SUM(I60:I61)</f>
        <v>0</v>
      </c>
      <c r="K62" s="215">
        <f>SUM(K59:K61)</f>
        <v>0</v>
      </c>
      <c r="L62" s="216">
        <f>SUM(L60:L61)</f>
        <v>0</v>
      </c>
      <c r="M62" s="595">
        <f>IF('11. Unit Mix'!$G$142&lt;&gt;0,+F62/'11. Unit Mix'!$G$142,0)</f>
        <v>0</v>
      </c>
      <c r="N62" s="215">
        <f t="shared" si="5"/>
        <v>0</v>
      </c>
      <c r="O62" s="1128"/>
      <c r="P62" s="802"/>
      <c r="Q62" s="802"/>
      <c r="R62" s="9"/>
      <c r="AU62" s="115"/>
      <c r="AV62" s="115"/>
      <c r="AW62" s="115"/>
      <c r="AX62" s="115"/>
      <c r="AY62" s="115"/>
    </row>
    <row r="63" spans="2:51" ht="15.75">
      <c r="B63" s="1116"/>
      <c r="C63" s="2237" t="s">
        <v>3109</v>
      </c>
      <c r="D63" s="2237"/>
      <c r="E63" s="389"/>
      <c r="F63" s="104"/>
      <c r="G63" s="104"/>
      <c r="H63" s="104"/>
      <c r="I63" s="104"/>
      <c r="K63" s="107"/>
      <c r="L63" s="108"/>
      <c r="M63" s="596"/>
      <c r="N63" s="112">
        <f t="shared" si="5"/>
        <v>0</v>
      </c>
      <c r="O63" s="1128"/>
      <c r="P63" s="802"/>
      <c r="Q63" s="802"/>
      <c r="R63" s="9"/>
      <c r="AU63" s="115"/>
      <c r="AV63" s="115"/>
      <c r="AW63" s="115"/>
      <c r="AX63" s="115"/>
      <c r="AY63" s="115"/>
    </row>
    <row r="64" spans="2:51">
      <c r="B64" s="1116"/>
      <c r="C64" s="103" t="s">
        <v>3110</v>
      </c>
      <c r="D64" s="390"/>
      <c r="E64" s="160"/>
      <c r="F64" s="220"/>
      <c r="G64" s="220"/>
      <c r="H64" s="220"/>
      <c r="I64" s="220"/>
      <c r="K64" s="220"/>
      <c r="L64" s="225"/>
      <c r="M64" s="594"/>
      <c r="N64" s="221"/>
      <c r="O64" s="1128"/>
      <c r="P64" s="802"/>
      <c r="Q64" s="802"/>
      <c r="R64" s="9"/>
      <c r="AU64" s="115"/>
      <c r="AV64" s="115"/>
      <c r="AW64" s="115"/>
      <c r="AX64" s="115"/>
      <c r="AY64" s="115"/>
    </row>
    <row r="65" spans="2:51" hidden="1">
      <c r="B65" s="1116"/>
      <c r="C65" s="2245" t="s">
        <v>3112</v>
      </c>
      <c r="D65" s="2245"/>
      <c r="E65" s="1731"/>
      <c r="F65" s="446">
        <f t="shared" ref="F65:F71" si="9">+SUM(I65:J65)</f>
        <v>0</v>
      </c>
      <c r="G65" s="212"/>
      <c r="H65" s="212"/>
      <c r="I65" s="212"/>
      <c r="K65" s="213">
        <v>0</v>
      </c>
      <c r="L65" s="230">
        <f>IF(Credit_percentage_applied_for="State + Fed 4%", PC_CSP_WHEDA_App_Fees_4, 0)</f>
        <v>0</v>
      </c>
      <c r="M65" s="592">
        <f>IF('11. Unit Mix'!$G$142&lt;&gt;0,+F65/'11. Unit Mix'!$G$142,0)</f>
        <v>0</v>
      </c>
      <c r="N65" s="446">
        <f t="shared" ref="N65:N72" si="10">IF(Total_Units&lt;&gt;0,+F65/Total_Units,0)</f>
        <v>0</v>
      </c>
      <c r="O65" s="1128"/>
      <c r="P65" s="9" t="s">
        <v>4588</v>
      </c>
      <c r="Q65" s="802"/>
      <c r="R65" s="9"/>
      <c r="AU65" s="115"/>
      <c r="AV65" s="115"/>
      <c r="AW65" s="115"/>
      <c r="AX65" s="115"/>
      <c r="AY65" s="115"/>
    </row>
    <row r="66" spans="2:51" hidden="1">
      <c r="B66" s="1116"/>
      <c r="C66" s="2245" t="s">
        <v>3114</v>
      </c>
      <c r="D66" s="2245"/>
      <c r="E66" s="1731"/>
      <c r="F66" s="446">
        <f t="shared" si="9"/>
        <v>0</v>
      </c>
      <c r="G66" s="212"/>
      <c r="H66" s="212"/>
      <c r="I66" s="212"/>
      <c r="K66" s="232"/>
      <c r="L66" s="232"/>
      <c r="M66" s="592">
        <f>IF('11. Unit Mix'!$G$142&lt;&gt;0,+F66/'11. Unit Mix'!$G$142,0)</f>
        <v>0</v>
      </c>
      <c r="N66" s="446">
        <f t="shared" si="10"/>
        <v>0</v>
      </c>
      <c r="O66" s="1128"/>
      <c r="P66" s="802"/>
      <c r="Q66" s="802"/>
      <c r="R66" s="9"/>
      <c r="AU66" s="115"/>
      <c r="AV66" s="115"/>
      <c r="AW66" s="115"/>
      <c r="AX66" s="115"/>
      <c r="AY66" s="115"/>
    </row>
    <row r="67" spans="2:51">
      <c r="B67" s="1116"/>
      <c r="C67" s="2245" t="s">
        <v>3117</v>
      </c>
      <c r="D67" s="2245"/>
      <c r="E67" s="714">
        <f>IFERROR(PC_CSP_WHEDA_Constr_Loan_Total/Construction_Amount_1,0)</f>
        <v>0</v>
      </c>
      <c r="F67" s="415">
        <f>+SUM(G67:J67)</f>
        <v>0</v>
      </c>
      <c r="G67" s="212"/>
      <c r="H67" s="212"/>
      <c r="I67" s="212"/>
      <c r="K67" s="212"/>
      <c r="L67" s="230">
        <f>IF(Credit_percentage_applied_for="State + Fed 4%", PC_CSP_WHEDA_Constr_Loan, 0)</f>
        <v>0</v>
      </c>
      <c r="M67" s="584">
        <f>IF('11. Unit Mix'!$G$142&lt;&gt;0,+F67/'11. Unit Mix'!$G$142,0)</f>
        <v>0</v>
      </c>
      <c r="N67" s="413">
        <f t="shared" si="10"/>
        <v>0</v>
      </c>
      <c r="O67" s="1128"/>
      <c r="P67" s="802"/>
      <c r="Q67" s="802"/>
      <c r="R67" s="9"/>
      <c r="AU67" s="115"/>
      <c r="AV67" s="115"/>
      <c r="AW67" s="115"/>
      <c r="AX67" s="115"/>
      <c r="AY67" s="115"/>
    </row>
    <row r="68" spans="2:51">
      <c r="B68" s="1116"/>
      <c r="C68" s="2245" t="s">
        <v>3121</v>
      </c>
      <c r="D68" s="2245"/>
      <c r="E68" s="714">
        <f>IFERROR(PC_CSP_WHEDA_Other_Finan_Total/Construction_Amount_2,0)</f>
        <v>0</v>
      </c>
      <c r="F68" s="415">
        <f>+SUM(G68:J68)</f>
        <v>0</v>
      </c>
      <c r="G68" s="212"/>
      <c r="H68" s="212"/>
      <c r="I68" s="212"/>
      <c r="K68" s="212"/>
      <c r="L68" s="230">
        <f>IF(Credit_percentage_applied_for="State + Fed 4%", PC_CSP_WHEDA_Other_Finan, 0)</f>
        <v>0</v>
      </c>
      <c r="M68" s="584">
        <f>IF('11. Unit Mix'!$G$142&lt;&gt;0,+F68/'11. Unit Mix'!$G$142,0)</f>
        <v>0</v>
      </c>
      <c r="N68" s="413">
        <f t="shared" si="10"/>
        <v>0</v>
      </c>
      <c r="O68" s="1128"/>
      <c r="P68" s="802"/>
      <c r="Q68" s="802"/>
      <c r="R68" s="9"/>
      <c r="AU68" s="115"/>
      <c r="AV68" s="115"/>
      <c r="AW68" s="115"/>
      <c r="AX68" s="115"/>
      <c r="AY68" s="115"/>
    </row>
    <row r="69" spans="2:51" hidden="1">
      <c r="B69" s="1116"/>
      <c r="C69" s="1726" t="s">
        <v>3126</v>
      </c>
      <c r="D69" s="1731"/>
      <c r="E69" s="698"/>
      <c r="F69" s="446">
        <f t="shared" si="9"/>
        <v>0</v>
      </c>
      <c r="G69" s="212"/>
      <c r="H69" s="212"/>
      <c r="I69" s="212"/>
      <c r="K69" s="213">
        <v>0</v>
      </c>
      <c r="L69" s="230">
        <f>IF(Credit_percentage_applied_for="State + Fed 4%", PC_CSP_WHEDA_Legal_4, 0)</f>
        <v>0</v>
      </c>
      <c r="M69" s="592">
        <f>IF('11. Unit Mix'!$G$142&lt;&gt;0,+F69/'11. Unit Mix'!$G$142,0)</f>
        <v>0</v>
      </c>
      <c r="N69" s="446">
        <f t="shared" si="10"/>
        <v>0</v>
      </c>
      <c r="O69" s="1128"/>
      <c r="P69" s="802"/>
      <c r="Q69" s="802"/>
      <c r="R69" s="9"/>
      <c r="AU69" s="115"/>
      <c r="AV69" s="115"/>
      <c r="AW69" s="115"/>
      <c r="AX69" s="115"/>
      <c r="AY69" s="115"/>
    </row>
    <row r="70" spans="2:51" hidden="1">
      <c r="B70" s="1116"/>
      <c r="C70" s="2245" t="s">
        <v>3128</v>
      </c>
      <c r="D70" s="2245"/>
      <c r="E70" s="1731"/>
      <c r="F70" s="446">
        <f t="shared" si="9"/>
        <v>0</v>
      </c>
      <c r="G70" s="212"/>
      <c r="H70" s="212"/>
      <c r="I70" s="212"/>
      <c r="K70" s="213">
        <v>0</v>
      </c>
      <c r="L70" s="230">
        <f>IF(Credit_percentage_applied_for="State + Fed 4%", PC_CSP_WHEDA_Constr_Inspect_4, 0)</f>
        <v>0</v>
      </c>
      <c r="M70" s="592">
        <f>IF('11. Unit Mix'!$G$142&lt;&gt;0,+F70/'11. Unit Mix'!$G$142,0)</f>
        <v>0</v>
      </c>
      <c r="N70" s="446">
        <f t="shared" si="10"/>
        <v>0</v>
      </c>
      <c r="O70" s="1128"/>
      <c r="P70" s="802"/>
      <c r="Q70" s="802"/>
      <c r="R70" s="9"/>
      <c r="AU70" s="115"/>
      <c r="AV70" s="115"/>
      <c r="AW70" s="115"/>
      <c r="AX70" s="115"/>
      <c r="AY70" s="115"/>
    </row>
    <row r="71" spans="2:51" hidden="1">
      <c r="B71" s="1116"/>
      <c r="C71" s="2245" t="s">
        <v>3130</v>
      </c>
      <c r="D71" s="2245"/>
      <c r="E71" s="1731"/>
      <c r="F71" s="446">
        <f t="shared" si="9"/>
        <v>0</v>
      </c>
      <c r="G71" s="212"/>
      <c r="H71" s="212"/>
      <c r="I71" s="212"/>
      <c r="K71" s="213">
        <v>0</v>
      </c>
      <c r="L71" s="230">
        <f>IF(Credit_percentage_applied_for="State + Fed 4%", PC_CSP_Other_Fees_4, 0)</f>
        <v>0</v>
      </c>
      <c r="M71" s="592">
        <f>IF('11. Unit Mix'!$G$142&lt;&gt;0,+F71/'11. Unit Mix'!$G$142,0)</f>
        <v>0</v>
      </c>
      <c r="N71" s="446">
        <f t="shared" si="10"/>
        <v>0</v>
      </c>
      <c r="O71" s="1128"/>
      <c r="P71" s="802"/>
      <c r="Q71" s="802"/>
      <c r="R71" s="9"/>
      <c r="AU71" s="115"/>
      <c r="AV71" s="115"/>
      <c r="AW71" s="115"/>
      <c r="AX71" s="115"/>
      <c r="AY71" s="115"/>
    </row>
    <row r="72" spans="2:51">
      <c r="B72" s="1116"/>
      <c r="C72" s="2233" t="s">
        <v>3133</v>
      </c>
      <c r="D72" s="2233"/>
      <c r="E72" s="386"/>
      <c r="F72" s="223">
        <f>+SUM(F67:F68)</f>
        <v>0</v>
      </c>
      <c r="G72" s="223">
        <f t="shared" ref="G72:J72" si="11">SUM(G65:G71)</f>
        <v>0</v>
      </c>
      <c r="H72" s="223">
        <f>SUM(H65:H71)</f>
        <v>0</v>
      </c>
      <c r="I72" s="223">
        <f t="shared" si="11"/>
        <v>0</v>
      </c>
      <c r="J72" s="223">
        <f t="shared" si="11"/>
        <v>0</v>
      </c>
      <c r="K72" s="223">
        <f>SUM(K65:K71)</f>
        <v>0</v>
      </c>
      <c r="L72" s="224">
        <f>SUM(L65:L71)</f>
        <v>0</v>
      </c>
      <c r="M72" s="593">
        <f>IF('11. Unit Mix'!$G$142&lt;&gt;0,+F72/'11. Unit Mix'!$G$142,0)</f>
        <v>0</v>
      </c>
      <c r="N72" s="223">
        <f t="shared" si="10"/>
        <v>0</v>
      </c>
      <c r="O72" s="1128"/>
      <c r="P72" s="802"/>
      <c r="Q72" s="802"/>
      <c r="R72" s="9"/>
      <c r="AU72" s="115"/>
      <c r="AV72" s="115"/>
      <c r="AW72" s="115"/>
      <c r="AX72" s="115"/>
      <c r="AY72" s="115"/>
    </row>
    <row r="73" spans="2:51">
      <c r="B73" s="1116"/>
      <c r="C73" s="103" t="s">
        <v>3136</v>
      </c>
      <c r="D73" s="390"/>
      <c r="E73" s="160"/>
      <c r="F73" s="220"/>
      <c r="G73" s="220"/>
      <c r="H73" s="220"/>
      <c r="I73" s="220"/>
      <c r="K73" s="220"/>
      <c r="L73" s="225"/>
      <c r="M73" s="594"/>
      <c r="N73" s="221"/>
      <c r="O73" s="1128"/>
      <c r="P73" s="802"/>
      <c r="Q73" s="802"/>
      <c r="R73" s="9"/>
      <c r="AU73" s="115"/>
      <c r="AV73" s="115"/>
      <c r="AW73" s="115"/>
      <c r="AX73" s="115"/>
      <c r="AY73" s="115"/>
    </row>
    <row r="74" spans="2:51">
      <c r="B74" s="1116"/>
      <c r="C74" s="2232" t="s">
        <v>3137</v>
      </c>
      <c r="D74" s="2232"/>
      <c r="E74" s="704"/>
      <c r="F74" s="415">
        <f>+SUM(G74:J74)</f>
        <v>0</v>
      </c>
      <c r="G74" s="212"/>
      <c r="H74" s="212"/>
      <c r="I74" s="212"/>
      <c r="K74" s="212"/>
      <c r="L74" s="232"/>
      <c r="M74" s="584">
        <f>IF('11. Unit Mix'!$G$142&lt;&gt;0,+F74/'11. Unit Mix'!$G$142,0)</f>
        <v>0</v>
      </c>
      <c r="N74" s="413">
        <f>IF(Total_Units&lt;&gt;0,+F74/Total_Units,0)</f>
        <v>0</v>
      </c>
      <c r="O74" s="1128"/>
      <c r="P74" s="802"/>
      <c r="Q74" s="802"/>
      <c r="R74" s="9"/>
      <c r="AU74" s="115"/>
      <c r="AV74" s="115"/>
      <c r="AW74" s="115"/>
      <c r="AX74" s="115"/>
      <c r="AY74" s="115"/>
    </row>
    <row r="75" spans="2:51">
      <c r="B75" s="1116"/>
      <c r="C75" s="2233" t="s">
        <v>3140</v>
      </c>
      <c r="D75" s="2233"/>
      <c r="E75" s="386"/>
      <c r="F75" s="223">
        <f>SUM(F74:F74)</f>
        <v>0</v>
      </c>
      <c r="G75" s="223">
        <f t="shared" ref="G75:J75" si="12">SUM(G74:G74)</f>
        <v>0</v>
      </c>
      <c r="H75" s="223">
        <f>SUM(H74:H74)</f>
        <v>0</v>
      </c>
      <c r="I75" s="223">
        <f t="shared" si="12"/>
        <v>0</v>
      </c>
      <c r="J75" s="223">
        <f t="shared" si="12"/>
        <v>0</v>
      </c>
      <c r="K75" s="223">
        <f>SUM(K74:K74)</f>
        <v>0</v>
      </c>
      <c r="L75" s="224">
        <f>SUM(L74:L74)</f>
        <v>0</v>
      </c>
      <c r="M75" s="593">
        <f>IF('11. Unit Mix'!$G$142&lt;&gt;0,+F75/'11. Unit Mix'!$G$142,0)</f>
        <v>0</v>
      </c>
      <c r="N75" s="223">
        <f>IF(Total_Units&lt;&gt;0,+F75/Total_Units,0)</f>
        <v>0</v>
      </c>
      <c r="O75" s="1128"/>
      <c r="P75" s="802"/>
      <c r="Q75" s="802"/>
      <c r="R75" s="9"/>
      <c r="AU75" s="115"/>
      <c r="AV75" s="115"/>
      <c r="AW75" s="115"/>
      <c r="AX75" s="115"/>
      <c r="AY75" s="115"/>
    </row>
    <row r="76" spans="2:51">
      <c r="B76" s="1116"/>
      <c r="C76" s="103" t="s">
        <v>3142</v>
      </c>
      <c r="D76" s="390"/>
      <c r="E76" s="160"/>
      <c r="F76" s="220"/>
      <c r="G76" s="220"/>
      <c r="H76" s="220"/>
      <c r="I76" s="220"/>
      <c r="K76" s="220"/>
      <c r="L76" s="225"/>
      <c r="M76" s="594"/>
      <c r="N76" s="221"/>
      <c r="O76" s="1128"/>
      <c r="P76" s="802"/>
      <c r="Q76" s="802"/>
      <c r="R76" s="9"/>
      <c r="AU76" s="115"/>
      <c r="AV76" s="115"/>
      <c r="AW76" s="115"/>
      <c r="AX76" s="115"/>
      <c r="AY76" s="115"/>
    </row>
    <row r="77" spans="2:51">
      <c r="B77" s="1116"/>
      <c r="C77" s="2245" t="s">
        <v>3144</v>
      </c>
      <c r="D77" s="2245"/>
      <c r="E77" s="1731"/>
      <c r="F77" s="415">
        <f t="shared" ref="F77:F84" si="13">+SUM(G77:J77)</f>
        <v>0</v>
      </c>
      <c r="G77" s="212"/>
      <c r="H77" s="212"/>
      <c r="I77" s="212"/>
      <c r="K77" s="212"/>
      <c r="L77" s="230">
        <f>IF(Credit_percentage_applied_for="State + Fed 4%", K77, 0)</f>
        <v>0</v>
      </c>
      <c r="M77" s="584">
        <f>IF('11. Unit Mix'!$G$142&lt;&gt;0,+F77/'11. Unit Mix'!$G$142,0)</f>
        <v>0</v>
      </c>
      <c r="N77" s="413">
        <f t="shared" ref="N77:N85" si="14">IF(Total_Units&lt;&gt;0,+F77/Total_Units,0)</f>
        <v>0</v>
      </c>
      <c r="O77" s="1128"/>
      <c r="P77" s="802"/>
      <c r="Q77" s="802"/>
      <c r="R77" s="9"/>
      <c r="AU77" s="115"/>
      <c r="AV77" s="115"/>
      <c r="AW77" s="115"/>
      <c r="AX77" s="115"/>
      <c r="AY77" s="115"/>
    </row>
    <row r="78" spans="2:51" hidden="1">
      <c r="B78" s="1116"/>
      <c r="C78" s="2245" t="s">
        <v>3147</v>
      </c>
      <c r="D78" s="2245"/>
      <c r="E78" s="1731"/>
      <c r="F78" s="415">
        <f t="shared" si="13"/>
        <v>0</v>
      </c>
      <c r="G78" s="212"/>
      <c r="H78" s="212"/>
      <c r="I78" s="212"/>
      <c r="K78" s="212"/>
      <c r="L78" s="230">
        <f>IF(Credit_percentage_applied_for="State + Fed 4%", K78, 0)</f>
        <v>0</v>
      </c>
      <c r="M78" s="584">
        <f>IF('11. Unit Mix'!$G$142&lt;&gt;0,+F78/'11. Unit Mix'!$G$142,0)</f>
        <v>0</v>
      </c>
      <c r="N78" s="413">
        <f t="shared" si="14"/>
        <v>0</v>
      </c>
      <c r="O78" s="1129"/>
      <c r="R78" s="9"/>
      <c r="AU78" s="115"/>
      <c r="AV78" s="115"/>
      <c r="AW78" s="115"/>
      <c r="AX78" s="115"/>
      <c r="AY78" s="115"/>
    </row>
    <row r="79" spans="2:51" hidden="1">
      <c r="B79" s="1116"/>
      <c r="C79" s="1726" t="s">
        <v>3149</v>
      </c>
      <c r="D79" s="1731"/>
      <c r="E79" s="698"/>
      <c r="F79" s="415">
        <f t="shared" si="13"/>
        <v>0</v>
      </c>
      <c r="G79" s="212"/>
      <c r="H79" s="212"/>
      <c r="I79" s="212"/>
      <c r="K79" s="212"/>
      <c r="L79" s="230">
        <f>IF(Credit_percentage_applied_for="State + Fed 4%", K79, 0)</f>
        <v>0</v>
      </c>
      <c r="M79" s="584">
        <f>IF('11. Unit Mix'!$G$142&lt;&gt;0,+F79/'11. Unit Mix'!$G$142,0)</f>
        <v>0</v>
      </c>
      <c r="N79" s="413">
        <f t="shared" si="14"/>
        <v>0</v>
      </c>
      <c r="O79" s="1129"/>
      <c r="R79" s="9"/>
      <c r="AU79" s="115"/>
      <c r="AV79" s="115"/>
      <c r="AW79" s="115"/>
      <c r="AX79" s="115"/>
      <c r="AY79" s="115"/>
    </row>
    <row r="80" spans="2:51">
      <c r="B80" s="1116"/>
      <c r="C80" s="715" t="s">
        <v>3151</v>
      </c>
      <c r="D80" s="716" t="s">
        <v>4589</v>
      </c>
      <c r="E80" s="717">
        <f>+'19. Construction Draw Schedule'!E194</f>
        <v>0</v>
      </c>
      <c r="F80" s="415">
        <f t="shared" si="13"/>
        <v>0</v>
      </c>
      <c r="G80" s="212"/>
      <c r="H80" s="212"/>
      <c r="I80" s="212"/>
      <c r="K80" s="212"/>
      <c r="L80" s="230">
        <f>IF(Credit_percentage_applied_for="State + Fed 4%", PC_CSP_Constr_Period_Int_4, 0)</f>
        <v>0</v>
      </c>
      <c r="M80" s="584">
        <f>IF('11. Unit Mix'!$G$142&lt;&gt;0,+F80/'11. Unit Mix'!$G$142,0)</f>
        <v>0</v>
      </c>
      <c r="N80" s="413">
        <f t="shared" si="14"/>
        <v>0</v>
      </c>
      <c r="O80" s="1129"/>
      <c r="R80" s="9"/>
      <c r="AU80" s="115"/>
      <c r="AV80" s="115"/>
      <c r="AW80" s="115"/>
      <c r="AX80" s="115"/>
      <c r="AY80" s="115"/>
    </row>
    <row r="81" spans="2:51">
      <c r="B81" s="1116"/>
      <c r="C81" s="1726" t="s">
        <v>3153</v>
      </c>
      <c r="D81" s="1731"/>
      <c r="E81" s="698"/>
      <c r="F81" s="415">
        <f t="shared" si="13"/>
        <v>0</v>
      </c>
      <c r="G81" s="212"/>
      <c r="H81" s="212"/>
      <c r="I81" s="212"/>
      <c r="K81" s="212"/>
      <c r="L81" s="230">
        <f>IF(Credit_percentage_applied_for="State + Fed 4%", PC_CSP_LU_Period_Constr_4, 0)</f>
        <v>0</v>
      </c>
      <c r="M81" s="584">
        <f>IF('11. Unit Mix'!$G$142&lt;&gt;0,+F81/'11. Unit Mix'!$G$142,0)</f>
        <v>0</v>
      </c>
      <c r="N81" s="413">
        <f t="shared" si="14"/>
        <v>0</v>
      </c>
      <c r="O81" s="1129"/>
      <c r="R81" s="9"/>
      <c r="AU81" s="115"/>
      <c r="AV81" s="115"/>
      <c r="AW81" s="115"/>
      <c r="AX81" s="115"/>
      <c r="AY81" s="115"/>
    </row>
    <row r="82" spans="2:51" hidden="1">
      <c r="B82" s="1116"/>
      <c r="C82" s="1726" t="s">
        <v>3158</v>
      </c>
      <c r="D82" s="1731"/>
      <c r="E82" s="698"/>
      <c r="F82" s="415">
        <f t="shared" si="13"/>
        <v>0</v>
      </c>
      <c r="G82" s="212"/>
      <c r="H82" s="212"/>
      <c r="I82" s="212"/>
      <c r="K82" s="212"/>
      <c r="L82" s="230">
        <f>IF(Credit_percentage_applied_for="State + Fed 4%", PC_CSP_Constr_Lender_Fees_4, 0)</f>
        <v>0</v>
      </c>
      <c r="M82" s="584">
        <f>IF('11. Unit Mix'!$G$142&lt;&gt;0,+F82/'11. Unit Mix'!$G$142,0)</f>
        <v>0</v>
      </c>
      <c r="N82" s="413">
        <f t="shared" si="14"/>
        <v>0</v>
      </c>
      <c r="O82" s="1129"/>
      <c r="R82" s="9"/>
      <c r="AU82" s="115"/>
      <c r="AV82" s="115"/>
      <c r="AW82" s="115"/>
      <c r="AX82" s="115"/>
      <c r="AY82" s="115"/>
    </row>
    <row r="83" spans="2:51" hidden="1">
      <c r="B83" s="1116"/>
      <c r="C83" s="2245" t="s">
        <v>3159</v>
      </c>
      <c r="D83" s="2245"/>
      <c r="E83" s="1731"/>
      <c r="F83" s="415">
        <f t="shared" si="13"/>
        <v>0</v>
      </c>
      <c r="G83" s="212"/>
      <c r="H83" s="212"/>
      <c r="I83" s="212"/>
      <c r="K83" s="212"/>
      <c r="L83" s="230">
        <f>IF(Credit_percentage_applied_for="State + Fed 4%", PC_CSP_Lender_Insp_Fees_4, 0)</f>
        <v>0</v>
      </c>
      <c r="M83" s="584">
        <f>IF('11. Unit Mix'!$G$142&lt;&gt;0,+F83/'11. Unit Mix'!$G$142,0)</f>
        <v>0</v>
      </c>
      <c r="N83" s="413">
        <f t="shared" si="14"/>
        <v>0</v>
      </c>
      <c r="O83" s="1129"/>
      <c r="R83" s="9"/>
      <c r="AU83" s="115"/>
      <c r="AV83" s="115"/>
      <c r="AW83" s="115"/>
      <c r="AX83" s="115"/>
      <c r="AY83" s="115"/>
    </row>
    <row r="84" spans="2:51">
      <c r="B84" s="1116"/>
      <c r="C84" s="2245" t="s">
        <v>3160</v>
      </c>
      <c r="D84" s="2245"/>
      <c r="E84" s="1731"/>
      <c r="F84" s="415">
        <f t="shared" si="13"/>
        <v>0</v>
      </c>
      <c r="G84" s="212"/>
      <c r="H84" s="212"/>
      <c r="I84" s="212"/>
      <c r="K84" s="212"/>
      <c r="L84" s="230">
        <f>IF(Credit_percentage_applied_for="State + Fed 4%", PC_CSP_Other_Lender_Fees_4, 0)</f>
        <v>0</v>
      </c>
      <c r="M84" s="584">
        <f>IF('11. Unit Mix'!$G$142&lt;&gt;0,+F84/'11. Unit Mix'!$G$142,0)</f>
        <v>0</v>
      </c>
      <c r="N84" s="413">
        <f t="shared" si="14"/>
        <v>0</v>
      </c>
      <c r="O84" s="1129"/>
      <c r="R84" s="9"/>
      <c r="AU84" s="115"/>
      <c r="AV84" s="115"/>
      <c r="AW84" s="115"/>
      <c r="AX84" s="115"/>
      <c r="AY84" s="115"/>
    </row>
    <row r="85" spans="2:51">
      <c r="B85" s="1116"/>
      <c r="C85" s="2233" t="s">
        <v>3164</v>
      </c>
      <c r="D85" s="2233"/>
      <c r="E85" s="386"/>
      <c r="F85" s="223">
        <f>SUM(F77:F84)</f>
        <v>0</v>
      </c>
      <c r="G85" s="223">
        <f>SUM(G76:G84)</f>
        <v>0</v>
      </c>
      <c r="H85" s="223">
        <f>SUM(H76:H84)</f>
        <v>0</v>
      </c>
      <c r="I85" s="223">
        <f t="shared" ref="I85:J85" si="15">SUM(I77:I84)</f>
        <v>0</v>
      </c>
      <c r="J85" s="223">
        <f t="shared" si="15"/>
        <v>0</v>
      </c>
      <c r="K85" s="223">
        <f>SUM(K76:K84)</f>
        <v>0</v>
      </c>
      <c r="L85" s="224">
        <f>SUM(L77:L84)</f>
        <v>0</v>
      </c>
      <c r="M85" s="593">
        <f>IF('11. Unit Mix'!$G$142&lt;&gt;0,+F85/'11. Unit Mix'!$G$142,0)</f>
        <v>0</v>
      </c>
      <c r="N85" s="223">
        <f t="shared" si="14"/>
        <v>0</v>
      </c>
      <c r="O85" s="1129"/>
      <c r="R85" s="9"/>
      <c r="AU85" s="115"/>
      <c r="AV85" s="115"/>
      <c r="AW85" s="115"/>
      <c r="AX85" s="115"/>
      <c r="AY85" s="115"/>
    </row>
    <row r="86" spans="2:51">
      <c r="B86" s="1116"/>
      <c r="C86" s="103" t="s">
        <v>3165</v>
      </c>
      <c r="D86" s="390"/>
      <c r="E86" s="160"/>
      <c r="F86" s="220"/>
      <c r="G86" s="220"/>
      <c r="H86" s="220"/>
      <c r="I86" s="220"/>
      <c r="K86" s="221"/>
      <c r="L86" s="222"/>
      <c r="M86" s="594"/>
      <c r="N86" s="221"/>
      <c r="O86" s="1129"/>
      <c r="R86" s="9"/>
      <c r="AU86" s="115"/>
      <c r="AV86" s="115"/>
      <c r="AW86" s="115"/>
      <c r="AX86" s="115"/>
      <c r="AY86" s="115"/>
    </row>
    <row r="87" spans="2:51">
      <c r="B87" s="1116"/>
      <c r="C87" s="2245" t="s">
        <v>3167</v>
      </c>
      <c r="D87" s="2245"/>
      <c r="E87" s="1731"/>
      <c r="F87" s="415">
        <f t="shared" ref="F87:F96" si="16">+SUM(G87:J87)</f>
        <v>0</v>
      </c>
      <c r="G87" s="212"/>
      <c r="H87" s="212"/>
      <c r="I87" s="212"/>
      <c r="K87" s="212"/>
      <c r="L87" s="230">
        <f>IF(Credit_percentage_applied_for="State + Fed 4%", PC_CSP_Credit_Enhance_Fee_4, 0)</f>
        <v>0</v>
      </c>
      <c r="M87" s="584">
        <f>IF('11. Unit Mix'!$G$142&lt;&gt;0,+F87/'11. Unit Mix'!$G$142,0)</f>
        <v>0</v>
      </c>
      <c r="N87" s="413">
        <f t="shared" ref="N87:N98" si="17">IF(Total_Units&lt;&gt;0,+F87/Total_Units,0)</f>
        <v>0</v>
      </c>
      <c r="O87" s="1129"/>
      <c r="R87" s="9"/>
      <c r="AU87" s="115"/>
      <c r="AV87" s="115"/>
      <c r="AW87" s="115"/>
      <c r="AX87" s="115"/>
      <c r="AY87" s="115"/>
    </row>
    <row r="88" spans="2:51">
      <c r="B88" s="1116"/>
      <c r="C88" s="2245" t="s">
        <v>3172</v>
      </c>
      <c r="D88" s="2245"/>
      <c r="E88" s="1731"/>
      <c r="F88" s="415">
        <f t="shared" si="16"/>
        <v>0</v>
      </c>
      <c r="G88" s="212"/>
      <c r="H88" s="212"/>
      <c r="I88" s="212"/>
      <c r="K88" s="212"/>
      <c r="L88" s="230">
        <f>IF(Credit_percentage_applied_for="State + Fed 4%", PC_CSP_Taxes_During_Constr_4, 0)</f>
        <v>0</v>
      </c>
      <c r="M88" s="584">
        <f>IF('11. Unit Mix'!$G$142&lt;&gt;0,+F88/'11. Unit Mix'!$G$142,0)</f>
        <v>0</v>
      </c>
      <c r="N88" s="413">
        <f t="shared" si="17"/>
        <v>0</v>
      </c>
      <c r="O88" s="1129"/>
      <c r="R88" s="9"/>
      <c r="AU88" s="115"/>
      <c r="AV88" s="115"/>
      <c r="AW88" s="115"/>
      <c r="AX88" s="115"/>
      <c r="AY88" s="115"/>
    </row>
    <row r="89" spans="2:51">
      <c r="B89" s="1116"/>
      <c r="C89" s="2245" t="s">
        <v>3177</v>
      </c>
      <c r="D89" s="2245"/>
      <c r="E89" s="1731"/>
      <c r="F89" s="415">
        <f t="shared" si="16"/>
        <v>0</v>
      </c>
      <c r="G89" s="212"/>
      <c r="H89" s="212"/>
      <c r="I89" s="212"/>
      <c r="K89" s="212"/>
      <c r="L89" s="230">
        <f>IF(Credit_percentage_applied_for="State + Fed 4%", PC_CSP_Title_Recording_4, 0)</f>
        <v>0</v>
      </c>
      <c r="M89" s="584">
        <f>IF('11. Unit Mix'!$G$142&lt;&gt;0,+F89/'11. Unit Mix'!$G$142,0)</f>
        <v>0</v>
      </c>
      <c r="N89" s="413">
        <f t="shared" si="17"/>
        <v>0</v>
      </c>
      <c r="O89" s="1129"/>
      <c r="R89" s="9"/>
      <c r="AU89" s="115"/>
      <c r="AV89" s="115"/>
      <c r="AW89" s="115"/>
      <c r="AX89" s="115"/>
      <c r="AY89" s="115"/>
    </row>
    <row r="90" spans="2:51">
      <c r="B90" s="1116"/>
      <c r="C90" s="1726" t="s">
        <v>3182</v>
      </c>
      <c r="D90" s="1731"/>
      <c r="E90" s="698"/>
      <c r="F90" s="415">
        <f t="shared" si="16"/>
        <v>0</v>
      </c>
      <c r="G90" s="212"/>
      <c r="H90" s="212"/>
      <c r="I90" s="212"/>
      <c r="K90" s="212"/>
      <c r="L90" s="230">
        <f>IF(Credit_percentage_applied_for="State + Fed 4%", PC_CSP_Green_Building_4, 0)</f>
        <v>0</v>
      </c>
      <c r="M90" s="584">
        <f>IF('11. Unit Mix'!$G$142&lt;&gt;0,+F90/'11. Unit Mix'!$G$142,0)</f>
        <v>0</v>
      </c>
      <c r="N90" s="413">
        <f t="shared" si="17"/>
        <v>0</v>
      </c>
      <c r="O90" s="1129"/>
      <c r="R90" s="9"/>
      <c r="AU90" s="115"/>
      <c r="AV90" s="115"/>
      <c r="AW90" s="115"/>
      <c r="AX90" s="115"/>
      <c r="AY90" s="115"/>
    </row>
    <row r="91" spans="2:51">
      <c r="B91" s="1116"/>
      <c r="C91" s="2245" t="s">
        <v>3183</v>
      </c>
      <c r="D91" s="2245"/>
      <c r="E91" s="1731"/>
      <c r="F91" s="415">
        <f t="shared" si="16"/>
        <v>0</v>
      </c>
      <c r="G91" s="212"/>
      <c r="H91" s="212"/>
      <c r="I91" s="212"/>
      <c r="K91" s="212"/>
      <c r="L91" s="230">
        <f>IF(Credit_percentage_applied_for="State + Fed 4%", PC_CSP_Constr_Hazard_insur_4, 0)</f>
        <v>0</v>
      </c>
      <c r="M91" s="584">
        <f>IF('11. Unit Mix'!$G$142&lt;&gt;0,+F91/'11. Unit Mix'!$G$142,0)</f>
        <v>0</v>
      </c>
      <c r="N91" s="413">
        <f t="shared" si="17"/>
        <v>0</v>
      </c>
      <c r="O91" s="1129"/>
      <c r="R91" s="9"/>
      <c r="AU91" s="115"/>
      <c r="AV91" s="115"/>
      <c r="AW91" s="115"/>
      <c r="AX91" s="115"/>
      <c r="AY91" s="115"/>
    </row>
    <row r="92" spans="2:51">
      <c r="B92" s="1116"/>
      <c r="C92" s="2245" t="s">
        <v>3189</v>
      </c>
      <c r="D92" s="2245"/>
      <c r="E92" s="1731"/>
      <c r="F92" s="415">
        <f t="shared" si="16"/>
        <v>0</v>
      </c>
      <c r="G92" s="212"/>
      <c r="H92" s="212"/>
      <c r="I92" s="212"/>
      <c r="K92" s="212"/>
      <c r="L92" s="230">
        <f>IF(Credit_percentage_applied_for="State + Fed 4%", PC_CSP_Constr_Liability_4, 0)</f>
        <v>0</v>
      </c>
      <c r="M92" s="584">
        <f>IF('11. Unit Mix'!$G$142&lt;&gt;0,+F92/'11. Unit Mix'!$G$142,0)</f>
        <v>0</v>
      </c>
      <c r="N92" s="413">
        <f t="shared" si="17"/>
        <v>0</v>
      </c>
      <c r="O92" s="1129"/>
      <c r="R92" s="9"/>
      <c r="AU92" s="115"/>
      <c r="AV92" s="115"/>
      <c r="AW92" s="115"/>
      <c r="AX92" s="115"/>
      <c r="AY92" s="115"/>
    </row>
    <row r="93" spans="2:51" hidden="1">
      <c r="B93" s="1116"/>
      <c r="C93" s="1726" t="s">
        <v>3191</v>
      </c>
      <c r="D93" s="1731"/>
      <c r="E93" s="698"/>
      <c r="F93" s="415">
        <f t="shared" si="16"/>
        <v>0</v>
      </c>
      <c r="G93" s="212"/>
      <c r="H93" s="212"/>
      <c r="I93" s="212"/>
      <c r="K93" s="212"/>
      <c r="L93" s="230">
        <f>IF(Credit_percentage_applied_for="State + Fed 4%", PC_CSP_Other_Interim_4, 0)</f>
        <v>0</v>
      </c>
      <c r="M93" s="584">
        <f>IF('11. Unit Mix'!$G$142&lt;&gt;0,+F93/'11. Unit Mix'!$G$142,0)</f>
        <v>0</v>
      </c>
      <c r="N93" s="413">
        <f t="shared" si="17"/>
        <v>0</v>
      </c>
      <c r="O93" s="1129"/>
      <c r="R93" s="9"/>
      <c r="AU93" s="115"/>
      <c r="AV93" s="115"/>
      <c r="AW93" s="115"/>
      <c r="AX93" s="115"/>
      <c r="AY93" s="115"/>
    </row>
    <row r="94" spans="2:51">
      <c r="B94" s="1116"/>
      <c r="C94" s="2232" t="s">
        <v>3192</v>
      </c>
      <c r="D94" s="2232"/>
      <c r="E94" s="704"/>
      <c r="F94" s="415">
        <f t="shared" si="16"/>
        <v>0</v>
      </c>
      <c r="G94" s="212"/>
      <c r="H94" s="212"/>
      <c r="I94" s="212"/>
      <c r="K94" s="212"/>
      <c r="L94" s="230">
        <f>IF(Credit_percentage_applied_for="State + Fed 4%", PC_CSP_Temp_Reloocation_4, 0)</f>
        <v>0</v>
      </c>
      <c r="M94" s="584">
        <f>IF('11. Unit Mix'!$G$142&lt;&gt;0,+F94/'11. Unit Mix'!$G$142,0)</f>
        <v>0</v>
      </c>
      <c r="N94" s="413">
        <f t="shared" si="17"/>
        <v>0</v>
      </c>
      <c r="O94" s="1129"/>
      <c r="R94" s="9"/>
      <c r="AU94" s="115"/>
      <c r="AV94" s="115"/>
      <c r="AW94" s="115"/>
      <c r="AX94" s="115"/>
      <c r="AY94" s="115"/>
    </row>
    <row r="95" spans="2:51">
      <c r="B95" s="1116"/>
      <c r="C95" s="2232" t="s">
        <v>3197</v>
      </c>
      <c r="D95" s="2232"/>
      <c r="E95" s="704"/>
      <c r="F95" s="415">
        <f t="shared" si="16"/>
        <v>0</v>
      </c>
      <c r="G95" s="212">
        <v>0</v>
      </c>
      <c r="H95" s="212"/>
      <c r="I95" s="212"/>
      <c r="K95" s="232"/>
      <c r="L95" s="232"/>
      <c r="M95" s="584">
        <f>IF('11. Unit Mix'!$G$142&lt;&gt;0,+F95/'11. Unit Mix'!$G$142,0)</f>
        <v>0</v>
      </c>
      <c r="N95" s="413">
        <f t="shared" si="17"/>
        <v>0</v>
      </c>
      <c r="O95" s="1129"/>
      <c r="R95" s="9"/>
      <c r="AU95" s="115"/>
      <c r="AV95" s="115"/>
      <c r="AW95" s="115"/>
      <c r="AX95" s="115"/>
      <c r="AY95" s="115"/>
    </row>
    <row r="96" spans="2:51">
      <c r="B96" s="1116"/>
      <c r="C96" s="2232" t="s">
        <v>3200</v>
      </c>
      <c r="D96" s="2232"/>
      <c r="E96" s="704"/>
      <c r="F96" s="415">
        <f t="shared" si="16"/>
        <v>0</v>
      </c>
      <c r="G96" s="212"/>
      <c r="H96" s="212"/>
      <c r="I96" s="212"/>
      <c r="K96" s="212"/>
      <c r="L96" s="230">
        <f>IF(Credit_percentage_applied_for="State + Fed 4%", PC_CSP_Other_Constr_Costs_4, 0)</f>
        <v>0</v>
      </c>
      <c r="M96" s="584">
        <f>IF('11. Unit Mix'!$G$142&lt;&gt;0,+F96/'11. Unit Mix'!$G$142,0)</f>
        <v>0</v>
      </c>
      <c r="N96" s="413">
        <f t="shared" si="17"/>
        <v>0</v>
      </c>
      <c r="O96" s="1129"/>
      <c r="R96" s="9"/>
      <c r="AU96" s="115"/>
      <c r="AV96" s="115"/>
      <c r="AW96" s="115"/>
      <c r="AX96" s="115"/>
      <c r="AY96" s="115"/>
    </row>
    <row r="97" spans="2:51">
      <c r="B97" s="1116"/>
      <c r="C97" s="2252" t="s">
        <v>3204</v>
      </c>
      <c r="D97" s="2252"/>
      <c r="E97" s="387"/>
      <c r="F97" s="223">
        <f>SUM(F87:F96)</f>
        <v>0</v>
      </c>
      <c r="G97" s="223">
        <f>SUM(G86:G96)</f>
        <v>0</v>
      </c>
      <c r="H97" s="223">
        <f>SUM(H86:H96)</f>
        <v>0</v>
      </c>
      <c r="I97" s="223">
        <f t="shared" ref="I97:J97" si="18">SUM(I87:I96)</f>
        <v>0</v>
      </c>
      <c r="J97" s="223">
        <f t="shared" si="18"/>
        <v>0</v>
      </c>
      <c r="K97" s="223">
        <f>SUM(K86:K96)</f>
        <v>0</v>
      </c>
      <c r="L97" s="224">
        <f>SUM(L87:L96)</f>
        <v>0</v>
      </c>
      <c r="M97" s="593">
        <f>IF('11. Unit Mix'!$G$142&lt;&gt;0,+F97/'11. Unit Mix'!$G$142,0)</f>
        <v>0</v>
      </c>
      <c r="N97" s="223">
        <f t="shared" si="17"/>
        <v>0</v>
      </c>
      <c r="O97" s="1129"/>
      <c r="R97" s="9"/>
      <c r="AU97" s="115"/>
      <c r="AV97" s="115"/>
      <c r="AW97" s="115"/>
      <c r="AX97" s="115"/>
      <c r="AY97" s="115"/>
    </row>
    <row r="98" spans="2:51">
      <c r="B98" s="1116"/>
      <c r="C98" s="1723" t="s">
        <v>3207</v>
      </c>
      <c r="D98" s="391"/>
      <c r="E98" s="162"/>
      <c r="F98" s="215">
        <f>SUM(F72+F75+F85+F97)</f>
        <v>0</v>
      </c>
      <c r="G98" s="215">
        <f t="shared" ref="G98:J98" si="19">SUM(G72+G75+G85+G97)</f>
        <v>0</v>
      </c>
      <c r="H98" s="215">
        <f>SUM(H72+H75+H85+H97)</f>
        <v>0</v>
      </c>
      <c r="I98" s="215">
        <f t="shared" si="19"/>
        <v>0</v>
      </c>
      <c r="J98" s="215">
        <f t="shared" si="19"/>
        <v>0</v>
      </c>
      <c r="K98" s="215">
        <f>SUM(K72+K75+K85+K97)</f>
        <v>0</v>
      </c>
      <c r="L98" s="216">
        <f>SUM(L72+L75+L85+L97)</f>
        <v>0</v>
      </c>
      <c r="M98" s="595">
        <f>IF('11. Unit Mix'!$G$142&lt;&gt;0,+F98/'11. Unit Mix'!$G$142,0)</f>
        <v>0</v>
      </c>
      <c r="N98" s="215">
        <f t="shared" si="17"/>
        <v>0</v>
      </c>
      <c r="O98" s="1129"/>
      <c r="R98" s="9"/>
      <c r="AU98" s="115"/>
      <c r="AV98" s="115"/>
      <c r="AW98" s="115"/>
      <c r="AX98" s="115"/>
      <c r="AY98" s="115"/>
    </row>
    <row r="99" spans="2:51" ht="15.75">
      <c r="B99" s="1116"/>
      <c r="C99" s="161" t="s">
        <v>3209</v>
      </c>
      <c r="D99" s="163"/>
      <c r="E99" s="163"/>
      <c r="F99" s="104"/>
      <c r="G99" s="104"/>
      <c r="H99" s="104"/>
      <c r="I99" s="104"/>
      <c r="K99" s="105"/>
      <c r="L99" s="106"/>
      <c r="M99" s="597"/>
      <c r="N99" s="598"/>
      <c r="O99" s="1129"/>
      <c r="R99" s="9"/>
      <c r="AU99" s="115"/>
      <c r="AV99" s="115"/>
      <c r="AW99" s="115"/>
      <c r="AX99" s="115"/>
      <c r="AY99" s="115"/>
    </row>
    <row r="100" spans="2:51">
      <c r="B100" s="1116"/>
      <c r="C100" s="103" t="s">
        <v>3210</v>
      </c>
      <c r="D100" s="390"/>
      <c r="E100" s="160"/>
      <c r="F100" s="220"/>
      <c r="G100" s="220"/>
      <c r="H100" s="220"/>
      <c r="I100" s="220"/>
      <c r="K100" s="220"/>
      <c r="L100" s="225"/>
      <c r="M100" s="594"/>
      <c r="N100" s="221"/>
      <c r="O100" s="1129"/>
      <c r="R100" s="9"/>
      <c r="AU100" s="115"/>
      <c r="AV100" s="115"/>
      <c r="AW100" s="115"/>
      <c r="AX100" s="115"/>
      <c r="AY100" s="115"/>
    </row>
    <row r="101" spans="2:51">
      <c r="B101" s="1116"/>
      <c r="C101" s="2251" t="s">
        <v>3212</v>
      </c>
      <c r="D101" s="2251"/>
      <c r="E101" s="718"/>
      <c r="F101" s="415">
        <f t="shared" ref="F101:F109" si="20">+SUM(G101:J101)</f>
        <v>0</v>
      </c>
      <c r="G101" s="212"/>
      <c r="H101" s="212"/>
      <c r="I101" s="212"/>
      <c r="K101" s="232"/>
      <c r="L101" s="232"/>
      <c r="M101" s="584">
        <f>IF('11. Unit Mix'!$G$142&lt;&gt;0,+F101/'11. Unit Mix'!$G$142,0)</f>
        <v>0</v>
      </c>
      <c r="N101" s="413">
        <f t="shared" ref="N101:N110" si="21">IF(Total_Units&lt;&gt;0,+F101/Total_Units,0)</f>
        <v>0</v>
      </c>
      <c r="O101" s="1129"/>
      <c r="R101" s="9"/>
      <c r="AU101" s="115"/>
      <c r="AV101" s="115"/>
      <c r="AW101" s="115"/>
      <c r="AX101" s="115"/>
      <c r="AY101" s="115"/>
    </row>
    <row r="102" spans="2:51">
      <c r="B102" s="1116"/>
      <c r="C102" s="2251" t="s">
        <v>3216</v>
      </c>
      <c r="D102" s="2251"/>
      <c r="E102" s="719">
        <f>IFERROR(PC_FIN_WHEDA_Perm_Loan_Total/SUM(Amount_1),0)</f>
        <v>0</v>
      </c>
      <c r="F102" s="614">
        <f t="shared" si="20"/>
        <v>0</v>
      </c>
      <c r="G102" s="212"/>
      <c r="H102" s="212"/>
      <c r="I102" s="212"/>
      <c r="K102" s="232"/>
      <c r="L102" s="232"/>
      <c r="M102" s="584">
        <f>IF('11. Unit Mix'!$G$142&lt;&gt;0,+F102/'11. Unit Mix'!$G$142,0)</f>
        <v>0</v>
      </c>
      <c r="N102" s="413">
        <f t="shared" si="21"/>
        <v>0</v>
      </c>
      <c r="O102" s="1129"/>
      <c r="R102" s="9"/>
      <c r="AU102" s="115"/>
      <c r="AV102" s="115"/>
      <c r="AW102" s="115"/>
      <c r="AX102" s="115"/>
      <c r="AY102" s="115"/>
    </row>
    <row r="103" spans="2:51" hidden="1">
      <c r="B103" s="1116"/>
      <c r="C103" s="2251" t="s">
        <v>3219</v>
      </c>
      <c r="D103" s="2251"/>
      <c r="E103" s="720"/>
      <c r="F103" s="415">
        <f t="shared" si="20"/>
        <v>0</v>
      </c>
      <c r="G103" s="212"/>
      <c r="H103" s="212"/>
      <c r="I103" s="212"/>
      <c r="K103" s="232"/>
      <c r="L103" s="232"/>
      <c r="M103" s="584">
        <f>IF('11. Unit Mix'!$G$142&lt;&gt;0,+F103/'11. Unit Mix'!$G$142,0)</f>
        <v>0</v>
      </c>
      <c r="N103" s="413">
        <f t="shared" si="21"/>
        <v>0</v>
      </c>
      <c r="O103" s="1129"/>
      <c r="R103" s="9"/>
      <c r="AU103" s="115"/>
      <c r="AV103" s="115"/>
      <c r="AW103" s="115"/>
      <c r="AX103" s="115"/>
      <c r="AY103" s="115"/>
    </row>
    <row r="104" spans="2:51" hidden="1">
      <c r="B104" s="1116"/>
      <c r="C104" s="1727" t="s">
        <v>3221</v>
      </c>
      <c r="D104" s="721"/>
      <c r="E104" s="722"/>
      <c r="F104" s="415">
        <f t="shared" si="20"/>
        <v>0</v>
      </c>
      <c r="G104" s="212"/>
      <c r="H104" s="212"/>
      <c r="I104" s="212"/>
      <c r="K104" s="232"/>
      <c r="L104" s="232"/>
      <c r="M104" s="584">
        <f>IF('11. Unit Mix'!$G$142&lt;&gt;0,+F104/'11. Unit Mix'!$G$142,0)</f>
        <v>0</v>
      </c>
      <c r="N104" s="413">
        <f t="shared" si="21"/>
        <v>0</v>
      </c>
      <c r="O104" s="1129"/>
      <c r="R104" s="9"/>
      <c r="AU104" s="115"/>
      <c r="AV104" s="115"/>
      <c r="AW104" s="115"/>
      <c r="AX104" s="115"/>
      <c r="AY104" s="115"/>
    </row>
    <row r="105" spans="2:51">
      <c r="B105" s="1116"/>
      <c r="C105" s="2251" t="s">
        <v>3222</v>
      </c>
      <c r="D105" s="2251"/>
      <c r="E105" s="721"/>
      <c r="F105" s="415">
        <f t="shared" si="20"/>
        <v>0</v>
      </c>
      <c r="G105" s="212"/>
      <c r="H105" s="212"/>
      <c r="I105" s="212"/>
      <c r="K105" s="232"/>
      <c r="L105" s="232"/>
      <c r="M105" s="584">
        <f>IF('11. Unit Mix'!$G$142&lt;&gt;0,+F105/'11. Unit Mix'!$G$142,0)</f>
        <v>0</v>
      </c>
      <c r="N105" s="413">
        <f t="shared" si="21"/>
        <v>0</v>
      </c>
      <c r="O105" s="1129"/>
      <c r="R105" s="9"/>
      <c r="AU105" s="115"/>
      <c r="AV105" s="115"/>
      <c r="AW105" s="115"/>
      <c r="AX105" s="115"/>
      <c r="AY105" s="115"/>
    </row>
    <row r="106" spans="2:51" hidden="1">
      <c r="B106" s="1116"/>
      <c r="C106" s="1727" t="s">
        <v>3224</v>
      </c>
      <c r="D106" s="721"/>
      <c r="E106" s="722"/>
      <c r="F106" s="415">
        <f t="shared" si="20"/>
        <v>0</v>
      </c>
      <c r="G106" s="212"/>
      <c r="H106" s="212"/>
      <c r="I106" s="212"/>
      <c r="K106" s="232"/>
      <c r="L106" s="232"/>
      <c r="M106" s="584">
        <f>IF('11. Unit Mix'!$G$142&lt;&gt;0,+F106/'11. Unit Mix'!$G$142,0)</f>
        <v>0</v>
      </c>
      <c r="N106" s="413">
        <f t="shared" si="21"/>
        <v>0</v>
      </c>
      <c r="O106" s="1129"/>
      <c r="R106" s="9"/>
      <c r="AU106" s="115"/>
      <c r="AV106" s="115"/>
      <c r="AW106" s="115"/>
      <c r="AX106" s="115"/>
      <c r="AY106" s="115"/>
    </row>
    <row r="107" spans="2:51" hidden="1">
      <c r="B107" s="1116"/>
      <c r="C107" s="1727" t="s">
        <v>3225</v>
      </c>
      <c r="D107" s="721"/>
      <c r="E107" s="722"/>
      <c r="F107" s="415">
        <f t="shared" si="20"/>
        <v>0</v>
      </c>
      <c r="G107" s="212"/>
      <c r="H107" s="212"/>
      <c r="I107" s="212"/>
      <c r="K107" s="232"/>
      <c r="L107" s="232"/>
      <c r="M107" s="584">
        <f>IF('11. Unit Mix'!$G$142&lt;&gt;0,+F107/'11. Unit Mix'!$G$142,0)</f>
        <v>0</v>
      </c>
      <c r="N107" s="413">
        <f t="shared" si="21"/>
        <v>0</v>
      </c>
      <c r="O107" s="1129"/>
      <c r="R107" s="9"/>
      <c r="AU107" s="115"/>
      <c r="AV107" s="115"/>
      <c r="AW107" s="115"/>
      <c r="AX107" s="115"/>
      <c r="AY107" s="115"/>
    </row>
    <row r="108" spans="2:51">
      <c r="B108" s="1116"/>
      <c r="C108" s="2251" t="s">
        <v>3226</v>
      </c>
      <c r="D108" s="2251"/>
      <c r="E108" s="721"/>
      <c r="F108" s="415">
        <f t="shared" si="20"/>
        <v>0</v>
      </c>
      <c r="G108" s="212"/>
      <c r="H108" s="212"/>
      <c r="I108" s="212"/>
      <c r="K108" s="212"/>
      <c r="L108" s="240">
        <f>IF(Credit_percentage_applied_for="State + Fed 4%", K108, 0)</f>
        <v>0</v>
      </c>
      <c r="M108" s="584">
        <f>IF('11. Unit Mix'!$G$142&lt;&gt;0,+F108/'11. Unit Mix'!$G$142,0)</f>
        <v>0</v>
      </c>
      <c r="N108" s="413">
        <f t="shared" si="21"/>
        <v>0</v>
      </c>
      <c r="O108" s="1129"/>
      <c r="R108" s="9"/>
      <c r="AU108" s="115"/>
      <c r="AV108" s="115"/>
      <c r="AW108" s="115"/>
      <c r="AX108" s="115"/>
      <c r="AY108" s="115"/>
    </row>
    <row r="109" spans="2:51">
      <c r="B109" s="1116"/>
      <c r="C109" s="2251" t="s">
        <v>3228</v>
      </c>
      <c r="D109" s="2251"/>
      <c r="E109" s="721"/>
      <c r="F109" s="415">
        <f t="shared" si="20"/>
        <v>0</v>
      </c>
      <c r="G109" s="212"/>
      <c r="H109" s="212"/>
      <c r="I109" s="212"/>
      <c r="K109" s="212"/>
      <c r="L109" s="240">
        <f>IF(Credit_percentage_applied_for="State + Fed 4%", K109, 0)</f>
        <v>0</v>
      </c>
      <c r="M109" s="584">
        <f>IF('11. Unit Mix'!$G$142&lt;&gt;0,+F109/'11. Unit Mix'!$G$142,0)</f>
        <v>0</v>
      </c>
      <c r="N109" s="413">
        <f t="shared" si="21"/>
        <v>0</v>
      </c>
      <c r="O109" s="1129"/>
      <c r="R109" s="9"/>
      <c r="AU109" s="115"/>
      <c r="AV109" s="115"/>
      <c r="AW109" s="115"/>
      <c r="AX109" s="115"/>
      <c r="AY109" s="115"/>
    </row>
    <row r="110" spans="2:51">
      <c r="B110" s="1116"/>
      <c r="C110" s="1723" t="s">
        <v>3230</v>
      </c>
      <c r="D110" s="391"/>
      <c r="E110" s="162"/>
      <c r="F110" s="215">
        <f>SUM(F101:F109)</f>
        <v>0</v>
      </c>
      <c r="G110" s="215">
        <f>SUM(G100:G109)</f>
        <v>0</v>
      </c>
      <c r="H110" s="215">
        <f>SUM(H100:H109)</f>
        <v>0</v>
      </c>
      <c r="I110" s="215">
        <f t="shared" ref="I110:J110" si="22">SUM(I101:I109)</f>
        <v>0</v>
      </c>
      <c r="J110" s="215">
        <f t="shared" si="22"/>
        <v>0</v>
      </c>
      <c r="K110" s="215">
        <f>SUM(K101:K109)</f>
        <v>0</v>
      </c>
      <c r="L110" s="216">
        <f>SUM(L101:L109)</f>
        <v>0</v>
      </c>
      <c r="M110" s="595">
        <f>IF('11. Unit Mix'!$G$142&lt;&gt;0,+F110/'11. Unit Mix'!$G$142,0)</f>
        <v>0</v>
      </c>
      <c r="N110" s="215">
        <f t="shared" si="21"/>
        <v>0</v>
      </c>
      <c r="O110" s="1129"/>
      <c r="R110" s="9"/>
      <c r="AU110" s="115"/>
      <c r="AV110" s="115"/>
      <c r="AW110" s="115"/>
      <c r="AX110" s="115"/>
      <c r="AY110" s="115"/>
    </row>
    <row r="111" spans="2:51" ht="15.75">
      <c r="B111" s="1116"/>
      <c r="C111" s="109" t="s">
        <v>3231</v>
      </c>
      <c r="D111" s="109"/>
      <c r="E111" s="109"/>
      <c r="F111" s="109"/>
      <c r="G111" s="109"/>
      <c r="H111" s="109"/>
      <c r="I111" s="109"/>
      <c r="K111" s="110">
        <v>0</v>
      </c>
      <c r="L111" s="111">
        <v>0</v>
      </c>
      <c r="M111" s="599"/>
      <c r="N111" s="598"/>
      <c r="O111" s="1129"/>
      <c r="R111" s="9"/>
      <c r="AU111" s="115"/>
      <c r="AV111" s="115"/>
      <c r="AW111" s="115"/>
      <c r="AX111" s="115"/>
      <c r="AY111" s="115"/>
    </row>
    <row r="112" spans="2:51">
      <c r="B112" s="1116"/>
      <c r="C112" s="723" t="s">
        <v>3232</v>
      </c>
      <c r="D112" s="2246" t="str">
        <f>IFERROR(SUM(K112:K113)/((K49+K57)+(K31-K29-'13. Construction Cost SOV'!E35-K24)),"N/A")</f>
        <v>N/A</v>
      </c>
      <c r="E112" s="2246"/>
      <c r="F112" s="415">
        <f>+SUM(G112:J112)</f>
        <v>0</v>
      </c>
      <c r="G112" s="212"/>
      <c r="H112" s="212"/>
      <c r="I112" s="212"/>
      <c r="K112" s="212"/>
      <c r="L112" s="230">
        <f>IF(Credit_percentage_applied_for="State + Fed 4%", PC_ARC_Arch_Design_4, 0)</f>
        <v>0</v>
      </c>
      <c r="M112" s="584">
        <f>IF('11. Unit Mix'!$G$142&lt;&gt;0,+F112/'11. Unit Mix'!$G$142,0)</f>
        <v>0</v>
      </c>
      <c r="N112" s="413">
        <f t="shared" ref="N112:N123" si="23">IF(Total_Units&lt;&gt;0,+F112/Total_Units,0)</f>
        <v>0</v>
      </c>
      <c r="O112" s="1129"/>
      <c r="R112" s="9"/>
      <c r="AU112" s="115"/>
      <c r="AV112" s="115"/>
      <c r="AW112" s="115"/>
      <c r="AX112" s="115"/>
      <c r="AY112" s="115"/>
    </row>
    <row r="113" spans="2:51">
      <c r="B113" s="1116"/>
      <c r="C113" s="723" t="s">
        <v>3234</v>
      </c>
      <c r="D113" s="2247" t="str">
        <f>IFERROR(SUM(K112:K113)/Total_Units,"N/A")</f>
        <v>N/A</v>
      </c>
      <c r="E113" s="2248"/>
      <c r="F113" s="415">
        <f>+SUM(G113:J113)</f>
        <v>0</v>
      </c>
      <c r="G113" s="212"/>
      <c r="H113" s="212"/>
      <c r="I113" s="212"/>
      <c r="K113" s="212"/>
      <c r="L113" s="230">
        <f>IF(Credit_percentage_applied_for="State + Fed 4%", PC_ARC_Arch_Super_4, 0)</f>
        <v>0</v>
      </c>
      <c r="M113" s="584">
        <f>IF('11. Unit Mix'!$G$142&lt;&gt;0,+F113/'11. Unit Mix'!$G$142,0)</f>
        <v>0</v>
      </c>
      <c r="N113" s="413">
        <f t="shared" si="23"/>
        <v>0</v>
      </c>
      <c r="O113" s="1129"/>
      <c r="R113" s="9"/>
      <c r="AU113" s="115"/>
      <c r="AV113" s="115"/>
      <c r="AW113" s="115"/>
      <c r="AX113" s="115"/>
      <c r="AY113" s="115"/>
    </row>
    <row r="114" spans="2:51">
      <c r="B114" s="1116"/>
      <c r="C114" s="2238" t="s">
        <v>3236</v>
      </c>
      <c r="D114" s="2232"/>
      <c r="E114" s="713"/>
      <c r="F114" s="415">
        <f>+SUM(G114:J114)</f>
        <v>0</v>
      </c>
      <c r="G114" s="212"/>
      <c r="H114" s="212"/>
      <c r="I114" s="212"/>
      <c r="K114" s="212"/>
      <c r="L114" s="230">
        <f>IF(Credit_percentage_applied_for="State + Fed 4%", PC_ARC_Engineer_Fee_4, 0)</f>
        <v>0</v>
      </c>
      <c r="M114" s="584">
        <f>IF('11. Unit Mix'!$G$142&lt;&gt;0,+F114/'11. Unit Mix'!$G$142,0)</f>
        <v>0</v>
      </c>
      <c r="N114" s="413">
        <f t="shared" si="23"/>
        <v>0</v>
      </c>
      <c r="O114" s="1129"/>
      <c r="R114" s="9"/>
      <c r="AU114" s="115"/>
      <c r="AV114" s="115"/>
      <c r="AW114" s="115"/>
      <c r="AX114" s="115"/>
      <c r="AY114" s="115"/>
    </row>
    <row r="115" spans="2:51">
      <c r="B115" s="1116"/>
      <c r="C115" s="2238" t="s">
        <v>3238</v>
      </c>
      <c r="D115" s="2232"/>
      <c r="E115" s="713"/>
      <c r="F115" s="415">
        <f>+SUM(G115:J115)</f>
        <v>0</v>
      </c>
      <c r="G115" s="212"/>
      <c r="H115" s="212"/>
      <c r="I115" s="212"/>
      <c r="K115" s="212"/>
      <c r="L115" s="230">
        <f>IF(Credit_percentage_applied_for="State + Fed 4%", PC_ARC_ALTA_4, 0)</f>
        <v>0</v>
      </c>
      <c r="M115" s="584">
        <f>IF('11. Unit Mix'!$G$142&lt;&gt;0,+F115/'11. Unit Mix'!$G$142,0)</f>
        <v>0</v>
      </c>
      <c r="N115" s="413">
        <f t="shared" si="23"/>
        <v>0</v>
      </c>
      <c r="O115" s="1129"/>
      <c r="R115" s="9"/>
      <c r="AU115" s="115"/>
      <c r="AV115" s="115"/>
      <c r="AW115" s="115"/>
      <c r="AX115" s="115"/>
      <c r="AY115" s="115"/>
    </row>
    <row r="116" spans="2:51">
      <c r="B116" s="1116"/>
      <c r="C116" s="2249" t="s">
        <v>3240</v>
      </c>
      <c r="D116" s="2250"/>
      <c r="E116" s="724"/>
      <c r="F116" s="415">
        <f>+SUM(G116:J116)</f>
        <v>0</v>
      </c>
      <c r="G116" s="212"/>
      <c r="H116" s="212"/>
      <c r="I116" s="212"/>
      <c r="K116" s="212"/>
      <c r="L116" s="230">
        <f>IF(Credit_percentage_applied_for="State + Fed 4%", PC_ARC_Other_Arch_4, 0)</f>
        <v>0</v>
      </c>
      <c r="M116" s="584">
        <f>IF('11. Unit Mix'!$G$142&lt;&gt;0,+F116/'11. Unit Mix'!$G$142,0)</f>
        <v>0</v>
      </c>
      <c r="N116" s="413">
        <f t="shared" si="23"/>
        <v>0</v>
      </c>
      <c r="O116" s="1129"/>
      <c r="R116" s="9"/>
      <c r="AU116" s="115"/>
      <c r="AV116" s="115"/>
      <c r="AW116" s="115"/>
      <c r="AX116" s="115"/>
      <c r="AY116" s="115"/>
    </row>
    <row r="117" spans="2:51">
      <c r="B117" s="1116"/>
      <c r="C117" s="2234" t="s">
        <v>3241</v>
      </c>
      <c r="D117" s="2235"/>
      <c r="E117" s="384"/>
      <c r="F117" s="215">
        <f>SUM(F112:F116)</f>
        <v>0</v>
      </c>
      <c r="G117" s="215">
        <f>SUM(G111:G116)</f>
        <v>0</v>
      </c>
      <c r="H117" s="215">
        <f>SUM(H111:H116)</f>
        <v>0</v>
      </c>
      <c r="I117" s="215">
        <f t="shared" ref="I117:J117" si="24">SUM(I112:I116)</f>
        <v>0</v>
      </c>
      <c r="J117" s="215">
        <f t="shared" si="24"/>
        <v>0</v>
      </c>
      <c r="K117" s="215">
        <f>SUM(K111:K116)</f>
        <v>0</v>
      </c>
      <c r="L117" s="216">
        <f>SUM(L112:L116)</f>
        <v>0</v>
      </c>
      <c r="M117" s="595">
        <f>IF('11. Unit Mix'!$G$142&lt;&gt;0,+F117/'11. Unit Mix'!$G$142,0)</f>
        <v>0</v>
      </c>
      <c r="N117" s="215">
        <f t="shared" si="23"/>
        <v>0</v>
      </c>
      <c r="O117" s="1129"/>
      <c r="R117" s="9"/>
      <c r="AU117" s="115"/>
      <c r="AV117" s="115"/>
      <c r="AW117" s="115"/>
      <c r="AX117" s="115"/>
      <c r="AY117" s="115"/>
    </row>
    <row r="118" spans="2:51" ht="15.75">
      <c r="B118" s="1116"/>
      <c r="C118" s="2236" t="s">
        <v>3242</v>
      </c>
      <c r="D118" s="2237"/>
      <c r="E118" s="385"/>
      <c r="F118" s="101"/>
      <c r="G118" s="101"/>
      <c r="H118" s="101"/>
      <c r="I118" s="101"/>
      <c r="K118" s="105"/>
      <c r="L118" s="106"/>
      <c r="M118" s="600">
        <f>IF('11. Unit Mix'!$G$142&lt;&gt;0,+F118/'11. Unit Mix'!$G$142,0)</f>
        <v>0</v>
      </c>
      <c r="N118" s="601">
        <f t="shared" si="23"/>
        <v>0</v>
      </c>
      <c r="O118" s="1129"/>
      <c r="R118" s="9"/>
      <c r="AU118" s="115"/>
      <c r="AV118" s="115"/>
      <c r="AW118" s="115"/>
      <c r="AX118" s="115"/>
      <c r="AY118" s="115"/>
    </row>
    <row r="119" spans="2:51">
      <c r="B119" s="1116"/>
      <c r="C119" s="2238" t="s">
        <v>3243</v>
      </c>
      <c r="D119" s="2232"/>
      <c r="E119" s="713"/>
      <c r="F119" s="415">
        <f>+SUM(G119:J119)</f>
        <v>0</v>
      </c>
      <c r="G119" s="212"/>
      <c r="H119" s="212"/>
      <c r="I119" s="212"/>
      <c r="K119" s="232"/>
      <c r="L119" s="232"/>
      <c r="M119" s="584">
        <f>IF('11. Unit Mix'!$G$142&lt;&gt;0,+F119/'11. Unit Mix'!$G$142,0)</f>
        <v>0</v>
      </c>
      <c r="N119" s="413">
        <f t="shared" si="23"/>
        <v>0</v>
      </c>
      <c r="O119" s="1129"/>
      <c r="R119" s="9"/>
      <c r="AU119" s="115"/>
      <c r="AV119" s="115"/>
      <c r="AW119" s="115"/>
      <c r="AX119" s="115"/>
      <c r="AY119" s="115"/>
    </row>
    <row r="120" spans="2:51" hidden="1">
      <c r="B120" s="1116"/>
      <c r="C120" s="2238" t="s">
        <v>3244</v>
      </c>
      <c r="D120" s="2232"/>
      <c r="E120" s="713"/>
      <c r="F120" s="415">
        <f>+SUM(G120:J120)</f>
        <v>0</v>
      </c>
      <c r="G120" s="212"/>
      <c r="H120" s="212"/>
      <c r="I120" s="212"/>
      <c r="K120" s="232"/>
      <c r="L120" s="232"/>
      <c r="M120" s="584">
        <f>IF('11. Unit Mix'!$G$142&lt;&gt;0,+F120/'11. Unit Mix'!$G$142,0)</f>
        <v>0</v>
      </c>
      <c r="N120" s="413">
        <f t="shared" si="23"/>
        <v>0</v>
      </c>
      <c r="O120" s="1129"/>
      <c r="R120" s="9"/>
      <c r="AU120" s="115"/>
      <c r="AV120" s="115"/>
      <c r="AW120" s="115"/>
      <c r="AX120" s="115"/>
      <c r="AY120" s="115"/>
    </row>
    <row r="121" spans="2:51">
      <c r="B121" s="1116"/>
      <c r="C121" s="2238" t="s">
        <v>3245</v>
      </c>
      <c r="D121" s="2232"/>
      <c r="E121" s="713"/>
      <c r="F121" s="415">
        <f>+SUM(G121:J121)</f>
        <v>0</v>
      </c>
      <c r="G121" s="212"/>
      <c r="H121" s="212"/>
      <c r="I121" s="212"/>
      <c r="K121" s="232"/>
      <c r="L121" s="232"/>
      <c r="M121" s="584">
        <f>IF('11. Unit Mix'!$G$142&lt;&gt;0,+F121/'11. Unit Mix'!$G$142,0)</f>
        <v>0</v>
      </c>
      <c r="N121" s="413">
        <f t="shared" si="23"/>
        <v>0</v>
      </c>
      <c r="O121" s="1129"/>
      <c r="R121" s="9"/>
      <c r="AU121" s="115"/>
      <c r="AV121" s="115"/>
      <c r="AW121" s="115"/>
      <c r="AX121" s="115"/>
      <c r="AY121" s="115"/>
    </row>
    <row r="122" spans="2:51">
      <c r="B122" s="1116"/>
      <c r="C122" s="2238" t="s">
        <v>3244</v>
      </c>
      <c r="D122" s="2232"/>
      <c r="E122" s="713"/>
      <c r="F122" s="415">
        <f>+SUM(G122:J122)</f>
        <v>0</v>
      </c>
      <c r="G122" s="212"/>
      <c r="H122" s="212"/>
      <c r="I122" s="212"/>
      <c r="K122" s="232"/>
      <c r="L122" s="232"/>
      <c r="M122" s="584">
        <f>IF('11. Unit Mix'!$G$142&lt;&gt;0,+F122/'11. Unit Mix'!$G$142,0)</f>
        <v>0</v>
      </c>
      <c r="N122" s="413">
        <f t="shared" si="23"/>
        <v>0</v>
      </c>
      <c r="O122" s="1129"/>
      <c r="R122" s="9"/>
      <c r="AU122" s="115"/>
      <c r="AV122" s="115"/>
      <c r="AW122" s="115"/>
      <c r="AX122" s="115"/>
      <c r="AY122" s="115"/>
    </row>
    <row r="123" spans="2:51">
      <c r="B123" s="1116"/>
      <c r="C123" s="2239" t="s">
        <v>3246</v>
      </c>
      <c r="D123" s="2240"/>
      <c r="E123" s="388"/>
      <c r="F123" s="215">
        <f>SUM(F119:F122)</f>
        <v>0</v>
      </c>
      <c r="G123" s="215">
        <f>SUM(G118:G122)</f>
        <v>0</v>
      </c>
      <c r="H123" s="215">
        <f>SUM(H118:H122)</f>
        <v>0</v>
      </c>
      <c r="I123" s="215">
        <f t="shared" ref="I123:J123" si="25">SUM(I119:I122)</f>
        <v>0</v>
      </c>
      <c r="J123" s="215">
        <f t="shared" si="25"/>
        <v>0</v>
      </c>
      <c r="K123" s="215">
        <f>SUM(K119:K122)</f>
        <v>0</v>
      </c>
      <c r="L123" s="216">
        <f>SUM(L119:L122)</f>
        <v>0</v>
      </c>
      <c r="M123" s="595">
        <f>IF('11. Unit Mix'!$G$142&lt;&gt;0,+F123/'11. Unit Mix'!$G$142,0)</f>
        <v>0</v>
      </c>
      <c r="N123" s="215">
        <f t="shared" si="23"/>
        <v>0</v>
      </c>
      <c r="O123" s="1129"/>
      <c r="R123" s="9"/>
      <c r="AU123" s="115"/>
      <c r="AV123" s="115"/>
      <c r="AW123" s="115"/>
      <c r="AX123" s="115"/>
      <c r="AY123" s="115"/>
    </row>
    <row r="124" spans="2:51" ht="15.75">
      <c r="B124" s="1116"/>
      <c r="C124" s="2236" t="s">
        <v>3248</v>
      </c>
      <c r="D124" s="2237"/>
      <c r="E124" s="385"/>
      <c r="F124" s="104"/>
      <c r="G124" s="104"/>
      <c r="H124" s="104"/>
      <c r="I124" s="104"/>
      <c r="K124" s="107"/>
      <c r="L124" s="108" t="s">
        <v>3830</v>
      </c>
      <c r="M124" s="599"/>
      <c r="N124" s="598"/>
      <c r="O124" s="1129"/>
      <c r="R124" s="9"/>
      <c r="AU124" s="115"/>
      <c r="AV124" s="115"/>
      <c r="AW124" s="115"/>
      <c r="AX124" s="115"/>
      <c r="AY124" s="115"/>
    </row>
    <row r="125" spans="2:51">
      <c r="B125" s="1116"/>
      <c r="C125" s="2238" t="s">
        <v>3249</v>
      </c>
      <c r="D125" s="2232"/>
      <c r="E125" s="713"/>
      <c r="F125" s="415">
        <f t="shared" ref="F125:F132" si="26">+SUM(G125:J125)</f>
        <v>0</v>
      </c>
      <c r="G125" s="212"/>
      <c r="H125" s="212"/>
      <c r="I125" s="212"/>
      <c r="K125" s="232"/>
      <c r="L125" s="232"/>
      <c r="M125" s="584">
        <f>IF('11. Unit Mix'!$G$142&lt;&gt;0,+F125/'11. Unit Mix'!$G$142,0)</f>
        <v>0</v>
      </c>
      <c r="N125" s="413">
        <f t="shared" ref="N125:N133" si="27">IF(Total_Units&lt;&gt;0,+F125/Total_Units,0)</f>
        <v>0</v>
      </c>
      <c r="O125" s="1129"/>
      <c r="R125" s="9"/>
      <c r="AU125" s="115"/>
      <c r="AV125" s="115"/>
      <c r="AW125" s="115"/>
      <c r="AX125" s="115"/>
      <c r="AY125" s="115"/>
    </row>
    <row r="126" spans="2:51">
      <c r="B126" s="1116"/>
      <c r="C126" s="2238" t="s">
        <v>3251</v>
      </c>
      <c r="D126" s="2232"/>
      <c r="E126" s="713"/>
      <c r="F126" s="415">
        <f t="shared" si="26"/>
        <v>0</v>
      </c>
      <c r="G126" s="212"/>
      <c r="H126" s="212"/>
      <c r="I126" s="212"/>
      <c r="K126" s="232"/>
      <c r="L126" s="232"/>
      <c r="M126" s="584">
        <f>IF('11. Unit Mix'!$G$142&lt;&gt;0,+F126/'11. Unit Mix'!$G$142,0)</f>
        <v>0</v>
      </c>
      <c r="N126" s="413">
        <f t="shared" si="27"/>
        <v>0</v>
      </c>
      <c r="O126" s="1129"/>
      <c r="R126" s="9"/>
      <c r="AU126" s="115"/>
      <c r="AV126" s="115"/>
      <c r="AW126" s="115"/>
      <c r="AX126" s="115"/>
      <c r="AY126" s="115"/>
    </row>
    <row r="127" spans="2:51" ht="15.75" customHeight="1">
      <c r="B127" s="1116"/>
      <c r="C127" s="2238" t="s">
        <v>3253</v>
      </c>
      <c r="D127" s="2232"/>
      <c r="E127" s="713"/>
      <c r="F127" s="415">
        <f t="shared" si="26"/>
        <v>0</v>
      </c>
      <c r="G127" s="212"/>
      <c r="H127" s="212"/>
      <c r="I127" s="212"/>
      <c r="K127" s="232"/>
      <c r="L127" s="232"/>
      <c r="M127" s="584">
        <f>IF('11. Unit Mix'!$G$142&lt;&gt;0,+F127/'11. Unit Mix'!$G$142,0)</f>
        <v>0</v>
      </c>
      <c r="N127" s="413">
        <f t="shared" si="27"/>
        <v>0</v>
      </c>
      <c r="O127" s="1129"/>
      <c r="R127" s="9"/>
      <c r="AU127" s="115"/>
      <c r="AV127" s="115"/>
      <c r="AW127" s="115"/>
      <c r="AX127" s="115"/>
      <c r="AY127" s="115"/>
    </row>
    <row r="128" spans="2:51">
      <c r="B128" s="1116"/>
      <c r="C128" s="2238" t="s">
        <v>3255</v>
      </c>
      <c r="D128" s="2232"/>
      <c r="E128" s="713"/>
      <c r="F128" s="415">
        <f t="shared" si="26"/>
        <v>0</v>
      </c>
      <c r="G128" s="212"/>
      <c r="H128" s="212"/>
      <c r="I128" s="212"/>
      <c r="K128" s="232"/>
      <c r="L128" s="232"/>
      <c r="M128" s="584">
        <f>IF('11. Unit Mix'!$G$142&lt;&gt;0,+F128/'11. Unit Mix'!$G$142,0)</f>
        <v>0</v>
      </c>
      <c r="N128" s="413">
        <f t="shared" si="27"/>
        <v>0</v>
      </c>
      <c r="O128" s="1129"/>
      <c r="R128" s="9"/>
      <c r="AU128" s="115"/>
      <c r="AV128" s="115"/>
      <c r="AW128" s="115"/>
      <c r="AX128" s="115"/>
      <c r="AY128" s="115"/>
    </row>
    <row r="129" spans="2:51">
      <c r="B129" s="1116"/>
      <c r="C129" s="2238" t="s">
        <v>3256</v>
      </c>
      <c r="D129" s="2232"/>
      <c r="E129" s="713"/>
      <c r="F129" s="415">
        <f t="shared" si="26"/>
        <v>0</v>
      </c>
      <c r="G129" s="212"/>
      <c r="H129" s="212"/>
      <c r="I129" s="212"/>
      <c r="K129" s="232"/>
      <c r="L129" s="232"/>
      <c r="M129" s="584">
        <f>IF('11. Unit Mix'!$G$142&lt;&gt;0,+F129/'11. Unit Mix'!$G$142,0)</f>
        <v>0</v>
      </c>
      <c r="N129" s="413">
        <f t="shared" si="27"/>
        <v>0</v>
      </c>
      <c r="O129" s="1129"/>
      <c r="R129" s="9"/>
      <c r="AU129" s="115"/>
      <c r="AV129" s="115"/>
      <c r="AW129" s="115"/>
      <c r="AX129" s="115"/>
      <c r="AY129" s="115"/>
    </row>
    <row r="130" spans="2:51">
      <c r="B130" s="1116"/>
      <c r="C130" s="2238" t="s">
        <v>3257</v>
      </c>
      <c r="D130" s="2232"/>
      <c r="E130" s="713"/>
      <c r="F130" s="415">
        <f t="shared" si="26"/>
        <v>0</v>
      </c>
      <c r="G130" s="212"/>
      <c r="H130" s="212"/>
      <c r="I130" s="212"/>
      <c r="K130" s="232"/>
      <c r="L130" s="232"/>
      <c r="M130" s="584">
        <f>IF('11. Unit Mix'!$G$142&lt;&gt;0,+F130/'11. Unit Mix'!$G$142,0)</f>
        <v>0</v>
      </c>
      <c r="N130" s="413">
        <f t="shared" si="27"/>
        <v>0</v>
      </c>
      <c r="O130" s="1129"/>
      <c r="R130" s="9"/>
      <c r="AU130" s="115"/>
      <c r="AV130" s="115"/>
      <c r="AW130" s="115"/>
      <c r="AX130" s="115"/>
      <c r="AY130" s="115"/>
    </row>
    <row r="131" spans="2:51">
      <c r="B131" s="1116"/>
      <c r="C131" s="2238" t="s">
        <v>3258</v>
      </c>
      <c r="D131" s="2232"/>
      <c r="E131" s="713"/>
      <c r="F131" s="415">
        <f t="shared" si="26"/>
        <v>0</v>
      </c>
      <c r="G131" s="212"/>
      <c r="H131" s="212"/>
      <c r="I131" s="212"/>
      <c r="K131" s="232"/>
      <c r="L131" s="232"/>
      <c r="M131" s="584">
        <f>IF('11. Unit Mix'!$G$142&lt;&gt;0,+F131/'11. Unit Mix'!$G$142,0)</f>
        <v>0</v>
      </c>
      <c r="N131" s="413">
        <f t="shared" si="27"/>
        <v>0</v>
      </c>
      <c r="O131" s="1129"/>
      <c r="R131" s="9"/>
      <c r="AU131" s="115"/>
      <c r="AV131" s="115"/>
      <c r="AW131" s="115"/>
      <c r="AX131" s="115"/>
      <c r="AY131" s="115"/>
    </row>
    <row r="132" spans="2:51">
      <c r="B132" s="1116"/>
      <c r="C132" s="2238" t="s">
        <v>3259</v>
      </c>
      <c r="D132" s="2232"/>
      <c r="E132" s="713"/>
      <c r="F132" s="415">
        <f t="shared" si="26"/>
        <v>0</v>
      </c>
      <c r="G132" s="212"/>
      <c r="H132" s="212"/>
      <c r="I132" s="212"/>
      <c r="K132" s="218"/>
      <c r="L132" s="233"/>
      <c r="M132" s="584">
        <f>IF('11. Unit Mix'!$G$142&lt;&gt;0,+F132/'11. Unit Mix'!$G$142,0)</f>
        <v>0</v>
      </c>
      <c r="N132" s="413">
        <f t="shared" si="27"/>
        <v>0</v>
      </c>
      <c r="O132" s="1129"/>
      <c r="R132" s="9"/>
      <c r="AU132" s="115"/>
      <c r="AV132" s="115"/>
      <c r="AW132" s="115"/>
      <c r="AX132" s="115"/>
      <c r="AY132" s="115"/>
    </row>
    <row r="133" spans="2:51">
      <c r="B133" s="1116"/>
      <c r="C133" s="2239" t="s">
        <v>3260</v>
      </c>
      <c r="D133" s="2240"/>
      <c r="E133" s="388"/>
      <c r="F133" s="215">
        <f>SUM(F125:F132)</f>
        <v>0</v>
      </c>
      <c r="G133" s="215">
        <f>SUM(G124:G132)</f>
        <v>0</v>
      </c>
      <c r="H133" s="215">
        <f>SUM(H124:H132)</f>
        <v>0</v>
      </c>
      <c r="I133" s="215">
        <f t="shared" ref="I133:J133" si="28">SUM(I125:I132)</f>
        <v>0</v>
      </c>
      <c r="J133" s="215">
        <f t="shared" si="28"/>
        <v>0</v>
      </c>
      <c r="K133" s="215">
        <f>SUM(K125:K132)</f>
        <v>0</v>
      </c>
      <c r="L133" s="216">
        <f>SUM(L125:L132)</f>
        <v>0</v>
      </c>
      <c r="M133" s="595">
        <f>IF('11. Unit Mix'!$G$142&lt;&gt;0,+F133/'11. Unit Mix'!$G$142,0)</f>
        <v>0</v>
      </c>
      <c r="N133" s="215">
        <f t="shared" si="27"/>
        <v>0</v>
      </c>
      <c r="O133" s="1129"/>
      <c r="R133" s="9"/>
      <c r="AU133" s="115"/>
      <c r="AV133" s="115"/>
      <c r="AW133" s="115"/>
      <c r="AX133" s="115"/>
      <c r="AY133" s="115"/>
    </row>
    <row r="134" spans="2:51" ht="15.75">
      <c r="B134" s="1116"/>
      <c r="C134" s="109" t="s">
        <v>3261</v>
      </c>
      <c r="D134" s="161"/>
      <c r="E134" s="392"/>
      <c r="F134" s="109"/>
      <c r="G134" s="109"/>
      <c r="H134" s="109"/>
      <c r="I134" s="109"/>
      <c r="K134" s="107"/>
      <c r="L134" s="108"/>
      <c r="M134" s="599"/>
      <c r="N134" s="598"/>
      <c r="O134" s="1129"/>
      <c r="R134" s="9"/>
      <c r="AU134" s="115"/>
      <c r="AV134" s="115"/>
      <c r="AW134" s="115"/>
      <c r="AX134" s="115"/>
      <c r="AY134" s="115"/>
    </row>
    <row r="135" spans="2:51">
      <c r="B135" s="1116"/>
      <c r="C135" s="103" t="s">
        <v>3262</v>
      </c>
      <c r="D135" s="390"/>
      <c r="E135" s="160"/>
      <c r="F135" s="220"/>
      <c r="G135" s="220"/>
      <c r="H135" s="220"/>
      <c r="I135" s="220"/>
      <c r="K135" s="221"/>
      <c r="L135" s="222"/>
      <c r="M135" s="594"/>
      <c r="N135" s="221"/>
      <c r="O135" s="1129"/>
      <c r="R135" s="9"/>
      <c r="AU135" s="115"/>
      <c r="AV135" s="115"/>
      <c r="AW135" s="115"/>
      <c r="AX135" s="115"/>
      <c r="AY135" s="115"/>
    </row>
    <row r="136" spans="2:51">
      <c r="B136" s="1116"/>
      <c r="C136" s="2232" t="s">
        <v>3263</v>
      </c>
      <c r="D136" s="2232"/>
      <c r="E136" s="704"/>
      <c r="F136" s="415">
        <f>+SUM(G136:J136)</f>
        <v>0</v>
      </c>
      <c r="G136" s="212"/>
      <c r="H136" s="212"/>
      <c r="I136" s="212"/>
      <c r="K136" s="212"/>
      <c r="L136" s="230">
        <f>IF(Credit_percentage_applied_for="State + Fed 4%", PC_RPT_Appraisals_4, 0)</f>
        <v>0</v>
      </c>
      <c r="M136" s="584">
        <f>IF('11. Unit Mix'!$G$142&lt;&gt;0,+F136/'11. Unit Mix'!$G$142,0)</f>
        <v>0</v>
      </c>
      <c r="N136" s="413">
        <f t="shared" ref="N136:N149" si="29">IF(Total_Units&lt;&gt;0,+F136/Total_Units,0)</f>
        <v>0</v>
      </c>
      <c r="O136" s="1129"/>
      <c r="R136" s="9"/>
      <c r="AU136" s="115"/>
      <c r="AV136" s="115"/>
      <c r="AW136" s="115"/>
      <c r="AX136" s="115"/>
      <c r="AY136" s="115"/>
    </row>
    <row r="137" spans="2:51">
      <c r="B137" s="1116"/>
      <c r="C137" s="2232" t="s">
        <v>3265</v>
      </c>
      <c r="D137" s="2232"/>
      <c r="E137" s="704"/>
      <c r="F137" s="415">
        <f>+SUM(G137:J137)</f>
        <v>0</v>
      </c>
      <c r="G137" s="212"/>
      <c r="H137" s="212"/>
      <c r="I137" s="212"/>
      <c r="K137" s="212"/>
      <c r="L137" s="230">
        <f>IF(Credit_percentage_applied_for="State + Fed 4%", PC_RPT_Market_Study_4, 0)</f>
        <v>0</v>
      </c>
      <c r="M137" s="584">
        <f>IF('11. Unit Mix'!$G$142&lt;&gt;0,+F137/'11. Unit Mix'!$G$142,0)</f>
        <v>0</v>
      </c>
      <c r="N137" s="413">
        <f t="shared" si="29"/>
        <v>0</v>
      </c>
      <c r="O137" s="1129"/>
      <c r="R137" s="9"/>
      <c r="AU137" s="115"/>
      <c r="AV137" s="115"/>
      <c r="AW137" s="115"/>
      <c r="AX137" s="115"/>
      <c r="AY137" s="115"/>
    </row>
    <row r="138" spans="2:51">
      <c r="B138" s="1116"/>
      <c r="C138" s="2232" t="s">
        <v>3266</v>
      </c>
      <c r="D138" s="2232"/>
      <c r="E138" s="704"/>
      <c r="F138" s="415">
        <f>+SUM(G138:J138)</f>
        <v>0</v>
      </c>
      <c r="G138" s="212"/>
      <c r="H138" s="212"/>
      <c r="I138" s="212"/>
      <c r="K138" s="212"/>
      <c r="L138" s="230">
        <f>IF(Credit_percentage_applied_for="State + Fed 4%", PC_RPT_Physical_Capital_4, 0)</f>
        <v>0</v>
      </c>
      <c r="M138" s="584">
        <f>IF('11. Unit Mix'!$G$142&lt;&gt;0,+F138/'11. Unit Mix'!$G$142,0)</f>
        <v>0</v>
      </c>
      <c r="N138" s="413">
        <f t="shared" si="29"/>
        <v>0</v>
      </c>
      <c r="O138" s="1129"/>
      <c r="R138" s="9"/>
      <c r="AU138" s="115"/>
      <c r="AV138" s="115"/>
      <c r="AW138" s="115"/>
      <c r="AX138" s="115"/>
      <c r="AY138" s="115"/>
    </row>
    <row r="139" spans="2:51">
      <c r="B139" s="1116"/>
      <c r="C139" s="2232" t="s">
        <v>3268</v>
      </c>
      <c r="D139" s="2232"/>
      <c r="E139" s="704"/>
      <c r="F139" s="415">
        <f>+SUM(G139:J139)</f>
        <v>0</v>
      </c>
      <c r="G139" s="212"/>
      <c r="H139" s="212"/>
      <c r="I139" s="212"/>
      <c r="K139" s="212"/>
      <c r="L139" s="230">
        <f>IF(Credit_percentage_applied_for="State + Fed 4%", PC_RPT_Environmental_Study_4, 0)</f>
        <v>0</v>
      </c>
      <c r="M139" s="584">
        <f>IF('11. Unit Mix'!$G$142&lt;&gt;0,+F139/'11. Unit Mix'!$G$142,0)</f>
        <v>0</v>
      </c>
      <c r="N139" s="413">
        <f t="shared" si="29"/>
        <v>0</v>
      </c>
      <c r="O139" s="1129"/>
      <c r="R139" s="9"/>
      <c r="AU139" s="115"/>
      <c r="AV139" s="115"/>
      <c r="AW139" s="115"/>
      <c r="AX139" s="115"/>
      <c r="AY139" s="115"/>
    </row>
    <row r="140" spans="2:51" hidden="1">
      <c r="B140" s="1116"/>
      <c r="C140" s="2233" t="s">
        <v>3271</v>
      </c>
      <c r="D140" s="2233"/>
      <c r="E140" s="386"/>
      <c r="F140" s="223">
        <f>SUM(F136:F139)</f>
        <v>0</v>
      </c>
      <c r="G140" s="223"/>
      <c r="H140" s="223"/>
      <c r="I140" s="223">
        <f>SUM(I136:I139)</f>
        <v>0</v>
      </c>
      <c r="K140" s="223">
        <f>SUM(K136:K139)</f>
        <v>0</v>
      </c>
      <c r="L140" s="224">
        <f>SUM(L136:L139)</f>
        <v>0</v>
      </c>
      <c r="M140" s="593">
        <f>IF('11. Unit Mix'!$G$142&lt;&gt;0,+F140/'11. Unit Mix'!$G$142,0)</f>
        <v>0</v>
      </c>
      <c r="N140" s="223">
        <f t="shared" si="29"/>
        <v>0</v>
      </c>
      <c r="O140" s="1129"/>
      <c r="R140" s="9"/>
      <c r="AU140" s="115"/>
      <c r="AV140" s="115"/>
      <c r="AW140" s="115"/>
      <c r="AX140" s="115"/>
      <c r="AY140" s="115"/>
    </row>
    <row r="141" spans="2:51" hidden="1">
      <c r="B141" s="1116"/>
      <c r="C141" s="103" t="s">
        <v>3272</v>
      </c>
      <c r="D141" s="390"/>
      <c r="E141" s="160"/>
      <c r="F141" s="220"/>
      <c r="G141" s="220"/>
      <c r="H141" s="220"/>
      <c r="I141" s="220"/>
      <c r="K141" s="221"/>
      <c r="L141" s="222"/>
      <c r="M141" s="594">
        <f>IF('11. Unit Mix'!$G$142&lt;&gt;0,+F141/'11. Unit Mix'!$G$142,0)</f>
        <v>0</v>
      </c>
      <c r="N141" s="221">
        <f t="shared" si="29"/>
        <v>0</v>
      </c>
      <c r="O141" s="1129"/>
      <c r="R141" s="9"/>
      <c r="AU141" s="115"/>
      <c r="AV141" s="115"/>
      <c r="AW141" s="115"/>
      <c r="AX141" s="115"/>
      <c r="AY141" s="115"/>
    </row>
    <row r="142" spans="2:51" hidden="1">
      <c r="B142" s="1116"/>
      <c r="C142" s="1722" t="s">
        <v>3273</v>
      </c>
      <c r="D142" s="704"/>
      <c r="E142" s="713"/>
      <c r="F142" s="446">
        <f t="shared" ref="F142:F147" si="30">+SUM(I142:J142)</f>
        <v>0</v>
      </c>
      <c r="G142" s="212"/>
      <c r="H142" s="212"/>
      <c r="I142" s="212"/>
      <c r="K142" s="213">
        <v>0</v>
      </c>
      <c r="L142" s="230">
        <f>IF(Credit_percentage_applied_for="State + Fed 4%", PC_RPT_Environmental_Review_4, 0)</f>
        <v>0</v>
      </c>
      <c r="M142" s="592">
        <f>IF('11. Unit Mix'!$G$142&lt;&gt;0,+F142/'11. Unit Mix'!$G$142,0)</f>
        <v>0</v>
      </c>
      <c r="N142" s="446">
        <f t="shared" si="29"/>
        <v>0</v>
      </c>
      <c r="O142" s="1129"/>
      <c r="R142" s="9"/>
      <c r="AU142" s="115"/>
      <c r="AV142" s="115"/>
      <c r="AW142" s="115"/>
      <c r="AX142" s="115"/>
      <c r="AY142" s="115"/>
    </row>
    <row r="143" spans="2:51" hidden="1">
      <c r="B143" s="1116"/>
      <c r="C143" s="2232" t="s">
        <v>4590</v>
      </c>
      <c r="D143" s="2232"/>
      <c r="E143" s="704"/>
      <c r="F143" s="446">
        <f t="shared" si="30"/>
        <v>0</v>
      </c>
      <c r="G143" s="212"/>
      <c r="H143" s="212"/>
      <c r="I143" s="212"/>
      <c r="K143" s="213">
        <v>0</v>
      </c>
      <c r="L143" s="230">
        <f>IF(Credit_percentage_applied_for="State + Fed 4%", PC_RPT_Soils_4, 0)</f>
        <v>0</v>
      </c>
      <c r="M143" s="592">
        <f>IF('11. Unit Mix'!$G$142&lt;&gt;0,+F143/'11. Unit Mix'!$G$142,0)</f>
        <v>0</v>
      </c>
      <c r="N143" s="446">
        <f t="shared" si="29"/>
        <v>0</v>
      </c>
      <c r="O143" s="1129"/>
      <c r="R143" s="9"/>
      <c r="AU143" s="115"/>
      <c r="AV143" s="115"/>
      <c r="AW143" s="115"/>
      <c r="AX143" s="115"/>
      <c r="AY143" s="115"/>
    </row>
    <row r="144" spans="2:51" hidden="1">
      <c r="B144" s="1116"/>
      <c r="C144" s="1722" t="s">
        <v>3275</v>
      </c>
      <c r="D144" s="704"/>
      <c r="E144" s="713"/>
      <c r="F144" s="446">
        <f t="shared" si="30"/>
        <v>0</v>
      </c>
      <c r="G144" s="212"/>
      <c r="H144" s="212"/>
      <c r="I144" s="212"/>
      <c r="K144" s="213">
        <v>0</v>
      </c>
      <c r="L144" s="230">
        <f>IF(Credit_percentage_applied_for="State + Fed 4%", PC_RPT_Boundry_4, 0)</f>
        <v>0</v>
      </c>
      <c r="M144" s="592">
        <f>IF('11. Unit Mix'!$G$142&lt;&gt;0,+F144/'11. Unit Mix'!$G$142,0)</f>
        <v>0</v>
      </c>
      <c r="N144" s="446">
        <f t="shared" si="29"/>
        <v>0</v>
      </c>
      <c r="O144" s="1129"/>
      <c r="R144" s="9"/>
      <c r="AU144" s="115"/>
      <c r="AV144" s="115"/>
      <c r="AW144" s="115"/>
      <c r="AX144" s="115"/>
      <c r="AY144" s="115"/>
    </row>
    <row r="145" spans="2:51" hidden="1">
      <c r="B145" s="1116"/>
      <c r="C145" s="2253" t="s">
        <v>3276</v>
      </c>
      <c r="D145" s="2253"/>
      <c r="E145" s="710"/>
      <c r="F145" s="446">
        <f t="shared" si="30"/>
        <v>0</v>
      </c>
      <c r="G145" s="212"/>
      <c r="H145" s="212"/>
      <c r="I145" s="212"/>
      <c r="K145" s="213">
        <v>0</v>
      </c>
      <c r="L145" s="230">
        <f>IF(Credit_percentage_applied_for="State + Fed 4%", PC_RPT_Third_Party_Review_4, 0)</f>
        <v>0</v>
      </c>
      <c r="M145" s="592">
        <f>IF('11. Unit Mix'!$G$142&lt;&gt;0,+F145/'11. Unit Mix'!$G$142,0)</f>
        <v>0</v>
      </c>
      <c r="N145" s="446">
        <f t="shared" si="29"/>
        <v>0</v>
      </c>
      <c r="O145" s="1129"/>
      <c r="R145" s="9"/>
      <c r="AU145" s="115"/>
      <c r="AV145" s="115"/>
      <c r="AW145" s="115"/>
      <c r="AX145" s="115"/>
      <c r="AY145" s="115"/>
    </row>
    <row r="146" spans="2:51" hidden="1">
      <c r="B146" s="1116"/>
      <c r="C146" s="2253" t="s">
        <v>3277</v>
      </c>
      <c r="D146" s="2253"/>
      <c r="E146" s="710"/>
      <c r="F146" s="446">
        <f t="shared" si="30"/>
        <v>0</v>
      </c>
      <c r="G146" s="212"/>
      <c r="H146" s="212"/>
      <c r="I146" s="212"/>
      <c r="K146" s="213">
        <v>0</v>
      </c>
      <c r="L146" s="230">
        <f>IF(Credit_percentage_applied_for="State + Fed 4%", PC_RPT_Other_Zoning_Fees_4, 0)</f>
        <v>0</v>
      </c>
      <c r="M146" s="592">
        <f>IF('11. Unit Mix'!$G$142&lt;&gt;0,+F146/'11. Unit Mix'!$G$142,0)</f>
        <v>0</v>
      </c>
      <c r="N146" s="446">
        <f t="shared" si="29"/>
        <v>0</v>
      </c>
      <c r="O146" s="1129"/>
      <c r="R146" s="9"/>
      <c r="AU146" s="115"/>
      <c r="AV146" s="115"/>
      <c r="AW146" s="115"/>
      <c r="AX146" s="115"/>
      <c r="AY146" s="115"/>
    </row>
    <row r="147" spans="2:51" hidden="1">
      <c r="B147" s="1116"/>
      <c r="C147" s="2245" t="s">
        <v>3278</v>
      </c>
      <c r="D147" s="2245"/>
      <c r="E147" s="1731"/>
      <c r="F147" s="446">
        <f t="shared" si="30"/>
        <v>0</v>
      </c>
      <c r="G147" s="212"/>
      <c r="H147" s="212"/>
      <c r="I147" s="212"/>
      <c r="K147" s="213">
        <v>0</v>
      </c>
      <c r="L147" s="230">
        <f>IF(Credit_percentage_applied_for="State + Fed 4%", PC_RPT_Other_Reports_4, 0)</f>
        <v>0</v>
      </c>
      <c r="M147" s="592">
        <f>IF('11. Unit Mix'!$G$142&lt;&gt;0,+F147/'11. Unit Mix'!$G$142,0)</f>
        <v>0</v>
      </c>
      <c r="N147" s="446">
        <f t="shared" si="29"/>
        <v>0</v>
      </c>
      <c r="O147" s="1129"/>
      <c r="R147" s="9"/>
      <c r="AU147" s="115"/>
      <c r="AV147" s="115"/>
      <c r="AW147" s="115"/>
      <c r="AX147" s="115"/>
      <c r="AY147" s="115"/>
    </row>
    <row r="148" spans="2:51" hidden="1">
      <c r="B148" s="1116"/>
      <c r="C148" s="2233" t="s">
        <v>3279</v>
      </c>
      <c r="D148" s="2233"/>
      <c r="E148" s="386"/>
      <c r="F148" s="223">
        <f>SUM(F142:F147)</f>
        <v>0</v>
      </c>
      <c r="G148" s="223"/>
      <c r="H148" s="223"/>
      <c r="I148" s="223">
        <f>SUM(I142:I147)</f>
        <v>0</v>
      </c>
      <c r="K148" s="223">
        <f>SUM(K142:K147)</f>
        <v>0</v>
      </c>
      <c r="L148" s="224">
        <f>SUM(L142:L147)</f>
        <v>0</v>
      </c>
      <c r="M148" s="593">
        <f>IF('11. Unit Mix'!$G$142&lt;&gt;0,+F148/'11. Unit Mix'!$G$142,0)</f>
        <v>0</v>
      </c>
      <c r="N148" s="223">
        <f t="shared" si="29"/>
        <v>0</v>
      </c>
      <c r="O148" s="1129"/>
      <c r="R148" s="9"/>
      <c r="AU148" s="115"/>
      <c r="AV148" s="115"/>
      <c r="AW148" s="115"/>
      <c r="AX148" s="115"/>
      <c r="AY148" s="115"/>
    </row>
    <row r="149" spans="2:51">
      <c r="B149" s="1116"/>
      <c r="C149" s="2240" t="s">
        <v>3280</v>
      </c>
      <c r="D149" s="2240"/>
      <c r="E149" s="1730"/>
      <c r="F149" s="215">
        <f>+F148+F140</f>
        <v>0</v>
      </c>
      <c r="G149" s="215">
        <f>+SUM(G135:G139)</f>
        <v>0</v>
      </c>
      <c r="H149" s="215">
        <f>+SUM(H135:H139)</f>
        <v>0</v>
      </c>
      <c r="I149" s="215">
        <f>+SUM(I136:I139)</f>
        <v>0</v>
      </c>
      <c r="J149" s="215">
        <f>+SUM(J136:J139)</f>
        <v>0</v>
      </c>
      <c r="K149" s="215">
        <f>+SUM(K135:K139)</f>
        <v>0</v>
      </c>
      <c r="L149" s="216">
        <f>+L148+L140</f>
        <v>0</v>
      </c>
      <c r="M149" s="595">
        <f>IF('11. Unit Mix'!$G$142&lt;&gt;0,+F149/'11. Unit Mix'!$G$142,0)</f>
        <v>0</v>
      </c>
      <c r="N149" s="215">
        <f t="shared" si="29"/>
        <v>0</v>
      </c>
      <c r="O149" s="1129"/>
      <c r="R149" s="9"/>
      <c r="AU149" s="115"/>
      <c r="AV149" s="115"/>
      <c r="AW149" s="115"/>
      <c r="AX149" s="115"/>
      <c r="AY149" s="115"/>
    </row>
    <row r="150" spans="2:51" ht="15.75">
      <c r="B150" s="1116"/>
      <c r="C150" s="2237" t="s">
        <v>3281</v>
      </c>
      <c r="D150" s="2237"/>
      <c r="E150" s="389"/>
      <c r="F150" s="104"/>
      <c r="G150" s="104"/>
      <c r="H150" s="104"/>
      <c r="I150" s="104"/>
      <c r="K150" s="105"/>
      <c r="L150" s="106"/>
      <c r="M150" s="597"/>
      <c r="N150" s="598"/>
      <c r="O150" s="1129"/>
      <c r="R150" s="9"/>
      <c r="AU150" s="115"/>
      <c r="AV150" s="115"/>
      <c r="AW150" s="115"/>
      <c r="AX150" s="115"/>
      <c r="AY150" s="115"/>
    </row>
    <row r="151" spans="2:51" hidden="1">
      <c r="B151" s="1116"/>
      <c r="C151" s="2232" t="s">
        <v>3282</v>
      </c>
      <c r="D151" s="2232"/>
      <c r="E151" s="704"/>
      <c r="F151" s="446">
        <f t="shared" ref="F151" si="31">+SUM(I151:J151)</f>
        <v>0</v>
      </c>
      <c r="G151" s="212"/>
      <c r="H151" s="212"/>
      <c r="I151" s="212"/>
      <c r="K151" s="232"/>
      <c r="L151" s="232"/>
      <c r="M151" s="592">
        <f>IF('11. Unit Mix'!$G$142&lt;&gt;0,+F151/'11. Unit Mix'!$G$142,0)</f>
        <v>0</v>
      </c>
      <c r="N151" s="446">
        <f t="shared" ref="N151:N165" si="32">IF(Total_Units&lt;&gt;0,+F151/Total_Units,0)</f>
        <v>0</v>
      </c>
      <c r="O151" s="1129"/>
      <c r="R151" s="9"/>
      <c r="AU151" s="115"/>
      <c r="AV151" s="115"/>
      <c r="AW151" s="115"/>
      <c r="AX151" s="115"/>
      <c r="AY151" s="115"/>
    </row>
    <row r="152" spans="2:51">
      <c r="B152" s="1116"/>
      <c r="C152" s="1722" t="s">
        <v>3283</v>
      </c>
      <c r="D152" s="704"/>
      <c r="E152" s="713"/>
      <c r="F152" s="415">
        <f t="shared" ref="F152:F163" si="33">+SUM(G152:J152)</f>
        <v>0</v>
      </c>
      <c r="G152" s="212"/>
      <c r="H152" s="212"/>
      <c r="I152" s="212"/>
      <c r="K152" s="232"/>
      <c r="L152" s="232"/>
      <c r="M152" s="584">
        <f>IF('11. Unit Mix'!$G$142&lt;&gt;0,+F152/'11. Unit Mix'!$G$142,0)</f>
        <v>0</v>
      </c>
      <c r="N152" s="413">
        <f t="shared" si="32"/>
        <v>0</v>
      </c>
      <c r="O152" s="1127"/>
      <c r="P152" s="545"/>
      <c r="Q152" s="545"/>
      <c r="R152" s="9"/>
      <c r="AU152" s="115"/>
      <c r="AV152" s="115"/>
      <c r="AW152" s="115"/>
      <c r="AX152" s="115"/>
      <c r="AY152" s="115"/>
    </row>
    <row r="153" spans="2:51">
      <c r="B153" s="1116"/>
      <c r="C153" s="1722" t="s">
        <v>3285</v>
      </c>
      <c r="D153" s="704"/>
      <c r="E153" s="713"/>
      <c r="F153" s="415">
        <f t="shared" si="33"/>
        <v>0</v>
      </c>
      <c r="G153" s="212"/>
      <c r="H153" s="212"/>
      <c r="I153" s="212"/>
      <c r="K153" s="232"/>
      <c r="L153" s="232"/>
      <c r="M153" s="584">
        <f>IF('11. Unit Mix'!$G$142&lt;&gt;0,+F153/'11. Unit Mix'!$G$142,0)</f>
        <v>0</v>
      </c>
      <c r="N153" s="413">
        <f t="shared" si="32"/>
        <v>0</v>
      </c>
      <c r="O153" s="1127"/>
      <c r="P153" s="545"/>
      <c r="Q153" s="545"/>
      <c r="R153" s="9"/>
      <c r="AU153" s="115"/>
      <c r="AV153" s="115"/>
      <c r="AW153" s="115"/>
      <c r="AX153" s="115"/>
      <c r="AY153" s="115"/>
    </row>
    <row r="154" spans="2:51">
      <c r="B154" s="1116"/>
      <c r="C154" s="1722" t="s">
        <v>3286</v>
      </c>
      <c r="D154" s="704"/>
      <c r="E154" s="713"/>
      <c r="F154" s="415">
        <f t="shared" si="33"/>
        <v>0</v>
      </c>
      <c r="G154" s="212"/>
      <c r="H154" s="212"/>
      <c r="I154" s="212"/>
      <c r="K154" s="232"/>
      <c r="L154" s="232"/>
      <c r="M154" s="584">
        <f>IF('11. Unit Mix'!$G$142&lt;&gt;0,+F154/'11. Unit Mix'!$G$142,0)</f>
        <v>0</v>
      </c>
      <c r="N154" s="413">
        <f t="shared" si="32"/>
        <v>0</v>
      </c>
      <c r="O154" s="1127"/>
      <c r="P154" s="545"/>
      <c r="Q154" s="545"/>
      <c r="R154" s="9"/>
      <c r="AU154" s="115"/>
      <c r="AV154" s="115"/>
      <c r="AW154" s="115"/>
      <c r="AX154" s="115"/>
      <c r="AY154" s="115"/>
    </row>
    <row r="155" spans="2:51" hidden="1">
      <c r="B155" s="1116"/>
      <c r="C155" s="2245" t="s">
        <v>3287</v>
      </c>
      <c r="D155" s="2245"/>
      <c r="E155" s="1731"/>
      <c r="F155" s="415">
        <f t="shared" si="33"/>
        <v>0</v>
      </c>
      <c r="G155" s="212"/>
      <c r="H155" s="212"/>
      <c r="I155" s="212"/>
      <c r="K155" s="213">
        <v>0</v>
      </c>
      <c r="L155" s="230">
        <f>IF(Credit_percentage_applied_for="State + Fed 4%", PC_SFT_Local_Bldg_Permit_4, 0)</f>
        <v>0</v>
      </c>
      <c r="M155" s="584">
        <f>IF('11. Unit Mix'!$G$142&lt;&gt;0,+F155/'11. Unit Mix'!$G$142,0)</f>
        <v>0</v>
      </c>
      <c r="N155" s="413">
        <f t="shared" si="32"/>
        <v>0</v>
      </c>
      <c r="O155" s="1127"/>
      <c r="P155" s="545"/>
      <c r="Q155" s="545"/>
      <c r="R155" s="9"/>
      <c r="AU155" s="115"/>
      <c r="AV155" s="115"/>
      <c r="AW155" s="115"/>
      <c r="AX155" s="115"/>
      <c r="AY155" s="115"/>
    </row>
    <row r="156" spans="2:51">
      <c r="B156" s="1116"/>
      <c r="C156" s="1726" t="s">
        <v>4591</v>
      </c>
      <c r="D156" s="1731"/>
      <c r="E156" s="698"/>
      <c r="F156" s="415">
        <f t="shared" si="33"/>
        <v>0</v>
      </c>
      <c r="G156" s="212"/>
      <c r="H156" s="212"/>
      <c r="I156" s="212"/>
      <c r="K156" s="212"/>
      <c r="L156" s="230">
        <f>IF(Credit_percentage_applied_for="State + Fed 4%", PC_SFT_Water_Sewer_4, 0)</f>
        <v>0</v>
      </c>
      <c r="M156" s="584">
        <f>IF('11. Unit Mix'!$G$142&lt;&gt;0,+F156/'11. Unit Mix'!$G$142,0)</f>
        <v>0</v>
      </c>
      <c r="N156" s="413">
        <f t="shared" si="32"/>
        <v>0</v>
      </c>
      <c r="O156" s="1127"/>
      <c r="P156" s="545"/>
      <c r="Q156" s="545"/>
      <c r="R156" s="9"/>
      <c r="AU156" s="115"/>
      <c r="AV156" s="115"/>
      <c r="AW156" s="115"/>
      <c r="AX156" s="115"/>
      <c r="AY156" s="115"/>
    </row>
    <row r="157" spans="2:51" hidden="1">
      <c r="B157" s="1116"/>
      <c r="C157" s="2245" t="s">
        <v>3289</v>
      </c>
      <c r="D157" s="2245"/>
      <c r="E157" s="1731"/>
      <c r="F157" s="415">
        <f t="shared" si="33"/>
        <v>0</v>
      </c>
      <c r="G157" s="212"/>
      <c r="H157" s="212"/>
      <c r="I157" s="212"/>
      <c r="K157" s="212"/>
      <c r="L157" s="230">
        <f>IF(Credit_percentage_applied_for="State + Fed 4%", PC_SFT_Net_Local_Dev_4, 0)</f>
        <v>0</v>
      </c>
      <c r="M157" s="584">
        <f>IF('11. Unit Mix'!$G$142&lt;&gt;0,+F157/'11. Unit Mix'!$G$142,0)</f>
        <v>0</v>
      </c>
      <c r="N157" s="413">
        <f t="shared" si="32"/>
        <v>0</v>
      </c>
      <c r="O157" s="1127"/>
      <c r="P157" s="545"/>
      <c r="Q157" s="545"/>
      <c r="R157" s="9"/>
      <c r="AU157" s="115"/>
      <c r="AV157" s="115"/>
      <c r="AW157" s="115"/>
      <c r="AX157" s="115"/>
      <c r="AY157" s="115"/>
    </row>
    <row r="158" spans="2:51" hidden="1">
      <c r="B158" s="1116"/>
      <c r="C158" s="1726" t="s">
        <v>3290</v>
      </c>
      <c r="D158" s="1731"/>
      <c r="E158" s="698"/>
      <c r="F158" s="415">
        <f t="shared" si="33"/>
        <v>0</v>
      </c>
      <c r="G158" s="212"/>
      <c r="H158" s="212"/>
      <c r="I158" s="212"/>
      <c r="K158" s="212"/>
      <c r="L158" s="232"/>
      <c r="M158" s="584">
        <f>IF('11. Unit Mix'!$G$142&lt;&gt;0,+F158/'11. Unit Mix'!$G$142,0)</f>
        <v>0</v>
      </c>
      <c r="N158" s="413">
        <f t="shared" si="32"/>
        <v>0</v>
      </c>
      <c r="O158" s="1127"/>
      <c r="P158" s="545"/>
      <c r="Q158" s="545"/>
      <c r="R158" s="9"/>
      <c r="AU158" s="115"/>
      <c r="AV158" s="115"/>
      <c r="AW158" s="115"/>
      <c r="AX158" s="115"/>
      <c r="AY158" s="115"/>
    </row>
    <row r="159" spans="2:51">
      <c r="B159" s="1116"/>
      <c r="C159" s="2245" t="s">
        <v>3291</v>
      </c>
      <c r="D159" s="2262"/>
      <c r="E159" s="698"/>
      <c r="F159" s="415">
        <f t="shared" si="33"/>
        <v>0</v>
      </c>
      <c r="G159" s="212"/>
      <c r="H159" s="212"/>
      <c r="I159" s="212"/>
      <c r="K159" s="212"/>
      <c r="L159" s="230">
        <f>IF(Credit_percentage_applied_for="State + Fed 4%", PC_SFT_Accting_Fees_4, 0)</f>
        <v>0</v>
      </c>
      <c r="M159" s="584">
        <f>IF('11. Unit Mix'!$G$142&lt;&gt;0,+F159/'11. Unit Mix'!$G$142,0)</f>
        <v>0</v>
      </c>
      <c r="N159" s="413">
        <f t="shared" si="32"/>
        <v>0</v>
      </c>
      <c r="O159" s="1127"/>
      <c r="P159" s="545"/>
      <c r="Q159" s="545"/>
      <c r="R159" s="9"/>
      <c r="AU159" s="115"/>
      <c r="AV159" s="115"/>
      <c r="AW159" s="115"/>
      <c r="AX159" s="115"/>
      <c r="AY159" s="115"/>
    </row>
    <row r="160" spans="2:51">
      <c r="B160" s="1116"/>
      <c r="C160" s="2245" t="s">
        <v>3293</v>
      </c>
      <c r="D160" s="2262"/>
      <c r="E160" s="698"/>
      <c r="F160" s="415">
        <f t="shared" si="33"/>
        <v>0</v>
      </c>
      <c r="G160" s="212"/>
      <c r="H160" s="212"/>
      <c r="I160" s="212"/>
      <c r="K160" s="232"/>
      <c r="L160" s="232"/>
      <c r="M160" s="584">
        <f>IF('11. Unit Mix'!$G$142&lt;&gt;0,+F160/'11. Unit Mix'!$G$142,0)</f>
        <v>0</v>
      </c>
      <c r="N160" s="413">
        <f t="shared" si="32"/>
        <v>0</v>
      </c>
      <c r="O160" s="1127"/>
      <c r="P160" s="545"/>
      <c r="Q160" s="545"/>
      <c r="R160" s="9"/>
      <c r="AU160" s="115"/>
      <c r="AV160" s="115"/>
      <c r="AW160" s="115"/>
      <c r="AX160" s="115"/>
      <c r="AY160" s="115"/>
    </row>
    <row r="161" spans="2:51" hidden="1">
      <c r="B161" s="1116"/>
      <c r="C161" s="2245" t="s">
        <v>3295</v>
      </c>
      <c r="D161" s="2262"/>
      <c r="E161" s="698"/>
      <c r="F161" s="415">
        <f t="shared" si="33"/>
        <v>0</v>
      </c>
      <c r="G161" s="212"/>
      <c r="H161" s="212"/>
      <c r="I161" s="212"/>
      <c r="K161" s="232"/>
      <c r="L161" s="232"/>
      <c r="M161" s="584">
        <f>IF('11. Unit Mix'!$G$142&lt;&gt;0,+F161/'11. Unit Mix'!$G$142,0)</f>
        <v>0</v>
      </c>
      <c r="N161" s="413">
        <f t="shared" si="32"/>
        <v>0</v>
      </c>
      <c r="O161" s="1127"/>
      <c r="P161" s="9"/>
      <c r="Q161" s="9"/>
      <c r="R161" s="9"/>
      <c r="S161" s="9"/>
      <c r="AU161" s="115"/>
      <c r="AV161" s="115"/>
      <c r="AW161" s="115"/>
      <c r="AX161" s="115"/>
      <c r="AY161" s="115"/>
    </row>
    <row r="162" spans="2:51">
      <c r="B162" s="1116"/>
      <c r="C162" s="2245" t="s">
        <v>4592</v>
      </c>
      <c r="D162" s="2262"/>
      <c r="E162" s="698"/>
      <c r="F162" s="415">
        <f t="shared" si="33"/>
        <v>0</v>
      </c>
      <c r="G162" s="212"/>
      <c r="H162" s="212"/>
      <c r="I162" s="212"/>
      <c r="K162" s="232"/>
      <c r="L162" s="232"/>
      <c r="M162" s="584">
        <f>IF('11. Unit Mix'!$G$142&lt;&gt;0,+F162/'11. Unit Mix'!$G$142,0)</f>
        <v>0</v>
      </c>
      <c r="N162" s="413">
        <f t="shared" si="32"/>
        <v>0</v>
      </c>
      <c r="O162" s="1127"/>
      <c r="P162" s="9"/>
      <c r="Q162" s="9"/>
      <c r="R162" s="9"/>
      <c r="S162" s="9"/>
      <c r="AU162" s="115"/>
      <c r="AV162" s="115"/>
      <c r="AW162" s="115"/>
      <c r="AX162" s="115"/>
      <c r="AY162" s="115"/>
    </row>
    <row r="163" spans="2:51">
      <c r="B163" s="1116"/>
      <c r="C163" s="2245" t="s">
        <v>3297</v>
      </c>
      <c r="D163" s="2262"/>
      <c r="E163" s="698"/>
      <c r="F163" s="415">
        <f t="shared" si="33"/>
        <v>0</v>
      </c>
      <c r="G163" s="212"/>
      <c r="H163" s="212"/>
      <c r="I163" s="212"/>
      <c r="K163" s="212"/>
      <c r="L163" s="230">
        <f>IF(Credit_percentage_applied_for="State + Fed 4%", K163,0)</f>
        <v>0</v>
      </c>
      <c r="M163" s="584">
        <f>IF('11. Unit Mix'!$G$142&lt;&gt;0,+F163/'11. Unit Mix'!$G$142,0)</f>
        <v>0</v>
      </c>
      <c r="N163" s="413">
        <f t="shared" si="32"/>
        <v>0</v>
      </c>
      <c r="O163" s="1127"/>
      <c r="P163" s="9"/>
      <c r="Q163" s="9"/>
      <c r="R163" s="9"/>
      <c r="S163" s="9"/>
      <c r="AU163" s="115"/>
      <c r="AV163" s="115"/>
      <c r="AW163" s="115"/>
      <c r="AX163" s="115"/>
      <c r="AY163" s="115"/>
    </row>
    <row r="164" spans="2:51">
      <c r="B164" s="1116"/>
      <c r="C164" s="2240" t="s">
        <v>3299</v>
      </c>
      <c r="D164" s="2260"/>
      <c r="E164" s="463"/>
      <c r="F164" s="215">
        <f>SUM(F151:F163)</f>
        <v>0</v>
      </c>
      <c r="G164" s="215">
        <f>SUM(G151:G163)</f>
        <v>0</v>
      </c>
      <c r="H164" s="215">
        <f>SUM(H151:H163)</f>
        <v>0</v>
      </c>
      <c r="I164" s="215">
        <f>SUM(I151:I163)</f>
        <v>0</v>
      </c>
      <c r="K164" s="215">
        <f>SUM(K151:K163)</f>
        <v>0</v>
      </c>
      <c r="L164" s="216">
        <f>SUM(L151:L163)</f>
        <v>0</v>
      </c>
      <c r="M164" s="595">
        <f>IF('11. Unit Mix'!$G$142&lt;&gt;0,+F164/'11. Unit Mix'!$G$142,0)</f>
        <v>0</v>
      </c>
      <c r="N164" s="215">
        <f t="shared" si="32"/>
        <v>0</v>
      </c>
      <c r="O164" s="1130"/>
      <c r="P164" s="9"/>
      <c r="Q164" s="9"/>
      <c r="R164" s="9"/>
      <c r="S164" s="9"/>
      <c r="AC164" s="9"/>
      <c r="AD164" s="9"/>
      <c r="AE164" s="9"/>
      <c r="AF164" s="9"/>
      <c r="AU164" s="115"/>
      <c r="AV164" s="115"/>
      <c r="AW164" s="115"/>
      <c r="AX164" s="115"/>
      <c r="AY164" s="115"/>
    </row>
    <row r="165" spans="2:51">
      <c r="B165" s="1116"/>
      <c r="C165" s="2233" t="s">
        <v>3300</v>
      </c>
      <c r="D165" s="2233"/>
      <c r="E165" s="386"/>
      <c r="F165" s="217">
        <f>+F164+F149+F133+F123+F117+F110+F98+F62+F58+F16</f>
        <v>0</v>
      </c>
      <c r="G165" s="217">
        <f>+G164+G149+G133+G123+G117+G110+G98+G62+G58+G16</f>
        <v>0</v>
      </c>
      <c r="H165" s="217">
        <f>+H164+H149+H133+H123+H117+H110+H98+H62+H58+H16</f>
        <v>0</v>
      </c>
      <c r="I165" s="217">
        <f>+I164+I149+I133+I123+I117+I110+I98+I62+I58+I16</f>
        <v>0</v>
      </c>
      <c r="K165" s="217">
        <f>+K164+K149+K133+K123+K117+K110+K98+K62+K58+K16</f>
        <v>0</v>
      </c>
      <c r="L165" s="219">
        <f>+L164+L149+L133+L123+L117+L110+L98+L62+L58+L16</f>
        <v>0</v>
      </c>
      <c r="M165" s="602">
        <f>IF('11. Unit Mix'!$G$142&lt;&gt;0,+F165/'11. Unit Mix'!$G$142,0)</f>
        <v>0</v>
      </c>
      <c r="N165" s="217">
        <f t="shared" si="32"/>
        <v>0</v>
      </c>
      <c r="O165" s="1130"/>
      <c r="P165" s="9"/>
      <c r="Q165" s="9"/>
      <c r="R165" s="581" t="s">
        <v>4593</v>
      </c>
      <c r="S165" s="576">
        <f>+F173-SUM(PC_DEV_Developer_Costs_Subtotal_Total,PC_CAP_Capitalized_Reserv_Subtotal_Total,PC_CST_Constr_Mgmt_Fee_Total,PC_ACQ_ACQ_Subtotal_Total)</f>
        <v>0</v>
      </c>
      <c r="AC165" s="9"/>
      <c r="AD165" s="9"/>
      <c r="AE165" s="9"/>
      <c r="AF165" s="9"/>
      <c r="AU165" s="115"/>
      <c r="AV165" s="115"/>
      <c r="AW165" s="115"/>
      <c r="AX165" s="115"/>
      <c r="AY165" s="115"/>
    </row>
    <row r="166" spans="2:51" ht="15.75">
      <c r="B166" s="1116"/>
      <c r="C166" s="109" t="s">
        <v>3301</v>
      </c>
      <c r="D166" s="109"/>
      <c r="E166" s="109"/>
      <c r="F166" s="109"/>
      <c r="G166" s="109"/>
      <c r="H166" s="109"/>
      <c r="I166" s="109"/>
      <c r="K166" s="112">
        <v>0</v>
      </c>
      <c r="L166" s="113">
        <v>0</v>
      </c>
      <c r="M166" s="597"/>
      <c r="N166" s="598"/>
      <c r="O166" s="1130" t="s">
        <v>4594</v>
      </c>
      <c r="P166" s="9"/>
      <c r="Q166" s="9"/>
      <c r="R166" s="9"/>
      <c r="S166" s="9"/>
      <c r="AC166" s="9"/>
      <c r="AD166" s="9" t="s">
        <v>4595</v>
      </c>
      <c r="AE166" s="9">
        <f>TC_Percent</f>
        <v>0</v>
      </c>
      <c r="AF166" s="9"/>
      <c r="AU166" s="115"/>
      <c r="AV166" s="115"/>
      <c r="AW166" s="115"/>
      <c r="AX166" s="115"/>
      <c r="AY166" s="115"/>
    </row>
    <row r="167" spans="2:51">
      <c r="B167" s="1116"/>
      <c r="C167" s="1726" t="s">
        <v>3302</v>
      </c>
      <c r="D167" s="725"/>
      <c r="E167" s="698"/>
      <c r="F167" s="415">
        <f>+SUM(G167:J167)</f>
        <v>0</v>
      </c>
      <c r="G167" s="212"/>
      <c r="H167" s="212"/>
      <c r="I167" s="212"/>
      <c r="K167" s="212"/>
      <c r="L167" s="230">
        <f>IF(Credit_percentage_applied_for="State + Fed 4%", PC_DEV_Dev_Fee_Received_4, 0)</f>
        <v>0</v>
      </c>
      <c r="M167" s="584">
        <f>IF('11. Unit Mix'!$G$142&lt;&gt;0,+F167/'11. Unit Mix'!$G$142,0)</f>
        <v>0</v>
      </c>
      <c r="N167" s="413">
        <f t="shared" ref="N167:N173" si="34">IF(Total_Units&lt;&gt;0,+F167/Total_Units,0)</f>
        <v>0</v>
      </c>
      <c r="O167" s="1130">
        <f>IF(AND(Identity_Interest_Direct_Indirect="yes",SUM('4. Project Description'!D9:D11)&gt;0),3%,IF(SUM('4. Project Description'!D9:D11)&gt;0,6%,0))*PC_ACQ_ACQ_Subtotal_Total</f>
        <v>0</v>
      </c>
      <c r="P167" s="9"/>
      <c r="Q167" s="9" t="s">
        <v>4596</v>
      </c>
      <c r="R167" s="9" t="s">
        <v>4597</v>
      </c>
      <c r="S167" s="9" t="s">
        <v>4598</v>
      </c>
      <c r="AC167" s="9"/>
      <c r="AD167" s="9"/>
      <c r="AE167" s="9"/>
      <c r="AF167" s="9"/>
      <c r="AU167" s="115"/>
      <c r="AV167" s="115"/>
      <c r="AW167" s="115"/>
      <c r="AX167" s="115"/>
      <c r="AY167" s="115"/>
    </row>
    <row r="168" spans="2:51">
      <c r="B168" s="1116"/>
      <c r="C168" s="1728" t="s">
        <v>3304</v>
      </c>
      <c r="D168" s="726"/>
      <c r="E168" s="727"/>
      <c r="F168" s="415">
        <f>+SUM(G168:J168)</f>
        <v>0</v>
      </c>
      <c r="G168" s="212"/>
      <c r="H168" s="212"/>
      <c r="I168" s="212"/>
      <c r="K168" s="212"/>
      <c r="L168" s="230">
        <f>IF(Credit_percentage_applied_for="State + Fed 4%", PC_DEV_Dev_Fee_Deferred_4, 0)</f>
        <v>0</v>
      </c>
      <c r="M168" s="584">
        <f>IF('11. Unit Mix'!$G$142&lt;&gt;0,+F168/'11. Unit Mix'!$G$142,0)</f>
        <v>0</v>
      </c>
      <c r="N168" s="413">
        <f t="shared" si="34"/>
        <v>0</v>
      </c>
      <c r="O168" s="1130" t="s">
        <v>4599</v>
      </c>
      <c r="P168" s="9"/>
      <c r="Q168" s="803">
        <f>+IF(AND(Project_Type='Dropdown Lists'!D3,Credit_percentage_applied_for=9%),16%,0)</f>
        <v>0</v>
      </c>
      <c r="R168" s="577">
        <f>IF(AND(Project_Type='Dropdown Lists'!D2,Credit_percentage_applied_for=9%),IF(Total_Units&gt;55,(55*12%)+((Total_Units-55)*9%),0),0)</f>
        <v>0</v>
      </c>
      <c r="S168" s="577">
        <f>IF(Credit_percentage_applied_for=9%,0,IF(PC_DEV_Dev_Fee_Deferred_Total*2=PC_DEV_Developer_Costs_Subtotal_Total,20%,12%))</f>
        <v>0.2</v>
      </c>
      <c r="AC168" s="9"/>
      <c r="AD168" s="9"/>
      <c r="AE168" s="282" t="s">
        <v>4600</v>
      </c>
      <c r="AF168" s="282" t="b">
        <f>AF171=0</f>
        <v>0</v>
      </c>
      <c r="AU168" s="115"/>
      <c r="AV168" s="115"/>
      <c r="AW168" s="115"/>
      <c r="AX168" s="115"/>
      <c r="AY168" s="115"/>
    </row>
    <row r="169" spans="2:51">
      <c r="B169" s="1116"/>
      <c r="C169" s="1726" t="s">
        <v>3306</v>
      </c>
      <c r="D169" s="728"/>
      <c r="E169" s="728"/>
      <c r="F169" s="415">
        <f>+SUM(G169:J169)</f>
        <v>0</v>
      </c>
      <c r="G169" s="212"/>
      <c r="H169" s="212"/>
      <c r="I169" s="212"/>
      <c r="K169" s="212"/>
      <c r="L169" s="230">
        <f>IF(Credit_percentage_applied_for="State + Fed 4%", PC_DEV_Dev_Overhead_4, 0)</f>
        <v>0</v>
      </c>
      <c r="M169" s="584">
        <f>IF('11. Unit Mix'!$G$142&lt;&gt;0,+F169/'11. Unit Mix'!$G$142,0)</f>
        <v>0</v>
      </c>
      <c r="N169" s="413">
        <f t="shared" si="34"/>
        <v>0</v>
      </c>
      <c r="O169" s="1130">
        <f>IF(AND(Credit_percentage_applied_for=9%,Project_Type="Acquisition/Rehab"),16%,IF(Credit_percentage_applied_for=9%,15%,20%))</f>
        <v>0.2</v>
      </c>
      <c r="P169" s="9"/>
      <c r="Q169" s="9"/>
      <c r="R169" s="9"/>
      <c r="S169" s="9"/>
      <c r="AC169" s="9"/>
      <c r="AD169" s="9"/>
      <c r="AE169" s="282" t="s">
        <v>4601</v>
      </c>
      <c r="AF169" s="282" t="b">
        <f>OR(ISBLANK(AF171), AF171=0)</f>
        <v>0</v>
      </c>
      <c r="AU169" s="115"/>
      <c r="AV169" s="115"/>
      <c r="AW169" s="115"/>
      <c r="AX169" s="115"/>
      <c r="AY169" s="115"/>
    </row>
    <row r="170" spans="2:51">
      <c r="B170" s="1116"/>
      <c r="C170" s="1726" t="s">
        <v>3307</v>
      </c>
      <c r="D170" s="729"/>
      <c r="E170" s="729"/>
      <c r="F170" s="415">
        <f>+SUM(G170:J170)</f>
        <v>0</v>
      </c>
      <c r="G170" s="212"/>
      <c r="H170" s="212"/>
      <c r="I170" s="212"/>
      <c r="K170" s="212"/>
      <c r="L170" s="230">
        <f>IF(Credit_percentage_applied_for="State + Fed 4%", PC_DEV_Consult_Agent_4, 0)</f>
        <v>0</v>
      </c>
      <c r="M170" s="584">
        <f>IF('11. Unit Mix'!$G$142&lt;&gt;0,+F170/'11. Unit Mix'!$G$142,0)</f>
        <v>0</v>
      </c>
      <c r="N170" s="413">
        <f t="shared" si="34"/>
        <v>0</v>
      </c>
      <c r="O170" s="1130" t="str">
        <f>IFERROR(PC_DEV_Developer_Costs_Subtotal_Total/(F173-PC_DEV_Developer_Costs_Subtotal_Total-PC_ACQ_ACQ_Subtotal_Total-PC_CST_Constr_Mgmt_Fee_Total-SUM(F125:F131)),"N/A")</f>
        <v>N/A</v>
      </c>
      <c r="P170" s="9"/>
      <c r="Q170" s="9"/>
      <c r="R170" s="9"/>
      <c r="S170" s="9"/>
      <c r="AC170" s="9"/>
      <c r="AD170" s="9"/>
      <c r="AE170" s="282" t="s">
        <v>4602</v>
      </c>
      <c r="AF170" s="84" t="e">
        <f>OR('12. Funding Sources'!#REF!="ResAppFeasibility", '12. Funding Sources'!#REF!="",'12. Funding Sources'!#REF!="LNI")</f>
        <v>#REF!</v>
      </c>
      <c r="AU170" s="115"/>
      <c r="AV170" s="115"/>
      <c r="AW170" s="115"/>
      <c r="AX170" s="115"/>
      <c r="AY170" s="115"/>
    </row>
    <row r="171" spans="2:51">
      <c r="B171" s="1116"/>
      <c r="C171" s="1728" t="s">
        <v>3310</v>
      </c>
      <c r="D171" s="726"/>
      <c r="E171" s="726"/>
      <c r="F171" s="415">
        <f>+SUM(G171:J171)</f>
        <v>0</v>
      </c>
      <c r="G171" s="212"/>
      <c r="H171" s="212"/>
      <c r="I171" s="212"/>
      <c r="K171" s="212"/>
      <c r="L171" s="230">
        <f>IF(Credit_percentage_applied_for="State + Fed 4%", PC_DEV_Other_Dev_Fees_4, 0)</f>
        <v>0</v>
      </c>
      <c r="M171" s="584">
        <f>IF('11. Unit Mix'!$G$142&lt;&gt;0,+F171/'11. Unit Mix'!$G$142,0)</f>
        <v>0</v>
      </c>
      <c r="N171" s="413">
        <f t="shared" si="34"/>
        <v>0</v>
      </c>
      <c r="O171" s="1130"/>
      <c r="P171" s="9"/>
      <c r="Q171" s="9"/>
      <c r="R171" s="9"/>
      <c r="S171" s="9"/>
      <c r="AC171" s="9"/>
      <c r="AD171" s="9"/>
      <c r="AE171" s="157" t="s">
        <v>4603</v>
      </c>
      <c r="AF171" s="157" t="str">
        <f>IF(G210=0,"",IF(G207=0, 0, ROUND(G206/G207, 0)))</f>
        <v/>
      </c>
      <c r="AU171" s="115"/>
      <c r="AV171" s="115"/>
      <c r="AW171" s="115"/>
      <c r="AX171" s="115"/>
      <c r="AY171" s="115"/>
    </row>
    <row r="172" spans="2:51">
      <c r="B172" s="1116"/>
      <c r="C172" s="447" t="s">
        <v>3311</v>
      </c>
      <c r="D172" s="449"/>
      <c r="E172" s="449"/>
      <c r="F172" s="445">
        <f>SUM(F167:F171)</f>
        <v>0</v>
      </c>
      <c r="G172" s="215">
        <f>+SUM(G166:G171)</f>
        <v>0</v>
      </c>
      <c r="H172" s="215">
        <f>+SUM(H166:H171)</f>
        <v>0</v>
      </c>
      <c r="I172" s="215">
        <f>+SUM(I167:I171)</f>
        <v>0</v>
      </c>
      <c r="K172" s="215">
        <f>SUM(K166:K171)</f>
        <v>0</v>
      </c>
      <c r="L172" s="216">
        <f>SUM(L167:L171)</f>
        <v>0</v>
      </c>
      <c r="M172" s="595">
        <f>IF('11. Unit Mix'!$G$142&lt;&gt;0,+F172/'11. Unit Mix'!$G$142,0)</f>
        <v>0</v>
      </c>
      <c r="N172" s="215">
        <f t="shared" si="34"/>
        <v>0</v>
      </c>
      <c r="O172" s="1130"/>
      <c r="P172" s="9"/>
      <c r="Q172" s="9"/>
      <c r="R172" s="9"/>
      <c r="S172" s="9"/>
      <c r="AC172" s="9"/>
      <c r="AD172" s="9"/>
      <c r="AE172" s="157" t="e">
        <f>IF(AND(NOT(AF170),NOT(AF169)),AF172, AF171)</f>
        <v>#REF!</v>
      </c>
      <c r="AF172" s="157">
        <f>IF(AF166, AE172, 0)</f>
        <v>0</v>
      </c>
      <c r="AU172" s="115"/>
      <c r="AV172" s="115"/>
      <c r="AW172" s="115"/>
      <c r="AX172" s="115"/>
      <c r="AY172" s="115"/>
    </row>
    <row r="173" spans="2:51" ht="18.75">
      <c r="B173" s="1116"/>
      <c r="C173" s="2227" t="s">
        <v>3312</v>
      </c>
      <c r="D173" s="2228"/>
      <c r="E173" s="448"/>
      <c r="F173" s="586">
        <f>+SUM(G173:J173)</f>
        <v>0</v>
      </c>
      <c r="G173" s="217">
        <f>G172+G165</f>
        <v>0</v>
      </c>
      <c r="H173" s="217">
        <f>H172+H165</f>
        <v>0</v>
      </c>
      <c r="I173" s="217">
        <f>I172+I165</f>
        <v>0</v>
      </c>
      <c r="K173" s="217">
        <f>K172+K165</f>
        <v>0</v>
      </c>
      <c r="L173" s="217">
        <f>L172+L165</f>
        <v>0</v>
      </c>
      <c r="M173" s="565">
        <f>IF('11. Unit Mix'!$G$142&lt;&gt;0,+F173/'11. Unit Mix'!$G$142,0)</f>
        <v>0</v>
      </c>
      <c r="N173" s="217">
        <f t="shared" si="34"/>
        <v>0</v>
      </c>
      <c r="O173" s="1130"/>
      <c r="P173" s="9"/>
      <c r="Q173" s="9"/>
      <c r="R173" s="9"/>
      <c r="S173" s="9"/>
      <c r="AU173" s="115"/>
      <c r="AV173" s="115"/>
      <c r="AW173" s="115"/>
      <c r="AX173" s="115"/>
      <c r="AY173" s="115"/>
    </row>
    <row r="174" spans="2:51" ht="15.75" hidden="1" customHeight="1">
      <c r="B174" s="1116"/>
      <c r="C174" s="109" t="s">
        <v>4604</v>
      </c>
      <c r="D174" s="161"/>
      <c r="E174" s="392"/>
      <c r="F174" s="109" t="s">
        <v>4605</v>
      </c>
      <c r="G174" s="109" t="s">
        <v>4606</v>
      </c>
      <c r="H174" s="109"/>
      <c r="I174" s="109" t="s">
        <v>244</v>
      </c>
      <c r="J174" s="99"/>
      <c r="K174" s="655"/>
      <c r="L174" s="655"/>
      <c r="M174" s="655"/>
      <c r="N174" s="655"/>
      <c r="O174" s="1126"/>
      <c r="P174" s="9"/>
      <c r="Q174" s="9"/>
      <c r="R174" s="9"/>
      <c r="S174" s="9"/>
      <c r="AU174" s="115"/>
    </row>
    <row r="175" spans="2:51" hidden="1">
      <c r="B175" s="1116"/>
      <c r="C175" s="2226" t="s">
        <v>833</v>
      </c>
      <c r="D175" s="2226"/>
      <c r="E175" s="730"/>
      <c r="F175" s="346">
        <f>ROUND(J173, 0)</f>
        <v>0</v>
      </c>
      <c r="G175" s="346">
        <f>ROUND(K173, 0)</f>
        <v>0</v>
      </c>
      <c r="H175" s="346"/>
      <c r="I175" s="346">
        <f>ROUND(L173, 0)</f>
        <v>0</v>
      </c>
      <c r="J175" s="99"/>
      <c r="K175" s="655"/>
      <c r="L175" s="655"/>
      <c r="M175" s="655"/>
      <c r="N175" s="655"/>
      <c r="O175" s="1126"/>
      <c r="P175" s="9"/>
      <c r="Q175" s="9"/>
      <c r="R175" s="9"/>
      <c r="S175" s="9"/>
      <c r="U175" s="97" t="s">
        <v>4607</v>
      </c>
      <c r="AU175" s="115"/>
    </row>
    <row r="176" spans="2:51" hidden="1">
      <c r="B176" s="1116"/>
      <c r="C176" s="2226" t="s">
        <v>3313</v>
      </c>
      <c r="D176" s="2226"/>
      <c r="E176" s="730"/>
      <c r="F176" s="234"/>
      <c r="G176" s="234"/>
      <c r="H176" s="234"/>
      <c r="I176" s="234"/>
      <c r="J176" s="99" t="s">
        <v>4595</v>
      </c>
      <c r="K176" s="655" t="b">
        <f>$J$177="State + Fed 4%"</f>
        <v>0</v>
      </c>
      <c r="L176" s="655" t="b">
        <f>$J$177=9%</f>
        <v>0</v>
      </c>
      <c r="M176" s="655" t="b">
        <f>$J$177=4%</f>
        <v>0</v>
      </c>
      <c r="N176" s="655"/>
      <c r="O176" s="1126"/>
      <c r="P176" s="9"/>
      <c r="Q176" s="9"/>
      <c r="R176" s="9"/>
      <c r="S176" s="9"/>
      <c r="U176" s="97" t="s">
        <v>4608</v>
      </c>
      <c r="AU176" s="115"/>
    </row>
    <row r="177" spans="2:47" hidden="1">
      <c r="B177" s="1116"/>
      <c r="C177" s="2226" t="s">
        <v>3314</v>
      </c>
      <c r="D177" s="2226"/>
      <c r="E177" s="730"/>
      <c r="F177" s="234"/>
      <c r="G177" s="234"/>
      <c r="H177" s="234"/>
      <c r="I177" s="234"/>
      <c r="J177" s="114">
        <f>'4. Project Description'!E54</f>
        <v>0</v>
      </c>
      <c r="K177" s="655"/>
      <c r="L177" s="655"/>
      <c r="M177" s="655"/>
      <c r="N177" s="655"/>
      <c r="O177" s="1126"/>
      <c r="P177" s="9"/>
      <c r="Q177" s="9"/>
      <c r="R177" s="9"/>
      <c r="S177" s="9"/>
      <c r="U177" s="472">
        <v>32682082</v>
      </c>
      <c r="AU177" s="115"/>
    </row>
    <row r="178" spans="2:47" hidden="1">
      <c r="B178" s="1116"/>
      <c r="C178" s="2226" t="s">
        <v>3315</v>
      </c>
      <c r="D178" s="2226"/>
      <c r="E178" s="730"/>
      <c r="F178" s="234"/>
      <c r="G178" s="234"/>
      <c r="H178" s="234"/>
      <c r="I178" s="234"/>
      <c r="J178" s="99"/>
      <c r="K178" s="655"/>
      <c r="L178" s="655"/>
      <c r="M178" s="655" t="s">
        <v>4609</v>
      </c>
      <c r="N178" s="655"/>
      <c r="O178" s="1126"/>
      <c r="P178" s="9"/>
      <c r="Q178" s="9"/>
      <c r="R178" s="9"/>
      <c r="S178" s="9"/>
      <c r="U178" s="97" t="s">
        <v>3527</v>
      </c>
      <c r="AU178" s="115"/>
    </row>
    <row r="179" spans="2:47" ht="14.25" hidden="1" customHeight="1">
      <c r="B179" s="1116"/>
      <c r="C179" s="2230" t="s">
        <v>3316</v>
      </c>
      <c r="D179" s="2230"/>
      <c r="E179" s="731"/>
      <c r="F179" s="241"/>
      <c r="G179" s="241"/>
      <c r="H179" s="241"/>
      <c r="I179" s="241"/>
      <c r="J179" s="99"/>
      <c r="K179" s="655"/>
      <c r="L179" s="655"/>
      <c r="M179" s="655"/>
      <c r="N179" s="655"/>
      <c r="O179" s="1126"/>
      <c r="P179" s="9"/>
      <c r="Q179" s="9"/>
      <c r="R179" s="9"/>
      <c r="S179" s="9"/>
      <c r="U179" s="472">
        <f>21485175</f>
        <v>21485175</v>
      </c>
      <c r="AU179" s="115"/>
    </row>
    <row r="180" spans="2:47" ht="15.75" hidden="1" customHeight="1">
      <c r="B180" s="1116"/>
      <c r="C180" s="2231" t="s">
        <v>3317</v>
      </c>
      <c r="D180" s="2231"/>
      <c r="E180" s="732"/>
      <c r="F180" s="297"/>
      <c r="G180" s="379"/>
      <c r="H180" s="379"/>
      <c r="I180" s="380"/>
      <c r="J180" s="643"/>
      <c r="K180" s="655"/>
      <c r="L180" s="655"/>
      <c r="M180" s="655"/>
      <c r="N180" s="655"/>
      <c r="O180" s="1126"/>
      <c r="P180" s="9"/>
      <c r="Q180" s="9"/>
      <c r="R180" s="9"/>
      <c r="S180" s="9"/>
      <c r="X180" s="97" t="s">
        <v>4610</v>
      </c>
      <c r="AU180" s="115"/>
    </row>
    <row r="181" spans="2:47" hidden="1">
      <c r="B181" s="1116"/>
      <c r="C181" s="2226" t="s">
        <v>4173</v>
      </c>
      <c r="D181" s="2226"/>
      <c r="E181" s="730"/>
      <c r="F181" s="346">
        <f>ROUND(F175-SUM(F176:F179),0)</f>
        <v>0</v>
      </c>
      <c r="G181" s="346">
        <f>ROUND(G175-SUM(G176:G179),0)</f>
        <v>0</v>
      </c>
      <c r="H181" s="346"/>
      <c r="I181" s="346">
        <f>ROUND(I175-SUM(I176:I179),0)</f>
        <v>0</v>
      </c>
      <c r="J181" s="643"/>
      <c r="K181" s="655"/>
      <c r="L181" s="655"/>
      <c r="M181" s="655"/>
      <c r="N181" s="655"/>
      <c r="O181" s="1126"/>
      <c r="P181" s="9"/>
      <c r="Q181" s="9"/>
      <c r="R181" s="9"/>
      <c r="S181" s="9"/>
      <c r="U181" s="472"/>
      <c r="AA181" s="285"/>
      <c r="AB181" s="473" t="s">
        <v>4611</v>
      </c>
      <c r="AC181" s="285"/>
      <c r="AU181" s="115"/>
    </row>
    <row r="182" spans="2:47" hidden="1">
      <c r="B182" s="1116"/>
      <c r="C182" s="2226" t="s">
        <v>3319</v>
      </c>
      <c r="D182" s="2226"/>
      <c r="E182" s="730"/>
      <c r="F182" s="234"/>
      <c r="G182" s="234"/>
      <c r="H182" s="234"/>
      <c r="I182" s="234"/>
      <c r="J182" s="643"/>
      <c r="K182" s="655"/>
      <c r="L182" s="655"/>
      <c r="M182" s="655"/>
      <c r="N182" s="655"/>
      <c r="O182" s="1126"/>
      <c r="P182" s="9"/>
      <c r="Q182" s="9"/>
      <c r="R182" s="9"/>
      <c r="S182" s="9"/>
      <c r="X182" s="97" t="s">
        <v>4612</v>
      </c>
      <c r="AA182" s="285" t="e">
        <f>IF('14. Project Costs'!AE172="",0,'14. Project Costs'!AE172)</f>
        <v>#REF!</v>
      </c>
      <c r="AB182" s="97" t="s">
        <v>4613</v>
      </c>
      <c r="AC182" s="285"/>
      <c r="AU182" s="115"/>
    </row>
    <row r="183" spans="2:47" hidden="1">
      <c r="B183" s="1116"/>
      <c r="C183" s="2226" t="s">
        <v>3320</v>
      </c>
      <c r="D183" s="2226"/>
      <c r="E183" s="730"/>
      <c r="F183" s="234"/>
      <c r="G183" s="234"/>
      <c r="H183" s="234"/>
      <c r="I183" s="234"/>
      <c r="J183" s="643"/>
      <c r="K183" s="655"/>
      <c r="L183" s="655"/>
      <c r="M183" s="655"/>
      <c r="N183" s="655"/>
      <c r="O183" s="1126"/>
      <c r="P183" s="9"/>
      <c r="Q183" s="9"/>
      <c r="R183" s="9"/>
      <c r="S183" s="9"/>
      <c r="X183" s="97">
        <f>'4. Project Description'!D51</f>
        <v>0</v>
      </c>
      <c r="AA183" s="474">
        <f>'12. Funding Sources'!H44</f>
        <v>0</v>
      </c>
      <c r="AB183" s="97" t="s">
        <v>4614</v>
      </c>
      <c r="AC183" s="285"/>
      <c r="AU183" s="115"/>
    </row>
    <row r="184" spans="2:47" hidden="1">
      <c r="B184" s="1116"/>
      <c r="C184" s="2226" t="s">
        <v>3321</v>
      </c>
      <c r="D184" s="2226"/>
      <c r="E184" s="730"/>
      <c r="F184" s="234"/>
      <c r="G184" s="234"/>
      <c r="H184" s="234"/>
      <c r="I184" s="234"/>
      <c r="J184" s="99"/>
      <c r="K184" s="655"/>
      <c r="L184" s="655"/>
      <c r="M184" s="655"/>
      <c r="N184" s="655"/>
      <c r="O184" s="1126"/>
      <c r="P184" s="9"/>
      <c r="Q184" s="9"/>
      <c r="R184" s="9"/>
      <c r="S184" s="9"/>
      <c r="AA184" s="475">
        <f>'12. Funding Sources'!I46</f>
        <v>0</v>
      </c>
      <c r="AB184" s="97" t="s">
        <v>4615</v>
      </c>
      <c r="AC184" s="285"/>
      <c r="AU184" s="115"/>
    </row>
    <row r="185" spans="2:47" hidden="1">
      <c r="B185" s="1116"/>
      <c r="C185" s="2226" t="s">
        <v>3322</v>
      </c>
      <c r="D185" s="2226"/>
      <c r="E185" s="730"/>
      <c r="F185" s="234"/>
      <c r="G185" s="234"/>
      <c r="H185" s="234"/>
      <c r="I185" s="234"/>
      <c r="J185" s="99"/>
      <c r="K185" s="644">
        <f>IF(K186&lt;K187,K186,K187)</f>
        <v>0</v>
      </c>
      <c r="L185" s="655"/>
      <c r="M185" s="655"/>
      <c r="N185" s="655"/>
      <c r="O185" s="1126"/>
      <c r="P185" s="9"/>
      <c r="Q185" s="9"/>
      <c r="R185" s="9"/>
      <c r="S185" s="9"/>
      <c r="AA185" s="476">
        <f>'12. Funding Sources'!G46</f>
        <v>0</v>
      </c>
      <c r="AB185" s="97" t="s">
        <v>4616</v>
      </c>
      <c r="AC185" s="285"/>
      <c r="AU185" s="115"/>
    </row>
    <row r="186" spans="2:47" hidden="1">
      <c r="B186" s="1116"/>
      <c r="C186" s="2226" t="s">
        <v>3323</v>
      </c>
      <c r="D186" s="2226"/>
      <c r="E186" s="730"/>
      <c r="F186" s="271">
        <f>$K$185</f>
        <v>0</v>
      </c>
      <c r="G186" s="271">
        <f>$K$185</f>
        <v>0</v>
      </c>
      <c r="H186" s="271"/>
      <c r="I186" s="271">
        <f>$K$185</f>
        <v>0</v>
      </c>
      <c r="J186" s="99">
        <f>IF(K186&lt;L186, K186,)</f>
        <v>0</v>
      </c>
      <c r="K186" s="655">
        <f>IF(SUM('11. Unit Mix'!G66,'11. Unit Mix'!F114)=0,0,'11. Unit Mix'!G66/SUM('11. Unit Mix'!G66,'11. Unit Mix'!F114))</f>
        <v>0</v>
      </c>
      <c r="L186" s="655">
        <f>IF('11. Unit Mix'!F130=0, 0, '11. Unit Mix'!F126/'11. Unit Mix'!F130)</f>
        <v>0</v>
      </c>
      <c r="M186" s="655"/>
      <c r="N186" s="655"/>
      <c r="O186" s="1126"/>
      <c r="P186" s="9"/>
      <c r="Q186" s="9"/>
      <c r="R186" s="9" t="s">
        <v>3945</v>
      </c>
      <c r="S186" s="9" t="s">
        <v>3946</v>
      </c>
      <c r="T186" s="97" t="s">
        <v>3947</v>
      </c>
      <c r="U186" s="97" t="s">
        <v>3950</v>
      </c>
      <c r="AA186" s="285" t="e">
        <f>ROUND(AA182*AA183*AA184*AA185,0)</f>
        <v>#REF!</v>
      </c>
      <c r="AB186" s="97" t="s">
        <v>4617</v>
      </c>
      <c r="AC186" s="285"/>
      <c r="AU186" s="115"/>
    </row>
    <row r="187" spans="2:47" hidden="1">
      <c r="B187" s="1116"/>
      <c r="C187" s="2226" t="s">
        <v>3324</v>
      </c>
      <c r="D187" s="2226"/>
      <c r="E187" s="730"/>
      <c r="F187" s="346">
        <f>(F181+F182-F183+F184-F185)*F186</f>
        <v>0</v>
      </c>
      <c r="G187" s="346">
        <f>(G181+G182-G183+G184-G185)*G186</f>
        <v>0</v>
      </c>
      <c r="H187" s="346"/>
      <c r="I187" s="346">
        <f>(I181+I182-I183+I184-I185)*I186</f>
        <v>0</v>
      </c>
      <c r="J187" s="99"/>
      <c r="K187" s="655">
        <f>IF(Total_Units=0,0,Low_Income_Total_Units/(Total_Units-'11. Unit Mix'!F128))</f>
        <v>0</v>
      </c>
      <c r="L187" s="655"/>
      <c r="M187" s="655"/>
      <c r="N187" s="655"/>
      <c r="O187" s="1126"/>
      <c r="P187" s="9"/>
      <c r="Q187" s="9" t="s">
        <v>3951</v>
      </c>
      <c r="R187" s="9">
        <v>10</v>
      </c>
      <c r="S187" s="804">
        <f>'12. Funding Sources'!I44</f>
        <v>0</v>
      </c>
      <c r="T187" s="477">
        <f>R187*S187</f>
        <v>0</v>
      </c>
      <c r="U187" s="97" t="e">
        <f>T187/T189</f>
        <v>#DIV/0!</v>
      </c>
      <c r="AA187" s="285" t="e">
        <f>IF('14. Project Costs'!G200="",0,'14. Project Costs'!G200)+AA186</f>
        <v>#REF!</v>
      </c>
      <c r="AB187" s="97" t="s">
        <v>3341</v>
      </c>
      <c r="AC187" s="285"/>
      <c r="AU187" s="115"/>
    </row>
    <row r="188" spans="2:47" hidden="1">
      <c r="B188" s="1116"/>
      <c r="C188" s="2226" t="s">
        <v>3325</v>
      </c>
      <c r="D188" s="2226"/>
      <c r="E188" s="730"/>
      <c r="F188" s="274"/>
      <c r="G188" s="275"/>
      <c r="H188" s="275"/>
      <c r="I188" s="275"/>
      <c r="J188" s="99" t="s">
        <v>4618</v>
      </c>
      <c r="K188" s="655"/>
      <c r="L188" s="655"/>
      <c r="M188" s="655"/>
      <c r="N188" s="655"/>
      <c r="O188" s="1126"/>
      <c r="P188" s="9"/>
      <c r="Q188" s="578" t="s">
        <v>3953</v>
      </c>
      <c r="R188" s="9">
        <v>6</v>
      </c>
      <c r="S188" s="804">
        <f>'12. Funding Sources'!I46</f>
        <v>0</v>
      </c>
      <c r="T188" s="477">
        <f>R188*S188</f>
        <v>0</v>
      </c>
      <c r="U188" s="97" t="e">
        <f>T188/T189</f>
        <v>#DIV/0!</v>
      </c>
      <c r="AA188" s="478">
        <f>'14. Project Costs'!F173</f>
        <v>0</v>
      </c>
      <c r="AB188" s="97" t="s">
        <v>3332</v>
      </c>
      <c r="AC188" s="285"/>
      <c r="AU188" s="115"/>
    </row>
    <row r="189" spans="2:47" hidden="1">
      <c r="B189" s="1116"/>
      <c r="C189" s="2226" t="s">
        <v>3327</v>
      </c>
      <c r="D189" s="2226"/>
      <c r="E189" s="730"/>
      <c r="F189" s="227"/>
      <c r="G189" s="227"/>
      <c r="H189" s="227"/>
      <c r="I189" s="227"/>
      <c r="J189" s="99"/>
      <c r="K189" s="655"/>
      <c r="L189" s="655"/>
      <c r="M189" s="655"/>
      <c r="N189" s="655"/>
      <c r="O189" s="1126"/>
      <c r="P189" s="9"/>
      <c r="Q189" s="578"/>
      <c r="R189" s="9"/>
      <c r="S189" s="9" t="s">
        <v>3955</v>
      </c>
      <c r="T189" s="477">
        <f>T187+T188</f>
        <v>0</v>
      </c>
      <c r="AA189" s="478" t="e">
        <f>AA188-AA187</f>
        <v>#REF!</v>
      </c>
      <c r="AB189" s="97" t="s">
        <v>4619</v>
      </c>
      <c r="AC189" s="285"/>
      <c r="AU189" s="115"/>
    </row>
    <row r="190" spans="2:47" hidden="1">
      <c r="B190" s="1116"/>
      <c r="C190" s="2226" t="s">
        <v>4620</v>
      </c>
      <c r="D190" s="2226"/>
      <c r="E190" s="730"/>
      <c r="F190" s="346">
        <f>ROUND(F187*F188,0)</f>
        <v>0</v>
      </c>
      <c r="G190" s="346">
        <f>ROUND(G187*G188,0)</f>
        <v>0</v>
      </c>
      <c r="H190" s="346"/>
      <c r="I190" s="346">
        <f>ROUND(I187*I188,0)</f>
        <v>0</v>
      </c>
      <c r="J190" s="99"/>
      <c r="K190" s="655"/>
      <c r="L190" s="655"/>
      <c r="M190" s="655"/>
      <c r="N190" s="655"/>
      <c r="O190" s="1126"/>
      <c r="P190" s="9"/>
      <c r="Q190" s="9"/>
      <c r="R190" s="9"/>
      <c r="S190" s="9"/>
      <c r="AA190" s="476">
        <f>'12. Funding Sources'!G44</f>
        <v>0</v>
      </c>
      <c r="AB190" s="97" t="s">
        <v>3344</v>
      </c>
      <c r="AC190" s="285"/>
      <c r="AU190" s="115"/>
    </row>
    <row r="191" spans="2:47" hidden="1">
      <c r="B191" s="1116"/>
      <c r="C191" s="2226" t="s">
        <v>3330</v>
      </c>
      <c r="D191" s="2226"/>
      <c r="E191" s="730"/>
      <c r="F191" s="235"/>
      <c r="G191" s="235"/>
      <c r="H191" s="235"/>
      <c r="I191" s="226"/>
      <c r="J191" s="99"/>
      <c r="K191" s="655"/>
      <c r="L191" s="655"/>
      <c r="M191" s="655"/>
      <c r="N191" s="655"/>
      <c r="O191" s="1126"/>
      <c r="P191" s="9"/>
      <c r="Q191" s="9"/>
      <c r="R191" s="9"/>
      <c r="S191" s="9"/>
      <c r="AA191" s="285">
        <f>IFERROR(AA189/AA190,0)</f>
        <v>0</v>
      </c>
      <c r="AB191" s="97" t="s">
        <v>3978</v>
      </c>
      <c r="AC191" s="285"/>
      <c r="AU191" s="115"/>
    </row>
    <row r="192" spans="2:47" hidden="1">
      <c r="B192" s="1116"/>
      <c r="C192" s="2226" t="s">
        <v>3331</v>
      </c>
      <c r="D192" s="2226"/>
      <c r="E192" s="730"/>
      <c r="F192" s="346">
        <f>F190-F191</f>
        <v>0</v>
      </c>
      <c r="G192" s="346">
        <f>G190-G191</f>
        <v>0</v>
      </c>
      <c r="H192" s="346"/>
      <c r="I192" s="346">
        <f>I190-I191</f>
        <v>0</v>
      </c>
      <c r="J192" s="99"/>
      <c r="K192" s="655"/>
      <c r="L192" s="655"/>
      <c r="M192" s="655"/>
      <c r="N192" s="655"/>
      <c r="O192" s="1126"/>
      <c r="P192" s="9"/>
      <c r="Q192" s="9"/>
      <c r="R192" s="9"/>
      <c r="S192" s="9"/>
      <c r="AA192" s="475">
        <f>'12. Funding Sources'!I44</f>
        <v>0</v>
      </c>
      <c r="AB192" s="97" t="s">
        <v>4621</v>
      </c>
      <c r="AC192" s="285"/>
      <c r="AU192" s="115"/>
    </row>
    <row r="193" spans="2:47" hidden="1">
      <c r="B193" s="1116"/>
      <c r="C193" s="2226" t="s">
        <v>4622</v>
      </c>
      <c r="D193" s="2226"/>
      <c r="E193" s="730"/>
      <c r="F193" s="381">
        <f>F192+G192</f>
        <v>0</v>
      </c>
      <c r="G193" s="382"/>
      <c r="H193" s="382"/>
      <c r="I193" s="383"/>
      <c r="J193" s="99"/>
      <c r="K193" s="655" t="s">
        <v>4623</v>
      </c>
      <c r="L193" s="655" t="s">
        <v>4624</v>
      </c>
      <c r="M193" s="655"/>
      <c r="N193" s="655"/>
      <c r="O193" s="1126"/>
      <c r="P193" s="9"/>
      <c r="Q193" s="9"/>
      <c r="R193" s="9"/>
      <c r="S193" s="9"/>
      <c r="AA193" s="479">
        <f>IFERROR(AA191/AA192,0)</f>
        <v>0</v>
      </c>
      <c r="AB193" s="97" t="s">
        <v>3347</v>
      </c>
      <c r="AC193" s="285"/>
      <c r="AU193" s="115"/>
    </row>
    <row r="194" spans="2:47" ht="15.75" hidden="1">
      <c r="B194" s="1116"/>
      <c r="C194" s="109" t="s">
        <v>3131</v>
      </c>
      <c r="D194" s="161"/>
      <c r="E194" s="392"/>
      <c r="F194" s="109" t="s">
        <v>4605</v>
      </c>
      <c r="G194" s="109" t="s">
        <v>4606</v>
      </c>
      <c r="H194" s="109"/>
      <c r="I194" s="109" t="s">
        <v>244</v>
      </c>
      <c r="J194" s="99"/>
      <c r="K194" s="734">
        <f>U177</f>
        <v>32682082</v>
      </c>
      <c r="L194" s="655"/>
      <c r="M194" s="655"/>
      <c r="N194" s="655"/>
      <c r="O194" s="1126"/>
      <c r="P194" s="9"/>
      <c r="Q194" s="9"/>
      <c r="R194" s="9"/>
      <c r="S194" s="9" t="s">
        <v>3945</v>
      </c>
      <c r="T194" s="97" t="s">
        <v>3946</v>
      </c>
      <c r="U194" s="97" t="s">
        <v>3947</v>
      </c>
      <c r="V194" s="97" t="s">
        <v>3950</v>
      </c>
      <c r="AA194" s="474">
        <f>'12. Funding Sources'!H46</f>
        <v>0</v>
      </c>
      <c r="AB194" s="97" t="s">
        <v>4625</v>
      </c>
      <c r="AC194" s="285"/>
      <c r="AU194" s="115"/>
    </row>
    <row r="195" spans="2:47" hidden="1">
      <c r="B195" s="1116"/>
      <c r="C195" s="2226" t="s">
        <v>3332</v>
      </c>
      <c r="D195" s="2226"/>
      <c r="E195" s="730"/>
      <c r="F195" s="228" t="str">
        <f>IF(F175=0,"",$F$173)</f>
        <v/>
      </c>
      <c r="G195" s="228" t="str">
        <f>IF(G210=0,"",$F$173)</f>
        <v/>
      </c>
      <c r="H195" s="228"/>
      <c r="I195" s="228" t="str">
        <f>IF(I175=0,"",$F$173)</f>
        <v/>
      </c>
      <c r="J195" s="99"/>
      <c r="K195" s="655"/>
      <c r="L195" s="735"/>
      <c r="M195" s="655"/>
      <c r="N195" s="655"/>
      <c r="O195" s="1126"/>
      <c r="P195" s="9"/>
      <c r="Q195" s="9"/>
      <c r="R195" s="9" t="s">
        <v>3951</v>
      </c>
      <c r="S195" s="805">
        <f>'12. Funding Sources'!G44</f>
        <v>0</v>
      </c>
      <c r="T195" s="480">
        <f>'12. Funding Sources'!I44</f>
        <v>0</v>
      </c>
      <c r="U195" s="477">
        <f>S195*T195</f>
        <v>0</v>
      </c>
      <c r="V195" s="97">
        <f>IF(U197=0, 0,U195/U197)</f>
        <v>0</v>
      </c>
      <c r="AA195" s="479">
        <f>IFERROR(AA193/AA194,0)</f>
        <v>0</v>
      </c>
      <c r="AB195" s="481" t="s">
        <v>3349</v>
      </c>
      <c r="AC195" s="285"/>
      <c r="AU195" s="115"/>
    </row>
    <row r="196" spans="2:47" hidden="1">
      <c r="B196" s="1116"/>
      <c r="C196" s="2226" t="s">
        <v>3333</v>
      </c>
      <c r="D196" s="2226"/>
      <c r="E196" s="730"/>
      <c r="F196" s="228" t="str">
        <f>IF(F175=0,"",SUM('12. Funding Sources'!$E$11:$E$20))</f>
        <v/>
      </c>
      <c r="G196" s="228" t="str">
        <f>IF(G210=0,"",SUM('12. Funding Sources'!$E$11:$E$20))</f>
        <v/>
      </c>
      <c r="H196" s="228"/>
      <c r="I196" s="228" t="str">
        <f>IF(I175=0,"",SUM('12. Funding Sources'!$E$11:$E$20))</f>
        <v/>
      </c>
      <c r="J196" s="99"/>
      <c r="K196" s="655"/>
      <c r="L196" s="735"/>
      <c r="M196" s="655"/>
      <c r="N196" s="655"/>
      <c r="O196" s="1126"/>
      <c r="P196" s="9"/>
      <c r="Q196" s="9"/>
      <c r="R196" s="578" t="s">
        <v>3953</v>
      </c>
      <c r="S196" s="805">
        <f>'12. Funding Sources'!G46</f>
        <v>0</v>
      </c>
      <c r="T196" s="480">
        <f>'12. Funding Sources'!I46</f>
        <v>0</v>
      </c>
      <c r="U196" s="477">
        <f>IF('4. Project Description'!T55,S196*T196*'4. Project Description'!T56,S196*T196)</f>
        <v>0</v>
      </c>
      <c r="V196" s="97">
        <f>IF(U197=0,0,U196/U197)</f>
        <v>0</v>
      </c>
      <c r="AU196" s="115"/>
    </row>
    <row r="197" spans="2:47" hidden="1">
      <c r="B197" s="1116"/>
      <c r="C197" s="2226" t="s">
        <v>3335</v>
      </c>
      <c r="D197" s="2226"/>
      <c r="E197" s="730"/>
      <c r="F197" s="228" t="str">
        <f>IF(F175=0,"",SUM('12. Funding Sources'!$E$29:$E$35))</f>
        <v/>
      </c>
      <c r="G197" s="228" t="str">
        <f>IF(G210=0,"",SUM('12. Funding Sources'!$E$29:$E$35))</f>
        <v/>
      </c>
      <c r="H197" s="228"/>
      <c r="I197" s="228" t="str">
        <f>IF(I175=0,"",SUM('12. Funding Sources'!$E$29:$E$35))</f>
        <v/>
      </c>
      <c r="J197" s="99"/>
      <c r="K197" s="655"/>
      <c r="L197" s="735">
        <v>0</v>
      </c>
      <c r="M197" s="655"/>
      <c r="N197" s="655"/>
      <c r="O197" s="1126"/>
      <c r="P197" s="9"/>
      <c r="Q197" s="9"/>
      <c r="R197" s="578"/>
      <c r="S197" s="9"/>
      <c r="T197" s="97" t="s">
        <v>3955</v>
      </c>
      <c r="U197" s="477">
        <f>U195+U196</f>
        <v>0</v>
      </c>
      <c r="X197" s="97" t="s">
        <v>4626</v>
      </c>
      <c r="AU197" s="115"/>
    </row>
    <row r="198" spans="2:47" hidden="1">
      <c r="B198" s="1116"/>
      <c r="C198" s="2226" t="s">
        <v>3337</v>
      </c>
      <c r="D198" s="2226"/>
      <c r="E198" s="730"/>
      <c r="F198" s="228" t="str">
        <f>IF(F175=0,"",SUM('12. Funding Sources'!$E$45,'12. Funding Sources'!$E$47))</f>
        <v/>
      </c>
      <c r="G198" s="228" t="str">
        <f>IF(G210=0,"",SUM('12. Funding Sources'!$E$45,'12. Funding Sources'!$E$47))</f>
        <v/>
      </c>
      <c r="H198" s="228"/>
      <c r="I198" s="228" t="str">
        <f>IF(I175=0,"",SUM('12. Funding Sources'!$E$45,'12. Funding Sources'!$E$47))</f>
        <v/>
      </c>
      <c r="J198" s="99"/>
      <c r="K198" s="655"/>
      <c r="L198" s="736">
        <v>0</v>
      </c>
      <c r="M198" s="655"/>
      <c r="N198" s="655"/>
      <c r="O198" s="1126"/>
      <c r="P198" s="9"/>
      <c r="Q198" s="9"/>
      <c r="R198" s="9"/>
      <c r="S198" s="9"/>
      <c r="X198" s="97">
        <f>IFERROR(ROUND(G206/G207,0), 0)</f>
        <v>0</v>
      </c>
      <c r="AU198" s="115"/>
    </row>
    <row r="199" spans="2:47" hidden="1">
      <c r="B199" s="1116"/>
      <c r="C199" s="2226" t="s">
        <v>3339</v>
      </c>
      <c r="D199" s="2226"/>
      <c r="E199" s="730"/>
      <c r="F199" s="228" t="str">
        <f>IF(F175=0,"",SUM('12. Funding Sources'!$E$48:$E$50))</f>
        <v/>
      </c>
      <c r="G199" s="228" t="str">
        <f>IF(G210=0,"",SUM('12. Funding Sources'!$E$48:$E$50))</f>
        <v/>
      </c>
      <c r="H199" s="228"/>
      <c r="I199" s="228" t="str">
        <f>IF(I175=0,"",SUM('12. Funding Sources'!$E$48:$E$50))</f>
        <v/>
      </c>
      <c r="J199" s="99"/>
      <c r="K199" s="655"/>
      <c r="L199" s="655"/>
      <c r="M199" s="655"/>
      <c r="N199" s="655"/>
      <c r="O199" s="1126"/>
      <c r="P199" s="9"/>
      <c r="Q199" s="9"/>
      <c r="R199" s="9"/>
      <c r="S199" s="9"/>
      <c r="X199" s="97" t="s">
        <v>4627</v>
      </c>
      <c r="AU199" s="115"/>
    </row>
    <row r="200" spans="2:47" hidden="1">
      <c r="B200" s="1116"/>
      <c r="C200" s="2226" t="s">
        <v>3341</v>
      </c>
      <c r="D200" s="2226"/>
      <c r="E200" s="730"/>
      <c r="F200" s="228" t="str">
        <f>IF(F175=0,"",SUM(F196:F199))</f>
        <v/>
      </c>
      <c r="G200" s="228" t="str">
        <f>IF(G210=0,"",SUM(G196:G199))</f>
        <v/>
      </c>
      <c r="H200" s="228"/>
      <c r="I200" s="228" t="str">
        <f>IF(I175=0,"",SUM(I196:I199))</f>
        <v/>
      </c>
      <c r="J200" s="99"/>
      <c r="K200" s="655"/>
      <c r="L200" s="655"/>
      <c r="M200" s="655"/>
      <c r="N200" s="655"/>
      <c r="O200" s="1126"/>
      <c r="P200" s="9"/>
      <c r="Q200" s="9"/>
      <c r="R200" s="9"/>
      <c r="S200" s="9"/>
      <c r="X200" s="482">
        <f>AA195</f>
        <v>0</v>
      </c>
      <c r="AU200" s="115"/>
    </row>
    <row r="201" spans="2:47" hidden="1">
      <c r="B201" s="1116"/>
      <c r="C201" s="2226" t="s">
        <v>3342</v>
      </c>
      <c r="D201" s="2226"/>
      <c r="E201" s="730"/>
      <c r="F201" s="228" t="str">
        <f>IF(F175=0,"",F195-F200)</f>
        <v/>
      </c>
      <c r="G201" s="228" t="str">
        <f>IF(G210=0,"",G195-G200)</f>
        <v/>
      </c>
      <c r="H201" s="228"/>
      <c r="I201" s="228" t="str">
        <f>IF(I175=0,"",I195-I200)</f>
        <v/>
      </c>
      <c r="J201" s="99"/>
      <c r="K201" s="655"/>
      <c r="L201" s="655"/>
      <c r="M201" s="655"/>
      <c r="N201" s="655"/>
      <c r="O201" s="1126"/>
      <c r="P201" s="9"/>
      <c r="Q201" s="9"/>
      <c r="R201" s="9"/>
      <c r="S201" s="9"/>
      <c r="X201" s="97" t="s">
        <v>4628</v>
      </c>
      <c r="AU201" s="115"/>
    </row>
    <row r="202" spans="2:47" hidden="1">
      <c r="B202" s="1116"/>
      <c r="C202" s="2226" t="s">
        <v>3343</v>
      </c>
      <c r="D202" s="2226"/>
      <c r="E202" s="730"/>
      <c r="F202" s="228" t="str">
        <f>IF(F175=0,"",F201*V195)</f>
        <v/>
      </c>
      <c r="G202" s="228" t="str">
        <f>IF(G210=0,"",G201*V195)</f>
        <v/>
      </c>
      <c r="H202" s="228"/>
      <c r="I202" s="228" t="str">
        <f>IF(I175=0,"",I201*V196)</f>
        <v/>
      </c>
      <c r="J202" s="99"/>
      <c r="K202" s="655"/>
      <c r="L202" s="655"/>
      <c r="M202" s="655"/>
      <c r="N202" s="655"/>
      <c r="O202" s="1126"/>
      <c r="P202" s="9"/>
      <c r="Q202" s="9"/>
      <c r="R202" s="9"/>
      <c r="S202" s="9"/>
      <c r="X202" s="97" t="e">
        <f>IF(AND(NOT(AF168),NOT(AF170)), X200,X198)</f>
        <v>#REF!</v>
      </c>
      <c r="AU202" s="115"/>
    </row>
    <row r="203" spans="2:47" hidden="1">
      <c r="B203" s="1116"/>
      <c r="C203" s="2226" t="s">
        <v>3344</v>
      </c>
      <c r="D203" s="2226"/>
      <c r="E203" s="730"/>
      <c r="F203" s="236" t="str">
        <f>IF(F175=0,"",'12. Funding Sources'!G44)</f>
        <v/>
      </c>
      <c r="G203" s="236" t="str">
        <f>IF(G210=0,"",'12. Funding Sources'!G44)</f>
        <v/>
      </c>
      <c r="H203" s="236"/>
      <c r="I203" s="236" t="str">
        <f>IF(I175=0,"",'12. Funding Sources'!G46)</f>
        <v/>
      </c>
      <c r="J203" s="99"/>
      <c r="K203" s="655" t="s">
        <v>4629</v>
      </c>
      <c r="L203" s="655"/>
      <c r="M203" s="655"/>
      <c r="N203" s="655"/>
      <c r="O203" s="1126"/>
      <c r="P203" s="9"/>
      <c r="Q203" s="9"/>
      <c r="R203" s="9"/>
      <c r="S203" s="9"/>
      <c r="AU203" s="115"/>
    </row>
    <row r="204" spans="2:47" hidden="1">
      <c r="B204" s="1116"/>
      <c r="C204" s="2226" t="s">
        <v>3345</v>
      </c>
      <c r="D204" s="2226"/>
      <c r="E204" s="730"/>
      <c r="F204" s="228" t="str">
        <f>IF(F175=0,"",F202/F203)</f>
        <v/>
      </c>
      <c r="G204" s="228" t="str">
        <f>IF(G175=0,"",G202/G203)</f>
        <v/>
      </c>
      <c r="H204" s="228"/>
      <c r="I204" s="228" t="str">
        <f>IF(I175=0,"",I202/I203)</f>
        <v/>
      </c>
      <c r="J204" s="270"/>
      <c r="K204" s="655"/>
      <c r="L204" s="655"/>
      <c r="M204" s="655"/>
      <c r="N204" s="655"/>
      <c r="O204" s="1126"/>
      <c r="P204" s="9"/>
      <c r="Q204" s="9"/>
      <c r="R204" s="9"/>
      <c r="S204" s="9"/>
      <c r="AU204" s="115"/>
    </row>
    <row r="205" spans="2:47" hidden="1">
      <c r="B205" s="1116"/>
      <c r="C205" s="2226" t="s">
        <v>3346</v>
      </c>
      <c r="D205" s="2226"/>
      <c r="E205" s="730"/>
      <c r="F205" s="245" t="str">
        <f>IF(F175=0,"",'12. Funding Sources'!I44)</f>
        <v/>
      </c>
      <c r="G205" s="245" t="str">
        <f>IF(G210=0,"",'12. Funding Sources'!I44)</f>
        <v/>
      </c>
      <c r="H205" s="245"/>
      <c r="I205" s="245" t="str">
        <f>IF(I175=0,"",'12. Funding Sources'!I46)</f>
        <v/>
      </c>
      <c r="J205" s="99"/>
      <c r="K205" s="655"/>
      <c r="L205" s="655"/>
      <c r="M205" s="655"/>
      <c r="N205" s="655"/>
      <c r="O205" s="1126"/>
      <c r="P205" s="9"/>
      <c r="Q205" s="9"/>
      <c r="R205" s="9"/>
      <c r="S205" s="9"/>
      <c r="AU205" s="115"/>
    </row>
    <row r="206" spans="2:47" hidden="1">
      <c r="B206" s="1116"/>
      <c r="C206" s="2226" t="s">
        <v>3347</v>
      </c>
      <c r="D206" s="2226"/>
      <c r="E206" s="730"/>
      <c r="F206" s="228" t="str">
        <f>IF(F175=0,"",F204/F205)</f>
        <v/>
      </c>
      <c r="G206" s="228" t="str">
        <f>IF(G210=0,"",IF(G205=0,0,G204/G205))</f>
        <v/>
      </c>
      <c r="H206" s="228"/>
      <c r="I206" s="228" t="str">
        <f>IF(I175=0,"",IF(I205=0,0,I204/I205))</f>
        <v/>
      </c>
      <c r="J206" s="99"/>
      <c r="K206" s="655"/>
      <c r="L206" s="655"/>
      <c r="M206" s="655"/>
      <c r="N206" s="655"/>
      <c r="O206" s="1126"/>
      <c r="P206" s="9"/>
      <c r="Q206" s="9"/>
      <c r="R206" s="9"/>
      <c r="S206" s="9"/>
      <c r="AU206" s="115"/>
    </row>
    <row r="207" spans="2:47" hidden="1">
      <c r="B207" s="1116"/>
      <c r="C207" s="2226" t="s">
        <v>4630</v>
      </c>
      <c r="D207" s="2226"/>
      <c r="E207" s="730"/>
      <c r="F207" s="255" t="str">
        <f>IF(F175=0,"",'12. Funding Sources'!H44)</f>
        <v/>
      </c>
      <c r="G207" s="255" t="str">
        <f>IF(G210=0,"",'12. Funding Sources'!H44)</f>
        <v/>
      </c>
      <c r="H207" s="255"/>
      <c r="I207" s="255" t="str">
        <f>IF(I175=0,"",'12. Funding Sources'!H46)</f>
        <v/>
      </c>
      <c r="J207" s="99"/>
      <c r="K207" s="655"/>
      <c r="L207" s="655"/>
      <c r="M207" s="655"/>
      <c r="N207" s="655"/>
      <c r="O207" s="1126"/>
      <c r="P207" s="9"/>
      <c r="Q207" s="9"/>
      <c r="R207" s="9"/>
      <c r="S207" s="9"/>
    </row>
    <row r="208" spans="2:47" hidden="1">
      <c r="B208" s="1116"/>
      <c r="C208" s="1964" t="s">
        <v>3349</v>
      </c>
      <c r="D208" s="1964"/>
      <c r="E208" s="733"/>
      <c r="F208" s="228" t="str">
        <f>IF(F175=0,"",F206/F207)</f>
        <v/>
      </c>
      <c r="G208" s="228" t="str">
        <f>IF('4. Project Description'!T55,'State HTC Gap'!C43,IF(G210=0,"",X202))</f>
        <v/>
      </c>
      <c r="H208" s="228"/>
      <c r="I208" s="228" t="e">
        <f>IF('4. Project Description'!T55,'State HTC Gap'!G43,AE172)</f>
        <v>#REF!</v>
      </c>
      <c r="J208" s="99"/>
      <c r="K208" s="655"/>
      <c r="L208" s="655"/>
      <c r="M208" s="655"/>
      <c r="N208" s="655"/>
      <c r="O208" s="1126"/>
      <c r="P208" s="9"/>
      <c r="Q208" s="9"/>
      <c r="R208" s="9"/>
      <c r="S208" s="9"/>
    </row>
    <row r="209" spans="2:50" ht="15.75" hidden="1">
      <c r="B209" s="1116"/>
      <c r="C209" s="1964" t="s">
        <v>4631</v>
      </c>
      <c r="D209" s="1964"/>
      <c r="E209" s="733"/>
      <c r="F209" s="246" t="s">
        <v>4605</v>
      </c>
      <c r="G209" s="246" t="s">
        <v>4606</v>
      </c>
      <c r="H209" s="246"/>
      <c r="I209" s="246" t="s">
        <v>244</v>
      </c>
      <c r="J209" s="99"/>
      <c r="K209" s="655"/>
      <c r="L209" s="655"/>
      <c r="M209" s="655"/>
      <c r="N209" s="655"/>
      <c r="O209" s="1126"/>
      <c r="P209" s="9"/>
      <c r="Q209" s="9"/>
      <c r="R209" s="9"/>
      <c r="S209" s="9"/>
    </row>
    <row r="210" spans="2:50" hidden="1">
      <c r="B210" s="1116"/>
      <c r="C210" s="2226" t="s">
        <v>4632</v>
      </c>
      <c r="D210" s="2226"/>
      <c r="E210" s="730"/>
      <c r="F210" s="243" t="str">
        <f>IF(F175=0,"",IF(OR(Project_Type="Acquisition/Rehab", Project_Type="Adaptive Reuse/New Construction",Project_Type="Adaptive Reuse"),F192,F192))</f>
        <v/>
      </c>
      <c r="G210" s="243">
        <f>IF(G175=0,0,IF(OR(Project_Type="Acquisition/Rehab",Credit_percentage_applied_for="4%", Credit_percentage_applied_for="State + Fed 4%"),G192,0))</f>
        <v>0</v>
      </c>
      <c r="H210" s="243"/>
      <c r="I210" s="243" t="str">
        <f>IF(I175=0,"",I192)</f>
        <v/>
      </c>
      <c r="J210" s="99"/>
      <c r="K210" s="655"/>
      <c r="L210" s="655"/>
      <c r="M210" s="655"/>
      <c r="N210" s="655"/>
      <c r="O210" s="1126"/>
      <c r="P210" s="9"/>
      <c r="Q210" s="9"/>
      <c r="R210" s="9"/>
      <c r="S210" s="9"/>
    </row>
    <row r="211" spans="2:50" hidden="1">
      <c r="B211" s="1116"/>
      <c r="C211" s="2226" t="s">
        <v>4633</v>
      </c>
      <c r="D211" s="2226"/>
      <c r="E211" s="730"/>
      <c r="F211" s="243" t="str">
        <f>IF(F175=0,"",F208)</f>
        <v/>
      </c>
      <c r="G211" s="243" t="str">
        <f>IF(G175=0,"",G208)</f>
        <v/>
      </c>
      <c r="H211" s="243"/>
      <c r="I211" s="243" t="str">
        <f>IF(I175=0,"",I208)</f>
        <v/>
      </c>
      <c r="J211" s="99"/>
      <c r="K211" s="655"/>
      <c r="L211" s="655"/>
      <c r="M211" s="655"/>
      <c r="N211" s="655"/>
      <c r="O211" s="1126"/>
      <c r="P211" s="9"/>
      <c r="Q211" s="9"/>
      <c r="R211" s="9"/>
      <c r="S211" s="9"/>
    </row>
    <row r="212" spans="2:50" hidden="1">
      <c r="B212" s="1116"/>
      <c r="C212" s="2226" t="s">
        <v>4634</v>
      </c>
      <c r="D212" s="2226"/>
      <c r="E212" s="730"/>
      <c r="F212" s="243">
        <f>MIN(F210:F211)</f>
        <v>0</v>
      </c>
      <c r="G212" s="243" t="str">
        <f>IF(G210=0,"",MIN(G210:G211))</f>
        <v/>
      </c>
      <c r="H212" s="243"/>
      <c r="I212" s="243">
        <f>MIN(I210:I211)</f>
        <v>0</v>
      </c>
      <c r="J212" s="99"/>
      <c r="K212" s="655"/>
      <c r="L212" s="655"/>
      <c r="M212" s="655"/>
      <c r="N212" s="655"/>
      <c r="O212" s="1126"/>
      <c r="P212" s="9"/>
      <c r="Q212" s="9"/>
      <c r="R212" s="9"/>
      <c r="S212" s="9"/>
    </row>
    <row r="213" spans="2:50" hidden="1">
      <c r="B213" s="1116"/>
      <c r="C213" s="2226" t="s">
        <v>4635</v>
      </c>
      <c r="D213" s="2226"/>
      <c r="E213" s="730"/>
      <c r="F213" s="247">
        <v>0</v>
      </c>
      <c r="G213" s="247">
        <v>0</v>
      </c>
      <c r="H213" s="247"/>
      <c r="I213" s="247">
        <v>0</v>
      </c>
      <c r="J213" s="99"/>
      <c r="K213" s="655"/>
      <c r="L213" s="655"/>
      <c r="M213" s="655"/>
      <c r="N213" s="655"/>
      <c r="O213" s="1126"/>
      <c r="P213" s="9"/>
      <c r="Q213" s="9"/>
      <c r="R213" s="9"/>
      <c r="S213" s="9"/>
    </row>
    <row r="214" spans="2:50" hidden="1">
      <c r="B214" s="1116"/>
      <c r="C214" s="1964" t="s">
        <v>4636</v>
      </c>
      <c r="D214" s="1964"/>
      <c r="E214" s="733"/>
      <c r="F214" s="243" t="str">
        <f>IF(F175=0,"",F212+F213)</f>
        <v/>
      </c>
      <c r="G214" s="243" t="str">
        <f>IF(G175=0,"",G212+G213)</f>
        <v/>
      </c>
      <c r="H214" s="243"/>
      <c r="I214" s="228" t="str">
        <f>IF(I175=0,"",I212+I213)</f>
        <v/>
      </c>
      <c r="J214" s="99"/>
      <c r="K214" s="655"/>
      <c r="L214" s="655"/>
      <c r="M214" s="655"/>
      <c r="N214" s="655"/>
      <c r="O214" s="1126"/>
      <c r="P214" s="9"/>
      <c r="Q214" s="9"/>
      <c r="R214" s="9"/>
      <c r="S214" s="9"/>
    </row>
    <row r="215" spans="2:50">
      <c r="B215" s="1116"/>
      <c r="C215" s="1131"/>
      <c r="D215" s="1131"/>
      <c r="E215" s="1131"/>
      <c r="F215" s="1131"/>
      <c r="G215" s="1126"/>
      <c r="H215" s="1126"/>
      <c r="I215" s="1126"/>
      <c r="J215" s="1120"/>
      <c r="K215" s="1120"/>
      <c r="L215" s="1120"/>
      <c r="M215" s="1120"/>
      <c r="N215" s="1120"/>
      <c r="O215" s="1126"/>
      <c r="P215" s="9"/>
      <c r="Q215" s="9"/>
      <c r="R215" s="9"/>
      <c r="S215" s="9"/>
    </row>
    <row r="216" spans="2:50" s="821" customFormat="1" ht="18.75">
      <c r="B216" s="1080"/>
      <c r="C216" s="1026"/>
      <c r="D216" s="1080"/>
      <c r="E216" s="1080"/>
      <c r="F216" s="1219" t="str">
        <f>IFERROR(IF(F173=Permanent_Financing,"Sources &amp; Uses Match", IF(Permanent_Financing-'14. Project Costs'!F173&gt;0, "Sources Exceed Uses", "Uses Exceed Sources"))," ")</f>
        <v>Sources &amp; Uses Match</v>
      </c>
      <c r="G216" s="2261" t="str">
        <f>IF(F216="Sources Exceed Uses","Oversourced by "&amp;TEXT((Permanent_Financing-'14. Project Costs'!F173),"$#,##0.00"),IF('14. Project Costs'!F216="Uses Exceed Sources","Undersourced by "&amp;TEXT(('14. Project Costs'!F173-Permanent_Financing),"$#,##0.00"),""))</f>
        <v/>
      </c>
      <c r="H216" s="2261"/>
      <c r="I216" s="2261"/>
      <c r="J216" s="1272"/>
      <c r="K216" s="1272"/>
      <c r="L216" s="1272"/>
      <c r="M216" s="1272"/>
      <c r="N216" s="1272"/>
      <c r="O216" s="1273"/>
      <c r="P216" s="847"/>
      <c r="Q216" s="847"/>
      <c r="R216" s="847"/>
      <c r="S216" s="847"/>
      <c r="T216" s="849"/>
      <c r="U216" s="849"/>
      <c r="V216" s="849"/>
      <c r="W216" s="849"/>
      <c r="X216" s="849"/>
      <c r="Y216" s="849"/>
      <c r="Z216" s="849"/>
      <c r="AA216" s="849"/>
      <c r="AB216" s="849"/>
      <c r="AC216" s="849"/>
      <c r="AD216" s="849"/>
      <c r="AE216" s="849"/>
      <c r="AF216" s="849"/>
      <c r="AG216" s="849"/>
      <c r="AH216" s="849"/>
      <c r="AI216" s="849"/>
      <c r="AJ216" s="849"/>
      <c r="AK216" s="849"/>
      <c r="AL216" s="849"/>
      <c r="AM216" s="849"/>
      <c r="AN216" s="849"/>
      <c r="AO216" s="849"/>
      <c r="AP216" s="849"/>
      <c r="AQ216" s="849"/>
      <c r="AR216" s="849"/>
      <c r="AS216" s="849"/>
      <c r="AT216" s="849"/>
    </row>
    <row r="217" spans="2:50">
      <c r="B217" s="1027"/>
      <c r="C217" s="1028"/>
      <c r="D217" s="1027"/>
      <c r="E217" s="1027"/>
      <c r="F217" s="1027"/>
      <c r="G217" s="1038"/>
      <c r="H217" s="1038"/>
      <c r="I217" s="1038"/>
      <c r="J217" s="1034"/>
      <c r="K217" s="1034"/>
      <c r="L217" s="1034"/>
      <c r="M217" s="1034"/>
      <c r="N217" s="1034"/>
      <c r="O217" s="1054"/>
      <c r="P217" s="9"/>
      <c r="Q217" s="9"/>
      <c r="R217" s="9"/>
      <c r="S217" s="9"/>
    </row>
    <row r="218" spans="2:50" ht="18.75">
      <c r="B218" s="2263" t="s">
        <v>4637</v>
      </c>
      <c r="C218" s="2263"/>
      <c r="D218" s="2263"/>
      <c r="E218" s="8"/>
      <c r="G218" s="9"/>
      <c r="H218" s="9"/>
      <c r="I218" s="9"/>
      <c r="O218" s="545"/>
      <c r="P218" s="9"/>
      <c r="Q218" s="9"/>
      <c r="R218" s="9"/>
      <c r="S218" s="9"/>
    </row>
    <row r="219" spans="2:50" ht="18.75">
      <c r="B219" s="1116"/>
      <c r="C219" s="1132"/>
      <c r="D219" s="1116"/>
      <c r="E219" s="1116"/>
      <c r="F219" s="1116"/>
      <c r="G219" s="1133"/>
      <c r="H219" s="1133"/>
      <c r="I219" s="1133"/>
      <c r="J219" s="1120"/>
      <c r="K219" s="1120"/>
      <c r="L219" s="1120"/>
      <c r="M219" s="1120"/>
      <c r="N219" s="1120"/>
      <c r="O219" s="1134"/>
      <c r="P219" s="9"/>
      <c r="Q219" s="9"/>
      <c r="R219" s="9"/>
      <c r="S219" s="9"/>
      <c r="AU219" s="115"/>
      <c r="AV219" s="115"/>
      <c r="AW219" s="115"/>
      <c r="AX219" s="115"/>
    </row>
    <row r="220" spans="2:50">
      <c r="B220" s="1116"/>
      <c r="C220" s="2229"/>
      <c r="D220" s="2229"/>
      <c r="E220" s="2229"/>
      <c r="F220" s="2229"/>
      <c r="G220" s="2229"/>
      <c r="H220" s="2229"/>
      <c r="I220" s="2229"/>
      <c r="J220" s="2229"/>
      <c r="K220" s="1129"/>
      <c r="L220" s="1120"/>
      <c r="M220" s="1120"/>
      <c r="N220" s="1120"/>
      <c r="O220" s="1134"/>
      <c r="P220" s="9"/>
      <c r="Q220" s="9"/>
      <c r="R220" s="9"/>
      <c r="S220" s="9"/>
      <c r="AB220" s="766"/>
      <c r="AU220" s="115"/>
      <c r="AV220" s="115"/>
      <c r="AW220" s="115"/>
      <c r="AX220" s="115"/>
    </row>
    <row r="221" spans="2:50">
      <c r="B221" s="1116"/>
      <c r="C221" s="2229"/>
      <c r="D221" s="2229"/>
      <c r="E221" s="2229"/>
      <c r="F221" s="2229"/>
      <c r="G221" s="2229"/>
      <c r="H221" s="2229"/>
      <c r="I221" s="2229"/>
      <c r="J221" s="2229"/>
      <c r="K221" s="1129"/>
      <c r="L221" s="1120"/>
      <c r="M221" s="1120"/>
      <c r="N221" s="1120"/>
      <c r="O221" s="1134"/>
      <c r="P221" s="9" t="s">
        <v>3945</v>
      </c>
      <c r="Q221" s="9" t="s">
        <v>3946</v>
      </c>
      <c r="R221" s="9" t="s">
        <v>3947</v>
      </c>
      <c r="S221" s="9" t="s">
        <v>3950</v>
      </c>
      <c r="AB221" s="766"/>
      <c r="AU221" s="115"/>
      <c r="AV221" s="115"/>
      <c r="AW221" s="115"/>
      <c r="AX221" s="115"/>
    </row>
    <row r="222" spans="2:50">
      <c r="B222" s="1116"/>
      <c r="C222" s="2229"/>
      <c r="D222" s="2229"/>
      <c r="E222" s="2229"/>
      <c r="F222" s="2229"/>
      <c r="G222" s="2229"/>
      <c r="H222" s="2229"/>
      <c r="I222" s="2229"/>
      <c r="J222" s="2229"/>
      <c r="K222" s="1129"/>
      <c r="L222" s="1120"/>
      <c r="M222" s="1120"/>
      <c r="N222" s="1120"/>
      <c r="O222" s="1134" t="s">
        <v>3951</v>
      </c>
      <c r="P222" s="806">
        <f>'12. Funding Sources'!G44</f>
        <v>0</v>
      </c>
      <c r="Q222" s="579">
        <v>0.85</v>
      </c>
      <c r="R222" s="579">
        <f>P222*Q222</f>
        <v>0</v>
      </c>
      <c r="S222" s="579" t="e">
        <f>R222/$R$224</f>
        <v>#DIV/0!</v>
      </c>
      <c r="AU222" s="115"/>
      <c r="AV222" s="115"/>
      <c r="AW222" s="115"/>
      <c r="AX222" s="115"/>
    </row>
    <row r="223" spans="2:50">
      <c r="B223" s="1116"/>
      <c r="C223" s="2229"/>
      <c r="D223" s="2229"/>
      <c r="E223" s="2229"/>
      <c r="F223" s="2229"/>
      <c r="G223" s="2229"/>
      <c r="H223" s="2229"/>
      <c r="I223" s="2229"/>
      <c r="J223" s="2229"/>
      <c r="K223" s="1129"/>
      <c r="L223" s="1120"/>
      <c r="M223" s="1120"/>
      <c r="N223" s="1120"/>
      <c r="O223" s="1134" t="s">
        <v>3953</v>
      </c>
      <c r="P223" s="805">
        <f>'12. Funding Sources'!G46</f>
        <v>0</v>
      </c>
      <c r="Q223" s="579">
        <f>'12. Funding Sources'!I46</f>
        <v>0</v>
      </c>
      <c r="R223" s="579">
        <f>P223*Q223</f>
        <v>0</v>
      </c>
      <c r="S223" s="579" t="e">
        <f>R223/$R$224</f>
        <v>#DIV/0!</v>
      </c>
      <c r="U223" s="318"/>
      <c r="AU223" s="115"/>
      <c r="AV223" s="115"/>
      <c r="AW223" s="115"/>
      <c r="AX223" s="115"/>
    </row>
    <row r="224" spans="2:50">
      <c r="B224" s="1116"/>
      <c r="C224" s="2229"/>
      <c r="D224" s="2229"/>
      <c r="E224" s="2229"/>
      <c r="F224" s="2229"/>
      <c r="G224" s="2229"/>
      <c r="H224" s="2229"/>
      <c r="I224" s="2229"/>
      <c r="J224" s="2229"/>
      <c r="K224" s="1129"/>
      <c r="L224" s="1120"/>
      <c r="M224" s="1120"/>
      <c r="N224" s="1120"/>
      <c r="O224" s="1134"/>
      <c r="P224" s="9"/>
      <c r="Q224" s="9" t="s">
        <v>3955</v>
      </c>
      <c r="R224" s="579">
        <f>+R222+R223</f>
        <v>0</v>
      </c>
      <c r="S224" s="579" t="e">
        <f>SUM(S222:S223)</f>
        <v>#DIV/0!</v>
      </c>
      <c r="AU224" s="115"/>
      <c r="AV224" s="115"/>
      <c r="AW224" s="115"/>
      <c r="AX224" s="115"/>
    </row>
    <row r="225" spans="2:50">
      <c r="B225" s="1116"/>
      <c r="C225" s="2229"/>
      <c r="D225" s="2229"/>
      <c r="E225" s="2229"/>
      <c r="F225" s="2229"/>
      <c r="G225" s="2229"/>
      <c r="H225" s="2229"/>
      <c r="I225" s="2229"/>
      <c r="J225" s="2229"/>
      <c r="K225" s="1129"/>
      <c r="L225" s="1120"/>
      <c r="M225" s="1120"/>
      <c r="N225" s="1120"/>
      <c r="O225" s="1134"/>
      <c r="P225" s="9"/>
      <c r="Q225" s="9"/>
      <c r="R225" s="9"/>
      <c r="S225" s="9"/>
      <c r="U225" s="405"/>
      <c r="AU225" s="115"/>
      <c r="AV225" s="115"/>
      <c r="AW225" s="115"/>
      <c r="AX225" s="115"/>
    </row>
    <row r="226" spans="2:50">
      <c r="B226" s="1116"/>
      <c r="C226" s="2229"/>
      <c r="D226" s="2229"/>
      <c r="E226" s="2229"/>
      <c r="F226" s="2229"/>
      <c r="G226" s="2229"/>
      <c r="H226" s="2229"/>
      <c r="I226" s="2229"/>
      <c r="J226" s="2229"/>
      <c r="K226" s="1129"/>
      <c r="L226" s="1120"/>
      <c r="M226" s="1120"/>
      <c r="N226" s="1120"/>
      <c r="O226" s="1135"/>
      <c r="P226" s="580"/>
      <c r="Q226" s="580"/>
      <c r="R226" s="580"/>
      <c r="S226" s="580"/>
      <c r="U226" s="405"/>
      <c r="AU226" s="115"/>
      <c r="AV226" s="115"/>
      <c r="AW226" s="115"/>
      <c r="AX226" s="115"/>
    </row>
    <row r="227" spans="2:50">
      <c r="B227" s="1116"/>
      <c r="C227" s="2229"/>
      <c r="D227" s="2229"/>
      <c r="E227" s="2229"/>
      <c r="F227" s="2229"/>
      <c r="G227" s="2229"/>
      <c r="H227" s="2229"/>
      <c r="I227" s="2229"/>
      <c r="J227" s="2229"/>
      <c r="K227" s="1129"/>
      <c r="L227" s="1120"/>
      <c r="M227" s="1120"/>
      <c r="N227" s="1120"/>
      <c r="O227" s="1135"/>
      <c r="P227" s="580"/>
      <c r="Q227" s="580"/>
      <c r="R227" s="580"/>
      <c r="S227" s="580"/>
      <c r="U227" s="405"/>
      <c r="AU227" s="115"/>
      <c r="AV227" s="115"/>
      <c r="AW227" s="115"/>
      <c r="AX227" s="115"/>
    </row>
    <row r="228" spans="2:50" s="9" customFormat="1">
      <c r="B228" s="1136"/>
      <c r="C228" s="1136"/>
      <c r="D228" s="1136"/>
      <c r="E228" s="1136"/>
      <c r="F228" s="1136"/>
      <c r="G228" s="1136"/>
      <c r="H228" s="1136"/>
      <c r="I228" s="1137"/>
      <c r="J228" s="1137"/>
      <c r="K228" s="1136"/>
      <c r="L228" s="1136"/>
      <c r="M228" s="1136"/>
      <c r="N228" s="1136"/>
      <c r="O228" s="1137"/>
      <c r="P228" s="580"/>
      <c r="U228" s="1735"/>
    </row>
    <row r="229" spans="2:50">
      <c r="B229" s="272" t="s">
        <v>3637</v>
      </c>
      <c r="R229" s="9"/>
    </row>
    <row r="230" spans="2:50" ht="18.75">
      <c r="B230" s="8" t="s">
        <v>3638</v>
      </c>
      <c r="G230" s="970"/>
      <c r="H230" s="970"/>
      <c r="I230" s="970"/>
      <c r="J230" s="374"/>
      <c r="R230" s="9"/>
    </row>
    <row r="231" spans="2:50">
      <c r="B231" s="1116"/>
      <c r="C231" s="1116"/>
      <c r="D231" s="1131"/>
      <c r="E231" s="1116"/>
      <c r="F231" s="1116"/>
      <c r="G231" s="1116"/>
      <c r="H231" s="1116"/>
      <c r="I231" s="1116"/>
      <c r="J231" s="1120"/>
      <c r="K231" s="1120"/>
      <c r="L231" s="1120"/>
      <c r="M231" s="1120"/>
      <c r="N231" s="1120"/>
      <c r="O231" s="1120"/>
      <c r="R231" s="9"/>
    </row>
    <row r="232" spans="2:50">
      <c r="B232" s="1116"/>
      <c r="C232" s="2229"/>
      <c r="D232" s="2229"/>
      <c r="E232" s="2229"/>
      <c r="F232" s="2229"/>
      <c r="G232" s="2229"/>
      <c r="H232" s="2229"/>
      <c r="I232" s="2229"/>
      <c r="J232" s="2229"/>
      <c r="K232" s="1129"/>
      <c r="L232" s="1120"/>
      <c r="M232" s="1120"/>
      <c r="N232" s="1120"/>
      <c r="O232" s="1120"/>
      <c r="R232" s="9"/>
    </row>
    <row r="233" spans="2:50">
      <c r="B233" s="1116"/>
      <c r="C233" s="2229"/>
      <c r="D233" s="2229"/>
      <c r="E233" s="2229"/>
      <c r="F233" s="2229"/>
      <c r="G233" s="2229"/>
      <c r="H233" s="2229"/>
      <c r="I233" s="2229"/>
      <c r="J233" s="2229"/>
      <c r="K233" s="1129"/>
      <c r="L233" s="1120"/>
      <c r="M233" s="1120"/>
      <c r="N233" s="1120"/>
      <c r="O233" s="1120"/>
      <c r="R233" s="9"/>
    </row>
    <row r="234" spans="2:50">
      <c r="B234" s="1116"/>
      <c r="C234" s="2229"/>
      <c r="D234" s="2229"/>
      <c r="E234" s="2229"/>
      <c r="F234" s="2229"/>
      <c r="G234" s="2229"/>
      <c r="H234" s="2229"/>
      <c r="I234" s="2229"/>
      <c r="J234" s="2229"/>
      <c r="K234" s="1129"/>
      <c r="L234" s="1120"/>
      <c r="M234" s="1120"/>
      <c r="N234" s="1120"/>
      <c r="O234" s="1120"/>
      <c r="R234" s="9"/>
    </row>
    <row r="235" spans="2:50">
      <c r="B235" s="1116"/>
      <c r="C235" s="2229"/>
      <c r="D235" s="2229"/>
      <c r="E235" s="2229"/>
      <c r="F235" s="2229"/>
      <c r="G235" s="2229"/>
      <c r="H235" s="2229"/>
      <c r="I235" s="2229"/>
      <c r="J235" s="2229"/>
      <c r="K235" s="1129"/>
      <c r="L235" s="1120"/>
      <c r="M235" s="1120"/>
      <c r="N235" s="1120"/>
      <c r="O235" s="1120"/>
      <c r="R235" s="9"/>
    </row>
    <row r="236" spans="2:50" s="97" customFormat="1">
      <c r="B236" s="1138"/>
      <c r="C236" s="1138"/>
      <c r="D236" s="1138"/>
      <c r="E236" s="1138"/>
      <c r="F236" s="1138"/>
      <c r="G236" s="1138"/>
      <c r="H236" s="1138"/>
      <c r="I236" s="1138"/>
      <c r="J236" s="1138"/>
      <c r="K236" s="1138"/>
      <c r="L236" s="1138"/>
      <c r="M236" s="1138"/>
      <c r="N236" s="1138"/>
      <c r="O236" s="1138"/>
    </row>
    <row r="237" spans="2:50">
      <c r="R237" s="9"/>
    </row>
    <row r="238" spans="2:50">
      <c r="R238" s="9"/>
    </row>
    <row r="239" spans="2:50">
      <c r="R239" s="9"/>
    </row>
    <row r="240" spans="2:50">
      <c r="R240" s="9"/>
    </row>
    <row r="241" spans="18:18">
      <c r="R241" s="9"/>
    </row>
    <row r="242" spans="18:18">
      <c r="R242" s="9"/>
    </row>
    <row r="243" spans="18:18">
      <c r="R243" s="9"/>
    </row>
    <row r="244" spans="18:18">
      <c r="R244" s="9"/>
    </row>
  </sheetData>
  <sheetProtection algorithmName="SHA-512" hashValue="y4r+D/1kx5yYrzL7kJ3LMi7pi5IMY4eto+O6QbBBMEp1hawFl6Gfk1u2vcBw6y5ROpkU0gZlhtRHVmGyf8mjxA==" saltValue="yT4CZyEeTqQ1vD5oZFuhow==" spinCount="100000" sheet="1" objects="1" scenarios="1" selectLockedCells="1"/>
  <mergeCells count="174">
    <mergeCell ref="B218:D218"/>
    <mergeCell ref="C34:D34"/>
    <mergeCell ref="C39:D39"/>
    <mergeCell ref="C41:D41"/>
    <mergeCell ref="C42:D42"/>
    <mergeCell ref="M8:M10"/>
    <mergeCell ref="N8:N10"/>
    <mergeCell ref="C21:D21"/>
    <mergeCell ref="C22:D22"/>
    <mergeCell ref="C23:D23"/>
    <mergeCell ref="C24:D24"/>
    <mergeCell ref="C25:D25"/>
    <mergeCell ref="C26:D26"/>
    <mergeCell ref="C27:D27"/>
    <mergeCell ref="C17:D17"/>
    <mergeCell ref="C19:D19"/>
    <mergeCell ref="C20:D20"/>
    <mergeCell ref="C11:D11"/>
    <mergeCell ref="C12:D12"/>
    <mergeCell ref="C13:D13"/>
    <mergeCell ref="C15:D15"/>
    <mergeCell ref="C182:D182"/>
    <mergeCell ref="C162:D162"/>
    <mergeCell ref="C163:D163"/>
    <mergeCell ref="C164:D164"/>
    <mergeCell ref="C146:D146"/>
    <mergeCell ref="C147:D147"/>
    <mergeCell ref="G216:I216"/>
    <mergeCell ref="H8:H10"/>
    <mergeCell ref="C148:D148"/>
    <mergeCell ref="C149:D149"/>
    <mergeCell ref="C150:D150"/>
    <mergeCell ref="C165:D165"/>
    <mergeCell ref="C151:D151"/>
    <mergeCell ref="C155:D155"/>
    <mergeCell ref="C157:D157"/>
    <mergeCell ref="C159:D159"/>
    <mergeCell ref="C160:D160"/>
    <mergeCell ref="C161:D161"/>
    <mergeCell ref="C145:D145"/>
    <mergeCell ref="C120:D120"/>
    <mergeCell ref="C121:D121"/>
    <mergeCell ref="C122:D122"/>
    <mergeCell ref="C129:D129"/>
    <mergeCell ref="C130:D130"/>
    <mergeCell ref="C131:D131"/>
    <mergeCell ref="F8:F10"/>
    <mergeCell ref="C14:D14"/>
    <mergeCell ref="E6:L7"/>
    <mergeCell ref="I8:I10"/>
    <mergeCell ref="G8:G10"/>
    <mergeCell ref="K8:K10"/>
    <mergeCell ref="C67:D67"/>
    <mergeCell ref="C29:D29"/>
    <mergeCell ref="C31:D31"/>
    <mergeCell ref="C33:D33"/>
    <mergeCell ref="C52:D52"/>
    <mergeCell ref="C53:D53"/>
    <mergeCell ref="C54:D54"/>
    <mergeCell ref="C55:D55"/>
    <mergeCell ref="C58:D58"/>
    <mergeCell ref="C59:D59"/>
    <mergeCell ref="C60:D60"/>
    <mergeCell ref="C61:D61"/>
    <mergeCell ref="C62:D62"/>
    <mergeCell ref="C63:D63"/>
    <mergeCell ref="C43:D43"/>
    <mergeCell ref="C44:D44"/>
    <mergeCell ref="C37:D37"/>
    <mergeCell ref="C38:D38"/>
    <mergeCell ref="C65:D65"/>
    <mergeCell ref="C35:D35"/>
    <mergeCell ref="C36:D36"/>
    <mergeCell ref="C16:D16"/>
    <mergeCell ref="C48:D48"/>
    <mergeCell ref="C87:D87"/>
    <mergeCell ref="C88:D88"/>
    <mergeCell ref="C89:D89"/>
    <mergeCell ref="C72:D72"/>
    <mergeCell ref="C74:D74"/>
    <mergeCell ref="C75:D75"/>
    <mergeCell ref="C77:D77"/>
    <mergeCell ref="C78:D78"/>
    <mergeCell ref="C83:D83"/>
    <mergeCell ref="C84:D84"/>
    <mergeCell ref="C85:D85"/>
    <mergeCell ref="C68:D68"/>
    <mergeCell ref="C70:D70"/>
    <mergeCell ref="C71:D71"/>
    <mergeCell ref="C66:D66"/>
    <mergeCell ref="C56:D56"/>
    <mergeCell ref="C57:D57"/>
    <mergeCell ref="C45:D45"/>
    <mergeCell ref="C46:D46"/>
    <mergeCell ref="C47:D47"/>
    <mergeCell ref="L9:L10"/>
    <mergeCell ref="J9:J10"/>
    <mergeCell ref="C49:D49"/>
    <mergeCell ref="C51:D51"/>
    <mergeCell ref="D112:E112"/>
    <mergeCell ref="D113:E113"/>
    <mergeCell ref="C136:D136"/>
    <mergeCell ref="C137:D137"/>
    <mergeCell ref="C138:D138"/>
    <mergeCell ref="C114:D114"/>
    <mergeCell ref="C115:D115"/>
    <mergeCell ref="C116:D116"/>
    <mergeCell ref="C101:D101"/>
    <mergeCell ref="C102:D102"/>
    <mergeCell ref="C103:D103"/>
    <mergeCell ref="C105:D105"/>
    <mergeCell ref="C108:D108"/>
    <mergeCell ref="C109:D109"/>
    <mergeCell ref="C91:D91"/>
    <mergeCell ref="C92:D92"/>
    <mergeCell ref="C94:D94"/>
    <mergeCell ref="C95:D95"/>
    <mergeCell ref="C96:D96"/>
    <mergeCell ref="C97:D97"/>
    <mergeCell ref="C139:D139"/>
    <mergeCell ref="C140:D140"/>
    <mergeCell ref="C143:D143"/>
    <mergeCell ref="C117:D117"/>
    <mergeCell ref="C118:D118"/>
    <mergeCell ref="C119:D119"/>
    <mergeCell ref="C128:D128"/>
    <mergeCell ref="C132:D132"/>
    <mergeCell ref="C133:D133"/>
    <mergeCell ref="C123:D123"/>
    <mergeCell ref="C124:D124"/>
    <mergeCell ref="C125:D125"/>
    <mergeCell ref="C126:D126"/>
    <mergeCell ref="C127:D127"/>
    <mergeCell ref="C173:D173"/>
    <mergeCell ref="C204:D204"/>
    <mergeCell ref="C232:J235"/>
    <mergeCell ref="C220:J227"/>
    <mergeCell ref="C175:D175"/>
    <mergeCell ref="C176:D176"/>
    <mergeCell ref="C177:D177"/>
    <mergeCell ref="C178:D178"/>
    <mergeCell ref="C179:D179"/>
    <mergeCell ref="C180:D180"/>
    <mergeCell ref="C190:D190"/>
    <mergeCell ref="C191:D191"/>
    <mergeCell ref="C192:D192"/>
    <mergeCell ref="C193:D193"/>
    <mergeCell ref="C195:D195"/>
    <mergeCell ref="C196:D196"/>
    <mergeCell ref="C214:D214"/>
    <mergeCell ref="C197:D197"/>
    <mergeCell ref="C181:D181"/>
    <mergeCell ref="C202:D202"/>
    <mergeCell ref="C206:D206"/>
    <mergeCell ref="C183:D183"/>
    <mergeCell ref="C184:D184"/>
    <mergeCell ref="C185:D185"/>
    <mergeCell ref="C212:D212"/>
    <mergeCell ref="C213:D213"/>
    <mergeCell ref="C205:D205"/>
    <mergeCell ref="C186:D186"/>
    <mergeCell ref="C187:D187"/>
    <mergeCell ref="C188:D188"/>
    <mergeCell ref="C189:D189"/>
    <mergeCell ref="C207:D207"/>
    <mergeCell ref="C208:D208"/>
    <mergeCell ref="C209:D209"/>
    <mergeCell ref="C210:D210"/>
    <mergeCell ref="C211:D211"/>
    <mergeCell ref="C203:D203"/>
    <mergeCell ref="C198:D198"/>
    <mergeCell ref="C199:D199"/>
    <mergeCell ref="C200:D200"/>
    <mergeCell ref="C201:D201"/>
  </mergeCells>
  <conditionalFormatting sqref="G13:G14">
    <cfRule type="expression" dxfId="273" priority="4">
      <formula>AND(ISBLANK(G13),NOT(ISBLANK(K13)))</formula>
    </cfRule>
  </conditionalFormatting>
  <conditionalFormatting sqref="G28:G30 G48 G51:G54 G60:G61 G67:G68 G77 G80:G81 G84 G87:G89 G91:G92 G94 G96 G108:G109 G112:G116 G136:G139 G156 G159 G163 G167:G171">
    <cfRule type="expression" dxfId="272" priority="3">
      <formula>AND(ISBLANK(G28),NOT(ISBLANK(K28)))</formula>
    </cfRule>
  </conditionalFormatting>
  <conditionalFormatting sqref="G210:H210">
    <cfRule type="expression" dxfId="271" priority="7">
      <formula>$G$210=0</formula>
    </cfRule>
  </conditionalFormatting>
  <conditionalFormatting sqref="K13:K14">
    <cfRule type="expression" dxfId="270" priority="2">
      <formula>AND(ISBLANK(K13),NOT(ISBLANK(G13)))</formula>
    </cfRule>
  </conditionalFormatting>
  <conditionalFormatting sqref="K24:K25 K28:K30 K42 K48 K51:K54 K60:K61 K67:K68 K74 K77 K80:K81 K84 K87:K89 K91:K92 K94 K96 K108:K109 K112:K116 K136:K139 K156 K159 K163 K167:K171">
    <cfRule type="expression" dxfId="269" priority="1">
      <formula>AND(ISBLANK(K24),NOT(ISBLANK(G24)))</formula>
    </cfRule>
  </conditionalFormatting>
  <dataValidations count="6">
    <dataValidation type="custom" allowBlank="1" showInputMessage="1" showErrorMessage="1" sqref="F1" xr:uid="{D882AE8A-B72B-47FF-8F2D-A8B80C71A4DB}">
      <formula1>"&lt;0&gt;0"</formula1>
    </dataValidation>
    <dataValidation type="custom" allowBlank="1" showInputMessage="1" showErrorMessage="1" errorTitle="Eligible Basis Costs Error" error="The Eligible Basis Costs (Column K) cannot exceed the Residental Construction Costs (Column G) for this line item." sqref="K19 K24:K25 K28:K30 K42 K48 K13:K14 K60:K61 K67:K68 K77 K80:K81 K84 K87:K89 K91:K92 K94 K96 K108:K109 K112:K116 K136:K139 K156 K159 K163 K51:K54 K167:K170 K74" xr:uid="{B22F522D-B802-4493-A73B-177E00E52664}">
      <formula1>K13&lt;=G13</formula1>
    </dataValidation>
    <dataValidation type="custom" allowBlank="1" showInputMessage="1" showErrorMessage="1" errorTitle="Eligible Basis Costs Error" error="The Eligible Basis Costs (Column K) cannot exceed the Residental Construction Costs (Column G) for this line item." sqref="K171" xr:uid="{05135D97-1960-409D-81CA-BE27443601F2}">
      <formula1>AND(K171&gt;0, K171&lt;=G171)</formula1>
    </dataValidation>
    <dataValidation type="custom" allowBlank="1" showInputMessage="1" showErrorMessage="1" errorTitle="Eligible Basis Costs Error" error="The Eligible Basis Costs (Column K) cannot exceed the Residental Construction Costs (Column G) for this line item." sqref="G13:G14 G28:G30 G48 G51:G54 G60:G61 G67:G68 G77 G80:G81 G84 G87:G89 G91:G92 G94 G96 G108:G109 G112:G116 G136:G139 G156 G159 G163 G167:G171" xr:uid="{B7CC81B1-6704-4FDC-A782-BDA24F358DC3}">
      <formula1>G13&gt;=K13</formula1>
    </dataValidation>
    <dataValidation type="custom" allowBlank="1" showInputMessage="1" showErrorMessage="1" errorTitle="Eligible Basis Costs Error" error="The Eligible Basis Costs (Column K) cannot exceed the Residental Construction Costs (Column G) for this line item." sqref="K45" xr:uid="{D779374C-C3D0-4167-A450-8F609D3E7628}">
      <formula1>AND(K45&lt;=G45, NOT(ISBLANK(G45)))</formula1>
    </dataValidation>
    <dataValidation type="custom" allowBlank="1" showInputMessage="1" showErrorMessage="1" errorTitle="Maximum Exceeded" error="The New Construction Portion cannont exceed 100%" sqref="D8" xr:uid="{09AFDF79-14F6-4F18-BF1B-39D7D650A9C9}">
      <formula1>D8&lt;=1</formula1>
    </dataValidation>
  </dataValidations>
  <pageMargins left="0.7" right="0.7" top="0.75" bottom="0.75" header="0.3" footer="0.3"/>
  <pageSetup scale="38" fitToHeight="0" orientation="portrait" r:id="rId1"/>
  <headerFooter>
    <oddHeader>&amp;L&amp;G</oddHeader>
    <oddFooter>&amp;CWHEDA MULTIFAMILY APPLICATION&amp;R&amp;P of &amp;N</oddFooter>
  </headerFooter>
  <rowBreaks count="1" manualBreakCount="1">
    <brk id="165" max="14" man="1"/>
  </rowBreaks>
  <legacy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2AB08-E928-4924-9095-81AE4146C56E}">
  <sheetPr codeName="Sheet44">
    <pageSetUpPr fitToPage="1"/>
  </sheetPr>
  <dimension ref="B1:AQ75"/>
  <sheetViews>
    <sheetView workbookViewId="0">
      <selection activeCell="H18" sqref="H18"/>
    </sheetView>
  </sheetViews>
  <sheetFormatPr defaultColWidth="9.140625" defaultRowHeight="15"/>
  <cols>
    <col min="1" max="1" width="4.28515625" style="3" customWidth="1"/>
    <col min="2" max="2" width="5.7109375" style="3" customWidth="1"/>
    <col min="3" max="3" width="9.140625" style="3" customWidth="1"/>
    <col min="4" max="5" width="9.140625" style="3"/>
    <col min="6" max="6" width="10.7109375" style="3" customWidth="1"/>
    <col min="7" max="7" width="12" style="3" customWidth="1"/>
    <col min="8" max="8" width="17.7109375" style="3" customWidth="1"/>
    <col min="9" max="10" width="7.28515625" style="3" customWidth="1"/>
    <col min="11" max="11" width="9.140625" style="3"/>
    <col min="12" max="12" width="10.85546875" style="3" customWidth="1"/>
    <col min="13" max="13" width="9.140625" style="3"/>
    <col min="14" max="14" width="11.85546875" style="3" customWidth="1"/>
    <col min="15" max="15" width="12" style="3" customWidth="1"/>
    <col min="16" max="16" width="17.7109375" style="3" customWidth="1"/>
    <col min="17" max="17" width="9.140625" style="3"/>
    <col min="18" max="18" width="9.140625" style="97"/>
    <col min="19" max="20" width="9.140625" style="9" customWidth="1"/>
    <col min="21" max="22" width="9.140625" style="9"/>
    <col min="23" max="16384" width="9.140625" style="3"/>
  </cols>
  <sheetData>
    <row r="1" spans="2:43" ht="28.5">
      <c r="B1" s="4" t="str">
        <f>'1. TOC'!B1</f>
        <v>WHEDA 2025 Multifamily Application</v>
      </c>
      <c r="C1"/>
      <c r="H1" s="115"/>
      <c r="I1" s="296" t="str">
        <f>'1. TOC'!L1</f>
        <v>v25.1.12</v>
      </c>
      <c r="J1" s="115"/>
      <c r="K1" s="947" t="str">
        <f>HYPERLINK("#Table_of_Contents", Table_of_Contents)</f>
        <v>Table of Contents</v>
      </c>
      <c r="L1" s="115"/>
      <c r="M1" s="115"/>
      <c r="N1" s="115"/>
      <c r="O1" s="115"/>
      <c r="P1" s="115"/>
      <c r="Q1" s="97"/>
      <c r="R1" s="9"/>
      <c r="V1" s="3"/>
      <c r="AA1" s="115"/>
      <c r="AB1" s="115"/>
      <c r="AC1" s="115"/>
      <c r="AD1" s="115"/>
      <c r="AE1" s="115"/>
      <c r="AF1" s="115"/>
      <c r="AG1" s="115"/>
      <c r="AH1" s="115"/>
      <c r="AI1" s="115"/>
      <c r="AJ1" s="115"/>
      <c r="AK1" s="115"/>
      <c r="AL1" s="115"/>
      <c r="AM1" s="115"/>
      <c r="AN1" s="115"/>
      <c r="AO1" s="115"/>
      <c r="AP1" s="115"/>
      <c r="AQ1" s="115"/>
    </row>
    <row r="2" spans="2:43" ht="18.75">
      <c r="B2" s="811" t="str">
        <f>_xlfn.CONCAT(IF(ISBLANK(WHEDA_Project_Number),"",_xlfn.CONCAT(WHEDA_Project_Number," - ")), Project_Name, IF(ISBLANK(Credit_percentage_applied_for),"",_xlfn.CONCAT(" - ", Credit_percentage_applied_for," HTC")))</f>
        <v/>
      </c>
      <c r="C2" s="789"/>
      <c r="D2" s="62"/>
      <c r="E2" s="62"/>
      <c r="F2" s="62"/>
      <c r="G2" s="62"/>
      <c r="H2" s="62"/>
      <c r="I2" s="62"/>
      <c r="J2" s="451"/>
      <c r="K2" s="814"/>
      <c r="L2" s="451"/>
      <c r="M2" s="451"/>
      <c r="N2" s="451"/>
      <c r="O2" s="451"/>
      <c r="P2" s="451"/>
      <c r="Q2" s="638"/>
      <c r="R2" s="9"/>
      <c r="V2" s="3"/>
      <c r="AA2" s="115"/>
      <c r="AB2" s="115"/>
      <c r="AC2" s="115"/>
      <c r="AD2" s="115"/>
      <c r="AE2" s="115"/>
      <c r="AF2" s="115"/>
      <c r="AG2" s="115"/>
      <c r="AH2" s="115"/>
      <c r="AI2" s="115"/>
      <c r="AJ2" s="115"/>
      <c r="AK2" s="115"/>
      <c r="AL2" s="115"/>
      <c r="AM2" s="115"/>
      <c r="AN2" s="115"/>
      <c r="AO2" s="115"/>
      <c r="AP2" s="115"/>
      <c r="AQ2" s="115"/>
    </row>
    <row r="3" spans="2:43" ht="15.75">
      <c r="C3" s="5"/>
      <c r="H3" s="115"/>
      <c r="I3" s="115"/>
      <c r="J3" s="115"/>
      <c r="K3" s="115"/>
      <c r="L3" s="115"/>
      <c r="M3" s="296"/>
      <c r="N3" s="115"/>
      <c r="O3" s="115"/>
      <c r="P3" s="115"/>
      <c r="Q3" s="97"/>
      <c r="R3" s="9"/>
      <c r="V3" s="3"/>
      <c r="AA3" s="115"/>
      <c r="AB3" s="115"/>
      <c r="AC3" s="115"/>
      <c r="AD3" s="115"/>
      <c r="AE3" s="115"/>
      <c r="AF3" s="115"/>
      <c r="AG3" s="115"/>
      <c r="AH3" s="115"/>
      <c r="AI3" s="115"/>
      <c r="AJ3" s="115"/>
      <c r="AK3" s="115"/>
      <c r="AL3" s="115"/>
      <c r="AM3" s="115"/>
      <c r="AN3" s="115"/>
      <c r="AO3" s="115"/>
      <c r="AP3" s="115"/>
      <c r="AQ3" s="115"/>
    </row>
    <row r="4" spans="2:43" ht="28.5">
      <c r="B4" s="4" t="s">
        <v>4638</v>
      </c>
      <c r="H4" s="115"/>
      <c r="I4" s="115"/>
      <c r="J4" s="115"/>
      <c r="K4" s="115"/>
      <c r="L4" s="115"/>
      <c r="M4" s="115"/>
      <c r="N4" s="115"/>
      <c r="O4" s="115"/>
      <c r="P4" s="115"/>
      <c r="Q4" s="97"/>
      <c r="R4" s="9"/>
      <c r="V4" s="3"/>
      <c r="AA4" s="115"/>
      <c r="AB4" s="115"/>
      <c r="AC4" s="115"/>
      <c r="AD4" s="115"/>
      <c r="AE4" s="115"/>
      <c r="AF4" s="115"/>
      <c r="AG4" s="115"/>
      <c r="AH4" s="115"/>
      <c r="AI4" s="115"/>
      <c r="AJ4" s="115"/>
      <c r="AK4" s="115"/>
      <c r="AL4" s="115"/>
      <c r="AM4" s="115"/>
      <c r="AN4" s="115"/>
      <c r="AO4" s="115"/>
      <c r="AP4" s="115"/>
      <c r="AQ4" s="115"/>
    </row>
    <row r="5" spans="2:43">
      <c r="B5" s="1027"/>
      <c r="C5" s="1027"/>
      <c r="D5" s="1027"/>
      <c r="E5" s="1027"/>
      <c r="F5" s="1027"/>
      <c r="G5" s="1027"/>
      <c r="H5" s="1027"/>
      <c r="I5" s="1027"/>
      <c r="J5" s="1027"/>
      <c r="K5" s="1027"/>
      <c r="L5" s="1027"/>
      <c r="M5" s="1027"/>
      <c r="N5" s="1027"/>
      <c r="O5" s="1027"/>
      <c r="P5" s="1027"/>
      <c r="Q5" s="1027"/>
      <c r="R5" s="9"/>
      <c r="AB5" s="115"/>
    </row>
    <row r="6" spans="2:43" ht="15.75">
      <c r="B6" s="1027"/>
      <c r="C6" s="1808" t="s">
        <v>4639</v>
      </c>
      <c r="D6" s="2270"/>
      <c r="E6" s="2270"/>
      <c r="F6" s="2270"/>
      <c r="G6" s="2270"/>
      <c r="H6" s="1809"/>
      <c r="I6" s="1027"/>
      <c r="J6" s="1143"/>
      <c r="K6" s="1808" t="s">
        <v>4640</v>
      </c>
      <c r="L6" s="2270"/>
      <c r="M6" s="2270"/>
      <c r="N6" s="2270"/>
      <c r="O6" s="2270"/>
      <c r="P6" s="1809"/>
      <c r="Q6" s="1027"/>
      <c r="R6" s="9"/>
      <c r="S6" s="807" t="s">
        <v>3323</v>
      </c>
      <c r="AB6" s="115"/>
    </row>
    <row r="7" spans="2:43">
      <c r="B7" s="1027"/>
      <c r="C7" s="1978" t="s">
        <v>4641</v>
      </c>
      <c r="D7" s="1836"/>
      <c r="E7" s="1836"/>
      <c r="F7" s="1836"/>
      <c r="G7" s="1836"/>
      <c r="H7" s="1837"/>
      <c r="I7" s="1027"/>
      <c r="J7" s="1143"/>
      <c r="K7" s="1978" t="s">
        <v>4641</v>
      </c>
      <c r="L7" s="1836"/>
      <c r="M7" s="1836"/>
      <c r="N7" s="1836"/>
      <c r="O7" s="1836"/>
      <c r="P7" s="1837"/>
      <c r="Q7" s="1027"/>
      <c r="R7" s="9"/>
      <c r="S7" s="79" t="s">
        <v>4642</v>
      </c>
      <c r="T7" s="808">
        <f>'11. Unit Mix'!H66</f>
        <v>0</v>
      </c>
      <c r="U7" s="808">
        <f>'11. Unit Mix'!G66</f>
        <v>0</v>
      </c>
      <c r="V7" s="9" t="s">
        <v>4643</v>
      </c>
      <c r="AB7" s="115"/>
    </row>
    <row r="8" spans="2:43">
      <c r="B8" s="1027"/>
      <c r="C8" s="1027" t="s">
        <v>4644</v>
      </c>
      <c r="D8" s="1027"/>
      <c r="E8" s="1027"/>
      <c r="F8" s="1027"/>
      <c r="G8" s="1027"/>
      <c r="H8" s="453">
        <f>+PC_ACQ_ACQ_Subtotal_4</f>
        <v>0</v>
      </c>
      <c r="I8" s="1027"/>
      <c r="J8" s="1143"/>
      <c r="K8" s="1027" t="s">
        <v>4644</v>
      </c>
      <c r="L8" s="1027"/>
      <c r="M8" s="1027"/>
      <c r="N8" s="1027"/>
      <c r="O8" s="1027"/>
      <c r="P8" s="453">
        <f>IF(Credit_percentage_applied_for="State + Fed 4%",H8,0)</f>
        <v>0</v>
      </c>
      <c r="Q8" s="1027"/>
      <c r="R8" s="9"/>
      <c r="S8" s="79" t="s">
        <v>4645</v>
      </c>
      <c r="T8" s="808">
        <f>'11. Unit Mix'!H114</f>
        <v>0</v>
      </c>
      <c r="U8" s="9">
        <f>'11. Unit Mix'!F114</f>
        <v>0</v>
      </c>
      <c r="V8" s="9" t="s">
        <v>4646</v>
      </c>
      <c r="AB8" s="115"/>
    </row>
    <row r="9" spans="2:43">
      <c r="B9" s="1027"/>
      <c r="C9" s="1027" t="s">
        <v>3323</v>
      </c>
      <c r="D9" s="1027"/>
      <c r="E9" s="1027"/>
      <c r="F9" s="1027"/>
      <c r="G9" s="1027"/>
      <c r="H9" s="454">
        <f>IFERROR(MIN(T10,U10),)</f>
        <v>0</v>
      </c>
      <c r="I9" s="1027"/>
      <c r="J9" s="1143"/>
      <c r="K9" s="1027" t="s">
        <v>3323</v>
      </c>
      <c r="L9" s="1027"/>
      <c r="M9" s="1027"/>
      <c r="N9" s="1027"/>
      <c r="O9" s="1027"/>
      <c r="P9" s="454">
        <f>IF(Credit_percentage_applied_for="State + Fed 4%",+H9,0)</f>
        <v>0</v>
      </c>
      <c r="Q9" s="1027"/>
      <c r="R9" s="9"/>
      <c r="S9" s="79" t="s">
        <v>4647</v>
      </c>
      <c r="T9" s="808">
        <f>'11. Unit Mix'!G99</f>
        <v>0</v>
      </c>
      <c r="U9" s="808">
        <f>'11. Unit Mix'!F99</f>
        <v>0</v>
      </c>
      <c r="V9" s="9" t="s">
        <v>4648</v>
      </c>
      <c r="AB9" s="115"/>
    </row>
    <row r="10" spans="2:43">
      <c r="B10" s="1027"/>
      <c r="C10" s="1027" t="s">
        <v>4649</v>
      </c>
      <c r="D10" s="1027"/>
      <c r="E10" s="1027"/>
      <c r="F10" s="1027"/>
      <c r="G10" s="1027"/>
      <c r="H10" s="455">
        <f>+H9*H8</f>
        <v>0</v>
      </c>
      <c r="I10" s="1027"/>
      <c r="J10" s="1143"/>
      <c r="K10" s="1027" t="s">
        <v>4649</v>
      </c>
      <c r="L10" s="1027"/>
      <c r="M10" s="1027"/>
      <c r="N10" s="1027"/>
      <c r="O10" s="1027"/>
      <c r="P10" s="455">
        <f>+P8*P9</f>
        <v>0</v>
      </c>
      <c r="Q10" s="1027"/>
      <c r="R10" s="9"/>
      <c r="S10" s="79" t="s">
        <v>4650</v>
      </c>
      <c r="T10" s="809">
        <f>IFERROR(T7/(T7+T8),)</f>
        <v>0</v>
      </c>
      <c r="U10" s="809">
        <f>IFERROR(U7/(U7+U8),)</f>
        <v>0</v>
      </c>
      <c r="V10" s="9" t="s">
        <v>4651</v>
      </c>
      <c r="AB10" s="115"/>
    </row>
    <row r="11" spans="2:43">
      <c r="B11" s="1027"/>
      <c r="C11" s="1027" t="s">
        <v>230</v>
      </c>
      <c r="D11" s="1027"/>
      <c r="E11" s="1027"/>
      <c r="F11" s="1027"/>
      <c r="G11" s="1027"/>
      <c r="H11" s="456">
        <v>0.04</v>
      </c>
      <c r="I11" s="1027"/>
      <c r="J11" s="1143"/>
      <c r="K11" s="1027" t="s">
        <v>230</v>
      </c>
      <c r="L11" s="1027"/>
      <c r="M11" s="1027"/>
      <c r="N11" s="1027"/>
      <c r="O11" s="1027"/>
      <c r="P11" s="456">
        <v>0.04</v>
      </c>
      <c r="Q11" s="1027"/>
      <c r="R11" s="9"/>
      <c r="AB11" s="115"/>
    </row>
    <row r="12" spans="2:43">
      <c r="B12" s="1027"/>
      <c r="C12" s="604" t="s">
        <v>4652</v>
      </c>
      <c r="D12" s="587"/>
      <c r="E12" s="587"/>
      <c r="F12" s="587"/>
      <c r="G12" s="605"/>
      <c r="H12" s="589">
        <f>+H11*H10</f>
        <v>0</v>
      </c>
      <c r="I12" s="1027"/>
      <c r="J12" s="1143"/>
      <c r="K12" s="604" t="s">
        <v>4653</v>
      </c>
      <c r="L12" s="587"/>
      <c r="M12" s="587"/>
      <c r="N12" s="587"/>
      <c r="O12" s="605"/>
      <c r="P12" s="589">
        <f>IF(Credit_percentage_applied_for='Dropdown Lists'!$G$4,P11*P10,0)</f>
        <v>0</v>
      </c>
      <c r="Q12" s="1027"/>
      <c r="R12" s="9"/>
      <c r="AB12" s="115"/>
    </row>
    <row r="13" spans="2:43">
      <c r="B13" s="1027"/>
      <c r="C13" s="1027"/>
      <c r="D13" s="1027"/>
      <c r="E13" s="1027"/>
      <c r="F13" s="1027"/>
      <c r="G13" s="1027"/>
      <c r="H13" s="1027"/>
      <c r="I13" s="1027"/>
      <c r="J13" s="1143"/>
      <c r="K13" s="1027"/>
      <c r="L13" s="1027"/>
      <c r="M13" s="1027"/>
      <c r="N13" s="1027"/>
      <c r="O13" s="1027"/>
      <c r="P13" s="1027"/>
      <c r="Q13" s="1027"/>
      <c r="R13" s="9"/>
      <c r="AB13" s="115"/>
    </row>
    <row r="14" spans="2:43">
      <c r="B14" s="1027"/>
      <c r="C14" s="1978" t="s">
        <v>4654</v>
      </c>
      <c r="D14" s="1836"/>
      <c r="E14" s="1836"/>
      <c r="F14" s="1836"/>
      <c r="G14" s="1836"/>
      <c r="H14" s="1837"/>
      <c r="I14" s="1027"/>
      <c r="J14" s="1143"/>
      <c r="K14" s="1978" t="s">
        <v>4655</v>
      </c>
      <c r="L14" s="1836"/>
      <c r="M14" s="1836"/>
      <c r="N14" s="1836"/>
      <c r="O14" s="1836"/>
      <c r="P14" s="1837"/>
      <c r="Q14" s="1027"/>
      <c r="R14" s="9"/>
      <c r="AB14" s="115"/>
    </row>
    <row r="15" spans="2:43">
      <c r="B15" s="1027"/>
      <c r="C15" s="1027" t="s">
        <v>4656</v>
      </c>
      <c r="D15" s="1027"/>
      <c r="E15" s="1027"/>
      <c r="F15" s="1027"/>
      <c r="G15" s="1027"/>
      <c r="H15" s="453">
        <f>+'14. Project Costs'!K173</f>
        <v>0</v>
      </c>
      <c r="I15" s="1027"/>
      <c r="J15" s="1143"/>
      <c r="K15" s="1027" t="s">
        <v>4656</v>
      </c>
      <c r="L15" s="1027"/>
      <c r="M15" s="1027"/>
      <c r="N15" s="1027"/>
      <c r="O15" s="1027"/>
      <c r="P15" s="453">
        <f>IF(Credit_percentage_applied_for="State + Fed 4%",'14. Project Costs'!K173,0)</f>
        <v>0</v>
      </c>
      <c r="Q15" s="1027"/>
      <c r="R15" s="9"/>
      <c r="AB15" s="115"/>
    </row>
    <row r="16" spans="2:43">
      <c r="B16" s="1027"/>
      <c r="C16" s="1139" t="s">
        <v>4657</v>
      </c>
      <c r="D16" s="1027"/>
      <c r="E16" s="1027"/>
      <c r="F16" s="1027"/>
      <c r="G16" s="1027"/>
      <c r="H16" s="453">
        <f>-H8</f>
        <v>0</v>
      </c>
      <c r="I16" s="1027"/>
      <c r="J16" s="1143"/>
      <c r="K16" s="1139" t="s">
        <v>4658</v>
      </c>
      <c r="L16" s="1027"/>
      <c r="M16" s="1027"/>
      <c r="N16" s="1027"/>
      <c r="O16" s="1027"/>
      <c r="P16" s="453">
        <f>IF(P15&gt;0,-P8,0)</f>
        <v>0</v>
      </c>
      <c r="Q16" s="1027"/>
      <c r="R16" s="9"/>
      <c r="AB16" s="115"/>
    </row>
    <row r="17" spans="2:28" hidden="1">
      <c r="B17" s="1027"/>
      <c r="C17" s="1139" t="s">
        <v>4659</v>
      </c>
      <c r="D17" s="1027"/>
      <c r="E17" s="1027"/>
      <c r="F17" s="1027"/>
      <c r="G17" s="1027"/>
      <c r="H17" s="453">
        <f>-SUM('12. Funding Sources'!E45,'12. Funding Sources'!E47)*0</f>
        <v>0</v>
      </c>
      <c r="I17" s="1027"/>
      <c r="J17" s="1143"/>
      <c r="K17" s="1139" t="s">
        <v>4659</v>
      </c>
      <c r="L17" s="1027"/>
      <c r="M17" s="1027"/>
      <c r="N17" s="1027"/>
      <c r="O17" s="1027"/>
      <c r="P17" s="453">
        <f>IF(P15&gt;0,-SUM('12. Funding Sources'!E45,'12. Funding Sources'!E47),0)*0</f>
        <v>0</v>
      </c>
      <c r="Q17" s="1027"/>
      <c r="R17" s="9"/>
      <c r="AB17" s="115"/>
    </row>
    <row r="18" spans="2:28">
      <c r="B18" s="1027"/>
      <c r="C18" s="1139" t="s">
        <v>4660</v>
      </c>
      <c r="D18" s="1027"/>
      <c r="E18" s="1027"/>
      <c r="F18" s="1027"/>
      <c r="G18" s="1027"/>
      <c r="H18" s="1142"/>
      <c r="I18" s="1027"/>
      <c r="J18" s="1143"/>
      <c r="K18" s="1139" t="str">
        <f>+C18</f>
        <v>Less: Historic Tax Basis (enter as Negative number)</v>
      </c>
      <c r="L18" s="1027"/>
      <c r="M18" s="1027"/>
      <c r="N18" s="1027"/>
      <c r="O18" s="1027"/>
      <c r="P18" s="1142"/>
      <c r="Q18" s="1027"/>
      <c r="R18" s="9"/>
      <c r="AB18" s="115"/>
    </row>
    <row r="19" spans="2:28">
      <c r="B19" s="1027"/>
      <c r="C19" s="1139" t="s">
        <v>4661</v>
      </c>
      <c r="D19" s="1027"/>
      <c r="E19" s="1027"/>
      <c r="F19" s="1027"/>
      <c r="G19" s="1027"/>
      <c r="H19" s="453">
        <f>-SUM('12. Funding Sources'!E29:E35)</f>
        <v>0</v>
      </c>
      <c r="I19" s="1027"/>
      <c r="J19" s="1143"/>
      <c r="K19" s="1139" t="s">
        <v>4661</v>
      </c>
      <c r="L19" s="1027"/>
      <c r="M19" s="1027"/>
      <c r="N19" s="1027"/>
      <c r="O19" s="1027"/>
      <c r="P19" s="453">
        <f>IF(P15&gt;0,-SUM('12. Funding Sources'!E29:E35),0)</f>
        <v>0</v>
      </c>
      <c r="Q19" s="1027"/>
      <c r="R19" s="9"/>
      <c r="AB19" s="115"/>
    </row>
    <row r="20" spans="2:28">
      <c r="B20" s="1027"/>
      <c r="C20" s="1734" t="s">
        <v>4662</v>
      </c>
      <c r="D20" s="1027"/>
      <c r="E20" s="1027"/>
      <c r="F20" s="1027"/>
      <c r="G20" s="1027"/>
      <c r="H20" s="762">
        <f>+H15+SUM(H16:H19)</f>
        <v>0</v>
      </c>
      <c r="I20" s="1027"/>
      <c r="J20" s="1143"/>
      <c r="K20" s="1734" t="s">
        <v>4662</v>
      </c>
      <c r="L20" s="1027"/>
      <c r="M20" s="1027"/>
      <c r="N20" s="1027"/>
      <c r="O20" s="1027"/>
      <c r="P20" s="762">
        <f>+P15+SUM(P16:P19)</f>
        <v>0</v>
      </c>
      <c r="Q20" s="1027"/>
      <c r="R20" s="9"/>
      <c r="AB20" s="115"/>
    </row>
    <row r="21" spans="2:28">
      <c r="B21" s="1027"/>
      <c r="C21" s="1140" t="s">
        <v>4663</v>
      </c>
      <c r="D21" s="1140"/>
      <c r="E21" s="1140"/>
      <c r="F21" s="1141" t="s">
        <v>4664</v>
      </c>
      <c r="G21" s="946">
        <v>0</v>
      </c>
      <c r="H21" s="763">
        <f>IFERROR(H20*G21,0)</f>
        <v>0</v>
      </c>
      <c r="I21" s="1027"/>
      <c r="J21" s="1143"/>
      <c r="K21" s="1140" t="s">
        <v>4663</v>
      </c>
      <c r="L21" s="1140"/>
      <c r="M21" s="1140"/>
      <c r="N21" s="1145" t="s">
        <v>4664</v>
      </c>
      <c r="O21" s="946">
        <v>0</v>
      </c>
      <c r="P21" s="763">
        <f>IFERROR(P20*O21,0)</f>
        <v>0</v>
      </c>
      <c r="Q21" s="1027"/>
      <c r="R21" s="9"/>
    </row>
    <row r="22" spans="2:28">
      <c r="B22" s="1027"/>
      <c r="C22" s="1140" t="s">
        <v>4665</v>
      </c>
      <c r="D22" s="1140"/>
      <c r="E22" s="1140"/>
      <c r="F22" s="1141" t="s">
        <v>4664</v>
      </c>
      <c r="G22" s="946">
        <v>0</v>
      </c>
      <c r="H22" s="763">
        <f>IFERROR(H20*G22,0)</f>
        <v>0</v>
      </c>
      <c r="I22" s="1027"/>
      <c r="J22" s="1143"/>
      <c r="K22" s="1144" t="s">
        <v>4665</v>
      </c>
      <c r="L22" s="1144"/>
      <c r="M22" s="1144"/>
      <c r="N22" s="1145" t="s">
        <v>4664</v>
      </c>
      <c r="O22" s="946">
        <v>0</v>
      </c>
      <c r="P22" s="763">
        <f>IFERROR(P20*O22,0)</f>
        <v>0</v>
      </c>
      <c r="Q22" s="1027"/>
      <c r="R22" s="9"/>
    </row>
    <row r="23" spans="2:28">
      <c r="B23" s="1027"/>
      <c r="C23" s="1027" t="s">
        <v>833</v>
      </c>
      <c r="D23" s="1027"/>
      <c r="E23" s="1027"/>
      <c r="F23" s="1027"/>
      <c r="G23" s="1027"/>
      <c r="H23" s="548">
        <f>SUM(H20:H22)</f>
        <v>0</v>
      </c>
      <c r="I23" s="1027"/>
      <c r="J23" s="1143"/>
      <c r="K23" s="1027" t="s">
        <v>833</v>
      </c>
      <c r="L23" s="1027"/>
      <c r="M23" s="1027"/>
      <c r="N23" s="1027"/>
      <c r="O23" s="1027"/>
      <c r="P23" s="548">
        <f>SUM(P20:P22)</f>
        <v>0</v>
      </c>
      <c r="Q23" s="1027"/>
      <c r="R23" s="9"/>
    </row>
    <row r="24" spans="2:28">
      <c r="B24" s="1027"/>
      <c r="C24" s="1027" t="s">
        <v>3323</v>
      </c>
      <c r="D24" s="1027"/>
      <c r="E24" s="1027"/>
      <c r="F24" s="1027"/>
      <c r="G24" s="1027"/>
      <c r="H24" s="458">
        <f>H9</f>
        <v>0</v>
      </c>
      <c r="I24" s="1027"/>
      <c r="J24" s="1143"/>
      <c r="K24" s="1027" t="s">
        <v>3323</v>
      </c>
      <c r="L24" s="1027"/>
      <c r="M24" s="1027"/>
      <c r="N24" s="1027"/>
      <c r="O24" s="1027"/>
      <c r="P24" s="458">
        <f>IF(Credit_percentage_applied_for="State + Fed 4%",+H24,0)</f>
        <v>0</v>
      </c>
      <c r="Q24" s="1027"/>
      <c r="R24" s="9"/>
    </row>
    <row r="25" spans="2:28">
      <c r="B25" s="1027"/>
      <c r="C25" s="1027" t="s">
        <v>4649</v>
      </c>
      <c r="D25" s="1027"/>
      <c r="E25" s="1027"/>
      <c r="F25" s="1027"/>
      <c r="G25" s="1027"/>
      <c r="H25" s="455">
        <f>+H24*H23</f>
        <v>0</v>
      </c>
      <c r="I25" s="1027"/>
      <c r="J25" s="1143"/>
      <c r="K25" s="1027" t="s">
        <v>4649</v>
      </c>
      <c r="L25" s="1027"/>
      <c r="M25" s="1027"/>
      <c r="N25" s="1027"/>
      <c r="O25" s="1027"/>
      <c r="P25" s="455">
        <f>+P24*P23</f>
        <v>0</v>
      </c>
      <c r="Q25" s="1027"/>
      <c r="R25" s="9"/>
    </row>
    <row r="26" spans="2:28">
      <c r="B26" s="1027"/>
      <c r="C26" s="1027" t="s">
        <v>230</v>
      </c>
      <c r="D26" s="1027"/>
      <c r="E26" s="1027"/>
      <c r="F26" s="1027"/>
      <c r="G26" s="1027"/>
      <c r="H26" s="572">
        <f>IF(Credit_percentage_applied_for='Dropdown Lists'!$G$4,4%,Credit_percentage_applied_for)</f>
        <v>0</v>
      </c>
      <c r="I26" s="1027"/>
      <c r="J26" s="1143"/>
      <c r="K26" s="1027" t="s">
        <v>230</v>
      </c>
      <c r="L26" s="1027"/>
      <c r="M26" s="1027"/>
      <c r="N26" s="1027"/>
      <c r="O26" s="1027"/>
      <c r="P26" s="572">
        <f>IF(Credit_percentage_applied_for="State + Fed 4%",IF(Set_Aside="Rural Set-Aside",8%,IF(Set_Aside="Small Urban Set-Aside", 4%,3%)),0)</f>
        <v>0</v>
      </c>
      <c r="Q26" s="1027"/>
      <c r="R26" s="9"/>
    </row>
    <row r="27" spans="2:28">
      <c r="B27" s="1027"/>
      <c r="C27" s="1027" t="s">
        <v>3330</v>
      </c>
      <c r="D27" s="1027"/>
      <c r="E27" s="1027"/>
      <c r="F27" s="1027"/>
      <c r="G27" s="1027"/>
      <c r="H27" s="1142">
        <v>0</v>
      </c>
      <c r="I27" s="1027"/>
      <c r="J27" s="1143"/>
      <c r="K27" s="1027" t="str">
        <f>+C27</f>
        <v>Previous Year's Allocation</v>
      </c>
      <c r="L27" s="1027"/>
      <c r="M27" s="1027"/>
      <c r="N27" s="1027"/>
      <c r="O27" s="1027"/>
      <c r="P27" s="1142">
        <v>0</v>
      </c>
      <c r="Q27" s="1027"/>
      <c r="R27" s="9"/>
    </row>
    <row r="28" spans="2:28">
      <c r="B28" s="1027"/>
      <c r="C28" s="1863" t="s">
        <v>4666</v>
      </c>
      <c r="D28" s="1864"/>
      <c r="E28" s="1864"/>
      <c r="F28" s="1864"/>
      <c r="G28" s="2269"/>
      <c r="H28" s="589">
        <f>(+H26*H25-H27)</f>
        <v>0</v>
      </c>
      <c r="I28" s="1027"/>
      <c r="J28" s="1143"/>
      <c r="K28" s="1863" t="s">
        <v>4667</v>
      </c>
      <c r="L28" s="1864"/>
      <c r="M28" s="1864"/>
      <c r="N28" s="1864"/>
      <c r="O28" s="2269"/>
      <c r="P28" s="589">
        <f>+P26*P25-P27</f>
        <v>0</v>
      </c>
      <c r="Q28" s="1027"/>
      <c r="R28" s="9"/>
    </row>
    <row r="29" spans="2:28">
      <c r="B29" s="1027"/>
      <c r="C29" s="1027"/>
      <c r="D29" s="1027"/>
      <c r="E29" s="1027"/>
      <c r="F29" s="1027"/>
      <c r="G29" s="1027"/>
      <c r="H29" s="1027"/>
      <c r="I29" s="1027"/>
      <c r="J29" s="1143"/>
      <c r="K29" s="1027"/>
      <c r="L29" s="1027"/>
      <c r="M29" s="1027"/>
      <c r="N29" s="1027"/>
      <c r="O29" s="1027"/>
      <c r="P29" s="1027"/>
      <c r="Q29" s="1027"/>
      <c r="R29" s="9"/>
    </row>
    <row r="30" spans="2:28">
      <c r="B30" s="1027"/>
      <c r="C30" s="1978" t="s">
        <v>4668</v>
      </c>
      <c r="D30" s="1836"/>
      <c r="E30" s="1836"/>
      <c r="F30" s="1836"/>
      <c r="G30" s="1836"/>
      <c r="H30" s="1837"/>
      <c r="I30" s="1027"/>
      <c r="J30" s="1143"/>
      <c r="K30" s="1978" t="s">
        <v>4669</v>
      </c>
      <c r="L30" s="1836"/>
      <c r="M30" s="1836"/>
      <c r="N30" s="1836"/>
      <c r="O30" s="1836"/>
      <c r="P30" s="1837"/>
      <c r="Q30" s="1027"/>
      <c r="R30" s="9"/>
    </row>
    <row r="31" spans="2:28">
      <c r="B31" s="1027"/>
      <c r="C31" s="1027"/>
      <c r="D31" s="1027"/>
      <c r="E31" s="1027"/>
      <c r="F31" s="1027"/>
      <c r="G31" s="1027"/>
      <c r="H31" s="1027"/>
      <c r="I31" s="1027"/>
      <c r="J31" s="1143"/>
      <c r="K31" s="1027"/>
      <c r="L31" s="1027"/>
      <c r="M31" s="1027"/>
      <c r="N31" s="1027"/>
      <c r="O31" s="1027"/>
      <c r="P31" s="1027"/>
      <c r="Q31" s="1027"/>
      <c r="R31" s="9"/>
    </row>
    <row r="32" spans="2:28">
      <c r="B32" s="1027"/>
      <c r="C32" s="1027" t="s">
        <v>4670</v>
      </c>
      <c r="D32" s="1027"/>
      <c r="E32" s="1027"/>
      <c r="F32" s="1027"/>
      <c r="G32" s="1027"/>
      <c r="H32" s="459">
        <f>+'14. Project Costs'!F173</f>
        <v>0</v>
      </c>
      <c r="I32" s="1027"/>
      <c r="J32" s="1143"/>
      <c r="K32" s="1027" t="s">
        <v>4670</v>
      </c>
      <c r="L32" s="1027"/>
      <c r="M32" s="1027"/>
      <c r="N32" s="1027"/>
      <c r="O32" s="1027"/>
      <c r="P32" s="459">
        <f>IF(Credit_percentage_applied_for="State + Fed 4%",'14. Project Costs'!F173,0)</f>
        <v>0</v>
      </c>
      <c r="Q32" s="1027"/>
      <c r="R32" s="9"/>
    </row>
    <row r="33" spans="2:30">
      <c r="B33" s="1027"/>
      <c r="C33" s="1139" t="s">
        <v>4671</v>
      </c>
      <c r="D33" s="1027"/>
      <c r="E33" s="1027"/>
      <c r="F33" s="1027"/>
      <c r="G33" s="1027"/>
      <c r="H33" s="459">
        <f>-SUM('12. Funding Sources'!E11:E23)</f>
        <v>0</v>
      </c>
      <c r="I33" s="1027"/>
      <c r="J33" s="1143"/>
      <c r="K33" s="1139" t="s">
        <v>4671</v>
      </c>
      <c r="L33" s="1027"/>
      <c r="M33" s="1027"/>
      <c r="N33" s="1027"/>
      <c r="O33" s="1027"/>
      <c r="P33" s="459">
        <f>IF(P32&gt;0,-SUM('12. Funding Sources'!E11:E23),0)</f>
        <v>0</v>
      </c>
      <c r="Q33" s="1027"/>
      <c r="R33" s="9"/>
    </row>
    <row r="34" spans="2:30">
      <c r="B34" s="1027"/>
      <c r="C34" s="1139" t="s">
        <v>4672</v>
      </c>
      <c r="D34" s="1027"/>
      <c r="E34" s="1027"/>
      <c r="F34" s="1027"/>
      <c r="G34" s="1027"/>
      <c r="H34" s="459">
        <f>-SUM('12. Funding Sources'!E29:E39)</f>
        <v>0</v>
      </c>
      <c r="I34" s="1027"/>
      <c r="J34" s="1143"/>
      <c r="K34" s="1139" t="s">
        <v>4672</v>
      </c>
      <c r="L34" s="1027"/>
      <c r="M34" s="1027"/>
      <c r="N34" s="1027"/>
      <c r="O34" s="1027"/>
      <c r="P34" s="459">
        <f>IF(P32&gt;0,-SUM('12. Funding Sources'!E29:E39),0)</f>
        <v>0</v>
      </c>
      <c r="Q34" s="1027"/>
      <c r="R34" s="9"/>
    </row>
    <row r="35" spans="2:30">
      <c r="B35" s="1027"/>
      <c r="C35" s="1139" t="s">
        <v>4673</v>
      </c>
      <c r="D35" s="1027"/>
      <c r="E35" s="1027"/>
      <c r="F35" s="1027"/>
      <c r="G35" s="1027"/>
      <c r="H35" s="459">
        <f>-'12. Funding Sources'!E45-'12. Funding Sources'!E47</f>
        <v>0</v>
      </c>
      <c r="I35" s="1027"/>
      <c r="J35" s="1143"/>
      <c r="K35" s="1139" t="s">
        <v>4673</v>
      </c>
      <c r="L35" s="1027"/>
      <c r="M35" s="1027"/>
      <c r="N35" s="1027"/>
      <c r="O35" s="1027"/>
      <c r="P35" s="459">
        <f>IF(P32&gt;0,-'12. Funding Sources'!E45-'12. Funding Sources'!E47,0)</f>
        <v>0</v>
      </c>
      <c r="Q35" s="1027"/>
      <c r="R35" s="9"/>
    </row>
    <row r="36" spans="2:30">
      <c r="B36" s="1027"/>
      <c r="C36" s="1139" t="s">
        <v>3339</v>
      </c>
      <c r="D36" s="1027"/>
      <c r="E36" s="1027"/>
      <c r="F36" s="1027"/>
      <c r="G36" s="1027"/>
      <c r="H36" s="459">
        <f>-SUM('12. Funding Sources'!E48:E53)</f>
        <v>0</v>
      </c>
      <c r="I36" s="1027"/>
      <c r="J36" s="1143"/>
      <c r="K36" s="1139" t="s">
        <v>3339</v>
      </c>
      <c r="L36" s="1027"/>
      <c r="M36" s="1027"/>
      <c r="N36" s="1027"/>
      <c r="O36" s="1027"/>
      <c r="P36" s="459">
        <f>IF(P32&gt;0,-SUM('12. Funding Sources'!E48:E53),0)</f>
        <v>0</v>
      </c>
      <c r="Q36" s="1027"/>
      <c r="R36" s="9"/>
    </row>
    <row r="37" spans="2:30">
      <c r="B37" s="1027"/>
      <c r="C37" s="1139" t="s">
        <v>4674</v>
      </c>
      <c r="D37" s="1027"/>
      <c r="E37" s="1027"/>
      <c r="F37" s="1027"/>
      <c r="G37" s="1027"/>
      <c r="H37" s="459">
        <f>-H12*'12. Funding Sources'!H44*'12. Funding Sources'!G44*'12. Funding Sources'!I44</f>
        <v>0</v>
      </c>
      <c r="I37" s="1027"/>
      <c r="J37" s="1143"/>
      <c r="K37" s="1139" t="s">
        <v>4675</v>
      </c>
      <c r="L37" s="1027"/>
      <c r="M37" s="1027"/>
      <c r="N37" s="1027"/>
      <c r="O37" s="1027"/>
      <c r="P37" s="459">
        <f>IF(Credit_percentage_applied_for="State + Fed 4%",-SUM('12. Funding Sources'!E44:E44),0)</f>
        <v>0</v>
      </c>
      <c r="Q37" s="1027"/>
      <c r="R37" s="9"/>
    </row>
    <row r="38" spans="2:30">
      <c r="B38" s="1027"/>
      <c r="C38" s="1144" t="s">
        <v>3342</v>
      </c>
      <c r="D38" s="1144"/>
      <c r="E38" s="1144"/>
      <c r="F38" s="1144"/>
      <c r="G38" s="1144"/>
      <c r="H38" s="460">
        <f>+SUM(H32:H37)</f>
        <v>0</v>
      </c>
      <c r="I38" s="1027"/>
      <c r="J38" s="1143"/>
      <c r="K38" s="1144" t="s">
        <v>3342</v>
      </c>
      <c r="L38" s="1144"/>
      <c r="M38" s="1144"/>
      <c r="N38" s="1144"/>
      <c r="O38" s="1144"/>
      <c r="P38" s="460">
        <f>+SUM(P32:P37)</f>
        <v>0</v>
      </c>
      <c r="Q38" s="1027"/>
      <c r="R38" s="9"/>
    </row>
    <row r="39" spans="2:30">
      <c r="B39" s="1027"/>
      <c r="C39" s="1027" t="s">
        <v>4676</v>
      </c>
      <c r="D39" s="1027"/>
      <c r="E39" s="1027"/>
      <c r="F39" s="1027"/>
      <c r="G39" s="1027"/>
      <c r="H39" s="457">
        <v>10</v>
      </c>
      <c r="I39" s="1027"/>
      <c r="J39" s="1143"/>
      <c r="K39" s="1027" t="s">
        <v>4676</v>
      </c>
      <c r="L39" s="1027"/>
      <c r="M39" s="1027"/>
      <c r="N39" s="1027"/>
      <c r="O39" s="1027"/>
      <c r="P39" s="457" t="str">
        <f>+IF(Credit_percentage_applied_for="State + Fed 4%",6," ")</f>
        <v xml:space="preserve"> </v>
      </c>
      <c r="Q39" s="1027"/>
      <c r="R39" s="9"/>
    </row>
    <row r="40" spans="2:30">
      <c r="B40" s="1027"/>
      <c r="C40" s="1027" t="s">
        <v>4677</v>
      </c>
      <c r="D40" s="1027"/>
      <c r="E40" s="1027"/>
      <c r="F40" s="1027"/>
      <c r="G40" s="1027"/>
      <c r="H40" s="459">
        <f>+H38/H39</f>
        <v>0</v>
      </c>
      <c r="I40" s="1027"/>
      <c r="J40" s="1143"/>
      <c r="K40" s="1027" t="s">
        <v>4677</v>
      </c>
      <c r="L40" s="1027"/>
      <c r="M40" s="1027"/>
      <c r="N40" s="1027"/>
      <c r="O40" s="1027"/>
      <c r="P40" s="1283" t="str">
        <f>IFERROR(P38/P39,"N/A")</f>
        <v>N/A</v>
      </c>
      <c r="Q40" s="1027"/>
      <c r="R40" s="9"/>
    </row>
    <row r="41" spans="2:30">
      <c r="B41" s="1027"/>
      <c r="C41" s="1027" t="s">
        <v>3346</v>
      </c>
      <c r="D41" s="1027"/>
      <c r="E41" s="1027"/>
      <c r="F41" s="1027"/>
      <c r="G41" s="1027"/>
      <c r="H41" s="461">
        <f>+'12. Funding Sources'!I44</f>
        <v>0</v>
      </c>
      <c r="I41" s="1027"/>
      <c r="J41" s="1143"/>
      <c r="K41" s="1027" t="s">
        <v>3346</v>
      </c>
      <c r="L41" s="1027"/>
      <c r="M41" s="1027"/>
      <c r="N41" s="1027"/>
      <c r="O41" s="1027"/>
      <c r="P41" s="461">
        <f>+'12. Funding Sources'!I46</f>
        <v>0</v>
      </c>
      <c r="Q41" s="1027"/>
      <c r="R41" s="9"/>
    </row>
    <row r="42" spans="2:30">
      <c r="B42" s="1027"/>
      <c r="C42" s="1027" t="s">
        <v>4678</v>
      </c>
      <c r="D42" s="1027"/>
      <c r="E42" s="1027"/>
      <c r="F42" s="1027"/>
      <c r="G42" s="1027"/>
      <c r="H42" s="459">
        <f>+IFERROR(H40/H41,)</f>
        <v>0</v>
      </c>
      <c r="I42" s="1027"/>
      <c r="J42" s="1143"/>
      <c r="K42" s="1027" t="s">
        <v>4678</v>
      </c>
      <c r="L42" s="1027"/>
      <c r="M42" s="1027"/>
      <c r="N42" s="1027"/>
      <c r="O42" s="1027"/>
      <c r="P42" s="459">
        <f>+IFERROR(P40/P41,)</f>
        <v>0</v>
      </c>
      <c r="Q42" s="1027"/>
      <c r="R42" s="9"/>
    </row>
    <row r="43" spans="2:30">
      <c r="B43" s="1027"/>
      <c r="C43" s="1027" t="s">
        <v>4630</v>
      </c>
      <c r="D43" s="1027"/>
      <c r="E43" s="1027"/>
      <c r="F43" s="1027"/>
      <c r="G43" s="1027"/>
      <c r="H43" s="458">
        <v>0.99990000000000001</v>
      </c>
      <c r="I43" s="1027"/>
      <c r="J43" s="1143"/>
      <c r="K43" s="1027" t="s">
        <v>4630</v>
      </c>
      <c r="L43" s="1027"/>
      <c r="M43" s="1027"/>
      <c r="N43" s="1027"/>
      <c r="O43" s="1027"/>
      <c r="P43" s="458">
        <f>IF(Credit_percentage_applied_for="State + Fed 4%",+H43,0)</f>
        <v>0</v>
      </c>
      <c r="Q43" s="1027"/>
      <c r="R43" s="9"/>
    </row>
    <row r="44" spans="2:30">
      <c r="B44" s="1027"/>
      <c r="C44" s="587" t="s">
        <v>4633</v>
      </c>
      <c r="D44" s="587"/>
      <c r="E44" s="587"/>
      <c r="F44" s="587"/>
      <c r="G44" s="587"/>
      <c r="H44" s="588">
        <f>(+H42/H43)</f>
        <v>0</v>
      </c>
      <c r="I44" s="1027"/>
      <c r="J44" s="1143"/>
      <c r="K44" s="587" t="s">
        <v>4633</v>
      </c>
      <c r="L44" s="587"/>
      <c r="M44" s="587"/>
      <c r="N44" s="587"/>
      <c r="O44" s="587"/>
      <c r="P44" s="588">
        <f>IF(P43&gt;0,+P42/P43,0)</f>
        <v>0</v>
      </c>
      <c r="Q44" s="1027"/>
      <c r="R44" s="9"/>
      <c r="AB44" s="9"/>
      <c r="AC44" s="9"/>
      <c r="AD44" s="9"/>
    </row>
    <row r="45" spans="2:30">
      <c r="B45" s="1027"/>
      <c r="C45" s="1027"/>
      <c r="D45" s="1027"/>
      <c r="E45" s="1027"/>
      <c r="F45" s="1027"/>
      <c r="G45" s="1027"/>
      <c r="H45" s="462"/>
      <c r="I45" s="1027"/>
      <c r="J45" s="1143"/>
      <c r="K45" s="1027"/>
      <c r="L45" s="1027"/>
      <c r="M45" s="1027"/>
      <c r="N45" s="1027"/>
      <c r="O45" s="1027"/>
      <c r="P45" s="462"/>
      <c r="Q45" s="1027"/>
      <c r="R45" s="9"/>
      <c r="AB45" s="9"/>
      <c r="AC45" s="9"/>
      <c r="AD45" s="9"/>
    </row>
    <row r="46" spans="2:30">
      <c r="B46" s="1027"/>
      <c r="C46" s="2268" t="s">
        <v>4679</v>
      </c>
      <c r="D46" s="2268"/>
      <c r="E46" s="2268"/>
      <c r="F46" s="2268"/>
      <c r="G46" s="2268"/>
      <c r="H46" s="1142">
        <v>0</v>
      </c>
      <c r="I46" s="1027"/>
      <c r="J46" s="1143"/>
      <c r="K46" s="2268" t="s">
        <v>4679</v>
      </c>
      <c r="L46" s="2268"/>
      <c r="M46" s="2268"/>
      <c r="N46" s="2268"/>
      <c r="O46" s="2268"/>
      <c r="P46" s="1142">
        <v>0</v>
      </c>
      <c r="Q46" s="1027"/>
      <c r="R46" s="9"/>
      <c r="AB46" s="9"/>
      <c r="AC46" s="9"/>
      <c r="AD46" s="9"/>
    </row>
    <row r="47" spans="2:30">
      <c r="B47" s="1027"/>
      <c r="C47" s="1734"/>
      <c r="D47" s="1734"/>
      <c r="E47" s="1734"/>
      <c r="F47" s="1734"/>
      <c r="G47" s="1734"/>
      <c r="H47" s="462"/>
      <c r="I47" s="1027"/>
      <c r="J47" s="1143"/>
      <c r="K47" s="1734"/>
      <c r="L47" s="1734"/>
      <c r="M47" s="1734"/>
      <c r="N47" s="1734"/>
      <c r="O47" s="1734"/>
      <c r="P47" s="462"/>
      <c r="Q47" s="1027"/>
      <c r="R47" s="9"/>
      <c r="AB47" s="9"/>
      <c r="AC47" s="9"/>
      <c r="AD47" s="9"/>
    </row>
    <row r="48" spans="2:30">
      <c r="B48" s="1027"/>
      <c r="C48" s="2293" t="s">
        <v>4680</v>
      </c>
      <c r="D48" s="2268"/>
      <c r="E48" s="2268"/>
      <c r="F48" s="2268"/>
      <c r="G48" s="2268"/>
      <c r="H48" s="488">
        <f>IF(OR(ISBLANK(Set_Aside),VALUE(H26)=4%),0,1200000)</f>
        <v>0</v>
      </c>
      <c r="I48" s="1027"/>
      <c r="J48" s="1143"/>
      <c r="K48" s="2293" t="s">
        <v>4681</v>
      </c>
      <c r="L48" s="2268"/>
      <c r="M48" s="2268"/>
      <c r="N48" s="2268"/>
      <c r="O48" s="2268"/>
      <c r="P48" s="488">
        <f>IF(Credit_percentage_applied_for="State + Fed 4%",1200000,0)</f>
        <v>0</v>
      </c>
      <c r="Q48" s="1027"/>
      <c r="R48" s="9"/>
      <c r="AB48" s="9"/>
      <c r="AC48" s="9"/>
      <c r="AD48" s="9"/>
    </row>
    <row r="49" spans="2:30">
      <c r="B49" s="1027"/>
      <c r="C49" s="1027"/>
      <c r="D49" s="1027"/>
      <c r="E49" s="1027"/>
      <c r="F49" s="1027"/>
      <c r="G49" s="1027"/>
      <c r="H49" s="1027"/>
      <c r="I49" s="1027"/>
      <c r="J49" s="1143"/>
      <c r="K49" s="1027"/>
      <c r="L49" s="1027"/>
      <c r="M49" s="1027"/>
      <c r="N49" s="1027"/>
      <c r="O49" s="1027"/>
      <c r="P49" s="1027"/>
      <c r="Q49" s="1027"/>
      <c r="R49" s="9"/>
      <c r="AB49" s="9"/>
      <c r="AC49" s="9"/>
      <c r="AD49" s="9"/>
    </row>
    <row r="50" spans="2:30">
      <c r="B50" s="1027"/>
      <c r="C50" s="558" t="s">
        <v>3349</v>
      </c>
      <c r="D50" s="558"/>
      <c r="E50" s="558"/>
      <c r="F50" s="558"/>
      <c r="G50" s="558"/>
      <c r="H50" s="559">
        <f>ROUNDDOWN(IF(VALUE(H26)=4%,H28+H12,MIN(H44+H12,H28+H12,H48))+H46, 0)</f>
        <v>0</v>
      </c>
      <c r="I50" s="1027"/>
      <c r="J50" s="1143"/>
      <c r="K50" s="558" t="s">
        <v>3349</v>
      </c>
      <c r="L50" s="558"/>
      <c r="M50" s="558"/>
      <c r="N50" s="558"/>
      <c r="O50" s="558"/>
      <c r="P50" s="559">
        <f>ROUNDDOWN(IF(VALUE(P26)&gt;0%, MIN(P44+P12, P28+P12, P48)+P46, 0),0)</f>
        <v>0</v>
      </c>
      <c r="Q50" s="1295"/>
      <c r="R50" s="9"/>
      <c r="S50" s="807" t="s">
        <v>4682</v>
      </c>
      <c r="T50" s="807"/>
      <c r="U50" s="807"/>
      <c r="V50" s="807"/>
      <c r="W50" s="831"/>
      <c r="X50" s="831"/>
      <c r="AB50" s="9"/>
      <c r="AC50" s="9"/>
      <c r="AD50" s="9"/>
    </row>
    <row r="51" spans="2:30">
      <c r="B51" s="1027"/>
      <c r="C51" s="1027"/>
      <c r="D51" s="1027"/>
      <c r="E51" s="1027"/>
      <c r="F51" s="1027"/>
      <c r="G51" s="1027"/>
      <c r="H51" s="1027"/>
      <c r="I51" s="1027"/>
      <c r="J51" s="1027"/>
      <c r="K51" s="1027"/>
      <c r="L51" s="1027"/>
      <c r="M51" s="1027"/>
      <c r="N51" s="1027"/>
      <c r="O51" s="1027"/>
      <c r="P51" s="1027"/>
      <c r="Q51" s="1027"/>
      <c r="R51" s="9"/>
      <c r="S51" s="807"/>
      <c r="T51" s="807"/>
      <c r="U51" s="807"/>
      <c r="V51" s="807"/>
      <c r="W51" s="831"/>
      <c r="X51" s="831"/>
      <c r="AB51" s="9"/>
      <c r="AC51" s="9"/>
      <c r="AD51" s="9"/>
    </row>
    <row r="52" spans="2:30">
      <c r="B52" s="1027"/>
      <c r="C52" s="2289" t="s">
        <v>4683</v>
      </c>
      <c r="D52" s="2290"/>
      <c r="E52" s="2290"/>
      <c r="F52" s="2290"/>
      <c r="G52" s="2290"/>
      <c r="H52" s="2290"/>
      <c r="I52" s="2290"/>
      <c r="J52" s="2290"/>
      <c r="K52" s="2290"/>
      <c r="L52" s="2290"/>
      <c r="M52" s="2290"/>
      <c r="N52" s="2290"/>
      <c r="O52" s="2290"/>
      <c r="P52" s="2290"/>
      <c r="Q52" s="1027"/>
      <c r="R52" s="9"/>
      <c r="S52" s="807"/>
      <c r="T52" s="807"/>
      <c r="U52" s="807"/>
      <c r="V52" s="807"/>
      <c r="W52" s="831"/>
      <c r="X52" s="831"/>
      <c r="AB52" s="9"/>
      <c r="AC52" s="9"/>
      <c r="AD52" s="9"/>
    </row>
    <row r="53" spans="2:30">
      <c r="B53" s="1027"/>
      <c r="C53" s="2289"/>
      <c r="D53" s="2290"/>
      <c r="E53" s="2290"/>
      <c r="F53" s="2290"/>
      <c r="G53" s="2290"/>
      <c r="H53" s="2290"/>
      <c r="I53" s="2290"/>
      <c r="J53" s="2290"/>
      <c r="K53" s="2290"/>
      <c r="L53" s="2290"/>
      <c r="M53" s="2290"/>
      <c r="N53" s="2290"/>
      <c r="O53" s="2290"/>
      <c r="P53" s="2290"/>
      <c r="Q53" s="1027"/>
      <c r="R53" s="9"/>
      <c r="S53" s="807"/>
      <c r="T53" s="807"/>
      <c r="U53" s="807"/>
      <c r="V53" s="807"/>
      <c r="W53" s="831"/>
      <c r="X53" s="831"/>
      <c r="AB53" s="9"/>
      <c r="AC53" s="9"/>
      <c r="AD53" s="9"/>
    </row>
    <row r="54" spans="2:30">
      <c r="B54" s="1027"/>
      <c r="C54" s="2291" t="s">
        <v>4684</v>
      </c>
      <c r="D54" s="2292"/>
      <c r="E54" s="2292"/>
      <c r="F54" s="2292"/>
      <c r="G54" s="2292"/>
      <c r="H54" s="2292"/>
      <c r="I54" s="2292"/>
      <c r="J54" s="2292"/>
      <c r="K54" s="2292"/>
      <c r="L54" s="2292"/>
      <c r="M54" s="2292"/>
      <c r="N54" s="2292"/>
      <c r="O54" s="2292"/>
      <c r="P54" s="2292"/>
      <c r="Q54" s="1027"/>
      <c r="R54" s="9"/>
      <c r="S54" s="807"/>
      <c r="T54" s="807"/>
      <c r="U54" s="807"/>
      <c r="V54" s="807"/>
      <c r="W54" s="831"/>
      <c r="X54" s="831"/>
      <c r="AB54" s="9"/>
      <c r="AC54" s="9"/>
      <c r="AD54" s="9"/>
    </row>
    <row r="55" spans="2:30">
      <c r="B55" s="1027"/>
      <c r="C55" s="1027"/>
      <c r="D55" s="1027"/>
      <c r="E55" s="1027"/>
      <c r="F55" s="1027"/>
      <c r="G55" s="1027"/>
      <c r="H55" s="1027"/>
      <c r="I55" s="1027"/>
      <c r="J55" s="1027"/>
      <c r="K55" s="1027"/>
      <c r="L55" s="1027"/>
      <c r="M55" s="1027"/>
      <c r="N55" s="1027"/>
      <c r="O55" s="1027"/>
      <c r="P55" s="1027"/>
      <c r="Q55" s="1027"/>
      <c r="R55" s="9"/>
    </row>
    <row r="56" spans="2:30" ht="18.75">
      <c r="B56" s="33" t="s">
        <v>1055</v>
      </c>
      <c r="D56" s="34"/>
      <c r="E56" s="1475"/>
      <c r="F56" s="1558"/>
      <c r="G56" s="1558"/>
      <c r="H56" s="1558"/>
      <c r="I56" s="9"/>
      <c r="J56" s="9"/>
      <c r="K56" s="9"/>
      <c r="L56" s="9"/>
      <c r="M56" s="9"/>
      <c r="N56" s="9"/>
      <c r="O56" s="9"/>
      <c r="P56" s="9"/>
      <c r="Q56" s="115"/>
      <c r="R56" s="9"/>
    </row>
    <row r="57" spans="2:30">
      <c r="B57" s="1714"/>
      <c r="C57" s="1713" t="s">
        <v>4117</v>
      </c>
      <c r="D57" s="1714"/>
      <c r="E57" s="1714"/>
      <c r="F57" s="1714"/>
      <c r="G57" s="1714"/>
      <c r="H57" s="1714"/>
      <c r="I57" s="1038"/>
      <c r="J57" s="1038"/>
      <c r="K57" s="1038"/>
      <c r="L57" s="1038"/>
      <c r="M57" s="1038"/>
      <c r="N57" s="1038"/>
      <c r="O57" s="1038"/>
      <c r="P57" s="1038"/>
      <c r="Q57" s="1034"/>
      <c r="R57" s="9"/>
    </row>
    <row r="58" spans="2:30">
      <c r="B58" s="1714"/>
      <c r="C58" s="2271"/>
      <c r="D58" s="2272"/>
      <c r="E58" s="2272"/>
      <c r="F58" s="2272"/>
      <c r="G58" s="2272"/>
      <c r="H58" s="2272"/>
      <c r="I58" s="2272"/>
      <c r="J58" s="2272"/>
      <c r="K58" s="2272"/>
      <c r="L58" s="2272"/>
      <c r="M58" s="2272"/>
      <c r="N58" s="2272"/>
      <c r="O58" s="2273"/>
      <c r="P58" s="1038"/>
      <c r="Q58" s="1034"/>
      <c r="R58" s="9"/>
    </row>
    <row r="59" spans="2:30">
      <c r="B59" s="1714"/>
      <c r="C59" s="2274"/>
      <c r="D59" s="2275"/>
      <c r="E59" s="2275"/>
      <c r="F59" s="2275"/>
      <c r="G59" s="2275"/>
      <c r="H59" s="2275"/>
      <c r="I59" s="2275"/>
      <c r="J59" s="2275"/>
      <c r="K59" s="2275"/>
      <c r="L59" s="2275"/>
      <c r="M59" s="2275"/>
      <c r="N59" s="2275"/>
      <c r="O59" s="2276"/>
      <c r="P59" s="1038"/>
      <c r="Q59" s="1034"/>
      <c r="R59" s="9"/>
    </row>
    <row r="60" spans="2:30">
      <c r="B60" s="1714"/>
      <c r="C60" s="2274"/>
      <c r="D60" s="2275"/>
      <c r="E60" s="2275"/>
      <c r="F60" s="2275"/>
      <c r="G60" s="2275"/>
      <c r="H60" s="2275"/>
      <c r="I60" s="2275"/>
      <c r="J60" s="2275"/>
      <c r="K60" s="2275"/>
      <c r="L60" s="2275"/>
      <c r="M60" s="2275"/>
      <c r="N60" s="2275"/>
      <c r="O60" s="2276"/>
      <c r="P60" s="1038"/>
      <c r="Q60" s="1034"/>
      <c r="R60" s="9"/>
    </row>
    <row r="61" spans="2:30">
      <c r="B61" s="1714"/>
      <c r="C61" s="2274"/>
      <c r="D61" s="2275"/>
      <c r="E61" s="2275"/>
      <c r="F61" s="2275"/>
      <c r="G61" s="2275"/>
      <c r="H61" s="2275"/>
      <c r="I61" s="2275"/>
      <c r="J61" s="2275"/>
      <c r="K61" s="2275"/>
      <c r="L61" s="2275"/>
      <c r="M61" s="2275"/>
      <c r="N61" s="2275"/>
      <c r="O61" s="2276"/>
      <c r="P61" s="1038"/>
      <c r="Q61" s="1034"/>
      <c r="R61" s="9"/>
    </row>
    <row r="62" spans="2:30">
      <c r="B62" s="1714"/>
      <c r="C62" s="2274"/>
      <c r="D62" s="2275"/>
      <c r="E62" s="2275"/>
      <c r="F62" s="2275"/>
      <c r="G62" s="2275"/>
      <c r="H62" s="2275"/>
      <c r="I62" s="2275"/>
      <c r="J62" s="2275"/>
      <c r="K62" s="2275"/>
      <c r="L62" s="2275"/>
      <c r="M62" s="2275"/>
      <c r="N62" s="2275"/>
      <c r="O62" s="2276"/>
      <c r="P62" s="1038"/>
      <c r="Q62" s="1034"/>
      <c r="R62" s="9"/>
    </row>
    <row r="63" spans="2:30">
      <c r="B63" s="1714"/>
      <c r="C63" s="2274"/>
      <c r="D63" s="2275"/>
      <c r="E63" s="2275"/>
      <c r="F63" s="2275"/>
      <c r="G63" s="2275"/>
      <c r="H63" s="2275"/>
      <c r="I63" s="2275"/>
      <c r="J63" s="2275"/>
      <c r="K63" s="2275"/>
      <c r="L63" s="2275"/>
      <c r="M63" s="2275"/>
      <c r="N63" s="2275"/>
      <c r="O63" s="2276"/>
      <c r="P63" s="1038"/>
      <c r="Q63" s="1034"/>
      <c r="R63" s="9"/>
    </row>
    <row r="64" spans="2:30">
      <c r="B64" s="1714"/>
      <c r="C64" s="2274"/>
      <c r="D64" s="2275"/>
      <c r="E64" s="2275"/>
      <c r="F64" s="2275"/>
      <c r="G64" s="2275"/>
      <c r="H64" s="2275"/>
      <c r="I64" s="2275"/>
      <c r="J64" s="2275"/>
      <c r="K64" s="2275"/>
      <c r="L64" s="2275"/>
      <c r="M64" s="2275"/>
      <c r="N64" s="2275"/>
      <c r="O64" s="2276"/>
      <c r="P64" s="1038"/>
      <c r="Q64" s="1034"/>
      <c r="R64" s="9"/>
    </row>
    <row r="65" spans="2:18">
      <c r="B65" s="1714"/>
      <c r="C65" s="2277"/>
      <c r="D65" s="2278"/>
      <c r="E65" s="2278"/>
      <c r="F65" s="2278"/>
      <c r="G65" s="2278"/>
      <c r="H65" s="2278"/>
      <c r="I65" s="2278"/>
      <c r="J65" s="2278"/>
      <c r="K65" s="2278"/>
      <c r="L65" s="2278"/>
      <c r="M65" s="2278"/>
      <c r="N65" s="2278"/>
      <c r="O65" s="2279"/>
      <c r="P65" s="1038"/>
      <c r="Q65" s="1034"/>
      <c r="R65" s="9"/>
    </row>
    <row r="66" spans="2:18">
      <c r="B66" s="1714"/>
      <c r="C66" s="1714"/>
      <c r="D66" s="1714"/>
      <c r="E66" s="1714"/>
      <c r="F66" s="1714"/>
      <c r="G66" s="1714"/>
      <c r="H66" s="1714"/>
      <c r="I66" s="1038"/>
      <c r="J66" s="1038"/>
      <c r="K66" s="1038"/>
      <c r="L66" s="1038"/>
      <c r="M66" s="1038"/>
      <c r="N66" s="1038"/>
      <c r="O66" s="1038"/>
      <c r="P66" s="1038"/>
      <c r="Q66" s="1034"/>
      <c r="R66" s="9"/>
    </row>
    <row r="67" spans="2:18">
      <c r="B67" s="35" t="s">
        <v>3637</v>
      </c>
      <c r="C67" s="1520"/>
      <c r="D67" s="1520"/>
      <c r="E67" s="1520"/>
      <c r="F67" s="1520"/>
      <c r="G67" s="1520"/>
      <c r="H67" s="1520"/>
      <c r="I67" s="1520"/>
      <c r="J67" s="1520"/>
      <c r="K67" s="1520"/>
      <c r="L67" s="1520"/>
      <c r="M67" s="1520"/>
      <c r="N67" s="1520"/>
      <c r="O67" s="1520"/>
      <c r="P67" s="1520"/>
      <c r="Q67" s="1520"/>
      <c r="R67" s="9"/>
    </row>
    <row r="68" spans="2:18" ht="18.75">
      <c r="B68" s="33" t="s">
        <v>3638</v>
      </c>
      <c r="D68" s="1475"/>
      <c r="E68" s="1475"/>
      <c r="F68" s="1558"/>
      <c r="G68" s="1558"/>
      <c r="H68" s="1558"/>
      <c r="I68" s="115"/>
      <c r="J68" s="115"/>
      <c r="K68" s="115"/>
      <c r="L68" s="115"/>
      <c r="M68" s="115"/>
      <c r="N68" s="115"/>
      <c r="O68" s="115"/>
      <c r="P68" s="115"/>
      <c r="Q68" s="115"/>
      <c r="R68" s="9"/>
    </row>
    <row r="69" spans="2:18">
      <c r="B69" s="1714"/>
      <c r="C69" s="1713"/>
      <c r="D69" s="1714"/>
      <c r="E69" s="1714"/>
      <c r="F69" s="1714"/>
      <c r="G69" s="1714"/>
      <c r="H69" s="1714"/>
      <c r="I69" s="1034"/>
      <c r="J69" s="1034"/>
      <c r="K69" s="1034"/>
      <c r="L69" s="1034"/>
      <c r="M69" s="1034"/>
      <c r="N69" s="1034"/>
      <c r="O69" s="1034"/>
      <c r="P69" s="1034"/>
      <c r="Q69" s="1034"/>
      <c r="R69" s="9"/>
    </row>
    <row r="70" spans="2:18">
      <c r="B70" s="1714"/>
      <c r="C70" s="2280"/>
      <c r="D70" s="2281"/>
      <c r="E70" s="2281"/>
      <c r="F70" s="2281"/>
      <c r="G70" s="2281"/>
      <c r="H70" s="2281"/>
      <c r="I70" s="2281"/>
      <c r="J70" s="2281"/>
      <c r="K70" s="2281"/>
      <c r="L70" s="2281"/>
      <c r="M70" s="2281"/>
      <c r="N70" s="2281"/>
      <c r="O70" s="2282"/>
      <c r="P70" s="1034"/>
      <c r="Q70" s="1034"/>
      <c r="R70" s="9"/>
    </row>
    <row r="71" spans="2:18">
      <c r="B71" s="1714"/>
      <c r="C71" s="2283"/>
      <c r="D71" s="2284"/>
      <c r="E71" s="2284"/>
      <c r="F71" s="2284"/>
      <c r="G71" s="2284"/>
      <c r="H71" s="2284"/>
      <c r="I71" s="2284"/>
      <c r="J71" s="2284"/>
      <c r="K71" s="2284"/>
      <c r="L71" s="2284"/>
      <c r="M71" s="2284"/>
      <c r="N71" s="2284"/>
      <c r="O71" s="2285"/>
      <c r="P71" s="1034"/>
      <c r="Q71" s="1034"/>
      <c r="R71" s="9"/>
    </row>
    <row r="72" spans="2:18">
      <c r="B72" s="1714"/>
      <c r="C72" s="2283"/>
      <c r="D72" s="2284"/>
      <c r="E72" s="2284"/>
      <c r="F72" s="2284"/>
      <c r="G72" s="2284"/>
      <c r="H72" s="2284"/>
      <c r="I72" s="2284"/>
      <c r="J72" s="2284"/>
      <c r="K72" s="2284"/>
      <c r="L72" s="2284"/>
      <c r="M72" s="2284"/>
      <c r="N72" s="2284"/>
      <c r="O72" s="2285"/>
      <c r="P72" s="1034"/>
      <c r="Q72" s="1034"/>
      <c r="R72" s="9"/>
    </row>
    <row r="73" spans="2:18">
      <c r="B73" s="1714"/>
      <c r="C73" s="2286"/>
      <c r="D73" s="2287"/>
      <c r="E73" s="2287"/>
      <c r="F73" s="2287"/>
      <c r="G73" s="2287"/>
      <c r="H73" s="2287"/>
      <c r="I73" s="2287"/>
      <c r="J73" s="2287"/>
      <c r="K73" s="2287"/>
      <c r="L73" s="2287"/>
      <c r="M73" s="2287"/>
      <c r="N73" s="2287"/>
      <c r="O73" s="2288"/>
      <c r="P73" s="1027"/>
      <c r="Q73" s="1027"/>
      <c r="R73" s="9"/>
    </row>
    <row r="74" spans="2:18">
      <c r="B74" s="1714"/>
      <c r="C74" s="1714"/>
      <c r="D74" s="1714"/>
      <c r="E74" s="1714"/>
      <c r="F74" s="1714"/>
      <c r="G74" s="1714"/>
      <c r="H74" s="1714"/>
      <c r="I74" s="1027"/>
      <c r="J74" s="1027"/>
      <c r="K74" s="1027"/>
      <c r="L74" s="1027"/>
      <c r="M74" s="1027"/>
      <c r="N74" s="1027"/>
      <c r="O74" s="1027"/>
      <c r="P74" s="1027"/>
      <c r="Q74" s="1027"/>
      <c r="R74" s="9"/>
    </row>
    <row r="75" spans="2:18">
      <c r="R75" s="9"/>
    </row>
  </sheetData>
  <sheetProtection algorithmName="SHA-512" hashValue="VB0PgpPom9UqP0OVKtbsx93Enzsc2GlypQrfa3Cv85bG0kwj5K9EobPTjKIMJkNmDIR1ARhUevAQyP0OaG4jIw==" saltValue="a0pKosdkrsC4YP/PFZ41BA==" spinCount="100000" sheet="1" objects="1" scenarios="1" selectLockedCells="1"/>
  <dataConsolidate/>
  <mergeCells count="18">
    <mergeCell ref="C58:O65"/>
    <mergeCell ref="C70:O73"/>
    <mergeCell ref="C52:P53"/>
    <mergeCell ref="C54:P54"/>
    <mergeCell ref="K48:O48"/>
    <mergeCell ref="C48:G48"/>
    <mergeCell ref="C46:G46"/>
    <mergeCell ref="K46:O46"/>
    <mergeCell ref="K28:O28"/>
    <mergeCell ref="C28:G28"/>
    <mergeCell ref="K6:P6"/>
    <mergeCell ref="C6:H6"/>
    <mergeCell ref="K30:P30"/>
    <mergeCell ref="K14:P14"/>
    <mergeCell ref="C30:H30"/>
    <mergeCell ref="C7:H7"/>
    <mergeCell ref="C14:H14"/>
    <mergeCell ref="K7:P7"/>
  </mergeCells>
  <dataValidations count="3">
    <dataValidation type="custom" allowBlank="1" showInputMessage="1" showErrorMessage="1" sqref="K1:K2" xr:uid="{C9E3C315-4616-4FE7-927A-81655D076925}">
      <formula1>"&lt;0&gt;0"</formula1>
    </dataValidation>
    <dataValidation type="custom" showInputMessage="1" showErrorMessage="1" errorTitle="Incorrect Boost Configuration" error="Please input a QCT/DDA/HFA Boost between 0% and 30%. Note that you may only claim 1 boost type per project." sqref="O22 G22" xr:uid="{66EDA38E-51A5-4B93-8693-5CDB4AAB23BB}">
      <formula1>IF(AND(G21=0,G22&lt;=30%),TRUE,IF(G22&lt;=0,TRUE,FALSE))</formula1>
    </dataValidation>
    <dataValidation type="custom" showInputMessage="1" showErrorMessage="1" errorTitle="Incorrect Boost Configuration" error="Please input a QCT/DDA/HFA Boost between 0% and 30%. Note that you may only claim 1 boost type per project." sqref="G21 O21" xr:uid="{C5B0C897-79A9-4CF3-B3A0-DCA793F60C8D}">
      <formula1>IF(AND(G22=0,G21&lt;=30%),TRUE,IF(G21&lt;=0,TRUE,FALSE))</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colBreaks count="1" manualBreakCount="1">
    <brk id="18"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3E94-4826-41CA-BCF2-C0644E44378D}">
  <sheetPr codeName="Sheet15">
    <pageSetUpPr fitToPage="1"/>
  </sheetPr>
  <dimension ref="A1:AS117"/>
  <sheetViews>
    <sheetView workbookViewId="0">
      <selection activeCell="D8" sqref="D8"/>
    </sheetView>
  </sheetViews>
  <sheetFormatPr defaultColWidth="9.140625" defaultRowHeight="15"/>
  <cols>
    <col min="1" max="1" width="5.85546875" style="82" customWidth="1"/>
    <col min="2" max="2" width="9.140625" style="29"/>
    <col min="3" max="3" width="57.42578125" style="29" customWidth="1"/>
    <col min="4" max="4" width="26.140625" style="29" customWidth="1"/>
    <col min="5" max="5" width="12.42578125" style="29" customWidth="1"/>
    <col min="6" max="6" width="21" style="29" customWidth="1"/>
    <col min="7" max="7" width="15.85546875" style="29" customWidth="1"/>
    <col min="8" max="8" width="5.42578125" style="29" customWidth="1"/>
    <col min="9" max="10" width="15.85546875" style="29" customWidth="1"/>
    <col min="11" max="11" width="20.42578125" style="29" customWidth="1"/>
    <col min="12" max="12" width="19.42578125" style="29" bestFit="1" customWidth="1"/>
    <col min="13" max="13" width="16.5703125" style="29" customWidth="1"/>
    <col min="14" max="14" width="24" style="29" bestFit="1" customWidth="1"/>
    <col min="15" max="15" width="17.85546875" style="29" customWidth="1"/>
    <col min="16" max="16384" width="9.140625" style="29"/>
  </cols>
  <sheetData>
    <row r="1" spans="1:45" s="64" customFormat="1" ht="28.5">
      <c r="A1" s="1476"/>
      <c r="B1" s="4" t="str">
        <f>'1. TOC'!B1</f>
        <v>WHEDA 2025 Multifamily Application</v>
      </c>
      <c r="C1" s="1477"/>
      <c r="D1" s="1477"/>
      <c r="E1" s="450" t="str">
        <f>'1. TOC'!L1</f>
        <v>v25.1.12</v>
      </c>
      <c r="F1" s="1476"/>
      <c r="G1" s="947" t="str">
        <f>HYPERLINK("#Table_of_Contents", Table_of_Contents)</f>
        <v>Table of Contents</v>
      </c>
      <c r="H1" s="1476"/>
      <c r="I1" s="1476"/>
      <c r="J1" s="1476"/>
      <c r="K1" s="1476"/>
      <c r="L1" s="1476"/>
      <c r="M1" s="1476"/>
      <c r="N1" s="1476"/>
      <c r="O1" s="1476"/>
      <c r="P1" s="1476"/>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1477"/>
      <c r="AP1" s="1477"/>
      <c r="AQ1" s="1477"/>
      <c r="AR1" s="1477"/>
      <c r="AS1" s="1477"/>
    </row>
    <row r="2" spans="1:45" s="64" customFormat="1" ht="18.75">
      <c r="A2" s="1476"/>
      <c r="B2" s="811" t="str">
        <f>_xlfn.CONCAT(IF(ISBLANK(WHEDA_Project_Number),"",_xlfn.CONCAT(WHEDA_Project_Number," - ")), Project_Name, IF(ISBLANK(Credit_percentage_applied_for),"",_xlfn.CONCAT(" - ", Credit_percentage_applied_for," HTC")))</f>
        <v/>
      </c>
      <c r="C2" s="1559"/>
      <c r="D2" s="1559"/>
      <c r="E2" s="833"/>
      <c r="F2" s="1560"/>
      <c r="G2" s="814"/>
      <c r="H2" s="1560"/>
      <c r="I2" s="1476"/>
      <c r="J2" s="1476"/>
      <c r="K2" s="1476"/>
      <c r="L2" s="1476"/>
      <c r="M2" s="1476"/>
      <c r="N2" s="1476"/>
      <c r="O2" s="1476"/>
      <c r="P2" s="1476"/>
      <c r="Q2" s="1477"/>
      <c r="R2" s="1477"/>
      <c r="S2" s="1477"/>
      <c r="T2" s="1477"/>
      <c r="U2" s="1477"/>
      <c r="V2" s="1477"/>
      <c r="W2" s="1477"/>
      <c r="X2" s="1477"/>
      <c r="Y2" s="1477"/>
      <c r="Z2" s="1477"/>
      <c r="AA2" s="1477"/>
      <c r="AB2" s="1477"/>
      <c r="AC2" s="1477"/>
      <c r="AD2" s="1477"/>
      <c r="AE2" s="1477"/>
      <c r="AF2" s="1477"/>
      <c r="AG2" s="1477"/>
      <c r="AH2" s="1477"/>
      <c r="AI2" s="1477"/>
      <c r="AJ2" s="1477"/>
      <c r="AK2" s="1477"/>
      <c r="AL2" s="1477"/>
      <c r="AM2" s="1477"/>
      <c r="AN2" s="1477"/>
      <c r="AO2" s="1477"/>
      <c r="AP2" s="1477"/>
      <c r="AQ2" s="1477"/>
      <c r="AR2" s="1477"/>
      <c r="AS2" s="1477"/>
    </row>
    <row r="3" spans="1:45" s="64" customFormat="1" ht="18.75">
      <c r="A3" s="832"/>
      <c r="B3" s="1477"/>
      <c r="C3" s="85"/>
      <c r="D3" s="1476"/>
      <c r="E3" s="1476"/>
      <c r="F3" s="1476"/>
      <c r="G3" s="1476"/>
      <c r="H3" s="1476"/>
      <c r="I3" s="1476"/>
      <c r="J3" s="1476"/>
      <c r="K3" s="1476"/>
      <c r="L3" s="1476"/>
      <c r="M3" s="1476"/>
      <c r="N3" s="1476"/>
      <c r="O3" s="1476"/>
      <c r="P3" s="1476"/>
      <c r="Q3" s="1477"/>
      <c r="R3" s="1477"/>
      <c r="S3" s="1477"/>
      <c r="T3" s="1477"/>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pans="1:45" s="82" customFormat="1" ht="28.5">
      <c r="A4" s="1476"/>
      <c r="B4" s="4" t="s">
        <v>3351</v>
      </c>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c r="AA4" s="1476"/>
      <c r="AB4" s="1476"/>
      <c r="AC4" s="1476"/>
      <c r="AD4" s="1476"/>
      <c r="AE4" s="1476"/>
      <c r="AF4" s="1476"/>
      <c r="AG4" s="1476"/>
      <c r="AH4" s="1476"/>
      <c r="AI4" s="1476"/>
      <c r="AJ4" s="1476"/>
      <c r="AK4" s="1476"/>
      <c r="AL4" s="1476"/>
      <c r="AM4" s="1476"/>
      <c r="AN4" s="1476"/>
      <c r="AO4" s="1476"/>
      <c r="AP4" s="1476"/>
      <c r="AQ4" s="1476"/>
      <c r="AR4" s="1476"/>
      <c r="AS4" s="1476"/>
    </row>
    <row r="5" spans="1:45" s="82" customFormat="1" ht="18.75">
      <c r="A5" s="1476"/>
      <c r="B5" s="8" t="s">
        <v>4685</v>
      </c>
      <c r="C5" s="1476"/>
      <c r="D5" s="1476"/>
      <c r="E5" s="1476"/>
      <c r="F5" s="1476"/>
      <c r="G5" s="1476"/>
      <c r="H5" s="1476"/>
      <c r="I5" s="1476"/>
      <c r="J5" s="1476"/>
      <c r="K5" s="1476"/>
      <c r="L5" s="1476"/>
      <c r="M5" s="1476"/>
      <c r="N5" s="1476"/>
      <c r="O5" s="1476"/>
      <c r="P5" s="1476"/>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76"/>
      <c r="AQ5" s="1476"/>
      <c r="AR5" s="1476"/>
      <c r="AS5" s="1476"/>
    </row>
    <row r="6" spans="1:45">
      <c r="A6" s="1476"/>
      <c r="B6" s="1479"/>
      <c r="C6" s="1713"/>
      <c r="D6" s="1479"/>
      <c r="E6" s="1479"/>
      <c r="F6" s="1146"/>
      <c r="G6" s="1479"/>
      <c r="H6" s="1479"/>
      <c r="I6" s="1475"/>
      <c r="J6" s="1475"/>
      <c r="K6" s="1475"/>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6"/>
      <c r="AN6" s="1476"/>
      <c r="AO6" s="1476"/>
      <c r="AP6" s="1476"/>
      <c r="AQ6" s="1476"/>
      <c r="AR6" s="1476"/>
      <c r="AS6" s="1476"/>
    </row>
    <row r="7" spans="1:45">
      <c r="A7" s="1476"/>
      <c r="B7" s="1479"/>
      <c r="C7" s="2309" t="s">
        <v>3352</v>
      </c>
      <c r="D7" s="2310"/>
      <c r="E7" s="1479"/>
      <c r="F7" s="1146"/>
      <c r="G7" s="1479"/>
      <c r="H7" s="1479"/>
      <c r="I7" s="1475"/>
      <c r="J7" s="1475"/>
      <c r="K7" s="1475"/>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row>
    <row r="8" spans="1:45">
      <c r="A8" s="1476"/>
      <c r="B8" s="1479"/>
      <c r="C8" s="1149" t="s">
        <v>3353</v>
      </c>
      <c r="D8" s="1561"/>
      <c r="E8" s="1479"/>
      <c r="F8" s="1146"/>
      <c r="G8" s="1479"/>
      <c r="H8" s="1479"/>
      <c r="I8" s="1475"/>
      <c r="J8" s="1475"/>
      <c r="K8" s="1475"/>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row>
    <row r="9" spans="1:45">
      <c r="A9" s="1476"/>
      <c r="B9" s="1479"/>
      <c r="C9" s="1149" t="s">
        <v>3355</v>
      </c>
      <c r="D9" s="1561"/>
      <c r="E9" s="1479"/>
      <c r="F9" s="1146"/>
      <c r="G9" s="1479"/>
      <c r="H9" s="1479"/>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c r="AG9" s="1475"/>
      <c r="AH9" s="1475"/>
      <c r="AI9" s="1475"/>
      <c r="AJ9" s="1475"/>
      <c r="AK9" s="1475"/>
      <c r="AL9" s="1475"/>
      <c r="AM9" s="1475"/>
      <c r="AN9" s="1475"/>
      <c r="AO9" s="1475"/>
      <c r="AP9" s="1475"/>
      <c r="AQ9" s="1475"/>
      <c r="AR9" s="1475"/>
      <c r="AS9" s="1475"/>
    </row>
    <row r="10" spans="1:45">
      <c r="A10" s="1476"/>
      <c r="B10" s="1479"/>
      <c r="C10" s="1149" t="s">
        <v>3357</v>
      </c>
      <c r="D10" s="1561"/>
      <c r="E10" s="1479"/>
      <c r="F10" s="1146"/>
      <c r="G10" s="1479"/>
      <c r="H10" s="1479"/>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c r="AG10" s="1475"/>
      <c r="AH10" s="1475"/>
      <c r="AI10" s="1475"/>
      <c r="AJ10" s="1475"/>
      <c r="AK10" s="1475"/>
      <c r="AL10" s="1475"/>
      <c r="AM10" s="1475"/>
      <c r="AN10" s="1475"/>
      <c r="AO10" s="1475"/>
      <c r="AP10" s="1475"/>
      <c r="AQ10" s="1475"/>
      <c r="AR10" s="1475"/>
      <c r="AS10" s="1475"/>
    </row>
    <row r="11" spans="1:45">
      <c r="A11" s="1476"/>
      <c r="B11" s="1479"/>
      <c r="C11" s="1149" t="s">
        <v>3359</v>
      </c>
      <c r="D11" s="1561"/>
      <c r="E11" s="1479"/>
      <c r="F11" s="1146"/>
      <c r="G11" s="1479"/>
      <c r="H11" s="1479"/>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5"/>
      <c r="AR11" s="1475"/>
      <c r="AS11" s="1475"/>
    </row>
    <row r="12" spans="1:45">
      <c r="A12" s="1476"/>
      <c r="B12" s="1479"/>
      <c r="C12" s="1150" t="s">
        <v>4686</v>
      </c>
      <c r="D12" s="1562">
        <f>F12</f>
        <v>0</v>
      </c>
      <c r="E12" s="1479"/>
      <c r="F12" s="1146">
        <f>SUM(D7:D11)</f>
        <v>0</v>
      </c>
      <c r="G12" s="1479"/>
      <c r="H12" s="1479"/>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1475"/>
      <c r="AM12" s="1475"/>
      <c r="AN12" s="1475"/>
      <c r="AO12" s="1475"/>
      <c r="AP12" s="1475"/>
      <c r="AQ12" s="1475"/>
      <c r="AR12" s="1475"/>
      <c r="AS12" s="1475"/>
    </row>
    <row r="13" spans="1:45">
      <c r="A13" s="1476"/>
      <c r="B13" s="1479"/>
      <c r="C13" s="2309" t="s">
        <v>3362</v>
      </c>
      <c r="D13" s="2310"/>
      <c r="E13" s="1479"/>
      <c r="F13" s="1146"/>
      <c r="G13" s="1479"/>
      <c r="H13" s="1479"/>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475"/>
      <c r="AO13" s="1475"/>
      <c r="AP13" s="1475"/>
      <c r="AQ13" s="1475"/>
      <c r="AR13" s="1475"/>
      <c r="AS13" s="1475"/>
    </row>
    <row r="14" spans="1:45">
      <c r="A14" s="1476"/>
      <c r="B14" s="1479"/>
      <c r="C14" s="1149" t="s">
        <v>3364</v>
      </c>
      <c r="D14" s="1561"/>
      <c r="E14" s="1479"/>
      <c r="F14" s="1146"/>
      <c r="G14" s="1479"/>
      <c r="H14" s="1479"/>
      <c r="I14" s="1475"/>
      <c r="J14" s="1475"/>
      <c r="K14" s="1475"/>
      <c r="L14" s="1475"/>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5"/>
      <c r="AJ14" s="1475"/>
      <c r="AK14" s="1475"/>
      <c r="AL14" s="1475"/>
      <c r="AM14" s="1475"/>
      <c r="AN14" s="1475"/>
      <c r="AO14" s="1475"/>
      <c r="AP14" s="1475"/>
      <c r="AQ14" s="1475"/>
      <c r="AR14" s="1475"/>
      <c r="AS14" s="1475"/>
    </row>
    <row r="15" spans="1:45">
      <c r="A15" s="1476"/>
      <c r="B15" s="1479"/>
      <c r="C15" s="1149" t="s">
        <v>3366</v>
      </c>
      <c r="D15" s="1561"/>
      <c r="E15" s="1479"/>
      <c r="F15" s="1146"/>
      <c r="G15" s="1479"/>
      <c r="H15" s="1479"/>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1475"/>
      <c r="AM15" s="1475"/>
      <c r="AN15" s="1475"/>
      <c r="AO15" s="1475"/>
      <c r="AP15" s="1475"/>
      <c r="AQ15" s="1475"/>
      <c r="AR15" s="1475"/>
      <c r="AS15" s="1475"/>
    </row>
    <row r="16" spans="1:45">
      <c r="A16" s="1476"/>
      <c r="B16" s="1479"/>
      <c r="C16" s="1149" t="s">
        <v>3368</v>
      </c>
      <c r="D16" s="1561"/>
      <c r="E16" s="1479"/>
      <c r="F16" s="1146"/>
      <c r="G16" s="1479"/>
      <c r="H16" s="1479"/>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1475"/>
      <c r="AM16" s="1475"/>
      <c r="AN16" s="1475"/>
      <c r="AO16" s="1475"/>
      <c r="AP16" s="1475"/>
      <c r="AQ16" s="1475"/>
      <c r="AR16" s="1475"/>
      <c r="AS16" s="1475"/>
    </row>
    <row r="17" spans="2:18">
      <c r="B17" s="1479"/>
      <c r="C17" s="1149" t="s">
        <v>3369</v>
      </c>
      <c r="D17" s="244"/>
      <c r="E17" s="1479"/>
      <c r="F17" s="1146"/>
      <c r="G17" s="1479"/>
      <c r="H17" s="1479"/>
      <c r="I17" s="1475"/>
      <c r="J17" s="1475"/>
      <c r="K17" s="1475"/>
      <c r="L17" s="1475"/>
      <c r="M17" s="1475"/>
      <c r="N17" s="1475"/>
      <c r="O17" s="1475"/>
      <c r="P17" s="1475"/>
      <c r="Q17" s="1475"/>
      <c r="R17" s="1475"/>
    </row>
    <row r="18" spans="2:18">
      <c r="B18" s="1479"/>
      <c r="C18" s="1149" t="s">
        <v>3370</v>
      </c>
      <c r="D18" s="244"/>
      <c r="E18" s="1479"/>
      <c r="F18" s="1146"/>
      <c r="G18" s="1479"/>
      <c r="H18" s="1479"/>
      <c r="I18" s="1475"/>
      <c r="J18" s="1475"/>
      <c r="K18" s="1475"/>
      <c r="L18" s="1475"/>
      <c r="M18" s="1475"/>
      <c r="N18" s="1475"/>
      <c r="O18" s="1475"/>
      <c r="P18" s="1475"/>
      <c r="Q18" s="1475"/>
      <c r="R18" s="1475"/>
    </row>
    <row r="19" spans="2:18">
      <c r="B19" s="1479"/>
      <c r="C19" s="1149" t="s">
        <v>3371</v>
      </c>
      <c r="D19" s="244"/>
      <c r="E19" s="1479"/>
      <c r="F19" s="1146"/>
      <c r="G19" s="1479"/>
      <c r="H19" s="1479"/>
      <c r="I19" s="1475"/>
      <c r="J19" s="1475"/>
      <c r="K19" s="1475"/>
      <c r="L19" s="1475"/>
      <c r="M19" s="1475"/>
      <c r="N19" s="1475"/>
      <c r="O19" s="1475"/>
      <c r="P19" s="1475"/>
      <c r="Q19" s="1475"/>
      <c r="R19" s="1475"/>
    </row>
    <row r="20" spans="2:18">
      <c r="B20" s="1479"/>
      <c r="C20" s="1149" t="s">
        <v>3372</v>
      </c>
      <c r="D20" s="1561"/>
      <c r="E20" s="1479"/>
      <c r="F20" s="1146"/>
      <c r="G20" s="1479"/>
      <c r="H20" s="1479"/>
      <c r="I20" s="1475"/>
      <c r="J20" s="1475"/>
      <c r="K20" s="1475"/>
      <c r="L20" s="1475"/>
      <c r="M20" s="1475"/>
      <c r="N20" s="1475"/>
      <c r="O20" s="1475"/>
      <c r="P20" s="1475"/>
      <c r="Q20" s="1475"/>
      <c r="R20" s="1475"/>
    </row>
    <row r="21" spans="2:18">
      <c r="B21" s="1479"/>
      <c r="C21" s="1149" t="s">
        <v>3373</v>
      </c>
      <c r="D21" s="1561"/>
      <c r="E21" s="1479"/>
      <c r="F21" s="1146"/>
      <c r="G21" s="1479"/>
      <c r="H21" s="1479"/>
      <c r="I21" s="1475"/>
      <c r="J21" s="1475"/>
      <c r="K21" s="1475"/>
      <c r="L21" s="1475"/>
      <c r="M21" s="1475"/>
      <c r="N21" s="1475"/>
      <c r="O21" s="1475"/>
      <c r="P21" s="1475"/>
      <c r="Q21" s="1475"/>
      <c r="R21" s="1475"/>
    </row>
    <row r="22" spans="2:18">
      <c r="B22" s="1479"/>
      <c r="C22" s="1149" t="s">
        <v>3374</v>
      </c>
      <c r="D22" s="1561"/>
      <c r="E22" s="1479"/>
      <c r="F22" s="1146"/>
      <c r="G22" s="1479"/>
      <c r="H22" s="1479"/>
      <c r="I22" s="1475"/>
      <c r="J22" s="1475"/>
      <c r="K22" s="1475"/>
      <c r="L22" s="1475"/>
      <c r="M22" s="1475"/>
      <c r="N22" s="1475"/>
      <c r="O22" s="1475"/>
      <c r="P22" s="1475"/>
      <c r="Q22" s="1475"/>
      <c r="R22" s="1475"/>
    </row>
    <row r="23" spans="2:18" ht="15.75">
      <c r="B23" s="1479"/>
      <c r="C23" s="1149" t="s">
        <v>3375</v>
      </c>
      <c r="D23" s="1561"/>
      <c r="E23" s="1479"/>
      <c r="F23" s="1146"/>
      <c r="G23" s="1479"/>
      <c r="H23" s="1479"/>
      <c r="I23" s="1475"/>
      <c r="J23" s="1475"/>
      <c r="K23" s="1475"/>
      <c r="L23" s="1475"/>
      <c r="M23" s="36"/>
      <c r="N23" s="36"/>
      <c r="O23" s="37"/>
      <c r="P23" s="1475"/>
      <c r="Q23" s="1475"/>
      <c r="R23" s="1475"/>
    </row>
    <row r="24" spans="2:18">
      <c r="B24" s="1479"/>
      <c r="C24" s="1149" t="s">
        <v>3376</v>
      </c>
      <c r="D24" s="1561"/>
      <c r="E24" s="1479"/>
      <c r="F24" s="1146" t="s">
        <v>3830</v>
      </c>
      <c r="G24" s="1479"/>
      <c r="H24" s="1479"/>
      <c r="I24" s="1475"/>
      <c r="J24" s="1475"/>
      <c r="K24" s="1475"/>
      <c r="L24" s="2303"/>
      <c r="M24" s="2303"/>
      <c r="N24" s="2303"/>
      <c r="O24" s="1475"/>
      <c r="P24" s="1475"/>
      <c r="Q24" s="1475"/>
      <c r="R24" s="1475"/>
    </row>
    <row r="25" spans="2:18">
      <c r="B25" s="1479"/>
      <c r="C25" s="1149" t="s">
        <v>3377</v>
      </c>
      <c r="D25" s="1561"/>
      <c r="E25" s="1479"/>
      <c r="F25" s="1146"/>
      <c r="G25" s="1479"/>
      <c r="H25" s="1479"/>
      <c r="I25" s="1475"/>
      <c r="J25" s="1475"/>
      <c r="K25" s="1475"/>
      <c r="L25" s="2304"/>
      <c r="M25" s="2305"/>
      <c r="N25" s="2305"/>
      <c r="O25" s="2305"/>
      <c r="P25" s="2305"/>
      <c r="Q25" s="2305"/>
      <c r="R25" s="2305"/>
    </row>
    <row r="26" spans="2:18">
      <c r="B26" s="1479"/>
      <c r="C26" s="1149" t="s">
        <v>3378</v>
      </c>
      <c r="D26" s="1561"/>
      <c r="E26" s="1479"/>
      <c r="F26" s="1146"/>
      <c r="G26" s="1479"/>
      <c r="H26" s="1479"/>
      <c r="I26" s="1475"/>
      <c r="J26" s="1475"/>
      <c r="K26" s="1475"/>
      <c r="L26" s="2305"/>
      <c r="M26" s="2305"/>
      <c r="N26" s="2305"/>
      <c r="O26" s="2305"/>
      <c r="P26" s="2305"/>
      <c r="Q26" s="2305"/>
      <c r="R26" s="2305"/>
    </row>
    <row r="27" spans="2:18">
      <c r="B27" s="1479"/>
      <c r="C27" s="1149" t="s">
        <v>3379</v>
      </c>
      <c r="D27" s="1561"/>
      <c r="E27" s="1479"/>
      <c r="F27" s="1146"/>
      <c r="G27" s="1479"/>
      <c r="H27" s="1479"/>
      <c r="I27" s="1475"/>
      <c r="J27" s="1475"/>
      <c r="K27" s="1475"/>
      <c r="L27" s="2305"/>
      <c r="M27" s="2305"/>
      <c r="N27" s="2305"/>
      <c r="O27" s="2305"/>
      <c r="P27" s="2305"/>
      <c r="Q27" s="2305"/>
      <c r="R27" s="2305"/>
    </row>
    <row r="28" spans="2:18">
      <c r="B28" s="1479"/>
      <c r="C28" s="1151" t="s">
        <v>4687</v>
      </c>
      <c r="D28" s="1562">
        <f>F28</f>
        <v>0</v>
      </c>
      <c r="E28" s="1479"/>
      <c r="F28" s="1146">
        <f>SUM(D13:D27)</f>
        <v>0</v>
      </c>
      <c r="G28" s="1479"/>
      <c r="H28" s="1479"/>
      <c r="I28" s="1475"/>
      <c r="J28" s="1475"/>
      <c r="K28" s="1475"/>
      <c r="L28" s="2305"/>
      <c r="M28" s="2305"/>
      <c r="N28" s="2305"/>
      <c r="O28" s="2305"/>
      <c r="P28" s="2305"/>
      <c r="Q28" s="2305"/>
      <c r="R28" s="2305"/>
    </row>
    <row r="29" spans="2:18">
      <c r="B29" s="1479"/>
      <c r="C29" s="2309" t="s">
        <v>3380</v>
      </c>
      <c r="D29" s="2310"/>
      <c r="E29" s="1479"/>
      <c r="F29" s="1146"/>
      <c r="G29" s="1479"/>
      <c r="H29" s="1479"/>
      <c r="I29" s="1475"/>
      <c r="J29" s="1475"/>
      <c r="K29" s="1475"/>
      <c r="L29" s="2305"/>
      <c r="M29" s="2305"/>
      <c r="N29" s="2305"/>
      <c r="O29" s="2305"/>
      <c r="P29" s="2305"/>
      <c r="Q29" s="2305"/>
      <c r="R29" s="2305"/>
    </row>
    <row r="30" spans="2:18">
      <c r="B30" s="1479"/>
      <c r="C30" s="1149" t="s">
        <v>3381</v>
      </c>
      <c r="D30" s="1561"/>
      <c r="E30" s="1479"/>
      <c r="F30" s="1146"/>
      <c r="G30" s="1479"/>
      <c r="H30" s="1479"/>
      <c r="I30" s="1475"/>
      <c r="J30" s="1475"/>
      <c r="K30" s="1475"/>
      <c r="L30" s="2305"/>
      <c r="M30" s="2305"/>
      <c r="N30" s="2305"/>
      <c r="O30" s="2305"/>
      <c r="P30" s="2305"/>
      <c r="Q30" s="2305"/>
      <c r="R30" s="2305"/>
    </row>
    <row r="31" spans="2:18">
      <c r="B31" s="1479"/>
      <c r="C31" s="1149" t="s">
        <v>3382</v>
      </c>
      <c r="D31" s="1561"/>
      <c r="E31" s="1479"/>
      <c r="F31" s="1146"/>
      <c r="G31" s="1479"/>
      <c r="H31" s="1479"/>
      <c r="I31" s="1475"/>
      <c r="J31" s="1475"/>
      <c r="K31" s="1475"/>
      <c r="L31" s="2305"/>
      <c r="M31" s="2305"/>
      <c r="N31" s="2305"/>
      <c r="O31" s="2305"/>
      <c r="P31" s="2305"/>
      <c r="Q31" s="2305"/>
      <c r="R31" s="2305"/>
    </row>
    <row r="32" spans="2:18">
      <c r="B32" s="1479"/>
      <c r="C32" s="1149" t="s">
        <v>3383</v>
      </c>
      <c r="D32" s="1561"/>
      <c r="E32" s="1479"/>
      <c r="F32" s="1146"/>
      <c r="G32" s="1479"/>
      <c r="H32" s="1479"/>
      <c r="I32" s="1475"/>
      <c r="J32" s="1475"/>
      <c r="K32" s="1475"/>
      <c r="L32" s="2305"/>
      <c r="M32" s="2305"/>
      <c r="N32" s="2305"/>
      <c r="O32" s="2305"/>
      <c r="P32" s="2305"/>
      <c r="Q32" s="2305"/>
      <c r="R32" s="2305"/>
    </row>
    <row r="33" spans="2:18">
      <c r="B33" s="1479"/>
      <c r="C33" s="1149" t="s">
        <v>274</v>
      </c>
      <c r="D33" s="1561"/>
      <c r="E33" s="1479"/>
      <c r="F33" s="1146"/>
      <c r="G33" s="1479"/>
      <c r="H33" s="1479"/>
      <c r="I33" s="1475"/>
      <c r="J33" s="1475"/>
      <c r="K33" s="1475"/>
      <c r="L33" s="2305"/>
      <c r="M33" s="2305"/>
      <c r="N33" s="2305"/>
      <c r="O33" s="2305"/>
      <c r="P33" s="2305"/>
      <c r="Q33" s="2305"/>
      <c r="R33" s="2305"/>
    </row>
    <row r="34" spans="2:18">
      <c r="B34" s="1479"/>
      <c r="C34" s="1149" t="s">
        <v>3384</v>
      </c>
      <c r="D34" s="1561"/>
      <c r="E34" s="1479"/>
      <c r="F34" s="1146"/>
      <c r="G34" s="1479"/>
      <c r="H34" s="1479"/>
      <c r="I34" s="1475"/>
      <c r="J34" s="1475"/>
      <c r="K34" s="1475"/>
      <c r="L34" s="2305"/>
      <c r="M34" s="2305"/>
      <c r="N34" s="2305"/>
      <c r="O34" s="2305"/>
      <c r="P34" s="2305"/>
      <c r="Q34" s="2305"/>
      <c r="R34" s="2305"/>
    </row>
    <row r="35" spans="2:18">
      <c r="B35" s="1479"/>
      <c r="C35" s="1149" t="s">
        <v>3385</v>
      </c>
      <c r="D35" s="1561"/>
      <c r="E35" s="1479"/>
      <c r="F35" s="1146"/>
      <c r="G35" s="1479"/>
      <c r="H35" s="1479"/>
      <c r="I35" s="1475"/>
      <c r="J35" s="1475"/>
      <c r="K35" s="1475"/>
      <c r="L35" s="2305"/>
      <c r="M35" s="2305"/>
      <c r="N35" s="2305"/>
      <c r="O35" s="2305"/>
      <c r="P35" s="2305"/>
      <c r="Q35" s="2305"/>
      <c r="R35" s="2305"/>
    </row>
    <row r="36" spans="2:18">
      <c r="B36" s="1479"/>
      <c r="C36" s="1152" t="s">
        <v>4688</v>
      </c>
      <c r="D36" s="1562">
        <f>F36</f>
        <v>0</v>
      </c>
      <c r="E36" s="1479"/>
      <c r="F36" s="1147">
        <f>SUM(D29:D35)</f>
        <v>0</v>
      </c>
      <c r="G36" s="1479"/>
      <c r="H36" s="1479"/>
      <c r="I36" s="1475"/>
      <c r="J36" s="1475"/>
      <c r="K36" s="1475"/>
      <c r="L36" s="2305"/>
      <c r="M36" s="2305"/>
      <c r="N36" s="2305"/>
      <c r="O36" s="2305"/>
      <c r="P36" s="2305"/>
      <c r="Q36" s="2305"/>
      <c r="R36" s="2305"/>
    </row>
    <row r="37" spans="2:18">
      <c r="B37" s="1479"/>
      <c r="C37" s="2309" t="s">
        <v>3386</v>
      </c>
      <c r="D37" s="2310"/>
      <c r="E37" s="1479"/>
      <c r="F37" s="1146"/>
      <c r="G37" s="1479"/>
      <c r="H37" s="1479"/>
      <c r="I37" s="1475"/>
      <c r="J37" s="1475"/>
      <c r="K37" s="1475"/>
      <c r="L37" s="2305"/>
      <c r="M37" s="2305"/>
      <c r="N37" s="2305"/>
      <c r="O37" s="2305"/>
      <c r="P37" s="2305"/>
      <c r="Q37" s="2305"/>
      <c r="R37" s="2305"/>
    </row>
    <row r="38" spans="2:18">
      <c r="B38" s="1479"/>
      <c r="C38" s="1149" t="s">
        <v>3387</v>
      </c>
      <c r="D38" s="1561"/>
      <c r="E38" s="1479"/>
      <c r="F38" s="1146"/>
      <c r="G38" s="1479"/>
      <c r="H38" s="1479"/>
      <c r="I38" s="1475"/>
      <c r="J38" s="1475"/>
      <c r="K38" s="1475"/>
      <c r="L38" s="2305"/>
      <c r="M38" s="2305"/>
      <c r="N38" s="2305"/>
      <c r="O38" s="2305"/>
      <c r="P38" s="2305"/>
      <c r="Q38" s="2305"/>
      <c r="R38" s="2305"/>
    </row>
    <row r="39" spans="2:18">
      <c r="B39" s="1479"/>
      <c r="C39" s="1149" t="s">
        <v>3388</v>
      </c>
      <c r="D39" s="1561"/>
      <c r="E39" s="1479"/>
      <c r="F39" s="1146"/>
      <c r="G39" s="1479"/>
      <c r="H39" s="1479"/>
      <c r="I39" s="1475"/>
      <c r="J39" s="1475"/>
      <c r="K39" s="1475"/>
      <c r="L39" s="2305"/>
      <c r="M39" s="2305"/>
      <c r="N39" s="2305"/>
      <c r="O39" s="2305"/>
      <c r="P39" s="2305"/>
      <c r="Q39" s="2305"/>
      <c r="R39" s="2305"/>
    </row>
    <row r="40" spans="2:18">
      <c r="B40" s="1479"/>
      <c r="C40" s="1149" t="s">
        <v>3389</v>
      </c>
      <c r="D40" s="1561"/>
      <c r="E40" s="1479"/>
      <c r="F40" s="1146"/>
      <c r="G40" s="1479"/>
      <c r="H40" s="1479"/>
      <c r="I40" s="1475"/>
      <c r="J40" s="1475"/>
      <c r="K40" s="1475"/>
      <c r="L40" s="1475"/>
      <c r="M40" s="1475"/>
      <c r="N40" s="1475"/>
      <c r="O40" s="1475"/>
      <c r="P40" s="1475"/>
      <c r="Q40" s="1475"/>
      <c r="R40" s="1475"/>
    </row>
    <row r="41" spans="2:18">
      <c r="B41" s="1479"/>
      <c r="C41" s="1149" t="s">
        <v>3390</v>
      </c>
      <c r="D41" s="1561"/>
      <c r="E41" s="1479"/>
      <c r="F41" s="1146"/>
      <c r="G41" s="1479"/>
      <c r="H41" s="1479"/>
      <c r="I41" s="1475"/>
      <c r="J41" s="1475"/>
      <c r="K41" s="1475"/>
      <c r="L41" s="1475"/>
      <c r="M41" s="1475"/>
      <c r="N41" s="1475"/>
      <c r="O41" s="1475"/>
      <c r="P41" s="1475"/>
      <c r="Q41" s="1475"/>
      <c r="R41" s="1475"/>
    </row>
    <row r="42" spans="2:18">
      <c r="B42" s="1479"/>
      <c r="C42" s="1149" t="s">
        <v>3391</v>
      </c>
      <c r="D42" s="1561"/>
      <c r="E42" s="1479"/>
      <c r="F42" s="1146"/>
      <c r="G42" s="1479"/>
      <c r="H42" s="1479"/>
      <c r="I42" s="1475"/>
      <c r="J42" s="1475"/>
      <c r="K42" s="1475"/>
      <c r="L42" s="1475"/>
      <c r="M42" s="1475"/>
      <c r="N42" s="1475"/>
      <c r="O42" s="1475"/>
      <c r="P42" s="1475"/>
      <c r="Q42" s="1475"/>
      <c r="R42" s="1475"/>
    </row>
    <row r="43" spans="2:18">
      <c r="B43" s="1479"/>
      <c r="C43" s="1149" t="s">
        <v>3392</v>
      </c>
      <c r="D43" s="1561"/>
      <c r="E43" s="1479"/>
      <c r="F43" s="1146"/>
      <c r="G43" s="1479"/>
      <c r="H43" s="1479"/>
      <c r="I43" s="1475"/>
      <c r="J43" s="1475"/>
      <c r="K43" s="1475"/>
      <c r="L43" s="1475"/>
      <c r="M43" s="1475"/>
      <c r="N43" s="1475"/>
      <c r="O43" s="1475"/>
      <c r="P43" s="1475"/>
      <c r="Q43" s="1475"/>
      <c r="R43" s="1475"/>
    </row>
    <row r="44" spans="2:18">
      <c r="B44" s="1479"/>
      <c r="C44" s="1149" t="s">
        <v>3393</v>
      </c>
      <c r="D44" s="1561"/>
      <c r="E44" s="1479"/>
      <c r="F44" s="1146"/>
      <c r="G44" s="1479"/>
      <c r="H44" s="1479"/>
      <c r="I44" s="1475"/>
      <c r="J44" s="1475"/>
      <c r="K44" s="1475"/>
      <c r="L44" s="1475"/>
      <c r="M44" s="1475"/>
      <c r="N44" s="1475"/>
      <c r="O44" s="1475"/>
      <c r="P44" s="1475"/>
      <c r="Q44" s="1475"/>
      <c r="R44" s="1475"/>
    </row>
    <row r="45" spans="2:18">
      <c r="B45" s="1479"/>
      <c r="C45" s="1149" t="s">
        <v>3394</v>
      </c>
      <c r="D45" s="1561"/>
      <c r="E45" s="1479"/>
      <c r="F45" s="1146"/>
      <c r="G45" s="1479"/>
      <c r="H45" s="1479"/>
      <c r="I45" s="1475"/>
      <c r="J45" s="1475"/>
      <c r="K45" s="1475"/>
      <c r="L45" s="1475"/>
      <c r="M45" s="1475"/>
      <c r="N45" s="1475"/>
      <c r="O45" s="1475"/>
      <c r="P45" s="1475"/>
      <c r="Q45" s="1475"/>
      <c r="R45" s="1475"/>
    </row>
    <row r="46" spans="2:18">
      <c r="B46" s="1479"/>
      <c r="C46" s="1149" t="s">
        <v>3395</v>
      </c>
      <c r="D46" s="1561"/>
      <c r="E46" s="1479"/>
      <c r="F46" s="1146"/>
      <c r="G46" s="1479"/>
      <c r="H46" s="1479"/>
      <c r="I46" s="1475"/>
      <c r="J46" s="1475"/>
      <c r="K46" s="1475"/>
      <c r="L46" s="1475"/>
      <c r="M46" s="1475"/>
      <c r="N46" s="1475"/>
      <c r="O46" s="1475"/>
      <c r="P46" s="1475"/>
      <c r="Q46" s="1475"/>
      <c r="R46" s="1475"/>
    </row>
    <row r="47" spans="2:18">
      <c r="B47" s="1479"/>
      <c r="C47" s="1149" t="s">
        <v>4689</v>
      </c>
      <c r="D47" s="1561"/>
      <c r="E47" s="1479"/>
      <c r="F47" s="1146"/>
      <c r="G47" s="1479"/>
      <c r="H47" s="1479"/>
      <c r="I47" s="1475"/>
      <c r="J47" s="1475"/>
      <c r="K47" s="1475"/>
      <c r="L47" s="1475"/>
      <c r="M47" s="1475"/>
      <c r="N47" s="1475"/>
      <c r="O47" s="1475"/>
      <c r="P47" s="1475"/>
      <c r="Q47" s="1475"/>
      <c r="R47" s="1475"/>
    </row>
    <row r="48" spans="2:18">
      <c r="B48" s="1479"/>
      <c r="C48" s="1149" t="s">
        <v>3397</v>
      </c>
      <c r="D48" s="1561"/>
      <c r="E48" s="1479"/>
      <c r="F48" s="1146"/>
      <c r="G48" s="1479"/>
      <c r="H48" s="1479"/>
      <c r="I48" s="1475"/>
      <c r="J48" s="1475"/>
      <c r="K48" s="1475"/>
      <c r="L48" s="1475"/>
      <c r="M48" s="1475"/>
      <c r="N48" s="1475"/>
      <c r="O48" s="1475"/>
      <c r="P48" s="1475"/>
      <c r="Q48" s="1475"/>
      <c r="R48" s="1475"/>
    </row>
    <row r="49" spans="2:8">
      <c r="B49" s="1479"/>
      <c r="C49" s="1152" t="s">
        <v>4690</v>
      </c>
      <c r="D49" s="1562">
        <f>F49</f>
        <v>0</v>
      </c>
      <c r="E49" s="1479"/>
      <c r="F49" s="1146">
        <f>SUM(D37:D48)</f>
        <v>0</v>
      </c>
      <c r="G49" s="1479"/>
      <c r="H49" s="1479"/>
    </row>
    <row r="50" spans="2:8">
      <c r="B50" s="1479"/>
      <c r="C50" s="2309" t="s">
        <v>3398</v>
      </c>
      <c r="D50" s="2310"/>
      <c r="E50" s="1479"/>
      <c r="F50" s="1146"/>
      <c r="G50" s="1479"/>
      <c r="H50" s="1479"/>
    </row>
    <row r="51" spans="2:8">
      <c r="B51" s="1479"/>
      <c r="C51" s="1149" t="s">
        <v>3399</v>
      </c>
      <c r="D51" s="1561"/>
      <c r="E51" s="1479"/>
      <c r="F51" s="1146"/>
      <c r="G51" s="1479"/>
      <c r="H51" s="1479"/>
    </row>
    <row r="52" spans="2:8">
      <c r="B52" s="1479"/>
      <c r="C52" s="1149" t="s">
        <v>3400</v>
      </c>
      <c r="D52" s="1561"/>
      <c r="E52" s="1479"/>
      <c r="F52" s="1146"/>
      <c r="G52" s="1479"/>
      <c r="H52" s="1479"/>
    </row>
    <row r="53" spans="2:8" hidden="1">
      <c r="B53" s="1479"/>
      <c r="C53" s="1149" t="s">
        <v>3401</v>
      </c>
      <c r="D53" s="1561"/>
      <c r="E53" s="1479"/>
      <c r="F53" s="1146"/>
      <c r="G53" s="1479"/>
      <c r="H53" s="1479"/>
    </row>
    <row r="54" spans="2:8">
      <c r="B54" s="1479"/>
      <c r="C54" s="1149" t="s">
        <v>3402</v>
      </c>
      <c r="D54" s="1561"/>
      <c r="E54" s="1479"/>
      <c r="F54" s="1146"/>
      <c r="G54" s="1479"/>
      <c r="H54" s="1479"/>
    </row>
    <row r="55" spans="2:8">
      <c r="B55" s="1479"/>
      <c r="C55" s="1149" t="s">
        <v>4691</v>
      </c>
      <c r="D55" s="1561"/>
      <c r="E55" s="1479"/>
      <c r="F55" s="1146"/>
      <c r="G55" s="1479"/>
      <c r="H55" s="1479"/>
    </row>
    <row r="56" spans="2:8">
      <c r="B56" s="1479"/>
      <c r="C56" s="1149" t="s">
        <v>3404</v>
      </c>
      <c r="D56" s="1561"/>
      <c r="E56" s="1479"/>
      <c r="F56" s="1146"/>
      <c r="G56" s="1479"/>
      <c r="H56" s="1479"/>
    </row>
    <row r="57" spans="2:8">
      <c r="B57" s="1479"/>
      <c r="C57" s="1149" t="s">
        <v>3405</v>
      </c>
      <c r="D57" s="1561"/>
      <c r="E57" s="1479"/>
      <c r="F57" s="1146"/>
      <c r="G57" s="1479"/>
      <c r="H57" s="1479"/>
    </row>
    <row r="58" spans="2:8">
      <c r="B58" s="1479"/>
      <c r="C58" s="1149" t="s">
        <v>4692</v>
      </c>
      <c r="D58" s="1561"/>
      <c r="E58" s="1479"/>
      <c r="F58" s="1146"/>
      <c r="G58" s="1479"/>
      <c r="H58" s="1479"/>
    </row>
    <row r="59" spans="2:8">
      <c r="B59" s="1479"/>
      <c r="C59" s="1150" t="s">
        <v>4693</v>
      </c>
      <c r="D59" s="1562">
        <f>F59</f>
        <v>0</v>
      </c>
      <c r="E59" s="1479"/>
      <c r="F59" s="1146">
        <f>SUM(D50:D58)</f>
        <v>0</v>
      </c>
      <c r="G59" s="1479"/>
      <c r="H59" s="1479"/>
    </row>
    <row r="60" spans="2:8">
      <c r="B60" s="1479"/>
      <c r="C60" s="2307" t="s">
        <v>3407</v>
      </c>
      <c r="D60" s="2308"/>
      <c r="E60" s="1479"/>
      <c r="F60" s="1146"/>
      <c r="G60" s="1479"/>
      <c r="H60" s="1479"/>
    </row>
    <row r="61" spans="2:8">
      <c r="B61" s="1479"/>
      <c r="C61" s="1153" t="s">
        <v>3408</v>
      </c>
      <c r="D61" s="1563"/>
      <c r="E61" s="1479"/>
      <c r="F61" s="1146"/>
      <c r="G61" s="1479"/>
      <c r="H61" s="1479"/>
    </row>
    <row r="62" spans="2:8">
      <c r="B62" s="1479"/>
      <c r="C62" s="1153" t="s">
        <v>3409</v>
      </c>
      <c r="D62" s="1563"/>
      <c r="E62" s="1479"/>
      <c r="F62" s="1146"/>
      <c r="G62" s="1479"/>
      <c r="H62" s="1479"/>
    </row>
    <row r="63" spans="2:8">
      <c r="B63" s="1479"/>
      <c r="C63" s="1153" t="s">
        <v>3410</v>
      </c>
      <c r="D63" s="1563"/>
      <c r="E63" s="1479"/>
      <c r="F63" s="1146"/>
      <c r="G63" s="1479"/>
      <c r="H63" s="1479"/>
    </row>
    <row r="64" spans="2:8">
      <c r="B64" s="1479"/>
      <c r="C64" s="1153" t="s">
        <v>4694</v>
      </c>
      <c r="D64" s="1563"/>
      <c r="E64" s="1479"/>
      <c r="F64" s="1146"/>
      <c r="G64" s="1479"/>
      <c r="H64" s="1479"/>
    </row>
    <row r="65" spans="2:8">
      <c r="B65" s="1479"/>
      <c r="C65" s="1153" t="s">
        <v>3412</v>
      </c>
      <c r="D65" s="1563"/>
      <c r="E65" s="1479"/>
      <c r="F65" s="1146"/>
      <c r="G65" s="1479"/>
      <c r="H65" s="1479"/>
    </row>
    <row r="66" spans="2:8">
      <c r="B66" s="1479"/>
      <c r="C66" s="1153" t="s">
        <v>3413</v>
      </c>
      <c r="D66" s="1563"/>
      <c r="E66" s="1479"/>
      <c r="F66" s="1146"/>
      <c r="G66" s="1479"/>
      <c r="H66" s="1479"/>
    </row>
    <row r="67" spans="2:8">
      <c r="B67" s="1479"/>
      <c r="C67" s="1153" t="s">
        <v>3414</v>
      </c>
      <c r="D67" s="1563"/>
      <c r="E67" s="1479"/>
      <c r="F67" s="1146"/>
      <c r="G67" s="1479"/>
      <c r="H67" s="1479"/>
    </row>
    <row r="68" spans="2:8">
      <c r="B68" s="1479"/>
      <c r="C68" s="1153" t="s">
        <v>3415</v>
      </c>
      <c r="D68" s="1563"/>
      <c r="E68" s="1479"/>
      <c r="F68" s="1146"/>
      <c r="G68" s="1479"/>
      <c r="H68" s="1479"/>
    </row>
    <row r="69" spans="2:8">
      <c r="B69" s="1479"/>
      <c r="C69" s="1153" t="s">
        <v>3416</v>
      </c>
      <c r="D69" s="1563"/>
      <c r="E69" s="1479"/>
      <c r="F69" s="1146"/>
      <c r="G69" s="1479"/>
      <c r="H69" s="1479"/>
    </row>
    <row r="70" spans="2:8">
      <c r="B70" s="1479"/>
      <c r="C70" s="1153" t="s">
        <v>3417</v>
      </c>
      <c r="D70" s="1563"/>
      <c r="E70" s="1479"/>
      <c r="F70" s="1146"/>
      <c r="G70" s="1479"/>
      <c r="H70" s="1479"/>
    </row>
    <row r="71" spans="2:8">
      <c r="B71" s="1479"/>
      <c r="C71" s="1153" t="s">
        <v>3418</v>
      </c>
      <c r="D71" s="1563"/>
      <c r="E71" s="1479"/>
      <c r="F71" s="1146"/>
      <c r="G71" s="1479"/>
      <c r="H71" s="1479"/>
    </row>
    <row r="72" spans="2:8">
      <c r="B72" s="1479"/>
      <c r="C72" s="1153" t="s">
        <v>3419</v>
      </c>
      <c r="D72" s="1563"/>
      <c r="E72" s="1479"/>
      <c r="F72" s="1146"/>
      <c r="G72" s="1479"/>
      <c r="H72" s="1479"/>
    </row>
    <row r="73" spans="2:8">
      <c r="B73" s="1479"/>
      <c r="C73" s="1153" t="s">
        <v>3420</v>
      </c>
      <c r="D73" s="1563"/>
      <c r="E73" s="1479"/>
      <c r="F73" s="1146"/>
      <c r="G73" s="1479"/>
      <c r="H73" s="1479"/>
    </row>
    <row r="74" spans="2:8">
      <c r="B74" s="1479"/>
      <c r="C74" s="1153" t="s">
        <v>3421</v>
      </c>
      <c r="D74" s="1563"/>
      <c r="E74" s="1479"/>
      <c r="F74" s="1146"/>
      <c r="G74" s="1479"/>
      <c r="H74" s="1479"/>
    </row>
    <row r="75" spans="2:8">
      <c r="B75" s="1479"/>
      <c r="C75" s="1153" t="s">
        <v>3422</v>
      </c>
      <c r="D75" s="1563"/>
      <c r="E75" s="1479"/>
      <c r="F75" s="1146"/>
      <c r="G75" s="1479"/>
      <c r="H75" s="1479"/>
    </row>
    <row r="76" spans="2:8">
      <c r="B76" s="1479"/>
      <c r="C76" s="1153" t="s">
        <v>3423</v>
      </c>
      <c r="D76" s="1563"/>
      <c r="E76" s="1479"/>
      <c r="F76" s="1146"/>
      <c r="G76" s="1479"/>
      <c r="H76" s="1479"/>
    </row>
    <row r="77" spans="2:8">
      <c r="B77" s="1479"/>
      <c r="C77" s="1153" t="s">
        <v>3424</v>
      </c>
      <c r="D77" s="1563"/>
      <c r="E77" s="1479"/>
      <c r="F77" s="1146"/>
      <c r="G77" s="1479"/>
      <c r="H77" s="1479"/>
    </row>
    <row r="78" spans="2:8">
      <c r="B78" s="1479"/>
      <c r="C78" s="1153" t="s">
        <v>3425</v>
      </c>
      <c r="D78" s="1563"/>
      <c r="E78" s="1479"/>
      <c r="F78" s="1146"/>
      <c r="G78" s="1479"/>
      <c r="H78" s="1479"/>
    </row>
    <row r="79" spans="2:8">
      <c r="B79" s="1479"/>
      <c r="C79" s="1153" t="s">
        <v>3426</v>
      </c>
      <c r="D79" s="1563"/>
      <c r="E79" s="1479"/>
      <c r="F79" s="1146"/>
      <c r="G79" s="1479"/>
      <c r="H79" s="1479"/>
    </row>
    <row r="80" spans="2:8">
      <c r="B80" s="1479"/>
      <c r="C80" s="1153" t="s">
        <v>3427</v>
      </c>
      <c r="D80" s="1563"/>
      <c r="E80" s="1479"/>
      <c r="F80" s="1146"/>
      <c r="G80" s="1479"/>
      <c r="H80" s="1479"/>
    </row>
    <row r="81" spans="2:8">
      <c r="B81" s="1479"/>
      <c r="C81" s="1153" t="s">
        <v>3428</v>
      </c>
      <c r="D81" s="1563"/>
      <c r="E81" s="1479"/>
      <c r="F81" s="1146"/>
      <c r="G81" s="1479"/>
      <c r="H81" s="1479"/>
    </row>
    <row r="82" spans="2:8">
      <c r="B82" s="1479"/>
      <c r="C82" s="1153" t="s">
        <v>3429</v>
      </c>
      <c r="D82" s="1563"/>
      <c r="E82" s="1479"/>
      <c r="F82" s="1146"/>
      <c r="G82" s="1479"/>
      <c r="H82" s="1479"/>
    </row>
    <row r="83" spans="2:8">
      <c r="B83" s="1479"/>
      <c r="C83" s="1153" t="s">
        <v>3430</v>
      </c>
      <c r="D83" s="1563"/>
      <c r="E83" s="1479"/>
      <c r="F83" s="1146"/>
      <c r="G83" s="1479"/>
      <c r="H83" s="1479"/>
    </row>
    <row r="84" spans="2:8">
      <c r="B84" s="1479"/>
      <c r="C84" s="1153" t="s">
        <v>3431</v>
      </c>
      <c r="D84" s="1563"/>
      <c r="E84" s="1479"/>
      <c r="F84" s="1146"/>
      <c r="G84" s="1479"/>
      <c r="H84" s="1479"/>
    </row>
    <row r="85" spans="2:8">
      <c r="B85" s="1479"/>
      <c r="C85" s="1154" t="s">
        <v>3363</v>
      </c>
      <c r="D85" s="1562">
        <f>F85</f>
        <v>0</v>
      </c>
      <c r="E85" s="1479"/>
      <c r="F85" s="1146">
        <f>SUM(D60:D84)</f>
        <v>0</v>
      </c>
      <c r="G85" s="1479"/>
      <c r="H85" s="1479"/>
    </row>
    <row r="86" spans="2:8">
      <c r="B86" s="1479"/>
      <c r="C86" s="1564" t="s">
        <v>3432</v>
      </c>
      <c r="D86" s="1561"/>
      <c r="E86" s="1479"/>
      <c r="F86" s="1146"/>
      <c r="G86" s="1479"/>
      <c r="H86" s="1479"/>
    </row>
    <row r="87" spans="2:8">
      <c r="B87" s="1479"/>
      <c r="C87" s="744" t="s">
        <v>4695</v>
      </c>
      <c r="D87" s="974"/>
      <c r="E87" s="1479"/>
      <c r="F87" s="1146"/>
      <c r="G87" s="1479"/>
      <c r="H87" s="1479"/>
    </row>
    <row r="88" spans="2:8">
      <c r="B88" s="1479"/>
      <c r="C88" s="1155" t="s">
        <v>3365</v>
      </c>
      <c r="D88" s="1562">
        <f>SUM(D12,D28,D36,D49,D59,D85, D86)</f>
        <v>0</v>
      </c>
      <c r="E88" s="1479"/>
      <c r="F88" s="1147">
        <f>SUM(D12,D28,D36,D49,D59,D85, Annual_Replacement_Reserve)</f>
        <v>0</v>
      </c>
      <c r="G88" s="1479"/>
      <c r="H88" s="1479"/>
    </row>
    <row r="89" spans="2:8">
      <c r="B89" s="1479"/>
      <c r="C89" s="1155" t="s">
        <v>2837</v>
      </c>
      <c r="D89" s="1565">
        <f>F89</f>
        <v>0</v>
      </c>
      <c r="E89" s="1479"/>
      <c r="F89" s="1148">
        <f>Total_Units</f>
        <v>0</v>
      </c>
      <c r="G89" s="1479"/>
      <c r="H89" s="1479"/>
    </row>
    <row r="90" spans="2:8">
      <c r="B90" s="1479"/>
      <c r="C90" s="1155" t="s">
        <v>3367</v>
      </c>
      <c r="D90" s="1562">
        <f>F90</f>
        <v>0</v>
      </c>
      <c r="E90" s="1479"/>
      <c r="F90" s="1146">
        <f>IF(F89=0,0, ROUNDDOWN(F88/F89/12,0))</f>
        <v>0</v>
      </c>
      <c r="G90" s="1479"/>
      <c r="H90" s="1479"/>
    </row>
    <row r="91" spans="2:8">
      <c r="B91" s="1479"/>
      <c r="C91" s="1479"/>
      <c r="D91" s="1479"/>
      <c r="E91" s="1479"/>
      <c r="F91" s="1479"/>
      <c r="G91" s="1479"/>
      <c r="H91" s="1479"/>
    </row>
    <row r="92" spans="2:8">
      <c r="B92" s="1479"/>
      <c r="C92" s="1479" t="s">
        <v>4696</v>
      </c>
      <c r="D92" s="1479"/>
      <c r="E92" s="1479"/>
      <c r="F92" s="1479"/>
      <c r="G92" s="1479"/>
      <c r="H92" s="1479"/>
    </row>
    <row r="93" spans="2:8">
      <c r="B93" s="1479"/>
      <c r="C93" s="2306"/>
      <c r="D93" s="2306"/>
      <c r="E93" s="2306"/>
      <c r="F93" s="2306"/>
      <c r="G93" s="2306"/>
      <c r="H93" s="1479"/>
    </row>
    <row r="94" spans="2:8">
      <c r="B94" s="1479"/>
      <c r="C94" s="2306"/>
      <c r="D94" s="2306"/>
      <c r="E94" s="2306"/>
      <c r="F94" s="2306"/>
      <c r="G94" s="2306"/>
      <c r="H94" s="1479"/>
    </row>
    <row r="95" spans="2:8">
      <c r="B95" s="1479"/>
      <c r="C95" s="2306"/>
      <c r="D95" s="2306"/>
      <c r="E95" s="2306"/>
      <c r="F95" s="2306"/>
      <c r="G95" s="2306"/>
      <c r="H95" s="1479"/>
    </row>
    <row r="96" spans="2:8">
      <c r="B96" s="1479"/>
      <c r="C96" s="2306"/>
      <c r="D96" s="2306"/>
      <c r="E96" s="2306"/>
      <c r="F96" s="2306"/>
      <c r="G96" s="2306"/>
      <c r="H96" s="1479"/>
    </row>
    <row r="97" spans="2:8">
      <c r="B97" s="1479"/>
      <c r="C97" s="2306"/>
      <c r="D97" s="2306"/>
      <c r="E97" s="2306"/>
      <c r="F97" s="2306"/>
      <c r="G97" s="2306"/>
      <c r="H97" s="1479"/>
    </row>
    <row r="98" spans="2:8">
      <c r="B98" s="1479"/>
      <c r="C98" s="1479"/>
      <c r="D98" s="1479"/>
      <c r="E98" s="1479"/>
      <c r="F98" s="1479"/>
      <c r="G98" s="1479"/>
      <c r="H98" s="1479"/>
    </row>
    <row r="99" spans="2:8" ht="18.75">
      <c r="B99" s="33" t="s">
        <v>1055</v>
      </c>
      <c r="C99" s="33"/>
      <c r="D99" s="34"/>
      <c r="E99" s="1475"/>
      <c r="F99" s="1558"/>
      <c r="G99" s="1558"/>
      <c r="H99" s="1558"/>
    </row>
    <row r="100" spans="2:8">
      <c r="B100" s="1479"/>
      <c r="C100" s="1109" t="s">
        <v>4117</v>
      </c>
      <c r="D100" s="1479"/>
      <c r="E100" s="1479"/>
      <c r="F100" s="1479"/>
      <c r="G100" s="1479"/>
      <c r="H100" s="1479"/>
    </row>
    <row r="101" spans="2:8">
      <c r="B101" s="1479"/>
      <c r="C101" s="2127"/>
      <c r="D101" s="2127"/>
      <c r="E101" s="2127"/>
      <c r="F101" s="2127"/>
      <c r="G101" s="2127"/>
      <c r="H101" s="1479"/>
    </row>
    <row r="102" spans="2:8">
      <c r="B102" s="1479"/>
      <c r="C102" s="2127"/>
      <c r="D102" s="2127"/>
      <c r="E102" s="2127"/>
      <c r="F102" s="2127"/>
      <c r="G102" s="2127"/>
      <c r="H102" s="1479"/>
    </row>
    <row r="103" spans="2:8">
      <c r="B103" s="1479"/>
      <c r="C103" s="2127"/>
      <c r="D103" s="2127"/>
      <c r="E103" s="2127"/>
      <c r="F103" s="2127"/>
      <c r="G103" s="2127"/>
      <c r="H103" s="1479"/>
    </row>
    <row r="104" spans="2:8">
      <c r="B104" s="1479"/>
      <c r="C104" s="2127"/>
      <c r="D104" s="2127"/>
      <c r="E104" s="2127"/>
      <c r="F104" s="2127"/>
      <c r="G104" s="2127"/>
      <c r="H104" s="1479"/>
    </row>
    <row r="105" spans="2:8">
      <c r="B105" s="1479"/>
      <c r="C105" s="2127"/>
      <c r="D105" s="2127"/>
      <c r="E105" s="2127"/>
      <c r="F105" s="2127"/>
      <c r="G105" s="2127"/>
      <c r="H105" s="1479"/>
    </row>
    <row r="106" spans="2:8">
      <c r="B106" s="1479"/>
      <c r="C106" s="2127"/>
      <c r="D106" s="2127"/>
      <c r="E106" s="2127"/>
      <c r="F106" s="2127"/>
      <c r="G106" s="2127"/>
      <c r="H106" s="1479"/>
    </row>
    <row r="107" spans="2:8">
      <c r="B107" s="1479"/>
      <c r="C107" s="2127"/>
      <c r="D107" s="2127"/>
      <c r="E107" s="2127"/>
      <c r="F107" s="2127"/>
      <c r="G107" s="2127"/>
      <c r="H107" s="1479"/>
    </row>
    <row r="108" spans="2:8">
      <c r="B108" s="1479"/>
      <c r="C108" s="2127"/>
      <c r="D108" s="2127"/>
      <c r="E108" s="2127"/>
      <c r="F108" s="2127"/>
      <c r="G108" s="2127"/>
      <c r="H108" s="1479"/>
    </row>
    <row r="109" spans="2:8">
      <c r="B109" s="1479"/>
      <c r="C109" s="1479"/>
      <c r="D109" s="1479"/>
      <c r="E109" s="1479"/>
      <c r="F109" s="1479"/>
      <c r="G109" s="1479"/>
      <c r="H109" s="1479"/>
    </row>
    <row r="110" spans="2:8">
      <c r="B110" s="35" t="s">
        <v>4697</v>
      </c>
      <c r="C110" s="35"/>
      <c r="D110" s="1520"/>
      <c r="E110" s="1520"/>
      <c r="F110" s="1520"/>
      <c r="G110" s="1520"/>
      <c r="H110" s="1520"/>
    </row>
    <row r="111" spans="2:8" ht="18.75">
      <c r="B111" s="33" t="s">
        <v>3638</v>
      </c>
      <c r="C111" s="33"/>
      <c r="D111" s="1475"/>
      <c r="E111" s="1475"/>
      <c r="F111" s="1558"/>
      <c r="G111" s="1558"/>
      <c r="H111" s="1558"/>
    </row>
    <row r="112" spans="2:8">
      <c r="B112" s="1479"/>
      <c r="C112" s="1109"/>
      <c r="D112" s="1479"/>
      <c r="E112" s="1479"/>
      <c r="F112" s="1479"/>
      <c r="G112" s="1479"/>
      <c r="H112" s="1479"/>
    </row>
    <row r="113" spans="2:8">
      <c r="B113" s="1479"/>
      <c r="C113" s="2294"/>
      <c r="D113" s="2295"/>
      <c r="E113" s="2295"/>
      <c r="F113" s="2295"/>
      <c r="G113" s="2296"/>
      <c r="H113" s="1479"/>
    </row>
    <row r="114" spans="2:8">
      <c r="B114" s="1479"/>
      <c r="C114" s="2297"/>
      <c r="D114" s="2298"/>
      <c r="E114" s="2298"/>
      <c r="F114" s="2298"/>
      <c r="G114" s="2299"/>
      <c r="H114" s="1479"/>
    </row>
    <row r="115" spans="2:8">
      <c r="B115" s="1479"/>
      <c r="C115" s="2297"/>
      <c r="D115" s="2298"/>
      <c r="E115" s="2298"/>
      <c r="F115" s="2298"/>
      <c r="G115" s="2299"/>
      <c r="H115" s="1479"/>
    </row>
    <row r="116" spans="2:8">
      <c r="B116" s="1479"/>
      <c r="C116" s="2300"/>
      <c r="D116" s="2301"/>
      <c r="E116" s="2301"/>
      <c r="F116" s="2301"/>
      <c r="G116" s="2302"/>
      <c r="H116" s="1479"/>
    </row>
    <row r="117" spans="2:8">
      <c r="B117" s="1479"/>
      <c r="C117" s="1479"/>
      <c r="D117" s="1479"/>
      <c r="E117" s="1479"/>
      <c r="F117" s="1479"/>
      <c r="G117" s="1479"/>
      <c r="H117" s="1479"/>
    </row>
  </sheetData>
  <sheetProtection algorithmName="SHA-512" hashValue="lpbm2bPPeifhve4sPAUMNN5zVMjeUwqzbh+aY3elkYr8qBcavvFvqswjPIl6W2pGMK39Tsj8EEa6qzi5KgwUEw==" saltValue="vNVKFW1SsokkuYLINkydCg==" spinCount="100000" sheet="1" objects="1" scenarios="1" selectLockedCells="1"/>
  <mergeCells count="11">
    <mergeCell ref="C7:D7"/>
    <mergeCell ref="C13:D13"/>
    <mergeCell ref="C29:D29"/>
    <mergeCell ref="C37:D37"/>
    <mergeCell ref="C50:D50"/>
    <mergeCell ref="C113:G116"/>
    <mergeCell ref="L24:N24"/>
    <mergeCell ref="L25:R39"/>
    <mergeCell ref="C93:G97"/>
    <mergeCell ref="C60:D60"/>
    <mergeCell ref="C101:G108"/>
  </mergeCells>
  <dataValidations disablePrompts="1" count="1">
    <dataValidation type="custom" allowBlank="1" showInputMessage="1" showErrorMessage="1" sqref="G1:G2" xr:uid="{DC7856BE-DACB-4023-BB0B-BF1AB11B9D3C}">
      <formula1>"&lt;0&gt;0"</formula1>
    </dataValidation>
  </dataValidations>
  <pageMargins left="0.7" right="0.7" top="0.75" bottom="0.75" header="0.3" footer="0.3"/>
  <pageSetup scale="58" fitToHeight="0" orientation="portrait" r:id="rId1"/>
  <headerFooter>
    <oddHeader>&amp;L&amp;G</oddHeader>
    <oddFooter>&amp;CWHEDA MULTIFAMILY APPLICATION&amp;R&amp;P of &amp;N</oddFooter>
  </headerFooter>
  <rowBreaks count="1" manualBreakCount="1">
    <brk id="59" max="7" man="1"/>
  </rowBreaks>
  <colBreaks count="1" manualBreakCount="1">
    <brk id="8" min="3" max="111"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91C7-57C5-4C9C-97DC-FBB8C9FDD40D}">
  <sheetPr codeName="Sheet16">
    <pageSetUpPr fitToPage="1"/>
  </sheetPr>
  <dimension ref="B1:CX454"/>
  <sheetViews>
    <sheetView workbookViewId="0">
      <selection activeCell="E10" sqref="E10"/>
    </sheetView>
  </sheetViews>
  <sheetFormatPr defaultColWidth="9.140625" defaultRowHeight="15"/>
  <cols>
    <col min="1" max="1" width="4.28515625" style="986" customWidth="1"/>
    <col min="2" max="2" width="9.140625" style="991" customWidth="1"/>
    <col min="3" max="3" width="52.5703125" style="988" customWidth="1"/>
    <col min="4" max="6" width="21.140625" style="988" customWidth="1"/>
    <col min="7" max="7" width="20.5703125" style="988" customWidth="1"/>
    <col min="8" max="8" width="21.140625" style="988" hidden="1" customWidth="1"/>
    <col min="9" max="9" width="21.140625" customWidth="1"/>
    <col min="10" max="12" width="21.140625" style="988" customWidth="1"/>
    <col min="13" max="25" width="21.7109375" style="988" customWidth="1"/>
    <col min="26" max="26" width="21.7109375" style="990" customWidth="1"/>
    <col min="27" max="34" width="21.7109375" style="987" customWidth="1"/>
    <col min="35" max="37" width="21.7109375" style="988" customWidth="1"/>
    <col min="38" max="38" width="26.42578125" style="988" customWidth="1"/>
    <col min="39" max="39" width="9.140625" style="986"/>
    <col min="40" max="40" width="9.140625" style="115"/>
    <col min="41" max="41" width="18.140625" style="115" customWidth="1"/>
    <col min="42" max="42" width="12" style="115" customWidth="1"/>
    <col min="43" max="43" width="9.140625" style="115"/>
    <col min="44" max="44" width="12.7109375" style="115" bestFit="1" customWidth="1"/>
    <col min="45" max="45" width="9.140625" style="115"/>
    <col min="46" max="46" width="12.5703125" style="115" bestFit="1" customWidth="1"/>
    <col min="47" max="51" width="9.140625" style="115"/>
    <col min="52" max="52" width="9" style="115" customWidth="1"/>
    <col min="53" max="53" width="22" style="9" customWidth="1"/>
    <col min="54" max="57" width="9.140625" style="9"/>
    <col min="58" max="58" width="11.140625" style="9" bestFit="1" customWidth="1"/>
    <col min="59" max="59" width="9.140625" style="9"/>
    <col min="60" max="61" width="9.28515625" style="9" bestFit="1" customWidth="1"/>
    <col min="62" max="62" width="8.28515625" style="9" customWidth="1"/>
    <col min="63" max="63" width="6.7109375" style="9" customWidth="1"/>
    <col min="64" max="64" width="15.7109375" style="9" bestFit="1" customWidth="1"/>
    <col min="65" max="65" width="15.85546875" style="9" customWidth="1"/>
    <col min="66" max="66" width="9.42578125" style="9" bestFit="1" customWidth="1"/>
    <col min="67" max="67" width="9.5703125" style="9" bestFit="1" customWidth="1"/>
    <col min="68" max="69" width="9.42578125" style="9" bestFit="1" customWidth="1"/>
    <col min="70" max="70" width="14.28515625" style="9" bestFit="1" customWidth="1"/>
    <col min="71" max="71" width="14.42578125" style="9" bestFit="1" customWidth="1"/>
    <col min="72" max="72" width="9.42578125" style="9" bestFit="1" customWidth="1"/>
    <col min="73" max="73" width="9.5703125" style="9" customWidth="1"/>
    <col min="74" max="75" width="9.42578125" style="9" bestFit="1" customWidth="1"/>
    <col min="76" max="76" width="13.28515625" style="9" customWidth="1"/>
    <col min="77" max="77" width="14.5703125" style="9" customWidth="1"/>
    <col min="78" max="78" width="9.140625" style="9"/>
    <col min="79" max="16384" width="9.140625" style="986"/>
  </cols>
  <sheetData>
    <row r="1" spans="2:39" ht="28.5">
      <c r="B1" s="1011" t="str">
        <f>'1. TOC'!B1</f>
        <v>WHEDA 2025 Multifamily Application</v>
      </c>
      <c r="C1" s="994"/>
      <c r="D1" s="9"/>
      <c r="E1" s="1012" t="str">
        <f>'1. TOC'!L1</f>
        <v>v25.1.12</v>
      </c>
      <c r="F1" s="947" t="str">
        <f>HYPERLINK("#Table_of_Contents", Table_of_Contents)</f>
        <v>Table of Contents</v>
      </c>
      <c r="G1" s="994"/>
      <c r="H1" s="994"/>
      <c r="I1" s="1291"/>
      <c r="J1" s="994"/>
      <c r="K1" s="994"/>
      <c r="L1" s="994"/>
      <c r="M1" s="994"/>
      <c r="N1" s="994"/>
      <c r="O1" s="995"/>
      <c r="P1" s="996"/>
      <c r="Q1" s="996"/>
      <c r="R1" s="996"/>
      <c r="S1" s="996"/>
      <c r="T1" s="996"/>
      <c r="U1" s="996"/>
      <c r="V1" s="996"/>
      <c r="W1" s="996"/>
      <c r="X1" s="996"/>
      <c r="Y1" s="996"/>
      <c r="Z1" s="97"/>
      <c r="AA1" s="996"/>
      <c r="AB1" s="996"/>
      <c r="AC1" s="996"/>
      <c r="AD1" s="996"/>
      <c r="AE1" s="996"/>
      <c r="AF1" s="996"/>
      <c r="AG1" s="996"/>
      <c r="AH1" s="996"/>
      <c r="AI1" s="996"/>
      <c r="AJ1" s="996"/>
      <c r="AK1" s="996"/>
      <c r="AL1" s="996"/>
      <c r="AM1" s="9"/>
    </row>
    <row r="2" spans="2:39" ht="18.75">
      <c r="B2" s="811" t="str">
        <f>_xlfn.CONCAT(IF(ISBLANK(WHEDA_Project_Number),"",_xlfn.CONCAT(WHEDA_Project_Number," - ")), Project_Name, IF(ISBLANK(Credit_percentage_applied_for),"",_xlfn.CONCAT(" - ", Credit_percentage_applied_for," HTC")))</f>
        <v/>
      </c>
      <c r="C2" s="997"/>
      <c r="D2" s="994"/>
      <c r="E2" s="994"/>
      <c r="F2" s="994"/>
      <c r="G2" s="994"/>
      <c r="H2" s="994"/>
      <c r="I2" s="1291"/>
      <c r="J2" s="994"/>
      <c r="K2" s="994"/>
      <c r="L2" s="994"/>
      <c r="M2" s="994"/>
      <c r="N2" s="994"/>
      <c r="O2" s="995"/>
      <c r="P2" s="998"/>
      <c r="Q2" s="998"/>
      <c r="R2" s="998"/>
      <c r="S2" s="998"/>
      <c r="T2" s="998"/>
      <c r="U2" s="998"/>
      <c r="V2" s="998"/>
      <c r="W2" s="998"/>
      <c r="X2" s="998"/>
      <c r="Y2" s="998"/>
      <c r="Z2" s="638"/>
      <c r="AA2" s="998"/>
      <c r="AB2" s="998"/>
      <c r="AC2" s="998"/>
      <c r="AD2" s="998"/>
      <c r="AE2" s="998"/>
      <c r="AF2" s="998"/>
      <c r="AG2" s="998"/>
      <c r="AH2" s="998"/>
      <c r="AI2" s="998"/>
      <c r="AJ2" s="998"/>
      <c r="AK2" s="998"/>
      <c r="AL2" s="998"/>
      <c r="AM2" s="998"/>
    </row>
    <row r="3" spans="2:39" ht="15.75">
      <c r="B3" s="1013"/>
      <c r="C3" s="999"/>
      <c r="D3" s="999"/>
      <c r="E3" s="999"/>
      <c r="F3" s="999"/>
      <c r="G3" s="999"/>
      <c r="H3" s="999"/>
      <c r="I3" s="1290"/>
      <c r="J3" s="999"/>
      <c r="K3" s="999"/>
      <c r="L3" s="999"/>
      <c r="M3" s="999"/>
      <c r="N3" s="999"/>
      <c r="O3" s="1000"/>
      <c r="P3" s="996"/>
      <c r="Q3" s="996"/>
      <c r="R3" s="996"/>
      <c r="S3" s="996"/>
      <c r="T3" s="996"/>
      <c r="U3" s="996"/>
      <c r="V3" s="996"/>
      <c r="W3" s="996"/>
      <c r="X3" s="996"/>
      <c r="Y3" s="996"/>
      <c r="Z3" s="97"/>
      <c r="AA3" s="996"/>
      <c r="AB3" s="996"/>
      <c r="AC3" s="996"/>
      <c r="AD3" s="996"/>
      <c r="AE3" s="996"/>
      <c r="AF3" s="996"/>
      <c r="AG3" s="996"/>
      <c r="AH3" s="996"/>
      <c r="AI3" s="996"/>
      <c r="AJ3" s="996"/>
      <c r="AK3" s="996"/>
      <c r="AL3" s="996"/>
      <c r="AM3" s="9"/>
    </row>
    <row r="4" spans="2:39" ht="28.5">
      <c r="B4" s="4" t="s">
        <v>4698</v>
      </c>
      <c r="C4" s="996"/>
      <c r="D4" s="996"/>
      <c r="E4" s="996"/>
      <c r="F4" s="996"/>
      <c r="G4" s="996"/>
      <c r="H4" s="996"/>
      <c r="I4" s="115"/>
      <c r="J4" s="115"/>
      <c r="K4" s="115"/>
      <c r="L4" s="115"/>
      <c r="M4" s="115"/>
      <c r="N4" s="115"/>
      <c r="O4" s="115"/>
      <c r="P4" s="115"/>
      <c r="Q4" s="115"/>
      <c r="R4" s="115"/>
      <c r="S4" s="115"/>
      <c r="T4" s="115"/>
      <c r="U4" s="115"/>
      <c r="V4" s="115"/>
      <c r="W4" s="115"/>
      <c r="X4" s="115"/>
      <c r="Y4" s="115"/>
      <c r="Z4" s="97"/>
      <c r="AA4" s="996"/>
      <c r="AB4" s="996"/>
      <c r="AC4" s="996"/>
      <c r="AD4" s="996"/>
      <c r="AE4" s="996"/>
      <c r="AF4" s="996"/>
      <c r="AG4" s="996"/>
      <c r="AH4" s="996"/>
      <c r="AI4" s="996"/>
      <c r="AJ4" s="996"/>
      <c r="AK4" s="996"/>
      <c r="AL4" s="996"/>
      <c r="AM4" s="9"/>
    </row>
    <row r="5" spans="2:39" ht="18.75">
      <c r="B5" s="1014" t="s">
        <v>4699</v>
      </c>
      <c r="C5" s="996"/>
      <c r="D5" s="996"/>
      <c r="E5" s="996"/>
      <c r="F5" s="996"/>
      <c r="G5" s="996"/>
      <c r="H5" s="996"/>
      <c r="I5" s="9"/>
      <c r="J5" s="115"/>
      <c r="K5" s="115"/>
      <c r="L5" s="115"/>
      <c r="M5" s="115"/>
      <c r="N5" s="115"/>
      <c r="O5" s="115"/>
      <c r="P5" s="115"/>
      <c r="Q5" s="115"/>
      <c r="R5" s="115"/>
      <c r="S5" s="115"/>
      <c r="T5" s="115"/>
      <c r="U5" s="115"/>
      <c r="V5" s="115"/>
      <c r="W5" s="115"/>
      <c r="X5" s="115"/>
      <c r="Y5" s="115"/>
      <c r="Z5" s="97"/>
      <c r="AA5" s="996"/>
      <c r="AB5" s="996"/>
      <c r="AC5" s="996"/>
      <c r="AD5" s="996"/>
      <c r="AE5" s="996"/>
      <c r="AF5" s="996"/>
      <c r="AG5" s="996"/>
      <c r="AH5" s="996"/>
      <c r="AI5" s="996"/>
      <c r="AJ5" s="996"/>
      <c r="AK5" s="996"/>
      <c r="AL5" s="996"/>
      <c r="AM5" s="9"/>
    </row>
    <row r="6" spans="2:39">
      <c r="B6" s="1126"/>
      <c r="C6" s="1156" t="s">
        <v>4700</v>
      </c>
      <c r="D6" s="1157"/>
      <c r="E6" s="1157"/>
      <c r="F6" s="1157"/>
      <c r="G6" s="1167"/>
      <c r="H6" s="1167"/>
      <c r="I6" s="115"/>
      <c r="J6" s="115"/>
      <c r="K6" s="115"/>
      <c r="L6" s="115"/>
      <c r="M6" s="115"/>
      <c r="N6" s="115"/>
      <c r="O6" s="115"/>
      <c r="P6" s="115"/>
      <c r="Q6" s="115"/>
      <c r="R6" s="115"/>
      <c r="S6" s="115"/>
      <c r="T6" s="115"/>
      <c r="U6" s="115"/>
      <c r="V6" s="115"/>
      <c r="W6" s="115"/>
      <c r="X6" s="115"/>
      <c r="Y6" s="115"/>
      <c r="Z6" s="97"/>
      <c r="AA6" s="996"/>
      <c r="AB6" s="996"/>
      <c r="AC6" s="996"/>
      <c r="AD6" s="996"/>
      <c r="AE6" s="996"/>
      <c r="AF6" s="996"/>
      <c r="AG6" s="996"/>
      <c r="AH6" s="996"/>
      <c r="AI6" s="996"/>
      <c r="AJ6" s="996"/>
      <c r="AK6" s="996"/>
      <c r="AL6" s="996"/>
      <c r="AM6" s="9"/>
    </row>
    <row r="7" spans="2:39">
      <c r="B7" s="1126"/>
      <c r="C7" s="1305" t="s">
        <v>4701</v>
      </c>
      <c r="D7" s="1157"/>
      <c r="E7" s="1157"/>
      <c r="F7" s="1157"/>
      <c r="G7" s="1167"/>
      <c r="H7" s="1167"/>
      <c r="I7" s="115"/>
      <c r="J7" s="115"/>
      <c r="K7" s="115"/>
      <c r="L7" s="115"/>
      <c r="M7" s="115"/>
      <c r="N7" s="115"/>
      <c r="O7" s="115"/>
      <c r="P7" s="115"/>
      <c r="Q7" s="115"/>
      <c r="R7" s="115"/>
      <c r="S7" s="115"/>
      <c r="T7" s="115"/>
      <c r="U7" s="115"/>
      <c r="V7" s="115"/>
      <c r="W7" s="115"/>
      <c r="X7" s="115"/>
      <c r="Y7" s="115"/>
      <c r="Z7" s="97"/>
      <c r="AA7" s="996"/>
      <c r="AB7" s="996"/>
      <c r="AC7" s="996"/>
      <c r="AD7" s="996"/>
      <c r="AE7" s="996"/>
      <c r="AF7" s="996"/>
      <c r="AG7" s="996"/>
      <c r="AH7" s="996"/>
      <c r="AI7" s="996"/>
      <c r="AJ7" s="996"/>
      <c r="AK7" s="996"/>
      <c r="AL7" s="996"/>
      <c r="AM7" s="9"/>
    </row>
    <row r="8" spans="2:39">
      <c r="B8" s="1126"/>
      <c r="C8" s="1479" t="s">
        <v>4702</v>
      </c>
      <c r="D8" s="1157"/>
      <c r="E8" s="1157"/>
      <c r="F8" s="1157"/>
      <c r="G8" s="1167"/>
      <c r="H8" s="1167"/>
      <c r="I8" s="115"/>
      <c r="J8" s="115"/>
      <c r="K8" s="115"/>
      <c r="L8" s="115"/>
      <c r="M8" s="115"/>
      <c r="N8" s="115"/>
      <c r="O8" s="115"/>
      <c r="P8" s="115"/>
      <c r="Q8" s="115"/>
      <c r="R8" s="115"/>
      <c r="S8" s="115"/>
      <c r="T8" s="115"/>
      <c r="U8" s="115"/>
      <c r="V8" s="115"/>
      <c r="W8" s="115"/>
      <c r="X8" s="115"/>
      <c r="Y8" s="115"/>
      <c r="Z8" s="97"/>
      <c r="AA8" s="996"/>
      <c r="AB8" s="996"/>
      <c r="AC8" s="996"/>
      <c r="AD8" s="996"/>
      <c r="AE8" s="996"/>
      <c r="AF8" s="996"/>
      <c r="AG8" s="996"/>
      <c r="AH8" s="996"/>
      <c r="AI8" s="996"/>
      <c r="AJ8" s="996"/>
      <c r="AK8" s="996"/>
      <c r="AL8" s="996"/>
      <c r="AM8" s="9"/>
    </row>
    <row r="9" spans="2:39">
      <c r="B9" s="1126"/>
      <c r="C9" s="1015" t="s">
        <v>4703</v>
      </c>
      <c r="D9" s="1016" t="s">
        <v>2866</v>
      </c>
      <c r="E9" s="1017" t="s">
        <v>4704</v>
      </c>
      <c r="F9" s="1017" t="s">
        <v>4705</v>
      </c>
      <c r="G9" s="1167"/>
      <c r="H9" s="1167"/>
      <c r="I9" s="9" t="s">
        <v>4706</v>
      </c>
      <c r="J9" s="115"/>
      <c r="K9" s="115"/>
      <c r="L9" s="115"/>
      <c r="M9" s="115"/>
      <c r="N9" s="115"/>
      <c r="O9" s="115"/>
      <c r="P9" s="115"/>
      <c r="Q9" s="115"/>
      <c r="R9" s="115"/>
      <c r="S9" s="115"/>
      <c r="T9" s="115"/>
      <c r="U9" s="115"/>
      <c r="V9" s="115"/>
      <c r="W9" s="115"/>
      <c r="X9" s="115"/>
      <c r="Y9" s="115"/>
      <c r="Z9" s="97"/>
      <c r="AA9" s="996"/>
      <c r="AB9" s="996"/>
      <c r="AC9" s="996"/>
      <c r="AD9" s="996"/>
      <c r="AE9" s="996"/>
      <c r="AF9" s="996"/>
      <c r="AG9" s="996"/>
      <c r="AH9" s="996"/>
      <c r="AI9" s="996"/>
      <c r="AJ9" s="996"/>
      <c r="AK9" s="996"/>
      <c r="AL9" s="996"/>
      <c r="AM9" s="9"/>
    </row>
    <row r="10" spans="2:39" ht="30">
      <c r="B10" s="1126"/>
      <c r="C10" s="1158" t="s">
        <v>4707</v>
      </c>
      <c r="D10" s="1334">
        <f>I10</f>
        <v>0</v>
      </c>
      <c r="E10" s="1001">
        <v>7.0000000000000007E-2</v>
      </c>
      <c r="F10" s="1002">
        <v>0.02</v>
      </c>
      <c r="G10" s="1167"/>
      <c r="H10" s="1167"/>
      <c r="I10" s="9">
        <f>'11. Unit Mix'!H130</f>
        <v>0</v>
      </c>
      <c r="J10" s="115"/>
      <c r="K10" s="115"/>
      <c r="L10" s="115"/>
      <c r="M10" s="115"/>
      <c r="N10" s="1287"/>
      <c r="O10" s="115"/>
      <c r="P10" s="115"/>
      <c r="Q10" s="115"/>
      <c r="R10" s="115"/>
      <c r="S10" s="115"/>
      <c r="T10" s="115"/>
      <c r="U10" s="115"/>
      <c r="V10" s="115"/>
      <c r="W10" s="115"/>
      <c r="X10" s="115"/>
      <c r="Y10" s="115"/>
      <c r="Z10" s="97"/>
      <c r="AA10" s="996"/>
      <c r="AB10" s="996"/>
      <c r="AC10" s="996"/>
      <c r="AD10" s="996"/>
      <c r="AE10" s="996"/>
      <c r="AF10" s="996"/>
      <c r="AG10" s="996"/>
      <c r="AH10" s="996"/>
      <c r="AI10" s="996"/>
      <c r="AJ10" s="996"/>
      <c r="AK10" s="996"/>
      <c r="AL10" s="996"/>
      <c r="AM10" s="9"/>
    </row>
    <row r="11" spans="2:39">
      <c r="B11" s="1126"/>
      <c r="C11" s="1159" t="s">
        <v>4708</v>
      </c>
      <c r="D11" s="1335">
        <v>0</v>
      </c>
      <c r="E11" s="1001">
        <v>0.2</v>
      </c>
      <c r="F11" s="1002">
        <v>0.02</v>
      </c>
      <c r="G11" s="1167"/>
      <c r="H11" s="1167"/>
      <c r="I11" s="9"/>
      <c r="J11" s="115"/>
      <c r="K11" s="115"/>
      <c r="L11" s="115"/>
      <c r="M11" s="115"/>
      <c r="N11" s="1287"/>
      <c r="O11" s="115"/>
      <c r="P11" s="115"/>
      <c r="Q11" s="115"/>
      <c r="R11" s="115"/>
      <c r="S11" s="115"/>
      <c r="T11" s="115"/>
      <c r="U11" s="115"/>
      <c r="V11" s="115"/>
      <c r="W11" s="115"/>
      <c r="X11" s="115"/>
      <c r="Y11" s="115"/>
      <c r="Z11" s="97"/>
      <c r="AA11" s="996"/>
      <c r="AB11" s="996"/>
      <c r="AC11" s="996"/>
      <c r="AD11" s="996"/>
      <c r="AE11" s="996"/>
      <c r="AF11" s="996"/>
      <c r="AG11" s="996"/>
      <c r="AH11" s="996"/>
      <c r="AI11" s="996"/>
      <c r="AJ11" s="996"/>
      <c r="AK11" s="996"/>
      <c r="AL11" s="996"/>
      <c r="AM11" s="9"/>
    </row>
    <row r="12" spans="2:39">
      <c r="B12" s="1126"/>
      <c r="C12" s="1159" t="s">
        <v>4709</v>
      </c>
      <c r="D12" s="1335"/>
      <c r="E12" s="1001"/>
      <c r="F12" s="1002"/>
      <c r="G12" s="1167"/>
      <c r="H12" s="1167"/>
      <c r="I12" s="9"/>
      <c r="J12" s="115"/>
      <c r="K12" s="115"/>
      <c r="L12" s="115"/>
      <c r="M12" s="115"/>
      <c r="N12" s="1287"/>
      <c r="O12" s="115"/>
      <c r="P12" s="115"/>
      <c r="Q12" s="115"/>
      <c r="R12" s="115"/>
      <c r="S12" s="115"/>
      <c r="T12" s="115"/>
      <c r="U12" s="115"/>
      <c r="V12" s="115"/>
      <c r="W12" s="115"/>
      <c r="X12" s="115"/>
      <c r="Y12" s="115"/>
      <c r="Z12" s="97"/>
      <c r="AA12" s="996"/>
      <c r="AB12" s="996"/>
      <c r="AC12" s="996"/>
      <c r="AD12" s="996"/>
      <c r="AE12" s="996"/>
      <c r="AF12" s="996"/>
      <c r="AG12" s="996"/>
      <c r="AH12" s="996"/>
      <c r="AI12" s="996"/>
      <c r="AJ12" s="996"/>
      <c r="AK12" s="996"/>
      <c r="AL12" s="996"/>
      <c r="AM12" s="9"/>
    </row>
    <row r="13" spans="2:39">
      <c r="B13" s="1126"/>
      <c r="C13" s="1159" t="s">
        <v>4710</v>
      </c>
      <c r="D13" s="1335"/>
      <c r="E13" s="1001">
        <v>7.0000000000000007E-2</v>
      </c>
      <c r="F13" s="1002">
        <v>0.02</v>
      </c>
      <c r="G13" s="1167"/>
      <c r="H13" s="1167"/>
      <c r="I13" s="1018">
        <f>SUM(D11:D17)</f>
        <v>0</v>
      </c>
      <c r="J13" s="115"/>
      <c r="K13" s="115"/>
      <c r="L13" s="115"/>
      <c r="M13" s="115"/>
      <c r="N13" s="1287"/>
      <c r="O13" s="115"/>
      <c r="P13" s="115"/>
      <c r="Q13" s="115"/>
      <c r="R13" s="115"/>
      <c r="S13" s="115"/>
      <c r="T13" s="115"/>
      <c r="U13" s="115"/>
      <c r="V13" s="115"/>
      <c r="W13" s="115"/>
      <c r="X13" s="115"/>
      <c r="Y13" s="115"/>
      <c r="Z13" s="97"/>
      <c r="AA13" s="996"/>
      <c r="AB13" s="996"/>
      <c r="AC13" s="996"/>
      <c r="AD13" s="996"/>
      <c r="AE13" s="996"/>
      <c r="AF13" s="996"/>
      <c r="AG13" s="996"/>
      <c r="AH13" s="996"/>
      <c r="AI13" s="996"/>
      <c r="AJ13" s="996"/>
      <c r="AK13" s="996"/>
      <c r="AL13" s="996"/>
      <c r="AM13" s="9"/>
    </row>
    <row r="14" spans="2:39">
      <c r="B14" s="1126"/>
      <c r="C14" s="1159" t="s">
        <v>4711</v>
      </c>
      <c r="D14" s="1335"/>
      <c r="E14" s="1001">
        <v>7.0000000000000007E-2</v>
      </c>
      <c r="F14" s="1002">
        <v>0.02</v>
      </c>
      <c r="G14" s="1167"/>
      <c r="H14" s="1167"/>
      <c r="I14" s="9"/>
      <c r="J14" s="115"/>
      <c r="K14" s="115"/>
      <c r="L14" s="115"/>
      <c r="M14" s="115"/>
      <c r="N14" s="1287"/>
      <c r="O14" s="115"/>
      <c r="P14" s="115"/>
      <c r="Q14" s="115"/>
      <c r="R14" s="115"/>
      <c r="S14" s="115"/>
      <c r="T14" s="115"/>
      <c r="U14" s="115"/>
      <c r="V14" s="115"/>
      <c r="W14" s="115"/>
      <c r="X14" s="115"/>
      <c r="Y14" s="115"/>
      <c r="Z14" s="97"/>
      <c r="AA14" s="996"/>
      <c r="AB14" s="996"/>
      <c r="AC14" s="996"/>
      <c r="AD14" s="996"/>
      <c r="AE14" s="996"/>
      <c r="AF14" s="996"/>
      <c r="AG14" s="996"/>
      <c r="AH14" s="996"/>
      <c r="AI14" s="996"/>
      <c r="AJ14" s="996"/>
      <c r="AK14" s="996"/>
      <c r="AL14" s="996"/>
      <c r="AM14" s="9"/>
    </row>
    <row r="15" spans="2:39" hidden="1">
      <c r="B15" s="1126"/>
      <c r="C15" s="1159" t="s">
        <v>4712</v>
      </c>
      <c r="D15" s="1335"/>
      <c r="E15" s="1001">
        <v>7.0000000000000007E-2</v>
      </c>
      <c r="F15" s="1002">
        <v>0.02</v>
      </c>
      <c r="G15" s="1126" t="s">
        <v>4713</v>
      </c>
      <c r="H15" s="1167"/>
      <c r="I15" s="9"/>
      <c r="J15" s="115"/>
      <c r="K15" s="115"/>
      <c r="L15" s="115"/>
      <c r="M15" s="115"/>
      <c r="N15" s="1287"/>
      <c r="O15" s="115"/>
      <c r="P15" s="115"/>
      <c r="Q15" s="115"/>
      <c r="R15" s="115"/>
      <c r="S15" s="115"/>
      <c r="T15" s="115"/>
      <c r="U15" s="115"/>
      <c r="V15" s="115"/>
      <c r="W15" s="115"/>
      <c r="X15" s="115"/>
      <c r="Y15" s="115"/>
      <c r="Z15" s="97"/>
      <c r="AA15" s="996"/>
      <c r="AB15" s="996"/>
      <c r="AC15" s="996"/>
      <c r="AD15" s="996"/>
      <c r="AE15" s="996"/>
      <c r="AF15" s="996"/>
      <c r="AG15" s="996"/>
      <c r="AH15" s="996"/>
      <c r="AI15" s="996"/>
      <c r="AJ15" s="996"/>
      <c r="AK15" s="996"/>
      <c r="AL15" s="996"/>
      <c r="AM15" s="9"/>
    </row>
    <row r="16" spans="2:39" ht="16.5" hidden="1" customHeight="1">
      <c r="B16" s="1126"/>
      <c r="C16" s="1159" t="s">
        <v>4714</v>
      </c>
      <c r="D16" s="1336">
        <v>0</v>
      </c>
      <c r="E16" s="1003"/>
      <c r="F16" s="1004">
        <v>0.02</v>
      </c>
      <c r="G16" s="1168"/>
      <c r="H16" s="1167"/>
      <c r="I16" s="9"/>
      <c r="J16" s="115"/>
      <c r="K16" s="115"/>
      <c r="L16" s="115"/>
      <c r="M16" s="115"/>
      <c r="N16" s="1287"/>
      <c r="O16" s="115"/>
      <c r="P16" s="115"/>
      <c r="Q16" s="115"/>
      <c r="R16" s="115"/>
      <c r="S16" s="115"/>
      <c r="T16" s="115"/>
      <c r="U16" s="115"/>
      <c r="V16" s="115"/>
      <c r="W16" s="115"/>
      <c r="X16" s="115"/>
      <c r="Y16" s="115"/>
      <c r="Z16" s="97"/>
      <c r="AA16" s="996"/>
      <c r="AB16" s="996"/>
      <c r="AC16" s="996"/>
      <c r="AD16" s="996"/>
      <c r="AE16" s="996"/>
      <c r="AF16" s="996"/>
      <c r="AG16" s="996"/>
      <c r="AH16" s="996"/>
      <c r="AI16" s="996"/>
      <c r="AJ16" s="996"/>
      <c r="AK16" s="996"/>
      <c r="AL16" s="996"/>
      <c r="AM16" s="9"/>
    </row>
    <row r="17" spans="2:38">
      <c r="B17" s="1126"/>
      <c r="C17" s="1159" t="s">
        <v>4715</v>
      </c>
      <c r="D17" s="1335"/>
      <c r="E17" s="1001">
        <v>7.0000000000000007E-2</v>
      </c>
      <c r="F17" s="1002">
        <v>0.02</v>
      </c>
      <c r="G17" s="1167"/>
      <c r="H17" s="1167"/>
      <c r="I17" s="9"/>
      <c r="J17" s="115"/>
      <c r="K17" s="115"/>
      <c r="L17" s="115"/>
      <c r="M17" s="115"/>
      <c r="N17" s="1287"/>
      <c r="O17" s="115"/>
      <c r="P17" s="115"/>
      <c r="Q17" s="115"/>
      <c r="R17" s="115"/>
      <c r="S17" s="115"/>
      <c r="T17" s="115"/>
      <c r="U17" s="115"/>
      <c r="V17" s="115"/>
      <c r="W17" s="115"/>
      <c r="X17" s="115"/>
      <c r="Y17" s="115"/>
      <c r="Z17" s="97"/>
      <c r="AA17" s="996"/>
      <c r="AB17" s="996"/>
      <c r="AC17" s="996"/>
      <c r="AD17" s="996"/>
      <c r="AE17" s="996"/>
      <c r="AF17" s="996"/>
      <c r="AG17" s="996"/>
      <c r="AH17" s="996"/>
      <c r="AI17" s="996"/>
      <c r="AJ17" s="996"/>
      <c r="AK17" s="996"/>
      <c r="AL17" s="996"/>
    </row>
    <row r="18" spans="2:38">
      <c r="B18" s="1126"/>
      <c r="C18" s="1159" t="s">
        <v>4716</v>
      </c>
      <c r="D18" s="1337">
        <f>IF(D12="Yes",SUM(D10:D17),(SUM(D10:D17)-D11))</f>
        <v>0</v>
      </c>
      <c r="E18" s="1159"/>
      <c r="F18" s="1159"/>
      <c r="G18" s="1167"/>
      <c r="H18" s="1167"/>
      <c r="I18" s="1018">
        <f>SUM(D10:D17)</f>
        <v>0</v>
      </c>
      <c r="J18" s="115"/>
      <c r="K18" s="115"/>
      <c r="L18" s="115"/>
      <c r="M18" s="115"/>
      <c r="N18" s="1287"/>
      <c r="O18" s="115"/>
      <c r="P18" s="115"/>
      <c r="Q18" s="115"/>
      <c r="R18" s="115"/>
      <c r="S18" s="115"/>
      <c r="T18" s="115"/>
      <c r="U18" s="115"/>
      <c r="V18" s="115"/>
      <c r="W18" s="115"/>
      <c r="X18" s="115"/>
      <c r="Y18" s="115"/>
      <c r="Z18" s="97"/>
      <c r="AA18" s="996"/>
      <c r="AB18" s="996"/>
      <c r="AC18" s="996"/>
      <c r="AD18" s="996"/>
      <c r="AE18" s="996"/>
      <c r="AF18" s="996"/>
      <c r="AG18" s="996"/>
      <c r="AH18" s="996"/>
      <c r="AI18" s="996"/>
      <c r="AJ18" s="996"/>
      <c r="AK18" s="996"/>
      <c r="AL18" s="996"/>
    </row>
    <row r="19" spans="2:38">
      <c r="B19" s="1126"/>
      <c r="C19" s="1159" t="s">
        <v>4717</v>
      </c>
      <c r="D19" s="1337">
        <f t="shared" ref="D19:D27" si="0">I19</f>
        <v>0</v>
      </c>
      <c r="E19" s="1159"/>
      <c r="F19" s="1159"/>
      <c r="G19" s="1167"/>
      <c r="H19" s="1167"/>
      <c r="I19" s="1018">
        <f>-D10*E10</f>
        <v>0</v>
      </c>
      <c r="J19" s="115"/>
      <c r="K19" s="115"/>
      <c r="L19" s="115"/>
      <c r="M19" s="115"/>
      <c r="N19" s="1287"/>
      <c r="O19" s="115"/>
      <c r="P19" s="115"/>
      <c r="Q19" s="115"/>
      <c r="R19" s="115"/>
      <c r="S19" s="115"/>
      <c r="T19" s="115"/>
      <c r="U19" s="115"/>
      <c r="V19" s="115"/>
      <c r="W19" s="115"/>
      <c r="X19" s="115"/>
      <c r="Y19" s="115"/>
      <c r="Z19" s="97"/>
      <c r="AA19" s="996"/>
      <c r="AB19" s="996"/>
      <c r="AC19" s="996"/>
      <c r="AD19" s="996"/>
      <c r="AE19" s="996"/>
      <c r="AF19" s="996"/>
      <c r="AG19" s="996"/>
      <c r="AH19" s="996"/>
      <c r="AI19" s="996"/>
      <c r="AJ19" s="996"/>
      <c r="AK19" s="996"/>
      <c r="AL19" s="996"/>
    </row>
    <row r="20" spans="2:38">
      <c r="B20" s="1126"/>
      <c r="C20" s="1159" t="s">
        <v>4718</v>
      </c>
      <c r="D20" s="1337">
        <f t="shared" si="0"/>
        <v>0</v>
      </c>
      <c r="E20" s="1159"/>
      <c r="F20" s="1159"/>
      <c r="G20" s="1167"/>
      <c r="H20" s="1167"/>
      <c r="I20" s="1018">
        <f>-D11*E11</f>
        <v>0</v>
      </c>
      <c r="J20" s="115"/>
      <c r="K20" s="115"/>
      <c r="L20" s="115"/>
      <c r="M20" s="115"/>
      <c r="N20" s="1287"/>
      <c r="O20" s="115"/>
      <c r="P20" s="115"/>
      <c r="Q20" s="115"/>
      <c r="R20" s="115"/>
      <c r="S20" s="115"/>
      <c r="T20" s="115"/>
      <c r="U20" s="115"/>
      <c r="V20" s="115"/>
      <c r="W20" s="115"/>
      <c r="X20" s="115"/>
      <c r="Y20" s="115"/>
      <c r="Z20" s="97"/>
      <c r="AA20" s="996"/>
      <c r="AB20" s="996"/>
      <c r="AC20" s="996"/>
      <c r="AD20" s="996"/>
      <c r="AE20" s="996"/>
      <c r="AF20" s="996"/>
      <c r="AG20" s="996"/>
      <c r="AH20" s="996"/>
      <c r="AI20" s="996"/>
      <c r="AJ20" s="996"/>
      <c r="AK20" s="996"/>
      <c r="AL20" s="996"/>
    </row>
    <row r="21" spans="2:38">
      <c r="B21" s="1126"/>
      <c r="C21" s="1159" t="s">
        <v>4719</v>
      </c>
      <c r="D21" s="1337">
        <f t="shared" si="0"/>
        <v>0</v>
      </c>
      <c r="E21" s="1159"/>
      <c r="F21" s="1159"/>
      <c r="G21" s="1167"/>
      <c r="H21" s="1167"/>
      <c r="I21" s="1018">
        <f>-1*(D13*E13 + D14*E14+D15*E15+D17*E17)</f>
        <v>0</v>
      </c>
      <c r="J21" s="115"/>
      <c r="K21" s="115"/>
      <c r="L21" s="115"/>
      <c r="M21" s="115"/>
      <c r="N21" s="1287"/>
      <c r="O21" s="115"/>
      <c r="P21" s="115"/>
      <c r="Q21" s="115"/>
      <c r="R21" s="115"/>
      <c r="S21" s="115"/>
      <c r="T21" s="115"/>
      <c r="U21" s="115"/>
      <c r="V21" s="115"/>
      <c r="W21" s="115"/>
      <c r="X21" s="115"/>
      <c r="Y21" s="115"/>
      <c r="Z21" s="97"/>
      <c r="AA21" s="996"/>
      <c r="AB21" s="996"/>
      <c r="AC21" s="996"/>
      <c r="AD21" s="996"/>
      <c r="AE21" s="996"/>
      <c r="AF21" s="996"/>
      <c r="AG21" s="996"/>
      <c r="AH21" s="996"/>
      <c r="AI21" s="996"/>
      <c r="AJ21" s="996"/>
      <c r="AK21" s="996"/>
      <c r="AL21" s="996"/>
    </row>
    <row r="22" spans="2:38">
      <c r="B22" s="1126"/>
      <c r="C22" s="1160" t="s">
        <v>4720</v>
      </c>
      <c r="D22" s="1337">
        <f>I22</f>
        <v>0</v>
      </c>
      <c r="E22" s="1159"/>
      <c r="F22" s="1159"/>
      <c r="G22" s="1167"/>
      <c r="H22" s="1167"/>
      <c r="I22" s="1018">
        <f>D18+SUM(D19:D21)</f>
        <v>0</v>
      </c>
      <c r="J22" s="115"/>
      <c r="K22" s="115"/>
      <c r="L22" s="115"/>
      <c r="M22" s="115"/>
      <c r="N22" s="1287"/>
      <c r="O22" s="115"/>
      <c r="P22" s="115"/>
      <c r="Q22" s="115"/>
      <c r="R22" s="115"/>
      <c r="S22" s="115"/>
      <c r="T22" s="115"/>
      <c r="U22" s="115"/>
      <c r="V22" s="115"/>
      <c r="W22" s="115"/>
      <c r="X22" s="115"/>
      <c r="Y22" s="115"/>
      <c r="Z22" s="97"/>
      <c r="AA22" s="996"/>
      <c r="AB22" s="996"/>
      <c r="AC22" s="996"/>
      <c r="AD22" s="996"/>
      <c r="AE22" s="996"/>
      <c r="AF22" s="996"/>
      <c r="AG22" s="996"/>
      <c r="AH22" s="996"/>
      <c r="AI22" s="996"/>
      <c r="AJ22" s="996"/>
      <c r="AK22" s="996"/>
      <c r="AL22" s="996"/>
    </row>
    <row r="23" spans="2:38">
      <c r="B23" s="1126"/>
      <c r="C23" s="1161" t="s">
        <v>4721</v>
      </c>
      <c r="D23" s="1337">
        <f t="shared" si="0"/>
        <v>0</v>
      </c>
      <c r="E23" s="1159"/>
      <c r="F23" s="1002">
        <v>0.03</v>
      </c>
      <c r="G23" s="1167"/>
      <c r="H23" s="1167"/>
      <c r="I23" s="9">
        <f>Total_Operating_Expenses</f>
        <v>0</v>
      </c>
      <c r="J23" s="115"/>
      <c r="K23" s="115"/>
      <c r="L23" s="115"/>
      <c r="M23" s="115"/>
      <c r="N23" s="1287"/>
      <c r="O23" s="115"/>
      <c r="P23" s="115"/>
      <c r="Q23" s="115"/>
      <c r="R23" s="115"/>
      <c r="S23" s="115"/>
      <c r="T23" s="115"/>
      <c r="U23" s="115"/>
      <c r="V23" s="115"/>
      <c r="W23" s="115"/>
      <c r="X23" s="115"/>
      <c r="Y23" s="115"/>
      <c r="Z23" s="97"/>
      <c r="AA23" s="996"/>
      <c r="AB23" s="996"/>
      <c r="AC23" s="996"/>
      <c r="AD23" s="996"/>
      <c r="AE23" s="996"/>
      <c r="AF23" s="996"/>
      <c r="AG23" s="996"/>
      <c r="AH23" s="996"/>
      <c r="AI23" s="996"/>
      <c r="AJ23" s="996"/>
      <c r="AK23" s="996"/>
      <c r="AL23" s="996"/>
    </row>
    <row r="24" spans="2:38" ht="15" customHeight="1">
      <c r="B24" s="1126"/>
      <c r="C24" s="1160" t="s">
        <v>4722</v>
      </c>
      <c r="D24" s="1337">
        <f t="shared" si="0"/>
        <v>0</v>
      </c>
      <c r="E24" s="1159"/>
      <c r="F24" s="1159"/>
      <c r="G24" s="1167"/>
      <c r="H24" s="1167"/>
      <c r="I24" s="1018">
        <f>D22-D23</f>
        <v>0</v>
      </c>
      <c r="J24" s="115"/>
      <c r="K24" s="115"/>
      <c r="L24" s="115"/>
      <c r="M24" s="115"/>
      <c r="N24" s="1287"/>
      <c r="O24" s="115"/>
      <c r="P24" s="115"/>
      <c r="Q24" s="115"/>
      <c r="R24" s="115"/>
      <c r="S24" s="115"/>
      <c r="T24" s="115"/>
      <c r="U24" s="115"/>
      <c r="V24" s="115"/>
      <c r="W24" s="115"/>
      <c r="X24" s="115"/>
      <c r="Y24" s="115"/>
      <c r="Z24" s="97"/>
      <c r="AA24" s="996"/>
      <c r="AB24" s="996"/>
      <c r="AC24" s="996"/>
      <c r="AD24" s="996"/>
      <c r="AE24" s="996"/>
      <c r="AF24" s="996"/>
      <c r="AG24" s="996"/>
      <c r="AH24" s="996"/>
      <c r="AI24" s="996"/>
      <c r="AJ24" s="996"/>
      <c r="AK24" s="996"/>
      <c r="AL24" s="996"/>
    </row>
    <row r="25" spans="2:38">
      <c r="B25" s="1126"/>
      <c r="C25" s="1162" t="s">
        <v>4723</v>
      </c>
      <c r="D25" s="1337">
        <f>I25</f>
        <v>0</v>
      </c>
      <c r="E25" s="1159"/>
      <c r="F25" s="1159"/>
      <c r="G25" s="1167"/>
      <c r="H25" s="1167"/>
      <c r="I25" s="1019">
        <f>SUM('12. Funding Sources'!N11:N14,'12. Funding Sources'!N16:N20)</f>
        <v>0</v>
      </c>
      <c r="J25" s="115"/>
      <c r="K25" s="115"/>
      <c r="L25" s="115"/>
      <c r="M25" s="115"/>
      <c r="N25" s="1287"/>
      <c r="O25" s="115"/>
      <c r="P25" s="115"/>
      <c r="Q25" s="115"/>
      <c r="R25" s="115"/>
      <c r="S25" s="115"/>
      <c r="T25" s="115"/>
      <c r="U25" s="115"/>
      <c r="V25" s="115"/>
      <c r="W25" s="115"/>
      <c r="X25" s="115"/>
      <c r="Y25" s="115"/>
      <c r="Z25" s="97"/>
      <c r="AA25" s="996"/>
      <c r="AB25" s="996"/>
      <c r="AC25" s="996"/>
      <c r="AD25" s="996"/>
      <c r="AE25" s="996"/>
      <c r="AF25" s="996"/>
      <c r="AG25" s="996"/>
      <c r="AH25" s="996"/>
      <c r="AI25" s="996"/>
      <c r="AJ25" s="996"/>
      <c r="AK25" s="996"/>
      <c r="AL25" s="996"/>
    </row>
    <row r="26" spans="2:38" ht="15" customHeight="1">
      <c r="B26" s="1126"/>
      <c r="C26" s="1160" t="s">
        <v>4724</v>
      </c>
      <c r="D26" s="1337">
        <f t="shared" si="0"/>
        <v>0</v>
      </c>
      <c r="E26" s="1159"/>
      <c r="F26" s="1159"/>
      <c r="G26" s="1167"/>
      <c r="H26" s="1167"/>
      <c r="I26" s="1018">
        <f>I24-I25</f>
        <v>0</v>
      </c>
      <c r="J26" s="115"/>
      <c r="K26" s="115"/>
      <c r="L26" s="115"/>
      <c r="M26" s="115"/>
      <c r="N26" s="1287"/>
      <c r="O26" s="115"/>
      <c r="P26" s="115"/>
      <c r="Q26" s="115"/>
      <c r="R26" s="115"/>
      <c r="S26" s="115"/>
      <c r="T26" s="115"/>
      <c r="U26" s="115"/>
      <c r="V26" s="115"/>
      <c r="W26" s="115"/>
      <c r="X26" s="115"/>
      <c r="Y26" s="115"/>
      <c r="Z26" s="97"/>
      <c r="AA26" s="996"/>
      <c r="AB26" s="996"/>
      <c r="AC26" s="996"/>
      <c r="AD26" s="996"/>
      <c r="AE26" s="996"/>
      <c r="AF26" s="996"/>
      <c r="AG26" s="996"/>
      <c r="AH26" s="996"/>
      <c r="AI26" s="996"/>
      <c r="AJ26" s="996"/>
      <c r="AK26" s="996"/>
      <c r="AL26" s="996"/>
    </row>
    <row r="27" spans="2:38" ht="15" customHeight="1">
      <c r="B27" s="1126"/>
      <c r="C27" s="1163" t="s">
        <v>4725</v>
      </c>
      <c r="D27" s="1005">
        <f t="shared" si="0"/>
        <v>0</v>
      </c>
      <c r="E27" s="1164"/>
      <c r="F27" s="1159"/>
      <c r="G27" s="1167"/>
      <c r="H27" s="1167"/>
      <c r="I27" s="9">
        <f>IF(I25=0, 0, ROUND(I24/I25, 3))</f>
        <v>0</v>
      </c>
      <c r="J27" s="115"/>
      <c r="K27" s="115"/>
      <c r="L27" s="115"/>
      <c r="M27" s="115"/>
      <c r="N27" s="1287"/>
      <c r="O27" s="115"/>
      <c r="P27" s="115"/>
      <c r="Q27" s="115"/>
      <c r="R27" s="115"/>
      <c r="S27" s="115"/>
      <c r="T27" s="115"/>
      <c r="U27" s="115"/>
      <c r="V27" s="115"/>
      <c r="W27" s="115"/>
      <c r="X27" s="115"/>
      <c r="Y27" s="115"/>
      <c r="Z27" s="97"/>
      <c r="AA27" s="996"/>
      <c r="AB27" s="996"/>
      <c r="AC27" s="996"/>
      <c r="AD27" s="996"/>
      <c r="AE27" s="996"/>
      <c r="AF27" s="996"/>
      <c r="AG27" s="996"/>
      <c r="AH27" s="996"/>
      <c r="AI27" s="996"/>
      <c r="AJ27" s="996"/>
      <c r="AK27" s="996"/>
      <c r="AL27" s="996"/>
    </row>
    <row r="28" spans="2:38" ht="15" customHeight="1">
      <c r="B28" s="1126"/>
      <c r="C28" s="1165" t="s">
        <v>3533</v>
      </c>
      <c r="D28" s="1159"/>
      <c r="E28" s="1159"/>
      <c r="F28" s="1002">
        <v>0.03</v>
      </c>
      <c r="G28" s="1167"/>
      <c r="H28" s="1167"/>
      <c r="I28" s="115"/>
      <c r="J28" s="115"/>
      <c r="K28" s="115"/>
      <c r="L28" s="115"/>
      <c r="M28" s="115"/>
      <c r="N28" s="115"/>
      <c r="O28" s="115"/>
      <c r="P28" s="115"/>
      <c r="Q28" s="115"/>
      <c r="R28" s="115"/>
      <c r="S28" s="115"/>
      <c r="T28" s="115"/>
      <c r="U28" s="115"/>
      <c r="V28" s="115"/>
      <c r="W28" s="115"/>
      <c r="X28" s="115"/>
      <c r="Y28" s="115"/>
      <c r="Z28" s="97"/>
      <c r="AA28" s="996"/>
      <c r="AB28" s="996"/>
      <c r="AC28" s="996"/>
      <c r="AD28" s="996"/>
      <c r="AE28" s="996"/>
      <c r="AF28" s="996"/>
      <c r="AG28" s="996"/>
      <c r="AH28" s="996"/>
      <c r="AI28" s="996"/>
      <c r="AJ28" s="996"/>
      <c r="AK28" s="996"/>
      <c r="AL28" s="996"/>
    </row>
    <row r="29" spans="2:38" ht="15" customHeight="1">
      <c r="B29" s="1126"/>
      <c r="C29" s="1165" t="s">
        <v>3534</v>
      </c>
      <c r="D29" s="1159"/>
      <c r="E29" s="1159"/>
      <c r="F29" s="1002">
        <v>0.03</v>
      </c>
      <c r="G29" s="1167"/>
      <c r="H29" s="1167"/>
      <c r="I29" s="115"/>
      <c r="J29" s="115"/>
      <c r="K29" s="115"/>
      <c r="L29" s="115"/>
      <c r="M29" s="115"/>
      <c r="N29" s="115"/>
      <c r="O29" s="115"/>
      <c r="P29" s="115"/>
      <c r="Q29" s="115"/>
      <c r="R29" s="115"/>
      <c r="S29" s="115"/>
      <c r="T29" s="115"/>
      <c r="U29" s="115"/>
      <c r="V29" s="115"/>
      <c r="W29" s="115"/>
      <c r="X29" s="115"/>
      <c r="Y29" s="115"/>
      <c r="Z29" s="97"/>
      <c r="AA29" s="996"/>
      <c r="AB29" s="996"/>
      <c r="AC29" s="996"/>
      <c r="AD29" s="996"/>
      <c r="AE29" s="996"/>
      <c r="AF29" s="996"/>
      <c r="AG29" s="996"/>
      <c r="AH29" s="996"/>
      <c r="AI29" s="996"/>
      <c r="AJ29" s="996"/>
      <c r="AK29" s="996"/>
      <c r="AL29" s="996"/>
    </row>
    <row r="30" spans="2:38" ht="15" customHeight="1">
      <c r="B30" s="1126"/>
      <c r="C30" s="1165" t="s">
        <v>4726</v>
      </c>
      <c r="D30" s="1159"/>
      <c r="E30" s="1159"/>
      <c r="F30" s="1002">
        <v>0.03</v>
      </c>
      <c r="G30" s="1167"/>
      <c r="H30" s="1167"/>
      <c r="I30" s="115"/>
      <c r="J30" s="115"/>
      <c r="K30" s="115"/>
      <c r="L30" s="115"/>
      <c r="M30" s="115"/>
      <c r="N30" s="115"/>
      <c r="O30" s="115"/>
      <c r="P30" s="115"/>
      <c r="Q30" s="115"/>
      <c r="R30" s="115"/>
      <c r="S30" s="115"/>
      <c r="T30" s="115"/>
      <c r="U30" s="115"/>
      <c r="V30" s="115"/>
      <c r="W30" s="115"/>
      <c r="X30" s="115"/>
      <c r="Y30" s="115"/>
      <c r="Z30" s="97"/>
      <c r="AA30" s="996"/>
      <c r="AB30" s="996"/>
      <c r="AC30" s="996"/>
      <c r="AD30" s="996"/>
      <c r="AE30" s="996"/>
      <c r="AF30" s="996"/>
      <c r="AG30" s="996"/>
      <c r="AH30" s="996"/>
      <c r="AI30" s="996"/>
      <c r="AJ30" s="996"/>
      <c r="AK30" s="996"/>
      <c r="AL30" s="996"/>
    </row>
    <row r="31" spans="2:38" ht="15" customHeight="1">
      <c r="B31" s="1126"/>
      <c r="C31" s="1165" t="s">
        <v>3537</v>
      </c>
      <c r="D31" s="1159"/>
      <c r="E31" s="1159"/>
      <c r="F31" s="1002">
        <v>0.03</v>
      </c>
      <c r="G31" s="1167"/>
      <c r="H31" s="1167"/>
      <c r="I31" s="115"/>
      <c r="J31" s="115"/>
      <c r="K31" s="115"/>
      <c r="L31" s="115"/>
      <c r="M31" s="115"/>
      <c r="N31" s="115"/>
      <c r="O31" s="115"/>
      <c r="P31" s="115"/>
      <c r="Q31" s="115"/>
      <c r="R31" s="115"/>
      <c r="S31" s="115"/>
      <c r="T31" s="115"/>
      <c r="U31" s="115"/>
      <c r="V31" s="115"/>
      <c r="W31" s="115"/>
      <c r="X31" s="115"/>
      <c r="Y31" s="115"/>
      <c r="Z31" s="97"/>
      <c r="AA31" s="996"/>
      <c r="AB31" s="996"/>
      <c r="AC31" s="996"/>
      <c r="AD31" s="996"/>
      <c r="AE31" s="996"/>
      <c r="AF31" s="996"/>
      <c r="AG31" s="996"/>
      <c r="AH31" s="996"/>
      <c r="AI31" s="996"/>
      <c r="AJ31" s="996"/>
      <c r="AK31" s="996"/>
      <c r="AL31" s="996"/>
    </row>
    <row r="32" spans="2:38" ht="15" customHeight="1">
      <c r="B32" s="1126"/>
      <c r="C32" s="1165" t="s">
        <v>4727</v>
      </c>
      <c r="D32" s="1159"/>
      <c r="E32" s="1159"/>
      <c r="F32" s="1002">
        <v>0.03</v>
      </c>
      <c r="G32" s="1167"/>
      <c r="H32" s="1167"/>
      <c r="I32" s="115"/>
      <c r="J32" s="115"/>
      <c r="K32" s="115"/>
      <c r="L32" s="115"/>
      <c r="M32" s="115"/>
      <c r="N32" s="115"/>
      <c r="O32" s="115"/>
      <c r="P32" s="115"/>
      <c r="Q32" s="115"/>
      <c r="R32" s="115"/>
      <c r="S32" s="115"/>
      <c r="T32" s="115"/>
      <c r="U32" s="115"/>
      <c r="V32" s="115"/>
      <c r="W32" s="115"/>
      <c r="X32" s="115"/>
      <c r="Y32" s="115"/>
      <c r="Z32" s="97"/>
      <c r="AA32" s="996"/>
      <c r="AB32" s="996"/>
      <c r="AC32" s="996"/>
      <c r="AD32" s="996"/>
      <c r="AE32" s="996"/>
      <c r="AF32" s="996"/>
      <c r="AG32" s="996"/>
      <c r="AH32" s="996"/>
      <c r="AI32" s="996"/>
      <c r="AJ32" s="996"/>
      <c r="AK32" s="996"/>
      <c r="AL32" s="996"/>
    </row>
    <row r="33" spans="2:38" ht="15" customHeight="1">
      <c r="B33" s="1126"/>
      <c r="C33" s="1165" t="s">
        <v>3539</v>
      </c>
      <c r="D33" s="1159"/>
      <c r="E33" s="1159"/>
      <c r="F33" s="1002">
        <v>0.03</v>
      </c>
      <c r="G33" s="1167"/>
      <c r="H33" s="1167"/>
      <c r="I33" s="115"/>
      <c r="J33" s="115"/>
      <c r="K33" s="115"/>
      <c r="L33" s="115"/>
      <c r="M33" s="115"/>
      <c r="N33" s="115"/>
      <c r="O33" s="115"/>
      <c r="P33" s="115"/>
      <c r="Q33" s="115"/>
      <c r="R33" s="115"/>
      <c r="S33" s="115"/>
      <c r="T33" s="115"/>
      <c r="U33" s="115"/>
      <c r="V33" s="115"/>
      <c r="W33" s="115"/>
      <c r="X33" s="115"/>
      <c r="Y33" s="115"/>
      <c r="Z33" s="97"/>
      <c r="AA33" s="996"/>
      <c r="AB33" s="996"/>
      <c r="AC33" s="996"/>
      <c r="AD33" s="996"/>
      <c r="AE33" s="996"/>
      <c r="AF33" s="996"/>
      <c r="AG33" s="996"/>
      <c r="AH33" s="996"/>
      <c r="AI33" s="996"/>
      <c r="AJ33" s="996"/>
      <c r="AK33" s="996"/>
      <c r="AL33" s="996"/>
    </row>
    <row r="34" spans="2:38" ht="15" customHeight="1">
      <c r="B34" s="1126"/>
      <c r="C34" s="1165" t="s">
        <v>3540</v>
      </c>
      <c r="D34" s="1159"/>
      <c r="E34" s="1159"/>
      <c r="F34" s="1002">
        <v>0.03</v>
      </c>
      <c r="G34" s="1167"/>
      <c r="H34" s="1167"/>
      <c r="I34" s="115"/>
      <c r="J34" s="115"/>
      <c r="K34" s="115"/>
      <c r="L34" s="115"/>
      <c r="M34" s="115"/>
      <c r="N34" s="115"/>
      <c r="O34" s="115"/>
      <c r="P34" s="115"/>
      <c r="Q34" s="115"/>
      <c r="R34" s="115"/>
      <c r="S34" s="115"/>
      <c r="T34" s="115"/>
      <c r="U34" s="115"/>
      <c r="V34" s="115"/>
      <c r="W34" s="115"/>
      <c r="X34" s="115"/>
      <c r="Y34" s="115"/>
      <c r="Z34" s="97"/>
      <c r="AA34" s="996"/>
      <c r="AB34" s="996"/>
      <c r="AC34" s="996"/>
      <c r="AD34" s="996"/>
      <c r="AE34" s="996"/>
      <c r="AF34" s="996"/>
      <c r="AG34" s="996"/>
      <c r="AH34" s="996"/>
      <c r="AI34" s="996"/>
      <c r="AJ34" s="996"/>
      <c r="AK34" s="996"/>
      <c r="AL34" s="996"/>
    </row>
    <row r="35" spans="2:38">
      <c r="B35" s="1126"/>
      <c r="C35" s="1165" t="s">
        <v>3251</v>
      </c>
      <c r="D35" s="1159"/>
      <c r="E35" s="1159"/>
      <c r="F35" s="1002">
        <v>0.03</v>
      </c>
      <c r="G35" s="1167"/>
      <c r="H35" s="1167"/>
      <c r="I35" s="115"/>
      <c r="J35" s="115"/>
      <c r="K35" s="115"/>
      <c r="L35" s="115"/>
      <c r="M35" s="115"/>
      <c r="N35" s="115"/>
      <c r="O35" s="115"/>
      <c r="P35" s="115"/>
      <c r="Q35" s="115"/>
      <c r="R35" s="115"/>
      <c r="S35" s="115"/>
      <c r="T35" s="115"/>
      <c r="U35" s="115"/>
      <c r="V35" s="115"/>
      <c r="W35" s="115"/>
      <c r="X35" s="115"/>
      <c r="Y35" s="115"/>
      <c r="Z35" s="97"/>
      <c r="AA35" s="996"/>
      <c r="AB35" s="996"/>
      <c r="AC35" s="996"/>
      <c r="AD35" s="996"/>
      <c r="AE35" s="996"/>
      <c r="AF35" s="996"/>
      <c r="AG35" s="996"/>
      <c r="AH35" s="996"/>
      <c r="AI35" s="996"/>
      <c r="AJ35" s="996"/>
      <c r="AK35" s="996"/>
      <c r="AL35" s="996"/>
    </row>
    <row r="36" spans="2:38">
      <c r="B36" s="1126"/>
      <c r="C36" s="1166" t="s">
        <v>4728</v>
      </c>
      <c r="D36" s="1167"/>
      <c r="E36" s="1167"/>
      <c r="F36" s="1167"/>
      <c r="G36" s="1167"/>
      <c r="H36" s="1167"/>
      <c r="I36" s="115"/>
      <c r="J36" s="115"/>
      <c r="K36" s="115"/>
      <c r="L36" s="115"/>
      <c r="M36" s="115"/>
      <c r="N36" s="115"/>
      <c r="O36" s="115"/>
      <c r="P36" s="115"/>
      <c r="Q36" s="115"/>
      <c r="R36" s="115"/>
      <c r="S36" s="115"/>
      <c r="T36" s="115"/>
      <c r="U36" s="115"/>
      <c r="V36" s="115"/>
      <c r="W36" s="115"/>
      <c r="X36" s="115"/>
      <c r="Y36" s="115"/>
      <c r="Z36" s="97"/>
      <c r="AA36" s="996"/>
      <c r="AB36" s="996"/>
      <c r="AC36" s="996"/>
      <c r="AD36" s="996"/>
      <c r="AE36" s="996"/>
      <c r="AF36" s="996"/>
      <c r="AG36" s="996"/>
      <c r="AH36" s="996"/>
      <c r="AI36" s="996"/>
      <c r="AJ36" s="996"/>
      <c r="AK36" s="996"/>
      <c r="AL36" s="996"/>
    </row>
    <row r="37" spans="2:38">
      <c r="B37" s="1126"/>
      <c r="C37" s="1167" t="s">
        <v>4729</v>
      </c>
      <c r="D37" s="1167"/>
      <c r="E37" s="1167"/>
      <c r="F37" s="1167"/>
      <c r="G37" s="1167"/>
      <c r="H37" s="1167"/>
      <c r="I37" s="9"/>
      <c r="J37" s="115"/>
      <c r="K37" s="115"/>
      <c r="L37" s="115"/>
      <c r="M37" s="115"/>
      <c r="N37" s="115"/>
      <c r="O37" s="115"/>
      <c r="P37" s="115"/>
      <c r="Q37" s="115"/>
      <c r="R37" s="115"/>
      <c r="S37" s="115"/>
      <c r="T37" s="115"/>
      <c r="U37" s="115"/>
      <c r="V37" s="115"/>
      <c r="W37" s="115"/>
      <c r="X37" s="115"/>
      <c r="Y37" s="115"/>
      <c r="Z37" s="97"/>
      <c r="AA37" s="996"/>
      <c r="AB37" s="996"/>
      <c r="AC37" s="996"/>
      <c r="AD37" s="996"/>
      <c r="AE37" s="996"/>
      <c r="AF37" s="996"/>
      <c r="AG37" s="996"/>
      <c r="AH37" s="996"/>
      <c r="AI37" s="996"/>
      <c r="AJ37" s="996"/>
      <c r="AK37" s="996"/>
      <c r="AL37" s="996"/>
    </row>
    <row r="38" spans="2:38">
      <c r="B38" s="1126"/>
      <c r="C38" s="2312"/>
      <c r="D38" s="2313"/>
      <c r="E38" s="2313"/>
      <c r="F38" s="2313"/>
      <c r="G38" s="2314"/>
      <c r="H38" s="1167"/>
      <c r="I38" s="9"/>
      <c r="J38" s="115"/>
      <c r="K38" s="115"/>
      <c r="L38" s="115"/>
      <c r="M38" s="115"/>
      <c r="N38" s="115"/>
      <c r="O38" s="115"/>
      <c r="P38" s="115"/>
      <c r="Q38" s="115"/>
      <c r="R38" s="115"/>
      <c r="S38" s="115"/>
      <c r="T38" s="115"/>
      <c r="U38" s="115"/>
      <c r="V38" s="115"/>
      <c r="W38" s="115"/>
      <c r="X38" s="115"/>
      <c r="Y38" s="115"/>
      <c r="Z38" s="97"/>
      <c r="AA38" s="996"/>
      <c r="AB38" s="996"/>
      <c r="AC38" s="996"/>
      <c r="AD38" s="996"/>
      <c r="AE38" s="996"/>
      <c r="AF38" s="996"/>
      <c r="AG38" s="996"/>
      <c r="AH38" s="996"/>
      <c r="AI38" s="996"/>
      <c r="AJ38" s="996"/>
      <c r="AK38" s="996"/>
      <c r="AL38" s="996"/>
    </row>
    <row r="39" spans="2:38">
      <c r="B39" s="1126"/>
      <c r="C39" s="2315"/>
      <c r="D39" s="2316"/>
      <c r="E39" s="2316"/>
      <c r="F39" s="2316"/>
      <c r="G39" s="2317"/>
      <c r="H39" s="1167"/>
      <c r="I39" s="9"/>
      <c r="J39" s="115"/>
      <c r="K39" s="115"/>
      <c r="L39" s="115"/>
      <c r="M39" s="115"/>
      <c r="N39" s="115"/>
      <c r="O39" s="115"/>
      <c r="P39" s="115"/>
      <c r="Q39" s="115"/>
      <c r="R39" s="115"/>
      <c r="S39" s="115"/>
      <c r="T39" s="115"/>
      <c r="U39" s="115"/>
      <c r="V39" s="115"/>
      <c r="W39" s="115"/>
      <c r="X39" s="115"/>
      <c r="Y39" s="115"/>
      <c r="Z39" s="97"/>
      <c r="AA39" s="996"/>
      <c r="AB39" s="996"/>
      <c r="AC39" s="996"/>
      <c r="AD39" s="996"/>
      <c r="AE39" s="996"/>
      <c r="AF39" s="996"/>
      <c r="AG39" s="996"/>
      <c r="AH39" s="996"/>
      <c r="AI39" s="996"/>
      <c r="AJ39" s="996"/>
      <c r="AK39" s="996"/>
      <c r="AL39" s="996"/>
    </row>
    <row r="40" spans="2:38">
      <c r="B40" s="1126"/>
      <c r="C40" s="2315"/>
      <c r="D40" s="2316"/>
      <c r="E40" s="2316"/>
      <c r="F40" s="2316"/>
      <c r="G40" s="2317"/>
      <c r="H40" s="1167"/>
      <c r="I40" s="9"/>
      <c r="J40" s="115"/>
      <c r="K40" s="115"/>
      <c r="L40" s="115"/>
      <c r="M40" s="115"/>
      <c r="N40" s="115"/>
      <c r="O40" s="115"/>
      <c r="P40" s="115"/>
      <c r="Q40" s="115"/>
      <c r="R40" s="115"/>
      <c r="S40" s="115"/>
      <c r="T40" s="115"/>
      <c r="U40" s="115"/>
      <c r="V40" s="115"/>
      <c r="W40" s="115"/>
      <c r="X40" s="115"/>
      <c r="Y40" s="115"/>
      <c r="Z40" s="97"/>
      <c r="AA40" s="996"/>
      <c r="AB40" s="996"/>
      <c r="AC40" s="996"/>
      <c r="AD40" s="996"/>
      <c r="AE40" s="996"/>
      <c r="AF40" s="996"/>
      <c r="AG40" s="996"/>
      <c r="AH40" s="996"/>
      <c r="AI40" s="996"/>
      <c r="AJ40" s="996"/>
      <c r="AK40" s="996"/>
      <c r="AL40" s="996"/>
    </row>
    <row r="41" spans="2:38">
      <c r="B41" s="1126"/>
      <c r="C41" s="2315"/>
      <c r="D41" s="2316"/>
      <c r="E41" s="2316"/>
      <c r="F41" s="2316"/>
      <c r="G41" s="2317"/>
      <c r="H41" s="1167"/>
      <c r="I41" s="9"/>
      <c r="J41" s="115"/>
      <c r="K41" s="115"/>
      <c r="L41" s="115"/>
      <c r="M41" s="115"/>
      <c r="N41" s="115"/>
      <c r="O41" s="115"/>
      <c r="P41" s="115"/>
      <c r="Q41" s="115"/>
      <c r="R41" s="115"/>
      <c r="S41" s="115"/>
      <c r="T41" s="115"/>
      <c r="U41" s="115"/>
      <c r="V41" s="115"/>
      <c r="W41" s="115"/>
      <c r="X41" s="115"/>
      <c r="Y41" s="115"/>
      <c r="Z41" s="97"/>
      <c r="AA41" s="996"/>
      <c r="AB41" s="996"/>
      <c r="AC41" s="996"/>
      <c r="AD41" s="996"/>
      <c r="AE41" s="996"/>
      <c r="AF41" s="996"/>
      <c r="AG41" s="996"/>
      <c r="AH41" s="996"/>
      <c r="AI41" s="996"/>
      <c r="AJ41" s="996"/>
      <c r="AK41" s="996"/>
      <c r="AL41" s="996"/>
    </row>
    <row r="42" spans="2:38">
      <c r="B42" s="1126"/>
      <c r="C42" s="2315"/>
      <c r="D42" s="2316"/>
      <c r="E42" s="2316"/>
      <c r="F42" s="2316"/>
      <c r="G42" s="2317"/>
      <c r="H42" s="1167"/>
      <c r="I42" s="9"/>
      <c r="J42" s="115"/>
      <c r="K42" s="115"/>
      <c r="L42" s="115"/>
      <c r="M42" s="115"/>
      <c r="N42" s="115"/>
      <c r="O42" s="115"/>
      <c r="P42" s="115"/>
      <c r="Q42" s="115"/>
      <c r="R42" s="115"/>
      <c r="S42" s="115"/>
      <c r="T42" s="115"/>
      <c r="U42" s="115"/>
      <c r="V42" s="115"/>
      <c r="W42" s="115"/>
      <c r="X42" s="115"/>
      <c r="Y42" s="115"/>
      <c r="Z42" s="97"/>
      <c r="AA42" s="996"/>
      <c r="AB42" s="996"/>
      <c r="AC42" s="996"/>
      <c r="AD42" s="996"/>
      <c r="AE42" s="996"/>
      <c r="AF42" s="996"/>
      <c r="AG42" s="996"/>
      <c r="AH42" s="996"/>
      <c r="AI42" s="996"/>
      <c r="AJ42" s="996"/>
      <c r="AK42" s="996"/>
      <c r="AL42" s="996"/>
    </row>
    <row r="43" spans="2:38">
      <c r="B43" s="1126"/>
      <c r="C43" s="2318"/>
      <c r="D43" s="2319"/>
      <c r="E43" s="2319"/>
      <c r="F43" s="2319"/>
      <c r="G43" s="2320"/>
      <c r="H43" s="1167"/>
      <c r="I43" s="9"/>
      <c r="J43" s="115"/>
      <c r="K43" s="115"/>
      <c r="L43" s="115"/>
      <c r="M43" s="115"/>
      <c r="N43" s="115"/>
      <c r="O43" s="115"/>
      <c r="P43" s="115"/>
      <c r="Q43" s="115"/>
      <c r="R43" s="115"/>
      <c r="S43" s="115"/>
      <c r="T43" s="115"/>
      <c r="U43" s="115"/>
      <c r="V43" s="115"/>
      <c r="W43" s="115"/>
      <c r="X43" s="115"/>
      <c r="Y43" s="115"/>
      <c r="Z43" s="97"/>
      <c r="AA43" s="996"/>
      <c r="AB43" s="996"/>
      <c r="AC43" s="996"/>
      <c r="AD43" s="996"/>
      <c r="AE43" s="996"/>
      <c r="AF43" s="996"/>
      <c r="AG43" s="996"/>
      <c r="AH43" s="996"/>
      <c r="AI43" s="996"/>
      <c r="AJ43" s="996"/>
      <c r="AK43" s="996"/>
      <c r="AL43" s="996"/>
    </row>
    <row r="44" spans="2:38">
      <c r="B44" s="1126"/>
      <c r="C44" s="1126"/>
      <c r="D44" s="1126"/>
      <c r="E44" s="1126"/>
      <c r="F44" s="1126"/>
      <c r="G44" s="1126"/>
      <c r="H44" s="1167"/>
      <c r="I44" s="9"/>
      <c r="J44" s="115"/>
      <c r="K44" s="115"/>
      <c r="L44" s="115"/>
      <c r="M44" s="115"/>
      <c r="N44" s="115"/>
      <c r="O44" s="115"/>
      <c r="P44" s="115"/>
      <c r="Q44" s="115"/>
      <c r="R44" s="115"/>
      <c r="S44" s="115"/>
      <c r="T44" s="115"/>
      <c r="U44" s="115"/>
      <c r="V44" s="115"/>
      <c r="W44" s="115"/>
      <c r="X44" s="115"/>
      <c r="Y44" s="115"/>
      <c r="Z44" s="97"/>
      <c r="AA44" s="996"/>
      <c r="AB44" s="996"/>
      <c r="AC44" s="996"/>
      <c r="AD44" s="996"/>
      <c r="AE44" s="996"/>
      <c r="AF44" s="996"/>
      <c r="AG44" s="996"/>
      <c r="AH44" s="996"/>
      <c r="AI44" s="996"/>
      <c r="AJ44" s="996"/>
      <c r="AK44" s="996"/>
      <c r="AL44" s="996"/>
    </row>
    <row r="45" spans="2:38">
      <c r="B45" s="1126"/>
      <c r="C45" s="1308" t="s">
        <v>4730</v>
      </c>
      <c r="D45" s="1333">
        <f>IF(D10&gt;0,D17/D10,0)</f>
        <v>0</v>
      </c>
      <c r="E45" s="1126"/>
      <c r="F45" s="1126"/>
      <c r="G45" s="1126"/>
      <c r="H45" s="1167"/>
      <c r="I45" s="9"/>
      <c r="J45" s="115"/>
      <c r="K45" s="115"/>
      <c r="L45" s="115"/>
      <c r="M45" s="115"/>
      <c r="N45" s="115"/>
      <c r="O45" s="115"/>
      <c r="P45" s="115"/>
      <c r="Q45" s="115"/>
      <c r="R45" s="115"/>
      <c r="S45" s="115"/>
      <c r="T45" s="115"/>
      <c r="U45" s="115"/>
      <c r="V45" s="115"/>
      <c r="W45" s="115"/>
      <c r="X45" s="115"/>
      <c r="Y45" s="115"/>
      <c r="Z45" s="97"/>
      <c r="AA45" s="996"/>
      <c r="AB45" s="996"/>
      <c r="AC45" s="996"/>
      <c r="AD45" s="996"/>
      <c r="AE45" s="996"/>
      <c r="AF45" s="996"/>
      <c r="AG45" s="996"/>
      <c r="AH45" s="996"/>
      <c r="AI45" s="996"/>
      <c r="AJ45" s="996"/>
      <c r="AK45" s="996"/>
      <c r="AL45" s="996"/>
    </row>
    <row r="46" spans="2:38">
      <c r="B46" s="1126"/>
      <c r="C46" s="2312"/>
      <c r="D46" s="2316"/>
      <c r="E46" s="2313"/>
      <c r="F46" s="2313"/>
      <c r="G46" s="2314"/>
      <c r="H46" s="1167"/>
      <c r="I46" s="9"/>
      <c r="J46" s="115"/>
      <c r="K46" s="115"/>
      <c r="L46" s="115"/>
      <c r="M46" s="115"/>
      <c r="N46" s="115"/>
      <c r="O46" s="115"/>
      <c r="P46" s="115"/>
      <c r="Q46" s="115"/>
      <c r="R46" s="115"/>
      <c r="S46" s="115"/>
      <c r="T46" s="115"/>
      <c r="U46" s="115"/>
      <c r="V46" s="115"/>
      <c r="W46" s="115"/>
      <c r="X46" s="115"/>
      <c r="Y46" s="115"/>
      <c r="Z46" s="97"/>
      <c r="AA46" s="996"/>
      <c r="AB46" s="996"/>
      <c r="AC46" s="996"/>
      <c r="AD46" s="996"/>
      <c r="AE46" s="996"/>
      <c r="AF46" s="996"/>
      <c r="AG46" s="996"/>
      <c r="AH46" s="996"/>
      <c r="AI46" s="996"/>
      <c r="AJ46" s="996"/>
      <c r="AK46" s="996"/>
      <c r="AL46" s="996"/>
    </row>
    <row r="47" spans="2:38">
      <c r="B47" s="1126"/>
      <c r="C47" s="2315"/>
      <c r="D47" s="2316"/>
      <c r="E47" s="2316"/>
      <c r="F47" s="2316"/>
      <c r="G47" s="2317"/>
      <c r="H47" s="1167"/>
      <c r="I47" s="9"/>
      <c r="J47" s="115"/>
      <c r="K47" s="115"/>
      <c r="L47" s="115"/>
      <c r="M47" s="115"/>
      <c r="N47" s="115"/>
      <c r="O47" s="115"/>
      <c r="P47" s="115"/>
      <c r="Q47" s="115"/>
      <c r="R47" s="115"/>
      <c r="S47" s="115"/>
      <c r="T47" s="115"/>
      <c r="U47" s="115"/>
      <c r="V47" s="115"/>
      <c r="W47" s="115"/>
      <c r="X47" s="115"/>
      <c r="Y47" s="115"/>
      <c r="Z47" s="97"/>
      <c r="AA47" s="996"/>
      <c r="AB47" s="996"/>
      <c r="AC47" s="996"/>
      <c r="AD47" s="996"/>
      <c r="AE47" s="996"/>
      <c r="AF47" s="996"/>
      <c r="AG47" s="996"/>
      <c r="AH47" s="996"/>
      <c r="AI47" s="996"/>
      <c r="AJ47" s="996"/>
      <c r="AK47" s="996"/>
      <c r="AL47" s="996"/>
    </row>
    <row r="48" spans="2:38">
      <c r="B48" s="1126"/>
      <c r="C48" s="2315"/>
      <c r="D48" s="2316"/>
      <c r="E48" s="2316"/>
      <c r="F48" s="2316"/>
      <c r="G48" s="2317"/>
      <c r="H48" s="1167"/>
      <c r="I48" s="9"/>
      <c r="J48" s="115"/>
      <c r="K48" s="115"/>
      <c r="L48" s="115"/>
      <c r="M48" s="115"/>
      <c r="N48" s="115"/>
      <c r="O48" s="115"/>
      <c r="P48" s="115"/>
      <c r="Q48" s="115"/>
      <c r="R48" s="115"/>
      <c r="S48" s="115"/>
      <c r="T48" s="115"/>
      <c r="U48" s="115"/>
      <c r="V48" s="115"/>
      <c r="W48" s="115"/>
      <c r="X48" s="115"/>
      <c r="Y48" s="115"/>
      <c r="Z48" s="97"/>
      <c r="AA48" s="996"/>
      <c r="AB48" s="996"/>
      <c r="AC48" s="996"/>
      <c r="AD48" s="996"/>
      <c r="AE48" s="996"/>
      <c r="AF48" s="996"/>
      <c r="AG48" s="996"/>
      <c r="AH48" s="996"/>
      <c r="AI48" s="996"/>
      <c r="AJ48" s="996"/>
      <c r="AK48" s="996"/>
      <c r="AL48" s="996"/>
    </row>
    <row r="49" spans="2:39">
      <c r="B49" s="1126"/>
      <c r="C49" s="2315"/>
      <c r="D49" s="2316"/>
      <c r="E49" s="2316"/>
      <c r="F49" s="2316"/>
      <c r="G49" s="2317"/>
      <c r="H49" s="1167"/>
      <c r="I49" s="115"/>
      <c r="J49" s="115"/>
      <c r="K49" s="115"/>
      <c r="L49" s="115"/>
      <c r="M49" s="115"/>
      <c r="N49" s="115"/>
      <c r="O49" s="115"/>
      <c r="P49" s="115"/>
      <c r="Q49" s="115"/>
      <c r="R49" s="115"/>
      <c r="S49" s="115"/>
      <c r="T49" s="115"/>
      <c r="U49" s="115"/>
      <c r="V49" s="115"/>
      <c r="W49" s="115"/>
      <c r="X49" s="115"/>
      <c r="Y49" s="115"/>
      <c r="Z49" s="97"/>
      <c r="AA49" s="996"/>
      <c r="AB49" s="996"/>
      <c r="AC49" s="996"/>
      <c r="AD49" s="996"/>
      <c r="AE49" s="996"/>
      <c r="AF49" s="996"/>
      <c r="AG49" s="996"/>
      <c r="AH49" s="996"/>
      <c r="AI49" s="996"/>
      <c r="AJ49" s="996"/>
      <c r="AK49" s="996"/>
      <c r="AL49" s="996"/>
      <c r="AM49" s="9"/>
    </row>
    <row r="50" spans="2:39">
      <c r="B50" s="1126"/>
      <c r="C50" s="2315"/>
      <c r="D50" s="2316"/>
      <c r="E50" s="2316"/>
      <c r="F50" s="2316"/>
      <c r="G50" s="2317"/>
      <c r="H50" s="1167"/>
      <c r="I50" s="115"/>
      <c r="J50" s="115"/>
      <c r="K50" s="115"/>
      <c r="L50" s="115"/>
      <c r="M50" s="115"/>
      <c r="N50" s="115"/>
      <c r="O50" s="115"/>
      <c r="P50" s="115"/>
      <c r="Q50" s="115"/>
      <c r="R50" s="115"/>
      <c r="S50" s="115"/>
      <c r="T50" s="115"/>
      <c r="U50" s="115"/>
      <c r="V50" s="115"/>
      <c r="W50" s="115"/>
      <c r="X50" s="115"/>
      <c r="Y50" s="115"/>
      <c r="Z50" s="97"/>
      <c r="AA50" s="996"/>
      <c r="AB50" s="996"/>
      <c r="AC50" s="996"/>
      <c r="AD50" s="996"/>
      <c r="AE50" s="996"/>
      <c r="AF50" s="996"/>
      <c r="AG50" s="996"/>
      <c r="AH50" s="996"/>
      <c r="AI50" s="996"/>
      <c r="AJ50" s="996"/>
      <c r="AK50" s="996"/>
      <c r="AL50" s="996"/>
      <c r="AM50" s="9"/>
    </row>
    <row r="51" spans="2:39">
      <c r="B51" s="1126"/>
      <c r="C51" s="2318"/>
      <c r="D51" s="2319"/>
      <c r="E51" s="2319"/>
      <c r="F51" s="2319"/>
      <c r="G51" s="2320"/>
      <c r="H51" s="1167"/>
      <c r="I51" s="115"/>
      <c r="J51" s="115"/>
      <c r="K51" s="115"/>
      <c r="L51" s="115"/>
      <c r="M51" s="115"/>
      <c r="N51" s="115"/>
      <c r="O51" s="115"/>
      <c r="P51" s="115"/>
      <c r="Q51" s="115"/>
      <c r="R51" s="115"/>
      <c r="S51" s="115"/>
      <c r="T51" s="115"/>
      <c r="U51" s="115"/>
      <c r="V51" s="115"/>
      <c r="W51" s="115"/>
      <c r="X51" s="115"/>
      <c r="Y51" s="115"/>
      <c r="Z51" s="97"/>
      <c r="AA51" s="996"/>
      <c r="AB51" s="996"/>
      <c r="AC51" s="996"/>
      <c r="AD51" s="996"/>
      <c r="AE51" s="996"/>
      <c r="AF51" s="996"/>
      <c r="AG51" s="996"/>
      <c r="AH51" s="996"/>
      <c r="AI51" s="996"/>
      <c r="AJ51" s="996"/>
      <c r="AK51" s="996"/>
      <c r="AL51" s="996"/>
      <c r="AM51" s="9"/>
    </row>
    <row r="52" spans="2:39">
      <c r="B52" s="1126"/>
      <c r="C52" s="1126"/>
      <c r="D52" s="1126"/>
      <c r="E52" s="1126"/>
      <c r="F52" s="1126"/>
      <c r="G52" s="1126"/>
      <c r="H52" s="1167"/>
      <c r="I52" s="115"/>
      <c r="J52" s="115"/>
      <c r="K52" s="115"/>
      <c r="L52" s="115"/>
      <c r="M52" s="115"/>
      <c r="N52" s="115"/>
      <c r="O52" s="115"/>
      <c r="P52" s="115"/>
      <c r="Q52" s="115"/>
      <c r="R52" s="115"/>
      <c r="S52" s="115"/>
      <c r="T52" s="115"/>
      <c r="U52" s="115"/>
      <c r="V52" s="115"/>
      <c r="W52" s="115"/>
      <c r="X52" s="115"/>
      <c r="Y52" s="115"/>
      <c r="Z52" s="97"/>
      <c r="AA52" s="996"/>
      <c r="AB52" s="996"/>
      <c r="AC52" s="996"/>
      <c r="AD52" s="996"/>
      <c r="AE52" s="996"/>
      <c r="AF52" s="996"/>
      <c r="AG52" s="996"/>
      <c r="AH52" s="996"/>
      <c r="AI52" s="996"/>
      <c r="AJ52" s="996"/>
      <c r="AK52" s="996"/>
      <c r="AL52" s="996"/>
      <c r="AM52" s="9"/>
    </row>
    <row r="53" spans="2:39">
      <c r="B53" s="1126"/>
      <c r="C53" s="1167"/>
      <c r="D53" s="1167"/>
      <c r="E53" s="1167"/>
      <c r="F53" s="1167"/>
      <c r="G53" s="1167"/>
      <c r="H53" s="1167"/>
      <c r="I53" s="115"/>
      <c r="J53" s="115"/>
      <c r="K53" s="115"/>
      <c r="L53" s="115"/>
      <c r="M53" s="115"/>
      <c r="N53" s="115"/>
      <c r="O53" s="115"/>
      <c r="P53" s="115"/>
      <c r="Q53" s="115"/>
      <c r="R53" s="115"/>
      <c r="S53" s="115"/>
      <c r="T53" s="115"/>
      <c r="U53" s="115"/>
      <c r="V53" s="115"/>
      <c r="W53" s="115"/>
      <c r="X53" s="115"/>
      <c r="Y53" s="115"/>
      <c r="Z53" s="97"/>
      <c r="AA53" s="996"/>
      <c r="AB53" s="996"/>
      <c r="AC53" s="996"/>
      <c r="AD53" s="996"/>
      <c r="AE53" s="996"/>
      <c r="AF53" s="996"/>
      <c r="AG53" s="996"/>
      <c r="AH53" s="996"/>
      <c r="AI53" s="996"/>
      <c r="AJ53" s="996"/>
      <c r="AK53" s="996"/>
      <c r="AL53" s="996"/>
      <c r="AM53" s="9"/>
    </row>
    <row r="54" spans="2:39" ht="18.75">
      <c r="B54" s="1020" t="s">
        <v>4731</v>
      </c>
      <c r="C54" s="9"/>
      <c r="D54" s="996"/>
      <c r="E54" s="996"/>
      <c r="F54" s="996"/>
      <c r="G54" s="996"/>
      <c r="H54" s="996"/>
      <c r="I54" s="115"/>
      <c r="J54" s="115"/>
      <c r="K54" s="115"/>
      <c r="L54" s="115"/>
      <c r="M54" s="115"/>
      <c r="N54" s="115"/>
      <c r="O54" s="115"/>
      <c r="P54" s="115"/>
      <c r="Q54" s="115"/>
      <c r="R54" s="115"/>
      <c r="S54" s="115"/>
      <c r="T54" s="115"/>
      <c r="U54" s="115"/>
      <c r="V54" s="115"/>
      <c r="W54" s="115"/>
      <c r="X54" s="115"/>
      <c r="Y54" s="115"/>
      <c r="Z54" s="115"/>
      <c r="AA54" s="996"/>
      <c r="AB54" s="996"/>
      <c r="AC54" s="996"/>
      <c r="AD54" s="996"/>
      <c r="AE54" s="996"/>
      <c r="AF54" s="996"/>
      <c r="AG54" s="996"/>
      <c r="AH54" s="996"/>
      <c r="AI54" s="996"/>
      <c r="AJ54" s="996"/>
      <c r="AK54" s="996"/>
      <c r="AL54" s="996"/>
      <c r="AM54" s="9"/>
    </row>
    <row r="55" spans="2:39">
      <c r="B55" s="1284"/>
      <c r="C55" s="1354" t="s">
        <v>4732</v>
      </c>
      <c r="D55" s="1138"/>
      <c r="E55" s="1138"/>
      <c r="F55" s="1138"/>
      <c r="G55" s="1138"/>
      <c r="H55" s="1116"/>
      <c r="I55" s="1120"/>
      <c r="J55" s="1120"/>
      <c r="K55" s="1120"/>
      <c r="L55" s="1120"/>
      <c r="M55" s="1120"/>
      <c r="N55" s="1120"/>
      <c r="O55" s="1120"/>
      <c r="P55" s="1120"/>
      <c r="Q55" s="1120"/>
      <c r="R55" s="1120"/>
      <c r="S55" s="1120"/>
      <c r="T55" s="1120"/>
      <c r="U55" s="1120"/>
      <c r="V55" s="1120"/>
      <c r="W55" s="1120"/>
      <c r="X55" s="1120"/>
      <c r="Y55" s="1120"/>
      <c r="Z55" s="1138"/>
      <c r="AA55" s="1138"/>
      <c r="AB55" s="1138"/>
      <c r="AC55" s="1138"/>
      <c r="AD55" s="1138"/>
      <c r="AE55" s="1138"/>
      <c r="AF55" s="1138"/>
      <c r="AG55" s="1138"/>
      <c r="AH55" s="1138"/>
      <c r="AI55" s="1138"/>
      <c r="AJ55" s="1138"/>
      <c r="AK55" s="1138"/>
      <c r="AL55" s="1138"/>
      <c r="AM55" s="1138"/>
    </row>
    <row r="56" spans="2:39">
      <c r="B56" s="1284"/>
      <c r="C56" s="1355" t="s">
        <v>4733</v>
      </c>
      <c r="D56" s="1356" t="str">
        <f>IFERROR(D57+1," ")</f>
        <v xml:space="preserve"> </v>
      </c>
      <c r="E56" s="1138"/>
      <c r="F56" s="1138"/>
      <c r="G56" s="1138"/>
      <c r="H56" s="1116"/>
      <c r="I56" s="1120"/>
      <c r="J56" s="1120"/>
      <c r="K56" s="1120"/>
      <c r="L56" s="1120"/>
      <c r="M56" s="1120"/>
      <c r="N56" s="1120"/>
      <c r="O56" s="1120"/>
      <c r="P56" s="1120"/>
      <c r="Q56" s="1120"/>
      <c r="R56" s="1120"/>
      <c r="S56" s="1120"/>
      <c r="T56" s="1120"/>
      <c r="U56" s="1120"/>
      <c r="V56" s="1120"/>
      <c r="W56" s="1120"/>
      <c r="X56" s="1120"/>
      <c r="Y56" s="1120"/>
      <c r="Z56" s="1138"/>
      <c r="AA56" s="1138"/>
      <c r="AB56" s="1138"/>
      <c r="AC56" s="1138"/>
      <c r="AD56" s="1138"/>
      <c r="AE56" s="1138"/>
      <c r="AF56" s="1138"/>
      <c r="AG56" s="1138"/>
      <c r="AH56" s="1138"/>
      <c r="AI56" s="1138"/>
      <c r="AJ56" s="1138"/>
      <c r="AK56" s="1138"/>
      <c r="AL56" s="1138"/>
      <c r="AM56" s="1138"/>
    </row>
    <row r="57" spans="2:39">
      <c r="B57" s="1284"/>
      <c r="C57" s="1355" t="s">
        <v>4734</v>
      </c>
      <c r="D57" s="1356" t="str">
        <f>IF(Construction_Complete=0," ",YEAR(Construction_Complete))</f>
        <v xml:space="preserve"> </v>
      </c>
      <c r="E57" s="1116"/>
      <c r="F57" s="1116"/>
      <c r="G57" s="1116"/>
      <c r="H57" s="1116"/>
      <c r="I57" s="1120"/>
      <c r="J57" s="1120"/>
      <c r="K57" s="1120"/>
      <c r="L57" s="1120"/>
      <c r="M57" s="1120"/>
      <c r="N57" s="1120"/>
      <c r="O57" s="1120"/>
      <c r="P57" s="1120"/>
      <c r="Q57" s="1120"/>
      <c r="R57" s="1120"/>
      <c r="S57" s="1120"/>
      <c r="T57" s="1120"/>
      <c r="U57" s="1120"/>
      <c r="V57" s="1120"/>
      <c r="W57" s="1120"/>
      <c r="X57" s="1120"/>
      <c r="Y57" s="1120"/>
      <c r="Z57" s="1138"/>
      <c r="AA57" s="1138"/>
      <c r="AB57" s="1138"/>
      <c r="AC57" s="1138"/>
      <c r="AD57" s="1138"/>
      <c r="AE57" s="1138"/>
      <c r="AF57" s="1138"/>
      <c r="AG57" s="1138"/>
      <c r="AH57" s="1138"/>
      <c r="AI57" s="1138"/>
      <c r="AJ57" s="1138"/>
      <c r="AK57" s="1138"/>
      <c r="AL57" s="1138"/>
      <c r="AM57" s="1138"/>
    </row>
    <row r="58" spans="2:39">
      <c r="B58" s="1284"/>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38"/>
      <c r="AA58" s="1138"/>
      <c r="AB58" s="1138"/>
      <c r="AC58" s="1138"/>
      <c r="AD58" s="1138"/>
      <c r="AE58" s="1138"/>
      <c r="AF58" s="1138"/>
      <c r="AG58" s="1138"/>
      <c r="AH58" s="1138"/>
      <c r="AI58" s="1138"/>
      <c r="AJ58" s="1138"/>
      <c r="AK58" s="1138"/>
      <c r="AL58" s="1138"/>
      <c r="AM58" s="1138"/>
    </row>
    <row r="59" spans="2:39" hidden="1">
      <c r="B59" s="1285"/>
      <c r="C59" s="1357"/>
      <c r="D59" s="1358"/>
      <c r="E59" s="1358"/>
      <c r="F59" s="1359"/>
      <c r="G59" s="1359"/>
      <c r="H59" s="1358"/>
      <c r="I59" s="1358"/>
      <c r="J59" s="1358"/>
      <c r="K59" s="1358"/>
      <c r="L59" s="1358"/>
      <c r="M59" s="1358"/>
      <c r="N59" s="1358"/>
      <c r="O59" s="1358"/>
      <c r="P59" s="1358"/>
      <c r="Q59" s="1358"/>
      <c r="R59" s="1358"/>
      <c r="S59" s="1358"/>
      <c r="T59" s="1358"/>
      <c r="U59" s="1358"/>
      <c r="V59" s="1358"/>
      <c r="W59" s="1358"/>
      <c r="X59" s="1358"/>
      <c r="Y59" s="1358"/>
      <c r="Z59" s="654"/>
      <c r="AA59" s="3"/>
      <c r="AB59" s="3"/>
      <c r="AC59" s="3"/>
      <c r="AD59" s="3"/>
      <c r="AE59" s="3"/>
      <c r="AF59" s="3"/>
      <c r="AG59" s="3"/>
      <c r="AH59" s="3"/>
      <c r="AI59"/>
      <c r="AJ59"/>
      <c r="AK59"/>
      <c r="AL59"/>
      <c r="AM59" s="1038"/>
    </row>
    <row r="60" spans="2:39">
      <c r="B60" s="1284"/>
      <c r="C60" s="1360" t="s">
        <v>4735</v>
      </c>
      <c r="D60" s="1360">
        <v>1</v>
      </c>
      <c r="E60" s="1360">
        <f>D60+1</f>
        <v>2</v>
      </c>
      <c r="F60" s="1360">
        <f>E60+1</f>
        <v>3</v>
      </c>
      <c r="G60" s="1360">
        <f>F60+1</f>
        <v>4</v>
      </c>
      <c r="H60" s="1360">
        <f t="shared" ref="H60:Y60" si="1">G60+1</f>
        <v>5</v>
      </c>
      <c r="I60" s="1360">
        <f t="shared" si="1"/>
        <v>6</v>
      </c>
      <c r="J60" s="1360">
        <f t="shared" si="1"/>
        <v>7</v>
      </c>
      <c r="K60" s="1360">
        <f t="shared" si="1"/>
        <v>8</v>
      </c>
      <c r="L60" s="1360">
        <f t="shared" si="1"/>
        <v>9</v>
      </c>
      <c r="M60" s="1360">
        <f t="shared" si="1"/>
        <v>10</v>
      </c>
      <c r="N60" s="1360">
        <f t="shared" si="1"/>
        <v>11</v>
      </c>
      <c r="O60" s="1360">
        <f t="shared" si="1"/>
        <v>12</v>
      </c>
      <c r="P60" s="1360">
        <f t="shared" si="1"/>
        <v>13</v>
      </c>
      <c r="Q60" s="1360">
        <f t="shared" si="1"/>
        <v>14</v>
      </c>
      <c r="R60" s="1360">
        <f t="shared" si="1"/>
        <v>15</v>
      </c>
      <c r="S60" s="1360">
        <f t="shared" si="1"/>
        <v>16</v>
      </c>
      <c r="T60" s="1360">
        <f t="shared" si="1"/>
        <v>17</v>
      </c>
      <c r="U60" s="1360">
        <f t="shared" si="1"/>
        <v>18</v>
      </c>
      <c r="V60" s="1360">
        <f t="shared" si="1"/>
        <v>19</v>
      </c>
      <c r="W60" s="1360">
        <f t="shared" si="1"/>
        <v>20</v>
      </c>
      <c r="X60" s="1360">
        <f t="shared" si="1"/>
        <v>21</v>
      </c>
      <c r="Y60" s="1360">
        <f t="shared" si="1"/>
        <v>22</v>
      </c>
      <c r="Z60" s="1360">
        <f t="shared" ref="Z60" si="2">Y60+1</f>
        <v>23</v>
      </c>
      <c r="AA60" s="1360">
        <f t="shared" ref="AA60" si="3">Z60+1</f>
        <v>24</v>
      </c>
      <c r="AB60" s="1360">
        <f t="shared" ref="AB60" si="4">AA60+1</f>
        <v>25</v>
      </c>
      <c r="AC60" s="1360">
        <f t="shared" ref="AC60" si="5">AB60+1</f>
        <v>26</v>
      </c>
      <c r="AD60" s="1360">
        <f t="shared" ref="AD60" si="6">AC60+1</f>
        <v>27</v>
      </c>
      <c r="AE60" s="1360">
        <f t="shared" ref="AE60" si="7">AD60+1</f>
        <v>28</v>
      </c>
      <c r="AF60" s="1360">
        <f t="shared" ref="AF60" si="8">AE60+1</f>
        <v>29</v>
      </c>
      <c r="AG60" s="1360">
        <f t="shared" ref="AG60" si="9">AF60+1</f>
        <v>30</v>
      </c>
      <c r="AH60" s="1360">
        <f t="shared" ref="AH60" si="10">AG60+1</f>
        <v>31</v>
      </c>
      <c r="AI60" s="1360">
        <f t="shared" ref="AI60" si="11">AH60+1</f>
        <v>32</v>
      </c>
      <c r="AJ60" s="1360">
        <f t="shared" ref="AJ60" si="12">AI60+1</f>
        <v>33</v>
      </c>
      <c r="AK60" s="1360">
        <f t="shared" ref="AK60" si="13">AJ60+1</f>
        <v>34</v>
      </c>
      <c r="AL60" s="1360">
        <f t="shared" ref="AL60" si="14">AK60+1</f>
        <v>35</v>
      </c>
      <c r="AM60" s="1038"/>
    </row>
    <row r="61" spans="2:39" hidden="1">
      <c r="B61" s="1284"/>
      <c r="C61" s="1357"/>
      <c r="D61" s="1358" t="str">
        <f>+D56</f>
        <v xml:space="preserve"> </v>
      </c>
      <c r="E61" s="1358" t="str">
        <f t="shared" ref="E61:Y61" si="15">IFERROR(D61+1," ")</f>
        <v xml:space="preserve"> </v>
      </c>
      <c r="F61" s="1358" t="str">
        <f t="shared" si="15"/>
        <v xml:space="preserve"> </v>
      </c>
      <c r="G61" s="1358" t="str">
        <f t="shared" si="15"/>
        <v xml:space="preserve"> </v>
      </c>
      <c r="H61" s="1358" t="str">
        <f t="shared" si="15"/>
        <v xml:space="preserve"> </v>
      </c>
      <c r="I61" s="1358" t="str">
        <f t="shared" si="15"/>
        <v xml:space="preserve"> </v>
      </c>
      <c r="J61" s="1358" t="str">
        <f t="shared" si="15"/>
        <v xml:space="preserve"> </v>
      </c>
      <c r="K61" s="1358" t="str">
        <f t="shared" si="15"/>
        <v xml:space="preserve"> </v>
      </c>
      <c r="L61" s="1358" t="str">
        <f t="shared" si="15"/>
        <v xml:space="preserve"> </v>
      </c>
      <c r="M61" s="1358" t="str">
        <f t="shared" si="15"/>
        <v xml:space="preserve"> </v>
      </c>
      <c r="N61" s="1358" t="str">
        <f t="shared" si="15"/>
        <v xml:space="preserve"> </v>
      </c>
      <c r="O61" s="1358" t="str">
        <f t="shared" si="15"/>
        <v xml:space="preserve"> </v>
      </c>
      <c r="P61" s="1358" t="str">
        <f t="shared" si="15"/>
        <v xml:space="preserve"> </v>
      </c>
      <c r="Q61" s="1358" t="str">
        <f t="shared" si="15"/>
        <v xml:space="preserve"> </v>
      </c>
      <c r="R61" s="1358" t="str">
        <f t="shared" si="15"/>
        <v xml:space="preserve"> </v>
      </c>
      <c r="S61" s="1358" t="str">
        <f t="shared" si="15"/>
        <v xml:space="preserve"> </v>
      </c>
      <c r="T61" s="1358" t="str">
        <f t="shared" si="15"/>
        <v xml:space="preserve"> </v>
      </c>
      <c r="U61" s="1358" t="str">
        <f t="shared" si="15"/>
        <v xml:space="preserve"> </v>
      </c>
      <c r="V61" s="1358" t="str">
        <f t="shared" si="15"/>
        <v xml:space="preserve"> </v>
      </c>
      <c r="W61" s="1358" t="str">
        <f t="shared" si="15"/>
        <v xml:space="preserve"> </v>
      </c>
      <c r="X61" s="1358" t="str">
        <f t="shared" si="15"/>
        <v xml:space="preserve"> </v>
      </c>
      <c r="Y61" s="1358" t="str">
        <f t="shared" si="15"/>
        <v xml:space="preserve"> </v>
      </c>
      <c r="Z61" s="1358" t="str">
        <f t="shared" ref="Z61" si="16">IFERROR(Y61+1," ")</f>
        <v xml:space="preserve"> </v>
      </c>
      <c r="AA61" s="1358" t="str">
        <f t="shared" ref="AA61" si="17">IFERROR(Z61+1," ")</f>
        <v xml:space="preserve"> </v>
      </c>
      <c r="AB61" s="1358" t="str">
        <f t="shared" ref="AB61" si="18">IFERROR(AA61+1," ")</f>
        <v xml:space="preserve"> </v>
      </c>
      <c r="AC61" s="1358" t="str">
        <f t="shared" ref="AC61" si="19">IFERROR(AB61+1," ")</f>
        <v xml:space="preserve"> </v>
      </c>
      <c r="AD61" s="1358" t="str">
        <f t="shared" ref="AD61" si="20">IFERROR(AC61+1," ")</f>
        <v xml:space="preserve"> </v>
      </c>
      <c r="AE61" s="1358" t="str">
        <f t="shared" ref="AE61" si="21">IFERROR(AD61+1," ")</f>
        <v xml:space="preserve"> </v>
      </c>
      <c r="AF61" s="1358" t="str">
        <f t="shared" ref="AF61" si="22">IFERROR(AE61+1," ")</f>
        <v xml:space="preserve"> </v>
      </c>
      <c r="AG61" s="1358" t="str">
        <f t="shared" ref="AG61" si="23">IFERROR(AF61+1," ")</f>
        <v xml:space="preserve"> </v>
      </c>
      <c r="AH61" s="1358" t="str">
        <f t="shared" ref="AH61" si="24">IFERROR(AG61+1," ")</f>
        <v xml:space="preserve"> </v>
      </c>
      <c r="AI61" s="1358" t="str">
        <f t="shared" ref="AI61" si="25">IFERROR(AH61+1," ")</f>
        <v xml:space="preserve"> </v>
      </c>
      <c r="AJ61" s="1358" t="str">
        <f t="shared" ref="AJ61" si="26">IFERROR(AI61+1," ")</f>
        <v xml:space="preserve"> </v>
      </c>
      <c r="AK61" s="1358" t="str">
        <f t="shared" ref="AK61" si="27">IFERROR(AJ61+1," ")</f>
        <v xml:space="preserve"> </v>
      </c>
      <c r="AL61" s="1358" t="str">
        <f t="shared" ref="AL61" si="28">IFERROR(AK61+1," ")</f>
        <v xml:space="preserve"> </v>
      </c>
      <c r="AM61" s="1038"/>
    </row>
    <row r="62" spans="2:39">
      <c r="B62" s="1284"/>
      <c r="C62" s="1361" t="s">
        <v>4736</v>
      </c>
      <c r="D62" s="1337">
        <f>D18-D16-D17</f>
        <v>0</v>
      </c>
      <c r="E62" s="1362">
        <f>D62*(100%+$F$10)</f>
        <v>0</v>
      </c>
      <c r="F62" s="1362">
        <f t="shared" ref="F62:Y62" si="29">E62*(100%+$F$10)</f>
        <v>0</v>
      </c>
      <c r="G62" s="1362">
        <f>F62*(100%+$F$10)</f>
        <v>0</v>
      </c>
      <c r="H62" s="1362">
        <f t="shared" si="29"/>
        <v>0</v>
      </c>
      <c r="I62" s="1363">
        <f t="shared" si="29"/>
        <v>0</v>
      </c>
      <c r="J62" s="1362">
        <f t="shared" si="29"/>
        <v>0</v>
      </c>
      <c r="K62" s="1362">
        <f t="shared" si="29"/>
        <v>0</v>
      </c>
      <c r="L62" s="1362">
        <f t="shared" si="29"/>
        <v>0</v>
      </c>
      <c r="M62" s="1362">
        <f t="shared" si="29"/>
        <v>0</v>
      </c>
      <c r="N62" s="1362">
        <f t="shared" si="29"/>
        <v>0</v>
      </c>
      <c r="O62" s="1362">
        <f t="shared" si="29"/>
        <v>0</v>
      </c>
      <c r="P62" s="1362">
        <f t="shared" si="29"/>
        <v>0</v>
      </c>
      <c r="Q62" s="1362">
        <f t="shared" si="29"/>
        <v>0</v>
      </c>
      <c r="R62" s="1362">
        <f t="shared" si="29"/>
        <v>0</v>
      </c>
      <c r="S62" s="1362">
        <f t="shared" si="29"/>
        <v>0</v>
      </c>
      <c r="T62" s="1362">
        <f t="shared" si="29"/>
        <v>0</v>
      </c>
      <c r="U62" s="1362">
        <f t="shared" si="29"/>
        <v>0</v>
      </c>
      <c r="V62" s="1362">
        <f t="shared" si="29"/>
        <v>0</v>
      </c>
      <c r="W62" s="1362">
        <f t="shared" si="29"/>
        <v>0</v>
      </c>
      <c r="X62" s="1362">
        <f t="shared" si="29"/>
        <v>0</v>
      </c>
      <c r="Y62" s="1362">
        <f t="shared" si="29"/>
        <v>0</v>
      </c>
      <c r="Z62" s="1362">
        <f t="shared" ref="Z62" si="30">Y62*(100%+$F$10)</f>
        <v>0</v>
      </c>
      <c r="AA62" s="1362">
        <f t="shared" ref="AA62" si="31">Z62*(100%+$F$10)</f>
        <v>0</v>
      </c>
      <c r="AB62" s="1362">
        <f t="shared" ref="AB62" si="32">AA62*(100%+$F$10)</f>
        <v>0</v>
      </c>
      <c r="AC62" s="1362">
        <f t="shared" ref="AC62" si="33">AB62*(100%+$F$10)</f>
        <v>0</v>
      </c>
      <c r="AD62" s="1362">
        <f t="shared" ref="AD62" si="34">AC62*(100%+$F$10)</f>
        <v>0</v>
      </c>
      <c r="AE62" s="1362">
        <f t="shared" ref="AE62" si="35">AD62*(100%+$F$10)</f>
        <v>0</v>
      </c>
      <c r="AF62" s="1362">
        <f t="shared" ref="AF62" si="36">AE62*(100%+$F$10)</f>
        <v>0</v>
      </c>
      <c r="AG62" s="1362">
        <f t="shared" ref="AG62" si="37">AF62*(100%+$F$10)</f>
        <v>0</v>
      </c>
      <c r="AH62" s="1362">
        <f t="shared" ref="AH62" si="38">AG62*(100%+$F$10)</f>
        <v>0</v>
      </c>
      <c r="AI62" s="1362">
        <f t="shared" ref="AI62" si="39">AH62*(100%+$F$10)</f>
        <v>0</v>
      </c>
      <c r="AJ62" s="1362">
        <f t="shared" ref="AJ62" si="40">AI62*(100%+$F$10)</f>
        <v>0</v>
      </c>
      <c r="AK62" s="1362">
        <f t="shared" ref="AK62" si="41">AJ62*(100%+$F$10)</f>
        <v>0</v>
      </c>
      <c r="AL62" s="1362">
        <f t="shared" ref="AL62" si="42">AK62*(100%+$F$10)</f>
        <v>0</v>
      </c>
      <c r="AM62" s="1038"/>
    </row>
    <row r="63" spans="2:39">
      <c r="B63" s="1284"/>
      <c r="C63" s="1361" t="s">
        <v>4737</v>
      </c>
      <c r="D63" s="1337">
        <f>D17</f>
        <v>0</v>
      </c>
      <c r="E63" s="1337">
        <f t="shared" ref="E63:Y63" si="43">+IF(D63&gt;0,D63*(1+$F$17),0)</f>
        <v>0</v>
      </c>
      <c r="F63" s="1337">
        <f t="shared" si="43"/>
        <v>0</v>
      </c>
      <c r="G63" s="1337">
        <f t="shared" si="43"/>
        <v>0</v>
      </c>
      <c r="H63" s="1337">
        <f t="shared" si="43"/>
        <v>0</v>
      </c>
      <c r="I63" s="1337">
        <f t="shared" si="43"/>
        <v>0</v>
      </c>
      <c r="J63" s="1337">
        <f t="shared" si="43"/>
        <v>0</v>
      </c>
      <c r="K63" s="1337">
        <f t="shared" si="43"/>
        <v>0</v>
      </c>
      <c r="L63" s="1337">
        <f t="shared" si="43"/>
        <v>0</v>
      </c>
      <c r="M63" s="1337">
        <f t="shared" si="43"/>
        <v>0</v>
      </c>
      <c r="N63" s="1337">
        <f t="shared" si="43"/>
        <v>0</v>
      </c>
      <c r="O63" s="1337">
        <f t="shared" si="43"/>
        <v>0</v>
      </c>
      <c r="P63" s="1337">
        <f t="shared" si="43"/>
        <v>0</v>
      </c>
      <c r="Q63" s="1337">
        <f t="shared" si="43"/>
        <v>0</v>
      </c>
      <c r="R63" s="1337">
        <f t="shared" si="43"/>
        <v>0</v>
      </c>
      <c r="S63" s="1337">
        <f t="shared" si="43"/>
        <v>0</v>
      </c>
      <c r="T63" s="1337">
        <f t="shared" si="43"/>
        <v>0</v>
      </c>
      <c r="U63" s="1337">
        <f t="shared" si="43"/>
        <v>0</v>
      </c>
      <c r="V63" s="1337">
        <f t="shared" si="43"/>
        <v>0</v>
      </c>
      <c r="W63" s="1337">
        <f t="shared" si="43"/>
        <v>0</v>
      </c>
      <c r="X63" s="1337">
        <f t="shared" si="43"/>
        <v>0</v>
      </c>
      <c r="Y63" s="1337">
        <f t="shared" si="43"/>
        <v>0</v>
      </c>
      <c r="Z63" s="1337">
        <f t="shared" ref="Z63" si="44">+IF(Y63&gt;0,Y63*(1+$F$17),0)</f>
        <v>0</v>
      </c>
      <c r="AA63" s="1337">
        <f t="shared" ref="AA63" si="45">+IF(Z63&gt;0,Z63*(1+$F$17),0)</f>
        <v>0</v>
      </c>
      <c r="AB63" s="1337">
        <f t="shared" ref="AB63" si="46">+IF(AA63&gt;0,AA63*(1+$F$17),0)</f>
        <v>0</v>
      </c>
      <c r="AC63" s="1337">
        <f t="shared" ref="AC63" si="47">+IF(AB63&gt;0,AB63*(1+$F$17),0)</f>
        <v>0</v>
      </c>
      <c r="AD63" s="1337">
        <f t="shared" ref="AD63" si="48">+IF(AC63&gt;0,AC63*(1+$F$17),0)</f>
        <v>0</v>
      </c>
      <c r="AE63" s="1337">
        <f t="shared" ref="AE63" si="49">+IF(AD63&gt;0,AD63*(1+$F$17),0)</f>
        <v>0</v>
      </c>
      <c r="AF63" s="1337">
        <f t="shared" ref="AF63" si="50">+IF(AE63&gt;0,AE63*(1+$F$17),0)</f>
        <v>0</v>
      </c>
      <c r="AG63" s="1337">
        <f t="shared" ref="AG63" si="51">+IF(AF63&gt;0,AF63*(1+$F$17),0)</f>
        <v>0</v>
      </c>
      <c r="AH63" s="1337">
        <f t="shared" ref="AH63" si="52">+IF(AG63&gt;0,AG63*(1+$F$17),0)</f>
        <v>0</v>
      </c>
      <c r="AI63" s="1337">
        <f t="shared" ref="AI63" si="53">+IF(AH63&gt;0,AH63*(1+$F$17),0)</f>
        <v>0</v>
      </c>
      <c r="AJ63" s="1337">
        <f t="shared" ref="AJ63" si="54">+IF(AI63&gt;0,AI63*(1+$F$17),0)</f>
        <v>0</v>
      </c>
      <c r="AK63" s="1337">
        <f t="shared" ref="AK63" si="55">+IF(AJ63&gt;0,AJ63*(1+$F$17),0)</f>
        <v>0</v>
      </c>
      <c r="AL63" s="1337">
        <f t="shared" ref="AL63" si="56">+IF(AK63&gt;0,AK63*(1+$F$17),0)</f>
        <v>0</v>
      </c>
      <c r="AM63" s="1038"/>
    </row>
    <row r="64" spans="2:39">
      <c r="B64" s="1284"/>
      <c r="C64" s="1364" t="s">
        <v>4717</v>
      </c>
      <c r="D64" s="1337">
        <f>D10*-E10</f>
        <v>0</v>
      </c>
      <c r="E64" s="1362">
        <f>D64*(100%+$F$10)</f>
        <v>0</v>
      </c>
      <c r="F64" s="1362">
        <f t="shared" ref="F64:Y64" si="57">E64*(100%+$F$10)</f>
        <v>0</v>
      </c>
      <c r="G64" s="1362">
        <f t="shared" si="57"/>
        <v>0</v>
      </c>
      <c r="H64" s="1362">
        <f t="shared" si="57"/>
        <v>0</v>
      </c>
      <c r="I64" s="1363">
        <f t="shared" si="57"/>
        <v>0</v>
      </c>
      <c r="J64" s="1362">
        <f t="shared" si="57"/>
        <v>0</v>
      </c>
      <c r="K64" s="1362">
        <f t="shared" si="57"/>
        <v>0</v>
      </c>
      <c r="L64" s="1362">
        <f t="shared" si="57"/>
        <v>0</v>
      </c>
      <c r="M64" s="1362">
        <f t="shared" si="57"/>
        <v>0</v>
      </c>
      <c r="N64" s="1362">
        <f t="shared" si="57"/>
        <v>0</v>
      </c>
      <c r="O64" s="1362">
        <f t="shared" si="57"/>
        <v>0</v>
      </c>
      <c r="P64" s="1362">
        <f t="shared" si="57"/>
        <v>0</v>
      </c>
      <c r="Q64" s="1362">
        <f t="shared" si="57"/>
        <v>0</v>
      </c>
      <c r="R64" s="1362">
        <f t="shared" si="57"/>
        <v>0</v>
      </c>
      <c r="S64" s="1362">
        <f t="shared" si="57"/>
        <v>0</v>
      </c>
      <c r="T64" s="1362">
        <f t="shared" si="57"/>
        <v>0</v>
      </c>
      <c r="U64" s="1362">
        <f t="shared" si="57"/>
        <v>0</v>
      </c>
      <c r="V64" s="1362">
        <f t="shared" si="57"/>
        <v>0</v>
      </c>
      <c r="W64" s="1362">
        <f t="shared" si="57"/>
        <v>0</v>
      </c>
      <c r="X64" s="1362">
        <f t="shared" si="57"/>
        <v>0</v>
      </c>
      <c r="Y64" s="1362">
        <f t="shared" si="57"/>
        <v>0</v>
      </c>
      <c r="Z64" s="1362">
        <f t="shared" ref="Z64" si="58">Y64*(100%+$F$10)</f>
        <v>0</v>
      </c>
      <c r="AA64" s="1362">
        <f t="shared" ref="AA64" si="59">Z64*(100%+$F$10)</f>
        <v>0</v>
      </c>
      <c r="AB64" s="1362">
        <f t="shared" ref="AB64" si="60">AA64*(100%+$F$10)</f>
        <v>0</v>
      </c>
      <c r="AC64" s="1362">
        <f t="shared" ref="AC64" si="61">AB64*(100%+$F$10)</f>
        <v>0</v>
      </c>
      <c r="AD64" s="1362">
        <f t="shared" ref="AD64" si="62">AC64*(100%+$F$10)</f>
        <v>0</v>
      </c>
      <c r="AE64" s="1362">
        <f t="shared" ref="AE64" si="63">AD64*(100%+$F$10)</f>
        <v>0</v>
      </c>
      <c r="AF64" s="1362">
        <f t="shared" ref="AF64" si="64">AE64*(100%+$F$10)</f>
        <v>0</v>
      </c>
      <c r="AG64" s="1362">
        <f t="shared" ref="AG64" si="65">AF64*(100%+$F$10)</f>
        <v>0</v>
      </c>
      <c r="AH64" s="1362">
        <f t="shared" ref="AH64" si="66">AG64*(100%+$F$10)</f>
        <v>0</v>
      </c>
      <c r="AI64" s="1362">
        <f t="shared" ref="AI64" si="67">AH64*(100%+$F$10)</f>
        <v>0</v>
      </c>
      <c r="AJ64" s="1362">
        <f t="shared" ref="AJ64" si="68">AI64*(100%+$F$10)</f>
        <v>0</v>
      </c>
      <c r="AK64" s="1362">
        <f t="shared" ref="AK64" si="69">AJ64*(100%+$F$10)</f>
        <v>0</v>
      </c>
      <c r="AL64" s="1362">
        <f t="shared" ref="AL64" si="70">AK64*(100%+$F$10)</f>
        <v>0</v>
      </c>
      <c r="AM64" s="1038"/>
    </row>
    <row r="65" spans="2:39" ht="15.75" customHeight="1">
      <c r="B65" s="1284"/>
      <c r="C65" s="1364" t="s">
        <v>4718</v>
      </c>
      <c r="D65" s="1337">
        <f>IF(D12="Yes",(D11*-E11),0)</f>
        <v>0</v>
      </c>
      <c r="E65" s="1362">
        <f>D65*(100%+$F$11)</f>
        <v>0</v>
      </c>
      <c r="F65" s="1362">
        <f t="shared" ref="F65:Y65" si="71">E65*(100%+$F$11)</f>
        <v>0</v>
      </c>
      <c r="G65" s="1362">
        <f t="shared" si="71"/>
        <v>0</v>
      </c>
      <c r="H65" s="1362">
        <f t="shared" si="71"/>
        <v>0</v>
      </c>
      <c r="I65" s="1363">
        <f t="shared" si="71"/>
        <v>0</v>
      </c>
      <c r="J65" s="1362">
        <f t="shared" si="71"/>
        <v>0</v>
      </c>
      <c r="K65" s="1362">
        <f t="shared" si="71"/>
        <v>0</v>
      </c>
      <c r="L65" s="1362">
        <f t="shared" si="71"/>
        <v>0</v>
      </c>
      <c r="M65" s="1362">
        <f t="shared" si="71"/>
        <v>0</v>
      </c>
      <c r="N65" s="1362">
        <f t="shared" si="71"/>
        <v>0</v>
      </c>
      <c r="O65" s="1362">
        <f t="shared" si="71"/>
        <v>0</v>
      </c>
      <c r="P65" s="1362">
        <f t="shared" si="71"/>
        <v>0</v>
      </c>
      <c r="Q65" s="1362">
        <f t="shared" si="71"/>
        <v>0</v>
      </c>
      <c r="R65" s="1362">
        <f t="shared" si="71"/>
        <v>0</v>
      </c>
      <c r="S65" s="1362">
        <f t="shared" si="71"/>
        <v>0</v>
      </c>
      <c r="T65" s="1362">
        <f t="shared" si="71"/>
        <v>0</v>
      </c>
      <c r="U65" s="1362">
        <f t="shared" si="71"/>
        <v>0</v>
      </c>
      <c r="V65" s="1362">
        <f t="shared" si="71"/>
        <v>0</v>
      </c>
      <c r="W65" s="1362">
        <f t="shared" si="71"/>
        <v>0</v>
      </c>
      <c r="X65" s="1362">
        <f t="shared" si="71"/>
        <v>0</v>
      </c>
      <c r="Y65" s="1362">
        <f t="shared" si="71"/>
        <v>0</v>
      </c>
      <c r="Z65" s="1362">
        <f t="shared" ref="Z65" si="72">Y65*(100%+$F$11)</f>
        <v>0</v>
      </c>
      <c r="AA65" s="1362">
        <f t="shared" ref="AA65" si="73">Z65*(100%+$F$11)</f>
        <v>0</v>
      </c>
      <c r="AB65" s="1362">
        <f t="shared" ref="AB65" si="74">AA65*(100%+$F$11)</f>
        <v>0</v>
      </c>
      <c r="AC65" s="1362">
        <f t="shared" ref="AC65" si="75">AB65*(100%+$F$11)</f>
        <v>0</v>
      </c>
      <c r="AD65" s="1362">
        <f t="shared" ref="AD65" si="76">AC65*(100%+$F$11)</f>
        <v>0</v>
      </c>
      <c r="AE65" s="1362">
        <f t="shared" ref="AE65" si="77">AD65*(100%+$F$11)</f>
        <v>0</v>
      </c>
      <c r="AF65" s="1362">
        <f t="shared" ref="AF65" si="78">AE65*(100%+$F$11)</f>
        <v>0</v>
      </c>
      <c r="AG65" s="1362">
        <f t="shared" ref="AG65" si="79">AF65*(100%+$F$11)</f>
        <v>0</v>
      </c>
      <c r="AH65" s="1362">
        <f t="shared" ref="AH65" si="80">AG65*(100%+$F$11)</f>
        <v>0</v>
      </c>
      <c r="AI65" s="1362">
        <f t="shared" ref="AI65" si="81">AH65*(100%+$F$11)</f>
        <v>0</v>
      </c>
      <c r="AJ65" s="1362">
        <f t="shared" ref="AJ65" si="82">AI65*(100%+$F$11)</f>
        <v>0</v>
      </c>
      <c r="AK65" s="1362">
        <f t="shared" ref="AK65" si="83">AJ65*(100%+$F$11)</f>
        <v>0</v>
      </c>
      <c r="AL65" s="1362">
        <f t="shared" ref="AL65" si="84">AK65*(100%+$F$11)</f>
        <v>0</v>
      </c>
      <c r="AM65" s="1038"/>
    </row>
    <row r="66" spans="2:39">
      <c r="B66" s="1284"/>
      <c r="C66" s="1364" t="s">
        <v>4738</v>
      </c>
      <c r="D66" s="1337">
        <f>D13*-E13</f>
        <v>0</v>
      </c>
      <c r="E66" s="1362">
        <f>D66*(100%+$F$13)</f>
        <v>0</v>
      </c>
      <c r="F66" s="1362">
        <f t="shared" ref="F66:Y66" si="85">E66*(100%+$F$13)</f>
        <v>0</v>
      </c>
      <c r="G66" s="1362">
        <f t="shared" si="85"/>
        <v>0</v>
      </c>
      <c r="H66" s="1362">
        <f t="shared" si="85"/>
        <v>0</v>
      </c>
      <c r="I66" s="1363">
        <f t="shared" si="85"/>
        <v>0</v>
      </c>
      <c r="J66" s="1362">
        <f t="shared" si="85"/>
        <v>0</v>
      </c>
      <c r="K66" s="1362">
        <f t="shared" si="85"/>
        <v>0</v>
      </c>
      <c r="L66" s="1362">
        <f t="shared" si="85"/>
        <v>0</v>
      </c>
      <c r="M66" s="1362">
        <f t="shared" si="85"/>
        <v>0</v>
      </c>
      <c r="N66" s="1362">
        <f t="shared" si="85"/>
        <v>0</v>
      </c>
      <c r="O66" s="1362">
        <f t="shared" si="85"/>
        <v>0</v>
      </c>
      <c r="P66" s="1362">
        <f t="shared" si="85"/>
        <v>0</v>
      </c>
      <c r="Q66" s="1362">
        <f t="shared" si="85"/>
        <v>0</v>
      </c>
      <c r="R66" s="1362">
        <f t="shared" si="85"/>
        <v>0</v>
      </c>
      <c r="S66" s="1362">
        <f t="shared" si="85"/>
        <v>0</v>
      </c>
      <c r="T66" s="1362">
        <f t="shared" si="85"/>
        <v>0</v>
      </c>
      <c r="U66" s="1362">
        <f t="shared" si="85"/>
        <v>0</v>
      </c>
      <c r="V66" s="1362">
        <f t="shared" si="85"/>
        <v>0</v>
      </c>
      <c r="W66" s="1362">
        <f t="shared" si="85"/>
        <v>0</v>
      </c>
      <c r="X66" s="1362">
        <f t="shared" si="85"/>
        <v>0</v>
      </c>
      <c r="Y66" s="1362">
        <f t="shared" si="85"/>
        <v>0</v>
      </c>
      <c r="Z66" s="1362">
        <f t="shared" ref="Z66" si="86">Y66*(100%+$F$13)</f>
        <v>0</v>
      </c>
      <c r="AA66" s="1362">
        <f t="shared" ref="AA66" si="87">Z66*(100%+$F$13)</f>
        <v>0</v>
      </c>
      <c r="AB66" s="1362">
        <f t="shared" ref="AB66" si="88">AA66*(100%+$F$13)</f>
        <v>0</v>
      </c>
      <c r="AC66" s="1362">
        <f t="shared" ref="AC66" si="89">AB66*(100%+$F$13)</f>
        <v>0</v>
      </c>
      <c r="AD66" s="1362">
        <f t="shared" ref="AD66" si="90">AC66*(100%+$F$13)</f>
        <v>0</v>
      </c>
      <c r="AE66" s="1362">
        <f t="shared" ref="AE66" si="91">AD66*(100%+$F$13)</f>
        <v>0</v>
      </c>
      <c r="AF66" s="1362">
        <f t="shared" ref="AF66" si="92">AE66*(100%+$F$13)</f>
        <v>0</v>
      </c>
      <c r="AG66" s="1362">
        <f t="shared" ref="AG66" si="93">AF66*(100%+$F$13)</f>
        <v>0</v>
      </c>
      <c r="AH66" s="1362">
        <f t="shared" ref="AH66" si="94">AG66*(100%+$F$13)</f>
        <v>0</v>
      </c>
      <c r="AI66" s="1362">
        <f t="shared" ref="AI66" si="95">AH66*(100%+$F$13)</f>
        <v>0</v>
      </c>
      <c r="AJ66" s="1362">
        <f t="shared" ref="AJ66" si="96">AI66*(100%+$F$13)</f>
        <v>0</v>
      </c>
      <c r="AK66" s="1362">
        <f t="shared" ref="AK66" si="97">AJ66*(100%+$F$13)</f>
        <v>0</v>
      </c>
      <c r="AL66" s="1362">
        <f t="shared" ref="AL66" si="98">AK66*(100%+$F$13)</f>
        <v>0</v>
      </c>
      <c r="AM66" s="1038"/>
    </row>
    <row r="67" spans="2:39">
      <c r="B67" s="1284"/>
      <c r="C67" s="1364" t="s">
        <v>4739</v>
      </c>
      <c r="D67" s="1337">
        <f>D14*-E14</f>
        <v>0</v>
      </c>
      <c r="E67" s="1362">
        <f>D67*(100% + $F$14)</f>
        <v>0</v>
      </c>
      <c r="F67" s="1362">
        <f t="shared" ref="F67:Y67" si="99">E67*(100% + $F$14)</f>
        <v>0</v>
      </c>
      <c r="G67" s="1362">
        <f t="shared" si="99"/>
        <v>0</v>
      </c>
      <c r="H67" s="1362">
        <f t="shared" si="99"/>
        <v>0</v>
      </c>
      <c r="I67" s="1363">
        <f t="shared" si="99"/>
        <v>0</v>
      </c>
      <c r="J67" s="1362">
        <f t="shared" si="99"/>
        <v>0</v>
      </c>
      <c r="K67" s="1362">
        <f t="shared" si="99"/>
        <v>0</v>
      </c>
      <c r="L67" s="1362">
        <f t="shared" si="99"/>
        <v>0</v>
      </c>
      <c r="M67" s="1362">
        <f t="shared" si="99"/>
        <v>0</v>
      </c>
      <c r="N67" s="1362">
        <f t="shared" si="99"/>
        <v>0</v>
      </c>
      <c r="O67" s="1362">
        <f t="shared" si="99"/>
        <v>0</v>
      </c>
      <c r="P67" s="1362">
        <f t="shared" si="99"/>
        <v>0</v>
      </c>
      <c r="Q67" s="1362">
        <f t="shared" si="99"/>
        <v>0</v>
      </c>
      <c r="R67" s="1362">
        <f t="shared" si="99"/>
        <v>0</v>
      </c>
      <c r="S67" s="1362">
        <f t="shared" si="99"/>
        <v>0</v>
      </c>
      <c r="T67" s="1362">
        <f t="shared" si="99"/>
        <v>0</v>
      </c>
      <c r="U67" s="1362">
        <f t="shared" si="99"/>
        <v>0</v>
      </c>
      <c r="V67" s="1362">
        <f t="shared" si="99"/>
        <v>0</v>
      </c>
      <c r="W67" s="1362">
        <f t="shared" si="99"/>
        <v>0</v>
      </c>
      <c r="X67" s="1362">
        <f t="shared" si="99"/>
        <v>0</v>
      </c>
      <c r="Y67" s="1362">
        <f t="shared" si="99"/>
        <v>0</v>
      </c>
      <c r="Z67" s="1362">
        <f t="shared" ref="Z67" si="100">Y67*(100% + $F$14)</f>
        <v>0</v>
      </c>
      <c r="AA67" s="1362">
        <f t="shared" ref="AA67" si="101">Z67*(100% + $F$14)</f>
        <v>0</v>
      </c>
      <c r="AB67" s="1362">
        <f t="shared" ref="AB67" si="102">AA67*(100% + $F$14)</f>
        <v>0</v>
      </c>
      <c r="AC67" s="1362">
        <f t="shared" ref="AC67" si="103">AB67*(100% + $F$14)</f>
        <v>0</v>
      </c>
      <c r="AD67" s="1362">
        <f t="shared" ref="AD67" si="104">AC67*(100% + $F$14)</f>
        <v>0</v>
      </c>
      <c r="AE67" s="1362">
        <f t="shared" ref="AE67" si="105">AD67*(100% + $F$14)</f>
        <v>0</v>
      </c>
      <c r="AF67" s="1362">
        <f t="shared" ref="AF67" si="106">AE67*(100% + $F$14)</f>
        <v>0</v>
      </c>
      <c r="AG67" s="1362">
        <f t="shared" ref="AG67" si="107">AF67*(100% + $F$14)</f>
        <v>0</v>
      </c>
      <c r="AH67" s="1362">
        <f t="shared" ref="AH67" si="108">AG67*(100% + $F$14)</f>
        <v>0</v>
      </c>
      <c r="AI67" s="1362">
        <f t="shared" ref="AI67" si="109">AH67*(100% + $F$14)</f>
        <v>0</v>
      </c>
      <c r="AJ67" s="1362">
        <f t="shared" ref="AJ67" si="110">AI67*(100% + $F$14)</f>
        <v>0</v>
      </c>
      <c r="AK67" s="1362">
        <f t="shared" ref="AK67" si="111">AJ67*(100% + $F$14)</f>
        <v>0</v>
      </c>
      <c r="AL67" s="1362">
        <f t="shared" ref="AL67" si="112">AK67*(100% + $F$14)</f>
        <v>0</v>
      </c>
      <c r="AM67" s="1038"/>
    </row>
    <row r="68" spans="2:39">
      <c r="B68" s="1284"/>
      <c r="C68" s="1364" t="s">
        <v>4740</v>
      </c>
      <c r="D68" s="1337">
        <f>D15*-E15</f>
        <v>0</v>
      </c>
      <c r="E68" s="1362">
        <f>D68*(100% + $F$15)</f>
        <v>0</v>
      </c>
      <c r="F68" s="1362">
        <f t="shared" ref="F68:Y68" si="113">E68*(100% + $F$15)</f>
        <v>0</v>
      </c>
      <c r="G68" s="1362">
        <f t="shared" si="113"/>
        <v>0</v>
      </c>
      <c r="H68" s="1362">
        <f t="shared" si="113"/>
        <v>0</v>
      </c>
      <c r="I68" s="1363">
        <f t="shared" si="113"/>
        <v>0</v>
      </c>
      <c r="J68" s="1362">
        <f t="shared" si="113"/>
        <v>0</v>
      </c>
      <c r="K68" s="1362">
        <f t="shared" si="113"/>
        <v>0</v>
      </c>
      <c r="L68" s="1362">
        <f t="shared" si="113"/>
        <v>0</v>
      </c>
      <c r="M68" s="1362">
        <f t="shared" si="113"/>
        <v>0</v>
      </c>
      <c r="N68" s="1362">
        <f t="shared" si="113"/>
        <v>0</v>
      </c>
      <c r="O68" s="1362">
        <f t="shared" si="113"/>
        <v>0</v>
      </c>
      <c r="P68" s="1362">
        <f t="shared" si="113"/>
        <v>0</v>
      </c>
      <c r="Q68" s="1362">
        <f t="shared" si="113"/>
        <v>0</v>
      </c>
      <c r="R68" s="1362">
        <f t="shared" si="113"/>
        <v>0</v>
      </c>
      <c r="S68" s="1362">
        <f t="shared" si="113"/>
        <v>0</v>
      </c>
      <c r="T68" s="1362">
        <f t="shared" si="113"/>
        <v>0</v>
      </c>
      <c r="U68" s="1362">
        <f t="shared" si="113"/>
        <v>0</v>
      </c>
      <c r="V68" s="1362">
        <f t="shared" si="113"/>
        <v>0</v>
      </c>
      <c r="W68" s="1362">
        <f t="shared" si="113"/>
        <v>0</v>
      </c>
      <c r="X68" s="1362">
        <f t="shared" si="113"/>
        <v>0</v>
      </c>
      <c r="Y68" s="1362">
        <f t="shared" si="113"/>
        <v>0</v>
      </c>
      <c r="Z68" s="1362">
        <f t="shared" ref="Z68" si="114">Y68*(100% + $F$15)</f>
        <v>0</v>
      </c>
      <c r="AA68" s="1362">
        <f t="shared" ref="AA68" si="115">Z68*(100% + $F$15)</f>
        <v>0</v>
      </c>
      <c r="AB68" s="1362">
        <f t="shared" ref="AB68" si="116">AA68*(100% + $F$15)</f>
        <v>0</v>
      </c>
      <c r="AC68" s="1362">
        <f t="shared" ref="AC68" si="117">AB68*(100% + $F$15)</f>
        <v>0</v>
      </c>
      <c r="AD68" s="1362">
        <f t="shared" ref="AD68" si="118">AC68*(100% + $F$15)</f>
        <v>0</v>
      </c>
      <c r="AE68" s="1362">
        <f t="shared" ref="AE68" si="119">AD68*(100% + $F$15)</f>
        <v>0</v>
      </c>
      <c r="AF68" s="1362">
        <f t="shared" ref="AF68" si="120">AE68*(100% + $F$15)</f>
        <v>0</v>
      </c>
      <c r="AG68" s="1362">
        <f t="shared" ref="AG68" si="121">AF68*(100% + $F$15)</f>
        <v>0</v>
      </c>
      <c r="AH68" s="1362">
        <f t="shared" ref="AH68" si="122">AG68*(100% + $F$15)</f>
        <v>0</v>
      </c>
      <c r="AI68" s="1362">
        <f t="shared" ref="AI68" si="123">AH68*(100% + $F$15)</f>
        <v>0</v>
      </c>
      <c r="AJ68" s="1362">
        <f t="shared" ref="AJ68" si="124">AI68*(100% + $F$15)</f>
        <v>0</v>
      </c>
      <c r="AK68" s="1362">
        <f t="shared" ref="AK68" si="125">AJ68*(100% + $F$15)</f>
        <v>0</v>
      </c>
      <c r="AL68" s="1362">
        <f t="shared" ref="AL68" si="126">AK68*(100% + $F$15)</f>
        <v>0</v>
      </c>
      <c r="AM68" s="1038"/>
    </row>
    <row r="69" spans="2:39">
      <c r="B69" s="1284"/>
      <c r="C69" s="1364" t="s">
        <v>4741</v>
      </c>
      <c r="D69" s="1337">
        <f>D17*-E17</f>
        <v>0</v>
      </c>
      <c r="E69" s="1362">
        <f>D69*(100% + $F$17)</f>
        <v>0</v>
      </c>
      <c r="F69" s="1362">
        <f t="shared" ref="F69:Y69" si="127">E69*(100% + $F$17)</f>
        <v>0</v>
      </c>
      <c r="G69" s="1362">
        <f t="shared" si="127"/>
        <v>0</v>
      </c>
      <c r="H69" s="1362">
        <f t="shared" si="127"/>
        <v>0</v>
      </c>
      <c r="I69" s="1363">
        <f t="shared" si="127"/>
        <v>0</v>
      </c>
      <c r="J69" s="1362">
        <f t="shared" si="127"/>
        <v>0</v>
      </c>
      <c r="K69" s="1362">
        <f t="shared" si="127"/>
        <v>0</v>
      </c>
      <c r="L69" s="1362">
        <f t="shared" si="127"/>
        <v>0</v>
      </c>
      <c r="M69" s="1362">
        <f t="shared" si="127"/>
        <v>0</v>
      </c>
      <c r="N69" s="1362">
        <f t="shared" si="127"/>
        <v>0</v>
      </c>
      <c r="O69" s="1362">
        <f t="shared" si="127"/>
        <v>0</v>
      </c>
      <c r="P69" s="1362">
        <f t="shared" si="127"/>
        <v>0</v>
      </c>
      <c r="Q69" s="1362">
        <f t="shared" si="127"/>
        <v>0</v>
      </c>
      <c r="R69" s="1362">
        <f t="shared" si="127"/>
        <v>0</v>
      </c>
      <c r="S69" s="1362">
        <f t="shared" si="127"/>
        <v>0</v>
      </c>
      <c r="T69" s="1362">
        <f t="shared" si="127"/>
        <v>0</v>
      </c>
      <c r="U69" s="1362">
        <f t="shared" si="127"/>
        <v>0</v>
      </c>
      <c r="V69" s="1362">
        <f t="shared" si="127"/>
        <v>0</v>
      </c>
      <c r="W69" s="1362">
        <f t="shared" si="127"/>
        <v>0</v>
      </c>
      <c r="X69" s="1362">
        <f t="shared" si="127"/>
        <v>0</v>
      </c>
      <c r="Y69" s="1362">
        <f t="shared" si="127"/>
        <v>0</v>
      </c>
      <c r="Z69" s="1362">
        <f t="shared" ref="Z69" si="128">Y69*(100% + $F$17)</f>
        <v>0</v>
      </c>
      <c r="AA69" s="1362">
        <f t="shared" ref="AA69" si="129">Z69*(100% + $F$17)</f>
        <v>0</v>
      </c>
      <c r="AB69" s="1362">
        <f t="shared" ref="AB69" si="130">AA69*(100% + $F$17)</f>
        <v>0</v>
      </c>
      <c r="AC69" s="1362">
        <f t="shared" ref="AC69" si="131">AB69*(100% + $F$17)</f>
        <v>0</v>
      </c>
      <c r="AD69" s="1362">
        <f t="shared" ref="AD69" si="132">AC69*(100% + $F$17)</f>
        <v>0</v>
      </c>
      <c r="AE69" s="1362">
        <f t="shared" ref="AE69" si="133">AD69*(100% + $F$17)</f>
        <v>0</v>
      </c>
      <c r="AF69" s="1362">
        <f t="shared" ref="AF69" si="134">AE69*(100% + $F$17)</f>
        <v>0</v>
      </c>
      <c r="AG69" s="1362">
        <f t="shared" ref="AG69" si="135">AF69*(100% + $F$17)</f>
        <v>0</v>
      </c>
      <c r="AH69" s="1362">
        <f t="shared" ref="AH69" si="136">AG69*(100% + $F$17)</f>
        <v>0</v>
      </c>
      <c r="AI69" s="1362">
        <f t="shared" ref="AI69" si="137">AH69*(100% + $F$17)</f>
        <v>0</v>
      </c>
      <c r="AJ69" s="1362">
        <f t="shared" ref="AJ69" si="138">AI69*(100% + $F$17)</f>
        <v>0</v>
      </c>
      <c r="AK69" s="1362">
        <f t="shared" ref="AK69" si="139">AJ69*(100% + $F$17)</f>
        <v>0</v>
      </c>
      <c r="AL69" s="1362">
        <f t="shared" ref="AL69" si="140">AK69*(100% + $F$17)</f>
        <v>0</v>
      </c>
      <c r="AM69" s="1038"/>
    </row>
    <row r="70" spans="2:39">
      <c r="B70" s="1284"/>
      <c r="C70" s="1365" t="s">
        <v>4742</v>
      </c>
      <c r="D70" s="1337">
        <f>SUM(D64:D69)</f>
        <v>0</v>
      </c>
      <c r="E70" s="1337">
        <f t="shared" ref="E70:Y70" si="141">SUM(E64:E69)</f>
        <v>0</v>
      </c>
      <c r="F70" s="1337">
        <f t="shared" si="141"/>
        <v>0</v>
      </c>
      <c r="G70" s="1337">
        <f t="shared" si="141"/>
        <v>0</v>
      </c>
      <c r="H70" s="1337">
        <f t="shared" si="141"/>
        <v>0</v>
      </c>
      <c r="I70" s="1337">
        <f t="shared" si="141"/>
        <v>0</v>
      </c>
      <c r="J70" s="1337">
        <f t="shared" si="141"/>
        <v>0</v>
      </c>
      <c r="K70" s="1337">
        <f t="shared" si="141"/>
        <v>0</v>
      </c>
      <c r="L70" s="1337">
        <f t="shared" si="141"/>
        <v>0</v>
      </c>
      <c r="M70" s="1337">
        <f t="shared" si="141"/>
        <v>0</v>
      </c>
      <c r="N70" s="1337">
        <f t="shared" si="141"/>
        <v>0</v>
      </c>
      <c r="O70" s="1337">
        <f t="shared" si="141"/>
        <v>0</v>
      </c>
      <c r="P70" s="1337">
        <f t="shared" si="141"/>
        <v>0</v>
      </c>
      <c r="Q70" s="1337">
        <f t="shared" si="141"/>
        <v>0</v>
      </c>
      <c r="R70" s="1337">
        <f t="shared" si="141"/>
        <v>0</v>
      </c>
      <c r="S70" s="1337">
        <f t="shared" si="141"/>
        <v>0</v>
      </c>
      <c r="T70" s="1337">
        <f t="shared" si="141"/>
        <v>0</v>
      </c>
      <c r="U70" s="1337">
        <f t="shared" si="141"/>
        <v>0</v>
      </c>
      <c r="V70" s="1337">
        <f t="shared" si="141"/>
        <v>0</v>
      </c>
      <c r="W70" s="1337">
        <f t="shared" si="141"/>
        <v>0</v>
      </c>
      <c r="X70" s="1337">
        <f t="shared" si="141"/>
        <v>0</v>
      </c>
      <c r="Y70" s="1337">
        <f t="shared" si="141"/>
        <v>0</v>
      </c>
      <c r="Z70" s="1337">
        <f t="shared" ref="Z70:AL70" si="142">SUM(Z64:Z69)</f>
        <v>0</v>
      </c>
      <c r="AA70" s="1337">
        <f t="shared" si="142"/>
        <v>0</v>
      </c>
      <c r="AB70" s="1337">
        <f t="shared" si="142"/>
        <v>0</v>
      </c>
      <c r="AC70" s="1337">
        <f t="shared" si="142"/>
        <v>0</v>
      </c>
      <c r="AD70" s="1337">
        <f t="shared" si="142"/>
        <v>0</v>
      </c>
      <c r="AE70" s="1337">
        <f t="shared" si="142"/>
        <v>0</v>
      </c>
      <c r="AF70" s="1337">
        <f t="shared" si="142"/>
        <v>0</v>
      </c>
      <c r="AG70" s="1337">
        <f t="shared" si="142"/>
        <v>0</v>
      </c>
      <c r="AH70" s="1337">
        <f t="shared" si="142"/>
        <v>0</v>
      </c>
      <c r="AI70" s="1337">
        <f t="shared" si="142"/>
        <v>0</v>
      </c>
      <c r="AJ70" s="1337">
        <f t="shared" si="142"/>
        <v>0</v>
      </c>
      <c r="AK70" s="1337">
        <f t="shared" si="142"/>
        <v>0</v>
      </c>
      <c r="AL70" s="1337">
        <f t="shared" si="142"/>
        <v>0</v>
      </c>
      <c r="AM70" s="1038"/>
    </row>
    <row r="71" spans="2:39">
      <c r="B71" s="1284"/>
      <c r="C71" s="1365" t="s">
        <v>4743</v>
      </c>
      <c r="D71" s="1337">
        <f>SUM(D62:D63)+D70</f>
        <v>0</v>
      </c>
      <c r="E71" s="1337">
        <f t="shared" ref="E71:Y71" si="143">SUM(E62:E63)+E70</f>
        <v>0</v>
      </c>
      <c r="F71" s="1337">
        <f t="shared" si="143"/>
        <v>0</v>
      </c>
      <c r="G71" s="1337">
        <f t="shared" si="143"/>
        <v>0</v>
      </c>
      <c r="H71" s="1337">
        <f t="shared" si="143"/>
        <v>0</v>
      </c>
      <c r="I71" s="1337">
        <f t="shared" si="143"/>
        <v>0</v>
      </c>
      <c r="J71" s="1337">
        <f t="shared" si="143"/>
        <v>0</v>
      </c>
      <c r="K71" s="1337">
        <f t="shared" si="143"/>
        <v>0</v>
      </c>
      <c r="L71" s="1337">
        <f t="shared" si="143"/>
        <v>0</v>
      </c>
      <c r="M71" s="1337">
        <f t="shared" si="143"/>
        <v>0</v>
      </c>
      <c r="N71" s="1337">
        <f t="shared" si="143"/>
        <v>0</v>
      </c>
      <c r="O71" s="1337">
        <f t="shared" si="143"/>
        <v>0</v>
      </c>
      <c r="P71" s="1337">
        <f t="shared" si="143"/>
        <v>0</v>
      </c>
      <c r="Q71" s="1337">
        <f t="shared" si="143"/>
        <v>0</v>
      </c>
      <c r="R71" s="1337">
        <f t="shared" si="143"/>
        <v>0</v>
      </c>
      <c r="S71" s="1337">
        <f t="shared" si="143"/>
        <v>0</v>
      </c>
      <c r="T71" s="1337">
        <f t="shared" si="143"/>
        <v>0</v>
      </c>
      <c r="U71" s="1337">
        <f t="shared" si="143"/>
        <v>0</v>
      </c>
      <c r="V71" s="1337">
        <f t="shared" si="143"/>
        <v>0</v>
      </c>
      <c r="W71" s="1337">
        <f t="shared" si="143"/>
        <v>0</v>
      </c>
      <c r="X71" s="1337">
        <f t="shared" si="143"/>
        <v>0</v>
      </c>
      <c r="Y71" s="1337">
        <f t="shared" si="143"/>
        <v>0</v>
      </c>
      <c r="Z71" s="1337">
        <f t="shared" ref="Z71:AL71" si="144">SUM(Z62:Z63)+Z70</f>
        <v>0</v>
      </c>
      <c r="AA71" s="1337">
        <f t="shared" si="144"/>
        <v>0</v>
      </c>
      <c r="AB71" s="1337">
        <f t="shared" si="144"/>
        <v>0</v>
      </c>
      <c r="AC71" s="1337">
        <f t="shared" si="144"/>
        <v>0</v>
      </c>
      <c r="AD71" s="1337">
        <f t="shared" si="144"/>
        <v>0</v>
      </c>
      <c r="AE71" s="1337">
        <f t="shared" si="144"/>
        <v>0</v>
      </c>
      <c r="AF71" s="1337">
        <f t="shared" si="144"/>
        <v>0</v>
      </c>
      <c r="AG71" s="1337">
        <f t="shared" si="144"/>
        <v>0</v>
      </c>
      <c r="AH71" s="1337">
        <f t="shared" si="144"/>
        <v>0</v>
      </c>
      <c r="AI71" s="1337">
        <f t="shared" si="144"/>
        <v>0</v>
      </c>
      <c r="AJ71" s="1337">
        <f t="shared" si="144"/>
        <v>0</v>
      </c>
      <c r="AK71" s="1337">
        <f t="shared" si="144"/>
        <v>0</v>
      </c>
      <c r="AL71" s="1337">
        <f t="shared" si="144"/>
        <v>0</v>
      </c>
      <c r="AM71" s="1038"/>
    </row>
    <row r="72" spans="2:39">
      <c r="B72" s="1284"/>
      <c r="C72" s="1116"/>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c r="AD72" s="1116"/>
      <c r="AE72" s="1116"/>
      <c r="AF72" s="1116"/>
      <c r="AG72" s="1116"/>
      <c r="AH72" s="1116"/>
      <c r="AI72" s="1116"/>
      <c r="AJ72" s="1116"/>
      <c r="AK72" s="1116"/>
      <c r="AL72" s="1116"/>
      <c r="AM72" s="1133"/>
    </row>
    <row r="73" spans="2:39">
      <c r="B73" s="1284"/>
      <c r="C73" s="1360" t="s">
        <v>4744</v>
      </c>
      <c r="D73" s="1360">
        <v>1</v>
      </c>
      <c r="E73" s="1360">
        <f>D73+1</f>
        <v>2</v>
      </c>
      <c r="F73" s="1360">
        <f>E73+1</f>
        <v>3</v>
      </c>
      <c r="G73" s="1360">
        <f>F73+1</f>
        <v>4</v>
      </c>
      <c r="H73" s="1360">
        <f t="shared" ref="H73" si="145">G73+1</f>
        <v>5</v>
      </c>
      <c r="I73" s="1360">
        <f t="shared" ref="I73" si="146">H73+1</f>
        <v>6</v>
      </c>
      <c r="J73" s="1360">
        <f t="shared" ref="J73" si="147">I73+1</f>
        <v>7</v>
      </c>
      <c r="K73" s="1360">
        <f t="shared" ref="K73" si="148">J73+1</f>
        <v>8</v>
      </c>
      <c r="L73" s="1360">
        <f t="shared" ref="L73" si="149">K73+1</f>
        <v>9</v>
      </c>
      <c r="M73" s="1360">
        <f t="shared" ref="M73" si="150">L73+1</f>
        <v>10</v>
      </c>
      <c r="N73" s="1360">
        <f t="shared" ref="N73" si="151">M73+1</f>
        <v>11</v>
      </c>
      <c r="O73" s="1360">
        <f t="shared" ref="O73" si="152">N73+1</f>
        <v>12</v>
      </c>
      <c r="P73" s="1360">
        <f t="shared" ref="P73" si="153">O73+1</f>
        <v>13</v>
      </c>
      <c r="Q73" s="1360">
        <f t="shared" ref="Q73" si="154">P73+1</f>
        <v>14</v>
      </c>
      <c r="R73" s="1360">
        <f t="shared" ref="R73" si="155">Q73+1</f>
        <v>15</v>
      </c>
      <c r="S73" s="1360">
        <f t="shared" ref="S73" si="156">R73+1</f>
        <v>16</v>
      </c>
      <c r="T73" s="1360">
        <f t="shared" ref="T73" si="157">S73+1</f>
        <v>17</v>
      </c>
      <c r="U73" s="1360">
        <f t="shared" ref="U73" si="158">T73+1</f>
        <v>18</v>
      </c>
      <c r="V73" s="1360">
        <f t="shared" ref="V73" si="159">U73+1</f>
        <v>19</v>
      </c>
      <c r="W73" s="1360">
        <f t="shared" ref="W73" si="160">V73+1</f>
        <v>20</v>
      </c>
      <c r="X73" s="1360">
        <f t="shared" ref="X73" si="161">W73+1</f>
        <v>21</v>
      </c>
      <c r="Y73" s="1360">
        <f t="shared" ref="Y73" si="162">X73+1</f>
        <v>22</v>
      </c>
      <c r="Z73" s="1360">
        <f t="shared" ref="Z73" si="163">Y73+1</f>
        <v>23</v>
      </c>
      <c r="AA73" s="1360">
        <f t="shared" ref="AA73" si="164">Z73+1</f>
        <v>24</v>
      </c>
      <c r="AB73" s="1360">
        <f t="shared" ref="AB73" si="165">AA73+1</f>
        <v>25</v>
      </c>
      <c r="AC73" s="1360">
        <f t="shared" ref="AC73" si="166">AB73+1</f>
        <v>26</v>
      </c>
      <c r="AD73" s="1360">
        <f t="shared" ref="AD73" si="167">AC73+1</f>
        <v>27</v>
      </c>
      <c r="AE73" s="1360">
        <f t="shared" ref="AE73" si="168">AD73+1</f>
        <v>28</v>
      </c>
      <c r="AF73" s="1360">
        <f t="shared" ref="AF73" si="169">AE73+1</f>
        <v>29</v>
      </c>
      <c r="AG73" s="1360">
        <f t="shared" ref="AG73" si="170">AF73+1</f>
        <v>30</v>
      </c>
      <c r="AH73" s="1360">
        <f t="shared" ref="AH73" si="171">AG73+1</f>
        <v>31</v>
      </c>
      <c r="AI73" s="1360">
        <f t="shared" ref="AI73" si="172">AH73+1</f>
        <v>32</v>
      </c>
      <c r="AJ73" s="1360">
        <f t="shared" ref="AJ73" si="173">AI73+1</f>
        <v>33</v>
      </c>
      <c r="AK73" s="1360">
        <f t="shared" ref="AK73" si="174">AJ73+1</f>
        <v>34</v>
      </c>
      <c r="AL73" s="1360">
        <f t="shared" ref="AL73" si="175">AK73+1</f>
        <v>35</v>
      </c>
      <c r="AM73" s="1038"/>
    </row>
    <row r="74" spans="2:39">
      <c r="B74" s="1284"/>
      <c r="C74" s="1365" t="s">
        <v>3533</v>
      </c>
      <c r="D74" s="1337">
        <f>Subtotal__Rent_Expense</f>
        <v>0</v>
      </c>
      <c r="E74" s="1362">
        <f t="shared" ref="E74:Y74" si="176">D74*(100%+$F28)</f>
        <v>0</v>
      </c>
      <c r="F74" s="1362">
        <f t="shared" si="176"/>
        <v>0</v>
      </c>
      <c r="G74" s="1362">
        <f t="shared" si="176"/>
        <v>0</v>
      </c>
      <c r="H74" s="1362">
        <f t="shared" si="176"/>
        <v>0</v>
      </c>
      <c r="I74" s="1363">
        <f t="shared" si="176"/>
        <v>0</v>
      </c>
      <c r="J74" s="1362">
        <f t="shared" si="176"/>
        <v>0</v>
      </c>
      <c r="K74" s="1362">
        <f t="shared" si="176"/>
        <v>0</v>
      </c>
      <c r="L74" s="1362">
        <f t="shared" si="176"/>
        <v>0</v>
      </c>
      <c r="M74" s="1362">
        <f t="shared" si="176"/>
        <v>0</v>
      </c>
      <c r="N74" s="1362">
        <f t="shared" si="176"/>
        <v>0</v>
      </c>
      <c r="O74" s="1362">
        <f t="shared" si="176"/>
        <v>0</v>
      </c>
      <c r="P74" s="1362">
        <f t="shared" si="176"/>
        <v>0</v>
      </c>
      <c r="Q74" s="1362">
        <f t="shared" si="176"/>
        <v>0</v>
      </c>
      <c r="R74" s="1362">
        <f t="shared" si="176"/>
        <v>0</v>
      </c>
      <c r="S74" s="1362">
        <f t="shared" si="176"/>
        <v>0</v>
      </c>
      <c r="T74" s="1362">
        <f t="shared" si="176"/>
        <v>0</v>
      </c>
      <c r="U74" s="1362">
        <f t="shared" si="176"/>
        <v>0</v>
      </c>
      <c r="V74" s="1362">
        <f t="shared" si="176"/>
        <v>0</v>
      </c>
      <c r="W74" s="1362">
        <f t="shared" si="176"/>
        <v>0</v>
      </c>
      <c r="X74" s="1362">
        <f t="shared" si="176"/>
        <v>0</v>
      </c>
      <c r="Y74" s="1362">
        <f t="shared" si="176"/>
        <v>0</v>
      </c>
      <c r="Z74" s="1362">
        <f t="shared" ref="Z74:Z78" si="177">Y74*(100%+$F28)</f>
        <v>0</v>
      </c>
      <c r="AA74" s="1362">
        <f t="shared" ref="AA74:AA78" si="178">Z74*(100%+$F28)</f>
        <v>0</v>
      </c>
      <c r="AB74" s="1362">
        <f t="shared" ref="AB74:AB78" si="179">AA74*(100%+$F28)</f>
        <v>0</v>
      </c>
      <c r="AC74" s="1362">
        <f t="shared" ref="AC74:AC78" si="180">AB74*(100%+$F28)</f>
        <v>0</v>
      </c>
      <c r="AD74" s="1362">
        <f t="shared" ref="AD74:AD78" si="181">AC74*(100%+$F28)</f>
        <v>0</v>
      </c>
      <c r="AE74" s="1362">
        <f t="shared" ref="AE74:AE78" si="182">AD74*(100%+$F28)</f>
        <v>0</v>
      </c>
      <c r="AF74" s="1362">
        <f t="shared" ref="AF74:AF78" si="183">AE74*(100%+$F28)</f>
        <v>0</v>
      </c>
      <c r="AG74" s="1362">
        <f t="shared" ref="AG74:AG78" si="184">AF74*(100%+$F28)</f>
        <v>0</v>
      </c>
      <c r="AH74" s="1362">
        <f t="shared" ref="AH74:AH78" si="185">AG74*(100%+$F28)</f>
        <v>0</v>
      </c>
      <c r="AI74" s="1362">
        <f t="shared" ref="AI74:AI78" si="186">AH74*(100%+$F28)</f>
        <v>0</v>
      </c>
      <c r="AJ74" s="1362">
        <f t="shared" ref="AJ74:AJ78" si="187">AI74*(100%+$F28)</f>
        <v>0</v>
      </c>
      <c r="AK74" s="1362">
        <f t="shared" ref="AK74:AK78" si="188">AJ74*(100%+$F28)</f>
        <v>0</v>
      </c>
      <c r="AL74" s="1362">
        <f t="shared" ref="AL74:AL78" si="189">AK74*(100%+$F28)</f>
        <v>0</v>
      </c>
      <c r="AM74" s="1038"/>
    </row>
    <row r="75" spans="2:39">
      <c r="B75" s="1284"/>
      <c r="C75" s="1365" t="s">
        <v>4745</v>
      </c>
      <c r="D75" s="1366">
        <f>SUM('16. Projected Operating Costs'!D17:D19)</f>
        <v>0</v>
      </c>
      <c r="E75" s="1362">
        <f t="shared" ref="E75:Y75" si="190">D75*(100%+$F29)</f>
        <v>0</v>
      </c>
      <c r="F75" s="1362">
        <f t="shared" si="190"/>
        <v>0</v>
      </c>
      <c r="G75" s="1362">
        <f t="shared" si="190"/>
        <v>0</v>
      </c>
      <c r="H75" s="1362">
        <f t="shared" si="190"/>
        <v>0</v>
      </c>
      <c r="I75" s="1363">
        <f t="shared" si="190"/>
        <v>0</v>
      </c>
      <c r="J75" s="1362">
        <f t="shared" si="190"/>
        <v>0</v>
      </c>
      <c r="K75" s="1362">
        <f t="shared" si="190"/>
        <v>0</v>
      </c>
      <c r="L75" s="1362">
        <f t="shared" si="190"/>
        <v>0</v>
      </c>
      <c r="M75" s="1362">
        <f t="shared" si="190"/>
        <v>0</v>
      </c>
      <c r="N75" s="1362">
        <f t="shared" si="190"/>
        <v>0</v>
      </c>
      <c r="O75" s="1362">
        <f t="shared" si="190"/>
        <v>0</v>
      </c>
      <c r="P75" s="1362">
        <f t="shared" si="190"/>
        <v>0</v>
      </c>
      <c r="Q75" s="1362">
        <f t="shared" si="190"/>
        <v>0</v>
      </c>
      <c r="R75" s="1362">
        <f t="shared" si="190"/>
        <v>0</v>
      </c>
      <c r="S75" s="1362">
        <f t="shared" si="190"/>
        <v>0</v>
      </c>
      <c r="T75" s="1362">
        <f t="shared" si="190"/>
        <v>0</v>
      </c>
      <c r="U75" s="1362">
        <f t="shared" si="190"/>
        <v>0</v>
      </c>
      <c r="V75" s="1362">
        <f t="shared" si="190"/>
        <v>0</v>
      </c>
      <c r="W75" s="1362">
        <f t="shared" si="190"/>
        <v>0</v>
      </c>
      <c r="X75" s="1362">
        <f t="shared" si="190"/>
        <v>0</v>
      </c>
      <c r="Y75" s="1362">
        <f t="shared" si="190"/>
        <v>0</v>
      </c>
      <c r="Z75" s="1362">
        <f t="shared" si="177"/>
        <v>0</v>
      </c>
      <c r="AA75" s="1362">
        <f t="shared" si="178"/>
        <v>0</v>
      </c>
      <c r="AB75" s="1362">
        <f t="shared" si="179"/>
        <v>0</v>
      </c>
      <c r="AC75" s="1362">
        <f t="shared" si="180"/>
        <v>0</v>
      </c>
      <c r="AD75" s="1362">
        <f t="shared" si="181"/>
        <v>0</v>
      </c>
      <c r="AE75" s="1362">
        <f t="shared" si="182"/>
        <v>0</v>
      </c>
      <c r="AF75" s="1362">
        <f t="shared" si="183"/>
        <v>0</v>
      </c>
      <c r="AG75" s="1362">
        <f t="shared" si="184"/>
        <v>0</v>
      </c>
      <c r="AH75" s="1362">
        <f t="shared" si="185"/>
        <v>0</v>
      </c>
      <c r="AI75" s="1362">
        <f t="shared" si="186"/>
        <v>0</v>
      </c>
      <c r="AJ75" s="1362">
        <f t="shared" si="187"/>
        <v>0</v>
      </c>
      <c r="AK75" s="1362">
        <f t="shared" si="188"/>
        <v>0</v>
      </c>
      <c r="AL75" s="1362">
        <f t="shared" si="189"/>
        <v>0</v>
      </c>
      <c r="AM75" s="1038"/>
    </row>
    <row r="76" spans="2:39">
      <c r="B76" s="1284"/>
      <c r="C76" s="1365" t="s">
        <v>4746</v>
      </c>
      <c r="D76" s="1366">
        <f>Subtotal__Administrative_Expenses-D75</f>
        <v>0</v>
      </c>
      <c r="E76" s="1362">
        <f t="shared" ref="E76:Y76" si="191">D76*(100%+$F30)</f>
        <v>0</v>
      </c>
      <c r="F76" s="1362">
        <f t="shared" si="191"/>
        <v>0</v>
      </c>
      <c r="G76" s="1362">
        <f t="shared" si="191"/>
        <v>0</v>
      </c>
      <c r="H76" s="1362">
        <f t="shared" si="191"/>
        <v>0</v>
      </c>
      <c r="I76" s="1363">
        <f t="shared" si="191"/>
        <v>0</v>
      </c>
      <c r="J76" s="1362">
        <f t="shared" si="191"/>
        <v>0</v>
      </c>
      <c r="K76" s="1362">
        <f t="shared" si="191"/>
        <v>0</v>
      </c>
      <c r="L76" s="1362">
        <f t="shared" si="191"/>
        <v>0</v>
      </c>
      <c r="M76" s="1362">
        <f t="shared" si="191"/>
        <v>0</v>
      </c>
      <c r="N76" s="1362">
        <f t="shared" si="191"/>
        <v>0</v>
      </c>
      <c r="O76" s="1362">
        <f t="shared" si="191"/>
        <v>0</v>
      </c>
      <c r="P76" s="1362">
        <f t="shared" si="191"/>
        <v>0</v>
      </c>
      <c r="Q76" s="1362">
        <f t="shared" si="191"/>
        <v>0</v>
      </c>
      <c r="R76" s="1362">
        <f t="shared" si="191"/>
        <v>0</v>
      </c>
      <c r="S76" s="1362">
        <f t="shared" si="191"/>
        <v>0</v>
      </c>
      <c r="T76" s="1362">
        <f t="shared" si="191"/>
        <v>0</v>
      </c>
      <c r="U76" s="1362">
        <f t="shared" si="191"/>
        <v>0</v>
      </c>
      <c r="V76" s="1362">
        <f t="shared" si="191"/>
        <v>0</v>
      </c>
      <c r="W76" s="1362">
        <f t="shared" si="191"/>
        <v>0</v>
      </c>
      <c r="X76" s="1362">
        <f t="shared" si="191"/>
        <v>0</v>
      </c>
      <c r="Y76" s="1362">
        <f t="shared" si="191"/>
        <v>0</v>
      </c>
      <c r="Z76" s="1362">
        <f t="shared" si="177"/>
        <v>0</v>
      </c>
      <c r="AA76" s="1362">
        <f t="shared" si="178"/>
        <v>0</v>
      </c>
      <c r="AB76" s="1362">
        <f t="shared" si="179"/>
        <v>0</v>
      </c>
      <c r="AC76" s="1362">
        <f t="shared" si="180"/>
        <v>0</v>
      </c>
      <c r="AD76" s="1362">
        <f t="shared" si="181"/>
        <v>0</v>
      </c>
      <c r="AE76" s="1362">
        <f t="shared" si="182"/>
        <v>0</v>
      </c>
      <c r="AF76" s="1362">
        <f t="shared" si="183"/>
        <v>0</v>
      </c>
      <c r="AG76" s="1362">
        <f t="shared" si="184"/>
        <v>0</v>
      </c>
      <c r="AH76" s="1362">
        <f t="shared" si="185"/>
        <v>0</v>
      </c>
      <c r="AI76" s="1362">
        <f t="shared" si="186"/>
        <v>0</v>
      </c>
      <c r="AJ76" s="1362">
        <f t="shared" si="187"/>
        <v>0</v>
      </c>
      <c r="AK76" s="1362">
        <f t="shared" si="188"/>
        <v>0</v>
      </c>
      <c r="AL76" s="1362">
        <f t="shared" si="189"/>
        <v>0</v>
      </c>
      <c r="AM76" s="1038"/>
    </row>
    <row r="77" spans="2:39">
      <c r="B77" s="1284"/>
      <c r="C77" s="1365" t="s">
        <v>3537</v>
      </c>
      <c r="D77" s="1366">
        <f>Subtotal__Utilities_Expenses</f>
        <v>0</v>
      </c>
      <c r="E77" s="1362">
        <f t="shared" ref="E77:Y77" si="192">D77*(100%+$F31)</f>
        <v>0</v>
      </c>
      <c r="F77" s="1362">
        <f t="shared" si="192"/>
        <v>0</v>
      </c>
      <c r="G77" s="1362">
        <f t="shared" si="192"/>
        <v>0</v>
      </c>
      <c r="H77" s="1362">
        <f t="shared" si="192"/>
        <v>0</v>
      </c>
      <c r="I77" s="1363">
        <f t="shared" si="192"/>
        <v>0</v>
      </c>
      <c r="J77" s="1362">
        <f t="shared" si="192"/>
        <v>0</v>
      </c>
      <c r="K77" s="1362">
        <f t="shared" si="192"/>
        <v>0</v>
      </c>
      <c r="L77" s="1362">
        <f t="shared" si="192"/>
        <v>0</v>
      </c>
      <c r="M77" s="1362">
        <f t="shared" si="192"/>
        <v>0</v>
      </c>
      <c r="N77" s="1362">
        <f t="shared" si="192"/>
        <v>0</v>
      </c>
      <c r="O77" s="1362">
        <f t="shared" si="192"/>
        <v>0</v>
      </c>
      <c r="P77" s="1362">
        <f t="shared" si="192"/>
        <v>0</v>
      </c>
      <c r="Q77" s="1362">
        <f t="shared" si="192"/>
        <v>0</v>
      </c>
      <c r="R77" s="1362">
        <f t="shared" si="192"/>
        <v>0</v>
      </c>
      <c r="S77" s="1362">
        <f t="shared" si="192"/>
        <v>0</v>
      </c>
      <c r="T77" s="1362">
        <f t="shared" si="192"/>
        <v>0</v>
      </c>
      <c r="U77" s="1362">
        <f t="shared" si="192"/>
        <v>0</v>
      </c>
      <c r="V77" s="1362">
        <f t="shared" si="192"/>
        <v>0</v>
      </c>
      <c r="W77" s="1362">
        <f t="shared" si="192"/>
        <v>0</v>
      </c>
      <c r="X77" s="1362">
        <f t="shared" si="192"/>
        <v>0</v>
      </c>
      <c r="Y77" s="1362">
        <f t="shared" si="192"/>
        <v>0</v>
      </c>
      <c r="Z77" s="1362">
        <f t="shared" si="177"/>
        <v>0</v>
      </c>
      <c r="AA77" s="1362">
        <f t="shared" si="178"/>
        <v>0</v>
      </c>
      <c r="AB77" s="1362">
        <f t="shared" si="179"/>
        <v>0</v>
      </c>
      <c r="AC77" s="1362">
        <f t="shared" si="180"/>
        <v>0</v>
      </c>
      <c r="AD77" s="1362">
        <f t="shared" si="181"/>
        <v>0</v>
      </c>
      <c r="AE77" s="1362">
        <f t="shared" si="182"/>
        <v>0</v>
      </c>
      <c r="AF77" s="1362">
        <f t="shared" si="183"/>
        <v>0</v>
      </c>
      <c r="AG77" s="1362">
        <f t="shared" si="184"/>
        <v>0</v>
      </c>
      <c r="AH77" s="1362">
        <f t="shared" si="185"/>
        <v>0</v>
      </c>
      <c r="AI77" s="1362">
        <f t="shared" si="186"/>
        <v>0</v>
      </c>
      <c r="AJ77" s="1362">
        <f t="shared" si="187"/>
        <v>0</v>
      </c>
      <c r="AK77" s="1362">
        <f t="shared" si="188"/>
        <v>0</v>
      </c>
      <c r="AL77" s="1362">
        <f t="shared" si="189"/>
        <v>0</v>
      </c>
      <c r="AM77" s="1038"/>
    </row>
    <row r="78" spans="2:39">
      <c r="B78" s="1284"/>
      <c r="C78" s="1365" t="s">
        <v>4727</v>
      </c>
      <c r="D78" s="1366">
        <f>Subtotal__Operating___Maintenance_Expenses</f>
        <v>0</v>
      </c>
      <c r="E78" s="1362">
        <f t="shared" ref="E78:Y78" si="193">D78*(100%+$F32)</f>
        <v>0</v>
      </c>
      <c r="F78" s="1362">
        <f t="shared" si="193"/>
        <v>0</v>
      </c>
      <c r="G78" s="1362">
        <f t="shared" si="193"/>
        <v>0</v>
      </c>
      <c r="H78" s="1362">
        <f t="shared" si="193"/>
        <v>0</v>
      </c>
      <c r="I78" s="1363">
        <f t="shared" si="193"/>
        <v>0</v>
      </c>
      <c r="J78" s="1362">
        <f t="shared" si="193"/>
        <v>0</v>
      </c>
      <c r="K78" s="1362">
        <f t="shared" si="193"/>
        <v>0</v>
      </c>
      <c r="L78" s="1362">
        <f t="shared" si="193"/>
        <v>0</v>
      </c>
      <c r="M78" s="1362">
        <f t="shared" si="193"/>
        <v>0</v>
      </c>
      <c r="N78" s="1362">
        <f t="shared" si="193"/>
        <v>0</v>
      </c>
      <c r="O78" s="1362">
        <f t="shared" si="193"/>
        <v>0</v>
      </c>
      <c r="P78" s="1362">
        <f t="shared" si="193"/>
        <v>0</v>
      </c>
      <c r="Q78" s="1362">
        <f t="shared" si="193"/>
        <v>0</v>
      </c>
      <c r="R78" s="1362">
        <f t="shared" si="193"/>
        <v>0</v>
      </c>
      <c r="S78" s="1362">
        <f t="shared" si="193"/>
        <v>0</v>
      </c>
      <c r="T78" s="1362">
        <f t="shared" si="193"/>
        <v>0</v>
      </c>
      <c r="U78" s="1362">
        <f t="shared" si="193"/>
        <v>0</v>
      </c>
      <c r="V78" s="1362">
        <f t="shared" si="193"/>
        <v>0</v>
      </c>
      <c r="W78" s="1362">
        <f t="shared" si="193"/>
        <v>0</v>
      </c>
      <c r="X78" s="1362">
        <f t="shared" si="193"/>
        <v>0</v>
      </c>
      <c r="Y78" s="1362">
        <f t="shared" si="193"/>
        <v>0</v>
      </c>
      <c r="Z78" s="1362">
        <f t="shared" si="177"/>
        <v>0</v>
      </c>
      <c r="AA78" s="1362">
        <f t="shared" si="178"/>
        <v>0</v>
      </c>
      <c r="AB78" s="1362">
        <f t="shared" si="179"/>
        <v>0</v>
      </c>
      <c r="AC78" s="1362">
        <f t="shared" si="180"/>
        <v>0</v>
      </c>
      <c r="AD78" s="1362">
        <f t="shared" si="181"/>
        <v>0</v>
      </c>
      <c r="AE78" s="1362">
        <f t="shared" si="182"/>
        <v>0</v>
      </c>
      <c r="AF78" s="1362">
        <f t="shared" si="183"/>
        <v>0</v>
      </c>
      <c r="AG78" s="1362">
        <f t="shared" si="184"/>
        <v>0</v>
      </c>
      <c r="AH78" s="1362">
        <f t="shared" si="185"/>
        <v>0</v>
      </c>
      <c r="AI78" s="1362">
        <f t="shared" si="186"/>
        <v>0</v>
      </c>
      <c r="AJ78" s="1362">
        <f t="shared" si="187"/>
        <v>0</v>
      </c>
      <c r="AK78" s="1362">
        <f t="shared" si="188"/>
        <v>0</v>
      </c>
      <c r="AL78" s="1362">
        <f t="shared" si="189"/>
        <v>0</v>
      </c>
      <c r="AM78" s="1038"/>
    </row>
    <row r="79" spans="2:39">
      <c r="B79" s="1284"/>
      <c r="C79" s="1365" t="str">
        <f>+'16. Projected Operating Costs'!C51</f>
        <v>Real Estate &amp; Personal Property  Taxes</v>
      </c>
      <c r="D79" s="1366">
        <f>+Real_Estate___Personal_Property__Taxes</f>
        <v>0</v>
      </c>
      <c r="E79" s="1362">
        <f t="shared" ref="E79:Y80" si="194">D79*(100%+$F32)</f>
        <v>0</v>
      </c>
      <c r="F79" s="1362">
        <f t="shared" ref="F79" si="195">E79*(100%+$F32)</f>
        <v>0</v>
      </c>
      <c r="G79" s="1362">
        <f t="shared" ref="G79" si="196">F79*(100%+$F32)</f>
        <v>0</v>
      </c>
      <c r="H79" s="1362">
        <f t="shared" ref="H79" si="197">G79*(100%+$F32)</f>
        <v>0</v>
      </c>
      <c r="I79" s="1363">
        <f t="shared" ref="I79" si="198">H79*(100%+$F32)</f>
        <v>0</v>
      </c>
      <c r="J79" s="1362">
        <f t="shared" ref="J79" si="199">I79*(100%+$F32)</f>
        <v>0</v>
      </c>
      <c r="K79" s="1362">
        <f t="shared" ref="K79" si="200">J79*(100%+$F32)</f>
        <v>0</v>
      </c>
      <c r="L79" s="1362">
        <f t="shared" ref="L79" si="201">K79*(100%+$F32)</f>
        <v>0</v>
      </c>
      <c r="M79" s="1362">
        <f t="shared" ref="M79" si="202">L79*(100%+$F32)</f>
        <v>0</v>
      </c>
      <c r="N79" s="1362">
        <f t="shared" ref="N79" si="203">M79*(100%+$F32)</f>
        <v>0</v>
      </c>
      <c r="O79" s="1362">
        <f t="shared" ref="O79" si="204">N79*(100%+$F32)</f>
        <v>0</v>
      </c>
      <c r="P79" s="1362">
        <f t="shared" ref="P79" si="205">O79*(100%+$F32)</f>
        <v>0</v>
      </c>
      <c r="Q79" s="1362">
        <f t="shared" ref="Q79" si="206">P79*(100%+$F32)</f>
        <v>0</v>
      </c>
      <c r="R79" s="1362">
        <f t="shared" ref="R79" si="207">Q79*(100%+$F32)</f>
        <v>0</v>
      </c>
      <c r="S79" s="1362">
        <f t="shared" ref="S79" si="208">R79*(100%+$F32)</f>
        <v>0</v>
      </c>
      <c r="T79" s="1362">
        <f t="shared" ref="T79" si="209">S79*(100%+$F32)</f>
        <v>0</v>
      </c>
      <c r="U79" s="1362">
        <f t="shared" ref="U79" si="210">T79*(100%+$F32)</f>
        <v>0</v>
      </c>
      <c r="V79" s="1362">
        <f t="shared" ref="V79" si="211">U79*(100%+$F32)</f>
        <v>0</v>
      </c>
      <c r="W79" s="1362">
        <f t="shared" ref="W79" si="212">V79*(100%+$F32)</f>
        <v>0</v>
      </c>
      <c r="X79" s="1362">
        <f t="shared" ref="X79" si="213">W79*(100%+$F32)</f>
        <v>0</v>
      </c>
      <c r="Y79" s="1362">
        <f t="shared" ref="Y79" si="214">X79*(100%+$F32)</f>
        <v>0</v>
      </c>
      <c r="Z79" s="1362">
        <f t="shared" ref="Z79:Z82" si="215">Y79*(100%+$F32)</f>
        <v>0</v>
      </c>
      <c r="AA79" s="1362">
        <f t="shared" ref="AA79:AA82" si="216">Z79*(100%+$F32)</f>
        <v>0</v>
      </c>
      <c r="AB79" s="1362">
        <f t="shared" ref="AB79:AB82" si="217">AA79*(100%+$F32)</f>
        <v>0</v>
      </c>
      <c r="AC79" s="1362">
        <f t="shared" ref="AC79:AC82" si="218">AB79*(100%+$F32)</f>
        <v>0</v>
      </c>
      <c r="AD79" s="1362">
        <f t="shared" ref="AD79:AD82" si="219">AC79*(100%+$F32)</f>
        <v>0</v>
      </c>
      <c r="AE79" s="1362">
        <f t="shared" ref="AE79:AE82" si="220">AD79*(100%+$F32)</f>
        <v>0</v>
      </c>
      <c r="AF79" s="1362">
        <f t="shared" ref="AF79:AF82" si="221">AE79*(100%+$F32)</f>
        <v>0</v>
      </c>
      <c r="AG79" s="1362">
        <f t="shared" ref="AG79:AG82" si="222">AF79*(100%+$F32)</f>
        <v>0</v>
      </c>
      <c r="AH79" s="1362">
        <f t="shared" ref="AH79:AH82" si="223">AG79*(100%+$F32)</f>
        <v>0</v>
      </c>
      <c r="AI79" s="1362">
        <f t="shared" ref="AI79:AI82" si="224">AH79*(100%+$F32)</f>
        <v>0</v>
      </c>
      <c r="AJ79" s="1362">
        <f t="shared" ref="AJ79:AJ82" si="225">AI79*(100%+$F32)</f>
        <v>0</v>
      </c>
      <c r="AK79" s="1362">
        <f t="shared" ref="AK79:AK82" si="226">AJ79*(100%+$F32)</f>
        <v>0</v>
      </c>
      <c r="AL79" s="1362">
        <f t="shared" ref="AL79:AL82" si="227">AK79*(100%+$F32)</f>
        <v>0</v>
      </c>
      <c r="AM79" s="1038"/>
    </row>
    <row r="80" spans="2:39">
      <c r="B80" s="1284"/>
      <c r="C80" s="1365" t="s">
        <v>4747</v>
      </c>
      <c r="D80" s="1366">
        <f>Subtotal__Taxes_and_Insurance-D79</f>
        <v>0</v>
      </c>
      <c r="E80" s="1362">
        <f t="shared" si="194"/>
        <v>0</v>
      </c>
      <c r="F80" s="1362">
        <f t="shared" si="194"/>
        <v>0</v>
      </c>
      <c r="G80" s="1362">
        <f t="shared" si="194"/>
        <v>0</v>
      </c>
      <c r="H80" s="1362">
        <f t="shared" si="194"/>
        <v>0</v>
      </c>
      <c r="I80" s="1363">
        <f t="shared" si="194"/>
        <v>0</v>
      </c>
      <c r="J80" s="1362">
        <f t="shared" si="194"/>
        <v>0</v>
      </c>
      <c r="K80" s="1362">
        <f t="shared" si="194"/>
        <v>0</v>
      </c>
      <c r="L80" s="1362">
        <f t="shared" si="194"/>
        <v>0</v>
      </c>
      <c r="M80" s="1362">
        <f t="shared" si="194"/>
        <v>0</v>
      </c>
      <c r="N80" s="1362">
        <f t="shared" si="194"/>
        <v>0</v>
      </c>
      <c r="O80" s="1362">
        <f t="shared" si="194"/>
        <v>0</v>
      </c>
      <c r="P80" s="1362">
        <f t="shared" si="194"/>
        <v>0</v>
      </c>
      <c r="Q80" s="1362">
        <f t="shared" si="194"/>
        <v>0</v>
      </c>
      <c r="R80" s="1362">
        <f t="shared" si="194"/>
        <v>0</v>
      </c>
      <c r="S80" s="1362">
        <f t="shared" si="194"/>
        <v>0</v>
      </c>
      <c r="T80" s="1362">
        <f t="shared" si="194"/>
        <v>0</v>
      </c>
      <c r="U80" s="1362">
        <f t="shared" si="194"/>
        <v>0</v>
      </c>
      <c r="V80" s="1362">
        <f t="shared" si="194"/>
        <v>0</v>
      </c>
      <c r="W80" s="1362">
        <f t="shared" si="194"/>
        <v>0</v>
      </c>
      <c r="X80" s="1362">
        <f t="shared" si="194"/>
        <v>0</v>
      </c>
      <c r="Y80" s="1362">
        <f t="shared" si="194"/>
        <v>0</v>
      </c>
      <c r="Z80" s="1362">
        <f t="shared" si="215"/>
        <v>0</v>
      </c>
      <c r="AA80" s="1362">
        <f t="shared" si="216"/>
        <v>0</v>
      </c>
      <c r="AB80" s="1362">
        <f t="shared" si="217"/>
        <v>0</v>
      </c>
      <c r="AC80" s="1362">
        <f t="shared" si="218"/>
        <v>0</v>
      </c>
      <c r="AD80" s="1362">
        <f t="shared" si="219"/>
        <v>0</v>
      </c>
      <c r="AE80" s="1362">
        <f t="shared" si="220"/>
        <v>0</v>
      </c>
      <c r="AF80" s="1362">
        <f t="shared" si="221"/>
        <v>0</v>
      </c>
      <c r="AG80" s="1362">
        <f t="shared" si="222"/>
        <v>0</v>
      </c>
      <c r="AH80" s="1362">
        <f t="shared" si="223"/>
        <v>0</v>
      </c>
      <c r="AI80" s="1362">
        <f t="shared" si="224"/>
        <v>0</v>
      </c>
      <c r="AJ80" s="1362">
        <f t="shared" si="225"/>
        <v>0</v>
      </c>
      <c r="AK80" s="1362">
        <f t="shared" si="226"/>
        <v>0</v>
      </c>
      <c r="AL80" s="1362">
        <f t="shared" si="227"/>
        <v>0</v>
      </c>
      <c r="AM80" s="1038"/>
    </row>
    <row r="81" spans="2:41">
      <c r="B81" s="1284"/>
      <c r="C81" s="1365" t="s">
        <v>3540</v>
      </c>
      <c r="D81" s="1366">
        <f>Subtotal__Service_Expense</f>
        <v>0</v>
      </c>
      <c r="E81" s="1362">
        <f t="shared" ref="E81:Y81" si="228">D81*(100%+$F34)</f>
        <v>0</v>
      </c>
      <c r="F81" s="1362">
        <f t="shared" si="228"/>
        <v>0</v>
      </c>
      <c r="G81" s="1362">
        <f t="shared" si="228"/>
        <v>0</v>
      </c>
      <c r="H81" s="1362">
        <f t="shared" si="228"/>
        <v>0</v>
      </c>
      <c r="I81" s="1363">
        <f t="shared" si="228"/>
        <v>0</v>
      </c>
      <c r="J81" s="1362">
        <f t="shared" si="228"/>
        <v>0</v>
      </c>
      <c r="K81" s="1362">
        <f t="shared" si="228"/>
        <v>0</v>
      </c>
      <c r="L81" s="1362">
        <f t="shared" si="228"/>
        <v>0</v>
      </c>
      <c r="M81" s="1362">
        <f t="shared" si="228"/>
        <v>0</v>
      </c>
      <c r="N81" s="1362">
        <f t="shared" si="228"/>
        <v>0</v>
      </c>
      <c r="O81" s="1362">
        <f t="shared" si="228"/>
        <v>0</v>
      </c>
      <c r="P81" s="1362">
        <f t="shared" si="228"/>
        <v>0</v>
      </c>
      <c r="Q81" s="1362">
        <f t="shared" si="228"/>
        <v>0</v>
      </c>
      <c r="R81" s="1362">
        <f t="shared" si="228"/>
        <v>0</v>
      </c>
      <c r="S81" s="1362">
        <f t="shared" si="228"/>
        <v>0</v>
      </c>
      <c r="T81" s="1362">
        <f t="shared" si="228"/>
        <v>0</v>
      </c>
      <c r="U81" s="1362">
        <f t="shared" si="228"/>
        <v>0</v>
      </c>
      <c r="V81" s="1362">
        <f t="shared" si="228"/>
        <v>0</v>
      </c>
      <c r="W81" s="1362">
        <f t="shared" si="228"/>
        <v>0</v>
      </c>
      <c r="X81" s="1362">
        <f t="shared" si="228"/>
        <v>0</v>
      </c>
      <c r="Y81" s="1362">
        <f t="shared" si="228"/>
        <v>0</v>
      </c>
      <c r="Z81" s="1362">
        <f t="shared" si="215"/>
        <v>0</v>
      </c>
      <c r="AA81" s="1362">
        <f t="shared" si="216"/>
        <v>0</v>
      </c>
      <c r="AB81" s="1362">
        <f t="shared" si="217"/>
        <v>0</v>
      </c>
      <c r="AC81" s="1362">
        <f t="shared" si="218"/>
        <v>0</v>
      </c>
      <c r="AD81" s="1362">
        <f t="shared" si="219"/>
        <v>0</v>
      </c>
      <c r="AE81" s="1362">
        <f t="shared" si="220"/>
        <v>0</v>
      </c>
      <c r="AF81" s="1362">
        <f t="shared" si="221"/>
        <v>0</v>
      </c>
      <c r="AG81" s="1362">
        <f t="shared" si="222"/>
        <v>0</v>
      </c>
      <c r="AH81" s="1362">
        <f t="shared" si="223"/>
        <v>0</v>
      </c>
      <c r="AI81" s="1362">
        <f t="shared" si="224"/>
        <v>0</v>
      </c>
      <c r="AJ81" s="1362">
        <f t="shared" si="225"/>
        <v>0</v>
      </c>
      <c r="AK81" s="1362">
        <f t="shared" si="226"/>
        <v>0</v>
      </c>
      <c r="AL81" s="1362">
        <f t="shared" si="227"/>
        <v>0</v>
      </c>
      <c r="AM81" s="1038"/>
    </row>
    <row r="82" spans="2:41">
      <c r="B82" s="1284"/>
      <c r="C82" s="1365" t="s">
        <v>3251</v>
      </c>
      <c r="D82" s="1366">
        <f>Annual_Replacement_Reserve</f>
        <v>0</v>
      </c>
      <c r="E82" s="1362">
        <f t="shared" ref="E82:Y82" si="229">D82*(100%+$F35)</f>
        <v>0</v>
      </c>
      <c r="F82" s="1362">
        <f t="shared" si="229"/>
        <v>0</v>
      </c>
      <c r="G82" s="1362">
        <f t="shared" si="229"/>
        <v>0</v>
      </c>
      <c r="H82" s="1362">
        <f t="shared" si="229"/>
        <v>0</v>
      </c>
      <c r="I82" s="1363">
        <f t="shared" si="229"/>
        <v>0</v>
      </c>
      <c r="J82" s="1362">
        <f t="shared" si="229"/>
        <v>0</v>
      </c>
      <c r="K82" s="1362">
        <f t="shared" si="229"/>
        <v>0</v>
      </c>
      <c r="L82" s="1362">
        <f t="shared" si="229"/>
        <v>0</v>
      </c>
      <c r="M82" s="1362">
        <f t="shared" si="229"/>
        <v>0</v>
      </c>
      <c r="N82" s="1362">
        <f t="shared" si="229"/>
        <v>0</v>
      </c>
      <c r="O82" s="1362">
        <f t="shared" si="229"/>
        <v>0</v>
      </c>
      <c r="P82" s="1362">
        <f t="shared" si="229"/>
        <v>0</v>
      </c>
      <c r="Q82" s="1362">
        <f t="shared" si="229"/>
        <v>0</v>
      </c>
      <c r="R82" s="1362">
        <f t="shared" si="229"/>
        <v>0</v>
      </c>
      <c r="S82" s="1362">
        <f t="shared" si="229"/>
        <v>0</v>
      </c>
      <c r="T82" s="1362">
        <f t="shared" si="229"/>
        <v>0</v>
      </c>
      <c r="U82" s="1362">
        <f t="shared" si="229"/>
        <v>0</v>
      </c>
      <c r="V82" s="1362">
        <f t="shared" si="229"/>
        <v>0</v>
      </c>
      <c r="W82" s="1362">
        <f t="shared" si="229"/>
        <v>0</v>
      </c>
      <c r="X82" s="1362">
        <f t="shared" si="229"/>
        <v>0</v>
      </c>
      <c r="Y82" s="1362">
        <f t="shared" si="229"/>
        <v>0</v>
      </c>
      <c r="Z82" s="1362">
        <f t="shared" si="215"/>
        <v>0</v>
      </c>
      <c r="AA82" s="1362">
        <f t="shared" si="216"/>
        <v>0</v>
      </c>
      <c r="AB82" s="1362">
        <f t="shared" si="217"/>
        <v>0</v>
      </c>
      <c r="AC82" s="1362">
        <f t="shared" si="218"/>
        <v>0</v>
      </c>
      <c r="AD82" s="1362">
        <f t="shared" si="219"/>
        <v>0</v>
      </c>
      <c r="AE82" s="1362">
        <f t="shared" si="220"/>
        <v>0</v>
      </c>
      <c r="AF82" s="1362">
        <f t="shared" si="221"/>
        <v>0</v>
      </c>
      <c r="AG82" s="1362">
        <f t="shared" si="222"/>
        <v>0</v>
      </c>
      <c r="AH82" s="1362">
        <f t="shared" si="223"/>
        <v>0</v>
      </c>
      <c r="AI82" s="1362">
        <f t="shared" si="224"/>
        <v>0</v>
      </c>
      <c r="AJ82" s="1362">
        <f t="shared" si="225"/>
        <v>0</v>
      </c>
      <c r="AK82" s="1362">
        <f t="shared" si="226"/>
        <v>0</v>
      </c>
      <c r="AL82" s="1362">
        <f t="shared" si="227"/>
        <v>0</v>
      </c>
      <c r="AM82" s="1038"/>
    </row>
    <row r="83" spans="2:41">
      <c r="B83" s="1284"/>
      <c r="C83" s="1361" t="s">
        <v>3365</v>
      </c>
      <c r="D83" s="1337">
        <f>SUM(D74:D82)</f>
        <v>0</v>
      </c>
      <c r="E83" s="1337">
        <f t="shared" ref="E83:Y83" si="230">SUM(E74:E82)</f>
        <v>0</v>
      </c>
      <c r="F83" s="1337">
        <f t="shared" si="230"/>
        <v>0</v>
      </c>
      <c r="G83" s="1337">
        <f t="shared" si="230"/>
        <v>0</v>
      </c>
      <c r="H83" s="1337">
        <f t="shared" si="230"/>
        <v>0</v>
      </c>
      <c r="I83" s="1337">
        <f t="shared" si="230"/>
        <v>0</v>
      </c>
      <c r="J83" s="1337">
        <f t="shared" si="230"/>
        <v>0</v>
      </c>
      <c r="K83" s="1337">
        <f t="shared" si="230"/>
        <v>0</v>
      </c>
      <c r="L83" s="1337">
        <f t="shared" si="230"/>
        <v>0</v>
      </c>
      <c r="M83" s="1337">
        <f t="shared" si="230"/>
        <v>0</v>
      </c>
      <c r="N83" s="1337">
        <f t="shared" si="230"/>
        <v>0</v>
      </c>
      <c r="O83" s="1337">
        <f t="shared" si="230"/>
        <v>0</v>
      </c>
      <c r="P83" s="1337">
        <f t="shared" si="230"/>
        <v>0</v>
      </c>
      <c r="Q83" s="1337">
        <f t="shared" si="230"/>
        <v>0</v>
      </c>
      <c r="R83" s="1337">
        <f t="shared" si="230"/>
        <v>0</v>
      </c>
      <c r="S83" s="1337">
        <f t="shared" si="230"/>
        <v>0</v>
      </c>
      <c r="T83" s="1337">
        <f t="shared" si="230"/>
        <v>0</v>
      </c>
      <c r="U83" s="1337">
        <f t="shared" si="230"/>
        <v>0</v>
      </c>
      <c r="V83" s="1337">
        <f t="shared" si="230"/>
        <v>0</v>
      </c>
      <c r="W83" s="1337">
        <f t="shared" si="230"/>
        <v>0</v>
      </c>
      <c r="X83" s="1337">
        <f t="shared" si="230"/>
        <v>0</v>
      </c>
      <c r="Y83" s="1337">
        <f t="shared" si="230"/>
        <v>0</v>
      </c>
      <c r="Z83" s="1337">
        <f t="shared" ref="Z83:AL83" si="231">SUM(Z74:Z82)</f>
        <v>0</v>
      </c>
      <c r="AA83" s="1337">
        <f t="shared" si="231"/>
        <v>0</v>
      </c>
      <c r="AB83" s="1337">
        <f t="shared" si="231"/>
        <v>0</v>
      </c>
      <c r="AC83" s="1337">
        <f t="shared" si="231"/>
        <v>0</v>
      </c>
      <c r="AD83" s="1337">
        <f t="shared" si="231"/>
        <v>0</v>
      </c>
      <c r="AE83" s="1337">
        <f t="shared" si="231"/>
        <v>0</v>
      </c>
      <c r="AF83" s="1337">
        <f t="shared" si="231"/>
        <v>0</v>
      </c>
      <c r="AG83" s="1337">
        <f t="shared" si="231"/>
        <v>0</v>
      </c>
      <c r="AH83" s="1337">
        <f t="shared" si="231"/>
        <v>0</v>
      </c>
      <c r="AI83" s="1337">
        <f t="shared" si="231"/>
        <v>0</v>
      </c>
      <c r="AJ83" s="1337">
        <f t="shared" si="231"/>
        <v>0</v>
      </c>
      <c r="AK83" s="1337">
        <f t="shared" si="231"/>
        <v>0</v>
      </c>
      <c r="AL83" s="1337">
        <f t="shared" si="231"/>
        <v>0</v>
      </c>
      <c r="AM83" s="1038"/>
    </row>
    <row r="84" spans="2:41" ht="17.25" customHeight="1">
      <c r="B84" s="1284"/>
      <c r="C84" s="1367"/>
      <c r="D84" s="1367"/>
      <c r="E84" s="1367"/>
      <c r="F84" s="1367"/>
      <c r="G84" s="1367"/>
      <c r="H84" s="1367"/>
      <c r="I84" s="1367"/>
      <c r="J84" s="1367"/>
      <c r="K84" s="1367"/>
      <c r="L84" s="1367"/>
      <c r="M84" s="1367"/>
      <c r="N84" s="1367"/>
      <c r="O84" s="1367"/>
      <c r="P84" s="1367"/>
      <c r="Q84" s="1367"/>
      <c r="R84" s="1367"/>
      <c r="S84" s="1367"/>
      <c r="T84" s="1367"/>
      <c r="U84" s="1367"/>
      <c r="V84" s="1367"/>
      <c r="W84" s="1367"/>
      <c r="X84" s="1367"/>
      <c r="Y84" s="1367"/>
      <c r="Z84" s="1367"/>
      <c r="AA84" s="1367"/>
      <c r="AB84" s="1367"/>
      <c r="AC84" s="1367"/>
      <c r="AD84" s="1367"/>
      <c r="AE84" s="1367"/>
      <c r="AF84" s="1367"/>
      <c r="AG84" s="1367"/>
      <c r="AH84" s="1367"/>
      <c r="AI84" s="1367"/>
      <c r="AJ84" s="1367"/>
      <c r="AK84" s="1367"/>
      <c r="AL84" s="1367"/>
      <c r="AM84" s="1133"/>
    </row>
    <row r="85" spans="2:41" ht="16.5" customHeight="1">
      <c r="B85" s="1284"/>
      <c r="C85" s="1360" t="s">
        <v>4748</v>
      </c>
      <c r="D85" s="1360">
        <v>1</v>
      </c>
      <c r="E85" s="1360">
        <f>D85+1</f>
        <v>2</v>
      </c>
      <c r="F85" s="1360">
        <f>E85+1</f>
        <v>3</v>
      </c>
      <c r="G85" s="1360">
        <f>F85+1</f>
        <v>4</v>
      </c>
      <c r="H85" s="1360">
        <f t="shared" ref="H85" si="232">G85+1</f>
        <v>5</v>
      </c>
      <c r="I85" s="1360">
        <f t="shared" ref="I85" si="233">H85+1</f>
        <v>6</v>
      </c>
      <c r="J85" s="1360">
        <f t="shared" ref="J85" si="234">I85+1</f>
        <v>7</v>
      </c>
      <c r="K85" s="1360">
        <f t="shared" ref="K85" si="235">J85+1</f>
        <v>8</v>
      </c>
      <c r="L85" s="1360">
        <f t="shared" ref="L85" si="236">K85+1</f>
        <v>9</v>
      </c>
      <c r="M85" s="1360">
        <f t="shared" ref="M85" si="237">L85+1</f>
        <v>10</v>
      </c>
      <c r="N85" s="1360">
        <f t="shared" ref="N85" si="238">M85+1</f>
        <v>11</v>
      </c>
      <c r="O85" s="1360">
        <f t="shared" ref="O85" si="239">N85+1</f>
        <v>12</v>
      </c>
      <c r="P85" s="1360">
        <f t="shared" ref="P85" si="240">O85+1</f>
        <v>13</v>
      </c>
      <c r="Q85" s="1360">
        <f t="shared" ref="Q85" si="241">P85+1</f>
        <v>14</v>
      </c>
      <c r="R85" s="1360">
        <f t="shared" ref="R85" si="242">Q85+1</f>
        <v>15</v>
      </c>
      <c r="S85" s="1360">
        <f t="shared" ref="S85" si="243">R85+1</f>
        <v>16</v>
      </c>
      <c r="T85" s="1360">
        <f t="shared" ref="T85" si="244">S85+1</f>
        <v>17</v>
      </c>
      <c r="U85" s="1360">
        <f t="shared" ref="U85" si="245">T85+1</f>
        <v>18</v>
      </c>
      <c r="V85" s="1360">
        <f t="shared" ref="V85" si="246">U85+1</f>
        <v>19</v>
      </c>
      <c r="W85" s="1360">
        <f t="shared" ref="W85" si="247">V85+1</f>
        <v>20</v>
      </c>
      <c r="X85" s="1360">
        <f t="shared" ref="X85" si="248">W85+1</f>
        <v>21</v>
      </c>
      <c r="Y85" s="1360">
        <f t="shared" ref="Y85" si="249">X85+1</f>
        <v>22</v>
      </c>
      <c r="Z85" s="1360">
        <f t="shared" ref="Z85" si="250">Y85+1</f>
        <v>23</v>
      </c>
      <c r="AA85" s="1360">
        <f t="shared" ref="AA85" si="251">Z85+1</f>
        <v>24</v>
      </c>
      <c r="AB85" s="1360">
        <f t="shared" ref="AB85" si="252">AA85+1</f>
        <v>25</v>
      </c>
      <c r="AC85" s="1360">
        <f t="shared" ref="AC85" si="253">AB85+1</f>
        <v>26</v>
      </c>
      <c r="AD85" s="1360">
        <f t="shared" ref="AD85" si="254">AC85+1</f>
        <v>27</v>
      </c>
      <c r="AE85" s="1360">
        <f t="shared" ref="AE85" si="255">AD85+1</f>
        <v>28</v>
      </c>
      <c r="AF85" s="1360">
        <f t="shared" ref="AF85" si="256">AE85+1</f>
        <v>29</v>
      </c>
      <c r="AG85" s="1360">
        <f t="shared" ref="AG85" si="257">AF85+1</f>
        <v>30</v>
      </c>
      <c r="AH85" s="1360">
        <f t="shared" ref="AH85" si="258">AG85+1</f>
        <v>31</v>
      </c>
      <c r="AI85" s="1360">
        <f t="shared" ref="AI85" si="259">AH85+1</f>
        <v>32</v>
      </c>
      <c r="AJ85" s="1360">
        <f t="shared" ref="AJ85" si="260">AI85+1</f>
        <v>33</v>
      </c>
      <c r="AK85" s="1360">
        <f t="shared" ref="AK85" si="261">AJ85+1</f>
        <v>34</v>
      </c>
      <c r="AL85" s="1360">
        <f t="shared" ref="AL85" si="262">AK85+1</f>
        <v>35</v>
      </c>
      <c r="AM85" s="1038"/>
    </row>
    <row r="86" spans="2:41">
      <c r="B86" s="1284"/>
      <c r="C86" s="1361" t="s">
        <v>4749</v>
      </c>
      <c r="D86" s="1337">
        <f>D71-D83</f>
        <v>0</v>
      </c>
      <c r="E86" s="1337">
        <f>E71-E83</f>
        <v>0</v>
      </c>
      <c r="F86" s="1337">
        <f t="shared" ref="F86:AL86" si="263">F71-F83</f>
        <v>0</v>
      </c>
      <c r="G86" s="1337">
        <f t="shared" si="263"/>
        <v>0</v>
      </c>
      <c r="H86" s="1337">
        <f t="shared" si="263"/>
        <v>0</v>
      </c>
      <c r="I86" s="1337">
        <f t="shared" si="263"/>
        <v>0</v>
      </c>
      <c r="J86" s="1337">
        <f t="shared" si="263"/>
        <v>0</v>
      </c>
      <c r="K86" s="1337">
        <f t="shared" si="263"/>
        <v>0</v>
      </c>
      <c r="L86" s="1337">
        <f t="shared" si="263"/>
        <v>0</v>
      </c>
      <c r="M86" s="1337">
        <f t="shared" si="263"/>
        <v>0</v>
      </c>
      <c r="N86" s="1337">
        <f t="shared" si="263"/>
        <v>0</v>
      </c>
      <c r="O86" s="1337">
        <f t="shared" si="263"/>
        <v>0</v>
      </c>
      <c r="P86" s="1337">
        <f t="shared" si="263"/>
        <v>0</v>
      </c>
      <c r="Q86" s="1337">
        <f t="shared" si="263"/>
        <v>0</v>
      </c>
      <c r="R86" s="1337">
        <f t="shared" si="263"/>
        <v>0</v>
      </c>
      <c r="S86" s="1337">
        <f t="shared" si="263"/>
        <v>0</v>
      </c>
      <c r="T86" s="1337">
        <f t="shared" si="263"/>
        <v>0</v>
      </c>
      <c r="U86" s="1337">
        <f t="shared" si="263"/>
        <v>0</v>
      </c>
      <c r="V86" s="1337">
        <f t="shared" si="263"/>
        <v>0</v>
      </c>
      <c r="W86" s="1337">
        <f t="shared" si="263"/>
        <v>0</v>
      </c>
      <c r="X86" s="1337">
        <f t="shared" si="263"/>
        <v>0</v>
      </c>
      <c r="Y86" s="1337">
        <f t="shared" si="263"/>
        <v>0</v>
      </c>
      <c r="Z86" s="1337">
        <f t="shared" si="263"/>
        <v>0</v>
      </c>
      <c r="AA86" s="1337">
        <f t="shared" si="263"/>
        <v>0</v>
      </c>
      <c r="AB86" s="1337">
        <f t="shared" si="263"/>
        <v>0</v>
      </c>
      <c r="AC86" s="1337">
        <f t="shared" si="263"/>
        <v>0</v>
      </c>
      <c r="AD86" s="1337">
        <f t="shared" si="263"/>
        <v>0</v>
      </c>
      <c r="AE86" s="1337">
        <f t="shared" si="263"/>
        <v>0</v>
      </c>
      <c r="AF86" s="1337">
        <f t="shared" si="263"/>
        <v>0</v>
      </c>
      <c r="AG86" s="1337">
        <f t="shared" si="263"/>
        <v>0</v>
      </c>
      <c r="AH86" s="1337">
        <f t="shared" si="263"/>
        <v>0</v>
      </c>
      <c r="AI86" s="1337">
        <f t="shared" si="263"/>
        <v>0</v>
      </c>
      <c r="AJ86" s="1337">
        <f t="shared" si="263"/>
        <v>0</v>
      </c>
      <c r="AK86" s="1337">
        <f t="shared" si="263"/>
        <v>0</v>
      </c>
      <c r="AL86" s="1337">
        <f t="shared" si="263"/>
        <v>0</v>
      </c>
      <c r="AM86" s="1038"/>
    </row>
    <row r="87" spans="2:41">
      <c r="B87" s="1284"/>
      <c r="C87" s="1126"/>
      <c r="D87" s="1126"/>
      <c r="E87" s="1126"/>
      <c r="F87" s="1126"/>
      <c r="G87" s="1126"/>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c r="AG87" s="1126"/>
      <c r="AH87" s="1126"/>
      <c r="AI87" s="1126"/>
      <c r="AJ87" s="1126"/>
      <c r="AK87" s="1126"/>
      <c r="AL87" s="1126"/>
      <c r="AM87" s="1133"/>
    </row>
    <row r="88" spans="2:41">
      <c r="B88" s="1284"/>
      <c r="C88" s="1126"/>
      <c r="D88" s="1126"/>
      <c r="E88" s="1126"/>
      <c r="F88" s="1126"/>
      <c r="G88" s="1126"/>
      <c r="H88" s="1126"/>
      <c r="I88" s="1126"/>
      <c r="J88" s="1126"/>
      <c r="K88" s="1126"/>
      <c r="L88" s="1126"/>
      <c r="M88" s="1126"/>
      <c r="N88" s="1126"/>
      <c r="O88" s="1126"/>
      <c r="P88" s="1126"/>
      <c r="Q88" s="1126"/>
      <c r="R88" s="1126"/>
      <c r="S88" s="1126"/>
      <c r="T88" s="1126"/>
      <c r="U88" s="1126"/>
      <c r="V88" s="1126"/>
      <c r="W88" s="1126"/>
      <c r="X88" s="1126"/>
      <c r="Y88" s="1126"/>
      <c r="Z88" s="1126"/>
      <c r="AA88" s="1126"/>
      <c r="AB88" s="1126"/>
      <c r="AC88" s="1126"/>
      <c r="AD88" s="1126"/>
      <c r="AE88" s="1126"/>
      <c r="AF88" s="1126"/>
      <c r="AG88" s="1126"/>
      <c r="AH88" s="1126"/>
      <c r="AI88" s="1126"/>
      <c r="AJ88" s="1126"/>
      <c r="AK88" s="1126"/>
      <c r="AL88" s="1126"/>
      <c r="AM88" s="1133"/>
    </row>
    <row r="89" spans="2:41">
      <c r="B89" s="1411"/>
      <c r="C89" s="1360" t="s">
        <v>4750</v>
      </c>
      <c r="D89" s="1360">
        <v>1</v>
      </c>
      <c r="E89" s="1360">
        <f t="shared" ref="E89:AL89" si="264">D89+1</f>
        <v>2</v>
      </c>
      <c r="F89" s="1360">
        <f t="shared" si="264"/>
        <v>3</v>
      </c>
      <c r="G89" s="1360">
        <f t="shared" si="264"/>
        <v>4</v>
      </c>
      <c r="H89" s="1360">
        <f t="shared" si="264"/>
        <v>5</v>
      </c>
      <c r="I89" s="1360">
        <f t="shared" si="264"/>
        <v>6</v>
      </c>
      <c r="J89" s="1360">
        <f t="shared" si="264"/>
        <v>7</v>
      </c>
      <c r="K89" s="1360">
        <f t="shared" si="264"/>
        <v>8</v>
      </c>
      <c r="L89" s="1360">
        <f t="shared" si="264"/>
        <v>9</v>
      </c>
      <c r="M89" s="1360">
        <f t="shared" si="264"/>
        <v>10</v>
      </c>
      <c r="N89" s="1360">
        <f t="shared" si="264"/>
        <v>11</v>
      </c>
      <c r="O89" s="1360">
        <f t="shared" si="264"/>
        <v>12</v>
      </c>
      <c r="P89" s="1360">
        <f t="shared" si="264"/>
        <v>13</v>
      </c>
      <c r="Q89" s="1360">
        <f t="shared" si="264"/>
        <v>14</v>
      </c>
      <c r="R89" s="1360">
        <f t="shared" si="264"/>
        <v>15</v>
      </c>
      <c r="S89" s="1360">
        <f t="shared" si="264"/>
        <v>16</v>
      </c>
      <c r="T89" s="1360">
        <f t="shared" si="264"/>
        <v>17</v>
      </c>
      <c r="U89" s="1360">
        <f t="shared" si="264"/>
        <v>18</v>
      </c>
      <c r="V89" s="1360">
        <f t="shared" si="264"/>
        <v>19</v>
      </c>
      <c r="W89" s="1360">
        <f t="shared" si="264"/>
        <v>20</v>
      </c>
      <c r="X89" s="1360">
        <f t="shared" si="264"/>
        <v>21</v>
      </c>
      <c r="Y89" s="1360">
        <f t="shared" si="264"/>
        <v>22</v>
      </c>
      <c r="Z89" s="1360">
        <f t="shared" si="264"/>
        <v>23</v>
      </c>
      <c r="AA89" s="1360">
        <f t="shared" si="264"/>
        <v>24</v>
      </c>
      <c r="AB89" s="1360">
        <f t="shared" si="264"/>
        <v>25</v>
      </c>
      <c r="AC89" s="1360">
        <f t="shared" si="264"/>
        <v>26</v>
      </c>
      <c r="AD89" s="1360">
        <f t="shared" si="264"/>
        <v>27</v>
      </c>
      <c r="AE89" s="1360">
        <f t="shared" si="264"/>
        <v>28</v>
      </c>
      <c r="AF89" s="1360">
        <f t="shared" si="264"/>
        <v>29</v>
      </c>
      <c r="AG89" s="1360">
        <f t="shared" si="264"/>
        <v>30</v>
      </c>
      <c r="AH89" s="1360">
        <f t="shared" si="264"/>
        <v>31</v>
      </c>
      <c r="AI89" s="1360">
        <f t="shared" si="264"/>
        <v>32</v>
      </c>
      <c r="AJ89" s="1360">
        <f t="shared" si="264"/>
        <v>33</v>
      </c>
      <c r="AK89" s="1360">
        <f t="shared" si="264"/>
        <v>34</v>
      </c>
      <c r="AL89" s="1360">
        <f t="shared" si="264"/>
        <v>35</v>
      </c>
      <c r="AM89" s="1038"/>
      <c r="AN89" s="115" t="s">
        <v>4751</v>
      </c>
      <c r="AO89" s="115" t="s">
        <v>4752</v>
      </c>
    </row>
    <row r="90" spans="2:41">
      <c r="B90" s="1412">
        <v>1</v>
      </c>
      <c r="C90" s="1361" t="str">
        <f>_xlfn.XLOOKUP(B90,'17. Cash Flow and Reserves'!$AU$121:$AU$130,'17. Cash Flow and Reserves'!$AS$121:$AS$130,"No Additional Must Pay Loans")</f>
        <v>No Additional Must Pay Loans</v>
      </c>
      <c r="D90" s="1368">
        <f>_xlfn.XLOOKUP(B90,'17. Cash Flow and Reserves'!$AU$121:$AU$133,'12. Funding Sources'!$N$11:$N$23,0)</f>
        <v>0</v>
      </c>
      <c r="E90" s="1368">
        <f t="shared" ref="E90:AK90" si="265">IF(F85&lt;=$AN$90,D90,IF(F85=$AN$90+1,$AO$90-($D$90*D85),0))</f>
        <v>0</v>
      </c>
      <c r="F90" s="1368">
        <f t="shared" si="265"/>
        <v>0</v>
      </c>
      <c r="G90" s="1368">
        <f t="shared" si="265"/>
        <v>0</v>
      </c>
      <c r="H90" s="1368">
        <f t="shared" si="265"/>
        <v>0</v>
      </c>
      <c r="I90" s="1368">
        <f t="shared" si="265"/>
        <v>0</v>
      </c>
      <c r="J90" s="1368">
        <f t="shared" si="265"/>
        <v>0</v>
      </c>
      <c r="K90" s="1368">
        <f t="shared" si="265"/>
        <v>0</v>
      </c>
      <c r="L90" s="1368">
        <f t="shared" si="265"/>
        <v>0</v>
      </c>
      <c r="M90" s="1368">
        <f t="shared" si="265"/>
        <v>0</v>
      </c>
      <c r="N90" s="1368">
        <f t="shared" si="265"/>
        <v>0</v>
      </c>
      <c r="O90" s="1368">
        <f t="shared" si="265"/>
        <v>0</v>
      </c>
      <c r="P90" s="1368">
        <f t="shared" si="265"/>
        <v>0</v>
      </c>
      <c r="Q90" s="1368">
        <f t="shared" si="265"/>
        <v>0</v>
      </c>
      <c r="R90" s="1368">
        <f t="shared" si="265"/>
        <v>0</v>
      </c>
      <c r="S90" s="1368">
        <f t="shared" si="265"/>
        <v>0</v>
      </c>
      <c r="T90" s="1368">
        <f t="shared" si="265"/>
        <v>0</v>
      </c>
      <c r="U90" s="1368">
        <f t="shared" si="265"/>
        <v>0</v>
      </c>
      <c r="V90" s="1368">
        <f t="shared" si="265"/>
        <v>0</v>
      </c>
      <c r="W90" s="1368">
        <f t="shared" si="265"/>
        <v>0</v>
      </c>
      <c r="X90" s="1368">
        <f t="shared" si="265"/>
        <v>0</v>
      </c>
      <c r="Y90" s="1368">
        <f t="shared" si="265"/>
        <v>0</v>
      </c>
      <c r="Z90" s="1368">
        <f t="shared" si="265"/>
        <v>0</v>
      </c>
      <c r="AA90" s="1368">
        <f t="shared" si="265"/>
        <v>0</v>
      </c>
      <c r="AB90" s="1368">
        <f t="shared" si="265"/>
        <v>0</v>
      </c>
      <c r="AC90" s="1368">
        <f t="shared" si="265"/>
        <v>0</v>
      </c>
      <c r="AD90" s="1368">
        <f t="shared" si="265"/>
        <v>0</v>
      </c>
      <c r="AE90" s="1368">
        <f t="shared" si="265"/>
        <v>0</v>
      </c>
      <c r="AF90" s="1368">
        <f t="shared" si="265"/>
        <v>0</v>
      </c>
      <c r="AG90" s="1368">
        <f t="shared" si="265"/>
        <v>0</v>
      </c>
      <c r="AH90" s="1368">
        <f t="shared" si="265"/>
        <v>0</v>
      </c>
      <c r="AI90" s="1368">
        <f t="shared" si="265"/>
        <v>0</v>
      </c>
      <c r="AJ90" s="1368">
        <f t="shared" si="265"/>
        <v>0</v>
      </c>
      <c r="AK90" s="1368">
        <f t="shared" si="265"/>
        <v>0</v>
      </c>
      <c r="AL90" s="1368">
        <f>IF(AM87&lt;=$AN$90,AK90,IF(AM87=$AN$90+1,$AO$90-($D$90*AK85),0))</f>
        <v>0</v>
      </c>
      <c r="AM90" s="1038"/>
      <c r="AN90" s="115">
        <f>_xlfn.XLOOKUP(B90,'17. Cash Flow and Reserves'!$AU$121:$AU$130,'12. Funding Sources'!$L$11:$L$20,36)</f>
        <v>36</v>
      </c>
      <c r="AO90" s="115">
        <f>_xlfn.XLOOKUP(B90,'17. Cash Flow and Reserves'!$AU$121:$AU$130,'12. Funding Sources'!$N$11:$N$20,0)*AN90</f>
        <v>0</v>
      </c>
    </row>
    <row r="91" spans="2:41">
      <c r="B91" s="1411"/>
      <c r="C91" s="1361" t="s">
        <v>4753</v>
      </c>
      <c r="D91" s="1369">
        <f t="shared" ref="D91:AL91" si="266">IF(D90=0, 0, D86/D90)</f>
        <v>0</v>
      </c>
      <c r="E91" s="1369">
        <f t="shared" si="266"/>
        <v>0</v>
      </c>
      <c r="F91" s="1369">
        <f t="shared" si="266"/>
        <v>0</v>
      </c>
      <c r="G91" s="1369">
        <f t="shared" si="266"/>
        <v>0</v>
      </c>
      <c r="H91" s="1369">
        <f t="shared" si="266"/>
        <v>0</v>
      </c>
      <c r="I91" s="1369">
        <f t="shared" si="266"/>
        <v>0</v>
      </c>
      <c r="J91" s="1369">
        <f t="shared" si="266"/>
        <v>0</v>
      </c>
      <c r="K91" s="1369">
        <f t="shared" si="266"/>
        <v>0</v>
      </c>
      <c r="L91" s="1369">
        <f t="shared" si="266"/>
        <v>0</v>
      </c>
      <c r="M91" s="1369">
        <f t="shared" si="266"/>
        <v>0</v>
      </c>
      <c r="N91" s="1369">
        <f t="shared" si="266"/>
        <v>0</v>
      </c>
      <c r="O91" s="1369">
        <f t="shared" si="266"/>
        <v>0</v>
      </c>
      <c r="P91" s="1369">
        <f t="shared" si="266"/>
        <v>0</v>
      </c>
      <c r="Q91" s="1369">
        <f t="shared" si="266"/>
        <v>0</v>
      </c>
      <c r="R91" s="1369">
        <f t="shared" si="266"/>
        <v>0</v>
      </c>
      <c r="S91" s="1369">
        <f t="shared" si="266"/>
        <v>0</v>
      </c>
      <c r="T91" s="1369">
        <f t="shared" si="266"/>
        <v>0</v>
      </c>
      <c r="U91" s="1369">
        <f t="shared" si="266"/>
        <v>0</v>
      </c>
      <c r="V91" s="1369">
        <f t="shared" si="266"/>
        <v>0</v>
      </c>
      <c r="W91" s="1369">
        <f t="shared" si="266"/>
        <v>0</v>
      </c>
      <c r="X91" s="1369">
        <f t="shared" si="266"/>
        <v>0</v>
      </c>
      <c r="Y91" s="1369">
        <f t="shared" si="266"/>
        <v>0</v>
      </c>
      <c r="Z91" s="1369">
        <f t="shared" si="266"/>
        <v>0</v>
      </c>
      <c r="AA91" s="1369">
        <f t="shared" si="266"/>
        <v>0</v>
      </c>
      <c r="AB91" s="1369">
        <f t="shared" si="266"/>
        <v>0</v>
      </c>
      <c r="AC91" s="1369">
        <f t="shared" si="266"/>
        <v>0</v>
      </c>
      <c r="AD91" s="1369">
        <f t="shared" si="266"/>
        <v>0</v>
      </c>
      <c r="AE91" s="1369">
        <f t="shared" si="266"/>
        <v>0</v>
      </c>
      <c r="AF91" s="1369">
        <f t="shared" si="266"/>
        <v>0</v>
      </c>
      <c r="AG91" s="1369">
        <f t="shared" si="266"/>
        <v>0</v>
      </c>
      <c r="AH91" s="1369">
        <f t="shared" si="266"/>
        <v>0</v>
      </c>
      <c r="AI91" s="1369">
        <f t="shared" si="266"/>
        <v>0</v>
      </c>
      <c r="AJ91" s="1369">
        <f t="shared" si="266"/>
        <v>0</v>
      </c>
      <c r="AK91" s="1369">
        <f t="shared" si="266"/>
        <v>0</v>
      </c>
      <c r="AL91" s="1369">
        <f t="shared" si="266"/>
        <v>0</v>
      </c>
      <c r="AM91" s="1038"/>
    </row>
    <row r="92" spans="2:41">
      <c r="B92" s="1411"/>
      <c r="C92" s="1361" t="s">
        <v>4754</v>
      </c>
      <c r="D92" s="1370">
        <f t="shared" ref="D92:AL92" si="267">D86-D90</f>
        <v>0</v>
      </c>
      <c r="E92" s="1370">
        <f t="shared" si="267"/>
        <v>0</v>
      </c>
      <c r="F92" s="1370">
        <f t="shared" si="267"/>
        <v>0</v>
      </c>
      <c r="G92" s="1370">
        <f t="shared" si="267"/>
        <v>0</v>
      </c>
      <c r="H92" s="1370">
        <f t="shared" si="267"/>
        <v>0</v>
      </c>
      <c r="I92" s="1370">
        <f t="shared" si="267"/>
        <v>0</v>
      </c>
      <c r="J92" s="1370">
        <f t="shared" si="267"/>
        <v>0</v>
      </c>
      <c r="K92" s="1370">
        <f t="shared" si="267"/>
        <v>0</v>
      </c>
      <c r="L92" s="1370">
        <f t="shared" si="267"/>
        <v>0</v>
      </c>
      <c r="M92" s="1370">
        <f t="shared" si="267"/>
        <v>0</v>
      </c>
      <c r="N92" s="1370">
        <f t="shared" si="267"/>
        <v>0</v>
      </c>
      <c r="O92" s="1370">
        <f t="shared" si="267"/>
        <v>0</v>
      </c>
      <c r="P92" s="1370">
        <f t="shared" si="267"/>
        <v>0</v>
      </c>
      <c r="Q92" s="1370">
        <f t="shared" si="267"/>
        <v>0</v>
      </c>
      <c r="R92" s="1370">
        <f t="shared" si="267"/>
        <v>0</v>
      </c>
      <c r="S92" s="1370">
        <f t="shared" si="267"/>
        <v>0</v>
      </c>
      <c r="T92" s="1370">
        <f t="shared" si="267"/>
        <v>0</v>
      </c>
      <c r="U92" s="1370">
        <f t="shared" si="267"/>
        <v>0</v>
      </c>
      <c r="V92" s="1370">
        <f t="shared" si="267"/>
        <v>0</v>
      </c>
      <c r="W92" s="1370">
        <f t="shared" si="267"/>
        <v>0</v>
      </c>
      <c r="X92" s="1370">
        <f t="shared" si="267"/>
        <v>0</v>
      </c>
      <c r="Y92" s="1370">
        <f t="shared" si="267"/>
        <v>0</v>
      </c>
      <c r="Z92" s="1370">
        <f t="shared" si="267"/>
        <v>0</v>
      </c>
      <c r="AA92" s="1370">
        <f t="shared" si="267"/>
        <v>0</v>
      </c>
      <c r="AB92" s="1370">
        <f t="shared" si="267"/>
        <v>0</v>
      </c>
      <c r="AC92" s="1370">
        <f t="shared" si="267"/>
        <v>0</v>
      </c>
      <c r="AD92" s="1370">
        <f t="shared" si="267"/>
        <v>0</v>
      </c>
      <c r="AE92" s="1370">
        <f t="shared" si="267"/>
        <v>0</v>
      </c>
      <c r="AF92" s="1370">
        <f t="shared" si="267"/>
        <v>0</v>
      </c>
      <c r="AG92" s="1370">
        <f t="shared" si="267"/>
        <v>0</v>
      </c>
      <c r="AH92" s="1370">
        <f t="shared" si="267"/>
        <v>0</v>
      </c>
      <c r="AI92" s="1370">
        <f t="shared" si="267"/>
        <v>0</v>
      </c>
      <c r="AJ92" s="1370">
        <f t="shared" si="267"/>
        <v>0</v>
      </c>
      <c r="AK92" s="1370">
        <f t="shared" si="267"/>
        <v>0</v>
      </c>
      <c r="AL92" s="1370">
        <f t="shared" si="267"/>
        <v>0</v>
      </c>
      <c r="AM92" s="1038"/>
    </row>
    <row r="93" spans="2:41">
      <c r="B93" s="1411"/>
      <c r="C93" s="1361" t="s">
        <v>4755</v>
      </c>
      <c r="D93" s="1371"/>
      <c r="E93" s="1372"/>
      <c r="F93" s="1372"/>
      <c r="G93" s="1372"/>
      <c r="H93" s="1372"/>
      <c r="I93" s="1372"/>
      <c r="J93" s="1372"/>
      <c r="K93" s="1372"/>
      <c r="L93" s="1372"/>
      <c r="M93" s="1372"/>
      <c r="N93" s="1372"/>
      <c r="O93" s="1372"/>
      <c r="P93" s="1372"/>
      <c r="Q93" s="1372"/>
      <c r="R93" s="1372"/>
      <c r="S93" s="1372"/>
      <c r="T93" s="1372"/>
      <c r="U93" s="1372"/>
      <c r="V93" s="1372"/>
      <c r="W93" s="1372"/>
      <c r="X93" s="1372"/>
      <c r="Y93" s="1372"/>
      <c r="Z93" s="1372"/>
      <c r="AA93" s="1372"/>
      <c r="AB93" s="1372"/>
      <c r="AC93" s="1372"/>
      <c r="AD93" s="1372"/>
      <c r="AE93" s="1372"/>
      <c r="AF93" s="1372"/>
      <c r="AG93" s="1372"/>
      <c r="AH93" s="1372"/>
      <c r="AI93" s="1372"/>
      <c r="AJ93" s="1372"/>
      <c r="AK93" s="1372"/>
      <c r="AL93" s="1372"/>
      <c r="AM93" s="1038"/>
    </row>
    <row r="94" spans="2:41" ht="15.6" customHeight="1">
      <c r="B94" s="1411"/>
      <c r="C94" s="1361" t="s">
        <v>4756</v>
      </c>
      <c r="D94" s="1370">
        <f t="shared" ref="D94:Y94" si="268">D92-D93</f>
        <v>0</v>
      </c>
      <c r="E94" s="1370">
        <f t="shared" si="268"/>
        <v>0</v>
      </c>
      <c r="F94" s="1370">
        <f t="shared" si="268"/>
        <v>0</v>
      </c>
      <c r="G94" s="1370">
        <f t="shared" si="268"/>
        <v>0</v>
      </c>
      <c r="H94" s="1370">
        <f t="shared" si="268"/>
        <v>0</v>
      </c>
      <c r="I94" s="1370">
        <f t="shared" si="268"/>
        <v>0</v>
      </c>
      <c r="J94" s="1370">
        <f t="shared" si="268"/>
        <v>0</v>
      </c>
      <c r="K94" s="1370">
        <f t="shared" si="268"/>
        <v>0</v>
      </c>
      <c r="L94" s="1370">
        <f t="shared" si="268"/>
        <v>0</v>
      </c>
      <c r="M94" s="1370">
        <f t="shared" si="268"/>
        <v>0</v>
      </c>
      <c r="N94" s="1370">
        <f t="shared" si="268"/>
        <v>0</v>
      </c>
      <c r="O94" s="1370">
        <f t="shared" si="268"/>
        <v>0</v>
      </c>
      <c r="P94" s="1370">
        <f t="shared" si="268"/>
        <v>0</v>
      </c>
      <c r="Q94" s="1370">
        <f t="shared" si="268"/>
        <v>0</v>
      </c>
      <c r="R94" s="1370">
        <f t="shared" si="268"/>
        <v>0</v>
      </c>
      <c r="S94" s="1370">
        <f t="shared" si="268"/>
        <v>0</v>
      </c>
      <c r="T94" s="1370">
        <f t="shared" si="268"/>
        <v>0</v>
      </c>
      <c r="U94" s="1370">
        <f t="shared" si="268"/>
        <v>0</v>
      </c>
      <c r="V94" s="1370">
        <f t="shared" si="268"/>
        <v>0</v>
      </c>
      <c r="W94" s="1370">
        <f t="shared" si="268"/>
        <v>0</v>
      </c>
      <c r="X94" s="1370">
        <f t="shared" si="268"/>
        <v>0</v>
      </c>
      <c r="Y94" s="1370">
        <f t="shared" si="268"/>
        <v>0</v>
      </c>
      <c r="Z94" s="1370">
        <f t="shared" ref="Z94:AJ94" si="269">Z92-Z93</f>
        <v>0</v>
      </c>
      <c r="AA94" s="1370">
        <f t="shared" si="269"/>
        <v>0</v>
      </c>
      <c r="AB94" s="1370">
        <f t="shared" si="269"/>
        <v>0</v>
      </c>
      <c r="AC94" s="1370">
        <f t="shared" si="269"/>
        <v>0</v>
      </c>
      <c r="AD94" s="1370">
        <f t="shared" si="269"/>
        <v>0</v>
      </c>
      <c r="AE94" s="1370">
        <f t="shared" si="269"/>
        <v>0</v>
      </c>
      <c r="AF94" s="1370">
        <f t="shared" si="269"/>
        <v>0</v>
      </c>
      <c r="AG94" s="1370">
        <f t="shared" si="269"/>
        <v>0</v>
      </c>
      <c r="AH94" s="1370">
        <f t="shared" si="269"/>
        <v>0</v>
      </c>
      <c r="AI94" s="1370">
        <f t="shared" si="269"/>
        <v>0</v>
      </c>
      <c r="AJ94" s="1370">
        <f t="shared" si="269"/>
        <v>0</v>
      </c>
      <c r="AK94" s="1370">
        <f t="shared" ref="AK94:AL94" si="270">AK92-AK93</f>
        <v>0</v>
      </c>
      <c r="AL94" s="1370">
        <f t="shared" si="270"/>
        <v>0</v>
      </c>
      <c r="AM94" s="1038"/>
    </row>
    <row r="95" spans="2:41" ht="14.45" customHeight="1">
      <c r="B95" s="1411"/>
      <c r="C95" s="1116"/>
      <c r="D95" s="1116"/>
      <c r="E95" s="1027"/>
      <c r="F95" s="1116"/>
      <c r="G95" s="1116"/>
      <c r="H95" s="1116"/>
      <c r="I95" s="1116"/>
      <c r="J95" s="1116"/>
      <c r="K95" s="1116"/>
      <c r="L95" s="1116"/>
      <c r="M95" s="1116"/>
      <c r="N95" s="1116"/>
      <c r="O95" s="1116"/>
      <c r="P95" s="1116"/>
      <c r="Q95" s="1116"/>
      <c r="R95" s="1116"/>
      <c r="S95" s="1116"/>
      <c r="T95" s="1116"/>
      <c r="U95" s="1116"/>
      <c r="V95" s="1116"/>
      <c r="W95" s="1116"/>
      <c r="X95" s="1116"/>
      <c r="Y95" s="1373"/>
      <c r="Z95" s="1373"/>
      <c r="AA95" s="1373"/>
      <c r="AB95" s="1373"/>
      <c r="AC95" s="1373"/>
      <c r="AD95" s="1373"/>
      <c r="AE95" s="1373"/>
      <c r="AF95" s="1373"/>
      <c r="AG95" s="1373"/>
      <c r="AH95" s="1373"/>
      <c r="AI95" s="1373"/>
      <c r="AJ95" s="1373"/>
      <c r="AK95" s="1373"/>
      <c r="AL95" s="1116"/>
      <c r="AM95" s="1133"/>
    </row>
    <row r="96" spans="2:41" ht="14.45" customHeight="1">
      <c r="B96" s="1411">
        <v>2</v>
      </c>
      <c r="C96" s="1357" t="str">
        <f>_xlfn.XLOOKUP(B96,'17. Cash Flow and Reserves'!$AU$121:$AU$130,'17. Cash Flow and Reserves'!$AS$121:$AS$130,"No Additional Must Pay Loans")</f>
        <v>No Additional Must Pay Loans</v>
      </c>
      <c r="D96" s="1368">
        <f>_xlfn.XLOOKUP(B96,'17. Cash Flow and Reserves'!$AU$121:$AU$133,'12. Funding Sources'!$N$11:$N$23,0)</f>
        <v>0</v>
      </c>
      <c r="E96" s="1368">
        <f t="shared" ref="E96:AK96" si="271">IF(F85&lt;=$AN$96,D96,IF(F85=$AN$96+1,$AO$96-($D$96*D85),0))</f>
        <v>0</v>
      </c>
      <c r="F96" s="1368">
        <f t="shared" si="271"/>
        <v>0</v>
      </c>
      <c r="G96" s="1368">
        <f t="shared" si="271"/>
        <v>0</v>
      </c>
      <c r="H96" s="1368">
        <f t="shared" si="271"/>
        <v>0</v>
      </c>
      <c r="I96" s="1368">
        <f t="shared" si="271"/>
        <v>0</v>
      </c>
      <c r="J96" s="1368">
        <f t="shared" si="271"/>
        <v>0</v>
      </c>
      <c r="K96" s="1368">
        <f t="shared" si="271"/>
        <v>0</v>
      </c>
      <c r="L96" s="1368">
        <f t="shared" si="271"/>
        <v>0</v>
      </c>
      <c r="M96" s="1368">
        <f t="shared" si="271"/>
        <v>0</v>
      </c>
      <c r="N96" s="1368">
        <f t="shared" si="271"/>
        <v>0</v>
      </c>
      <c r="O96" s="1368">
        <f t="shared" si="271"/>
        <v>0</v>
      </c>
      <c r="P96" s="1368">
        <f t="shared" si="271"/>
        <v>0</v>
      </c>
      <c r="Q96" s="1368">
        <f t="shared" si="271"/>
        <v>0</v>
      </c>
      <c r="R96" s="1368">
        <f t="shared" si="271"/>
        <v>0</v>
      </c>
      <c r="S96" s="1368">
        <f t="shared" si="271"/>
        <v>0</v>
      </c>
      <c r="T96" s="1368">
        <f t="shared" si="271"/>
        <v>0</v>
      </c>
      <c r="U96" s="1368">
        <f t="shared" si="271"/>
        <v>0</v>
      </c>
      <c r="V96" s="1368">
        <f t="shared" si="271"/>
        <v>0</v>
      </c>
      <c r="W96" s="1368">
        <f t="shared" si="271"/>
        <v>0</v>
      </c>
      <c r="X96" s="1368">
        <f t="shared" si="271"/>
        <v>0</v>
      </c>
      <c r="Y96" s="1368">
        <f t="shared" si="271"/>
        <v>0</v>
      </c>
      <c r="Z96" s="1368">
        <f t="shared" si="271"/>
        <v>0</v>
      </c>
      <c r="AA96" s="1368">
        <f t="shared" si="271"/>
        <v>0</v>
      </c>
      <c r="AB96" s="1368">
        <f t="shared" si="271"/>
        <v>0</v>
      </c>
      <c r="AC96" s="1368">
        <f t="shared" si="271"/>
        <v>0</v>
      </c>
      <c r="AD96" s="1368">
        <f t="shared" si="271"/>
        <v>0</v>
      </c>
      <c r="AE96" s="1368">
        <f t="shared" si="271"/>
        <v>0</v>
      </c>
      <c r="AF96" s="1368">
        <f t="shared" si="271"/>
        <v>0</v>
      </c>
      <c r="AG96" s="1368">
        <f t="shared" si="271"/>
        <v>0</v>
      </c>
      <c r="AH96" s="1368">
        <f t="shared" si="271"/>
        <v>0</v>
      </c>
      <c r="AI96" s="1368">
        <f t="shared" si="271"/>
        <v>0</v>
      </c>
      <c r="AJ96" s="1368">
        <f t="shared" si="271"/>
        <v>0</v>
      </c>
      <c r="AK96" s="1368">
        <f t="shared" si="271"/>
        <v>0</v>
      </c>
      <c r="AL96" s="1368">
        <f>IF(AM87&lt;=$AN$96,AK96,IF(AM87=$AN$96+1,$AO$96-($D$96*AK85),0))</f>
        <v>0</v>
      </c>
      <c r="AM96" s="1038"/>
      <c r="AN96" s="115">
        <f>_xlfn.XLOOKUP(B96,'17. Cash Flow and Reserves'!$AU$121:$AU$130,'12. Funding Sources'!$L$11:$L$20,36)</f>
        <v>36</v>
      </c>
      <c r="AO96" s="115">
        <f>_xlfn.XLOOKUP(B96,'17. Cash Flow and Reserves'!$AU$121:$AU$130,'12. Funding Sources'!$N$11:$N$20,0)*AN96</f>
        <v>0</v>
      </c>
    </row>
    <row r="97" spans="2:41" ht="14.45" customHeight="1">
      <c r="B97" s="1411"/>
      <c r="C97" s="1357" t="s">
        <v>4753</v>
      </c>
      <c r="D97" s="1369">
        <f>(IF(D96&gt;0,D86/(D90+D96),IF(D91&gt;0,D91,0)))</f>
        <v>0</v>
      </c>
      <c r="E97" s="1369">
        <f t="shared" ref="E97:AL97" si="272">+IFERROR(IF(E96&gt;0,E86/(E90+E96),0),"N/A")</f>
        <v>0</v>
      </c>
      <c r="F97" s="1369">
        <f t="shared" si="272"/>
        <v>0</v>
      </c>
      <c r="G97" s="1369">
        <f t="shared" si="272"/>
        <v>0</v>
      </c>
      <c r="H97" s="1369">
        <f t="shared" si="272"/>
        <v>0</v>
      </c>
      <c r="I97" s="1369">
        <f t="shared" si="272"/>
        <v>0</v>
      </c>
      <c r="J97" s="1369">
        <f t="shared" si="272"/>
        <v>0</v>
      </c>
      <c r="K97" s="1369">
        <f t="shared" si="272"/>
        <v>0</v>
      </c>
      <c r="L97" s="1369">
        <f t="shared" si="272"/>
        <v>0</v>
      </c>
      <c r="M97" s="1369">
        <f t="shared" si="272"/>
        <v>0</v>
      </c>
      <c r="N97" s="1369">
        <f t="shared" si="272"/>
        <v>0</v>
      </c>
      <c r="O97" s="1369">
        <f t="shared" si="272"/>
        <v>0</v>
      </c>
      <c r="P97" s="1369">
        <f t="shared" si="272"/>
        <v>0</v>
      </c>
      <c r="Q97" s="1369">
        <f t="shared" si="272"/>
        <v>0</v>
      </c>
      <c r="R97" s="1369">
        <f t="shared" si="272"/>
        <v>0</v>
      </c>
      <c r="S97" s="1369">
        <f t="shared" si="272"/>
        <v>0</v>
      </c>
      <c r="T97" s="1369">
        <f t="shared" si="272"/>
        <v>0</v>
      </c>
      <c r="U97" s="1369">
        <f t="shared" si="272"/>
        <v>0</v>
      </c>
      <c r="V97" s="1369">
        <f t="shared" si="272"/>
        <v>0</v>
      </c>
      <c r="W97" s="1369">
        <f t="shared" si="272"/>
        <v>0</v>
      </c>
      <c r="X97" s="1369">
        <f t="shared" si="272"/>
        <v>0</v>
      </c>
      <c r="Y97" s="1369">
        <f t="shared" si="272"/>
        <v>0</v>
      </c>
      <c r="Z97" s="1369">
        <f t="shared" si="272"/>
        <v>0</v>
      </c>
      <c r="AA97" s="1369">
        <f t="shared" si="272"/>
        <v>0</v>
      </c>
      <c r="AB97" s="1369">
        <f t="shared" si="272"/>
        <v>0</v>
      </c>
      <c r="AC97" s="1369">
        <f t="shared" si="272"/>
        <v>0</v>
      </c>
      <c r="AD97" s="1369">
        <f t="shared" si="272"/>
        <v>0</v>
      </c>
      <c r="AE97" s="1369">
        <f t="shared" si="272"/>
        <v>0</v>
      </c>
      <c r="AF97" s="1369">
        <f t="shared" si="272"/>
        <v>0</v>
      </c>
      <c r="AG97" s="1369">
        <f t="shared" si="272"/>
        <v>0</v>
      </c>
      <c r="AH97" s="1369">
        <f t="shared" si="272"/>
        <v>0</v>
      </c>
      <c r="AI97" s="1369">
        <f t="shared" si="272"/>
        <v>0</v>
      </c>
      <c r="AJ97" s="1369">
        <f t="shared" si="272"/>
        <v>0</v>
      </c>
      <c r="AK97" s="1369">
        <f t="shared" si="272"/>
        <v>0</v>
      </c>
      <c r="AL97" s="1369">
        <f t="shared" si="272"/>
        <v>0</v>
      </c>
      <c r="AM97" s="1038"/>
    </row>
    <row r="98" spans="2:41" ht="14.45" customHeight="1">
      <c r="B98" s="1411"/>
      <c r="C98" s="1357" t="s">
        <v>4757</v>
      </c>
      <c r="D98" s="1370">
        <f>D94-D96</f>
        <v>0</v>
      </c>
      <c r="E98" s="1370">
        <f>E94-E96</f>
        <v>0</v>
      </c>
      <c r="F98" s="1370">
        <f t="shared" ref="F98:Y98" si="273">F94-F96</f>
        <v>0</v>
      </c>
      <c r="G98" s="1370">
        <f t="shared" si="273"/>
        <v>0</v>
      </c>
      <c r="H98" s="1370">
        <f t="shared" si="273"/>
        <v>0</v>
      </c>
      <c r="I98" s="1370">
        <f t="shared" si="273"/>
        <v>0</v>
      </c>
      <c r="J98" s="1370">
        <f t="shared" si="273"/>
        <v>0</v>
      </c>
      <c r="K98" s="1370">
        <f t="shared" si="273"/>
        <v>0</v>
      </c>
      <c r="L98" s="1370">
        <f t="shared" si="273"/>
        <v>0</v>
      </c>
      <c r="M98" s="1370">
        <f t="shared" si="273"/>
        <v>0</v>
      </c>
      <c r="N98" s="1370">
        <f t="shared" si="273"/>
        <v>0</v>
      </c>
      <c r="O98" s="1370">
        <f t="shared" si="273"/>
        <v>0</v>
      </c>
      <c r="P98" s="1370">
        <f t="shared" si="273"/>
        <v>0</v>
      </c>
      <c r="Q98" s="1370">
        <f t="shared" si="273"/>
        <v>0</v>
      </c>
      <c r="R98" s="1370">
        <f t="shared" si="273"/>
        <v>0</v>
      </c>
      <c r="S98" s="1370">
        <f t="shared" si="273"/>
        <v>0</v>
      </c>
      <c r="T98" s="1370">
        <f t="shared" si="273"/>
        <v>0</v>
      </c>
      <c r="U98" s="1370">
        <f t="shared" si="273"/>
        <v>0</v>
      </c>
      <c r="V98" s="1370">
        <f t="shared" si="273"/>
        <v>0</v>
      </c>
      <c r="W98" s="1370">
        <f t="shared" si="273"/>
        <v>0</v>
      </c>
      <c r="X98" s="1370">
        <f t="shared" si="273"/>
        <v>0</v>
      </c>
      <c r="Y98" s="1370">
        <f t="shared" si="273"/>
        <v>0</v>
      </c>
      <c r="Z98" s="1370">
        <f t="shared" ref="Z98:AJ98" si="274">Z94-Z96</f>
        <v>0</v>
      </c>
      <c r="AA98" s="1370">
        <f t="shared" si="274"/>
        <v>0</v>
      </c>
      <c r="AB98" s="1370">
        <f t="shared" si="274"/>
        <v>0</v>
      </c>
      <c r="AC98" s="1370">
        <f t="shared" si="274"/>
        <v>0</v>
      </c>
      <c r="AD98" s="1370">
        <f t="shared" si="274"/>
        <v>0</v>
      </c>
      <c r="AE98" s="1370">
        <f t="shared" si="274"/>
        <v>0</v>
      </c>
      <c r="AF98" s="1370">
        <f t="shared" si="274"/>
        <v>0</v>
      </c>
      <c r="AG98" s="1370">
        <f t="shared" si="274"/>
        <v>0</v>
      </c>
      <c r="AH98" s="1370">
        <f t="shared" si="274"/>
        <v>0</v>
      </c>
      <c r="AI98" s="1370">
        <f t="shared" si="274"/>
        <v>0</v>
      </c>
      <c r="AJ98" s="1370">
        <f t="shared" si="274"/>
        <v>0</v>
      </c>
      <c r="AK98" s="1370">
        <f t="shared" ref="AK98:AL98" si="275">AK94-AK96</f>
        <v>0</v>
      </c>
      <c r="AL98" s="1370">
        <f t="shared" si="275"/>
        <v>0</v>
      </c>
      <c r="AM98" s="1038"/>
    </row>
    <row r="99" spans="2:41" ht="14.45" customHeight="1">
      <c r="B99" s="1411"/>
      <c r="C99" s="1374"/>
      <c r="D99" s="1375"/>
      <c r="E99" s="1375"/>
      <c r="F99" s="1375"/>
      <c r="G99" s="1375"/>
      <c r="H99" s="1375"/>
      <c r="I99" s="1375"/>
      <c r="J99" s="1375"/>
      <c r="K99" s="1375"/>
      <c r="L99" s="1375"/>
      <c r="M99" s="1375"/>
      <c r="N99" s="1375"/>
      <c r="O99" s="1375"/>
      <c r="P99" s="1375"/>
      <c r="Q99" s="1375"/>
      <c r="R99" s="1375"/>
      <c r="S99" s="1375"/>
      <c r="T99" s="1375"/>
      <c r="U99" s="1375"/>
      <c r="V99" s="1375"/>
      <c r="W99" s="1375"/>
      <c r="X99" s="1375"/>
      <c r="Y99" s="1376"/>
      <c r="Z99" s="1376"/>
      <c r="AA99" s="1376"/>
      <c r="AB99" s="1376"/>
      <c r="AC99" s="1376"/>
      <c r="AD99" s="1376"/>
      <c r="AE99" s="1376"/>
      <c r="AF99" s="1376"/>
      <c r="AG99" s="1376"/>
      <c r="AH99" s="1376"/>
      <c r="AI99" s="1376"/>
      <c r="AJ99" s="1376"/>
      <c r="AK99" s="1376"/>
      <c r="AL99" s="1376"/>
      <c r="AM99" s="1038"/>
    </row>
    <row r="100" spans="2:41" ht="14.45" customHeight="1">
      <c r="B100" s="1411">
        <v>3</v>
      </c>
      <c r="C100" s="1357" t="str">
        <f>_xlfn.XLOOKUP(B100,'17. Cash Flow and Reserves'!$AU$121:$AU$130,'17. Cash Flow and Reserves'!$AS$121:$AS$130,"No Additional Must Pay Loans")</f>
        <v>No Additional Must Pay Loans</v>
      </c>
      <c r="D100" s="1368">
        <f>_xlfn.XLOOKUP(B100,'17. Cash Flow and Reserves'!$AU$121:$AU$133,'12. Funding Sources'!$N$11:$N$23,0)</f>
        <v>0</v>
      </c>
      <c r="E100" s="1368">
        <f t="shared" ref="E100:AK100" si="276">IF(F85&lt;=$AN$100,D100,IF(F85=$AN$100+1,$AO$100-($D$100*D85),0))</f>
        <v>0</v>
      </c>
      <c r="F100" s="1368">
        <f t="shared" si="276"/>
        <v>0</v>
      </c>
      <c r="G100" s="1368">
        <f t="shared" si="276"/>
        <v>0</v>
      </c>
      <c r="H100" s="1368">
        <f t="shared" si="276"/>
        <v>0</v>
      </c>
      <c r="I100" s="1368">
        <f t="shared" si="276"/>
        <v>0</v>
      </c>
      <c r="J100" s="1368">
        <f t="shared" si="276"/>
        <v>0</v>
      </c>
      <c r="K100" s="1368">
        <f t="shared" si="276"/>
        <v>0</v>
      </c>
      <c r="L100" s="1368">
        <f t="shared" si="276"/>
        <v>0</v>
      </c>
      <c r="M100" s="1368">
        <f t="shared" si="276"/>
        <v>0</v>
      </c>
      <c r="N100" s="1368">
        <f t="shared" si="276"/>
        <v>0</v>
      </c>
      <c r="O100" s="1368">
        <f t="shared" si="276"/>
        <v>0</v>
      </c>
      <c r="P100" s="1368">
        <f t="shared" si="276"/>
        <v>0</v>
      </c>
      <c r="Q100" s="1368">
        <f t="shared" si="276"/>
        <v>0</v>
      </c>
      <c r="R100" s="1368">
        <f t="shared" si="276"/>
        <v>0</v>
      </c>
      <c r="S100" s="1368">
        <f t="shared" si="276"/>
        <v>0</v>
      </c>
      <c r="T100" s="1368">
        <f t="shared" si="276"/>
        <v>0</v>
      </c>
      <c r="U100" s="1368">
        <f t="shared" si="276"/>
        <v>0</v>
      </c>
      <c r="V100" s="1368">
        <f t="shared" si="276"/>
        <v>0</v>
      </c>
      <c r="W100" s="1368">
        <f t="shared" si="276"/>
        <v>0</v>
      </c>
      <c r="X100" s="1368">
        <f t="shared" si="276"/>
        <v>0</v>
      </c>
      <c r="Y100" s="1368">
        <f t="shared" si="276"/>
        <v>0</v>
      </c>
      <c r="Z100" s="1368">
        <f t="shared" si="276"/>
        <v>0</v>
      </c>
      <c r="AA100" s="1368">
        <f t="shared" si="276"/>
        <v>0</v>
      </c>
      <c r="AB100" s="1368">
        <f t="shared" si="276"/>
        <v>0</v>
      </c>
      <c r="AC100" s="1368">
        <f t="shared" si="276"/>
        <v>0</v>
      </c>
      <c r="AD100" s="1368">
        <f t="shared" si="276"/>
        <v>0</v>
      </c>
      <c r="AE100" s="1368">
        <f t="shared" si="276"/>
        <v>0</v>
      </c>
      <c r="AF100" s="1368">
        <f t="shared" si="276"/>
        <v>0</v>
      </c>
      <c r="AG100" s="1368">
        <f t="shared" si="276"/>
        <v>0</v>
      </c>
      <c r="AH100" s="1368">
        <f t="shared" si="276"/>
        <v>0</v>
      </c>
      <c r="AI100" s="1368">
        <f t="shared" si="276"/>
        <v>0</v>
      </c>
      <c r="AJ100" s="1368">
        <f t="shared" si="276"/>
        <v>0</v>
      </c>
      <c r="AK100" s="1368">
        <f t="shared" si="276"/>
        <v>0</v>
      </c>
      <c r="AL100" s="1368">
        <f>IF(AM87&lt;=$AN$100,AK100,IF(AM87=$AN$100+1,$AO$100-($D$100*AK85),0))</f>
        <v>0</v>
      </c>
      <c r="AM100" s="1038"/>
      <c r="AN100" s="115">
        <f>_xlfn.XLOOKUP(B100,'17. Cash Flow and Reserves'!$AU$121:$AU$130,'12. Funding Sources'!$L$11:$L$20,36)</f>
        <v>36</v>
      </c>
      <c r="AO100" s="115">
        <f>_xlfn.XLOOKUP(B100,'17. Cash Flow and Reserves'!$AU$121:$AU$130,'12. Funding Sources'!$N$11:$N$20,0)*AN100</f>
        <v>0</v>
      </c>
    </row>
    <row r="101" spans="2:41" ht="14.45" customHeight="1">
      <c r="B101" s="1411"/>
      <c r="C101" s="1357" t="s">
        <v>4753</v>
      </c>
      <c r="D101" s="1369">
        <f>(IF(D100&gt;0,D86/(D96+D100),IF(D97&gt;0,D97,0)))</f>
        <v>0</v>
      </c>
      <c r="E101" s="1369">
        <f t="shared" ref="E101:AL101" si="277">+IFERROR(IF(E100&gt;0,E86/(E90+E96+E100),0),"N/A")</f>
        <v>0</v>
      </c>
      <c r="F101" s="1369">
        <f t="shared" si="277"/>
        <v>0</v>
      </c>
      <c r="G101" s="1369">
        <f t="shared" si="277"/>
        <v>0</v>
      </c>
      <c r="H101" s="1369">
        <f t="shared" si="277"/>
        <v>0</v>
      </c>
      <c r="I101" s="1369">
        <f t="shared" si="277"/>
        <v>0</v>
      </c>
      <c r="J101" s="1369">
        <f t="shared" si="277"/>
        <v>0</v>
      </c>
      <c r="K101" s="1369">
        <f t="shared" si="277"/>
        <v>0</v>
      </c>
      <c r="L101" s="1369">
        <f t="shared" si="277"/>
        <v>0</v>
      </c>
      <c r="M101" s="1369">
        <f t="shared" si="277"/>
        <v>0</v>
      </c>
      <c r="N101" s="1369">
        <f t="shared" si="277"/>
        <v>0</v>
      </c>
      <c r="O101" s="1369">
        <f t="shared" si="277"/>
        <v>0</v>
      </c>
      <c r="P101" s="1369">
        <f t="shared" si="277"/>
        <v>0</v>
      </c>
      <c r="Q101" s="1369">
        <f t="shared" si="277"/>
        <v>0</v>
      </c>
      <c r="R101" s="1369">
        <f t="shared" si="277"/>
        <v>0</v>
      </c>
      <c r="S101" s="1369">
        <f t="shared" si="277"/>
        <v>0</v>
      </c>
      <c r="T101" s="1369">
        <f t="shared" si="277"/>
        <v>0</v>
      </c>
      <c r="U101" s="1369">
        <f t="shared" si="277"/>
        <v>0</v>
      </c>
      <c r="V101" s="1369">
        <f t="shared" si="277"/>
        <v>0</v>
      </c>
      <c r="W101" s="1369">
        <f t="shared" si="277"/>
        <v>0</v>
      </c>
      <c r="X101" s="1369">
        <f t="shared" si="277"/>
        <v>0</v>
      </c>
      <c r="Y101" s="1369">
        <f t="shared" si="277"/>
        <v>0</v>
      </c>
      <c r="Z101" s="1369">
        <f t="shared" si="277"/>
        <v>0</v>
      </c>
      <c r="AA101" s="1369">
        <f t="shared" si="277"/>
        <v>0</v>
      </c>
      <c r="AB101" s="1369">
        <f t="shared" si="277"/>
        <v>0</v>
      </c>
      <c r="AC101" s="1369">
        <f t="shared" si="277"/>
        <v>0</v>
      </c>
      <c r="AD101" s="1369">
        <f t="shared" si="277"/>
        <v>0</v>
      </c>
      <c r="AE101" s="1369">
        <f t="shared" si="277"/>
        <v>0</v>
      </c>
      <c r="AF101" s="1369">
        <f t="shared" si="277"/>
        <v>0</v>
      </c>
      <c r="AG101" s="1369">
        <f t="shared" si="277"/>
        <v>0</v>
      </c>
      <c r="AH101" s="1369">
        <f t="shared" si="277"/>
        <v>0</v>
      </c>
      <c r="AI101" s="1369">
        <f t="shared" si="277"/>
        <v>0</v>
      </c>
      <c r="AJ101" s="1369">
        <f t="shared" si="277"/>
        <v>0</v>
      </c>
      <c r="AK101" s="1369">
        <f t="shared" si="277"/>
        <v>0</v>
      </c>
      <c r="AL101" s="1369">
        <f t="shared" si="277"/>
        <v>0</v>
      </c>
      <c r="AM101" s="1038"/>
    </row>
    <row r="102" spans="2:41" ht="14.45" customHeight="1">
      <c r="B102" s="1411"/>
      <c r="C102" s="1357" t="s">
        <v>4757</v>
      </c>
      <c r="D102" s="1370">
        <f t="shared" ref="D102:Y102" si="278">D98-D100</f>
        <v>0</v>
      </c>
      <c r="E102" s="1370">
        <f t="shared" si="278"/>
        <v>0</v>
      </c>
      <c r="F102" s="1370">
        <f t="shared" si="278"/>
        <v>0</v>
      </c>
      <c r="G102" s="1370">
        <f t="shared" si="278"/>
        <v>0</v>
      </c>
      <c r="H102" s="1370">
        <f t="shared" si="278"/>
        <v>0</v>
      </c>
      <c r="I102" s="1370">
        <f t="shared" si="278"/>
        <v>0</v>
      </c>
      <c r="J102" s="1370">
        <f t="shared" si="278"/>
        <v>0</v>
      </c>
      <c r="K102" s="1370">
        <f t="shared" si="278"/>
        <v>0</v>
      </c>
      <c r="L102" s="1370">
        <f t="shared" si="278"/>
        <v>0</v>
      </c>
      <c r="M102" s="1370">
        <f t="shared" si="278"/>
        <v>0</v>
      </c>
      <c r="N102" s="1370">
        <f t="shared" si="278"/>
        <v>0</v>
      </c>
      <c r="O102" s="1370">
        <f t="shared" si="278"/>
        <v>0</v>
      </c>
      <c r="P102" s="1370">
        <f t="shared" si="278"/>
        <v>0</v>
      </c>
      <c r="Q102" s="1370">
        <f t="shared" si="278"/>
        <v>0</v>
      </c>
      <c r="R102" s="1370">
        <f t="shared" si="278"/>
        <v>0</v>
      </c>
      <c r="S102" s="1370">
        <f t="shared" si="278"/>
        <v>0</v>
      </c>
      <c r="T102" s="1370">
        <f t="shared" si="278"/>
        <v>0</v>
      </c>
      <c r="U102" s="1370">
        <f t="shared" si="278"/>
        <v>0</v>
      </c>
      <c r="V102" s="1370">
        <f t="shared" si="278"/>
        <v>0</v>
      </c>
      <c r="W102" s="1370">
        <f t="shared" si="278"/>
        <v>0</v>
      </c>
      <c r="X102" s="1370">
        <f t="shared" si="278"/>
        <v>0</v>
      </c>
      <c r="Y102" s="1370">
        <f t="shared" si="278"/>
        <v>0</v>
      </c>
      <c r="Z102" s="1370">
        <f t="shared" ref="Z102:AJ102" si="279">Z98-Z100</f>
        <v>0</v>
      </c>
      <c r="AA102" s="1370">
        <f t="shared" si="279"/>
        <v>0</v>
      </c>
      <c r="AB102" s="1370">
        <f t="shared" si="279"/>
        <v>0</v>
      </c>
      <c r="AC102" s="1370">
        <f t="shared" si="279"/>
        <v>0</v>
      </c>
      <c r="AD102" s="1370">
        <f t="shared" si="279"/>
        <v>0</v>
      </c>
      <c r="AE102" s="1370">
        <f t="shared" si="279"/>
        <v>0</v>
      </c>
      <c r="AF102" s="1370">
        <f t="shared" si="279"/>
        <v>0</v>
      </c>
      <c r="AG102" s="1370">
        <f t="shared" si="279"/>
        <v>0</v>
      </c>
      <c r="AH102" s="1370">
        <f t="shared" si="279"/>
        <v>0</v>
      </c>
      <c r="AI102" s="1370">
        <f t="shared" si="279"/>
        <v>0</v>
      </c>
      <c r="AJ102" s="1370">
        <f t="shared" si="279"/>
        <v>0</v>
      </c>
      <c r="AK102" s="1370">
        <f t="shared" ref="AK102:AL102" si="280">AK98-AK100</f>
        <v>0</v>
      </c>
      <c r="AL102" s="1370">
        <f t="shared" si="280"/>
        <v>0</v>
      </c>
      <c r="AM102" s="1038"/>
    </row>
    <row r="103" spans="2:41" ht="14.45" customHeight="1">
      <c r="B103" s="1411"/>
      <c r="C103" s="1374"/>
      <c r="D103" s="1375"/>
      <c r="E103" s="1375"/>
      <c r="F103" s="1375"/>
      <c r="G103" s="1375"/>
      <c r="H103" s="1375"/>
      <c r="I103" s="1375"/>
      <c r="J103" s="1375"/>
      <c r="K103" s="1375"/>
      <c r="L103" s="1375"/>
      <c r="M103" s="1375"/>
      <c r="N103" s="1375"/>
      <c r="O103" s="1375"/>
      <c r="P103" s="1375"/>
      <c r="Q103" s="1375"/>
      <c r="R103" s="1375"/>
      <c r="S103" s="1375"/>
      <c r="T103" s="1375"/>
      <c r="U103" s="1375"/>
      <c r="V103" s="1375"/>
      <c r="W103" s="1375"/>
      <c r="X103" s="1375"/>
      <c r="Y103" s="1376"/>
      <c r="Z103" s="1376"/>
      <c r="AA103" s="1376"/>
      <c r="AB103" s="1376"/>
      <c r="AC103" s="1376"/>
      <c r="AD103" s="1376"/>
      <c r="AE103" s="1376"/>
      <c r="AF103" s="1376"/>
      <c r="AG103" s="1376"/>
      <c r="AH103" s="1376"/>
      <c r="AI103" s="1376"/>
      <c r="AJ103" s="1376"/>
      <c r="AK103" s="1376"/>
      <c r="AL103" s="1376"/>
      <c r="AM103" s="1038"/>
    </row>
    <row r="104" spans="2:41" ht="14.45" customHeight="1">
      <c r="B104" s="1411">
        <v>4</v>
      </c>
      <c r="C104" s="1357" t="str">
        <f>_xlfn.XLOOKUP(B104,'17. Cash Flow and Reserves'!$AU$121:$AU$130,'17. Cash Flow and Reserves'!$AS$121:$AS$130,"No Additional Must Pay Loans")</f>
        <v>No Additional Must Pay Loans</v>
      </c>
      <c r="D104" s="1368">
        <f>_xlfn.XLOOKUP(B104,'17. Cash Flow and Reserves'!$AU$121:$AU$133,'12. Funding Sources'!$N$11:$N$23,0)</f>
        <v>0</v>
      </c>
      <c r="E104" s="1368">
        <f t="shared" ref="E104:AK104" si="281">IF(F85&lt;=$AN$104,D104,IF(F85=$AN$104+1,$AO$104-($D$104*D85),0))</f>
        <v>0</v>
      </c>
      <c r="F104" s="1368">
        <f t="shared" si="281"/>
        <v>0</v>
      </c>
      <c r="G104" s="1368">
        <f t="shared" si="281"/>
        <v>0</v>
      </c>
      <c r="H104" s="1368">
        <f t="shared" si="281"/>
        <v>0</v>
      </c>
      <c r="I104" s="1368">
        <f t="shared" si="281"/>
        <v>0</v>
      </c>
      <c r="J104" s="1368">
        <f t="shared" si="281"/>
        <v>0</v>
      </c>
      <c r="K104" s="1368">
        <f t="shared" si="281"/>
        <v>0</v>
      </c>
      <c r="L104" s="1368">
        <f t="shared" si="281"/>
        <v>0</v>
      </c>
      <c r="M104" s="1368">
        <f t="shared" si="281"/>
        <v>0</v>
      </c>
      <c r="N104" s="1368">
        <f t="shared" si="281"/>
        <v>0</v>
      </c>
      <c r="O104" s="1368">
        <f t="shared" si="281"/>
        <v>0</v>
      </c>
      <c r="P104" s="1368">
        <f t="shared" si="281"/>
        <v>0</v>
      </c>
      <c r="Q104" s="1368">
        <f t="shared" si="281"/>
        <v>0</v>
      </c>
      <c r="R104" s="1368">
        <f t="shared" si="281"/>
        <v>0</v>
      </c>
      <c r="S104" s="1368">
        <f t="shared" si="281"/>
        <v>0</v>
      </c>
      <c r="T104" s="1368">
        <f t="shared" si="281"/>
        <v>0</v>
      </c>
      <c r="U104" s="1368">
        <f t="shared" si="281"/>
        <v>0</v>
      </c>
      <c r="V104" s="1368">
        <f t="shared" si="281"/>
        <v>0</v>
      </c>
      <c r="W104" s="1368">
        <f t="shared" si="281"/>
        <v>0</v>
      </c>
      <c r="X104" s="1368">
        <f t="shared" si="281"/>
        <v>0</v>
      </c>
      <c r="Y104" s="1368">
        <f t="shared" si="281"/>
        <v>0</v>
      </c>
      <c r="Z104" s="1368">
        <f t="shared" si="281"/>
        <v>0</v>
      </c>
      <c r="AA104" s="1368">
        <f t="shared" si="281"/>
        <v>0</v>
      </c>
      <c r="AB104" s="1368">
        <f t="shared" si="281"/>
        <v>0</v>
      </c>
      <c r="AC104" s="1368">
        <f t="shared" si="281"/>
        <v>0</v>
      </c>
      <c r="AD104" s="1368">
        <f t="shared" si="281"/>
        <v>0</v>
      </c>
      <c r="AE104" s="1368">
        <f t="shared" si="281"/>
        <v>0</v>
      </c>
      <c r="AF104" s="1368">
        <f t="shared" si="281"/>
        <v>0</v>
      </c>
      <c r="AG104" s="1368">
        <f t="shared" si="281"/>
        <v>0</v>
      </c>
      <c r="AH104" s="1368">
        <f t="shared" si="281"/>
        <v>0</v>
      </c>
      <c r="AI104" s="1368">
        <f t="shared" si="281"/>
        <v>0</v>
      </c>
      <c r="AJ104" s="1368">
        <f t="shared" si="281"/>
        <v>0</v>
      </c>
      <c r="AK104" s="1368">
        <f t="shared" si="281"/>
        <v>0</v>
      </c>
      <c r="AL104" s="1368">
        <f>IF(AM87&lt;=$AN$104,AK104,IF(AM87=$AN$104+1,$AO$104-($D$104*AK85),0))</f>
        <v>0</v>
      </c>
      <c r="AM104" s="1038"/>
      <c r="AN104" s="115">
        <f>_xlfn.XLOOKUP(B104,'17. Cash Flow and Reserves'!$AU$121:$AU$130,'12. Funding Sources'!$L$11:$L$20,36)</f>
        <v>36</v>
      </c>
      <c r="AO104" s="115">
        <f>_xlfn.XLOOKUP(B104,'17. Cash Flow and Reserves'!$AU$121:$AU$130,'12. Funding Sources'!$N$11:$N$20,0)*AN104</f>
        <v>0</v>
      </c>
    </row>
    <row r="105" spans="2:41" ht="14.45" customHeight="1">
      <c r="B105" s="1411"/>
      <c r="C105" s="1357" t="s">
        <v>4753</v>
      </c>
      <c r="D105" s="1369">
        <f>(IF(D104&gt;0,D86/(D100+D104),IF(D101&gt;0,D101,0)))</f>
        <v>0</v>
      </c>
      <c r="E105" s="1369">
        <f t="shared" ref="E105:AL105" si="282">+IFERROR(IF(E104&gt;0,E86/(E90+E96+E100+E104),0),"N/A")</f>
        <v>0</v>
      </c>
      <c r="F105" s="1369">
        <f t="shared" si="282"/>
        <v>0</v>
      </c>
      <c r="G105" s="1369">
        <f t="shared" si="282"/>
        <v>0</v>
      </c>
      <c r="H105" s="1369">
        <f t="shared" si="282"/>
        <v>0</v>
      </c>
      <c r="I105" s="1369">
        <f t="shared" si="282"/>
        <v>0</v>
      </c>
      <c r="J105" s="1369">
        <f t="shared" si="282"/>
        <v>0</v>
      </c>
      <c r="K105" s="1369">
        <f t="shared" si="282"/>
        <v>0</v>
      </c>
      <c r="L105" s="1369">
        <f t="shared" si="282"/>
        <v>0</v>
      </c>
      <c r="M105" s="1369">
        <f t="shared" si="282"/>
        <v>0</v>
      </c>
      <c r="N105" s="1369">
        <f t="shared" si="282"/>
        <v>0</v>
      </c>
      <c r="O105" s="1369">
        <f t="shared" si="282"/>
        <v>0</v>
      </c>
      <c r="P105" s="1369">
        <f t="shared" si="282"/>
        <v>0</v>
      </c>
      <c r="Q105" s="1369">
        <f t="shared" si="282"/>
        <v>0</v>
      </c>
      <c r="R105" s="1369">
        <f t="shared" si="282"/>
        <v>0</v>
      </c>
      <c r="S105" s="1369">
        <f t="shared" si="282"/>
        <v>0</v>
      </c>
      <c r="T105" s="1369">
        <f t="shared" si="282"/>
        <v>0</v>
      </c>
      <c r="U105" s="1369">
        <f t="shared" si="282"/>
        <v>0</v>
      </c>
      <c r="V105" s="1369">
        <f t="shared" si="282"/>
        <v>0</v>
      </c>
      <c r="W105" s="1369">
        <f t="shared" si="282"/>
        <v>0</v>
      </c>
      <c r="X105" s="1369">
        <f t="shared" si="282"/>
        <v>0</v>
      </c>
      <c r="Y105" s="1369">
        <f t="shared" si="282"/>
        <v>0</v>
      </c>
      <c r="Z105" s="1369">
        <f t="shared" si="282"/>
        <v>0</v>
      </c>
      <c r="AA105" s="1369">
        <f t="shared" si="282"/>
        <v>0</v>
      </c>
      <c r="AB105" s="1369">
        <f t="shared" si="282"/>
        <v>0</v>
      </c>
      <c r="AC105" s="1369">
        <f t="shared" si="282"/>
        <v>0</v>
      </c>
      <c r="AD105" s="1369">
        <f t="shared" si="282"/>
        <v>0</v>
      </c>
      <c r="AE105" s="1369">
        <f t="shared" si="282"/>
        <v>0</v>
      </c>
      <c r="AF105" s="1369">
        <f t="shared" si="282"/>
        <v>0</v>
      </c>
      <c r="AG105" s="1369">
        <f t="shared" si="282"/>
        <v>0</v>
      </c>
      <c r="AH105" s="1369">
        <f t="shared" si="282"/>
        <v>0</v>
      </c>
      <c r="AI105" s="1369">
        <f t="shared" si="282"/>
        <v>0</v>
      </c>
      <c r="AJ105" s="1369">
        <f t="shared" si="282"/>
        <v>0</v>
      </c>
      <c r="AK105" s="1369">
        <f t="shared" si="282"/>
        <v>0</v>
      </c>
      <c r="AL105" s="1369">
        <f t="shared" si="282"/>
        <v>0</v>
      </c>
      <c r="AM105" s="1038"/>
    </row>
    <row r="106" spans="2:41" ht="14.45" customHeight="1">
      <c r="B106" s="1411"/>
      <c r="C106" s="1357" t="s">
        <v>4757</v>
      </c>
      <c r="D106" s="1370">
        <f>D102-D104</f>
        <v>0</v>
      </c>
      <c r="E106" s="1370">
        <f t="shared" ref="E106:Y106" si="283">E102-E104</f>
        <v>0</v>
      </c>
      <c r="F106" s="1370">
        <f t="shared" si="283"/>
        <v>0</v>
      </c>
      <c r="G106" s="1370">
        <f t="shared" si="283"/>
        <v>0</v>
      </c>
      <c r="H106" s="1370">
        <f t="shared" si="283"/>
        <v>0</v>
      </c>
      <c r="I106" s="1370">
        <f t="shared" si="283"/>
        <v>0</v>
      </c>
      <c r="J106" s="1370">
        <f t="shared" si="283"/>
        <v>0</v>
      </c>
      <c r="K106" s="1370">
        <f t="shared" si="283"/>
        <v>0</v>
      </c>
      <c r="L106" s="1370">
        <f t="shared" si="283"/>
        <v>0</v>
      </c>
      <c r="M106" s="1370">
        <f t="shared" si="283"/>
        <v>0</v>
      </c>
      <c r="N106" s="1370">
        <f t="shared" si="283"/>
        <v>0</v>
      </c>
      <c r="O106" s="1370">
        <f t="shared" si="283"/>
        <v>0</v>
      </c>
      <c r="P106" s="1370">
        <f t="shared" si="283"/>
        <v>0</v>
      </c>
      <c r="Q106" s="1370">
        <f t="shared" si="283"/>
        <v>0</v>
      </c>
      <c r="R106" s="1370">
        <f t="shared" si="283"/>
        <v>0</v>
      </c>
      <c r="S106" s="1370">
        <f t="shared" si="283"/>
        <v>0</v>
      </c>
      <c r="T106" s="1370">
        <f t="shared" si="283"/>
        <v>0</v>
      </c>
      <c r="U106" s="1370">
        <f t="shared" si="283"/>
        <v>0</v>
      </c>
      <c r="V106" s="1370">
        <f t="shared" si="283"/>
        <v>0</v>
      </c>
      <c r="W106" s="1370">
        <f t="shared" si="283"/>
        <v>0</v>
      </c>
      <c r="X106" s="1370">
        <f t="shared" si="283"/>
        <v>0</v>
      </c>
      <c r="Y106" s="1370">
        <f t="shared" si="283"/>
        <v>0</v>
      </c>
      <c r="Z106" s="1370">
        <f t="shared" ref="Z106:AJ106" si="284">Z102-Z104</f>
        <v>0</v>
      </c>
      <c r="AA106" s="1370">
        <f t="shared" si="284"/>
        <v>0</v>
      </c>
      <c r="AB106" s="1370">
        <f t="shared" si="284"/>
        <v>0</v>
      </c>
      <c r="AC106" s="1370">
        <f t="shared" si="284"/>
        <v>0</v>
      </c>
      <c r="AD106" s="1370">
        <f t="shared" si="284"/>
        <v>0</v>
      </c>
      <c r="AE106" s="1370">
        <f t="shared" si="284"/>
        <v>0</v>
      </c>
      <c r="AF106" s="1370">
        <f t="shared" si="284"/>
        <v>0</v>
      </c>
      <c r="AG106" s="1370">
        <f t="shared" si="284"/>
        <v>0</v>
      </c>
      <c r="AH106" s="1370">
        <f t="shared" si="284"/>
        <v>0</v>
      </c>
      <c r="AI106" s="1370">
        <f t="shared" si="284"/>
        <v>0</v>
      </c>
      <c r="AJ106" s="1370">
        <f t="shared" si="284"/>
        <v>0</v>
      </c>
      <c r="AK106" s="1370">
        <f t="shared" ref="AK106:AL106" si="285">AK102-AK104</f>
        <v>0</v>
      </c>
      <c r="AL106" s="1370">
        <f t="shared" si="285"/>
        <v>0</v>
      </c>
      <c r="AM106" s="1038"/>
    </row>
    <row r="107" spans="2:41" ht="14.45" customHeight="1">
      <c r="B107" s="1411"/>
      <c r="C107" s="1374"/>
      <c r="D107" s="1375"/>
      <c r="E107" s="1375"/>
      <c r="F107" s="1375"/>
      <c r="G107" s="1375"/>
      <c r="H107" s="1375"/>
      <c r="I107" s="1375"/>
      <c r="J107" s="1375"/>
      <c r="K107" s="1375"/>
      <c r="L107" s="1375"/>
      <c r="M107" s="1375"/>
      <c r="N107" s="1375"/>
      <c r="O107" s="1375"/>
      <c r="P107" s="1375"/>
      <c r="Q107" s="1375"/>
      <c r="R107" s="1375"/>
      <c r="S107" s="1375"/>
      <c r="T107" s="1375"/>
      <c r="U107" s="1375"/>
      <c r="V107" s="1375"/>
      <c r="W107" s="1375"/>
      <c r="X107" s="1375"/>
      <c r="Y107" s="1376"/>
      <c r="Z107" s="1376"/>
      <c r="AA107" s="1376"/>
      <c r="AB107" s="1376"/>
      <c r="AC107" s="1376"/>
      <c r="AD107" s="1376"/>
      <c r="AE107" s="1376"/>
      <c r="AF107" s="1376"/>
      <c r="AG107" s="1376"/>
      <c r="AH107" s="1376"/>
      <c r="AI107" s="1376"/>
      <c r="AJ107" s="1376"/>
      <c r="AK107" s="1376"/>
      <c r="AL107" s="1376"/>
      <c r="AM107" s="1038"/>
    </row>
    <row r="108" spans="2:41" ht="14.45" customHeight="1">
      <c r="B108" s="1411">
        <v>5</v>
      </c>
      <c r="C108" s="1357" t="str">
        <f>_xlfn.XLOOKUP(B108,'17. Cash Flow and Reserves'!$AU$121:$AU$130,'17. Cash Flow and Reserves'!$AS$121:$AS$130,"No Additional Must Pay Loans")</f>
        <v>No Additional Must Pay Loans</v>
      </c>
      <c r="D108" s="1368">
        <f>_xlfn.XLOOKUP(B108,'17. Cash Flow and Reserves'!$AU$121:$AU$133,'12. Funding Sources'!$N$11:$N$23,0)</f>
        <v>0</v>
      </c>
      <c r="E108" s="1368">
        <f t="shared" ref="E108:AK108" si="286">IF(F85&lt;=$AN$108,D108,IF(F85=$AN$108+1,$AO$108-($D$108*D85),0))</f>
        <v>0</v>
      </c>
      <c r="F108" s="1368">
        <f t="shared" si="286"/>
        <v>0</v>
      </c>
      <c r="G108" s="1368">
        <f t="shared" si="286"/>
        <v>0</v>
      </c>
      <c r="H108" s="1368">
        <f t="shared" si="286"/>
        <v>0</v>
      </c>
      <c r="I108" s="1368">
        <f t="shared" si="286"/>
        <v>0</v>
      </c>
      <c r="J108" s="1368">
        <f t="shared" si="286"/>
        <v>0</v>
      </c>
      <c r="K108" s="1368">
        <f t="shared" si="286"/>
        <v>0</v>
      </c>
      <c r="L108" s="1368">
        <f t="shared" si="286"/>
        <v>0</v>
      </c>
      <c r="M108" s="1368">
        <f t="shared" si="286"/>
        <v>0</v>
      </c>
      <c r="N108" s="1368">
        <f t="shared" si="286"/>
        <v>0</v>
      </c>
      <c r="O108" s="1368">
        <f t="shared" si="286"/>
        <v>0</v>
      </c>
      <c r="P108" s="1368">
        <f t="shared" si="286"/>
        <v>0</v>
      </c>
      <c r="Q108" s="1368">
        <f t="shared" si="286"/>
        <v>0</v>
      </c>
      <c r="R108" s="1368">
        <f t="shared" si="286"/>
        <v>0</v>
      </c>
      <c r="S108" s="1368">
        <f t="shared" si="286"/>
        <v>0</v>
      </c>
      <c r="T108" s="1368">
        <f t="shared" si="286"/>
        <v>0</v>
      </c>
      <c r="U108" s="1368">
        <f t="shared" si="286"/>
        <v>0</v>
      </c>
      <c r="V108" s="1368">
        <f t="shared" si="286"/>
        <v>0</v>
      </c>
      <c r="W108" s="1368">
        <f t="shared" si="286"/>
        <v>0</v>
      </c>
      <c r="X108" s="1368">
        <f t="shared" si="286"/>
        <v>0</v>
      </c>
      <c r="Y108" s="1368">
        <f t="shared" si="286"/>
        <v>0</v>
      </c>
      <c r="Z108" s="1368">
        <f t="shared" si="286"/>
        <v>0</v>
      </c>
      <c r="AA108" s="1368">
        <f t="shared" si="286"/>
        <v>0</v>
      </c>
      <c r="AB108" s="1368">
        <f t="shared" si="286"/>
        <v>0</v>
      </c>
      <c r="AC108" s="1368">
        <f t="shared" si="286"/>
        <v>0</v>
      </c>
      <c r="AD108" s="1368">
        <f t="shared" si="286"/>
        <v>0</v>
      </c>
      <c r="AE108" s="1368">
        <f t="shared" si="286"/>
        <v>0</v>
      </c>
      <c r="AF108" s="1368">
        <f t="shared" si="286"/>
        <v>0</v>
      </c>
      <c r="AG108" s="1368">
        <f t="shared" si="286"/>
        <v>0</v>
      </c>
      <c r="AH108" s="1368">
        <f t="shared" si="286"/>
        <v>0</v>
      </c>
      <c r="AI108" s="1368">
        <f t="shared" si="286"/>
        <v>0</v>
      </c>
      <c r="AJ108" s="1368">
        <f t="shared" si="286"/>
        <v>0</v>
      </c>
      <c r="AK108" s="1368">
        <f t="shared" si="286"/>
        <v>0</v>
      </c>
      <c r="AL108" s="1368">
        <f>IF(AM87&lt;=$AN$108,AK108,IF(AM87=$AN$108+1,$AO$108-($D$108*AK85),0))</f>
        <v>0</v>
      </c>
      <c r="AM108" s="1038"/>
      <c r="AN108" s="115">
        <f>_xlfn.XLOOKUP(B108,'17. Cash Flow and Reserves'!$AU$121:$AU$130,'12. Funding Sources'!$L$11:$L$20,36)</f>
        <v>36</v>
      </c>
      <c r="AO108" s="115">
        <f>_xlfn.XLOOKUP(B108,'17. Cash Flow and Reserves'!$AU$121:$AU$130,'12. Funding Sources'!$N$11:$N$20,0)*AN108</f>
        <v>0</v>
      </c>
    </row>
    <row r="109" spans="2:41" ht="14.45" customHeight="1">
      <c r="B109" s="1411"/>
      <c r="C109" s="1357" t="s">
        <v>4753</v>
      </c>
      <c r="D109" s="1369">
        <f>(IF(D108&gt;0,D86/(D104+D108),IF(D105&gt;0,D105,0)))</f>
        <v>0</v>
      </c>
      <c r="E109" s="1369">
        <f t="shared" ref="E109:AL109" si="287">+IFERROR(IF(E108&gt;0,E$86/(E$90+E$96+E$100+E$104+E$108),0),"N/A")</f>
        <v>0</v>
      </c>
      <c r="F109" s="1369">
        <f t="shared" si="287"/>
        <v>0</v>
      </c>
      <c r="G109" s="1369">
        <f t="shared" si="287"/>
        <v>0</v>
      </c>
      <c r="H109" s="1369">
        <f t="shared" si="287"/>
        <v>0</v>
      </c>
      <c r="I109" s="1369">
        <f t="shared" si="287"/>
        <v>0</v>
      </c>
      <c r="J109" s="1369">
        <f t="shared" si="287"/>
        <v>0</v>
      </c>
      <c r="K109" s="1369">
        <f t="shared" si="287"/>
        <v>0</v>
      </c>
      <c r="L109" s="1369">
        <f t="shared" si="287"/>
        <v>0</v>
      </c>
      <c r="M109" s="1369">
        <f t="shared" si="287"/>
        <v>0</v>
      </c>
      <c r="N109" s="1369">
        <f t="shared" si="287"/>
        <v>0</v>
      </c>
      <c r="O109" s="1369">
        <f t="shared" si="287"/>
        <v>0</v>
      </c>
      <c r="P109" s="1369">
        <f t="shared" si="287"/>
        <v>0</v>
      </c>
      <c r="Q109" s="1369">
        <f t="shared" si="287"/>
        <v>0</v>
      </c>
      <c r="R109" s="1369">
        <f t="shared" si="287"/>
        <v>0</v>
      </c>
      <c r="S109" s="1369">
        <f t="shared" si="287"/>
        <v>0</v>
      </c>
      <c r="T109" s="1369">
        <f t="shared" si="287"/>
        <v>0</v>
      </c>
      <c r="U109" s="1369">
        <f t="shared" si="287"/>
        <v>0</v>
      </c>
      <c r="V109" s="1369">
        <f t="shared" si="287"/>
        <v>0</v>
      </c>
      <c r="W109" s="1369">
        <f t="shared" si="287"/>
        <v>0</v>
      </c>
      <c r="X109" s="1369">
        <f t="shared" si="287"/>
        <v>0</v>
      </c>
      <c r="Y109" s="1369">
        <f t="shared" si="287"/>
        <v>0</v>
      </c>
      <c r="Z109" s="1369">
        <f t="shared" si="287"/>
        <v>0</v>
      </c>
      <c r="AA109" s="1369">
        <f t="shared" si="287"/>
        <v>0</v>
      </c>
      <c r="AB109" s="1369">
        <f t="shared" si="287"/>
        <v>0</v>
      </c>
      <c r="AC109" s="1369">
        <f t="shared" si="287"/>
        <v>0</v>
      </c>
      <c r="AD109" s="1369">
        <f t="shared" si="287"/>
        <v>0</v>
      </c>
      <c r="AE109" s="1369">
        <f t="shared" si="287"/>
        <v>0</v>
      </c>
      <c r="AF109" s="1369">
        <f t="shared" si="287"/>
        <v>0</v>
      </c>
      <c r="AG109" s="1369">
        <f t="shared" si="287"/>
        <v>0</v>
      </c>
      <c r="AH109" s="1369">
        <f t="shared" si="287"/>
        <v>0</v>
      </c>
      <c r="AI109" s="1369">
        <f t="shared" si="287"/>
        <v>0</v>
      </c>
      <c r="AJ109" s="1369">
        <f t="shared" si="287"/>
        <v>0</v>
      </c>
      <c r="AK109" s="1369">
        <f t="shared" si="287"/>
        <v>0</v>
      </c>
      <c r="AL109" s="1369">
        <f t="shared" si="287"/>
        <v>0</v>
      </c>
      <c r="AM109" s="1038"/>
    </row>
    <row r="110" spans="2:41" ht="14.45" customHeight="1">
      <c r="B110" s="1411"/>
      <c r="C110" s="1357" t="s">
        <v>4757</v>
      </c>
      <c r="D110" s="1370">
        <f>D106-D108</f>
        <v>0</v>
      </c>
      <c r="E110" s="1370">
        <f t="shared" ref="E110:Y110" si="288">E106-E108</f>
        <v>0</v>
      </c>
      <c r="F110" s="1370">
        <f t="shared" si="288"/>
        <v>0</v>
      </c>
      <c r="G110" s="1370">
        <f t="shared" si="288"/>
        <v>0</v>
      </c>
      <c r="H110" s="1370">
        <f t="shared" si="288"/>
        <v>0</v>
      </c>
      <c r="I110" s="1370">
        <f t="shared" si="288"/>
        <v>0</v>
      </c>
      <c r="J110" s="1370">
        <f t="shared" si="288"/>
        <v>0</v>
      </c>
      <c r="K110" s="1370">
        <f t="shared" si="288"/>
        <v>0</v>
      </c>
      <c r="L110" s="1370">
        <f t="shared" si="288"/>
        <v>0</v>
      </c>
      <c r="M110" s="1370">
        <f t="shared" si="288"/>
        <v>0</v>
      </c>
      <c r="N110" s="1370">
        <f t="shared" si="288"/>
        <v>0</v>
      </c>
      <c r="O110" s="1370">
        <f t="shared" si="288"/>
        <v>0</v>
      </c>
      <c r="P110" s="1370">
        <f t="shared" si="288"/>
        <v>0</v>
      </c>
      <c r="Q110" s="1370">
        <f t="shared" si="288"/>
        <v>0</v>
      </c>
      <c r="R110" s="1370">
        <f t="shared" si="288"/>
        <v>0</v>
      </c>
      <c r="S110" s="1370">
        <f t="shared" si="288"/>
        <v>0</v>
      </c>
      <c r="T110" s="1370">
        <f t="shared" si="288"/>
        <v>0</v>
      </c>
      <c r="U110" s="1370">
        <f t="shared" si="288"/>
        <v>0</v>
      </c>
      <c r="V110" s="1370">
        <f t="shared" si="288"/>
        <v>0</v>
      </c>
      <c r="W110" s="1370">
        <f t="shared" si="288"/>
        <v>0</v>
      </c>
      <c r="X110" s="1370">
        <f t="shared" si="288"/>
        <v>0</v>
      </c>
      <c r="Y110" s="1370">
        <f t="shared" si="288"/>
        <v>0</v>
      </c>
      <c r="Z110" s="1370">
        <f t="shared" ref="Z110:AJ110" si="289">Z106-Z108</f>
        <v>0</v>
      </c>
      <c r="AA110" s="1370">
        <f t="shared" si="289"/>
        <v>0</v>
      </c>
      <c r="AB110" s="1370">
        <f t="shared" si="289"/>
        <v>0</v>
      </c>
      <c r="AC110" s="1370">
        <f t="shared" si="289"/>
        <v>0</v>
      </c>
      <c r="AD110" s="1370">
        <f t="shared" si="289"/>
        <v>0</v>
      </c>
      <c r="AE110" s="1370">
        <f t="shared" si="289"/>
        <v>0</v>
      </c>
      <c r="AF110" s="1370">
        <f t="shared" si="289"/>
        <v>0</v>
      </c>
      <c r="AG110" s="1370">
        <f t="shared" si="289"/>
        <v>0</v>
      </c>
      <c r="AH110" s="1370">
        <f t="shared" si="289"/>
        <v>0</v>
      </c>
      <c r="AI110" s="1370">
        <f t="shared" si="289"/>
        <v>0</v>
      </c>
      <c r="AJ110" s="1370">
        <f t="shared" si="289"/>
        <v>0</v>
      </c>
      <c r="AK110" s="1370">
        <f t="shared" ref="AK110:AL110" si="290">AK106-AK108</f>
        <v>0</v>
      </c>
      <c r="AL110" s="1370">
        <f t="shared" si="290"/>
        <v>0</v>
      </c>
      <c r="AM110" s="1038"/>
    </row>
    <row r="111" spans="2:41" ht="14.45" customHeight="1">
      <c r="B111" s="1411"/>
      <c r="C111" s="1374"/>
      <c r="D111" s="1375"/>
      <c r="E111" s="1375"/>
      <c r="F111" s="1375"/>
      <c r="G111" s="1375"/>
      <c r="H111" s="1375"/>
      <c r="I111" s="1375"/>
      <c r="J111" s="1375"/>
      <c r="K111" s="1375"/>
      <c r="L111" s="1375"/>
      <c r="M111" s="1375"/>
      <c r="N111" s="1375"/>
      <c r="O111" s="1375"/>
      <c r="P111" s="1375"/>
      <c r="Q111" s="1375"/>
      <c r="R111" s="1375"/>
      <c r="S111" s="1375"/>
      <c r="T111" s="1375"/>
      <c r="U111" s="1375"/>
      <c r="V111" s="1375"/>
      <c r="W111" s="1375"/>
      <c r="X111" s="1375"/>
      <c r="Y111" s="1376"/>
      <c r="Z111" s="1376"/>
      <c r="AA111" s="1376"/>
      <c r="AB111" s="1376"/>
      <c r="AC111" s="1376"/>
      <c r="AD111" s="1376"/>
      <c r="AE111" s="1376"/>
      <c r="AF111" s="1376"/>
      <c r="AG111" s="1376"/>
      <c r="AH111" s="1376"/>
      <c r="AI111" s="1376"/>
      <c r="AJ111" s="1376"/>
      <c r="AK111" s="1376"/>
      <c r="AL111" s="1376"/>
      <c r="AM111" s="1038"/>
    </row>
    <row r="112" spans="2:41" ht="14.45" customHeight="1">
      <c r="B112" s="1411">
        <v>6</v>
      </c>
      <c r="C112" s="1357" t="str">
        <f>_xlfn.XLOOKUP(B112,'17. Cash Flow and Reserves'!$AU$121:$AU$130,'17. Cash Flow and Reserves'!$AS$121:$AS$130,"No Additional Must Pay Loans")</f>
        <v>No Additional Must Pay Loans</v>
      </c>
      <c r="D112" s="1368">
        <f>_xlfn.XLOOKUP(B112,'17. Cash Flow and Reserves'!$AU$121:$AU$133,'12. Funding Sources'!$N$11:$N$23,0)</f>
        <v>0</v>
      </c>
      <c r="E112" s="1368">
        <f t="shared" ref="E112:AK112" si="291">IF(F85&lt;=$AN$112,D112,IF(F85=$AN$112+1,$AO$112-($D$112*D85),0))</f>
        <v>0</v>
      </c>
      <c r="F112" s="1368">
        <f t="shared" si="291"/>
        <v>0</v>
      </c>
      <c r="G112" s="1368">
        <f t="shared" si="291"/>
        <v>0</v>
      </c>
      <c r="H112" s="1368">
        <f t="shared" si="291"/>
        <v>0</v>
      </c>
      <c r="I112" s="1368">
        <f t="shared" si="291"/>
        <v>0</v>
      </c>
      <c r="J112" s="1368">
        <f t="shared" si="291"/>
        <v>0</v>
      </c>
      <c r="K112" s="1368">
        <f t="shared" si="291"/>
        <v>0</v>
      </c>
      <c r="L112" s="1368">
        <f t="shared" si="291"/>
        <v>0</v>
      </c>
      <c r="M112" s="1368">
        <f t="shared" si="291"/>
        <v>0</v>
      </c>
      <c r="N112" s="1368">
        <f t="shared" si="291"/>
        <v>0</v>
      </c>
      <c r="O112" s="1368">
        <f t="shared" si="291"/>
        <v>0</v>
      </c>
      <c r="P112" s="1368">
        <f t="shared" si="291"/>
        <v>0</v>
      </c>
      <c r="Q112" s="1368">
        <f t="shared" si="291"/>
        <v>0</v>
      </c>
      <c r="R112" s="1368">
        <f t="shared" si="291"/>
        <v>0</v>
      </c>
      <c r="S112" s="1368">
        <f t="shared" si="291"/>
        <v>0</v>
      </c>
      <c r="T112" s="1368">
        <f t="shared" si="291"/>
        <v>0</v>
      </c>
      <c r="U112" s="1368">
        <f t="shared" si="291"/>
        <v>0</v>
      </c>
      <c r="V112" s="1368">
        <f t="shared" si="291"/>
        <v>0</v>
      </c>
      <c r="W112" s="1368">
        <f t="shared" si="291"/>
        <v>0</v>
      </c>
      <c r="X112" s="1368">
        <f t="shared" si="291"/>
        <v>0</v>
      </c>
      <c r="Y112" s="1368">
        <f t="shared" si="291"/>
        <v>0</v>
      </c>
      <c r="Z112" s="1368">
        <f t="shared" si="291"/>
        <v>0</v>
      </c>
      <c r="AA112" s="1368">
        <f t="shared" si="291"/>
        <v>0</v>
      </c>
      <c r="AB112" s="1368">
        <f t="shared" si="291"/>
        <v>0</v>
      </c>
      <c r="AC112" s="1368">
        <f t="shared" si="291"/>
        <v>0</v>
      </c>
      <c r="AD112" s="1368">
        <f t="shared" si="291"/>
        <v>0</v>
      </c>
      <c r="AE112" s="1368">
        <f t="shared" si="291"/>
        <v>0</v>
      </c>
      <c r="AF112" s="1368">
        <f t="shared" si="291"/>
        <v>0</v>
      </c>
      <c r="AG112" s="1368">
        <f t="shared" si="291"/>
        <v>0</v>
      </c>
      <c r="AH112" s="1368">
        <f t="shared" si="291"/>
        <v>0</v>
      </c>
      <c r="AI112" s="1368">
        <f t="shared" si="291"/>
        <v>0</v>
      </c>
      <c r="AJ112" s="1368">
        <f t="shared" si="291"/>
        <v>0</v>
      </c>
      <c r="AK112" s="1368">
        <f t="shared" si="291"/>
        <v>0</v>
      </c>
      <c r="AL112" s="1368">
        <f>IF(AM87&lt;=$AN$112,AK112,IF(AM87=$AN$112+1,$AO$112-($D$112*AK85),0))</f>
        <v>0</v>
      </c>
      <c r="AM112" s="1038"/>
      <c r="AN112" s="115">
        <f>_xlfn.XLOOKUP(B112,'17. Cash Flow and Reserves'!$AU$121:$AU$130,'12. Funding Sources'!$L$11:$L$20,36)</f>
        <v>36</v>
      </c>
      <c r="AO112" s="115">
        <f>_xlfn.XLOOKUP(B112,'17. Cash Flow and Reserves'!$AU$121:$AU$130,'12. Funding Sources'!$N$11:$N$20,0)*AN112</f>
        <v>0</v>
      </c>
    </row>
    <row r="113" spans="2:82" ht="14.45" customHeight="1">
      <c r="B113" s="1411"/>
      <c r="C113" s="1357" t="s">
        <v>4753</v>
      </c>
      <c r="D113" s="1369">
        <f>(IF(D112&gt;0,D86/(D108+D112),IF(D109&gt;0,D109,0)))</f>
        <v>0</v>
      </c>
      <c r="E113" s="1369">
        <f t="shared" ref="E113:AL113" si="292">+IFERROR(IF(E112&gt;0,E$86/(E$90+E$96+E$100+E$104+E$108+E$112),0),"N/A")</f>
        <v>0</v>
      </c>
      <c r="F113" s="1369">
        <f t="shared" si="292"/>
        <v>0</v>
      </c>
      <c r="G113" s="1369">
        <f t="shared" si="292"/>
        <v>0</v>
      </c>
      <c r="H113" s="1369">
        <f t="shared" si="292"/>
        <v>0</v>
      </c>
      <c r="I113" s="1369">
        <f t="shared" si="292"/>
        <v>0</v>
      </c>
      <c r="J113" s="1369">
        <f t="shared" si="292"/>
        <v>0</v>
      </c>
      <c r="K113" s="1369">
        <f t="shared" si="292"/>
        <v>0</v>
      </c>
      <c r="L113" s="1369">
        <f t="shared" si="292"/>
        <v>0</v>
      </c>
      <c r="M113" s="1369">
        <f t="shared" si="292"/>
        <v>0</v>
      </c>
      <c r="N113" s="1369">
        <f t="shared" si="292"/>
        <v>0</v>
      </c>
      <c r="O113" s="1369">
        <f t="shared" si="292"/>
        <v>0</v>
      </c>
      <c r="P113" s="1369">
        <f t="shared" si="292"/>
        <v>0</v>
      </c>
      <c r="Q113" s="1369">
        <f t="shared" si="292"/>
        <v>0</v>
      </c>
      <c r="R113" s="1369">
        <f t="shared" si="292"/>
        <v>0</v>
      </c>
      <c r="S113" s="1369">
        <f t="shared" si="292"/>
        <v>0</v>
      </c>
      <c r="T113" s="1369">
        <f t="shared" si="292"/>
        <v>0</v>
      </c>
      <c r="U113" s="1369">
        <f t="shared" si="292"/>
        <v>0</v>
      </c>
      <c r="V113" s="1369">
        <f t="shared" si="292"/>
        <v>0</v>
      </c>
      <c r="W113" s="1369">
        <f t="shared" si="292"/>
        <v>0</v>
      </c>
      <c r="X113" s="1369">
        <f t="shared" si="292"/>
        <v>0</v>
      </c>
      <c r="Y113" s="1369">
        <f t="shared" si="292"/>
        <v>0</v>
      </c>
      <c r="Z113" s="1369">
        <f t="shared" si="292"/>
        <v>0</v>
      </c>
      <c r="AA113" s="1369">
        <f t="shared" si="292"/>
        <v>0</v>
      </c>
      <c r="AB113" s="1369">
        <f t="shared" si="292"/>
        <v>0</v>
      </c>
      <c r="AC113" s="1369">
        <f t="shared" si="292"/>
        <v>0</v>
      </c>
      <c r="AD113" s="1369">
        <f t="shared" si="292"/>
        <v>0</v>
      </c>
      <c r="AE113" s="1369">
        <f t="shared" si="292"/>
        <v>0</v>
      </c>
      <c r="AF113" s="1369">
        <f t="shared" si="292"/>
        <v>0</v>
      </c>
      <c r="AG113" s="1369">
        <f t="shared" si="292"/>
        <v>0</v>
      </c>
      <c r="AH113" s="1369">
        <f t="shared" si="292"/>
        <v>0</v>
      </c>
      <c r="AI113" s="1369">
        <f t="shared" si="292"/>
        <v>0</v>
      </c>
      <c r="AJ113" s="1369">
        <f t="shared" si="292"/>
        <v>0</v>
      </c>
      <c r="AK113" s="1369">
        <f t="shared" si="292"/>
        <v>0</v>
      </c>
      <c r="AL113" s="1369">
        <f t="shared" si="292"/>
        <v>0</v>
      </c>
      <c r="AM113" s="1038"/>
      <c r="CA113" s="9"/>
      <c r="CB113" s="9"/>
      <c r="CC113" s="9"/>
      <c r="CD113" s="9"/>
    </row>
    <row r="114" spans="2:82" ht="14.45" customHeight="1">
      <c r="B114" s="1411"/>
      <c r="C114" s="1357" t="s">
        <v>4757</v>
      </c>
      <c r="D114" s="1370">
        <f>D110-D112</f>
        <v>0</v>
      </c>
      <c r="E114" s="1370">
        <f t="shared" ref="E114:Y114" si="293">E110-E112</f>
        <v>0</v>
      </c>
      <c r="F114" s="1370">
        <f t="shared" si="293"/>
        <v>0</v>
      </c>
      <c r="G114" s="1370">
        <f t="shared" si="293"/>
        <v>0</v>
      </c>
      <c r="H114" s="1370">
        <f t="shared" si="293"/>
        <v>0</v>
      </c>
      <c r="I114" s="1370">
        <f t="shared" si="293"/>
        <v>0</v>
      </c>
      <c r="J114" s="1370">
        <f t="shared" si="293"/>
        <v>0</v>
      </c>
      <c r="K114" s="1370">
        <f t="shared" si="293"/>
        <v>0</v>
      </c>
      <c r="L114" s="1370">
        <f t="shared" si="293"/>
        <v>0</v>
      </c>
      <c r="M114" s="1370">
        <f t="shared" si="293"/>
        <v>0</v>
      </c>
      <c r="N114" s="1370">
        <f t="shared" si="293"/>
        <v>0</v>
      </c>
      <c r="O114" s="1370">
        <f t="shared" si="293"/>
        <v>0</v>
      </c>
      <c r="P114" s="1370">
        <f t="shared" si="293"/>
        <v>0</v>
      </c>
      <c r="Q114" s="1370">
        <f t="shared" si="293"/>
        <v>0</v>
      </c>
      <c r="R114" s="1370">
        <f t="shared" si="293"/>
        <v>0</v>
      </c>
      <c r="S114" s="1370">
        <f t="shared" si="293"/>
        <v>0</v>
      </c>
      <c r="T114" s="1370">
        <f t="shared" si="293"/>
        <v>0</v>
      </c>
      <c r="U114" s="1370">
        <f t="shared" si="293"/>
        <v>0</v>
      </c>
      <c r="V114" s="1370">
        <f t="shared" si="293"/>
        <v>0</v>
      </c>
      <c r="W114" s="1370">
        <f t="shared" si="293"/>
        <v>0</v>
      </c>
      <c r="X114" s="1370">
        <f t="shared" si="293"/>
        <v>0</v>
      </c>
      <c r="Y114" s="1370">
        <f t="shared" si="293"/>
        <v>0</v>
      </c>
      <c r="Z114" s="1370">
        <f t="shared" ref="Z114:AJ114" si="294">Z110-Z112</f>
        <v>0</v>
      </c>
      <c r="AA114" s="1370">
        <f t="shared" si="294"/>
        <v>0</v>
      </c>
      <c r="AB114" s="1370">
        <f t="shared" si="294"/>
        <v>0</v>
      </c>
      <c r="AC114" s="1370">
        <f t="shared" si="294"/>
        <v>0</v>
      </c>
      <c r="AD114" s="1370">
        <f t="shared" si="294"/>
        <v>0</v>
      </c>
      <c r="AE114" s="1370">
        <f t="shared" si="294"/>
        <v>0</v>
      </c>
      <c r="AF114" s="1370">
        <f t="shared" si="294"/>
        <v>0</v>
      </c>
      <c r="AG114" s="1370">
        <f t="shared" si="294"/>
        <v>0</v>
      </c>
      <c r="AH114" s="1370">
        <f t="shared" si="294"/>
        <v>0</v>
      </c>
      <c r="AI114" s="1370">
        <f t="shared" si="294"/>
        <v>0</v>
      </c>
      <c r="AJ114" s="1370">
        <f t="shared" si="294"/>
        <v>0</v>
      </c>
      <c r="AK114" s="1370">
        <f t="shared" ref="AK114:AL114" si="295">AK110-AK112</f>
        <v>0</v>
      </c>
      <c r="AL114" s="1370">
        <f t="shared" si="295"/>
        <v>0</v>
      </c>
      <c r="AM114" s="1038"/>
      <c r="CA114" s="9"/>
      <c r="CB114" s="9"/>
      <c r="CC114" s="9"/>
      <c r="CD114" s="9"/>
    </row>
    <row r="115" spans="2:82" ht="14.45" customHeight="1">
      <c r="B115" s="1411"/>
      <c r="C115" s="1374"/>
      <c r="D115" s="1375"/>
      <c r="E115" s="1375"/>
      <c r="F115" s="1375"/>
      <c r="G115" s="1375"/>
      <c r="H115" s="1375"/>
      <c r="I115" s="1375"/>
      <c r="J115" s="1375"/>
      <c r="K115" s="1375"/>
      <c r="L115" s="1375"/>
      <c r="M115" s="1375"/>
      <c r="N115" s="1375"/>
      <c r="O115" s="1375"/>
      <c r="P115" s="1375"/>
      <c r="Q115" s="1375"/>
      <c r="R115" s="1375"/>
      <c r="S115" s="1375"/>
      <c r="T115" s="1375"/>
      <c r="U115" s="1375"/>
      <c r="V115" s="1375"/>
      <c r="W115" s="1375"/>
      <c r="X115" s="1375"/>
      <c r="Y115" s="1376"/>
      <c r="Z115" s="1376"/>
      <c r="AA115" s="1376"/>
      <c r="AB115" s="1376"/>
      <c r="AC115" s="1376"/>
      <c r="AD115" s="1376"/>
      <c r="AE115" s="1376"/>
      <c r="AF115" s="1376"/>
      <c r="AG115" s="1376"/>
      <c r="AH115" s="1376"/>
      <c r="AI115" s="1376"/>
      <c r="AJ115" s="1376"/>
      <c r="AK115" s="1376"/>
      <c r="AL115" s="1376"/>
      <c r="AM115" s="1038"/>
      <c r="CA115" s="9"/>
      <c r="CB115" s="9"/>
      <c r="CC115" s="9"/>
      <c r="CD115" s="9"/>
    </row>
    <row r="116" spans="2:82" ht="14.45" customHeight="1">
      <c r="B116" s="1411">
        <v>7</v>
      </c>
      <c r="C116" s="1357" t="str">
        <f>_xlfn.XLOOKUP(B116,'17. Cash Flow and Reserves'!$AU$121:$AU$130,'17. Cash Flow and Reserves'!$AS$121:$AS$130,"No Additional Must Pay Loans")</f>
        <v>No Additional Must Pay Loans</v>
      </c>
      <c r="D116" s="1368">
        <f>_xlfn.XLOOKUP(B116,'17. Cash Flow and Reserves'!$AU$121:$AU$133,'12. Funding Sources'!$N$11:$N$23,0)</f>
        <v>0</v>
      </c>
      <c r="E116" s="1368">
        <f t="shared" ref="E116:AK116" si="296">IF(F85&lt;=$AN$116,D116,IF(F85=$AN$116+1,$AO$116-($D$116*D85),0))</f>
        <v>0</v>
      </c>
      <c r="F116" s="1368">
        <f t="shared" si="296"/>
        <v>0</v>
      </c>
      <c r="G116" s="1368">
        <f t="shared" si="296"/>
        <v>0</v>
      </c>
      <c r="H116" s="1368">
        <f t="shared" si="296"/>
        <v>0</v>
      </c>
      <c r="I116" s="1368">
        <f t="shared" si="296"/>
        <v>0</v>
      </c>
      <c r="J116" s="1368">
        <f t="shared" si="296"/>
        <v>0</v>
      </c>
      <c r="K116" s="1368">
        <f t="shared" si="296"/>
        <v>0</v>
      </c>
      <c r="L116" s="1368">
        <f t="shared" si="296"/>
        <v>0</v>
      </c>
      <c r="M116" s="1368">
        <f t="shared" si="296"/>
        <v>0</v>
      </c>
      <c r="N116" s="1368">
        <f t="shared" si="296"/>
        <v>0</v>
      </c>
      <c r="O116" s="1368">
        <f t="shared" si="296"/>
        <v>0</v>
      </c>
      <c r="P116" s="1368">
        <f t="shared" si="296"/>
        <v>0</v>
      </c>
      <c r="Q116" s="1368">
        <f t="shared" si="296"/>
        <v>0</v>
      </c>
      <c r="R116" s="1368">
        <f t="shared" si="296"/>
        <v>0</v>
      </c>
      <c r="S116" s="1368">
        <f t="shared" si="296"/>
        <v>0</v>
      </c>
      <c r="T116" s="1368">
        <f t="shared" si="296"/>
        <v>0</v>
      </c>
      <c r="U116" s="1368">
        <f t="shared" si="296"/>
        <v>0</v>
      </c>
      <c r="V116" s="1368">
        <f t="shared" si="296"/>
        <v>0</v>
      </c>
      <c r="W116" s="1368">
        <f t="shared" si="296"/>
        <v>0</v>
      </c>
      <c r="X116" s="1368">
        <f t="shared" si="296"/>
        <v>0</v>
      </c>
      <c r="Y116" s="1368">
        <f t="shared" si="296"/>
        <v>0</v>
      </c>
      <c r="Z116" s="1368">
        <f t="shared" si="296"/>
        <v>0</v>
      </c>
      <c r="AA116" s="1368">
        <f t="shared" si="296"/>
        <v>0</v>
      </c>
      <c r="AB116" s="1368">
        <f t="shared" si="296"/>
        <v>0</v>
      </c>
      <c r="AC116" s="1368">
        <f t="shared" si="296"/>
        <v>0</v>
      </c>
      <c r="AD116" s="1368">
        <f t="shared" si="296"/>
        <v>0</v>
      </c>
      <c r="AE116" s="1368">
        <f t="shared" si="296"/>
        <v>0</v>
      </c>
      <c r="AF116" s="1368">
        <f t="shared" si="296"/>
        <v>0</v>
      </c>
      <c r="AG116" s="1368">
        <f t="shared" si="296"/>
        <v>0</v>
      </c>
      <c r="AH116" s="1368">
        <f t="shared" si="296"/>
        <v>0</v>
      </c>
      <c r="AI116" s="1368">
        <f t="shared" si="296"/>
        <v>0</v>
      </c>
      <c r="AJ116" s="1368">
        <f t="shared" si="296"/>
        <v>0</v>
      </c>
      <c r="AK116" s="1368">
        <f t="shared" si="296"/>
        <v>0</v>
      </c>
      <c r="AL116" s="1368">
        <f>IF(AM87&lt;=$AN$116,AK116,IF(AM87=$AN$116+1,$AO$116-($D$116*AK85),0))</f>
        <v>0</v>
      </c>
      <c r="AM116" s="1038"/>
      <c r="AN116" s="115">
        <f>_xlfn.XLOOKUP(B116,'17. Cash Flow and Reserves'!$AU$121:$AU$130,'12. Funding Sources'!$L$11:$L$20,36)</f>
        <v>36</v>
      </c>
      <c r="AO116" s="115">
        <f>_xlfn.XLOOKUP(B116,'17. Cash Flow and Reserves'!$AU$121:$AU$130,'12. Funding Sources'!$N$11:$N$20,0)*AN116</f>
        <v>0</v>
      </c>
      <c r="CA116" s="9"/>
      <c r="CB116" s="9"/>
      <c r="CC116" s="9"/>
      <c r="CD116" s="9"/>
    </row>
    <row r="117" spans="2:82" ht="14.45" customHeight="1">
      <c r="B117" s="1411"/>
      <c r="C117" s="1357" t="s">
        <v>4753</v>
      </c>
      <c r="D117" s="1369">
        <f>(IF(D116&gt;0,D86/(D112+D116),IF(D113&gt;0,D113,0)))</f>
        <v>0</v>
      </c>
      <c r="E117" s="1369">
        <f t="shared" ref="E117:AL117" si="297">+IFERROR(IF(E116&gt;0,E$86/(E$90+E$96+E$100+E$104+E$108+E$112+E$116),0),"N/A")</f>
        <v>0</v>
      </c>
      <c r="F117" s="1369">
        <f t="shared" si="297"/>
        <v>0</v>
      </c>
      <c r="G117" s="1369">
        <f t="shared" si="297"/>
        <v>0</v>
      </c>
      <c r="H117" s="1369">
        <f t="shared" si="297"/>
        <v>0</v>
      </c>
      <c r="I117" s="1369">
        <f t="shared" si="297"/>
        <v>0</v>
      </c>
      <c r="J117" s="1369">
        <f t="shared" si="297"/>
        <v>0</v>
      </c>
      <c r="K117" s="1369">
        <f t="shared" si="297"/>
        <v>0</v>
      </c>
      <c r="L117" s="1369">
        <f t="shared" si="297"/>
        <v>0</v>
      </c>
      <c r="M117" s="1369">
        <f t="shared" si="297"/>
        <v>0</v>
      </c>
      <c r="N117" s="1369">
        <f t="shared" si="297"/>
        <v>0</v>
      </c>
      <c r="O117" s="1369">
        <f t="shared" si="297"/>
        <v>0</v>
      </c>
      <c r="P117" s="1369">
        <f t="shared" si="297"/>
        <v>0</v>
      </c>
      <c r="Q117" s="1369">
        <f t="shared" si="297"/>
        <v>0</v>
      </c>
      <c r="R117" s="1369">
        <f t="shared" si="297"/>
        <v>0</v>
      </c>
      <c r="S117" s="1369">
        <f t="shared" si="297"/>
        <v>0</v>
      </c>
      <c r="T117" s="1369">
        <f t="shared" si="297"/>
        <v>0</v>
      </c>
      <c r="U117" s="1369">
        <f t="shared" si="297"/>
        <v>0</v>
      </c>
      <c r="V117" s="1369">
        <f t="shared" si="297"/>
        <v>0</v>
      </c>
      <c r="W117" s="1369">
        <f t="shared" si="297"/>
        <v>0</v>
      </c>
      <c r="X117" s="1369">
        <f t="shared" si="297"/>
        <v>0</v>
      </c>
      <c r="Y117" s="1369">
        <f t="shared" si="297"/>
        <v>0</v>
      </c>
      <c r="Z117" s="1369">
        <f t="shared" si="297"/>
        <v>0</v>
      </c>
      <c r="AA117" s="1369">
        <f t="shared" si="297"/>
        <v>0</v>
      </c>
      <c r="AB117" s="1369">
        <f t="shared" si="297"/>
        <v>0</v>
      </c>
      <c r="AC117" s="1369">
        <f t="shared" si="297"/>
        <v>0</v>
      </c>
      <c r="AD117" s="1369">
        <f t="shared" si="297"/>
        <v>0</v>
      </c>
      <c r="AE117" s="1369">
        <f t="shared" si="297"/>
        <v>0</v>
      </c>
      <c r="AF117" s="1369">
        <f t="shared" si="297"/>
        <v>0</v>
      </c>
      <c r="AG117" s="1369">
        <f t="shared" si="297"/>
        <v>0</v>
      </c>
      <c r="AH117" s="1369">
        <f t="shared" si="297"/>
        <v>0</v>
      </c>
      <c r="AI117" s="1369">
        <f t="shared" si="297"/>
        <v>0</v>
      </c>
      <c r="AJ117" s="1369">
        <f t="shared" si="297"/>
        <v>0</v>
      </c>
      <c r="AK117" s="1369">
        <f t="shared" si="297"/>
        <v>0</v>
      </c>
      <c r="AL117" s="1369">
        <f t="shared" si="297"/>
        <v>0</v>
      </c>
      <c r="AM117" s="1038"/>
      <c r="CA117" s="9"/>
      <c r="CB117" s="9"/>
      <c r="CC117" s="9"/>
      <c r="CD117" s="9"/>
    </row>
    <row r="118" spans="2:82" ht="14.45" customHeight="1">
      <c r="B118" s="1411"/>
      <c r="C118" s="1357" t="s">
        <v>4757</v>
      </c>
      <c r="D118" s="1377">
        <f>D114-D116</f>
        <v>0</v>
      </c>
      <c r="E118" s="1377">
        <f t="shared" ref="E118:Y118" si="298">E114-E116</f>
        <v>0</v>
      </c>
      <c r="F118" s="1377">
        <f t="shared" si="298"/>
        <v>0</v>
      </c>
      <c r="G118" s="1377">
        <f t="shared" si="298"/>
        <v>0</v>
      </c>
      <c r="H118" s="1377">
        <f t="shared" si="298"/>
        <v>0</v>
      </c>
      <c r="I118" s="1377">
        <f>I114-I116</f>
        <v>0</v>
      </c>
      <c r="J118" s="1377">
        <f t="shared" si="298"/>
        <v>0</v>
      </c>
      <c r="K118" s="1377">
        <f t="shared" si="298"/>
        <v>0</v>
      </c>
      <c r="L118" s="1377">
        <f t="shared" si="298"/>
        <v>0</v>
      </c>
      <c r="M118" s="1377">
        <f t="shared" si="298"/>
        <v>0</v>
      </c>
      <c r="N118" s="1377">
        <f t="shared" si="298"/>
        <v>0</v>
      </c>
      <c r="O118" s="1377">
        <f t="shared" si="298"/>
        <v>0</v>
      </c>
      <c r="P118" s="1377">
        <f t="shared" si="298"/>
        <v>0</v>
      </c>
      <c r="Q118" s="1377">
        <f t="shared" si="298"/>
        <v>0</v>
      </c>
      <c r="R118" s="1377">
        <f t="shared" si="298"/>
        <v>0</v>
      </c>
      <c r="S118" s="1377">
        <f t="shared" si="298"/>
        <v>0</v>
      </c>
      <c r="T118" s="1377">
        <f t="shared" si="298"/>
        <v>0</v>
      </c>
      <c r="U118" s="1377">
        <f t="shared" si="298"/>
        <v>0</v>
      </c>
      <c r="V118" s="1377">
        <f t="shared" si="298"/>
        <v>0</v>
      </c>
      <c r="W118" s="1377">
        <f t="shared" si="298"/>
        <v>0</v>
      </c>
      <c r="X118" s="1377">
        <f t="shared" si="298"/>
        <v>0</v>
      </c>
      <c r="Y118" s="1377">
        <f t="shared" si="298"/>
        <v>0</v>
      </c>
      <c r="Z118" s="1377">
        <f t="shared" ref="Z118:AJ118" si="299">Z114-Z116</f>
        <v>0</v>
      </c>
      <c r="AA118" s="1377">
        <f t="shared" si="299"/>
        <v>0</v>
      </c>
      <c r="AB118" s="1377">
        <f t="shared" si="299"/>
        <v>0</v>
      </c>
      <c r="AC118" s="1377">
        <f t="shared" si="299"/>
        <v>0</v>
      </c>
      <c r="AD118" s="1377">
        <f t="shared" si="299"/>
        <v>0</v>
      </c>
      <c r="AE118" s="1377">
        <f t="shared" si="299"/>
        <v>0</v>
      </c>
      <c r="AF118" s="1377">
        <f t="shared" si="299"/>
        <v>0</v>
      </c>
      <c r="AG118" s="1377">
        <f t="shared" si="299"/>
        <v>0</v>
      </c>
      <c r="AH118" s="1377">
        <f t="shared" si="299"/>
        <v>0</v>
      </c>
      <c r="AI118" s="1377">
        <f t="shared" si="299"/>
        <v>0</v>
      </c>
      <c r="AJ118" s="1377">
        <f t="shared" si="299"/>
        <v>0</v>
      </c>
      <c r="AK118" s="1377">
        <f t="shared" ref="AK118:AL118" si="300">AK114-AK116</f>
        <v>0</v>
      </c>
      <c r="AL118" s="1377">
        <f t="shared" si="300"/>
        <v>0</v>
      </c>
      <c r="AM118" s="1038"/>
      <c r="BO118" s="9">
        <f>IF(AND($AN$122&gt;BN121,$C$127=$BD$121),(D$127),IF(AND($AN$122&gt;BN121,$C$127=$BD$122),(D$127),IF(AND($AN$122&gt;BN121,$C$127=$BD$123),(D$127),IF(AND($AN$122&gt;BN121,$C$127=$BD$124),(D$126),IF(AND($AN$122&gt;BN121,$C$127=$BD$125),(D$127),0)))))</f>
        <v>0</v>
      </c>
      <c r="CA118" s="9"/>
      <c r="CB118" s="9"/>
      <c r="CC118" s="9"/>
      <c r="CD118" s="9"/>
    </row>
    <row r="119" spans="2:82" ht="110.25" customHeight="1">
      <c r="B119" s="1411"/>
      <c r="C119" s="2334" t="s">
        <v>4758</v>
      </c>
      <c r="D119" s="2335"/>
      <c r="E119" s="2335"/>
      <c r="F119" s="2335"/>
      <c r="G119" s="2335"/>
      <c r="H119" s="2335"/>
      <c r="I119" s="2335"/>
      <c r="J119" s="2335"/>
      <c r="K119" s="2335"/>
      <c r="L119" s="2335"/>
      <c r="M119" s="2335"/>
      <c r="N119" s="2335"/>
      <c r="O119" s="2335"/>
      <c r="P119" s="2335"/>
      <c r="Q119" s="2335"/>
      <c r="R119" s="2335"/>
      <c r="S119" s="2335"/>
      <c r="T119" s="2335"/>
      <c r="U119" s="2335"/>
      <c r="V119" s="2335"/>
      <c r="W119" s="2335"/>
      <c r="X119" s="2335"/>
      <c r="Y119" s="2335"/>
      <c r="Z119" s="2335"/>
      <c r="AA119" s="2335"/>
      <c r="AB119" s="2335"/>
      <c r="AC119" s="2335"/>
      <c r="AD119" s="2335"/>
      <c r="AE119" s="2335"/>
      <c r="AF119" s="2335"/>
      <c r="AG119" s="2335"/>
      <c r="AH119" s="2335"/>
      <c r="AI119" s="2335"/>
      <c r="AJ119" s="2335"/>
      <c r="AK119" s="2335"/>
      <c r="AL119" s="2335"/>
      <c r="AM119" s="1038"/>
      <c r="AP119" s="115" t="b">
        <f>IF(AND($C$122=$BD$124,$AO$123&lt;0),TRUE,FALSE)</f>
        <v>0</v>
      </c>
      <c r="BJ119" s="2311" t="s">
        <v>4759</v>
      </c>
      <c r="BK119" s="2311"/>
      <c r="BL119" s="2311"/>
      <c r="BP119" s="9" t="s">
        <v>4760</v>
      </c>
      <c r="BV119" s="9" t="s">
        <v>4761</v>
      </c>
      <c r="CA119" s="9"/>
      <c r="CB119" s="9"/>
      <c r="CC119" s="9"/>
      <c r="CD119" s="9"/>
    </row>
    <row r="120" spans="2:82" s="989" customFormat="1" ht="35.25" customHeight="1">
      <c r="B120" s="1411"/>
      <c r="C120" s="1378" t="s">
        <v>4762</v>
      </c>
      <c r="D120" s="1379">
        <f>IF(OR(C122=BD122,C122=BD124),"Input Desired Annual Payment Amount      1",IF(C122=BD123,"Input Desired % of Cashflow                   1", 1))</f>
        <v>1</v>
      </c>
      <c r="E120" s="1379">
        <f>IF($C$122=$BD$124,"Input Desired Annual Payment Amount      2",2)</f>
        <v>2</v>
      </c>
      <c r="F120" s="1379">
        <f>IF($C$122=$BD$124,"Input Desired Annual Payment Amount      3",3)</f>
        <v>3</v>
      </c>
      <c r="G120" s="1380">
        <f>IF($C$122=$BD$124,"Input Desired Annual Payment Amount      4",4)</f>
        <v>4</v>
      </c>
      <c r="H120" s="1379">
        <f>IF($C$122=$BD$124,"Input Desired Annual Payment Amount      5",5)</f>
        <v>5</v>
      </c>
      <c r="I120" s="1380">
        <f>IF($C$122=$BD$124,"Input Desired Annual Payment Amount      6",6)</f>
        <v>6</v>
      </c>
      <c r="J120" s="1381">
        <f>IF($C$122=$BD$124,"Input Desired Annual Payment Amount      7",7)</f>
        <v>7</v>
      </c>
      <c r="K120" s="1380">
        <f>IF($C$122=$BD$124,"Input Desired Annual Payment Amount      8",8)</f>
        <v>8</v>
      </c>
      <c r="L120" s="1380">
        <f>IF($C$122=$BD$124,"Input Desired Annual Payment Amount      9",9)</f>
        <v>9</v>
      </c>
      <c r="M120" s="1380">
        <f>IF($C$122=$BD$124,"Input Desired Annual Payment Amount      10",10)</f>
        <v>10</v>
      </c>
      <c r="N120" s="1380">
        <f>IF($C$122=$BD$124,"Input Desired Annual Payment Amount      11",11)</f>
        <v>11</v>
      </c>
      <c r="O120" s="1380">
        <f>IF($C$122=$BD$124,"Input Desired Annual Payment Amount      12",12)</f>
        <v>12</v>
      </c>
      <c r="P120" s="1380">
        <f>IF($C$122=$BD$124,"Input Desired Annual Payment Amount      13",13)</f>
        <v>13</v>
      </c>
      <c r="Q120" s="1380">
        <f>IF($C$122=$BD$124,"Input Desired Annual Payment Amount      14",14)</f>
        <v>14</v>
      </c>
      <c r="R120" s="1380">
        <f>IF($C$122=$BD$124,"Input Desired Annual Payment Amount      15",15)</f>
        <v>15</v>
      </c>
      <c r="S120" s="1380">
        <f>IF($C$122=$BD$124,"Input Desired Annual Payment Amount      16",16)</f>
        <v>16</v>
      </c>
      <c r="T120" s="1380">
        <f>IF($C$122=$BD$124,"Input Desired Annual Payment Amount      17",17)</f>
        <v>17</v>
      </c>
      <c r="U120" s="1380">
        <f>IF($C$122=$BD$124,"Input Desired Annual Payment Amount      18",18)</f>
        <v>18</v>
      </c>
      <c r="V120" s="1380">
        <f>IF($C$122=$BD$124,"Input Desired Annual Payment Amount      19",19)</f>
        <v>19</v>
      </c>
      <c r="W120" s="1380">
        <f>IF($C$122=$BD$124,"Input Desired Annual Payment Amount      20",20)</f>
        <v>20</v>
      </c>
      <c r="X120" s="1380">
        <f>IF($C$122=$BD$124,"Input Desired Annual Payment Amount      21",21)</f>
        <v>21</v>
      </c>
      <c r="Y120" s="1380">
        <f>IF($C$122=$BD$124,"Input Desired Annual Payment Amount      22",22)</f>
        <v>22</v>
      </c>
      <c r="Z120" s="1380">
        <f>IF($C$122=$BD$124,"Input Desired Annual Payment Amount      23",23)</f>
        <v>23</v>
      </c>
      <c r="AA120" s="1380">
        <f>IF($C$122=$BD$124,"Input Desired Annual Payment Amount      24",24)</f>
        <v>24</v>
      </c>
      <c r="AB120" s="1380">
        <f>IF($C$122=$BD$124,"Input Desired Annual Payment Amount      25",25)</f>
        <v>25</v>
      </c>
      <c r="AC120" s="1380">
        <f>IF($C$122=$BD$124,"Input Desired Annual Payment Amount      26",26)</f>
        <v>26</v>
      </c>
      <c r="AD120" s="1380">
        <f>IF($C$122=$BD$124,"Input Desired Annual Payment Amount      27",27)</f>
        <v>27</v>
      </c>
      <c r="AE120" s="1380">
        <f>IF($C$122=$BD$124,"Input Desired Annual Payment Amount      28",28)</f>
        <v>28</v>
      </c>
      <c r="AF120" s="1380">
        <f>IF($C$122=$BD$124,"Input Desired Annual Payment Amount      29",29)</f>
        <v>29</v>
      </c>
      <c r="AG120" s="1380">
        <f>IF($C$122=$BD$124,"Input Desired Annual Payment Amount      30",30)</f>
        <v>30</v>
      </c>
      <c r="AH120" s="1380">
        <f>IF($C$122=$BD$124,"Input Desired Annual Payment Amount      31",31)</f>
        <v>31</v>
      </c>
      <c r="AI120" s="1380">
        <f>IF($C$122=$BD$124,"Input Desired Annual Payment Amount      32",32)</f>
        <v>32</v>
      </c>
      <c r="AJ120" s="1380">
        <f>IF($C$122=$BD$124,"Input Desired Annual Payment Amount      33",33)</f>
        <v>33</v>
      </c>
      <c r="AK120" s="1380">
        <f>IF($C$122=$BD$124,"Input Desired Annual Payment Amount      34",34)</f>
        <v>34</v>
      </c>
      <c r="AL120" s="1380">
        <f>IF($C$122=$BD$124,"Input Desired Annual Payment Amount      35",35)</f>
        <v>35</v>
      </c>
      <c r="AM120" s="1382"/>
      <c r="AN120" s="1647"/>
      <c r="AO120" s="1647"/>
      <c r="AP120" s="1647"/>
      <c r="AQ120" s="1647"/>
      <c r="AR120" s="1647"/>
      <c r="AS120" s="1647"/>
      <c r="AT120" s="1647"/>
      <c r="AU120" s="1647"/>
      <c r="AV120" s="1647"/>
      <c r="AW120" s="1647"/>
      <c r="AX120" s="1647"/>
      <c r="AY120" s="1647"/>
      <c r="AZ120" s="1647"/>
      <c r="BA120" s="1309"/>
      <c r="BB120" s="1317" t="s">
        <v>4763</v>
      </c>
      <c r="BC120" s="1317"/>
      <c r="BD120" s="1318" t="s">
        <v>4764</v>
      </c>
      <c r="BE120" s="1309"/>
      <c r="BF120" s="1309" t="s">
        <v>4765</v>
      </c>
      <c r="BG120" s="1309"/>
      <c r="BH120" s="1309"/>
      <c r="BI120" s="1319" t="s">
        <v>4766</v>
      </c>
      <c r="BJ120" s="1319"/>
      <c r="BK120" s="1319"/>
      <c r="BL120" s="1319">
        <f>AO121</f>
        <v>0</v>
      </c>
      <c r="BM120" s="1320">
        <f>BL120*($AQ$122+1)</f>
        <v>0</v>
      </c>
      <c r="BN120" s="1309"/>
      <c r="BO120" s="1319" t="s">
        <v>4766</v>
      </c>
      <c r="BP120" s="1319"/>
      <c r="BQ120" s="1319"/>
      <c r="BR120" s="1319">
        <f>AO126</f>
        <v>0</v>
      </c>
      <c r="BS120" s="1321">
        <f>BR120*($AQ$122+1)</f>
        <v>0</v>
      </c>
      <c r="BT120" s="1309"/>
      <c r="BU120" s="1319" t="s">
        <v>4766</v>
      </c>
      <c r="BV120" s="1319"/>
      <c r="BW120" s="1319"/>
      <c r="BX120" s="1319">
        <f>AO131</f>
        <v>0</v>
      </c>
      <c r="BY120" s="1321">
        <f>BX120*($AQ$132+1)</f>
        <v>0</v>
      </c>
      <c r="BZ120" s="1309"/>
      <c r="CA120" s="1309"/>
      <c r="CB120" s="1309"/>
      <c r="CC120" s="1309"/>
      <c r="CD120" s="1309"/>
    </row>
    <row r="121" spans="2:82">
      <c r="B121" s="1411">
        <v>11</v>
      </c>
      <c r="C121" s="1383"/>
      <c r="D121" s="1462"/>
      <c r="E121" s="1462"/>
      <c r="F121" s="1462"/>
      <c r="G121" s="1462"/>
      <c r="H121" s="1462"/>
      <c r="I121" s="1462"/>
      <c r="J121" s="1462"/>
      <c r="K121" s="1462"/>
      <c r="L121" s="1462"/>
      <c r="M121" s="1462"/>
      <c r="N121" s="1462"/>
      <c r="O121" s="1462"/>
      <c r="P121" s="1462"/>
      <c r="Q121" s="1462"/>
      <c r="R121" s="1462"/>
      <c r="S121" s="1462"/>
      <c r="T121" s="1462"/>
      <c r="U121" s="1462"/>
      <c r="V121" s="1462"/>
      <c r="W121" s="1462"/>
      <c r="X121" s="1462"/>
      <c r="Y121" s="1462"/>
      <c r="Z121" s="1462"/>
      <c r="AA121" s="1462"/>
      <c r="AB121" s="1462"/>
      <c r="AC121" s="1462"/>
      <c r="AD121" s="1462"/>
      <c r="AE121" s="1462"/>
      <c r="AF121" s="1462"/>
      <c r="AG121" s="1462"/>
      <c r="AH121" s="1462"/>
      <c r="AI121" s="1462"/>
      <c r="AJ121" s="1462"/>
      <c r="AK121" s="1462"/>
      <c r="AL121" s="1462"/>
      <c r="AM121" s="1034"/>
      <c r="AO121" s="1648">
        <f>_xlfn.XLOOKUP(C121,'12. Funding Sources'!C11:C23,'12. Funding Sources'!E11:E23,0)</f>
        <v>0</v>
      </c>
      <c r="AS121" s="1649" t="str">
        <f>_xlfn.CONCAT("Proposed Annual Debt Service - ",Source_1)</f>
        <v>Proposed Annual Debt Service - Tax-Exempt Bonds - Permanent</v>
      </c>
      <c r="AT121" s="1650" t="e">
        <f>-PMT(Rate_1,Term_1,Amount_1)</f>
        <v>#NUM!</v>
      </c>
      <c r="AU121" s="1649">
        <f>IF(Annual_DSC_1&gt;0,1,0)</f>
        <v>0</v>
      </c>
      <c r="AV121" s="1649">
        <f>MAX(AU121)</f>
        <v>0</v>
      </c>
      <c r="AW121" s="1651">
        <v>1</v>
      </c>
      <c r="AX121" s="115">
        <f>IF(OR('12. Funding Sources'!J11='12. Funding Sources'!$R$12,'12. Funding Sources'!J11='12. Funding Sources'!$R$13),11,0)</f>
        <v>0</v>
      </c>
      <c r="AY121" s="1649">
        <v>10</v>
      </c>
      <c r="AZ121" s="1649">
        <v>11</v>
      </c>
      <c r="BA121" s="9" t="str">
        <f>_xlfn.XLOOKUP(AZ121,$AX$121:$AX$133,'12. Funding Sources'!$C$11:$C$23,"")</f>
        <v/>
      </c>
      <c r="BB121" s="1322">
        <f>C121</f>
        <v>0</v>
      </c>
      <c r="BC121" s="1322" t="str" cm="1">
        <f t="array" ref="BC121">_xlfn._xlws.FILTER(BA121:BA133,COUNTIF(BB121:BB133,BA121:BA133)=0,"No Additional Loans")</f>
        <v>No Additional Loans</v>
      </c>
      <c r="BD121" s="9" t="s">
        <v>4767</v>
      </c>
      <c r="BF121" s="579" t="e">
        <f>-IPMT(Rate_1,1,Term_1,Amount_1)</f>
        <v>#NUM!</v>
      </c>
      <c r="BH121" s="9">
        <v>1</v>
      </c>
      <c r="BI121" s="1323">
        <f>IF(AND($AN$122&gt;BH121,$C$122=$BD$121),(D$122),IF(AND($AN$122&gt;BH121,$C$122=$BD$122),(D$122),IF(AND($AN$122&gt;BH121,$C$122=$BD$123),(D$122),IF(AND($AN$122&gt;BH121,$C$122=$BD$124),(D$121),IF(AND($AN$122&gt;BH121,$C$122=$BD$125),(D$122),0)))))</f>
        <v>0</v>
      </c>
      <c r="BJ121" s="1323">
        <v>0</v>
      </c>
      <c r="BK121" s="1323">
        <v>0</v>
      </c>
      <c r="BL121" s="1323">
        <f>IF(AND($AN$122&gt;BH121,$AP$122&gt;=BI121),(((BL120+($AP$122-BI121))*($AQ$122+1))-BI121),IF(AND($AN$122&gt;BH121,$AP$122&lt;=BI121),((BL120*($AQ$122+1))-BI121),IF($AN$122&lt;=BL120,BL120,0)))</f>
        <v>0</v>
      </c>
      <c r="BM121" s="1320">
        <f>BL120*($AQ$122+1)</f>
        <v>0</v>
      </c>
      <c r="BN121" s="9">
        <v>1</v>
      </c>
      <c r="BO121" s="1323">
        <f>IF(AND($AN$127&gt;BN121,$C$127=$BD$121),(D$127),IF(AND($AN$127&gt;BN121,$C$127=$BD$122),(D$127),IF(AND($AN$127&gt;BN121,$C$127=$BD$123),(D$127),IF(AND($AN$127&gt;BN121,$C$127=$BD$124),(D$126),IF(AND($AN$127&gt;BN121,$C$127=$BD$125),(D$127),0)))))</f>
        <v>0</v>
      </c>
      <c r="BP121" s="1323">
        <v>0</v>
      </c>
      <c r="BQ121" s="1323">
        <v>0</v>
      </c>
      <c r="BR121" s="1323">
        <f t="shared" ref="BR121:BR153" si="301">IF(AND($AN$127&gt;BN121,$AP$127&gt;=BO121),(((BR120+($AP$127-BO121))*($AQ$127+1))-BO121),IF(AND($AN$127&gt;BN121,$AP$127&lt;=BO121),((BR120*($AQ$127+1))-BO121),IF($AN$127&lt;=BR120,BR120,0)))</f>
        <v>0</v>
      </c>
      <c r="BS121" s="1324">
        <f>BR120*($AQ$122+1)</f>
        <v>0</v>
      </c>
      <c r="BT121" s="9">
        <v>1</v>
      </c>
      <c r="BU121" s="1323">
        <f>IF(AND($AN$132&gt;BT121,$C$132=$BD$121),(D$132),IF(AND($AN$132&gt;BT121,$C$132=$BD$122),(D$132),IF(AND($AN$132&gt;BT121,$C$132=$BD$123),(D$132),IF(AND($AN$132&gt;BT121,$C$132=$BD$124),(D$131),IF(AND($AN$132&gt;BT121,$C$132=$BD$125),(D$132),0)))))</f>
        <v>0</v>
      </c>
      <c r="BV121" s="1323">
        <v>0</v>
      </c>
      <c r="BW121" s="1323">
        <v>0</v>
      </c>
      <c r="BX121" s="1323">
        <f t="shared" ref="BX121:BX153" si="302">IF(AND($AN$132&gt;BT121,$AP$132&gt;=BU121),(((BX120+($AP$132-BU121))*($AQ$132+1))-BU121),IF(AND($AN$132&gt;BT121,$AP$132&lt;=BU121),((BX120*($AQ$132+1))-BU121),IF($AN$132&lt;=BX120,BX120,0)))</f>
        <v>0</v>
      </c>
      <c r="BY121" s="1324">
        <f>BX120*($AQ$132+1)</f>
        <v>0</v>
      </c>
      <c r="CA121" s="9"/>
      <c r="CB121" s="9"/>
      <c r="CC121" s="9"/>
      <c r="CD121" s="9"/>
    </row>
    <row r="122" spans="2:82" ht="18.75" customHeight="1">
      <c r="B122" s="1411"/>
      <c r="C122" s="1446"/>
      <c r="D122" s="1385">
        <f>IF($C122=$BD$125,$AP$122,IF(AND($C122=$BD$121,$AR$122&lt;=$D118),$AR$122,IF($C122=$BD$123,($D118*($D121/100)),IF(AND($C122=$BD$122,$D118&gt;=$D121),$D121,IF(AND($C122=$BD$122,$D118&lt;$D121),$D118,IF($C122=$BD$124,0,0))))))</f>
        <v>0</v>
      </c>
      <c r="E122" s="1385" t="b">
        <f>IF(AND($C$122=$BD$125,$E$89&lt;$AN$122),$AP$122,IF(AND($C$122=$BD$125,$E$89=$AN$122),$AO$122,IF(AND($C$122=$BD$125,$E$89&gt;$AN$122),0,IF($C$122=$BD$124,0,IF(AND($C$122=$BD$123,$E$89&lt;$AN$122,$BM$122&gt;=(($D$121/100)*$E$118)),(($D$121/100)*$E$118),IF(AND($C$122=$BD$123,$E$89&lt;$AN$122,$BM$122&lt;(($D$121/100)*$E$118)),$BM$122,IF(AND($C$122=$BD$123,$E$89=$AN$122),$AO$122,IF(AND($C$122=$BD$123,$E$89&gt;$AN$122),0,IF(AND($C$122=$BD$122,$D$122=0),0,IF(AND($C$122=$BD$121,$E$89&lt;$AN$122,$E$118&gt;=$AR$122),$AR$122,IF(AND($C$122=$BD$121,$E$89&lt;$AN$122,E118&lt;$AR$122),$E$118,IF(AND($C$122=$BD$121,E89=$AN$122),$AO$122,IF(AND($C$122=$BD$121,$E$89&gt;$AN$122),0,IF(AND($C$122=$BD$122,$E$89&lt;$AN$122,$E$118&gt;=$D$121,$BM$122&gt;=$D$121),$D$121,IF(AND($C$122=$BD$122,$E$89&lt;$AN$122,$E$118&gt;=$D$121,$BM$122&lt;$D$121),$BM$122,IF(AND($C$122=$BD$122,$E$89&lt;$AN$122,$E$118&lt;$D$121,$BM$122&lt;E118),$BM$122,IF(AND($C$122=$BD$122,$E$89&lt;$AN$122,$E$118&lt;$D$121,$BM$122&gt;E118),$E$118,IF(AND($C$122=$BD$122,$E$89=$AN$122),$AO$122,IF(AND($C$122=$BD$122,$E$89&gt;$AN$122),0)))))))))))))))))))</f>
        <v>0</v>
      </c>
      <c r="F122" s="1385" t="b">
        <f>IF(AND($C$122=$BD$125,F89&lt;$AN$122),$AP$122,IF(AND($C$122=$BD$125,F89=$AN$122),$AO$122,IF(AND($C$122=$BD$125,F89&gt;$AN$122),0,IF($C$122=$BD$124,0,IF(AND($C$122=$BD$123,F89&lt;$AN$122,$BM$123&gt;=(($D$121/100)*F118)),(($D$121/100)*F118),IF(AND($C$122=$BD$123,F89&lt;$AN$122,$BM$123&lt;(($D$121/100)*F118)),$BM$123,IF(AND($C$122=$BD$123,F89=$AN$122),$AO$122,IF(AND($C$122=$BD$123,F89&gt;$AN$122),0,IF(AND($C$122=$BD$121,F89&lt;$AN$122,F118&gt;=$AR$122),$AR$122,IF(AND($C$122=$BD$121,F89&lt;$AN$122,F118&lt;$AR$122),F118,IF(AND($C$122=$BD$121,F89=$AN$122),$AO$122,IF(AND($C$122=$BD$121,F89&gt;$AN$122),0,IF(AND($C$122=$BD$122,F89&lt;$AN$122,F118&gt;=$D$121,$BM$123&gt;=$D$121),$D$121,IF(AND($C$122=$BD$122,F89&lt;$AN$122,F118&gt;=$D$121,$BM$123&lt;$D$121),$BM$123,IF(AND($C$122=$BD$122,F89&lt;$AN$122,F118&lt;$D$121,$BM$123&lt;F118),$BM$123,IF(AND($C$122=$BD$122,F89&lt;$AN$122,F118&lt;$D$121,$BM$123&gt;F118),F118,IF(AND($C$122=$BD$122,F89=$AN$122),$AO$122,IF(AND($C$122=$BD$122,F89&gt;$AN$122),0))))))))))))))))))</f>
        <v>0</v>
      </c>
      <c r="G122" s="1385" t="b">
        <f>IF(AND($C$122=$BD$125,G89&lt;$AN$122),$AP$122,IF(AND($C$122=$BD$125,G89=$AN$122),$AO$122,IF(AND($C$122=$BD$125,G89&gt;$AN$122),0,IF($C$122=$BD$124,0,IF(AND($C$122=$BD$123,G89&lt;$AN$122,$BM$124&gt;=(($D$121/100)*G118)),(($D$121/100)*G118),IF(AND($C$122=$BD$123,G89&lt;$AN$122,$BM$124&lt;(($D$121/100)*G118)),$BM$124,IF(AND($C$122=$BD$123,G89=$AN$122),$AO$122,IF(AND($C$122=$BD$123,G89&gt;$AN$122),0,IF(AND($C$122=$BD$121,G89&lt;$AN$122,G118&gt;=$AR$122),$AR$122,IF(AND($C$122=$BD$121,G89&lt;$AN$122,G118&lt;$AR$122),G118,IF(AND($C$122=$BD$121,G89=$AN$122),$AO$122,IF(AND($C$122=$BD$121,G89&gt;$AN$122),0,IF(AND($C$122=$BD$122,G89&lt;$AN$122,G118&gt;=$D$121,$BM$124&gt;=$D$121),$D$121,IF(AND($C$122=$BD$122,G89&lt;$AN$122,G118&gt;=$D$121,$BM$124&lt;$D$121),$BM$124,IF(AND($C$122=$BD$122,G89&lt;$AN$122,G118&lt;$D$121,$BM$124&lt;G118),$BM$124,IF(AND($C$122=$BD$122,G89&lt;$AN$122,G118&lt;$D$121,$BM$124&gt;G118),G118,IF(AND($C$122=$BD$122,G89=$AN$122),$AO$122,IF(AND($C$122=$BD$122,G89&gt;$AN$122),0))))))))))))))))))</f>
        <v>0</v>
      </c>
      <c r="H122" s="1385" t="b">
        <f>IF(AND($C$122=$BD$125,H89&lt;$AN$122),$AP$122,IF(AND($C$122=$BD$125,H89=$AN$122),$AO$122,IF(AND($C$122=$BD$125,H89&gt;$AN$122),0,IF($C$122=$BD$124,0,IF(AND($C$122=$BD$123,H89&lt;$AN$122,$BM$125&gt;=(($D$121/100)*H118)),(($D$121/100)*H118),IF(AND($C$122=$BD$123,H89&lt;$AN$122,$BM$125&lt;(($D$121/100)*H118)),$BM$125,IF(AND($C$122=$BD$123,H89=$AN$122),$AO$122,IF(AND($C$122=$BD$123,H89&gt;$AN$122),0,IF(AND($C$122=$BD$121,H89&lt;$AN$122,H118&gt;=$AR$122),$AR$122,IF(AND($C$122=$BD$121,H89&lt;$AN$122,H118&lt;$AR$122),H118,IF(AND($C$122=$BD$121,H89=$AN$122),$AO$122,IF(AND($C$122=$BD$121,H89&gt;$AN$122),0,IF(AND($C$122=$BD$122,H89&lt;$AN$122,H118&gt;=$D$121,$BM$125&gt;=$D$121),$D$121,IF(AND($C$122=$BD$122,H89&lt;$AN$122,H118&gt;=$D$121,$BM$125&lt;$D$121),$BM$125,IF(AND($C$122=$BD$122,H89&lt;$AN$122,H118&lt;$D$121,$BM$125&lt;H118),$BM$125,IF(AND($C$122=$BD$122,H89&lt;$AN$122,H118&lt;$D$121,$BM$125&gt;H118),H118,IF(AND($C$122=$BD$122,H89=$AN$122),$AO$122,IF(AND($C$122=$BD$122,H89&gt;$AN$122),0))))))))))))))))))</f>
        <v>0</v>
      </c>
      <c r="I122" s="1385" t="b">
        <f>IF(AND($C$122=$BD$125,I89&lt;$AN$122),$AP$122,IF(AND($C$122=$BD$125,I89=$AN$122),$AO$122,IF(AND($C$122=$BD$125,I89&gt;$AN$122),0,IF($C$122=$BD$124,0,IF(AND($C$122=$BD$123,I89&lt;$AN$122,$BM$126&gt;=(($D$121/100)*I118)),(($D$121/100)*I118),IF(AND($C$122=$BD$123,I89&lt;$AN$122,$BM$126&lt;(($D$121/100)*I118)),$BM$126,IF(AND($C$122=$BD$123,I89=$AN$122),$AO$122,IF(AND($C$122=$BD$123,I89&gt;$AN$122),0,IF(AND($C$122=$BD$123,I89&lt;$AN$122,$BM$126&gt;=(($D$121/100)*I118)),(($D$121/100)*I118),IF(AND($C$122=$BD$123,I89&lt;$AN$122,$BM$126&lt;(($D$121/100)*I118)),$BM$126,IF(AND($C$122=$BD$123,I89=$AN$122),$AO$122,IF(AND($C$122=$BD$123,I89&gt;$AN$122),0,IF(AND($C$122=$BD$121,I89&lt;$AN$122,I118&gt;=$AR$122),$AR$122,IF(AND($C$122=$BD$121,I89&lt;$AN$122,I118&lt;$AR$122),I118,IF(AND($C$122=$BD$121,I89=$AN$122),$AO$122,IF(AND($C$122=$BD$121,I89&gt;$AN$122),0,IF(AND($C$122=$BD$122,I89&lt;$AN$122,I118&gt;=$D$121,$BM$126&gt;=$D$121),$D$121,IF(AND($C$122=$BD$122,I89&lt;$AN$122,I118&gt;=$D$121,$BM$126&lt;$D$121),$BM$126,IF(AND($C$122=$BD$122,I89&lt;$AN$122,I118&lt;$D$121,$BM$126&lt;I118),$BM$126,IF(AND($C$122=$BD$122,I89&lt;$AN$122,I118&lt;$D$121,$BM$126&gt;I118),I118,IF(AND($C$122=$BD$122,I89=$AN$122),$AO$122,IF(AND($C$122=$BD$122,I89&gt;$AN$122),0))))))))))))))))))))))</f>
        <v>0</v>
      </c>
      <c r="J122" s="1385" t="b">
        <f>IF(AND($C$122=$BD$125,J89&lt;$AN$122),$AP$122,IF(AND($C$122=$BD$125,J89=$AN$122),$AO$122,IF(AND($C$122=$BD$125,J89&gt;$AN$122),0,IF($C$122=$BD$124,0,IF(AND($C$122=$BD$123,J89&lt;$AN$122,$BM$127&gt;=(($D$121/100)*J118)),(($D$121/100)*J118),IF(AND($C$122=$BD$123,J89&lt;$AN$122,$BM$127&lt;(($D$121/100)*J118)),$BM$127,IF(AND($C$122=$BD$123,J89=$AN$122),$AO$122,IF(AND($C$122=$BD$123,J89&gt;$AN$122),0,IF(AND($C$122=$BD$121,J89&lt;$AN$122,J118&gt;=$AR$122),$AR$122,IF(AND($C$122=$BD$121,J89&lt;$AN$122,J118&lt;$AR$122),J118,IF(AND($C$122=$BD$121,J89=$AN$122),$AO$122,IF(AND($C$122=$BD$121,J89&gt;$AN$122),0,IF(AND($C$122=$BD$122,J89&lt;$AN$122,J118&gt;=$D$121,$BM$127&gt;=$D$121),$D$121,IF(AND($C$122=$BD$122,J89&lt;$AN$122,J118&gt;=$D$121,$BM$127&lt;$D$121),$BM$127,IF(AND($C$122=$BD$122,J89&lt;$AN$122,J118&lt;$D$121,$BM$127&lt;J118),$BM$127,IF(AND($C$122=$BD$122,J89&lt;$AN$122,J118&lt;$D$121,$BM$127&gt;J118),J118,IF(AND($C$122=$BD$122,J89=$AN$122),$AO$122,IF(AND($C$122=$BD$122,J89&gt;$AN$122),0))))))))))))))))))</f>
        <v>0</v>
      </c>
      <c r="K122" s="1385" t="b">
        <f>IF(AND($C$122=$BD$125,K89&lt;$AN$122),$AP$122,IF(AND($C$122=$BD$125,K89=$AN$122),$AO$122,IF(AND($C$122=$BD$125,K89&gt;$AN$122),0,IF($C$122=$BD$124,0,IF(AND($C$122=$BD$123,K89&lt;$AN$122,$BM$128&gt;=(($D$121/100)*K118)),(($D$121/100)*K118),IF(AND($C$122=$BD$123,K89&lt;$AN$122,$BM$128&lt;(($D$121/100)*K118)),$BM$128,IF(AND($C$122=$BD$123,K89=$AN$122),$AO$122,IF(AND($C$122=$BD$123,K89&gt;$AN$122),0,IF(AND($C$122=$BD$121,K89&lt;$AN$122,K118&gt;=$AR$122),$AR$122,IF(AND($C$122=$BD$121,K89&lt;$AN$122,K118&lt;$AR$122),K118,IF(AND($C$122=$BD$121,K89=$AN$122),$AO$122,IF(AND($C$122=$BD$121,K89&gt;$AN$122),0,IF(AND($C$122=$BD$122,K89&lt;$AN$122,K118&gt;=$D$121,$BM$128&gt;=$D$121),$D$121,IF(AND($C$122=$BD$122,K89&lt;$AN$122,K118&gt;=$D$121,$BM$128&lt;$D$121),$BM$128,IF(AND($C$122=$BD$122,K89&lt;$AN$122,K118&lt;$D$121,$BM$128&lt;K118),$BM$128,IF(AND($C$122=$BD$122,K89&lt;$AN$122,K118&lt;$D$121,$BM$128&gt;K118),K118,IF(AND($C$122=$BD$122,K89=$AN$122),$AO$122,IF(AND($C$122=$BD$122,K89&gt;$AN$122),0))))))))))))))))))</f>
        <v>0</v>
      </c>
      <c r="L122" s="1385" t="b">
        <f>IF(AND($C$122=$BD$125,L89&lt;$AN$122),$AP$122,IF(AND($C$122=$BD$125,L89=$AN$122),$AO$122,IF(AND($C$122=$BD$125,L89&gt;$AN$122),0,IF($C$122=$BD$124,0,IF(AND($C$122=$BD$123,L89&lt;$AN$122,$BM$129&gt;=(($D$121/100)*L118)),(($D$121/100)*L118),IF(AND($C$122=$BD$123,L89&lt;$AN$122,$BM$129&lt;(($D$121/100)*L118)),$BM$129,IF(AND($C$122=$BD$123,L89=$AN$122),$AO$122,IF(AND($C$122=$BD$123,L89&gt;$AN$122),0,IF(AND($C$122=$BD$121,L89&lt;$AN$122,L118&gt;=$AR$122),$AR$122,IF(AND($C$122=$BD$121,L89&lt;$AN$122,L118&lt;$AR$122),L118,IF(AND($C$122=$BD$121,L89=$AN$122),$AO$122,IF(AND($C$122=$BD$121,L89&gt;$AN$122),0,IF(AND($C$122=$BD$122,L89&lt;$AN$122,L118&gt;=$D$121,$BM$129&gt;=$D$121),$D$121,IF(AND($C$122=$BD$122,L89&lt;$AN$122,L118&gt;=$D$121,$BM$129&lt;$D$121),$BM$129,IF(AND($C$122=$BD$122,L89&lt;$AN$122,L118&lt;$D$121,$BM$129&lt;L118),$BM$129,IF(AND($C$122=$BD$122,L89&lt;$AN$122,L118&lt;$D$121,$BM$129&gt;L118),L118,IF(AND($C$122=$BD$122,L89=$AN$122),$AO$122,IF(AND($C$122=$BD$122,L89&gt;$AN$122),0))))))))))))))))))</f>
        <v>0</v>
      </c>
      <c r="M122" s="1385" t="b">
        <f>IF(AND($C$122=$BD$125,M89&lt;$AN$122),$AP$122,IF(AND($C$122=$BD$125,M89=$AN$122),$AO$122,IF(AND($C$122=$BD$125,M89&gt;$AN$122),0,IF($C$122=$BD$124,0,IF(AND($C$122=$BD$123,M89&lt;$AN$122,$BM$130&gt;=(($D$121/100)*M118)),(($D$121/100)*M118),IF(AND($C$122=$BD$123,M89&lt;$AN$122,$BM$130&lt;(($D$121/100)*M118)),$BM$130,IF(AND($C$122=$BD$123,M89=$AN$122),$AO$122,IF(AND($C$122=$BD$123,M89&gt;$AN$122),0,IF(AND($C$122=$BD$121,M89&lt;$AN$122,M118&gt;=$AR$122),$AR$122,IF(AND($C$122=$BD$121,M89&lt;$AN$122,M118&lt;$AR$122),M118,IF(AND($C$122=$BD$121,M89=$AN$122),$AO$122,IF(AND($C$122=$BD$121,M89&gt;$AN$122),0,IF(AND($C$122=$BD$122,M89&lt;$AN$122,M118&gt;=$D$121,$BM$130&gt;=$D$121),$D$121,IF(AND($C$122=$BD$122,M89&lt;$AN$122,M118&gt;=$D$121,$BM$130&lt;$D$121),$BM$130,IF(AND($C$122=$BD$122,M89&lt;$AN$122,M118&lt;$D$121,$BM$130&lt;M118),$BM$130,IF(AND($C$122=$BD$122,M89&lt;$AN$122,M118&lt;$D$121,$BM$130&gt;M118),M118,IF(AND($C$122=$BD$122,M89=$AN$122),$AO$122,IF(AND($C$122=$BD$122,M89&gt;$AN$122),0))))))))))))))))))</f>
        <v>0</v>
      </c>
      <c r="N122" s="1385" t="b">
        <f>IF(AND($C$122=$BD$125,N89&lt;$AN$122),$AP$122,IF(AND($C$122=$BD$125,N89=$AN$122),$AO$122,IF(AND($C$122=$BD$125,N89&gt;$AN$122),0,IF($C$122=$BD$124,0,IF(AND($C$122=$BD$123,N89&lt;$AN$122,$BM$131&gt;=(($D$121/100)*N118)),(($D$121/100)*N118),IF(AND($C$122=$BD$123,N89&lt;$AN$122,$BM$131&lt;(($D$121/100)*N118)),$BM$131,IF(AND($C$122=$BD$123,N89=$AN$122),$AO$122,IF(AND($C$122=$BD$123,N89&gt;$AN$122),0,IF(AND($C$122=$BD$121,N89&lt;$AN$122,N118&gt;=$AR$122),$AR$122,IF(AND($C$122=$BD$121,N89&lt;$AN$122,N118&lt;$AR$122),N118,IF(AND($C$122=$BD$121,N89=$AN$122),$AO$122,IF(AND($C$122=$BD$121,N89&gt;$AN$122),0,IF(AND($C$122=$BD$122,N89&lt;$AN$122,N118&gt;=$D$121,$BM$131&gt;=$D$121),$D$121,IF(AND($C$122=$BD$122,N89&lt;$AN$122,N118&gt;=$D$121,$BM$131&lt;$D$121),$BM$131,IF(AND($C$122=$BD$122,N89&lt;$AN$122,N118&lt;$D$121,$BM$131&lt;N118),$BM$131,IF(AND($C$122=$BD$122,N89&lt;$AN$122,N118&lt;$D$121,$BM$131&gt;N118),N118,IF(AND($C$122=$BD$122,N89=$AN$122),$AO$122,IF(AND($C$122=$BD$122,N89&gt;$AN$122),0))))))))))))))))))</f>
        <v>0</v>
      </c>
      <c r="O122" s="1385" t="b">
        <f>IF(AND($C$122=$BD$125,O89&lt;$AN$122),$AP$122,IF(AND($C$122=$BD$125,O89=$AN$122),$AO$122,IF(AND($C$122=$BD$125,O89&gt;$AN$122),0,IF($C$122=$BD$124,0,IF(AND($C$122=$BD$123,O89&lt;$AN$122,$BM$129&gt;=(($D$121/100)*O118)),(($D$121/100)*O118),IF(AND($C$122=$BD$123,O89&lt;$AN$122,$BM$129&lt;(($D$121/100)*O118)),$BM$129,IF(AND($C$122=$BD$123,O89=$AN$122),$AO$122,IF(AND($C$122=$BD$123,O89&gt;$AN$122),0,IF(AND($C$122=$BD$121,O89&lt;$AN$122,O118&gt;=$AR$122),$AR$122,IF(AND($C$122=$BD$121,O89&lt;$AN$122,O118&lt;$AR$122),O118,IF(AND($C$122=$BD$121,O89=$AN$122),$AO$122,IF(AND($C$122=$BD$121,O89&gt;$AN$122),0,IF(AND($C$122=$BD$122,O89&lt;$AN$122,O118&gt;=$D$121,$BM$132&gt;=$D$121),$D$121,IF(AND($C$122=$BD$122,O89&lt;$AN$122,O118&gt;=$D$121,$BM$132&lt;$D$121),$BM$132,IF(AND($C$122=$BD$122,O89&lt;$AN$122,O118&lt;$D$121,$BM$132&lt;O118),$BM$132,IF(AND($C$122=$BD$122,O89&lt;$AN$122,O118&lt;$D$121,$BM$132&gt;O118),O118,IF(AND($C$122=$BD$122,O89=$AN$122),$AO$122,IF(AND($C$122=$BD$122,O89&gt;$AN$122),0))))))))))))))))))</f>
        <v>0</v>
      </c>
      <c r="P122" s="1385" t="b">
        <f>IF(AND($C$122=$BD$125,P89&lt;$AN$122),$AP$122,IF(AND($C$122=$BD$125,P89=$AN$122),$AO$122,IF(AND($C$122=$BD$125,P89&gt;$AN$122),0,IF($C$122=$BD$124,0,IF(AND($C$122=$BD$123,P89&lt;$AN$122,$BM$133&gt;=(($D$121/100)*P118)),(($D$121/100)*P118),IF(AND($C$122=$BD$123,P89&lt;$AN$122,$BM$133&lt;(($D$121/100)*P118)),$BM$133,IF(AND($C$122=$BD$123,P89=$AN$122),$AO$122,IF(AND($C$122=$BD$123,P89&gt;$AN$122),0,IF(AND($C$122=$BD$121,P89&lt;$AN$122,P118&gt;=$AR$122),$AR$122,IF(AND($C$122=$BD$121,P89&lt;$AN$122,P118&lt;$AR$122),P118,IF(AND($C$122=$BD$121,P89=$AN$122),$AO$122,IF(AND($C$122=$BD$121,P89&gt;$AN$122),0,IF(AND($C$122=$BD$122,P89&lt;$AN$122,P118&gt;=$D$121,$BM$133&gt;=$D$121),$D$121,IF(AND($C$122=$BD$122,P89&lt;$AN$122,P118&gt;=$D$121,$BM$133&lt;$D$121),$BM$133,IF(AND($C$122=$BD$122,P89&lt;$AN$122,P118&lt;$D$121,$BM$133&lt;P118),$BM$133,IF(AND($C$122=$BD$122,P89&lt;$AN$122,P118&lt;$D$121,$BM$133&gt;P118),P118,IF(AND($C$122=$BD$122,P89=$AN$122),$AO$122,IF(AND($C$122=$BD$122,P89&gt;$AN$122),0))))))))))))))))))</f>
        <v>0</v>
      </c>
      <c r="Q122" s="1385" t="b">
        <f>IF(AND($C$122=$BD$125,Q89&lt;$AN$122),$AP$122,IF(AND($C$122=$BD$125,Q89=$AN$122),$AO$122,IF(AND($C$122=$BD$125,Q89&gt;$AN$122),0,IF($C$122=$BD$124,0,IF(AND($C$122=$BD$123,Q89&lt;$AN$122,$BM$134&gt;=(($D$121/100)*Q118)),(($D$121/100)*Q118),IF(AND($C$122=$BD$123,Q89&lt;$AN$122,$BM$134&lt;(($D$121/100)*Q118)),$BM$134,IF(AND($C$122=$BD$123,Q89=$AN$122),$AO$122,IF(AND($C$122=$BD$123,Q89&gt;$AN$122),0,IF(AND($C$122=$BD$121,Q89&lt;$AN$122,Q118&gt;=$AR$122),$AR$122,IF(AND($C$122=$BD$121,Q89&lt;$AN$122,Q118&lt;$AR$122),Q118,IF(AND($C$122=$BD$121,Q89=$AN$122),$AO$122,IF(AND($C$122=$BD$121,Q89&gt;$AN$122),0,IF(AND($C$122=$BD$122,Q89&lt;$AN$122,Q118&gt;=$D$121,$BM$134&gt;=$D$121),$D$121,IF(AND($C$122=$BD$122,Q89&lt;$AN$122,Q118&gt;=$D$121,$BM$134&lt;$D$121),$BM$134,IF(AND($C$122=$BD$122,Q89&lt;$AN$122,Q118&lt;$D$121,$BM$134&lt;Q118),$BM$134,IF(AND($C$122=$BD$122,Q89&lt;$AN$122,Q118&lt;$D$121,$BM$134&gt;Q118),Q118,IF(AND($C$122=$BD$122,Q89=$AN$122),$AO$122,IF(AND($C$122=$BD$122,Q89&gt;$AN$122),0))))))))))))))))))</f>
        <v>0</v>
      </c>
      <c r="R122" s="1385" t="b">
        <f>IF(AND($C$122=$BD$125,R89&lt;$AN$122),$AP$122,IF(AND($C$122=$BD$125,R89=$AN$122),$AO$122,IF(AND($C$122=$BD$125,R89&gt;$AN$122),0,IF($C$122=$BD$124,0,IF(AND($C$122=$BD$123,R89&lt;$AN$122,$BM$135&gt;=(($D$121/100)*R118)),(($D$121/100)*R118),IF(AND($C$122=$BD$123,R89&lt;$AN$122,$BM$135&lt;(($D$121/100)*R118)),$BM$135,IF(AND($C$122=$BD$123,R89=$AN$122),$AO$122,IF(AND($C$122=$BD$123,R89&gt;$AN$122),0,IF(AND($C$122=$BD$121,R89&lt;$AN$122,R118&gt;=$AR$122),$AR$122,IF(AND($C$122=$BD$121,R89&lt;$AN$122,R118&lt;$AR$122),R118,IF(AND($C$122=$BD$121,R89=$AN$122),$AO$122,IF(AND($C$122=$BD$121,R89&gt;$AN$122),0,IF(AND($C$122=$BD$122,R89&lt;$AN$122,R118&gt;=$D$121,$BM$135&gt;=$D$121),$D$121,IF(AND($C$122=$BD$122,R89&lt;$AN$122,R118&gt;=$D$121,$BM$135&lt;$D$121),$BM$135,IF(AND($C$122=$BD$122,R89&lt;$AN$122,R118&lt;$D$121,$BM$135&lt;R118),$BM$135,IF(AND($C$122=$BD$122,R89&lt;$AN$122,R118&lt;$D$121,$BM$135&gt;R118),R118,IF(AND($C$122=$BD$122,R89=$AN$122),$AO$122,IF(AND($C$122=$BD$122,R89&gt;$AN$122),0))))))))))))))))))</f>
        <v>0</v>
      </c>
      <c r="S122" s="1385" t="b">
        <f>IF(AND($C$122=$BD$125,S89&lt;$AN$122),$AP$122,IF(AND($C$122=$BD$125,S89=$AN$122),$AO$122,IF(AND($C$122=$BD$125,S89&gt;$AN$122),0,IF($C$122=$BD$124,0,IF(AND($C$122=$BD$123,S89&lt;$AN$122,$BM$136&gt;=(($D$121/100)*S118)),(($D$121/100)*S118),IF(AND($C$122=$BD$123,S89&lt;$AN$122,$BM$136&lt;(($D$121/100)*S118)),$BM$136,IF(AND($C$122=$BD$123,S89=$AN$122),$AO$122,IF(AND($C$122=$BD$123,S89&gt;$AN$122),0,IF(AND($C$122=$BD$121,S89&lt;$AN$122,S118&gt;=$AR$122),$AR$122,IF(AND($C$122=$BD$121,S89&lt;$AN$122,S118&lt;$AR$122),S118,IF(AND($C$122=$BD$121,S89=$AN$122),$AO$122,IF(AND($C$122=$BD$121,S89&gt;$AN$122),0,IF(AND($C$122=$BD$122,S89&lt;$AN$122,S118&gt;=$D$121,$BM$136&gt;=$D$121),$D$121,IF(AND($C$122=$BD$122,S89&lt;$AN$122,S118&gt;=$D$121,$BM$136&lt;$D$121),$BM$136,IF(AND($C$122=$BD$122,S89&lt;$AN$122,S118&lt;$D$121,$BM$136&lt;S118),$BM$136,IF(AND($C$122=$BD$122,S89&lt;$AN$122,S118&lt;$D$121,$BM$136&gt;S118),S118,IF(AND($C$122=$BD$122,S89=$AN$122),$AO$122,IF(AND($C$122=$BD$122,S89&gt;$AN$122),0))))))))))))))))))</f>
        <v>0</v>
      </c>
      <c r="T122" s="1385" t="b">
        <f>IF(AND($C$122=$BD$125,T89&lt;$AN$122),$AP$122,IF(AND($C$122=$BD$125,T89=$AN$122),$AO$122,IF(AND($C$122=$BD$125,T89&gt;$AN$122),0,IF($C$122=$BD$124,0,IF(AND($C$122=$BD$123,T89&lt;$AN$122,$BM$137&gt;=(($D$121/100)*T118)),(($D$121/100)*T118),IF(AND($C$122=$BD$123,T89&lt;$AN$122,$BM$137&lt;(($D$121/100)*T118)),$BM$137,IF(AND($C$122=$BD$123,T89=$AN$122),$AO$122,IF(AND($C$122=$BD$123,T89&gt;$AN$122),0,IF(AND($C$122=$BD$121,T89&lt;$AN$122,T118&gt;=$AR$122),$AR$122,IF(AND($C$122=$BD$121,T89&lt;$AN$122,T118&lt;$AR$122),T118,IF(AND($C$122=$BD$121,T89=$AN$122),$AO$122,IF(AND($C$122=$BD$121,T89&gt;$AN$122),0,IF(AND($C$122=$BD$122,T89&lt;$AN$122,T118&gt;=$D$121,$BM$137&gt;=$D$121),$D$121,IF(AND($C$122=$BD$122,T89&lt;$AN$122,T118&gt;=$D$121,$BM$137&lt;$D$121),$BM$137,IF(AND($C$122=$BD$122,T89&lt;$AN$122,T118&lt;$D$121,$BM$137&lt;T118),$BM$137,IF(AND($C$122=$BD$122,T89&lt;$AN$122,T118&lt;$D$121,$BM$137&gt;T118),T118,IF(AND($C$122=$BD$122,T89=$AN$122),$AO$122,IF(AND($C$122=$BD$122,T89&gt;$AN$122),0))))))))))))))))))</f>
        <v>0</v>
      </c>
      <c r="U122" s="1385" t="b">
        <f>IF(AND($C$122=$BD$125,U89&lt;$AN$122),$AP$122,IF(AND($C$122=$BD$125,U89=$AN$122),$AO$122,IF(AND($C$122=$BD$125,U89&gt;$AN$122),0,IF($C$122=$BD$124,0,IF(AND($C$122=$BD$123,U89&lt;$AN$122,$BM$138&gt;=(($D$121/100)*U118)),(($D$121/100)*U118),IF(AND($C$122=$BD$123,U89&lt;$AN$122,$BM$138&lt;(($D$121/100)*U118)),$BM$138,IF(AND($C$122=$BD$123,U89=$AN$122),$AO$122,IF(AND($C$122=$BD$123,U89&gt;$AN$122),0,IF(AND($C$122=$BD$121,U89&lt;$AN$122,U118&gt;=$AR$122),$AR$122,IF(AND($C$122=$BD$121,U89&lt;$AN$122,U118&lt;$AR$122),U118,IF(AND($C$122=$BD$121,U89=$AN$122),$AO$122,IF(AND($C$122=$BD$121,U89&gt;$AN$122),0,IF(AND($C$122=$BD$122,U89&lt;$AN$122,U118&gt;=$D$121,$BM$138&gt;=$D$121),$D$121,IF(AND($C$122=$BD$122,U89&lt;$AN$122,U118&gt;=$D$121,$BM$138&lt;$D$121),$BM$138,IF(AND($C$122=$BD$122,U89&lt;$AN$122,U118&lt;$D$121,$BM$138&lt;U118),$BM$138,IF(AND($C$122=$BD$122,U89&lt;$AN$122,U118&lt;$D$121,$BM$138&gt;U118),U118,IF(AND($C$122=$BD$122,U89=$AN$122),$AO$122,IF(AND($C$122=$BD$122,U89&gt;$AN$122),0))))))))))))))))))</f>
        <v>0</v>
      </c>
      <c r="V122" s="1385" t="b">
        <f>IF(AND($C$122=$BD$125,V89&lt;$AN$122),$AP$122,IF(AND($C$122=$BD$125,V89=$AN$122),$AO$122,IF(AND($C$122=$BD$125,V89&gt;$AN$122),0,IF($C$122=$BD$124,0,IF(AND($C$122=$BD$123,V89&lt;$AN$122,$BM$139&gt;=(($D$121/100)*V118)),(($D$121/100)*V118),IF(AND($C$122=$BD$123,V89&lt;$AN$122,$BM$139&lt;(($D$121/100)*V118)),$BM$139,IF(AND($C$122=$BD$123,V89=$AN$122),$AO$122,IF(AND($C$122=$BD$123,V89&gt;$AN$122),0,IF(AND($C$122=$BD$121,V89&lt;$AN$122,V118&gt;=$AR$122),$AR$122,IF(AND($C$122=$BD$121,V89&lt;$AN$122,V118&lt;$AR$122),V118,IF(AND($C$122=$BD$121,V89=$AN$122),$AO$122,IF(AND($C$122=$BD$121,V89&gt;$AN$122),0,IF(AND($C$122=$BD$122,V89&lt;$AN$122,V118&gt;=$D$121,$BM$139&gt;=$D$121),$D$121,IF(AND($C$122=$BD$122,V89&lt;$AN$122,V118&gt;=$D$121,$BM$139&lt;$D$121),$BM$139,IF(AND($C$122=$BD$122,V89&lt;$AN$122,V118&lt;$D$121,$BM$139&lt;V118),$BM$139,IF(AND($C$122=$BD$122,V89&lt;$AN$122,V118&lt;$D$121,$BM$139&gt;V118),V118,IF(AND($C$122=$BD$122,V89=$AN$122),$AO$122,IF(AND($C$122=$BD$122,V89&gt;$AN$122),0))))))))))))))))))</f>
        <v>0</v>
      </c>
      <c r="W122" s="1385" t="b">
        <f>IF(AND($C$122=$BD$125,W89&lt;$AN$122),$AP$122,IF(AND($C$122=$BD$125,W89=$AN$122),$AO$122,IF(AND($C$122=$BD$125,W89&gt;$AN$122),0,IF($C$122=$BD$124,0,IF(AND($C$122=$BD$123,W89&lt;$AN$122,$BM$140&gt;=(($D$121/100)*W118)),(($D$121/100)*W118),IF(AND($C$122=$BD$123,W89&lt;$AN$122,$BM$140&lt;(($D$121/100)*W118)),$BM$140,IF(AND($C$122=$BD$123,W89=$AN$122),$AO$122,IF(AND($C$122=$BD$123,W89&gt;$AN$122),0,IF(AND($C$122=$BD$121,W89&lt;$AN$122,W118&gt;=$AR$122),$AR$122,IF(AND($C$122=$BD$121,W89&lt;$AN$122,W118&lt;$AR$122),W118,IF(AND($C$122=$BD$121,W89=$AN$122),$AO$122,IF(AND($C$122=$BD$121,W89&gt;$AN$122),0,IF(AND($C$122=$BD$122,W89&lt;$AN$122,W118&gt;=$D$121,$BM$140&gt;=$D$121),$D$121,IF(AND($C$122=$BD$122,W89&lt;$AN$122,W118&gt;=$D$121,$BM$140&lt;$D$121),$BM$140,IF(AND($C$122=$BD$122,W89&lt;$AN$122,W118&lt;$D$121,$BM$140&lt;W118),$BM$140,IF(AND($C$122=$BD$122,W89&lt;$AN$122,W118&lt;$D$121,$BM$140&gt;W118),W118,IF(AND($C$122=$BD$122,W89=$AN$122),$AO$122,IF(AND($C$122=$BD$122,W89&gt;$AN$122),0))))))))))))))))))</f>
        <v>0</v>
      </c>
      <c r="X122" s="1385" t="b">
        <f>IF(AND($C$122=$BD$125,X89&lt;$AN$122),$AP$122,IF(AND($C$122=$BD$125,X89=$AN$122),$AO$122,IF(AND($C$122=$BD$125,X89&gt;$AN$122),0,IF($C$122=$BD$124,0,IF(AND($C$122=$BD$123,X89&lt;$AN$122,$BM$141&gt;=(($D$121/100)*X118)),(($D$121/100)*X118),IF(AND($C$122=$BD$123,X89&lt;$AN$122,$BM$141&lt;(($D$121/100)*X118)),$BM$141,IF(AND($C$122=$BD$123,X89=$AN$122),$AO$122,IF(AND($C$122=$BD$123,X89&gt;$AN$122),0,IF(AND($C$122=$BD$121,X89&lt;$AN$122,X118&gt;=$AR$122),$AR$122,IF(AND($C$122=$BD$121,X89&lt;$AN$122,X118&lt;$AR$122),X118,IF(AND($C$122=$BD$121,X89=$AN$122),$AO$122,IF(AND($C$122=$BD$121,X89&gt;$AN$122),0,IF(AND($C$122=$BD$122,X89&lt;$AN$122,X118&gt;=$D$121,$BM$141&gt;=$D$121),$D$121,IF(AND($C$122=$BD$122,X89&lt;$AN$122,X118&gt;=$D$121,$BM$141&lt;$D$121),$BM$141,IF(AND($C$122=$BD$122,X89&lt;$AN$122,X118&lt;$D$121,$BM$141&lt;X118),$BM$141,IF(AND($C$122=$BD$122,X89&lt;$AN$122,X118&lt;$D$121,$BM$141&gt;X118),X118,IF(AND($C$122=$BD$122,X89=$AN$122),$AO$122,IF(AND($C$122=$BD$122,X89&gt;$AN$122),0))))))))))))))))))</f>
        <v>0</v>
      </c>
      <c r="Y122" s="1385" t="b">
        <f>IF(AND($C$122=$BD$125,Y89&lt;$AN$122),$AP$122,IF(AND($C$122=$BD$125,Y89=$AN$122),$AO$122,IF(AND($C$122=$BD$125,Y89&gt;$AN$122),0,IF($C$122=$BD$124,0,IF(AND($C$122=$BD$123,Y89&lt;$AN$122,$BM$142&gt;=(($D$121/100)*Y118)),(($D$121/100)*Y118),IF(AND($C$122=$BD$123,Y89&lt;$AN$122,$BM$142&lt;(($D$121/100)*Y118)),$BM$142,IF(AND($C$122=$BD$123,Y89=$AN$122),$AO$122,IF(AND($C$122=$BD$123,Y89&gt;$AN$122),0,IF(AND($C$122=$BD$121,Y89&lt;$AN$122,Y118&gt;=$AR$122),$AR$122,IF(AND($C$122=$BD$121,Y89&lt;$AN$122,Y118&lt;$AR$122),Y118,IF(AND($C$122=$BD$121,Y89=$AN$122),$AO$122,IF(AND($C$122=$BD$121,Y89&gt;$AN$122),0,IF(AND($C$122=$BD$122,Y89&lt;$AN$122,Y118&gt;=$D$121,$BM$142&gt;=$D$121),$D$121,IF(AND($C$122=$BD$122,Y89&lt;$AN$122,Y118&gt;=$D$121,$BM$142&lt;$D$121),$BM$142,IF(AND($C$122=$BD$122,Y89&lt;$AN$122,Y118&lt;$D$121,$BM$142&lt;Y118),$BM$142,IF(AND($C$122=$BD$122,Y89&lt;$AN$122,Y118&lt;$D$121,$BM$142&gt;Y118),Y118,IF(AND($C$122=$BD$122,Y89=$AN$122),$AO$122,IF(AND($C$122=$BD$122,Y89&gt;$AN$122),0))))))))))))))))))</f>
        <v>0</v>
      </c>
      <c r="Z122" s="1385" t="b">
        <f>IF(AND($C$122=$BD$125,Z89&lt;$AN$122),$AP$122,IF(AND($C$122=$BD$125,Z89=$AN$122),$AO$122,IF(AND($C$122=$BD$125,Z89&gt;$AN$122),0,IF($C$122=$BD$124,0,IF(AND($C$122=$BD$123,Z89&lt;$AN$122,$BM$143&gt;=(($D$121/100)*Z118)),(($D$121/100)*Z118),IF(AND($C$122=$BD$123,Z89&lt;$AN$122,$BM$143&lt;(($D$121/100)*Z118)),$BM$143,IF(AND($C$122=$BD$123,Z89=$AN$122),$AO$122,IF(AND($C$122=$BD$123,Z89&gt;$AN$122),0,IF(AND($C$122=$BD$121,Z89&lt;$AN$122,Z118&gt;=$AR$122),$AR$122,IF(AND($C$122=$BD$121,Z89&lt;$AN$122,Z118&lt;$AR$122),Z118,IF(AND($C$122=$BD$121,Z89=$AN$122),$AO$122,IF(AND($C$122=$BD$121,Z89&gt;$AN$122),0,IF(AND($C$122=$BD$122,Z89&lt;$AN$122,Z118&gt;=$D$121,$BM$143&gt;=$D$121),$D$121,IF(AND($C$122=$BD$122,Z89&lt;$AN$122,Z118&gt;=$D$121,$BM$143&lt;$D$121),$BM$143,IF(AND($C$122=$BD$122,Z89&lt;$AN$122,Z118&lt;$D$121,$BM$143&lt;Z118),$BM$143,IF(AND($C$122=$BD$122,Z89&lt;$AN$122,Z118&lt;$D$121,$BM$143&gt;Z118),Z118,IF(AND($C$122=$BD$122,Z89=$AN$122),$AO$122,IF(AND($C$122=$BD$122,Z89&gt;$AN$122),0))))))))))))))))))</f>
        <v>0</v>
      </c>
      <c r="AA122" s="1385" t="b">
        <f>IF(AND($C$122=$BD$125,AA89&lt;$AN$122),$AP$122,IF(AND($C$122=$BD$125,AA89=$AN$122),$AO$122,IF(AND($C$122=$BD$125,AA89&gt;$AN$122),0,IF($C$122=$BD$124,0,IF(AND($C$122=$BD$123,AA89&lt;$AN$122,$BM$144&gt;=(($D$121/100)*AA118)),(($D$121/100)*AA118),IF(AND($C$122=$BD$123,AA89&lt;$AN$122,$BM$144&lt;(($D$121/100)*AA118)),$BM$144,IF(AND($C$122=$BD$123,AA89=$AN$122),$AO$122,IF(AND($C$122=$BD$123,AA89&gt;$AN$122),0,IF(AND($C$122=$BD$121,AA89&lt;$AN$122,AA118&gt;=$AR$122),$AR$122,IF(AND($C$122=$BD$121,AA89&lt;$AN$122,AA118&lt;$AR$122),AA118,IF(AND($C$122=$BD$121,AA89=$AN$122),$AO$122,IF(AND($C$122=$BD$121,AA89&gt;$AN$122),0,IF(AND($C$122=$BD$122,AA89&lt;$AN$122,AA118&gt;=$D$121,$BM$144&gt;=$D$121),$D$121,IF(AND($C$122=$BD$122,AA89&lt;$AN$122,AA118&gt;=$D$121,$BM$144&lt;$D$121),$BM$144,IF(AND($C$122=$BD$122,AA89&lt;$AN$122,AA118&lt;$D$121,$BM$144&lt;AA118),$BM$144,IF(AND($C$122=$BD$122,AA89&lt;$AN$122,AA118&lt;$D$121,$BM$144&gt;AA118),AA118,IF(AND($C$122=$BD$122,AA89=$AN$122),$AO$122,IF(AND($C$122=$BD$122,AA89&gt;$AN$122),0))))))))))))))))))</f>
        <v>0</v>
      </c>
      <c r="AB122" s="1385" t="b">
        <f>IF(AND($C$122=$BD$125,AB89&lt;$AN$122),$AP$122,IF(AND($C$122=$BD$125,AB89=$AN$122),$AO$122,IF(AND($C$122=$BD$125,AB89&gt;$AN$122),0,IF($C$122=$BD$124,0,IF(AND($C$122=$BD$123,AB89&lt;$AN$122,$BM$145&gt;=(($D$121/100)*AB118)),(($D$121/100)*AB118),IF(AND($C$122=$BD$123,AB89&lt;$AN$122,$BM$145&lt;(($D$121/100)*AB118)),$BM$145,IF(AND($C$122=$BD$123,AB89=$AN$122),$AO$122,IF(AND($C$122=$BD$123,AB89&gt;$AN$122),0,IF(AND($C$122=$BD$121,AB89&lt;$AN$122,AB118&gt;=$AR$122),$AR$122,IF(AND($C$122=$BD$121,AB89&lt;$AN$122,AB118&lt;$AR$122),AB118,IF(AND($C$122=$BD$121,AB89=$AN$122),$AO$122,IF(AND($C$122=$BD$121,AB89&gt;$AN$122),0,IF(AND($C$122=$BD$122,AB89&lt;$AN$122,AB118&gt;=$D$121,$BM$145&gt;=$D$121),$D$121,IF(AND($C$122=$BD$122,AB89&lt;$AN$122,AB118&gt;=$D$121,$BM$145&lt;$D$121),$BM$145,IF(AND($C$122=$BD$122,AB89&lt;$AN$122,AB118&lt;$D$121,$BM$145&lt;AB118),$BM$145,IF(AND($C$122=$BD$122,AB89&lt;$AN$122,AB118&lt;$D$121,$BM$145&gt;AB118),AB118,IF(AND($C$122=$BD$122,AB89=$AN$122),$AO$122,IF(AND($C$122=$BD$122,AB89&gt;$AN$122),0))))))))))))))))))</f>
        <v>0</v>
      </c>
      <c r="AC122" s="1385" t="b">
        <f>IF(AND($C$122=$BD$125,AC89&lt;$AN$122),$AP$122,IF(AND($C$122=$BD$125,AC89=$AN$122),$AO$122,IF(AND($C$122=$BD$125,AC89&gt;$AN$122),0,IF($C$122=$BD$124,0,IF(AND($C$122=$BD$123,AC89&lt;$AN$122,$BM$146&gt;=(($D$121/100)*AC118)),(($D$121/100)*AC118),IF(AND($C$122=$BD$123,AC89&lt;$AN$122,$BM$146&lt;(($D$121/100)*AC118)),$BM$146,IF(AND($C$122=$BD$123,AC89=$AN$122),$AO$122,IF(AND($C$122=$BD$123,AC89&gt;$AN$122),0,IF(AND($C$122=$BD$121,AC89&lt;$AN$122,AC118&gt;=$AR$122),$AR$122,IF(AND($C$122=$BD$121,AC89&lt;$AN$122,AC118&lt;$AR$122),AC118,IF(AND($C$122=$BD$121,AC89=$AN$122),$AO$122,IF(AND($C$122=$BD$121,AC89&gt;$AN$122),0,IF(AND($C$122=$BD$122,AC89&lt;$AN$122,AC118&gt;=$D$121,$BM$146&gt;=$D$121),$D$121,IF(AND($C$122=$BD$122,AC89&lt;$AN$122,AC118&gt;=$D$121,$BM$146&lt;$D$121),$BM$146,IF(AND($C$122=$BD$122,AC89&lt;$AN$122,AC118&lt;$D$121,$BM$146&lt;AC118),$BM$146,IF(AND($C$122=$BD$122,AC89&lt;$AN$122,AC118&lt;$D$121,$BM$146&gt;AC118),AC118,IF(AND($C$122=$BD$122,AC89=$AN$122),$AO$122,IF(AND($C$122=$BD$122,AC89&gt;$AN$122),0))))))))))))))))))</f>
        <v>0</v>
      </c>
      <c r="AD122" s="1385" t="b">
        <f>IF(AND($C$122=$BD$125,AD89&lt;$AN$122),$AP$122,IF(AND($C$122=$BD$125,AD89=$AN$122),$AO$122,IF(AND($C$122=$BD$125,AD89&gt;$AN$122),0,IF($C$122=$BD$124,0,IF(AND($C$122=$BD$123,AD89&lt;$AN$122,$BM$147&gt;=(($D$121/100)*AD118)),(($D$121/100)*AD118),IF(AND($C$122=$BD$123,AD89&lt;$AN$122,$BM$147&lt;(($D$121/100)*AD118)),$BM$147,IF(AND($C$122=$BD$123,AD89=$AN$122),$AO$122,IF(AND($C$122=$BD$123,AD89&gt;$AN$122),0,IF(AND($C$122=$BD$121,AD89&lt;$AN$122,AD118&gt;=$AR$122),$AR$122,IF(AND($C$122=$BD$121,AD89&lt;$AN$122,AD118&lt;$AR$122),AD118,IF(AND($C$122=$BD$121,AD89=$AN$122),$AO$122,IF(AND($C$122=$BD$121,AD89&gt;$AN$122),0,IF(AND($C$122=$BD$122,AD89&lt;$AN$122,AD118&gt;=$D$121,$BM$147&gt;=$D$121),$D$121,IF(AND($C$122=$BD$122,AD89&lt;$AN$122,AD118&gt;=$D$121,$BM$147&lt;$D$121),$BM$147,IF(AND($C$122=$BD$122,AD89&lt;$AN$122,AD118&lt;$D$121,$BM$147&lt;AD118),$BM$147,IF(AND($C$122=$BD$122,AD89&lt;$AN$122,AD118&lt;$D$121,$BM$147&gt;AD118),AD118,IF(AND($C$122=$BD$122,AD89=$AN$122),$AO$122,IF(AND($C$122=$BD$122,AD89&gt;$AN$122),0))))))))))))))))))</f>
        <v>0</v>
      </c>
      <c r="AE122" s="1385" t="b">
        <f>IF(AND($C$122=$BD$125,AE89&lt;$AN$122),$AP$122,IF(AND($C$122=$BD$125,AE89=$AN$122),$AO$122,IF(AND($C$122=$BD$125,AE89&gt;$AN$122),0,IF($C$122=$BD$124,0,IF(AND($C$122=$BD$123,AE89&lt;$AN$122,$BM$148&gt;=(($D$121/100)*AE118)),(($D$121/100)*AE118),IF(AND($C$122=$BD$123,AE89&lt;$AN$122,$BM$148&lt;(($D$121/100)*AE118)),$BM$148,IF(AND($C$122=$BD$123,AE89=$AN$122),$AO$122,IF(AND($C$122=$BD$123,AE89&gt;$AN$122),0,IF(AND($C$122=$BD$121,AE89&lt;$AN$122,AE118&gt;=$AR$122),$AR$122,IF(AND($C$122=$BD$121,AE89&lt;$AN$122,AE118&lt;$AR$122),AE118,IF(AND($C$122=$BD$121,AE89=$AN$122),$AO$122,IF(AND($C$122=$BD$121,AE89&gt;$AN$122),0,IF(AND($C$122=$BD$122,AE89&lt;$AN$122,AE118&gt;=$D$121,$BM$148&gt;=$D$121),$D$121,IF(AND($C$122=$BD$122,AE89&lt;$AN$122,AE118&gt;=$D$121,$BM$148&lt;$D$121),$BM$148,IF(AND($C$122=$BD$122,AE89&lt;$AN$122,AE118&lt;$D$121,$BM$148&lt;AE118),$BM$148,IF(AND($C$122=$BD$122,AE89&lt;$AN$122,AE118&lt;$D$121,$BM$148&gt;AE118),AE118,IF(AND($C$122=$BD$122,AE89=$AN$122),$AO$122,IF(AND($C$122=$BD$122,AE89&gt;$AN$122),0))))))))))))))))))</f>
        <v>0</v>
      </c>
      <c r="AF122" s="1385" t="b">
        <f>IF(AND($C$122=$BD$125,AF89&lt;$AN$122),$AP$122,IF(AND($C$122=$BD$125,AF89=$AN$122),$AO$122,IF(AND($C$122=$BD$125,AF89&gt;$AN$122),0,IF($C$122=$BD$124,0,IF(AND($C$122=$BD$123,AF89&lt;$AN$122,$BM$149&gt;=(($D$121/100)*AF118)),(($D$121/100)*AF118),IF(AND($C$122=$BD$123,AF89&lt;$AN$122,$BM$149&lt;(($D$121/100)*AF118)),$BM$149,IF(AND($C$122=$BD$123,AF89=$AN$122),$AO$122,IF(AND($C$122=$BD$123,AF89&gt;$AN$122),0,IF(AND($C$122=$BD$121,AF89&lt;$AN$122,AF118&gt;=$AR$122),$AR$122,IF(AND($C$122=$BD$121,AF89&lt;$AN$122,AF118&lt;$AR$122),AF118,IF(AND($C$122=$BD$121,AF89=$AN$122),$AO$122,IF(AND($C$122=$BD$121,AF89&gt;$AN$122),0,IF(AND($C$122=$BD$122,AF89&lt;$AN$122,AF118&gt;=$D$121,$BM$149&gt;=$D$121),$D$121,IF(AND($C$122=$BD$122,AF89&lt;$AN$122,AF118&gt;=$D$121,$BM$149&lt;$D$121),$BM$149,IF(AND($C$122=$BD$122,AF89&lt;$AN$122,AF118&lt;$D$121,$BM$149&lt;AF118),$BM$149,IF(AND($C$122=$BD$122,AF89&lt;$AN$122,AF118&lt;$D$121,$BM$149&gt;AF118),AF118,IF(AND($C$122=$BD$122,AF89=$AN$122),$AO$122,IF(AND($C$122=$BD$122,AF89&gt;$AN$122),0))))))))))))))))))</f>
        <v>0</v>
      </c>
      <c r="AG122" s="1385" t="b">
        <f>IF(AND($C$122=$BD$125,AG89&lt;$AN$122),$AP$122,IF(AND($C$122=$BD$125,AG89=$AN$122),$AO$122,IF(AND($C$122=$BD$125,AG89&gt;$AN$122),0,IF($C$122=$BD$124,0,IF(AND($C$122=$BD$123,AG89&lt;$AN$122,$BM$150&gt;=(($D$121/100)*AG118)),(($D$121/100)*AG118),IF(AND($C$122=$BD$123,AG89&lt;$AN$122,$BM$150&lt;(($D$121/100)*AG118)),$BM$150,IF(AND($C$122=$BD$123,AG89=$AN$122),$AO$122,IF(AND($C$122=$BD$123,AG89&gt;$AN$122),0,IF(AND($C$122=$BD$121,AG89&lt;$AN$122,AG118&gt;=$AR$122),$AR$122,IF(AND($C$122=$BD$121,AG89&lt;$AN$122,AG118&lt;$AR$122),AG118,IF(AND($C$122=$BD$121,AG89=$AN$122),$AO$122,IF(AND($C$122=$BD$121,AG89&gt;$AN$122),0,IF(AND($C$122=$BD$122,AG89&lt;$AN$122,AG118&gt;=$D$121,$BM$150&gt;=$D$121),$D$121,IF(AND($C$122=$BD$122,AG89&lt;$AN$122,AG118&gt;=$D$121,$BM$150&lt;$D$121),$BM$150,IF(AND($C$122=$BD$122,AG89&lt;$AN$122,AG118&lt;$D$121,$BM$150&lt;AG118),$BM$150,IF(AND($C$122=$BD$122,AG89&lt;$AN$122,AG118&lt;$D$121,$BM$150&gt;AG118),AG118,IF(AND($C$122=$BD$122,AG89=$AN$122),$AO$122,IF(AND($C$122=$BD$122,AG89&gt;$AN$122),0))))))))))))))))))</f>
        <v>0</v>
      </c>
      <c r="AH122" s="1385" t="b">
        <f>IF(AND($C$122=$BD$125,AH89&lt;$AN$122),$AP$122,IF(AND($C$122=$BD$125,AH89=$AN$122),$AO$122,IF(AND($C$122=$BD$125,AH89&gt;$AN$122),0,IF($C$122=$BD$124,0,IF(AND($C$122=$BD$123,AH89&lt;$AN$122,$BM$151&gt;=(($D$121/100)*AH118)),(($D$121/100)*AH118),IF(AND($C$122=$BD$123,AH89&lt;$AN$122,$BM$151&lt;(($D$121/100)*AH118)),$BM$151,IF(AND($C$122=$BD$123,AH89=$AN$122),$AO$122,IF(AND($C$122=$BD$123,AH89&gt;$AN$122),0,IF(AND($C$122=$BD$121,AH89&lt;$AN$122,AH118&gt;=$AR$122),$AR$122,IF(AND($C$122=$BD$121,AH89&lt;$AN$122,AH118&lt;$AR$122),AH118,IF(AND($C$122=$BD$121,AH89=$AN$122),$AO$122,IF(AND($C$122=$BD$121,AH89&gt;$AN$122),0,IF(AND($C$122=$BD$122,AH89&lt;$AN$122,AH118&gt;=$D$121,$BM$151&gt;=$D$121),$D$121,IF(AND($C$122=$BD$122,AH89&lt;$AN$122,AH118&gt;=$D$121,$BM$151&lt;$D$121),$BM$151,IF(AND($C$122=$BD$122,AH89&lt;$AN$122,AH118&lt;$D$121,$BM$151&lt;AH118),$BM$151,IF(AND($C$122=$BD$122,AH89&lt;$AN$122,AH118&lt;$D$121,$BM$151&gt;AH118),AH118,IF(AND($C$122=$BD$122,AH89=$AN$122),$AO$122,IF(AND($C$122=$BD$122,AH89&gt;$AN$122),0))))))))))))))))))</f>
        <v>0</v>
      </c>
      <c r="AI122" s="1385" t="b">
        <f>IF(AND($C$122=$BD$125,AI89&lt;$AN$122),$AP$122,IF(AND($C$122=$BD$125,AI89=$AN$122),$AO$122,IF(AND($C$122=$BD$125,AI89&gt;$AN$122),0,IF($C$122=$BD$124,0,IF(AND($C$122=$BD$123,AI89&lt;$AN$122,$BM$152&gt;=(($D$121/100)*AI118)),(($D$121/100)*AI118),IF(AND($C$122=$BD$123,AI89&lt;$AN$122,$BM$152&lt;(($D$121/100)*AI118)),$BM$152,IF(AND($C$122=$BD$123,AI89=$AN$122),$AO$122,IF(AND($C$122=$BD$123,AI89&gt;$AN$122),0,IF(AND($C$122=$BD$121,AI89&lt;$AN$122,AI118&gt;=$AR$122),$AR$122,IF(AND($C$122=$BD$121,AI89&lt;$AN$122,AI118&lt;$AR$122),AI118,IF(AND($C$122=$BD$121,AI89=$AN$122),$AO$122,IF(AND($C$122=$BD$121,AI89&gt;$AN$122),0,IF(AND($C$122=$BD$122,AI89&lt;$AN$122,AI118&gt;=$D$121,$BM$152&gt;=$D$121),$D$121,IF(AND($C$122=$BD$122,AI89&lt;$AN$122,AI118&gt;=$D$121,$BM$152&lt;$D$121),$BM$152,IF(AND($C$122=$BD$122,AI89&lt;$AN$122,AI118&lt;$D$121,$BM$152&lt;AI118),$BM$152,IF(AND($C$122=$BD$122,AI89&lt;$AN$122,AI118&lt;$D$121,$BM$152&gt;AI118),AI118,IF(AND($C$122=$BD$122,AI89=$AN$122),$AO$122,IF(AND($C$122=$BD$122,AI89&gt;$AN$122),0))))))))))))))))))</f>
        <v>0</v>
      </c>
      <c r="AJ122" s="1385" t="b">
        <f>IF(AND($C$122=$BD$125,AJ89&lt;$AN$122),$AP$122,IF(AND($C$122=$BD$125,AJ89=$AN$122),$AO$122,IF(AND($C$122=$BD$125,AJ89&gt;$AN$122),0,IF($C$122=$BD$124,0,IF(AND($C$122=$BD$123,AJ89&lt;$AN$122,$BM$153&gt;=(($D$121/100)*AJ118)),(($D$121/100)*AJ118),IF(AND($C$122=$BD$123,AJ89&lt;$AN$122,$BM$153&lt;(($D$121/100)*AJ118)),$BM$153,IF(AND($C$122=$BD$123,AJ89=$AN$122),$AO$122,IF(AND($C$122=$BD$123,AJ89&gt;$AN$122),0,IF(AND($C$122=$BD$121,AJ89&lt;$AN$122,AJ118&gt;=$AR$122),$AR$122,IF(AND($C$122=$BD$121,AJ89&lt;$AN$122,AJ118&lt;$AR$122),AJ118,IF(AND($C$122=$BD$121,AJ89=$AN$122),$AO$122,IF(AND($C$122=$BD$121,AJ89&gt;$AN$122),0,IF(AND($C$122=$BD$122,AJ89&lt;$AN$122,AJ118&gt;=$D$121,$BM$153&gt;=$D$121),$D$121,IF(AND($C$122=$BD$122,AJ89&lt;$AN$122,AJ118&gt;=$D$121,$BM$153&lt;$D$121),$BM$153,IF(AND($C$122=$BD$122,AJ89&lt;$AN$122,AJ118&lt;$D$121,$BM$153&lt;AJ118),$BM$153,IF(AND($C$122=$BD$122,AJ89&lt;$AN$122,AJ118&lt;$D$121,$BM$153&gt;AJ118),AJ118,IF(AND($C$122=$BD$122,AJ89=$AN$122),$AO$122,IF(AND($C$122=$BD$122,AJ89&gt;$AN$122),0))))))))))))))))))</f>
        <v>0</v>
      </c>
      <c r="AK122" s="1385" t="b">
        <f>IF(AND($C$122=$BD$125,AK89&lt;$AN$122),$AP$122,IF(AND($C$122=$BD$125,AK89=$AN$122),$AO$122,IF(AND($C$122=$BD$125,AK89&gt;$AN$122),0,IF($C$122=$BD$124,0,IF(AND($C$122=$BD$123,AK89&lt;$AN$122,$BM$155&gt;=(($D$121/100)*AK118)),(($D$121/100)*AK118),IF(AND($C$122=$BD$123,AK89&lt;$AN$122,$BM$155&lt;(($D$121/100)*AK118)),$BM$155,IF(AND($C$122=$BD$123,AK89=$AN$122),$AO$122,IF(AND($C$122=$BD$123,AK89&gt;$AN$122),0,IF(AND($C$122=$BD$121,AK89&lt;$AN$122,AK118&gt;=$AR$122),$AR$122,IF(AND($C$122=$BD$121,AK89&lt;$AN$122,AK118&lt;$AR$122),AK118,IF(AND($C$122=$BD$121,AK89=$AN$122),$AO$122,IF(AND($C$122=$BD$121,AK89&gt;$AN$122),0,IF(AND($C$122=$BD$122,AK89&lt;$AN$122,AK118&gt;=$D$121,$BM$155&gt;=$D$121),$D$121,IF(AND($C$122=$BD$122,AK89&lt;$AN$122,AK118&gt;=$D$121,$BM$155&lt;$D$121),$BM$155,IF(AND($C$122=$BD$122,AK89&lt;$AN$122,AK118&lt;$D$121,$BM$155&lt;AK118),$BM$155,IF(AND($C$122=$BD$122,AK89&lt;$AN$122,AK118&lt;$D$121,$BM$155&gt;AK118),AK118,IF(AND($C$122=$BD$122,AK89=$AN$122),$AO$122,IF(AND($C$122=$BD$122,AK89&gt;$AN$122),0))))))))))))))))))</f>
        <v>0</v>
      </c>
      <c r="AL122" s="1385" t="e">
        <f>IF(AND($C$122=$BD$125,AL89&lt;$AN$122),$AP$122,IF(AND($C$122=$BD$125,AL89=$AN$122),$AO$122,IF(AND($C$122=$BD$125,AL89&gt;$AN$122),0,IF($C$122=$BD$124,_xlfn.CONCAT("P/I Remaining:
 $",AO123),IF(AND($C$122=$BD$123,AL89&lt;$AN$122,#REF!&gt;=(($D$121/100)*AL118)),(($D$121/100)*AL118),IF(AND($C$122=$BD$123,AL89&lt;$AN$122,#REF!&lt;(($D$121/100)*AL118)),#REF!,IF(AND($C$122=$BD$123,AL89=$AN$122),$AO$122,IF(AND($C$122=$BD$123,AL89&gt;$AN$122),0,IF(AND($C$122=$BD$121,AL89&lt;$AN$122,AL118&gt;=$AR$122),$AR$122,IF(AND($C$122=$BD$121,AL89&lt;$AN$122,AL118&lt;$AR$122),AL118,IF(AND($C$122=$BD$121,AL89=$AN$122),$AO$122,IF(AND($C$122=$BD$121,AL89&gt;$AN$122),0,IF(AND($C$122=$BD$122,AL89&lt;$AN$122,AL118&gt;=$D$121,#REF!&gt;=$D$121),$D$121,IF(AND($C$122=$BD$122,AL89&lt;$AN$122,AL118&gt;=$D$121,#REF!&lt;$D$121),#REF!,IF(AND($C$122=$BD$122,AL89&lt;$AN$122,AL118&lt;$D$121,#REF!&lt;AL118),#REF!,IF(AND($C$122=$BD$122,AL89&lt;$AN$122,AL118&lt;$D$121,#REF!&gt;AL118),AL118,IF(AND($C$122=$BD$122,AL89=$AN$122),$AO$122,IF(AND($C$122=$BD$122,AL89&gt;$AN$122),0))))))))))))))))))</f>
        <v>#REF!</v>
      </c>
      <c r="AM122" s="1034"/>
      <c r="AN122" s="1652">
        <f>_xlfn.XLOOKUP(C121,'12. Funding Sources'!$C$11:$C$23,'12. Funding Sources'!$L$11:$L$23,36)</f>
        <v>36</v>
      </c>
      <c r="AO122" s="1653" t="e">
        <f>#REF!*(1+AQ122)</f>
        <v>#REF!</v>
      </c>
      <c r="AP122" s="1653">
        <f>_xlfn.XLOOKUP(C121,'12. Funding Sources'!$C$11:$C$20,'17. Cash Flow and Reserves'!$BF$121:$BF$130,0)</f>
        <v>0</v>
      </c>
      <c r="AQ122" s="1654">
        <f>_xlfn.XLOOKUP(C121,'12. Funding Sources'!$C$11:$C$20,'12. Funding Sources'!$K$11:$K$20,0)</f>
        <v>0</v>
      </c>
      <c r="AR122" s="1653">
        <f>(IF(D118&gt;=_xlfn.XLOOKUP(C121,'12. Funding Sources'!$C$11:$C$23,'17. Cash Flow and Reserves'!$AT$121:$AT$133,0),_xlfn.XLOOKUP(C121,'12. Funding Sources'!$C$11:$C$23,'17. Cash Flow and Reserves'!$AT$121:$AT$133,0),D118))</f>
        <v>0</v>
      </c>
      <c r="AS122" s="1649" t="str">
        <f>_xlfn.CONCAT("Proposed Annual Debt Service - ",Source_2)</f>
        <v>Proposed Annual Debt Service - WHEDA Subordinate Loan 1</v>
      </c>
      <c r="AT122" s="1650" t="e">
        <f>-PMT(Rate_2,Term_2,Amount_2)</f>
        <v>#NUM!</v>
      </c>
      <c r="AU122" s="1649">
        <f>IF(Annual_DSC_2&gt;0,AV121+1,0)</f>
        <v>0</v>
      </c>
      <c r="AV122" s="1649">
        <f>MAX(AU121:AU122)</f>
        <v>0</v>
      </c>
      <c r="AW122" s="1649">
        <v>2</v>
      </c>
      <c r="AX122" s="115">
        <f>IF(OR('12. Funding Sources'!J12='12. Funding Sources'!$R$12,'12. Funding Sources'!J12='12. Funding Sources'!$R$13),AY121+1,0)</f>
        <v>0</v>
      </c>
      <c r="AY122" s="1649">
        <f>IF(MAX($AX$121:AX122)=0,AY121,MAX($AX$121:AX122))</f>
        <v>10</v>
      </c>
      <c r="AZ122" s="1649">
        <v>12</v>
      </c>
      <c r="BA122" s="9" t="str">
        <f>_xlfn.XLOOKUP(AZ122,$AX$121:$AX$133,'12. Funding Sources'!$C$11:$C$23,"")</f>
        <v/>
      </c>
      <c r="BB122" s="1322">
        <f>C126</f>
        <v>0</v>
      </c>
      <c r="BC122" s="1322"/>
      <c r="BD122" s="9" t="s">
        <v>4768</v>
      </c>
      <c r="BF122" s="579" t="e">
        <f>-IPMT(Rate_2,1,Term_2,Amount_2)</f>
        <v>#NUM!</v>
      </c>
      <c r="BH122" s="9">
        <v>2</v>
      </c>
      <c r="BI122" s="1323">
        <f>IF(AND($AN$122&gt;BH122,$C$122=$BD$121),(E$122),IF(AND($AN$122&gt;BH122,$C$122=$BD$122),(E$122),IF(AND($AN$122&gt;BH122,$C$122=$BD$123),(E$122),IF(AND($AN$122&gt;BH122,$C$122=$BD$124),(E$121),IF(AND($AN$122&gt;BH122,$C$122=$BD$125),(E$122),0)))))</f>
        <v>0</v>
      </c>
      <c r="BJ122" s="1323">
        <v>0</v>
      </c>
      <c r="BK122" s="1323">
        <v>0</v>
      </c>
      <c r="BL122" s="1323">
        <f>IF(AND($AN$122&gt;BH122,$AP$122&gt;=BI122),(((BL121+($AP$122-BI122))*($AQ$122+1))-BI122),IF(AND($AN$122&gt;BH122,$AP$122&lt;=BI122),((BL121*($AQ$122+1))-BI122),IF($AN$122&lt;=BL121,BL121,0)))</f>
        <v>0</v>
      </c>
      <c r="BM122" s="1320">
        <f>IF(BI121=BM121,0,BL121*($AQ$122+1))</f>
        <v>0</v>
      </c>
      <c r="BN122" s="9">
        <v>2</v>
      </c>
      <c r="BO122" s="1323">
        <f>IF(AND($AN$127&gt;BN122,$C$127=$BD$121),(E$127),IF(AND($AN$127&gt;BN122,$C$127=$BD$122),(E$127),IF(AND($AN$127&gt;BN122,$C$127=$BD$123),(E$127),IF(AND($AN$127&gt;BN122,$C$127=$BD$124),(E$126),IF(AND($AN$127&gt;BN122,$C$127=$BD$125),(E$127),0)))))</f>
        <v>0</v>
      </c>
      <c r="BP122" s="1323">
        <v>0</v>
      </c>
      <c r="BQ122" s="1323">
        <v>0</v>
      </c>
      <c r="BR122" s="1323">
        <f t="shared" si="301"/>
        <v>0</v>
      </c>
      <c r="BS122" s="1324">
        <f>IF(BO121=BS121,0,BR121*($AQ$122+1))</f>
        <v>0</v>
      </c>
      <c r="BT122" s="9">
        <v>2</v>
      </c>
      <c r="BU122" s="1323">
        <f>IF(AND($AN$132&gt;BT122,$C$132=$BD$121),(E$132),IF(AND($AN$132&gt;BT122,$C$132=$BD$122),(E$132),IF(AND($AN$132&gt;BT122,$C$132=$BD$123),(E$132),IF(AND($AN$132&gt;BT122,$C$132=$BD$124),(E$131),IF(AND($AN$132&gt;BT122,$C$132=$BD$125),(E$132),0)))))</f>
        <v>0</v>
      </c>
      <c r="BV122" s="1323">
        <v>0</v>
      </c>
      <c r="BW122" s="1323">
        <v>0</v>
      </c>
      <c r="BX122" s="1323">
        <f t="shared" si="302"/>
        <v>0</v>
      </c>
      <c r="BY122" s="1324">
        <f t="shared" ref="BY122:BY153" si="303">IF(BU121=BY121,0,BX121*($AQ$132+1))</f>
        <v>0</v>
      </c>
      <c r="CA122" s="9"/>
      <c r="CB122" s="9"/>
      <c r="CC122" s="9"/>
      <c r="CD122" s="9"/>
    </row>
    <row r="123" spans="2:82">
      <c r="B123" s="1411"/>
      <c r="C123" s="1357" t="s">
        <v>4753</v>
      </c>
      <c r="D123" s="1369">
        <f>IFERROR(IF($C$122=$BD$125,(D118/D122),IF($C$122=$BD$124,(D$86/(D$90+D$96+D$100+D$104+D$108+D$112+D$116+D$121)),IF(OR($C$122=$BD$121,$C$122=$BD$122,$C$122=$BD$123),(D$86/(D$90+D$96+D$100+D$104+D$108+D$112+D$116+D$122)),D117))),D117)</f>
        <v>0</v>
      </c>
      <c r="E123" s="1369">
        <f>IFERROR(IF($C$122=$BD$125,(E118/E122),IF($C$122=$BD$124,(E$86/(E$90+E$96+E$100+E$104+E$108+E$112+E$116+E$121)),IF(OR($C$122=$BD$121,$C$122=$BD$122,$C$122=$BD$123),(E$86/(E$90+E$96+E$100+E$104+E$108+E$112+E$116+E$122)),E117))),E117)</f>
        <v>0</v>
      </c>
      <c r="F123" s="1369">
        <f>IFERROR(IF($C$122=$BD$125,(F118/F122),IF($C$122=$BD$124,(F$86/(F$90+F$96+F$100+F$104+F$108+F$112+F$116+F$121)),IF(OR($C$122=$BD$121,$C$122=$BD$122,$C$122=$BD$123),(F$86/(F$90+F$96+F$100+F$104+F$108+F$112+F$116+F$122)),F117))),F117)</f>
        <v>0</v>
      </c>
      <c r="G123" s="1369">
        <f t="shared" ref="G123:AK123" si="304">IFERROR(IF($C$122=$BD$125,(G118/G122),IF($C$122=$BD$124,(G$86/(G$90+G$96+G$100+G$104+G$108+G$112+G$116+G$121)),IF(OR($C$122=$BD$121,$C$122=$BD$122,$C$122=$BD$123),(G$86/(G$90+G$96+G$100+G$104+G$108+G$112+G$116+G$122)),G117))),G117)</f>
        <v>0</v>
      </c>
      <c r="H123" s="1369">
        <f t="shared" si="304"/>
        <v>0</v>
      </c>
      <c r="I123" s="1369">
        <f t="shared" si="304"/>
        <v>0</v>
      </c>
      <c r="J123" s="1369">
        <f t="shared" si="304"/>
        <v>0</v>
      </c>
      <c r="K123" s="1369">
        <f t="shared" si="304"/>
        <v>0</v>
      </c>
      <c r="L123" s="1369">
        <f t="shared" si="304"/>
        <v>0</v>
      </c>
      <c r="M123" s="1369">
        <f t="shared" si="304"/>
        <v>0</v>
      </c>
      <c r="N123" s="1369">
        <f t="shared" si="304"/>
        <v>0</v>
      </c>
      <c r="O123" s="1369">
        <f t="shared" si="304"/>
        <v>0</v>
      </c>
      <c r="P123" s="1369">
        <f t="shared" si="304"/>
        <v>0</v>
      </c>
      <c r="Q123" s="1369">
        <f t="shared" si="304"/>
        <v>0</v>
      </c>
      <c r="R123" s="1369">
        <f t="shared" si="304"/>
        <v>0</v>
      </c>
      <c r="S123" s="1369">
        <f t="shared" si="304"/>
        <v>0</v>
      </c>
      <c r="T123" s="1369">
        <f t="shared" si="304"/>
        <v>0</v>
      </c>
      <c r="U123" s="1369">
        <f t="shared" si="304"/>
        <v>0</v>
      </c>
      <c r="V123" s="1369">
        <f t="shared" si="304"/>
        <v>0</v>
      </c>
      <c r="W123" s="1369">
        <f t="shared" si="304"/>
        <v>0</v>
      </c>
      <c r="X123" s="1369">
        <f t="shared" si="304"/>
        <v>0</v>
      </c>
      <c r="Y123" s="1369">
        <f t="shared" si="304"/>
        <v>0</v>
      </c>
      <c r="Z123" s="1369">
        <f t="shared" si="304"/>
        <v>0</v>
      </c>
      <c r="AA123" s="1369">
        <f t="shared" si="304"/>
        <v>0</v>
      </c>
      <c r="AB123" s="1369">
        <f t="shared" si="304"/>
        <v>0</v>
      </c>
      <c r="AC123" s="1369">
        <f t="shared" si="304"/>
        <v>0</v>
      </c>
      <c r="AD123" s="1369">
        <f t="shared" si="304"/>
        <v>0</v>
      </c>
      <c r="AE123" s="1369">
        <f t="shared" si="304"/>
        <v>0</v>
      </c>
      <c r="AF123" s="1369">
        <f t="shared" si="304"/>
        <v>0</v>
      </c>
      <c r="AG123" s="1369">
        <f t="shared" si="304"/>
        <v>0</v>
      </c>
      <c r="AH123" s="1369">
        <f t="shared" si="304"/>
        <v>0</v>
      </c>
      <c r="AI123" s="1369">
        <f t="shared" si="304"/>
        <v>0</v>
      </c>
      <c r="AJ123" s="1369">
        <f t="shared" si="304"/>
        <v>0</v>
      </c>
      <c r="AK123" s="1369">
        <f t="shared" si="304"/>
        <v>0</v>
      </c>
      <c r="AL123" s="1369">
        <f>IFERROR(IF($C$122=$BD$125,(AL118/AL122),IF($C$122=$BD$124,(AL$86/(AL$90+AL$96+AL$100+AL$104+AL$108+AL$112+AL$116+AL$121)),IF(OR($C$122=$BD$121,$C$122=$BD$122,$C$122=$BD$123),(AL$86/(AL$90+AL$96+AL$100+AL$104+AL$108+AL$112+AL$116+AL$122)),AL117))),AL117)</f>
        <v>0</v>
      </c>
      <c r="AM123" s="1034"/>
      <c r="AO123" s="1653">
        <f>ROUND((MIN(BL121:BL155)*(AQ122+1)),0)</f>
        <v>0</v>
      </c>
      <c r="AS123" s="1649" t="str">
        <f>_xlfn.CONCAT("Proposed Annual Debt Service - ",Source_3)</f>
        <v>Proposed Annual Debt Service - WHEDA Subordinate Loan 2</v>
      </c>
      <c r="AT123" s="1650" t="e">
        <f>-PMT(Rate_3,Term_3,Amount_3)</f>
        <v>#NUM!</v>
      </c>
      <c r="AU123" s="1649">
        <f>IF(Annual_DSC_3&gt;0,AV122+1,0)</f>
        <v>0</v>
      </c>
      <c r="AV123" s="1649">
        <f>MAX(AU121:AU123)</f>
        <v>0</v>
      </c>
      <c r="AW123" s="1651">
        <v>3</v>
      </c>
      <c r="AX123" s="115">
        <f>IF(OR('12. Funding Sources'!J13='12. Funding Sources'!$R$12,'12. Funding Sources'!J13='12. Funding Sources'!$R$13),AY122+1,0)</f>
        <v>0</v>
      </c>
      <c r="AY123" s="1649">
        <f>IF(MAX($AX$121:AX123)=0,AY122,MAX($AX$121:AX123))</f>
        <v>10</v>
      </c>
      <c r="AZ123" s="1649">
        <v>13</v>
      </c>
      <c r="BA123" s="9" t="str">
        <f>_xlfn.XLOOKUP(AZ123,$AX$121:$AX$133,'12. Funding Sources'!$C$11:$C$23,"")</f>
        <v/>
      </c>
      <c r="BB123" s="1322">
        <f>C131</f>
        <v>0</v>
      </c>
      <c r="BC123" s="1322"/>
      <c r="BD123" s="9" t="s">
        <v>4769</v>
      </c>
      <c r="BF123" s="579" t="e">
        <f>-IPMT(Rate_3,1,Term_3,Amount_3)</f>
        <v>#NUM!</v>
      </c>
      <c r="BH123" s="9">
        <v>3</v>
      </c>
      <c r="BI123" s="1323">
        <f>IF(AND($AN$122&gt;BH123,$C$122=$BD$121),(F$122),IF(AND($AN$122&gt;BH123,$C$122=$BD$122),(F$122),IF(AND($AN$122&gt;BH123,$C$122=$BD$123),(F$122),IF(AND($AN$122&gt;BH123,$C$122=$BD$124),(F$121),IF(AND($AN$122&gt;BH123,$C$122=$BD$125),(F$122),0)))))</f>
        <v>0</v>
      </c>
      <c r="BJ123" s="1323">
        <v>0</v>
      </c>
      <c r="BK123" s="1323">
        <v>0</v>
      </c>
      <c r="BL123" s="1323">
        <f t="shared" ref="BL123:BL128" si="305">IF(AND($AN$122&gt;BH123,$AP$122&gt;=BI123),(((BL122+($AP$122-BI123))*($AQ$122+1))-BI123),IF(AND($AN$122&gt;BH123,$AP$122&lt;=BI123),((BL122*($AQ$122+1))-BI123),IF($AN$122&lt;=BL122,BL122,0)))</f>
        <v>0</v>
      </c>
      <c r="BM123" s="1320">
        <f t="shared" ref="BM123:BM128" si="306">IF(BI122=BM122,0,BL122*($AQ$122+1))</f>
        <v>0</v>
      </c>
      <c r="BN123" s="9">
        <v>3</v>
      </c>
      <c r="BO123" s="1323">
        <f>IF(AND($AN$127&gt;BN123,$C$127=$BD$121),(F$127),IF(AND($AN$127&gt;BN123,$C$127=$BD$122),(F$127),IF(AND($AN$127&gt;BN123,$C$127=$BD$123),(F$127),IF(AND($AN$127&gt;BN123,$C$127=$BD$124),(F$126),IF(AND($AN$127&gt;BN123,$C$127=$BD$125),(F$127),0)))))</f>
        <v>0</v>
      </c>
      <c r="BP123" s="1323">
        <v>0</v>
      </c>
      <c r="BQ123" s="1323">
        <v>0</v>
      </c>
      <c r="BR123" s="1323">
        <f t="shared" si="301"/>
        <v>0</v>
      </c>
      <c r="BS123" s="1324">
        <f>IF(BO122=BS122,0,BR122*($AQ$122+1))</f>
        <v>0</v>
      </c>
      <c r="BT123" s="9">
        <v>3</v>
      </c>
      <c r="BU123" s="1323">
        <f>IF(AND($AN$132&gt;BT123,$C$132=$BD$121),(F$132),IF(AND($AN$132&gt;BT123,$C$132=$BD$122),(F$132),IF(AND($AN$132&gt;BT123,$C$132=$BD$123),(F$132),IF(AND($AN$132&gt;BT123,$C$132=$BD$124),(F$131),IF(AND($AN$132&gt;BT123,$C$132=$BD$125),(F$132),0)))))</f>
        <v>0</v>
      </c>
      <c r="BV123" s="1323">
        <v>0</v>
      </c>
      <c r="BW123" s="1323">
        <v>0</v>
      </c>
      <c r="BX123" s="1323">
        <f t="shared" si="302"/>
        <v>0</v>
      </c>
      <c r="BY123" s="1324">
        <f t="shared" si="303"/>
        <v>0</v>
      </c>
      <c r="CA123" s="9"/>
      <c r="CB123" s="9"/>
      <c r="CC123" s="9"/>
      <c r="CD123" s="9"/>
    </row>
    <row r="124" spans="2:82">
      <c r="B124" s="1411"/>
      <c r="C124" s="1357" t="s">
        <v>4757</v>
      </c>
      <c r="D124" s="1370">
        <f>IFERROR(MAX(IF($C$122=$BD$125,(D118-D122),IF(AND(D118&gt;0,$C$122=$BD$124),D118-D121,IF($C$122=$BD$123,D118-D122,IF($C$122=$BD$122,D118-D122,IF($C$122=$BD$121,D118-D122,D118))))),0),D118)</f>
        <v>0</v>
      </c>
      <c r="E124" s="1370">
        <f>IFERROR(MAX(IF($C$122=$BD$125,(E118-E122),IF(AND(E118&gt;0,$C$122=$BD$124),E118-E121,IF($C$122=$BD$123,E118-E122,IF($C$122=$BD$122,E118-E122,IF($C$122=$BD$121,E118-E122,E118))))),0),E118)</f>
        <v>0</v>
      </c>
      <c r="F124" s="1370">
        <f t="shared" ref="F124:AL124" si="307">IFERROR(MAX(IF($C$122=$BD$125,(F118-F122),IF(AND(F118&gt;0,$C$122=$BD$124),F118-F121,IF($C$122=$BD$123,F118-F122,IF($C$122=$BD$122,F118-F122,IF($C$122=$BD$121,F118-F122,F118))))),0),F118)</f>
        <v>0</v>
      </c>
      <c r="G124" s="1370">
        <f t="shared" si="307"/>
        <v>0</v>
      </c>
      <c r="H124" s="1370">
        <f t="shared" si="307"/>
        <v>0</v>
      </c>
      <c r="I124" s="1370">
        <f t="shared" si="307"/>
        <v>0</v>
      </c>
      <c r="J124" s="1370">
        <f t="shared" si="307"/>
        <v>0</v>
      </c>
      <c r="K124" s="1370">
        <f t="shared" si="307"/>
        <v>0</v>
      </c>
      <c r="L124" s="1370">
        <f t="shared" si="307"/>
        <v>0</v>
      </c>
      <c r="M124" s="1370">
        <f t="shared" si="307"/>
        <v>0</v>
      </c>
      <c r="N124" s="1370">
        <f t="shared" si="307"/>
        <v>0</v>
      </c>
      <c r="O124" s="1370">
        <f t="shared" si="307"/>
        <v>0</v>
      </c>
      <c r="P124" s="1370">
        <f t="shared" si="307"/>
        <v>0</v>
      </c>
      <c r="Q124" s="1370">
        <f t="shared" si="307"/>
        <v>0</v>
      </c>
      <c r="R124" s="1370">
        <f t="shared" si="307"/>
        <v>0</v>
      </c>
      <c r="S124" s="1370">
        <f t="shared" si="307"/>
        <v>0</v>
      </c>
      <c r="T124" s="1370">
        <f t="shared" si="307"/>
        <v>0</v>
      </c>
      <c r="U124" s="1370">
        <f t="shared" si="307"/>
        <v>0</v>
      </c>
      <c r="V124" s="1370">
        <f t="shared" si="307"/>
        <v>0</v>
      </c>
      <c r="W124" s="1370">
        <f t="shared" si="307"/>
        <v>0</v>
      </c>
      <c r="X124" s="1370">
        <f t="shared" si="307"/>
        <v>0</v>
      </c>
      <c r="Y124" s="1370">
        <f t="shared" si="307"/>
        <v>0</v>
      </c>
      <c r="Z124" s="1370">
        <f t="shared" si="307"/>
        <v>0</v>
      </c>
      <c r="AA124" s="1370">
        <f t="shared" si="307"/>
        <v>0</v>
      </c>
      <c r="AB124" s="1370">
        <f t="shared" si="307"/>
        <v>0</v>
      </c>
      <c r="AC124" s="1370">
        <f t="shared" si="307"/>
        <v>0</v>
      </c>
      <c r="AD124" s="1370">
        <f t="shared" si="307"/>
        <v>0</v>
      </c>
      <c r="AE124" s="1370">
        <f t="shared" si="307"/>
        <v>0</v>
      </c>
      <c r="AF124" s="1370">
        <f t="shared" si="307"/>
        <v>0</v>
      </c>
      <c r="AG124" s="1370">
        <f t="shared" si="307"/>
        <v>0</v>
      </c>
      <c r="AH124" s="1370">
        <f t="shared" si="307"/>
        <v>0</v>
      </c>
      <c r="AI124" s="1370">
        <f t="shared" si="307"/>
        <v>0</v>
      </c>
      <c r="AJ124" s="1370">
        <f t="shared" si="307"/>
        <v>0</v>
      </c>
      <c r="AK124" s="1370">
        <f t="shared" si="307"/>
        <v>0</v>
      </c>
      <c r="AL124" s="1370">
        <f t="shared" si="307"/>
        <v>0</v>
      </c>
      <c r="AM124" s="1034"/>
      <c r="AS124" s="1649" t="str">
        <f>_xlfn.CONCAT("Proposed Annual Debt Service - ",Source_4)</f>
        <v>Proposed Annual Debt Service - WHEDA Subordinate Loan 3</v>
      </c>
      <c r="AT124" s="1650" t="e">
        <f>-PMT(Rate_4,Term_4,Amount_4)</f>
        <v>#NUM!</v>
      </c>
      <c r="AU124" s="1649">
        <f>IF(Annual_DSC_4&gt;0,AV123+1,0)</f>
        <v>0</v>
      </c>
      <c r="AV124" s="1649">
        <f>MAX(AU121:AU124)</f>
        <v>0</v>
      </c>
      <c r="AW124" s="1649">
        <v>4</v>
      </c>
      <c r="AX124" s="115">
        <f>IF(OR('12. Funding Sources'!J14='12. Funding Sources'!$R$12,'12. Funding Sources'!J14='12. Funding Sources'!$R$13),AY123+1,0)</f>
        <v>0</v>
      </c>
      <c r="AY124" s="1649">
        <f>IF(MAX($AX$121:AX124)=0,AY123,MAX($AX$121:AX124))</f>
        <v>10</v>
      </c>
      <c r="AZ124" s="1649">
        <v>14</v>
      </c>
      <c r="BA124" s="9" t="str">
        <f>_xlfn.XLOOKUP(AZ124,$AX$121:$AX$133,'12. Funding Sources'!$C$11:$C$23,"")</f>
        <v/>
      </c>
      <c r="BB124" s="1322">
        <f>C136</f>
        <v>0</v>
      </c>
      <c r="BC124" s="1322"/>
      <c r="BD124" s="9" t="s">
        <v>4770</v>
      </c>
      <c r="BF124" s="579" t="e">
        <f>-IPMT(Rate_4,1,Term_4,Amount_4)</f>
        <v>#NUM!</v>
      </c>
      <c r="BH124" s="9">
        <v>4</v>
      </c>
      <c r="BI124" s="1323">
        <f>IF(AND($AN$122&gt;BH124,$C$122=$BD$121),(G$122),IF(AND($AN$122&gt;BH124,$C$122=$BD$122),(G$122),IF(AND($AN$122&gt;BH124,$C$122=$BD$123),(G$122),IF(AND($AN$122&gt;BH124,$C$122=$BD$124),(G$121),IF(AND($AN$122&gt;BH124,$C$122=$BD$125),(G$122),0)))))</f>
        <v>0</v>
      </c>
      <c r="BJ124" s="1323">
        <v>0</v>
      </c>
      <c r="BK124" s="1323">
        <v>0</v>
      </c>
      <c r="BL124" s="1323">
        <f t="shared" si="305"/>
        <v>0</v>
      </c>
      <c r="BM124" s="1320">
        <f t="shared" si="306"/>
        <v>0</v>
      </c>
      <c r="BN124" s="9">
        <v>4</v>
      </c>
      <c r="BO124" s="1323">
        <f>IF(AND($AN$127&gt;BN124,$C$127=$BD$121),(G$127),IF(AND($AN$127&gt;BN124,$C$127=$BD$122),(G$127),IF(AND($AN$127&gt;BN124,$C$127=$BD$123),(G$127),IF(AND($AN$127&gt;BN124,$C$127=$BD$124),(G$126),IF(AND($AN$127&gt;BN124,$C$127=$BD$125),(G$127),0)))))</f>
        <v>0</v>
      </c>
      <c r="BP124" s="1323">
        <v>0</v>
      </c>
      <c r="BQ124" s="1323">
        <v>0</v>
      </c>
      <c r="BR124" s="1323">
        <f t="shared" si="301"/>
        <v>0</v>
      </c>
      <c r="BS124" s="1324">
        <f>IF(BO123=BS123,0,BR123*($AQ$122+1))</f>
        <v>0</v>
      </c>
      <c r="BT124" s="9">
        <v>4</v>
      </c>
      <c r="BU124" s="1323">
        <f>IF(AND($AN$132&gt;BT124,$C$132=$BD$121),(G$132),IF(AND($AN$132&gt;BT124,$C$132=$BD$122),(G$132),IF(AND($AN$132&gt;BT124,$C$132=$BD$123),(G$132),IF(AND($AN$132&gt;BT124,$C$132=$BD$124),(G$131),IF(AND($AN$132&gt;BT124,$C$132=$BD$125),(G$132),0)))))</f>
        <v>0</v>
      </c>
      <c r="BV124" s="1323">
        <v>0</v>
      </c>
      <c r="BW124" s="1323">
        <v>0</v>
      </c>
      <c r="BX124" s="1323">
        <f t="shared" si="302"/>
        <v>0</v>
      </c>
      <c r="BY124" s="1324">
        <f t="shared" si="303"/>
        <v>0</v>
      </c>
      <c r="CA124" s="9"/>
      <c r="CB124" s="9"/>
      <c r="CC124" s="9"/>
      <c r="CD124" s="9"/>
    </row>
    <row r="125" spans="2:82" ht="33" customHeight="1">
      <c r="B125" s="1411"/>
      <c r="C125" s="1143"/>
      <c r="D125" s="1067" t="str">
        <f>IF(OR($C$127=$BD$122,$C$127=$BD$124),"Input Desired Annual Payment Amount",IF($C$127=$BD$123,"Input Desired % of Cashflow", ""))</f>
        <v/>
      </c>
      <c r="E125" s="1067" t="str">
        <f t="shared" ref="E125:AL125" si="308">IF($C$127=$BD$124,"Input Desired Annual Payment Amount","")</f>
        <v/>
      </c>
      <c r="F125" s="1067" t="str">
        <f t="shared" si="308"/>
        <v/>
      </c>
      <c r="G125" s="1067" t="str">
        <f t="shared" si="308"/>
        <v/>
      </c>
      <c r="H125" s="1067" t="str">
        <f t="shared" si="308"/>
        <v/>
      </c>
      <c r="I125" s="1067" t="str">
        <f t="shared" si="308"/>
        <v/>
      </c>
      <c r="J125" s="1067" t="str">
        <f t="shared" si="308"/>
        <v/>
      </c>
      <c r="K125" s="1067" t="str">
        <f t="shared" si="308"/>
        <v/>
      </c>
      <c r="L125" s="1067" t="str">
        <f t="shared" si="308"/>
        <v/>
      </c>
      <c r="M125" s="1067" t="str">
        <f t="shared" si="308"/>
        <v/>
      </c>
      <c r="N125" s="1067" t="str">
        <f t="shared" si="308"/>
        <v/>
      </c>
      <c r="O125" s="1067" t="str">
        <f t="shared" si="308"/>
        <v/>
      </c>
      <c r="P125" s="1067" t="str">
        <f t="shared" si="308"/>
        <v/>
      </c>
      <c r="Q125" s="1067" t="str">
        <f t="shared" si="308"/>
        <v/>
      </c>
      <c r="R125" s="1067" t="str">
        <f t="shared" si="308"/>
        <v/>
      </c>
      <c r="S125" s="1067" t="str">
        <f t="shared" si="308"/>
        <v/>
      </c>
      <c r="T125" s="1067" t="str">
        <f t="shared" si="308"/>
        <v/>
      </c>
      <c r="U125" s="1067" t="str">
        <f t="shared" si="308"/>
        <v/>
      </c>
      <c r="V125" s="1067" t="str">
        <f t="shared" si="308"/>
        <v/>
      </c>
      <c r="W125" s="1067" t="str">
        <f t="shared" si="308"/>
        <v/>
      </c>
      <c r="X125" s="1067" t="str">
        <f t="shared" si="308"/>
        <v/>
      </c>
      <c r="Y125" s="1067" t="str">
        <f t="shared" si="308"/>
        <v/>
      </c>
      <c r="Z125" s="1067" t="str">
        <f t="shared" si="308"/>
        <v/>
      </c>
      <c r="AA125" s="1067" t="str">
        <f t="shared" si="308"/>
        <v/>
      </c>
      <c r="AB125" s="1067" t="str">
        <f t="shared" si="308"/>
        <v/>
      </c>
      <c r="AC125" s="1067" t="str">
        <f t="shared" si="308"/>
        <v/>
      </c>
      <c r="AD125" s="1067" t="str">
        <f t="shared" si="308"/>
        <v/>
      </c>
      <c r="AE125" s="1067" t="str">
        <f t="shared" si="308"/>
        <v/>
      </c>
      <c r="AF125" s="1067" t="str">
        <f t="shared" si="308"/>
        <v/>
      </c>
      <c r="AG125" s="1067" t="str">
        <f t="shared" si="308"/>
        <v/>
      </c>
      <c r="AH125" s="1067" t="str">
        <f t="shared" si="308"/>
        <v/>
      </c>
      <c r="AI125" s="1067" t="str">
        <f t="shared" si="308"/>
        <v/>
      </c>
      <c r="AJ125" s="1067" t="str">
        <f t="shared" si="308"/>
        <v/>
      </c>
      <c r="AK125" s="1067" t="str">
        <f t="shared" si="308"/>
        <v/>
      </c>
      <c r="AL125" s="1067" t="str">
        <f t="shared" si="308"/>
        <v/>
      </c>
      <c r="AM125" s="1034"/>
      <c r="AS125" s="1649" t="str">
        <f>_xlfn.CONCAT("Proposed Annual Debt Service - ",Source_5)</f>
        <v>Proposed Annual Debt Service - WHEDA TIF Loan</v>
      </c>
      <c r="AT125" s="1650" t="e">
        <f>-PMT(Rate_5,Term_5,Amount_5)</f>
        <v>#NUM!</v>
      </c>
      <c r="AU125" s="1649">
        <f>IF(Annual_DSC_5&gt;0,AV124+1,0)</f>
        <v>0</v>
      </c>
      <c r="AV125" s="1649">
        <f>MAX(AU121:AU125)</f>
        <v>0</v>
      </c>
      <c r="AW125" s="1651">
        <v>5</v>
      </c>
      <c r="AX125" s="115">
        <f>IF(OR('12. Funding Sources'!J15='12. Funding Sources'!$R$12,'12. Funding Sources'!J15='12. Funding Sources'!$R$13),AY124+1,0)</f>
        <v>0</v>
      </c>
      <c r="AY125" s="1649">
        <f>IF(MAX($AX$121:AX125)=0,AY124,MAX($AX$121:AX125))</f>
        <v>10</v>
      </c>
      <c r="AZ125" s="1649">
        <v>15</v>
      </c>
      <c r="BA125" s="9" t="str">
        <f>_xlfn.XLOOKUP(AZ125,$AX$121:$AX$133,'12. Funding Sources'!$C$11:$C$23,"")</f>
        <v/>
      </c>
      <c r="BB125" s="1322">
        <f>C145</f>
        <v>0</v>
      </c>
      <c r="BC125" s="1322"/>
      <c r="BD125" s="1325" t="s">
        <v>4765</v>
      </c>
      <c r="BF125" s="579" t="e">
        <f>-IPMT(Rate_5,1,Term_5,Amount_5)</f>
        <v>#NUM!</v>
      </c>
      <c r="BH125" s="9">
        <v>5</v>
      </c>
      <c r="BI125" s="1323">
        <f>IF(AND($AN$122&gt;BH125,$C$122=$BD$121),(H$122),IF(AND($AN$122&gt;BH125,$C$122=$BD$122),(H$122),IF(AND($AN$122&gt;BH125,$C$122=$BD$123),(H$122),IF(AND($AN$122&gt;BH125,$C$122=$BD$124),(H$121),IF(AND($AN$122&gt;BH125,$C$122=$BD$125),(H$122),0)))))</f>
        <v>0</v>
      </c>
      <c r="BJ125" s="1323">
        <v>0</v>
      </c>
      <c r="BK125" s="1323">
        <v>0</v>
      </c>
      <c r="BL125" s="1323">
        <f t="shared" si="305"/>
        <v>0</v>
      </c>
      <c r="BM125" s="1320">
        <f t="shared" si="306"/>
        <v>0</v>
      </c>
      <c r="BN125" s="9">
        <v>5</v>
      </c>
      <c r="BO125" s="1323">
        <f>IF(AND($AN$127&gt;BN125,$C$127=$BD$121),(H$127),IF(AND($AN$127&gt;BN125,$C$127=$BD$122),(H$127),IF(AND($AN$127&gt;BN125,$C$127=$BD$123),(H$127),IF(AND($AN$127&gt;BN125,$C$127=$BD$124),(H$126),IF(AND($AN$127&gt;BN125,$C$127=$BD$125),(H$127),0)))))</f>
        <v>0</v>
      </c>
      <c r="BP125" s="1323">
        <v>0</v>
      </c>
      <c r="BQ125" s="1323">
        <v>0</v>
      </c>
      <c r="BR125" s="1323">
        <f t="shared" si="301"/>
        <v>0</v>
      </c>
      <c r="BS125" s="1324">
        <f t="shared" ref="BS125:BS153" si="309">IF(BO124=BS124,0,BR124*($AQ$122+1))</f>
        <v>0</v>
      </c>
      <c r="BT125" s="9">
        <v>5</v>
      </c>
      <c r="BU125" s="1323">
        <f>IF(AND($AN$132&gt;BT125,$C$132=$BD$121),(H$132),IF(AND($AN$132&gt;BT125,$C$132=$BD$122),(H$132),IF(AND($AN$132&gt;BT125,$C$132=$BD$123),(H$132),IF(AND($AN$132&gt;BT125,$C$132=$BD$124),(H$131),IF(AND($AN$132&gt;BT125,$C$132=$BD$125),(H$132),0)))))</f>
        <v>0</v>
      </c>
      <c r="BV125" s="1323">
        <v>0</v>
      </c>
      <c r="BW125" s="1323">
        <v>0</v>
      </c>
      <c r="BX125" s="1323">
        <f t="shared" si="302"/>
        <v>0</v>
      </c>
      <c r="BY125" s="1324">
        <f t="shared" si="303"/>
        <v>0</v>
      </c>
      <c r="CA125" s="9"/>
      <c r="CB125" s="9"/>
      <c r="CC125" s="9"/>
      <c r="CD125" s="9"/>
    </row>
    <row r="126" spans="2:82">
      <c r="B126" s="1411">
        <v>12</v>
      </c>
      <c r="C126" s="1386"/>
      <c r="D126" s="1462"/>
      <c r="E126" s="1463"/>
      <c r="F126" s="1463"/>
      <c r="G126" s="1463"/>
      <c r="H126" s="1463"/>
      <c r="I126" s="1463"/>
      <c r="J126" s="1463"/>
      <c r="K126" s="1463"/>
      <c r="L126" s="1463"/>
      <c r="M126" s="1463"/>
      <c r="N126" s="1463"/>
      <c r="O126" s="1463"/>
      <c r="P126" s="1463"/>
      <c r="Q126" s="1463"/>
      <c r="R126" s="1463"/>
      <c r="S126" s="1463"/>
      <c r="T126" s="1463"/>
      <c r="U126" s="1463"/>
      <c r="V126" s="1463"/>
      <c r="W126" s="1463"/>
      <c r="X126" s="1463"/>
      <c r="Y126" s="1463"/>
      <c r="Z126" s="1463"/>
      <c r="AA126" s="1463"/>
      <c r="AB126" s="1463"/>
      <c r="AC126" s="1463"/>
      <c r="AD126" s="1463"/>
      <c r="AE126" s="1463"/>
      <c r="AF126" s="1463"/>
      <c r="AG126" s="1463"/>
      <c r="AH126" s="1463"/>
      <c r="AI126" s="1464" t="str">
        <f>IF($C$127=$BD$124,"Input Desired Annual Payment Amount","")</f>
        <v/>
      </c>
      <c r="AJ126" s="1463"/>
      <c r="AK126" s="1463"/>
      <c r="AL126" s="1463"/>
      <c r="AM126" s="1034"/>
      <c r="AO126" s="1653">
        <f>_xlfn.XLOOKUP(C126,'12. Funding Sources'!C11:C23,'12. Funding Sources'!E11:E23,0)</f>
        <v>0</v>
      </c>
      <c r="AS126" s="1649" t="str">
        <f>_xlfn.CONCAT("Proposed Annual Debt Service - ",Source_6)</f>
        <v>Proposed Annual Debt Service - AHP Loan</v>
      </c>
      <c r="AT126" s="1650" t="e">
        <f>-PMT(Rate_6,Term_6,Amount_6)</f>
        <v>#NUM!</v>
      </c>
      <c r="AU126" s="1649">
        <f>IF(Annual_DSC_6&gt;0,AV125+1,0)</f>
        <v>0</v>
      </c>
      <c r="AV126" s="1649">
        <f>MAX(AU121:AU126)</f>
        <v>0</v>
      </c>
      <c r="AW126" s="1649">
        <v>6</v>
      </c>
      <c r="AX126" s="115">
        <f>IF(OR('12. Funding Sources'!J16='12. Funding Sources'!$R$12,'12. Funding Sources'!J16='12. Funding Sources'!$R$13),AY125+1,0)</f>
        <v>0</v>
      </c>
      <c r="AY126" s="1649">
        <f>IF(MAX($AX$121:AX126)=0,AY125,MAX($AX$121:AX126))</f>
        <v>10</v>
      </c>
      <c r="AZ126" s="1649">
        <v>16</v>
      </c>
      <c r="BA126" s="9" t="str">
        <f>_xlfn.XLOOKUP(AZ126,$AX$121:$AX$133,'12. Funding Sources'!$C$11:$C$23,"")</f>
        <v/>
      </c>
      <c r="BB126" s="1322">
        <f>C150</f>
        <v>0</v>
      </c>
      <c r="BC126" s="1322"/>
      <c r="BF126" s="579" t="e">
        <f>-IPMT(Rate_6,1,Term_6,Amount_6)</f>
        <v>#NUM!</v>
      </c>
      <c r="BH126" s="9">
        <v>6</v>
      </c>
      <c r="BI126" s="1323">
        <f>IF(AND($AN$122&gt;BH126,$C$122=$BD$121),(I$122),IF(AND($AN$122&gt;BH126,$C$122=$BD$122),(I$122),IF(AND($AN$122&gt;BH126,$C$122=$BD$123),(I$122),IF(AND($AN$122&gt;BH126,$C$122=$BD$124),(I$121),IF(AND($AN$122&gt;BH126,$C$122=$BD$125),(I$122),0)))))</f>
        <v>0</v>
      </c>
      <c r="BJ126" s="1323">
        <v>0</v>
      </c>
      <c r="BK126" s="1323">
        <v>0</v>
      </c>
      <c r="BL126" s="1323">
        <f t="shared" si="305"/>
        <v>0</v>
      </c>
      <c r="BM126" s="1320">
        <f t="shared" si="306"/>
        <v>0</v>
      </c>
      <c r="BN126" s="9">
        <v>6</v>
      </c>
      <c r="BO126" s="1323">
        <f>IF(AND($AN$127&gt;BN126,$C$127=$BD$121),(I$127),IF(AND($AN$127&gt;BN126,$C$127=$BD$122),(I$127),IF(AND($AN$127&gt;BN126,$C$127=$BD$123),(I$127),IF(AND($AN$127&gt;BN126,$C$127=$BD$124),(I$126),IF(AND($AN$127&gt;BN126,$C$127=$BD$125),(I$127),0)))))</f>
        <v>0</v>
      </c>
      <c r="BP126" s="1323">
        <v>0</v>
      </c>
      <c r="BQ126" s="1323">
        <v>0</v>
      </c>
      <c r="BR126" s="1323">
        <f t="shared" si="301"/>
        <v>0</v>
      </c>
      <c r="BS126" s="1324">
        <f t="shared" si="309"/>
        <v>0</v>
      </c>
      <c r="BT126" s="9">
        <v>6</v>
      </c>
      <c r="BU126" s="1323">
        <f>IF(AND($AN$132&gt;BT126,$C$132=$BD$121),(I$132),IF(AND($AN$132&gt;BT126,$C$132=$BD$122),(I$132),IF(AND($AN$132&gt;BT126,$C$132=$BD$123),(I$132),IF(AND($AN$132&gt;BT126,$C$132=$BD$124),(I$131),IF(AND($AN$132&gt;BT126,$C$132=$BD$125),(I$132),0)))))</f>
        <v>0</v>
      </c>
      <c r="BV126" s="1323">
        <v>0</v>
      </c>
      <c r="BW126" s="1323">
        <v>0</v>
      </c>
      <c r="BX126" s="1323">
        <f t="shared" si="302"/>
        <v>0</v>
      </c>
      <c r="BY126" s="1324">
        <f t="shared" si="303"/>
        <v>0</v>
      </c>
      <c r="CA126" s="9"/>
      <c r="CB126" s="9"/>
      <c r="CC126" s="9"/>
      <c r="CD126" s="9"/>
    </row>
    <row r="127" spans="2:82">
      <c r="B127" s="1411"/>
      <c r="C127" s="1447" t="s">
        <v>4764</v>
      </c>
      <c r="D127" s="1368">
        <f>IF($C127=$BD$125,$AP$127,IF(AND($C127=$BD$121,$AR$127&lt;=$D124),$AR$127,IF($C127=$BD$123,($D124*($D126/100)),IF(AND($C127=$BD$122,$D124&gt;=$D126),$D126,IF(AND($C127=$BD$122,$D124&lt;$D126),$D124,IF($C127=$BD$124,0,0))))))</f>
        <v>0</v>
      </c>
      <c r="E127" s="1385" t="b">
        <f>IF(AND($C$127=$BD$125,$E$89&lt;$AN$127),$AP$127,IF(AND($C$127=$BD$125,$E$89=$AN$127),$AO$127,IF(AND($C$127=$BD$125,$E$89&gt;$AN$127),0,IF($C$127=$BD$124,0,IF(AND($C$127=$BD$123,$E$89&lt;$AN$127,$BM$122&gt;=(($D$126/100)*$E$124)),(($D$126/100)*$E$124),IF(AND($C$127=$BD$123,$E$89&lt;$AN$127,$BM$122&lt;(($D$126/100)*$E$124)),$BM$122,IF(AND($C$127=$BD$123,$E$89=$AN$127),$AO$127,IF(AND($C$127=$BD$123,$E$89&gt;$AN$127),0,IF(AND($C$127=$BD$122,$D$127=0),0,IF(AND($C$127=$BD$121,$E$89&lt;$AN$127,$E$124&gt;=$AR$127),$AR$127,IF(AND($C$127=$BD$121,$E$89&lt;$AN$127,E124&lt;$AR$127),$E$124,IF(AND($C$127=$BD$121,E94=$AN$127),$AO$127,IF(AND($C$127=$BD$121,$E$89&gt;$AN$127),0,IF(AND($C$127=$BD$122,$E$89&lt;$AN$127,$E$124&gt;=$D$126,$BM$122&gt;=$D$126),$D$126,IF(AND($C$127=$BD$122,$E$89&lt;$AN$127,$E$124&gt;=$D$126,$BM$122&lt;$D$126),$BM$122,IF(AND($C$127=$BD$122,$E$89&lt;$AN$127,$E$124&lt;$D$126,$BM$122&lt;E124),$BM$122,IF(AND($C$127=$BD$122,$E$89&lt;$AN$127,$E$124&lt;$D$126,$BM$122&gt;E124),$E$124,IF(AND($C$127=$BD$122,$E$89=$AN$127),$AO$127,IF(AND($C$127=$BD$122,$E$89&gt;$AN$127),0)))))))))))))))))))</f>
        <v>0</v>
      </c>
      <c r="F127" s="1368" t="b">
        <f>IF(AND($C$127=$BD$125,F89&lt;$AN$127),$AP$127,IF(AND($C$127=$BD$125,F89=$AN$127),$AO$127,IF(AND($C$127=$BD$125,F89&gt;$AN$127),0,IF($C$127=$BD$124,0,IF(AND($C$127=$BD$123,F89&lt;$AN$127,$BS$123&gt;=(($D$126/100)*F124)),(($D$126/100)*F124),IF(AND($C$127=$BD$123,F89&lt;$AN$127,$BS$123&lt;(($D$126/100)*F124)),$BS$123,IF(AND($C$127=$BD$123,F89=$AN$127),$AO$127,IF(AND($C$127=$BD$123,F89&gt;$AN$127),0,IF(AND($C$127=$BD$121,F89&lt;$AN$127,F124&gt;=$AR$127),$AR$127,IF(AND($C$127=$BD$121,F89&lt;$AN$127,F124&lt;$AR$127),F124,IF(AND($C$127=$BD$121,F89=$AN$127),$AO$127,IF(AND($C$127=$BD$121,F89&gt;$AN$127),0,IF(AND($C$127=$BD$122,F89&lt;$AN$127,F124&gt;=$D$126,$BS$123&gt;=$D$126),$D$126,IF(AND($C$127=$BD$122,F89&lt;$AN$127,F124&gt;=$D$126,$BS$123&lt;$D$126),$BS$123,IF(AND($C$127=$BD$122,F89&lt;$AN$127,F124&lt;$D$126,$BS$123&lt;F124),$BS$123,IF(AND($C$127=$BD$122,F89&lt;$AN$127,F124&lt;$D$126,$BS$123&gt;F124),F124,IF(AND($C$127=$BD$122,F89=$AN$127),$AO$127,IF(AND($C$127=$BD$122,F89&gt;$AN$127),0))))))))))))))))))</f>
        <v>0</v>
      </c>
      <c r="G127" s="1368" t="b">
        <f>IF(AND($C$127=$BD$125,G89&lt;$AN$127),$AP$127,IF(AND($C$127=$BD$125,G89=$AN$127),$AO$127,IF(AND($C$127=$BD$125,G89&gt;$AN$127),0,IF($C$127=$BD$124,0,IF(AND($C$127=$BD$123,G89&lt;$AN$127,$BS$124&gt;=(($D$126/100)*G124)),(($D$126/100)*G124),IF(AND($C$127=$BD$123,G89&lt;$AN$127,$BS$124&lt;(($D$126/100)*G124)),$BS$124,IF(AND($C$127=$BD$123,G89=$AN$127),$AO$127,IF(AND($C$127=$BD$123,G89&gt;$AN$127),0,IF(AND($C$127=$BD$121,G89&lt;$AN$127,G124&gt;=$AR$127),$AR$127,IF(AND($C$127=$BD$121,G89&lt;$AN$127,G124&lt;$AR$127),G124,IF(AND($C$127=$BD$121,G89=$AN$127),$AO$127,IF(AND($C$127=$BD$121,G89&gt;$AN$127),0,IF(AND($C$127=$BD$122,G89&lt;$AN$127,G124&gt;=$D$126,$BS$124&gt;=$D$126),$D$126,IF(AND($C$127=$BD$122,G89&lt;$AN$127,G124&gt;=$D$126,$BS$124&lt;$D$126),$BS$124,IF(AND($C$127=$BD$122,G89&lt;$AN$127,G124&lt;$D$126,$BS$124&lt;G124),$BS$124,IF(AND($C$127=$BD$122,G89&lt;$AN$127,G124&lt;$D$126,$BS$124&gt;G124),G124,IF(AND($C$127=$BD$122,G89=$AN$127),$AO$127,IF(AND($C$127=$BD$122,G89&gt;$AN$127),0))))))))))))))))))</f>
        <v>0</v>
      </c>
      <c r="H127" s="1368" t="b">
        <f>IF(AND($C$127=$BD$125,H89&lt;$AN$127),$AP$127,IF(AND($C$127=$BD$125,H89=$AN$127),$AO$127,IF(AND($C$127=$BD$125,H89&gt;$AN$127),0,IF($C$127=$BD$124,0,IF(AND($C$127=$BD$123,H89&lt;$AN$127,$BS$125&gt;=(($D$126/100)*H124)),(($D$126/100)*H124),IF(AND($C$127=$BD$123,H89&lt;$AN$127,$BS$125&lt;(($D$126/100)*H124)),$BS$125,IF(AND($C$127=$BD$123,H89=$AN$127),$AO$127,IF(AND($C$127=$BD$123,H89&gt;$AN$127),0,IF(AND($C$127=$BD$121,H89&lt;$AN$127,H124&gt;=$AR$127),$AR$127,IF(AND($C$127=$BD$121,H89&lt;$AN$127,H124&lt;$AR$127),H124,IF(AND($C$127=$BD$121,H89=$AN$127),$AO$127,IF(AND($C$127=$BD$121,H89&gt;$AN$127),0,IF(AND($C$127=$BD$122,H89&lt;$AN$127,H124&gt;=$D$126,$BS$125&gt;=$D$126),$D$126,IF(AND($C$127=$BD$122,H89&lt;$AN$127,H124&gt;=$D$126,$BS$125&lt;$D$126),$BS$125,IF(AND($C$127=$BD$122,H89&lt;$AN$127,H124&lt;$D$126,$BS$125&lt;H124),$BS$125,IF(AND($C$127=$BD$122,H89&lt;$AN$127,H124&lt;$D$126,$BS$125&gt;H124),H124,IF(AND($C$127=$BD$122,H89=$AN$127),$AO$127,IF(AND($C$127=$BD$122,H89&gt;$AN$127),0))))))))))))))))))</f>
        <v>0</v>
      </c>
      <c r="I127" s="1368" t="b">
        <f>IF(AND($C$127=$BD$125,I89&lt;$AN$127),$AP$127,IF(AND($C$127=$BD$125,I89=$AN$127),$AO$127,IF(AND($C$127=$BD$125,I89&gt;$AN$127),0,IF($C$127=$BD$124,0,IF(AND($C$127=$BD$123,I89&lt;$AN$127,$BS$126&gt;=(($D$126/100)*I124)),(($D$126/100)*I124),IF(AND($C$127=$BD$123,I89&lt;$AN$127,$BS$126&lt;(($D$126/100)*I124)),$BS$126,IF(AND($C$127=$BD$123,I89=$AN$127),$AO$127,IF(AND($C$127=$BD$123,I89&gt;$AN$127),0,IF(AND($C$127=$BD$123,I89&lt;$AN$127,$BS$126&gt;=(($D$126/100)*I124)),(($D$126/100)*I124),IF(AND($C$127=$BD$123,I89&lt;$AN$127,$BS$126&lt;(($D$126/100)*I124)),$BS$126,IF(AND($C$127=$BD$123,I89=$AN$127),$AO$127,IF(AND($C$127=$BD$123,I89&gt;$AN$127),0,IF(AND($C$127=$BD$121,I89&lt;$AN$127,I124&gt;=$AR$127),$AR$127,IF(AND($C$127=$BD$121,I89&lt;$AN$127,I124&lt;$AR$127),I124,IF(AND($C$127=$BD$121,I89=$AN$127),$AO$127,IF(AND($C$127=$BD$121,I89&gt;$AN$127),0,IF(AND($C$127=$BD$122,I89&lt;$AN$127,I124&gt;=$D$126,$BS$126&gt;=$D$126),$D$126,IF(AND($C$127=$BD$122,I89&lt;$AN$127,I124&gt;=$D$126,$BS$126&lt;$D$126),$BS$126,IF(AND($C$127=$BD$122,I89&lt;$AN$127,I124&lt;$D$126,$BS$126&lt;I124),$BS$126,IF(AND($C$127=$BD$122,I89&lt;$AN$127,I124&lt;$D$126,$BS$126&gt;I124),I124,IF(AND($C$127=$BD$122,I89=$AN$127),$AO$127,IF(AND($C$127=$BD$122,I89&gt;$AN$127),0))))))))))))))))))))))</f>
        <v>0</v>
      </c>
      <c r="J127" s="1368" t="b">
        <f>IF(AND($C$127=$BD$125,J89&lt;$AN$127),$AP$127,IF(AND($C$127=$BD$125,J89=$AN$127),$AO$127,IF(AND($C$127=$BD$125,J89&gt;$AN$127),0,IF($C$127=$BD$124,0,IF(AND($C$127=$BD$123,J89&lt;$AN$127,$BS$127&gt;=(($D$126/100)*J124)),(($D$126/100)*J124),IF(AND($C$127=$BD$123,J89&lt;$AN$127,$BS$127&lt;(($D$126/100)*J124)),$BS$127,IF(AND($C$127=$BD$123,J89=$AN$127),$AO$127,IF(AND($C$127=$BD$123,J89&gt;$AN$127),0,IF(AND($C$127=$BD$121,J89&lt;$AN$127,J124&gt;=$AR$127),$AR$127,IF(AND($C$127=$BD$121,J89&lt;$AN$127,J124&lt;$AR$127),J124,IF(AND($C$127=$BD$121,J89=$AN$127),$AO$127,IF(AND($C$127=$BD$121,J89&gt;$AN$127),0,IF(AND($C$127=$BD$122,J89&lt;$AN$127,J124&gt;=$D$126,$BS$127&gt;=$D$126),$D$126,IF(AND($C$127=$BD$122,J89&lt;$AN$127,J124&gt;=$D$126,$BS$127&lt;$D$126),$BS$127,IF(AND($C$127=$BD$122,J89&lt;$AN$127,J124&lt;$D$126,$BS$127&lt;J124),$BS$127,IF(AND($C$127=$BD$122,J89&lt;$AN$127,J124&lt;$D$126,$BS$127&gt;J124),J124,IF(AND($C$127=$BD$122,J89=$AN$127),$AO$127,IF(AND($C$127=$BD$122,J89&gt;$AN$127),0))))))))))))))))))</f>
        <v>0</v>
      </c>
      <c r="K127" s="1368" t="b">
        <f>IF(AND($C$127=$BD$125,K89&lt;$AN$127),$AP$127,IF(AND($C$127=$BD$125,K89=$AN$127),$AO$127,IF(AND($C$127=$BD$125,K89&gt;$AN$127),0,IF($C$127=$BD$124,0,IF(AND($C$127=$BD$123,K89&lt;$AN$127,$BS$128&gt;=(($D$126/100)*K124)),(($D$126/100)*K124),IF(AND($C$127=$BD$123,K89&lt;$AN$127,$BS$128&lt;(($D$126/100)*K124)),$BS$128,IF(AND($C$127=$BD$123,K89=$AN$127),$AO$127,IF(AND($C$127=$BD$123,K89&gt;$AN$127),0,IF(AND($C$127=$BD$121,K89&lt;$AN$127,K124&gt;=$AR$127),$AR$127,IF(AND($C$127=$BD$121,K89&lt;$AN$127,K124&lt;$AR$127),K124,IF(AND($C$127=$BD$121,K89=$AN$127),$AO$127,IF(AND($C$127=$BD$121,K89&gt;$AN$127),0,IF(AND($C$127=$BD$122,K89&lt;$AN$127,K124&gt;=$D$126,$BS$128&gt;=$D$126),$D$126,IF(AND($C$127=$BD$122,K89&lt;$AN$127,K124&gt;=$D$126,$BS$128&lt;$D$126),$BS$128,IF(AND($C$127=$BD$122,K89&lt;$AN$127,K124&lt;$D$126,$BS$128&lt;K124),$BS$128,IF(AND($C$127=$BD$122,K89&lt;$AN$127,K124&lt;$D$126,$BS$128&gt;K124),K124,IF(AND($C$127=$BD$122,K89=$AN$127),$AO$127,IF(AND($C$127=$BD$122,K89&gt;$AN$127),0))))))))))))))))))</f>
        <v>0</v>
      </c>
      <c r="L127" s="1368" t="b">
        <f>IF(AND($C$127=$BD$125,L89&lt;$AN$127),$AP$127,IF(AND($C$127=$BD$125,L89=$AN$127),$AO$127,IF(AND($C$127=$BD$125,L89&gt;$AN$127),0,IF($C$127=$BD$124,0,IF(AND($C$127=$BD$123,L89&lt;$AN$127,$BS$129&gt;=(($D$126/100)*L124)),(($D$126/100)*L124),IF(AND($C$127=$BD$123,L89&lt;$AN$127,$BS$129&lt;(($D$126/100)*L124)),$BS$129,IF(AND($C$127=$BD$123,L89=$AN$127),$AO$127,IF(AND($C$127=$BD$123,L89&gt;$AN$127),0,IF(AND($C$127=$BD$121,L89&lt;$AN$127,L124&gt;=$AR$127),$AR$127,IF(AND($C$127=$BD$121,L89&lt;$AN$127,L124&lt;$AR$127),L124,IF(AND($C$127=$BD$121,L89=$AN$127),$AO$127,IF(AND($C$127=$BD$121,L89&gt;$AN$127),0,IF(AND($C$127=$BD$122,L89&lt;$AN$127,L124&gt;=$D$126,$BS$129&gt;=$D$126),$D$126,IF(AND($C$127=$BD$122,L89&lt;$AN$127,L124&gt;=$D$126,$BS$129&lt;$D$126),$BS$129,IF(AND($C$127=$BD$122,L89&lt;$AN$127,L124&lt;$D$126,$BS$129&lt;L124),$BS$129,IF(AND($C$127=$BD$122,L89&lt;$AN$127,L124&lt;$D$126,$BS$129&gt;L124),L124,IF(AND($C$127=$BD$122,L89=$AN$127),$AO$127,IF(AND($C$127=$BD$122,L89&gt;$AN$127),0))))))))))))))))))</f>
        <v>0</v>
      </c>
      <c r="M127" s="1368" t="b">
        <f>IF(AND($C$127=$BD$125,M89&lt;$AN$127),$AP$127,IF(AND($C$127=$BD$125,M89=$AN$127),$AO$127,IF(AND($C$127=$BD$125,M89&gt;$AN$127),0,IF($C$127=$BD$124,0,IF(AND($C$127=$BD$123,M89&lt;$AN$127,$BS$130&gt;=(($D$126/100)*M124)),(($D$126/100)*M124),IF(AND($C$127=$BD$123,M89&lt;$AN$127,$BS$130&lt;(($D$126/100)*M124)),$BS$130,IF(AND($C$127=$BD$123,M89=$AN$127),$AO$127,IF(AND($C$127=$BD$123,M89&gt;$AN$127),0,IF(AND($C$127=$BD$121,M89&lt;$AN$127,M124&gt;=$AR$127),$AR$127,IF(AND($C$127=$BD$121,M89&lt;$AN$127,M124&lt;$AR$127),M124,IF(AND($C$127=$BD$121,M89=$AN$127),$AO$127,IF(AND($C$127=$BD$121,M89&gt;$AN$127),0,IF(AND($C$127=$BD$122,M89&lt;$AN$127,M124&gt;=$D$126,$BS$130&gt;=$D$126),$D$126,IF(AND($C$127=$BD$122,M89&lt;$AN$127,M124&gt;=$D$126,$BS$130&lt;$D$126),$BS$130,IF(AND($C$127=$BD$122,M89&lt;$AN$127,M124&lt;$D$126,$BS$130&lt;M124),$BS$130,IF(AND($C$127=$BD$122,M89&lt;$AN$127,M124&lt;$D$126,$BS$130&gt;M124),M124,IF(AND($C$127=$BD$122,M89=$AN$127),$AO$127,IF(AND($C$127=$BD$122,M89&gt;$AN$127),0))))))))))))))))))</f>
        <v>0</v>
      </c>
      <c r="N127" s="1368" t="b">
        <f>IF(AND($C$127=$BD$125,N89&lt;$AN$127),$AP$127,IF(AND($C$127=$BD$125,N89=$AN$127),$AO$127,IF(AND($C$127=$BD$125,N89&gt;$AN$127),0,IF($C$127=$BD$124,0,IF(AND($C$127=$BD$123,N89&lt;$AN$127,$BS$131&gt;=(($D$126/100)*N124)),(($D$126/100)*N124),IF(AND($C$127=$BD$123,N89&lt;$AN$127,$BS$131&lt;(($D$126/100)*N124)),$BS$131,IF(AND($C$127=$BD$123,N89=$AN$127),$AO$127,IF(AND($C$127=$BD$123,N89&gt;$AN$127),0,IF(AND($C$127=$BD$121,N89&lt;$AN$127,N124&gt;=$AR$127),$AR$127,IF(AND($C$127=$BD$121,N89&lt;$AN$127,N124&lt;$AR$127),N124,IF(AND($C$127=$BD$121,N89=$AN$127),$AO$127,IF(AND($C$127=$BD$121,N89&gt;$AN$127),0,IF(AND($C$127=$BD$122,N89&lt;$AN$127,N124&gt;=$D$126,$BS$131&gt;=$D$126),$D$126,IF(AND($C$127=$BD$122,N89&lt;$AN$127,N124&gt;=$D$126,$BS$131&lt;$D$126),$BS$131,IF(AND($C$127=$BD$122,N89&lt;$AN$127,N124&lt;$D$126,$BS$131&lt;N124),$BS$131,IF(AND($C$127=$BD$122,N89&lt;$AN$127,N124&lt;$D$126,$BS$131&gt;N124),N124,IF(AND($C$127=$BD$122,N89=$AN$127),$AO$127,IF(AND($C$127=$BD$122,N89&gt;$AN$127),0))))))))))))))))))</f>
        <v>0</v>
      </c>
      <c r="O127" s="1368" t="b">
        <f>IF(AND($C$127=$BD$125,O89&lt;$AN$127),$AP$127,IF(AND($C$127=$BD$125,O89=$AN$127),$AO$127,IF(AND($C$127=$BD$125,O89&gt;$AN$127),0,IF($C$127=$BD$124,0,IF(AND($C$127=$BD$123,O89&lt;$AN$127,$BS$129&gt;=(($D$126/100)*O124)),(($D$126/100)*O124),IF(AND($C$127=$BD$123,O89&lt;$AN$127,$BS$129&lt;(($D$126/100)*O124)),$BS$129,IF(AND($C$127=$BD$123,O89=$AN$127),$AO$127,IF(AND($C$127=$BD$123,O89&gt;$AN$127),0,IF(AND($C$127=$BD$121,O89&lt;$AN$127,O124&gt;=$AR$127),$AR$127,IF(AND($C$127=$BD$121,O89&lt;$AN$127,O124&lt;$AR$127),O124,IF(AND($C$127=$BD$121,O89=$AN$127),$AO$127,IF(AND($C$127=$BD$121,O89&gt;$AN$127),0,IF(AND($C$127=$BD$122,O89&lt;$AN$127,O124&gt;=$D$126,$BS$132&gt;=$D$126),$D$126,IF(AND($C$127=$BD$122,O89&lt;$AN$127,O124&gt;=$D$126,$BS$132&lt;$D$126),$BS$132,IF(AND($C$127=$BD$122,O89&lt;$AN$127,O124&lt;$D$126,$BS$132&lt;O124),$BS$132,IF(AND($C$127=$BD$122,O89&lt;$AN$127,O124&lt;$D$126,$BS$132&gt;O124),O124,IF(AND($C$127=$BD$122,O89=$AN$127),$AO$127,IF(AND($C$127=$BD$122,O89&gt;$AN$127),0))))))))))))))))))</f>
        <v>0</v>
      </c>
      <c r="P127" s="1368" t="b">
        <f>IF(AND($C$127=$BD$125,P89&lt;$AN$127),$AP$127,IF(AND($C$127=$BD$125,P89=$AN$127),$AO$127,IF(AND($C$127=$BD$125,P89&gt;$AN$127),0,IF($C$127=$BD$124,0,IF(AND($C$127=$BD$123,P89&lt;$AN$127,$BS$133&gt;=(($D$126/100)*P124)),(($D$126/100)*P124),IF(AND($C$127=$BD$123,P89&lt;$AN$127,$BS$133&lt;(($D$126/100)*P124)),$BS$133,IF(AND($C$127=$BD$123,P89=$AN$127),$AO$127,IF(AND($C$127=$BD$123,P89&gt;$AN$127),0,IF(AND($C$127=$BD$121,P89&lt;$AN$127,P124&gt;=$AR$127),$AR$127,IF(AND($C$127=$BD$121,P89&lt;$AN$127,P124&lt;$AR$127),P124,IF(AND($C$127=$BD$121,P89=$AN$127),$AO$127,IF(AND($C$127=$BD$121,P89&gt;$AN$127),0,IF(AND($C$127=$BD$122,P89&lt;$AN$127,P124&gt;=$D$126,$BS$133&gt;=$D$126),$D$126,IF(AND($C$127=$BD$122,P89&lt;$AN$127,P124&gt;=$D$126,$BS$133&lt;$D$126),$BS$133,IF(AND($C$127=$BD$122,P89&lt;$AN$127,P124&lt;$D$126,$BS$133&lt;P124),$BS$133,IF(AND($C$127=$BD$122,P89&lt;$AN$127,P124&lt;$D$126,$BS$133&gt;P124),P124,IF(AND($C$127=$BD$122,P89=$AN$127),$AO$127,IF(AND($C$127=$BD$122,P89&gt;$AN$127),0))))))))))))))))))</f>
        <v>0</v>
      </c>
      <c r="Q127" s="1368" t="b">
        <f>IF(AND($C$127=$BD$125,Q89&lt;$AN$127),$AP$127,IF(AND($C$127=$BD$125,Q89=$AN$127),$AO$127,IF(AND($C$127=$BD$125,Q89&gt;$AN$127),0,IF($C$127=$BD$124,0,IF(AND($C$127=$BD$123,Q89&lt;$AN$127,$BS$134&gt;=(($D$126/100)*Q124)),(($D$126/100)*Q124),IF(AND($C$127=$BD$123,Q89&lt;$AN$127,$BS$134&lt;(($D$126/100)*Q124)),$BS$134,IF(AND($C$127=$BD$123,Q89=$AN$127),$AO$127,IF(AND($C$127=$BD$123,Q89&gt;$AN$127),0,IF(AND($C$127=$BD$121,Q89&lt;$AN$127,Q124&gt;=$AR$127),$AR$127,IF(AND($C$127=$BD$121,Q89&lt;$AN$127,Q124&lt;$AR$127),Q124,IF(AND($C$127=$BD$121,Q89=$AN$127),$AO$127,IF(AND($C$127=$BD$121,Q89&gt;$AN$127),0,IF(AND($C$127=$BD$122,Q89&lt;$AN$127,Q124&gt;=$D$126,$BS$134&gt;=$D$126),$D$126,IF(AND($C$127=$BD$122,Q89&lt;$AN$127,Q124&gt;=$D$126,$BS$134&lt;$D$126),$BS$134,IF(AND($C$127=$BD$122,Q89&lt;$AN$127,Q124&lt;$D$126,$BS$134&lt;Q124),$BS$134,IF(AND($C$127=$BD$122,Q89&lt;$AN$127,Q124&lt;$D$126,$BS$134&gt;Q124),Q124,IF(AND($C$127=$BD$122,Q89=$AN$127),$AO$127,IF(AND($C$127=$BD$122,Q89&gt;$AN$127),0))))))))))))))))))</f>
        <v>0</v>
      </c>
      <c r="R127" s="1368" t="b">
        <f>IF(AND($C$127=$BD$125,R89&lt;$AN$127),$AP$127,IF(AND($C$127=$BD$125,R89=$AN$127),$AO$127,IF(AND($C$127=$BD$125,R89&gt;$AN$127),0,IF($C$127=$BD$124,0,IF(AND($C$127=$BD$123,R89&lt;$AN$127,$BS$135&gt;=(($D$126/100)*R124)),(($D$126/100)*R124),IF(AND($C$127=$BD$123,R89&lt;$AN$127,$BS$135&lt;(($D$126/100)*R124)),$BS$135,IF(AND($C$127=$BD$123,R89=$AN$127),$AO$127,IF(AND($C$127=$BD$123,R89&gt;$AN$127),0,IF(AND($C$127=$BD$121,R89&lt;$AN$127,R124&gt;=$AR$127),$AR$127,IF(AND($C$127=$BD$121,R89&lt;$AN$127,R124&lt;$AR$127),R124,IF(AND($C$127=$BD$121,R89=$AN$127),$AO$127,IF(AND($C$127=$BD$121,R89&gt;$AN$127),0,IF(AND($C$127=$BD$122,R89&lt;$AN$127,R124&gt;=$D$126,$BS$135&gt;=$D$126),$D$126,IF(AND($C$127=$BD$122,R89&lt;$AN$127,R124&gt;=$D$126,$BS$135&lt;$D$126),$BS$135,IF(AND($C$127=$BD$122,R89&lt;$AN$127,R124&lt;$D$126,$BS$135&lt;R124),$BS$135,IF(AND($C$127=$BD$122,R89&lt;$AN$127,R124&lt;$D$126,$BS$135&gt;R124),R124,IF(AND($C$127=$BD$122,R89=$AN$127),$AO$127,IF(AND($C$127=$BD$122,R89&gt;$AN$127),0))))))))))))))))))</f>
        <v>0</v>
      </c>
      <c r="S127" s="1368" t="b">
        <f>IF(AND($C$127=$BD$125,S89&lt;$AN$127),$AP$127,IF(AND($C$127=$BD$125,S89=$AN$127),$AO$127,IF(AND($C$127=$BD$125,S89&gt;$AN$127),0,IF($C$127=$BD$124,0,IF(AND($C$127=$BD$123,S89&lt;$AN$127,$BS$136&gt;=(($D$126/100)*S124)),(($D$126/100)*S124),IF(AND($C$127=$BD$123,S89&lt;$AN$127,$BS$136&lt;(($D$126/100)*S124)),$BS$136,IF(AND($C$127=$BD$123,S89=$AN$127),$AO$127,IF(AND($C$127=$BD$123,S89&gt;$AN$127),0,IF(AND($C$127=$BD$121,S89&lt;$AN$127,S124&gt;=$AR$127),$AR$127,IF(AND($C$127=$BD$121,S89&lt;$AN$127,S124&lt;$AR$127),S124,IF(AND($C$127=$BD$121,S89=$AN$127),$AO$127,IF(AND($C$127=$BD$121,S89&gt;$AN$127),0,IF(AND($C$127=$BD$122,S89&lt;$AN$127,S124&gt;=$D$126,$BS$136&gt;=$D$126),$D$126,IF(AND($C$127=$BD$122,S89&lt;$AN$127,S124&gt;=$D$126,$BS$136&lt;$D$126),$BS$136,IF(AND($C$127=$BD$122,S89&lt;$AN$127,S124&lt;$D$126,$BS$136&lt;S124),$BS$136,IF(AND($C$127=$BD$122,S89&lt;$AN$127,S124&lt;$D$126,$BS$136&gt;S124),S124,IF(AND($C$127=$BD$122,S89=$AN$127),$AO$127,IF(AND($C$127=$BD$122,S89&gt;$AN$127),0))))))))))))))))))</f>
        <v>0</v>
      </c>
      <c r="T127" s="1368" t="b">
        <f>IF(AND($C$127=$BD$125,T89&lt;$AN$127),$AP$127,IF(AND($C$127=$BD$125,T89=$AN$127),$AO$127,IF(AND($C$127=$BD$125,T89&gt;$AN$127),0,IF($C$127=$BD$124,0,IF(AND($C$127=$BD$123,T89&lt;$AN$127,$BS$137&gt;=(($D$126/100)*T124)),(($D$126/100)*T124),IF(AND($C$127=$BD$123,T89&lt;$AN$127,$BS$137&lt;(($D$126/100)*T124)),$BS$137,IF(AND($C$127=$BD$123,T89=$AN$127),$AO$127,IF(AND($C$127=$BD$123,T89&gt;$AN$127),0,IF(AND($C$127=$BD$121,T89&lt;$AN$127,T124&gt;=$AR$127),$AR$127,IF(AND($C$127=$BD$121,T89&lt;$AN$127,T124&lt;$AR$127),T124,IF(AND($C$127=$BD$121,T89=$AN$127),$AO$127,IF(AND($C$127=$BD$121,T89&gt;$AN$127),0,IF(AND($C$127=$BD$122,T89&lt;$AN$127,T124&gt;=$D$126,$BS$137&gt;=$D$126),$D$126,IF(AND($C$127=$BD$122,T89&lt;$AN$127,T124&gt;=$D$126,$BS$137&lt;$D$126),$BS$137,IF(AND($C$127=$BD$122,T89&lt;$AN$127,T124&lt;$D$126,$BS$137&lt;T124),$BS$137,IF(AND($C$127=$BD$122,T89&lt;$AN$127,T124&lt;$D$126,$BS$137&gt;T124),T124,IF(AND($C$127=$BD$122,T89=$AN$127),$AO$127,IF(AND($C$127=$BD$122,T89&gt;$AN$127),0))))))))))))))))))</f>
        <v>0</v>
      </c>
      <c r="U127" s="1368" t="b">
        <f>IF(AND($C$127=$BD$125,U89&lt;$AN$127),$AP$127,IF(AND($C$127=$BD$125,U89=$AN$127),$AO$127,IF(AND($C$127=$BD$125,U89&gt;$AN$127),0,IF($C$127=$BD$124,0,IF(AND($C$127=$BD$123,U89&lt;$AN$127,$BS$138&gt;=(($D$126/100)*U124)),(($D$126/100)*U124),IF(AND($C$127=$BD$123,U89&lt;$AN$127,$BS$138&lt;(($D$126/100)*U124)),$BS$138,IF(AND($C$127=$BD$123,U89=$AN$127),$AO$127,IF(AND($C$127=$BD$123,U89&gt;$AN$127),0,IF(AND($C$127=$BD$121,U89&lt;$AN$127,U124&gt;=$AR$127),$AR$127,IF(AND($C$127=$BD$121,U89&lt;$AN$127,U124&lt;$AR$127),U124,IF(AND($C$127=$BD$121,U89=$AN$127),$AO$127,IF(AND($C$127=$BD$121,U89&gt;$AN$127),0,IF(AND($C$127=$BD$122,U89&lt;$AN$127,U124&gt;=$D$126,$BS$138&gt;=$D$126),$D$126,IF(AND($C$127=$BD$122,U89&lt;$AN$127,U124&gt;=$D$126,$BS$138&lt;$D$126),$BS$138,IF(AND($C$127=$BD$122,U89&lt;$AN$127,U124&lt;$D$126,$BS$138&lt;U124),$BS$138,IF(AND($C$127=$BD$122,U89&lt;$AN$127,U124&lt;$D$126,$BS$138&gt;U124),U124,IF(AND($C$127=$BD$122,U89=$AN$127),$AO$127,IF(AND($C$127=$BD$122,U89&gt;$AN$127),0))))))))))))))))))</f>
        <v>0</v>
      </c>
      <c r="V127" s="1368" t="b">
        <f>IF(AND($C$127=$BD$125,V89&lt;$AN$127),$AP$127,IF(AND($C$127=$BD$125,V89=$AN$127),$AO$127,IF(AND($C$127=$BD$125,V89&gt;$AN$127),0,IF($C$127=$BD$124,0,IF(AND($C$127=$BD$123,V89&lt;$AN$127,$BS$139&gt;=(($D$126/100)*V124)),(($D$126/100)*V124),IF(AND($C$127=$BD$123,V89&lt;$AN$127,$BS$139&lt;(($D$126/100)*V124)),$BS$139,IF(AND($C$127=$BD$123,V89=$AN$127),$AO$127,IF(AND($C$127=$BD$123,V89&gt;$AN$127),0,IF(AND($C$127=$BD$121,V89&lt;$AN$127,V124&gt;=$AR$127),$AR$127,IF(AND($C$127=$BD$121,V89&lt;$AN$127,V124&lt;$AR$127),V124,IF(AND($C$127=$BD$121,V89=$AN$127),$AO$127,IF(AND($C$127=$BD$121,V89&gt;$AN$127),0,IF(AND($C$127=$BD$122,V89&lt;$AN$127,V124&gt;=$D$126,$BS$139&gt;=$D$126),$D$126,IF(AND($C$127=$BD$122,V89&lt;$AN$127,V124&gt;=$D$126,$BS$139&lt;$D$126),$BS$139,IF(AND($C$127=$BD$122,V89&lt;$AN$127,V124&lt;$D$126,$BS$139&lt;V124),$BS$139,IF(AND($C$127=$BD$122,V89&lt;$AN$127,V124&lt;$D$126,$BS$139&gt;V124),V124,IF(AND($C$127=$BD$122,V89=$AN$127),$AO$127,IF(AND($C$127=$BD$122,V89&gt;$AN$127),0))))))))))))))))))</f>
        <v>0</v>
      </c>
      <c r="W127" s="1368" t="b">
        <f>IF(AND($C$127=$BD$125,W89&lt;$AN$127),$AP$127,IF(AND($C$127=$BD$125,W89=$AN$127),$AO$127,IF(AND($C$127=$BD$125,W89&gt;$AN$127),0,IF($C$127=$BD$124,0,IF(AND($C$127=$BD$123,W89&lt;$AN$127,$BS$140&gt;=(($D$126/100)*W124)),(($D$126/100)*W124),IF(AND($C$127=$BD$123,W89&lt;$AN$127,$BS$140&lt;(($D$126/100)*W124)),$BS$140,IF(AND($C$127=$BD$123,W89=$AN$127),$AO$127,IF(AND($C$127=$BD$123,W89&gt;$AN$127),0,IF(AND($C$127=$BD$121,W89&lt;$AN$127,W124&gt;=$AR$127),$AR$127,IF(AND($C$127=$BD$121,W89&lt;$AN$127,W124&lt;$AR$127),W124,IF(AND($C$127=$BD$121,W89=$AN$127),$AO$127,IF(AND($C$127=$BD$121,W89&gt;$AN$127),0,IF(AND($C$127=$BD$122,W89&lt;$AN$127,W124&gt;=$D$126,$BS$140&gt;=$D$126),$D$126,IF(AND($C$127=$BD$122,W89&lt;$AN$127,W124&gt;=$D$126,$BS$140&lt;$D$126),$BS$140,IF(AND($C$127=$BD$122,W89&lt;$AN$127,W124&lt;$D$126,$BS$140&lt;W124),$BS$140,IF(AND($C$127=$BD$122,W89&lt;$AN$127,W124&lt;$D$126,$BS$140&gt;W124),W124,IF(AND($C$127=$BD$122,W89=$AN$127),$AO$127,IF(AND($C$127=$BD$122,W89&gt;$AN$127),0))))))))))))))))))</f>
        <v>0</v>
      </c>
      <c r="X127" s="1368" t="b">
        <f>IF(AND($C$127=$BD$125,X89&lt;$AN$127),$AP$127,IF(AND($C$127=$BD$125,X89=$AN$127),$AO$127,IF(AND($C$127=$BD$125,X89&gt;$AN$127),0,IF($C$127=$BD$124,0,IF(AND($C$127=$BD$123,X89&lt;$AN$127,$BS$141&gt;=(($D$126/100)*X124)),(($D$126/100)*X124),IF(AND($C$127=$BD$123,X89&lt;$AN$127,$BS$141&lt;(($D$126/100)*X124)),$BS$141,IF(AND($C$127=$BD$123,X89=$AN$127),$AO$127,IF(AND($C$127=$BD$123,X89&gt;$AN$127),0,IF(AND($C$127=$BD$121,X89&lt;$AN$127,X124&gt;=$AR$127),$AR$127,IF(AND($C$127=$BD$121,X89&lt;$AN$127,X124&lt;$AR$127),X124,IF(AND($C$127=$BD$121,X89=$AN$127),$AO$127,IF(AND($C$127=$BD$121,X89&gt;$AN$127),0,IF(AND($C$127=$BD$122,X89&lt;$AN$127,X124&gt;=$D$126,$BS$141&gt;=$D$126),$D$126,IF(AND($C$127=$BD$122,X89&lt;$AN$127,X124&gt;=$D$126,$BS$141&lt;$D$126),$BS$141,IF(AND($C$127=$BD$122,X89&lt;$AN$127,X124&lt;$D$126,$BS$141&lt;X124),$BS$141,IF(AND($C$127=$BD$122,X89&lt;$AN$127,X124&lt;$D$126,$BS$141&gt;X124),X124,IF(AND($C$127=$BD$122,X89=$AN$127),$AO$127,IF(AND($C$127=$BD$122,X89&gt;$AN$127),0))))))))))))))))))</f>
        <v>0</v>
      </c>
      <c r="Y127" s="1368" t="b">
        <f>IF(AND($C$127=$BD$125,Y89&lt;$AN$127),$AP$127,IF(AND($C$127=$BD$125,Y89=$AN$127),$AO$127,IF(AND($C$127=$BD$125,Y89&gt;$AN$127),0,IF($C$127=$BD$124,0,IF(AND($C$127=$BD$123,Y89&lt;$AN$127,$BS$142&gt;=(($D$126/100)*Y124)),(($D$126/100)*Y124),IF(AND($C$127=$BD$123,Y89&lt;$AN$127,$BS$142&lt;(($D$126/100)*Y124)),$BS$142,IF(AND($C$127=$BD$123,Y89=$AN$127),$AO$127,IF(AND($C$127=$BD$123,Y89&gt;$AN$127),0,IF(AND($C$127=$BD$121,Y89&lt;$AN$127,Y124&gt;=$AR$127),$AR$127,IF(AND($C$127=$BD$121,Y89&lt;$AN$127,Y124&lt;$AR$127),Y124,IF(AND($C$127=$BD$121,Y89=$AN$127),$AO$127,IF(AND($C$127=$BD$121,Y89&gt;$AN$127),0,IF(AND($C$127=$BD$122,Y89&lt;$AN$127,Y124&gt;=$D$126,$BS$142&gt;=$D$126),$D$126,IF(AND($C$127=$BD$122,Y89&lt;$AN$127,Y124&gt;=$D$126,$BS$142&lt;$D$126),$BS$142,IF(AND($C$127=$BD$122,Y89&lt;$AN$127,Y124&lt;$D$126,$BS$142&lt;Y124),$BS$142,IF(AND($C$127=$BD$122,Y89&lt;$AN$127,Y124&lt;$D$126,$BS$142&gt;Y124),Y124,IF(AND($C$127=$BD$122,Y89=$AN$127),$AO$127,IF(AND($C$127=$BD$122,Y89&gt;$AN$127),0))))))))))))))))))</f>
        <v>0</v>
      </c>
      <c r="Z127" s="1368" t="b">
        <f>IF(AND($C$127=$BD$125,Z89&lt;$AN$127),$AP$127,IF(AND($C$127=$BD$125,Z89=$AN$127),$AO$127,IF(AND($C$127=$BD$125,Z89&gt;$AN$127),0,IF($C$127=$BD$124,0,IF(AND($C$127=$BD$123,Z89&lt;$AN$127,$BS$143&gt;=(($D$126/100)*Z124)),(($D$126/100)*Z124),IF(AND($C$127=$BD$123,Z89&lt;$AN$127,$BS$143&lt;(($D$126/100)*Z124)),$BS$143,IF(AND($C$127=$BD$123,Z89=$AN$127),$AO$127,IF(AND($C$127=$BD$123,Z89&gt;$AN$127),0,IF(AND($C$127=$BD$121,Z89&lt;$AN$127,Z124&gt;=$AR$127),$AR$127,IF(AND($C$127=$BD$121,Z89&lt;$AN$127,Z124&lt;$AR$127),Z124,IF(AND($C$127=$BD$121,Z89=$AN$127),$AO$127,IF(AND($C$127=$BD$121,Z89&gt;$AN$127),0,IF(AND($C$127=$BD$122,Z89&lt;$AN$127,Z124&gt;=$D$126,$BS$143&gt;=$D$126),$D$126,IF(AND($C$127=$BD$122,Z89&lt;$AN$127,Z124&gt;=$D$126,$BS$143&lt;$D$126),$BS$143,IF(AND($C$127=$BD$122,Z89&lt;$AN$127,Z124&lt;$D$126,$BS$143&lt;Z124),$BS$143,IF(AND($C$127=$BD$122,Z89&lt;$AN$127,Z124&lt;$D$126,$BS$143&gt;Z124),Z124,IF(AND($C$127=$BD$122,Z89=$AN$127),$AO$127,IF(AND($C$127=$BD$122,Z89&gt;$AN$127),0))))))))))))))))))</f>
        <v>0</v>
      </c>
      <c r="AA127" s="1368" t="b">
        <f>IF(AND($C$127=$BD$125,AA89&lt;$AN$127),$AP$127,IF(AND($C$127=$BD$125,AA89=$AN$127),$AO$127,IF(AND($C$127=$BD$125,AA89&gt;$AN$127),0,IF($C$127=$BD$124,0,IF(AND($C$127=$BD$123,AA89&lt;$AN$127,$BS$144&gt;=(($D$126/100)*AA124)),(($D$126/100)*AA124),IF(AND($C$127=$BD$123,AA89&lt;$AN$127,$BS$144&lt;(($D$126/100)*AA124)),$BS$144,IF(AND($C$127=$BD$123,AA89=$AN$127),$AO$127,IF(AND($C$127=$BD$123,AA89&gt;$AN$127),0,IF(AND($C$127=$BD$121,AA89&lt;$AN$127,AA124&gt;=$AR$127),$AR$127,IF(AND($C$127=$BD$121,AA89&lt;$AN$127,AA124&lt;$AR$127),AA124,IF(AND($C$127=$BD$121,AA89=$AN$127),$AO$127,IF(AND($C$127=$BD$121,AA89&gt;$AN$127),0,IF(AND($C$127=$BD$122,AA89&lt;$AN$127,AA124&gt;=$D$126,$BS$144&gt;=$D$126),$D$126,IF(AND($C$127=$BD$122,AA89&lt;$AN$127,AA124&gt;=$D$126,$BS$144&lt;$D$126),$BS$144,IF(AND($C$127=$BD$122,AA89&lt;$AN$127,AA124&lt;$D$126,$BS$144&lt;AA124),$BS$144,IF(AND($C$127=$BD$122,AA89&lt;$AN$127,AA124&lt;$D$126,$BS$144&gt;AA124),AA124,IF(AND($C$127=$BD$122,AA89=$AN$127),$AO$127,IF(AND($C$127=$BD$122,AA89&gt;$AN$127),0))))))))))))))))))</f>
        <v>0</v>
      </c>
      <c r="AB127" s="1368" t="b">
        <f>IF(AND($C$127=$BD$125,AB89&lt;$AN$127),$AP$127,IF(AND($C$127=$BD$125,AB89=$AN$127),$AO$127,IF(AND($C$127=$BD$125,AB89&gt;$AN$127),0,IF($C$127=$BD$124,0,IF(AND($C$127=$BD$123,AB89&lt;$AN$127,$BS$145&gt;=(($D$126/100)*AB124)),(($D$126/100)*AB124),IF(AND($C$127=$BD$123,AB89&lt;$AN$127,$BS$145&lt;(($D$126/100)*AB124)),$BS$145,IF(AND($C$127=$BD$123,AB89=$AN$127),$AO$127,IF(AND($C$127=$BD$123,AB89&gt;$AN$127),0,IF(AND($C$127=$BD$121,AB89&lt;$AN$127,AB124&gt;=$AR$127),$AR$127,IF(AND($C$127=$BD$121,AB89&lt;$AN$127,AB124&lt;$AR$127),AB124,IF(AND($C$127=$BD$121,AB89=$AN$127),$AO$127,IF(AND($C$127=$BD$121,AB89&gt;$AN$127),0,IF(AND($C$127=$BD$122,AB89&lt;$AN$127,AB124&gt;=$D$126,$BS$145&gt;=$D$126),$D$126,IF(AND($C$127=$BD$122,AB89&lt;$AN$127,AB124&gt;=$D$126,$BS$145&lt;$D$126),$BS$145,IF(AND($C$127=$BD$122,AB89&lt;$AN$127,AB124&lt;$D$126,$BS$145&lt;AB124),$BS$145,IF(AND($C$127=$BD$122,AB89&lt;$AN$127,AB124&lt;$D$126,$BS$145&gt;AB124),AB124,IF(AND($C$127=$BD$122,AB89=$AN$127),$AO$127,IF(AND($C$127=$BD$122,AB89&gt;$AN$127),0))))))))))))))))))</f>
        <v>0</v>
      </c>
      <c r="AC127" s="1368" t="b">
        <f>IF(AND($C$127=$BD$125,AC89&lt;$AN$127),$AP$127,IF(AND($C$127=$BD$125,AC89=$AN$127),$AO$127,IF(AND($C$127=$BD$125,AC89&gt;$AN$127),0,IF($C$127=$BD$124,0,IF(AND($C$127=$BD$123,AC89&lt;$AN$127,$BS$146&gt;=(($D$126/100)*AC124)),(($D$126/100)*AC124),IF(AND($C$127=$BD$123,AC89&lt;$AN$127,$BS$146&lt;(($D$126/100)*AC124)),$BS$146,IF(AND($C$127=$BD$123,AC89=$AN$127),$AO$127,IF(AND($C$127=$BD$123,AC89&gt;$AN$127),0,IF(AND($C$127=$BD$121,AC89&lt;$AN$127,AC124&gt;=$AR$127),$AR$127,IF(AND($C$127=$BD$121,AC89&lt;$AN$127,AC124&lt;$AR$127),AC124,IF(AND($C$127=$BD$121,AC89=$AN$127),$AO$127,IF(AND($C$127=$BD$121,AC89&gt;$AN$127),0,IF(AND($C$127=$BD$122,AC89&lt;$AN$127,AC124&gt;=$D$126,$BS$146&gt;=$D$126),$D$126,IF(AND($C$127=$BD$122,AC89&lt;$AN$127,AC124&gt;=$D$126,$BS$146&lt;$D$126),$BS$146,IF(AND($C$127=$BD$122,AC89&lt;$AN$127,AC124&lt;$D$126,$BS$146&lt;AC124),$BS$146,IF(AND($C$127=$BD$122,AC89&lt;$AN$127,AC124&lt;$D$126,$BS$146&gt;AC124),AC124,IF(AND($C$127=$BD$122,AC89=$AN$127),$AO$127,IF(AND($C$127=$BD$122,AC89&gt;$AN$127),0))))))))))))))))))</f>
        <v>0</v>
      </c>
      <c r="AD127" s="1368" t="b">
        <f>IF(AND($C$127=$BD$125,AD89&lt;$AN$127),$AP$127,IF(AND($C$127=$BD$125,AD89=$AN$127),$AO$127,IF(AND($C$127=$BD$125,AD89&gt;$AN$127),0,IF($C$127=$BD$124,0,IF(AND($C$127=$BD$123,AD89&lt;$AN$127,$BS$147&gt;=(($D$126/100)*AD124)),(($D$126/100)*AD124),IF(AND($C$127=$BD$123,AD89&lt;$AN$127,$BS$147&lt;(($D$126/100)*AD124)),$BS$147,IF(AND($C$127=$BD$123,AD89=$AN$127),$AO$127,IF(AND($C$127=$BD$123,AD89&gt;$AN$127),0,IF(AND($C$127=$BD$121,AD89&lt;$AN$127,AD124&gt;=$AR$127),$AR$127,IF(AND($C$127=$BD$121,AD89&lt;$AN$127,AD124&lt;$AR$127),AD124,IF(AND($C$127=$BD$121,AD89=$AN$127),$AO$127,IF(AND($C$127=$BD$121,AD89&gt;$AN$127),0,IF(AND($C$127=$BD$122,AD89&lt;$AN$127,AD124&gt;=$D$126,$BS$147&gt;=$D$126),$D$126,IF(AND($C$127=$BD$122,AD89&lt;$AN$127,AD124&gt;=$D$126,$BS$147&lt;$D$126),$BS$147,IF(AND($C$127=$BD$122,AD89&lt;$AN$127,AD124&lt;$D$126,$BS$147&lt;AD124),$BS$147,IF(AND($C$127=$BD$122,AD89&lt;$AN$127,AD124&lt;$D$126,$BS$147&gt;AD124),AD124,IF(AND($C$127=$BD$122,AD89=$AN$127),$AO$127,IF(AND($C$127=$BD$122,AD89&gt;$AN$127),0))))))))))))))))))</f>
        <v>0</v>
      </c>
      <c r="AE127" s="1368" t="b">
        <f>IF(AND($C$127=$BD$125,AE89&lt;$AN$127),$AP$127,IF(AND($C$127=$BD$125,AE89=$AN$127),$AO$127,IF(AND($C$127=$BD$125,AE89&gt;$AN$127),0,IF($C$127=$BD$124,0,IF(AND($C$127=$BD$123,AE89&lt;$AN$127,$BS$148&gt;=(($D$126/100)*AE124)),(($D$126/100)*AE124),IF(AND($C$127=$BD$123,AE89&lt;$AN$127,$BS$148&lt;(($D$126/100)*AE124)),$BS$148,IF(AND($C$127=$BD$123,AE89=$AN$127),$AO$127,IF(AND($C$127=$BD$123,AE89&gt;$AN$127),0,IF(AND($C$127=$BD$121,AE89&lt;$AN$127,AE124&gt;=$AR$127),$AR$127,IF(AND($C$127=$BD$121,AE89&lt;$AN$127,AE124&lt;$AR$127),AE124,IF(AND($C$127=$BD$121,AE89=$AN$127),$AO$127,IF(AND($C$127=$BD$121,AE89&gt;$AN$127),0,IF(AND($C$127=$BD$122,AE89&lt;$AN$127,AE124&gt;=$D$126,$BS$148&gt;=$D$126),$D$126,IF(AND($C$127=$BD$122,AE89&lt;$AN$127,AE124&gt;=$D$126,$BS$148&lt;$D$126),$BS$148,IF(AND($C$127=$BD$122,AE89&lt;$AN$127,AE124&lt;$D$126,$BS$148&lt;AE124),$BS$148,IF(AND($C$127=$BD$122,AE89&lt;$AN$127,AE124&lt;$D$126,$BS$148&gt;AE124),AE124,IF(AND($C$127=$BD$122,AE89=$AN$127),$AO$127,IF(AND($C$127=$BD$122,AE89&gt;$AN$127),0))))))))))))))))))</f>
        <v>0</v>
      </c>
      <c r="AF127" s="1368" t="b">
        <f>IF(AND($C$127=$BD$125,AF89&lt;$AN$127),$AP$127,IF(AND($C$127=$BD$125,AF89=$AN$127),$AO$127,IF(AND($C$127=$BD$125,AF89&gt;$AN$127),0,IF($C$127=$BD$124,0,IF(AND($C$127=$BD$123,AF89&lt;$AN$127,$BS$149&gt;=(($D$126/100)*AF124)),(($D$126/100)*AF124),IF(AND($C$127=$BD$123,AF89&lt;$AN$127,$BS$149&lt;(($D$126/100)*AF124)),$BS$149,IF(AND($C$127=$BD$123,AF89=$AN$127),$AO$127,IF(AND($C$127=$BD$123,AF89&gt;$AN$127),0,IF(AND($C$127=$BD$121,AF89&lt;$AN$127,AF124&gt;=$AR$127),$AR$127,IF(AND($C$127=$BD$121,AF89&lt;$AN$127,AF124&lt;$AR$127),AF124,IF(AND($C$127=$BD$121,AF89=$AN$127),$AO$127,IF(AND($C$127=$BD$121,AF89&gt;$AN$127),0,IF(AND($C$127=$BD$122,AF89&lt;$AN$127,AF124&gt;=$D$126,$BS$149&gt;=$D$126),$D$126,IF(AND($C$127=$BD$122,AF89&lt;$AN$127,AF124&gt;=$D$126,$BS$149&lt;$D$126),$BS$149,IF(AND($C$127=$BD$122,AF89&lt;$AN$127,AF124&lt;$D$126,$BS$149&lt;AF124),$BS$149,IF(AND($C$127=$BD$122,AF89&lt;$AN$127,AF124&lt;$D$126,$BS$149&gt;AF124),AF124,IF(AND($C$127=$BD$122,AF89=$AN$127),$AO$127,IF(AND($C$127=$BD$122,AF89&gt;$AN$127),0))))))))))))))))))</f>
        <v>0</v>
      </c>
      <c r="AG127" s="1368" t="b">
        <f>IF(AND($C$127=$BD$125,AG89&lt;$AN$127),$AP$127,IF(AND($C$127=$BD$125,AG89=$AN$127),$AO$127,IF(AND($C$127=$BD$125,AG89&gt;$AN$127),0,IF($C$127=$BD$124,0,IF(AND($C$127=$BD$123,AG89&lt;$AN$127,$BS$150&gt;=(($D$126/100)*AG124)),(($D$126/100)*AG124),IF(AND($C$127=$BD$123,AG89&lt;$AN$127,$BS$150&lt;(($D$126/100)*AG124)),$BS$150,IF(AND($C$127=$BD$123,AG89=$AN$127),$AO$127,IF(AND($C$127=$BD$123,AG89&gt;$AN$127),0,IF(AND($C$127=$BD$121,AG89&lt;$AN$127,AG124&gt;=$AR$127),$AR$127,IF(AND($C$127=$BD$121,AG89&lt;$AN$127,AG124&lt;$AR$127),AG124,IF(AND($C$127=$BD$121,AG89=$AN$127),$AO$127,IF(AND($C$127=$BD$121,AG89&gt;$AN$127),0,IF(AND($C$127=$BD$122,AG89&lt;$AN$127,AG124&gt;=$D$126,$BS$150&gt;=$D$126),$D$126,IF(AND($C$127=$BD$122,AG89&lt;$AN$127,AG124&gt;=$D$126,$BS$150&lt;$D$126),$BS$150,IF(AND($C$127=$BD$122,AG89&lt;$AN$127,AG124&lt;$D$126,$BS$150&lt;AG124),$BS$150,IF(AND($C$127=$BD$122,AG89&lt;$AN$127,AG124&lt;$D$126,$BS$150&gt;AG124),AG124,IF(AND($C$127=$BD$122,AG89=$AN$127),$AO$127,IF(AND($C$127=$BD$122,AG89&gt;$AN$127),0))))))))))))))))))</f>
        <v>0</v>
      </c>
      <c r="AH127" s="1368" t="b">
        <f>IF(AND($C$127=$BD$125,AH89&lt;$AN$127),$AP$127,IF(AND($C$127=$BD$125,AH89=$AN$127),$AO$127,IF(AND($C$127=$BD$125,AH89&gt;$AN$127),0,IF($C$127=$BD$124,0,IF(AND($C$127=$BD$123,AH89&lt;$AN$127,$BS$151&gt;=(($D$126/100)*AH124)),(($D$126/100)*AH124),IF(AND($C$127=$BD$123,AH89&lt;$AN$127,$BS$151&lt;(($D$126/100)*AH124)),$BS$151,IF(AND($C$127=$BD$123,AH89=$AN$127),$AO$127,IF(AND($C$127=$BD$123,AH89&gt;$AN$127),0,IF(AND($C$127=$BD$121,AH89&lt;$AN$127,AH124&gt;=$AR$127),$AR$127,IF(AND($C$127=$BD$121,AH89&lt;$AN$127,AH124&lt;$AR$127),AH124,IF(AND($C$127=$BD$121,AH89=$AN$127),$AO$127,IF(AND($C$127=$BD$121,AH89&gt;$AN$127),0,IF(AND($C$127=$BD$122,AH89&lt;$AN$127,AH124&gt;=$D$126,$BS$151&gt;=$D$126),$D$126,IF(AND($C$127=$BD$122,AH89&lt;$AN$127,AH124&gt;=$D$126,$BS$151&lt;$D$126),$BS$151,IF(AND($C$127=$BD$122,AH89&lt;$AN$127,AH124&lt;$D$126,$BS$151&lt;AH124),$BS$151,IF(AND($C$127=$BD$122,AH89&lt;$AN$127,AH124&lt;$D$126,$BS$151&gt;AH124),AH124,IF(AND($C$127=$BD$122,AH89=$AN$127),$AO$127,IF(AND($C$127=$BD$122,AH89&gt;$AN$127),0))))))))))))))))))</f>
        <v>0</v>
      </c>
      <c r="AI127" s="1368" t="b">
        <f>IF(AND($C$127=$BD$125,AI89&lt;$AN$127),$AP$127,IF(AND($C$127=$BD$125,AI89=$AN$127),$AO$127,IF(AND($C$127=$BD$125,AI89&gt;$AN$127),0,IF($C$127=$BD$124,0,IF(AND($C$127=$BD$123,AI89&lt;$AN$127,$BS$152&gt;=(($D$126/100)*AI124)),(($D$126/100)*AI124),IF(AND($C$127=$BD$123,AI89&lt;$AN$127,$BS$152&lt;(($D$126/100)*AI124)),$BS$152,IF(AND($C$127=$BD$123,AI89=$AN$127),$AO$127,IF(AND($C$127=$BD$123,AI89&gt;$AN$127),0,IF(AND($C$127=$BD$121,AI89&lt;$AN$127,AI124&gt;=$AR$127),$AR$127,IF(AND($C$127=$BD$121,AI89&lt;$AN$127,AI124&lt;$AR$127),AI124,IF(AND($C$127=$BD$121,AI89=$AN$127),$AO$127,IF(AND($C$127=$BD$121,AI89&gt;$AN$127),0,IF(AND($C$127=$BD$122,AI89&lt;$AN$127,AI124&gt;=$D$126,$BS$152&gt;=$D$126),$D$126,IF(AND($C$127=$BD$122,AI89&lt;$AN$127,AI124&gt;=$D$126,$BS$152&lt;$D$126),$BS$152,IF(AND($C$127=$BD$122,AI89&lt;$AN$127,AI124&lt;$D$126,$BS$152&lt;AI124),$BS$152,IF(AND($C$127=$BD$122,AI89&lt;$AN$127,AI124&lt;$D$126,$BS$152&gt;AI124),AI124,IF(AND($C$127=$BD$122,AI89=$AN$127),$AO$127,IF(AND($C$127=$BD$122,AI89&gt;$AN$127),0))))))))))))))))))</f>
        <v>0</v>
      </c>
      <c r="AJ127" s="1368" t="b">
        <f>IF(AND($C$127=$BD$125,AJ89&lt;$AN$127),$AP$127,IF(AND($C$127=$BD$125,AJ89=$AN$127),$AO$127,IF(AND($C$127=$BD$125,AJ89&gt;$AN$127),0,IF($C$127=$BD$124,0,IF(AND($C$127=$BD$123,AJ89&lt;$AN$127,$BS$153&gt;=(($D$126/100)*AJ124)),(($D$126/100)*AJ124),IF(AND($C$127=$BD$123,AJ89&lt;$AN$127,$BS$153&lt;(($D$126/100)*AJ124)),$BS$153,IF(AND($C$127=$BD$123,AJ89=$AN$127),$AO$127,IF(AND($C$127=$BD$123,AJ89&gt;$AN$127),0,IF(AND($C$127=$BD$121,AJ89&lt;$AN$127,AJ124&gt;=$AR$127),$AR$127,IF(AND($C$127=$BD$121,AJ89&lt;$AN$127,AJ124&lt;$AR$127),AJ124,IF(AND($C$127=$BD$121,AJ89=$AN$127),$AO$127,IF(AND($C$127=$BD$121,AJ89&gt;$AN$127),0,IF(AND($C$127=$BD$122,AJ89&lt;$AN$127,AJ124&gt;=$D$126,$BS$153&gt;=$D$126),$D$126,IF(AND($C$127=$BD$122,AJ89&lt;$AN$127,AJ124&gt;=$D$126,$BS$153&lt;$D$126),$BS$153,IF(AND($C$127=$BD$122,AJ89&lt;$AN$127,AJ124&lt;$D$126,$BS$153&lt;AJ124),$BS$153,IF(AND($C$127=$BD$122,AJ89&lt;$AN$127,AJ124&lt;$D$126,$BS$153&gt;AJ124),AJ124,IF(AND($C$127=$BD$122,AJ89=$AN$127),$AO$127,IF(AND($C$127=$BD$122,AJ89&gt;$AN$127),0))))))))))))))))))</f>
        <v>0</v>
      </c>
      <c r="AK127" s="1368" t="b">
        <f>IF(AND($C$127=$BD$125,AK89&lt;$AN$127),$AP$127,IF(AND($C$127=$BD$125,AK89=$AN$127),$AO$127,IF(AND($C$127=$BD$125,AK89&gt;$AN$127),0,IF($C$127=$BD$124,0,IF(AND($C$127=$BD$123,AK89&lt;$AN$127,$BS$155&gt;=(($D$126/100)*AK124)),(($D$126/100)*AK124),IF(AND($C$127=$BD$123,AK89&lt;$AN$127,$BS$155&lt;(($D$126/100)*AK124)),$BS$155,IF(AND($C$127=$BD$123,AK89=$AN$127),$AO$127,IF(AND($C$127=$BD$123,AK89&gt;$AN$127),0,IF(AND($C$127=$BD$121,AK89&lt;$AN$127,AK124&gt;=$AR$127),$AR$127,IF(AND($C$127=$BD$121,AK89&lt;$AN$127,AK124&lt;$AR$127),AK124,IF(AND($C$127=$BD$121,AK89=$AN$127),$AO$127,IF(AND($C$127=$BD$121,AK89&gt;$AN$127),0,IF(AND($C$127=$BD$122,AK89&lt;$AN$127,AK124&gt;=$D$126,$BS$155&gt;=$D$126),$D$126,IF(AND($C$127=$BD$122,AK89&lt;$AN$127,AK124&gt;=$D$126,$BS$155&lt;$D$126),$BS$155,IF(AND($C$127=$BD$122,AK89&lt;$AN$127,AK124&lt;$D$126,$BS$155&lt;AK124),$BS$155,IF(AND($C$127=$BD$122,AK89&lt;$AN$127,AK124&lt;$D$126,$BS$155&gt;AK124),AK124,IF(AND($C$127=$BD$122,AK89=$AN$127),$AO$127,IF(AND($C$127=$BD$122,AK89&gt;$AN$127),0))))))))))))))))))</f>
        <v>0</v>
      </c>
      <c r="AL127" s="1368" t="e">
        <f>IF(AND($C$127=$BD$125,AL89&lt;$AN$127),$AP$127,IF(AND($C$127=$BD$125,AL89=$AN$127),$AO$127,IF(AND($C$127=$BD$125,AL89&gt;$AN$127),0,IF($C$127=$BD$124,_xlfn.CONCAT("P/I Remaining:
 $",AO133),IF(AND($C$127=$BD$123,AL89&lt;$AN$127,#REF!&gt;=(($D$126/100)*AL124)),(($D$126/100)*AL124),IF(AND($C$127=$BD$123,AL89&lt;$AN$127,#REF!&lt;(($D$126/100)*AL124)),#REF!,IF(AND($C$127=$BD$123,AL89=$AN$127),$AO$127,IF(AND($C$127=$BD$123,AL89&gt;$AN$127),0,IF(AND($C$127=$BD$121,AL89&lt;$AN$127,AL124&gt;=$AR$127),$AR$127,IF(AND($C$127=$BD$121,AL89&lt;$AN$127,AL124&lt;$AR$127),AL124,IF(AND($C$127=$BD$121,AL89=$AN$127),$AO$127,IF(AND($C$127=$BD$121,AL89&gt;$AN$127),0,IF(AND($C$127=$BD$122,AL89&lt;$AN$127,AL124&gt;=$D$126,#REF!&gt;=$D$126),$D$126,IF(AND($C$127=$BD$122,AL89&lt;$AN$127,AL124&gt;=$D$126,#REF!&lt;$D$126),#REF!,IF(AND($C$127=$BD$122,AL89&lt;$AN$127,AL124&lt;$D$126,#REF!&lt;AL124),#REF!,IF(AND($C$127=$BD$122,AL89&lt;$AN$127,AL124&lt;$D$126,#REF!&gt;AL124),AL124,IF(AND($C$127=$BD$122,AL89=$AN$127),$AO$127,IF(AND($C$127=$BD$122,AL89&gt;$AN$127),0))))))))))))))))))</f>
        <v>#REF!</v>
      </c>
      <c r="AM127" s="1034"/>
      <c r="AN127" s="1652">
        <f>_xlfn.XLOOKUP(C126,'12. Funding Sources'!$C$11:$C$23,'12. Funding Sources'!$L$11:$L$23,36)</f>
        <v>36</v>
      </c>
      <c r="AO127" s="1653" t="e">
        <f>#REF!*(1+AQ127)</f>
        <v>#REF!</v>
      </c>
      <c r="AP127" s="1653">
        <f>_xlfn.XLOOKUP(C126,'12. Funding Sources'!$C$11:$C$20,'17. Cash Flow and Reserves'!$BF$121:$BF$130,0)</f>
        <v>0</v>
      </c>
      <c r="AQ127" s="1654">
        <f>_xlfn.XLOOKUP(C126,'12. Funding Sources'!$C$11:$C$20,'12. Funding Sources'!$K$11:$K$20,0)</f>
        <v>0</v>
      </c>
      <c r="AR127" s="1653">
        <f>(IF(D124&gt;=_xlfn.XLOOKUP(C126,'12. Funding Sources'!$C$11:$C$23,'17. Cash Flow and Reserves'!$AT$121:$AT$133,0),_xlfn.XLOOKUP(C126,'12. Funding Sources'!$C$11:$C$23,'17. Cash Flow and Reserves'!$AT$121:$AT$133,0),D124))</f>
        <v>0</v>
      </c>
      <c r="AS127" s="1649" t="str">
        <f>_xlfn.CONCAT("Proposed Annual Debt Service - ",Source_7)</f>
        <v>Proposed Annual Debt Service - HOME Loan</v>
      </c>
      <c r="AT127" s="1650" t="e">
        <f>-PMT(Rate_7,Term_7,Amount_7)</f>
        <v>#NUM!</v>
      </c>
      <c r="AU127" s="1649">
        <f>IF(Annual_DSC_7&gt;0,AV126+1,0)</f>
        <v>0</v>
      </c>
      <c r="AV127" s="1649">
        <f>MAX(AU121:AU127)</f>
        <v>0</v>
      </c>
      <c r="AW127" s="1651">
        <v>7</v>
      </c>
      <c r="AX127" s="115">
        <f>IF(OR('12. Funding Sources'!J17='12. Funding Sources'!$R$12,'12. Funding Sources'!J17='12. Funding Sources'!$R$13),AY126+1,0)</f>
        <v>0</v>
      </c>
      <c r="AY127" s="1649">
        <f>IF(MAX($AX$121:AX127)=0,AY126,MAX($AX$121:AX127))</f>
        <v>10</v>
      </c>
      <c r="AZ127" s="1649">
        <v>17</v>
      </c>
      <c r="BA127" s="9" t="str">
        <f>_xlfn.XLOOKUP(AZ127,$AX$121:$AX$133,'12. Funding Sources'!$C$11:$C$23,"")</f>
        <v/>
      </c>
      <c r="BB127" s="1322"/>
      <c r="BC127" s="1322"/>
      <c r="BF127" s="579" t="e">
        <f>-IPMT(Rate_7,1,Term_7,Amount_7)</f>
        <v>#NUM!</v>
      </c>
      <c r="BH127" s="9">
        <v>7</v>
      </c>
      <c r="BI127" s="1323">
        <f>IF(AND($AN$122&gt;BH127,$C$122=$BD$121),(J$122),IF(AND($AN$122&gt;BH127,$C$122=$BD$122),(J$122),IF(AND($AN$122&gt;BH127,$C$122=$BD$123),(J$122),IF(AND($AN$122&gt;BH127,$C$122=$BD$124),(J$121),IF(AND($AN$122&gt;BH127,$C$122=$BD$125),(J$122),0)))))</f>
        <v>0</v>
      </c>
      <c r="BJ127" s="1323">
        <v>0</v>
      </c>
      <c r="BK127" s="1323">
        <v>0</v>
      </c>
      <c r="BL127" s="1323">
        <f t="shared" si="305"/>
        <v>0</v>
      </c>
      <c r="BM127" s="1320">
        <f t="shared" si="306"/>
        <v>0</v>
      </c>
      <c r="BN127" s="9">
        <v>7</v>
      </c>
      <c r="BO127" s="1323">
        <f>IF(AND($AN$127&gt;BN127,$C$127=$BD$121),(J$127),IF(AND($AN$127&gt;BN127,$C$127=$BD$122),(J$127),IF(AND($AN$127&gt;BN127,$C$127=$BD$123),(J$127),IF(AND($AN$127&gt;BN127,$C$127=$BD$124),(J$126),IF(AND($AN$127&gt;BN127,$C$127=$BD$125),(J$127),0)))))</f>
        <v>0</v>
      </c>
      <c r="BP127" s="1323">
        <v>0</v>
      </c>
      <c r="BQ127" s="1323">
        <v>0</v>
      </c>
      <c r="BR127" s="1323">
        <f t="shared" si="301"/>
        <v>0</v>
      </c>
      <c r="BS127" s="1324">
        <f t="shared" si="309"/>
        <v>0</v>
      </c>
      <c r="BT127" s="9">
        <v>7</v>
      </c>
      <c r="BU127" s="1323">
        <f>IF(AND($AN$132&gt;BT127,$C$132=$BD$121),(J$132),IF(AND($AN$132&gt;BT127,$C$132=$BD$122),(J$132),IF(AND($AN$132&gt;BT127,$C$132=$BD$123),(J$132),IF(AND($AN$132&gt;BT127,$C$132=$BD$124),(J$131),IF(AND($AN$132&gt;BT127,$C$132=$BD$125),(J$132),0)))))</f>
        <v>0</v>
      </c>
      <c r="BV127" s="1323">
        <v>0</v>
      </c>
      <c r="BW127" s="1323">
        <v>0</v>
      </c>
      <c r="BX127" s="1323">
        <f t="shared" si="302"/>
        <v>0</v>
      </c>
      <c r="BY127" s="1324">
        <f t="shared" si="303"/>
        <v>0</v>
      </c>
      <c r="CA127" s="9"/>
      <c r="CB127" s="9"/>
      <c r="CC127" s="9"/>
      <c r="CD127" s="9"/>
    </row>
    <row r="128" spans="2:82">
      <c r="B128" s="1411"/>
      <c r="C128" s="1357" t="s">
        <v>4753</v>
      </c>
      <c r="D128" s="1369">
        <f t="shared" ref="D128:AL128" si="310">IFERROR(IF($C$127=$BD$124,(D$86/(D$90+D$96+D$100+D$104+D$108+D$112+D$116+SUM(D121:D122)+D$126)),IF(OR($C$127=$BD$121,$C$127=$BD$122,$C$127=$BD$123,$C$127=$BD$125),(D$86/(D$90+D$96+D$100+D$104+D$108+D$112+D$116+D$127)),D123)),D123)</f>
        <v>0</v>
      </c>
      <c r="E128" s="1369">
        <f t="shared" si="310"/>
        <v>0</v>
      </c>
      <c r="F128" s="1369">
        <f t="shared" si="310"/>
        <v>0</v>
      </c>
      <c r="G128" s="1369">
        <f t="shared" si="310"/>
        <v>0</v>
      </c>
      <c r="H128" s="1369">
        <f t="shared" si="310"/>
        <v>0</v>
      </c>
      <c r="I128" s="1369">
        <f t="shared" si="310"/>
        <v>0</v>
      </c>
      <c r="J128" s="1369">
        <f t="shared" si="310"/>
        <v>0</v>
      </c>
      <c r="K128" s="1369">
        <f t="shared" si="310"/>
        <v>0</v>
      </c>
      <c r="L128" s="1369">
        <f t="shared" si="310"/>
        <v>0</v>
      </c>
      <c r="M128" s="1369">
        <f t="shared" si="310"/>
        <v>0</v>
      </c>
      <c r="N128" s="1369">
        <f t="shared" si="310"/>
        <v>0</v>
      </c>
      <c r="O128" s="1369">
        <f t="shared" si="310"/>
        <v>0</v>
      </c>
      <c r="P128" s="1369">
        <f t="shared" si="310"/>
        <v>0</v>
      </c>
      <c r="Q128" s="1369">
        <f t="shared" si="310"/>
        <v>0</v>
      </c>
      <c r="R128" s="1369">
        <f t="shared" si="310"/>
        <v>0</v>
      </c>
      <c r="S128" s="1369">
        <f t="shared" si="310"/>
        <v>0</v>
      </c>
      <c r="T128" s="1369">
        <f t="shared" si="310"/>
        <v>0</v>
      </c>
      <c r="U128" s="1369">
        <f t="shared" si="310"/>
        <v>0</v>
      </c>
      <c r="V128" s="1369">
        <f t="shared" si="310"/>
        <v>0</v>
      </c>
      <c r="W128" s="1369">
        <f t="shared" si="310"/>
        <v>0</v>
      </c>
      <c r="X128" s="1369">
        <f t="shared" si="310"/>
        <v>0</v>
      </c>
      <c r="Y128" s="1369">
        <f t="shared" si="310"/>
        <v>0</v>
      </c>
      <c r="Z128" s="1369">
        <f t="shared" si="310"/>
        <v>0</v>
      </c>
      <c r="AA128" s="1369">
        <f t="shared" si="310"/>
        <v>0</v>
      </c>
      <c r="AB128" s="1369">
        <f t="shared" si="310"/>
        <v>0</v>
      </c>
      <c r="AC128" s="1369">
        <f t="shared" si="310"/>
        <v>0</v>
      </c>
      <c r="AD128" s="1369">
        <f t="shared" si="310"/>
        <v>0</v>
      </c>
      <c r="AE128" s="1369">
        <f t="shared" si="310"/>
        <v>0</v>
      </c>
      <c r="AF128" s="1369">
        <f t="shared" si="310"/>
        <v>0</v>
      </c>
      <c r="AG128" s="1369">
        <f t="shared" si="310"/>
        <v>0</v>
      </c>
      <c r="AH128" s="1369">
        <f t="shared" si="310"/>
        <v>0</v>
      </c>
      <c r="AI128" s="1369">
        <f t="shared" si="310"/>
        <v>0</v>
      </c>
      <c r="AJ128" s="1369">
        <f t="shared" si="310"/>
        <v>0</v>
      </c>
      <c r="AK128" s="1369">
        <f t="shared" si="310"/>
        <v>0</v>
      </c>
      <c r="AL128" s="1369">
        <f t="shared" si="310"/>
        <v>0</v>
      </c>
      <c r="AM128" s="1034"/>
      <c r="AO128" s="1653">
        <f>ROUND((MIN(BR121:BR155)*(AQ127+1)),0)</f>
        <v>0</v>
      </c>
      <c r="AS128" s="1649" t="str">
        <f>_xlfn.CONCAT("Proposed Annual Debt Service - ",Source_8)</f>
        <v>Proposed Annual Debt Service - Other</v>
      </c>
      <c r="AT128" s="1650" t="e">
        <f>-PMT(Rate_8,Term_8,Amount_8)</f>
        <v>#NUM!</v>
      </c>
      <c r="AU128" s="1649">
        <f>IF(Annual_DSC_8&gt;0,AV127+1,0)</f>
        <v>0</v>
      </c>
      <c r="AV128" s="1649">
        <f>MAX(AU121:AU128)</f>
        <v>0</v>
      </c>
      <c r="AW128" s="1649">
        <v>8</v>
      </c>
      <c r="AX128" s="115">
        <f>IF(OR('12. Funding Sources'!J18='12. Funding Sources'!$R$12,'12. Funding Sources'!J18='12. Funding Sources'!$R$13),AY127+1,0)</f>
        <v>0</v>
      </c>
      <c r="AY128" s="1649">
        <f>IF(MAX($AX$121:AX128)=0,AY127,MAX($AX$121:AX128))</f>
        <v>10</v>
      </c>
      <c r="AZ128" s="1649">
        <v>18</v>
      </c>
      <c r="BA128" s="9" t="str">
        <f>_xlfn.XLOOKUP(AZ128,$AX$121:$AX$133,'12. Funding Sources'!$C$11:$C$23,"")</f>
        <v/>
      </c>
      <c r="BB128" s="1322"/>
      <c r="BC128" s="1322"/>
      <c r="BF128" s="579" t="e">
        <f>-IPMT(Rate_8,1,Term_8,Amount_8)</f>
        <v>#NUM!</v>
      </c>
      <c r="BH128" s="9">
        <v>8</v>
      </c>
      <c r="BI128" s="1323">
        <f>IF(AND($AN$122&gt;BH128,$C$122=$BD$121),(K$122),IF(AND($AN$122&gt;BH128,$C$122=$BD$122),(K$122),IF(AND($AN$122&gt;BH128,$C$122=$BD$123),(K$122),IF(AND($AN$122&gt;BH128,$C$122=$BD$124),(K$121),IF(AND($AN$122&gt;BH128,$C$122=$BD$125),(K$122),0)))))</f>
        <v>0</v>
      </c>
      <c r="BJ128" s="1323">
        <v>0</v>
      </c>
      <c r="BK128" s="1323">
        <v>0</v>
      </c>
      <c r="BL128" s="1323">
        <f t="shared" si="305"/>
        <v>0</v>
      </c>
      <c r="BM128" s="1320">
        <f t="shared" si="306"/>
        <v>0</v>
      </c>
      <c r="BN128" s="9">
        <v>8</v>
      </c>
      <c r="BO128" s="1323">
        <f>IF(AND($AN$127&gt;BN128,$C$127=$BD$121),(K$127),IF(AND($AN$127&gt;BN128,$C$127=$BD$122),(K$127),IF(AND($AN$127&gt;BN128,$C$127=$BD$123),(K$127),IF(AND($AN$127&gt;BN128,$C$127=$BD$124),(K$126),IF(AND($AN$127&gt;BN128,$C$127=$BD$125),(K$127),0)))))</f>
        <v>0</v>
      </c>
      <c r="BP128" s="1323">
        <v>0</v>
      </c>
      <c r="BQ128" s="1323">
        <v>0</v>
      </c>
      <c r="BR128" s="1323">
        <f t="shared" si="301"/>
        <v>0</v>
      </c>
      <c r="BS128" s="1324">
        <f t="shared" si="309"/>
        <v>0</v>
      </c>
      <c r="BT128" s="9">
        <v>8</v>
      </c>
      <c r="BU128" s="1323">
        <f>IF(AND($AN$132&gt;BT128,$C$132=$BD$121),(K$132),IF(AND($AN$132&gt;BT128,$C$132=$BD$122),(K$132),IF(AND($AN$132&gt;BT128,$C$132=$BD$123),(K$132),IF(AND($AN$132&gt;BT128,$C$132=$BD$124),(K$131),IF(AND($AN$132&gt;BT128,$C$132=$BD$125),(K$132),0)))))</f>
        <v>0</v>
      </c>
      <c r="BV128" s="1323">
        <v>0</v>
      </c>
      <c r="BW128" s="1323">
        <v>0</v>
      </c>
      <c r="BX128" s="1323">
        <f t="shared" si="302"/>
        <v>0</v>
      </c>
      <c r="BY128" s="1324">
        <f t="shared" si="303"/>
        <v>0</v>
      </c>
      <c r="CA128" s="9"/>
      <c r="CB128" s="9"/>
      <c r="CC128" s="9"/>
      <c r="CD128" s="9"/>
    </row>
    <row r="129" spans="2:102">
      <c r="B129" s="1411"/>
      <c r="C129" s="1357" t="s">
        <v>4757</v>
      </c>
      <c r="D129" s="1370">
        <f t="shared" ref="D129:AL129" si="311">IFERROR(MAX(IF($C$127=$BD$125,(D124-D127),IF($C$127=$BD$124,D124-D126,IF($C$127=$BD$123,D124-D127,IF($C$127=$BD$122,D124-D127,IF($C$127=$BD$121,D124-D127,D124))))),0),D124)</f>
        <v>0</v>
      </c>
      <c r="E129" s="1370">
        <f t="shared" si="311"/>
        <v>0</v>
      </c>
      <c r="F129" s="1370">
        <f t="shared" si="311"/>
        <v>0</v>
      </c>
      <c r="G129" s="1370">
        <f t="shared" si="311"/>
        <v>0</v>
      </c>
      <c r="H129" s="1370">
        <f t="shared" si="311"/>
        <v>0</v>
      </c>
      <c r="I129" s="1370">
        <f t="shared" si="311"/>
        <v>0</v>
      </c>
      <c r="J129" s="1370">
        <f t="shared" si="311"/>
        <v>0</v>
      </c>
      <c r="K129" s="1370">
        <f t="shared" si="311"/>
        <v>0</v>
      </c>
      <c r="L129" s="1370">
        <f t="shared" si="311"/>
        <v>0</v>
      </c>
      <c r="M129" s="1370">
        <f t="shared" si="311"/>
        <v>0</v>
      </c>
      <c r="N129" s="1370">
        <f t="shared" si="311"/>
        <v>0</v>
      </c>
      <c r="O129" s="1370">
        <f t="shared" si="311"/>
        <v>0</v>
      </c>
      <c r="P129" s="1370">
        <f t="shared" si="311"/>
        <v>0</v>
      </c>
      <c r="Q129" s="1370">
        <f t="shared" si="311"/>
        <v>0</v>
      </c>
      <c r="R129" s="1370">
        <f t="shared" si="311"/>
        <v>0</v>
      </c>
      <c r="S129" s="1370">
        <f t="shared" si="311"/>
        <v>0</v>
      </c>
      <c r="T129" s="1370">
        <f t="shared" si="311"/>
        <v>0</v>
      </c>
      <c r="U129" s="1370">
        <f t="shared" si="311"/>
        <v>0</v>
      </c>
      <c r="V129" s="1370">
        <f t="shared" si="311"/>
        <v>0</v>
      </c>
      <c r="W129" s="1370">
        <f t="shared" si="311"/>
        <v>0</v>
      </c>
      <c r="X129" s="1370">
        <f t="shared" si="311"/>
        <v>0</v>
      </c>
      <c r="Y129" s="1370">
        <f t="shared" si="311"/>
        <v>0</v>
      </c>
      <c r="Z129" s="1370">
        <f t="shared" si="311"/>
        <v>0</v>
      </c>
      <c r="AA129" s="1370">
        <f t="shared" si="311"/>
        <v>0</v>
      </c>
      <c r="AB129" s="1370">
        <f t="shared" si="311"/>
        <v>0</v>
      </c>
      <c r="AC129" s="1370">
        <f t="shared" si="311"/>
        <v>0</v>
      </c>
      <c r="AD129" s="1370">
        <f t="shared" si="311"/>
        <v>0</v>
      </c>
      <c r="AE129" s="1370">
        <f t="shared" si="311"/>
        <v>0</v>
      </c>
      <c r="AF129" s="1370">
        <f t="shared" si="311"/>
        <v>0</v>
      </c>
      <c r="AG129" s="1370">
        <f t="shared" si="311"/>
        <v>0</v>
      </c>
      <c r="AH129" s="1370">
        <f t="shared" si="311"/>
        <v>0</v>
      </c>
      <c r="AI129" s="1370">
        <f t="shared" si="311"/>
        <v>0</v>
      </c>
      <c r="AJ129" s="1370">
        <f t="shared" si="311"/>
        <v>0</v>
      </c>
      <c r="AK129" s="1370">
        <f t="shared" si="311"/>
        <v>0</v>
      </c>
      <c r="AL129" s="1370">
        <f t="shared" si="311"/>
        <v>0</v>
      </c>
      <c r="AM129" s="1034"/>
      <c r="AO129" s="1653"/>
      <c r="AS129" s="1649" t="str">
        <f>_xlfn.CONCAT("Proposed Annual Debt Service - ",Source_9)</f>
        <v>Proposed Annual Debt Service - Other</v>
      </c>
      <c r="AT129" s="1650" t="e">
        <f>-PMT(Rate_9,Term_9,Amount_9)</f>
        <v>#NUM!</v>
      </c>
      <c r="AU129" s="1649">
        <f>IF(Annual_DSC_9&gt;0,AV128+1,0)</f>
        <v>0</v>
      </c>
      <c r="AV129" s="1649">
        <f>MAX(AU121:AU129)</f>
        <v>0</v>
      </c>
      <c r="AW129" s="1651">
        <v>9</v>
      </c>
      <c r="AX129" s="115">
        <f>IF(OR('12. Funding Sources'!J19='12. Funding Sources'!$R$12,'12. Funding Sources'!J19='12. Funding Sources'!$R$13),AY128+1,0)</f>
        <v>0</v>
      </c>
      <c r="AY129" s="1649">
        <f>IF(MAX($AX$121:AX129)=0,AY128,MAX($AX$121:AX129))</f>
        <v>10</v>
      </c>
      <c r="AZ129" s="1649">
        <v>19</v>
      </c>
      <c r="BA129" s="9" t="str">
        <f>_xlfn.XLOOKUP(AZ129,$AX$121:$AX$133,'12. Funding Sources'!$C$11:$C$23,"")</f>
        <v/>
      </c>
      <c r="BB129" s="1322"/>
      <c r="BC129" s="1322"/>
      <c r="BF129" s="579" t="e">
        <f>-IPMT(Rate_9,1,Term_9,Amount_9)</f>
        <v>#NUM!</v>
      </c>
      <c r="BH129" s="9">
        <v>9</v>
      </c>
      <c r="BI129" s="1323">
        <f>IF(AND($AN$122&gt;BH129,$C$122=$BD$121),(L$122),IF(AND($AN$122&gt;BH129,$C$122=$BD$122),(L$122),IF(AND($AN$122&gt;BH129,$C$122=$BD$123),(L$122),IF(AND($AN$122&gt;BH129,$C$122=$BD$124),(L$121),IF(AND($AN$122&gt;BH129,$C$122=$BD$125),(L$122),0)))))</f>
        <v>0</v>
      </c>
      <c r="BJ129" s="1323">
        <v>0</v>
      </c>
      <c r="BK129" s="1323">
        <v>0</v>
      </c>
      <c r="BL129" s="1323">
        <f t="shared" ref="BL129:BL153" si="312">IF(AND($AN$122&gt;BH129,$AP$122&gt;=BI129),(((BL128+($AP$122-BI129))*($AQ$122+1))-BI129),IF(AND($AN$122&gt;BH129,$AP$122&lt;=BI129),((BL128*($AQ$122+1))-BI129),IF($AN$122&lt;=BL128,BL128,0)))</f>
        <v>0</v>
      </c>
      <c r="BM129" s="1320">
        <f t="shared" ref="BM129:BM153" si="313">IF(BI128=BM128,0,BL128*($AQ$122+1))</f>
        <v>0</v>
      </c>
      <c r="BN129" s="9">
        <v>9</v>
      </c>
      <c r="BO129" s="1323">
        <f>IF(AND($AN$127&gt;BN129,$C$127=$BD$121),(L$127),IF(AND($AN$127&gt;BN129,$C$127=$BD$122),(L$127),IF(AND($AN$127&gt;BN129,$C$127=$BD$123),(L$127),IF(AND($AN$127&gt;BN129,$C$127=$BD$124),(L$126),IF(AND($AN$127&gt;BN129,$C$127=$BD$125),(L$127),0)))))</f>
        <v>0</v>
      </c>
      <c r="BP129" s="1323">
        <v>0</v>
      </c>
      <c r="BQ129" s="1323">
        <v>0</v>
      </c>
      <c r="BR129" s="1323">
        <f t="shared" si="301"/>
        <v>0</v>
      </c>
      <c r="BS129" s="1324">
        <f t="shared" si="309"/>
        <v>0</v>
      </c>
      <c r="BT129" s="9">
        <v>9</v>
      </c>
      <c r="BU129" s="1323">
        <f>IF(AND($AN$132&gt;BT129,$C$132=$BD$121),(L$132),IF(AND($AN$132&gt;BT129,$C$132=$BD$122),(L$132),IF(AND($AN$132&gt;BT129,$C$132=$BD$123),(L$132),IF(AND($AN$132&gt;BT129,$C$132=$BD$124),(L$131),IF(AND($AN$132&gt;BT129,$C$132=$BD$125),(L$132),0)))))</f>
        <v>0</v>
      </c>
      <c r="BV129" s="1323">
        <v>0</v>
      </c>
      <c r="BW129" s="1323">
        <v>0</v>
      </c>
      <c r="BX129" s="1323">
        <f t="shared" si="302"/>
        <v>0</v>
      </c>
      <c r="BY129" s="1324">
        <f t="shared" si="303"/>
        <v>0</v>
      </c>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row>
    <row r="130" spans="2:102" ht="28.5" customHeight="1">
      <c r="B130" s="1411"/>
      <c r="C130" s="1387"/>
      <c r="D130" s="1067" t="str">
        <f>IF(OR($C$132=$BD$122,$C$132=$BD$124),"Input Desired Annual Payment Amount",IF($C$132=$BD$123,"Input Desired % of Cashflow", ""))</f>
        <v/>
      </c>
      <c r="E130" s="1067" t="str">
        <f t="shared" ref="E130:AL130" si="314">IF($C$132=$BD$124,"Input Desired Annual Payment Amount","")</f>
        <v/>
      </c>
      <c r="F130" s="1067" t="str">
        <f t="shared" si="314"/>
        <v/>
      </c>
      <c r="G130" s="1067" t="str">
        <f t="shared" si="314"/>
        <v/>
      </c>
      <c r="H130" s="1067" t="str">
        <f t="shared" si="314"/>
        <v/>
      </c>
      <c r="I130" s="1067" t="str">
        <f t="shared" si="314"/>
        <v/>
      </c>
      <c r="J130" s="1067" t="str">
        <f t="shared" si="314"/>
        <v/>
      </c>
      <c r="K130" s="1067" t="str">
        <f t="shared" si="314"/>
        <v/>
      </c>
      <c r="L130" s="1067" t="str">
        <f t="shared" si="314"/>
        <v/>
      </c>
      <c r="M130" s="1067" t="str">
        <f t="shared" si="314"/>
        <v/>
      </c>
      <c r="N130" s="1067" t="str">
        <f t="shared" si="314"/>
        <v/>
      </c>
      <c r="O130" s="1067" t="str">
        <f t="shared" si="314"/>
        <v/>
      </c>
      <c r="P130" s="1067" t="str">
        <f t="shared" si="314"/>
        <v/>
      </c>
      <c r="Q130" s="1067" t="str">
        <f t="shared" si="314"/>
        <v/>
      </c>
      <c r="R130" s="1067" t="str">
        <f t="shared" si="314"/>
        <v/>
      </c>
      <c r="S130" s="1067" t="str">
        <f t="shared" si="314"/>
        <v/>
      </c>
      <c r="T130" s="1067" t="str">
        <f t="shared" si="314"/>
        <v/>
      </c>
      <c r="U130" s="1067" t="str">
        <f t="shared" si="314"/>
        <v/>
      </c>
      <c r="V130" s="1067" t="str">
        <f t="shared" si="314"/>
        <v/>
      </c>
      <c r="W130" s="1067" t="str">
        <f t="shared" si="314"/>
        <v/>
      </c>
      <c r="X130" s="1067" t="str">
        <f t="shared" si="314"/>
        <v/>
      </c>
      <c r="Y130" s="1067" t="str">
        <f t="shared" si="314"/>
        <v/>
      </c>
      <c r="Z130" s="1067" t="str">
        <f t="shared" si="314"/>
        <v/>
      </c>
      <c r="AA130" s="1067" t="str">
        <f t="shared" si="314"/>
        <v/>
      </c>
      <c r="AB130" s="1067" t="str">
        <f t="shared" si="314"/>
        <v/>
      </c>
      <c r="AC130" s="1067" t="str">
        <f t="shared" si="314"/>
        <v/>
      </c>
      <c r="AD130" s="1067" t="str">
        <f t="shared" si="314"/>
        <v/>
      </c>
      <c r="AE130" s="1067" t="str">
        <f t="shared" si="314"/>
        <v/>
      </c>
      <c r="AF130" s="1067" t="str">
        <f t="shared" si="314"/>
        <v/>
      </c>
      <c r="AG130" s="1067" t="str">
        <f t="shared" si="314"/>
        <v/>
      </c>
      <c r="AH130" s="1067" t="str">
        <f t="shared" si="314"/>
        <v/>
      </c>
      <c r="AI130" s="1067" t="str">
        <f t="shared" si="314"/>
        <v/>
      </c>
      <c r="AJ130" s="1067" t="str">
        <f t="shared" si="314"/>
        <v/>
      </c>
      <c r="AK130" s="1067" t="str">
        <f t="shared" si="314"/>
        <v/>
      </c>
      <c r="AL130" s="1067" t="str">
        <f t="shared" si="314"/>
        <v/>
      </c>
      <c r="AM130" s="1034"/>
      <c r="AS130" s="1649" t="str">
        <f>_xlfn.CONCAT("Proposed Annual Debt Service - ",Source_10)</f>
        <v>Proposed Annual Debt Service - Other</v>
      </c>
      <c r="AT130" s="1650" t="e">
        <f>-PMT(Rate_10,Term_10,Amount_10)</f>
        <v>#NUM!</v>
      </c>
      <c r="AU130" s="1649">
        <f>IF(Annual_DSC_10&gt;0,AV129+1,0)</f>
        <v>0</v>
      </c>
      <c r="AV130" s="1649">
        <f>MAX($AU$121:AU130)</f>
        <v>0</v>
      </c>
      <c r="AW130" s="1649">
        <v>10</v>
      </c>
      <c r="AX130" s="115">
        <f>IF(OR('12. Funding Sources'!J20='12. Funding Sources'!$R$12,'12. Funding Sources'!J20='12. Funding Sources'!$R$13),AY129+1,0)</f>
        <v>0</v>
      </c>
      <c r="AY130" s="1649">
        <f>IF(MAX($AX$121:AX130)=0,AY129,MAX($AX$121:AX130))</f>
        <v>10</v>
      </c>
      <c r="AZ130" s="1649">
        <v>20</v>
      </c>
      <c r="BA130" s="9" t="str">
        <f>_xlfn.XLOOKUP(AZ130,$AX$121:$AX$133,'12. Funding Sources'!$C$11:$C$23,"")</f>
        <v/>
      </c>
      <c r="BB130" s="1322"/>
      <c r="BC130" s="1322"/>
      <c r="BF130" s="579" t="e">
        <f>-IPMT(Rate_10,1,Term_10,Amount_10)</f>
        <v>#NUM!</v>
      </c>
      <c r="BH130" s="9">
        <v>10</v>
      </c>
      <c r="BI130" s="1323">
        <f>IF(AND($AN$122&gt;BH130,$C$122=$BD$121),(M$122),IF(AND($AN$122&gt;BH130,$C$122=$BD$122),(M$122),IF(AND($AN$122&gt;BH130,$C$122=$BD$123),(M$122),IF(AND($AN$122&gt;BH130,$C$122=$BD$124),(M$121),IF(AND($AN$122&gt;BH130,$C$122=$BD$125),(M$122),0)))))</f>
        <v>0</v>
      </c>
      <c r="BJ130" s="1323">
        <v>0</v>
      </c>
      <c r="BK130" s="1323">
        <v>0</v>
      </c>
      <c r="BL130" s="1323">
        <f t="shared" si="312"/>
        <v>0</v>
      </c>
      <c r="BM130" s="1320">
        <f t="shared" si="313"/>
        <v>0</v>
      </c>
      <c r="BN130" s="9">
        <v>10</v>
      </c>
      <c r="BO130" s="1323">
        <f>IF(AND($AN$127&gt;BN130,$C$127=$BD$121),(M$127),IF(AND($AN$127&gt;BN130,$C$127=$BD$122),(M$127),IF(AND($AN$127&gt;BN130,$C$127=$BD$123),(M$127),IF(AND($AN$127&gt;BN130,$C$127=$BD$124),(M$126),IF(AND($AN$127&gt;BN130,$C$127=$BD$125),(M$127),0)))))</f>
        <v>0</v>
      </c>
      <c r="BP130" s="1323">
        <v>0</v>
      </c>
      <c r="BQ130" s="1323">
        <v>0</v>
      </c>
      <c r="BR130" s="1323">
        <f t="shared" si="301"/>
        <v>0</v>
      </c>
      <c r="BS130" s="1324">
        <f t="shared" si="309"/>
        <v>0</v>
      </c>
      <c r="BT130" s="9">
        <v>10</v>
      </c>
      <c r="BU130" s="1323">
        <f>IF(AND($AN$132&gt;BT130,$C$132=$BD$121),(M$132),IF(AND($AN$132&gt;BT130,$C$132=$BD$122),(M$132),IF(AND($AN$132&gt;BT130,$C$132=$BD$123),(M$132),IF(AND($AN$132&gt;BT130,$C$132=$BD$124),(M$131),IF(AND($AN$132&gt;BT130,$C$132=$BD$125),(M$132),0)))))</f>
        <v>0</v>
      </c>
      <c r="BV130" s="1323">
        <v>0</v>
      </c>
      <c r="BW130" s="1323">
        <v>0</v>
      </c>
      <c r="BX130" s="1323">
        <f t="shared" si="302"/>
        <v>0</v>
      </c>
      <c r="BY130" s="1324">
        <f t="shared" si="303"/>
        <v>0</v>
      </c>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2:102">
      <c r="B131" s="1411">
        <v>13</v>
      </c>
      <c r="C131" s="1388"/>
      <c r="D131" s="1462"/>
      <c r="E131" s="1462"/>
      <c r="F131" s="1462"/>
      <c r="G131" s="1462"/>
      <c r="H131" s="1462"/>
      <c r="I131" s="1462"/>
      <c r="J131" s="1462"/>
      <c r="K131" s="1462"/>
      <c r="L131" s="1462"/>
      <c r="M131" s="1462"/>
      <c r="N131" s="1462"/>
      <c r="O131" s="1462"/>
      <c r="P131" s="1462"/>
      <c r="Q131" s="1462"/>
      <c r="R131" s="1462"/>
      <c r="S131" s="1462"/>
      <c r="T131" s="1462"/>
      <c r="U131" s="1462"/>
      <c r="V131" s="1462"/>
      <c r="W131" s="1462"/>
      <c r="X131" s="1462"/>
      <c r="Y131" s="1462"/>
      <c r="Z131" s="1462"/>
      <c r="AA131" s="1462"/>
      <c r="AB131" s="1462"/>
      <c r="AC131" s="1462"/>
      <c r="AD131" s="1462"/>
      <c r="AE131" s="1462"/>
      <c r="AF131" s="1462"/>
      <c r="AG131" s="1462"/>
      <c r="AH131" s="1462"/>
      <c r="AI131" s="1462"/>
      <c r="AJ131" s="1462"/>
      <c r="AK131" s="1462"/>
      <c r="AL131" s="1462"/>
      <c r="AM131" s="1034"/>
      <c r="AO131" s="1653">
        <f>_xlfn.XLOOKUP(C131,'12. Funding Sources'!C11:C23,'12. Funding Sources'!E11:E23,0)</f>
        <v>0</v>
      </c>
      <c r="AP131" s="1653"/>
      <c r="AS131" s="1649" t="str">
        <f>_xlfn.CONCAT("Proposed Annual Debt Service - ",Source_11)</f>
        <v>Proposed Annual Debt Service - Other</v>
      </c>
      <c r="AT131" s="1650" t="e">
        <f>-PMT(Rate_11,Term_11,Amount_11)</f>
        <v>#NUM!</v>
      </c>
      <c r="AU131" s="1649">
        <f>IF('12. Funding Sources'!N21&gt;0,AV130+1,0)</f>
        <v>0</v>
      </c>
      <c r="AV131" s="1649">
        <f>MAX($AU$121:AU131)</f>
        <v>0</v>
      </c>
      <c r="AW131" s="1649">
        <v>11</v>
      </c>
      <c r="AX131" s="115">
        <f>IF(OR('12. Funding Sources'!J21='12. Funding Sources'!$R$12,'12. Funding Sources'!J21='12. Funding Sources'!$R$13),AY130+1,0)</f>
        <v>0</v>
      </c>
      <c r="AY131" s="1649">
        <f>IF(MAX($AX$121:AX131)=0,AY130,MAX($AX$121:AX131))</f>
        <v>10</v>
      </c>
      <c r="AZ131" s="1649">
        <v>21</v>
      </c>
      <c r="BA131" s="9" t="str">
        <f>_xlfn.XLOOKUP(AZ131,$AX$121:$AX$133,'12. Funding Sources'!$C$11:$C$23,"")</f>
        <v/>
      </c>
      <c r="BF131" s="579" t="e">
        <f>-IPMT(Rate_11,1,Term_11,Amount_11)</f>
        <v>#NUM!</v>
      </c>
      <c r="BH131" s="9">
        <v>11</v>
      </c>
      <c r="BI131" s="1323">
        <f>IF(AND($AN$122&gt;BH131,$C$122=$BD$121),(N$122),IF(AND($AN$122&gt;BH131,$C$122=$BD$122),(N$122),IF(AND($AN$122&gt;BH131,$C$122=$BD$123),(N$122),IF(AND($AN$122&gt;BH131,$C$122=$BD$124),(N$121),IF(AND($AN$122&gt;BH131,$C$122=$BD$125),(N$122),0)))))</f>
        <v>0</v>
      </c>
      <c r="BJ131" s="1323">
        <v>0</v>
      </c>
      <c r="BK131" s="1323">
        <v>0</v>
      </c>
      <c r="BL131" s="1323">
        <f t="shared" si="312"/>
        <v>0</v>
      </c>
      <c r="BM131" s="1320">
        <f t="shared" si="313"/>
        <v>0</v>
      </c>
      <c r="BN131" s="9">
        <v>11</v>
      </c>
      <c r="BO131" s="1323">
        <f>IF(AND($AN$127&gt;BN131,$C$127=$BD$121),(N$127),IF(AND($AN$127&gt;BN131,$C$127=$BD$122),(N$127),IF(AND($AN$127&gt;BN131,$C$127=$BD$123),(N$127),IF(AND($AN$127&gt;BN131,$C$127=$BD$124),(N$126),IF(AND($AN$127&gt;BN131,$C$127=$BD$125),(N$127),0)))))</f>
        <v>0</v>
      </c>
      <c r="BP131" s="1323">
        <v>0</v>
      </c>
      <c r="BQ131" s="1323">
        <v>0</v>
      </c>
      <c r="BR131" s="1323">
        <f t="shared" si="301"/>
        <v>0</v>
      </c>
      <c r="BS131" s="1324">
        <f t="shared" si="309"/>
        <v>0</v>
      </c>
      <c r="BT131" s="9">
        <v>11</v>
      </c>
      <c r="BU131" s="1323">
        <f>IF(AND($AN$132&gt;BT131,$C$132=$BD$121),(N$132),IF(AND($AN$132&gt;BT131,$C$132=$BD$122),(N$132),IF(AND($AN$132&gt;BT131,$C$132=$BD$123),(N$132),IF(AND($AN$132&gt;BT131,$C$132=$BD$124),(N$131),IF(AND($AN$132&gt;BT131,$C$132=$BD$125),(N$132),0)))))</f>
        <v>0</v>
      </c>
      <c r="BV131" s="1323">
        <v>0</v>
      </c>
      <c r="BW131" s="1323">
        <v>0</v>
      </c>
      <c r="BX131" s="1323">
        <f t="shared" si="302"/>
        <v>0</v>
      </c>
      <c r="BY131" s="1324">
        <f t="shared" si="303"/>
        <v>0</v>
      </c>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2:102">
      <c r="B132" s="1411"/>
      <c r="C132" s="1447" t="s">
        <v>4764</v>
      </c>
      <c r="D132" s="1368">
        <f>IF($C132=$BD$125,$AP$132,IF(AND($C132=$BD$121,$AR$132&lt;=$D129),$AR$132,IF($C132=$BD$123,($D129*($D131/100)),IF(AND($C132=$BD$122,$D129&gt;=$D131),$D131,IF(AND($C132=$BD$122,$D129&lt;$D131),$D129,IF($C132=$BD$124,0,0))))))</f>
        <v>0</v>
      </c>
      <c r="E132" s="1385" t="b">
        <f>IF(AND($C$132=$BD$125,$E$89&lt;$AN$132),$AP$132,IF(AND($C$132=$BD$125,$E$89=$AN$132),$AO$132,IF(AND($C$132=$BD$125,$E$89&gt;$AN$132),0,IF($C$132=$BD$124,0,IF(AND($C$132=$BD$123,$E$89&lt;$AN$132,$BY$122&gt;=(($D$131/100)*$E$129)),(($D$131/100)*$E$129),IF(AND($C$132=$BD$123,$E$89&lt;$AN$132,$BY$122&lt;(($D$131/100)*$E$129)),$BY$122,IF(AND($C$132=$BD$123,$E$89=$AN$132),$AO$132,IF(AND($C$132=$BD$123,$E$89&gt;$AN$132),0,IF(AND($C$132=$BD$122,$D$132=0),0,IF(AND($C$132=$BD$121,$E$89&lt;$AN$132,$E$129&gt;=$AR$132),$AR$132,IF(AND($C$132=$BD$121,$E$89&lt;$AN$132,E129&lt;$AR$132),$E$129,IF(AND($C$132=$BD$121,E89=$AN$132),$AO$132,IF(AND($C$132=$BD$121,$E$89&gt;$AN$132),0,IF(AND($C$132=$BD$122,$E$89&lt;$AN$132,$E$129&gt;=$D$131,$BY$122&gt;=$D$131),$D$131,IF(AND($C$132=$BD$122,$E$89&lt;$AN$132,$E$129&gt;=$D$131,$BY$122&lt;$D$131),$BY$122,IF(AND($C$132=$BD$122,$E$89&lt;$AN$132,$E$129&lt;$D$131,$BY$122&lt;E129),$BY$122,IF(AND($C$132=$BD$122,$E$89&lt;$AN$132,$E$129&lt;$D$131,$BY$122&gt;E129),$E$129,IF(AND($C$132=$BD$122,$E$89=$AN$132),$AO$132,IF(AND($C$132=$BD$122,$E$89&gt;$AN$132),0)))))))))))))))))))</f>
        <v>0</v>
      </c>
      <c r="F132" s="1368" t="b">
        <f>IF(AND($C$132=$BD$125,F89&lt;$AN$132),$AP$132,IF(AND($C$132=$BD$125,F89=$AN$132),$AO$132,IF(AND($C$132=$BD$125,F89&gt;$AN$132),0,IF($C$132=$BD$124,0,IF(AND($C$132=$BD$123,F89&lt;$AN$132,$BY$123&gt;=(($D$131/100)*F129)),(($D$131/100)*F129),IF(AND($C$132=$BD$123,F89&lt;$AN$132,$BY$123&lt;(($D$131/100)*F129)),$BY$123,IF(AND($C$132=$BD$123,F89=$AN$132),$AO$132,IF(AND($C$132=$BD$123,F89&gt;$AN$132),0,IF(AND($C$132=$BD$121,F89&lt;$AN$132,F129&gt;=$AR$132),$AR$132,IF(AND($C$132=$BD$121,F89&lt;$AN$132,F129&lt;$AR$132),F129,IF(AND($C$132=$BD$121,F89=$AN$132),$AO$132,IF(AND($C$132=$BD$121,F89&gt;$AN$132),0,IF(AND($C$132=$BD$122,F89&lt;$AN$132,F129&gt;=$D$131,$BY$123&gt;=$D$131),$D$131,IF(AND($C$132=$BD$122,F89&lt;$AN$132,F129&gt;=$D$131,$BY$123&lt;$D$131),$BY$123,IF(AND($C$132=$BD$122,F89&lt;$AN$132,F129&lt;$D$131,$BY$123&lt;F129),$BY$123,IF(AND($C$132=$BD$122,F89&lt;$AN$132,F129&lt;$D$131,$BY$123&gt;F129),F129,IF(AND($C$132=$BD$122,F89=$AN$132),$AO$132,IF(AND($C$132=$BD$122,F89&gt;$AN$132),0))))))))))))))))))</f>
        <v>0</v>
      </c>
      <c r="G132" s="1368" t="b">
        <f>IF(AND($C$132=$BD$125,G89&lt;$AN$132),$AP$132,IF(AND($C$132=$BD$125,G89=$AN$132),$AO$132,IF(AND($C$132=$BD$125,G89&gt;$AN$132),0,IF($C$132=$BD$124,0,IF(AND($C$132=$BD$123,G89&lt;$AN$132,$BY$124&gt;=(($D$131/100)*G129)),(($D$131/100)*G129),IF(AND($C$132=$BD$123,G89&lt;$AN$132,$BY$124&lt;(($D$131/100)*G129)),$BY$124,IF(AND($C$132=$BD$123,G89=$AN$132),$AO$132,IF(AND($C$132=$BD$123,G89&gt;$AN$132),0,IF(AND($C$132=$BD$121,G89&lt;$AN$132,G129&gt;=$AR$132),$AR$132,IF(AND($C$132=$BD$121,G89&lt;$AN$132,G129&lt;$AR$132),G129,IF(AND($C$132=$BD$121,G89=$AN$132),$AO$132,IF(AND($C$132=$BD$121,G89&gt;$AN$132),0,IF(AND($C$132=$BD$122,G89&lt;$AN$132,G129&gt;=$D$131,$BY$124&gt;=$D$131),$D$131,IF(AND($C$132=$BD$122,G89&lt;$AN$132,G129&gt;=$D$131,$BY$124&lt;$D$131),$BY$124,IF(AND($C$132=$BD$122,G89&lt;$AN$132,G129&lt;$D$131,$BY$124&lt;G129),$BY$124,IF(AND($C$132=$BD$122,G89&lt;$AN$132,G129&lt;$D$131,$BY$124&gt;G129),G129,IF(AND($C$132=$BD$122,G89=$AN$132),$AO$132,IF(AND($C$132=$BD$122,G89&gt;$AN$132),0))))))))))))))))))</f>
        <v>0</v>
      </c>
      <c r="H132" s="1368" t="b">
        <f>IF(AND($C$132=$BD$125,H89&lt;$AN$132),$AP$132,IF(AND($C$132=$BD$125,H89=$AN$132),$AO$132,IF(AND($C$132=$BD$125,H89&gt;$AN$132),0,IF($C$132=$BD$124,0,IF(AND($C$132=$BD$123,H89&lt;$AN$132,$BY$125&gt;=(($D$131/100)*H129)),(($D$131/100)*H129),IF(AND($C$132=$BD$123,H89&lt;$AN$132,$BY$125&lt;(($D$131/100)*H129)),$BY$125,IF(AND($C$132=$BD$123,H89=$AN$132),$AO$132,IF(AND($C$132=$BD$123,H89&gt;$AN$132),0,IF(AND($C$132=$BD$121,H89&lt;$AN$132,H129&gt;=$AR$132),$AR$132,IF(AND($C$132=$BD$121,H89&lt;$AN$132,H129&lt;$AR$132),H129,IF(AND($C$132=$BD$121,H89=$AN$132),$AO$132,IF(AND($C$132=$BD$121,H89&gt;$AN$132),0,IF(AND($C$132=$BD$122,H89&lt;$AN$132,H129&gt;=$D$131,$BY$125&gt;=$D$131),$D$131,IF(AND($C$132=$BD$122,H89&lt;$AN$132,H129&gt;=$D$131,$BY$125&lt;$D$131),$BY$125,IF(AND($C$132=$BD$122,H89&lt;$AN$132,H129&lt;$D$131,$BY$125&lt;H129),$BY$125,IF(AND($C$132=$BD$122,H89&lt;$AN$132,H129&lt;$D$131,$BY$125&gt;H129),H129,IF(AND($C$132=$BD$122,H89=$AN$132),$AO$132,IF(AND($C$132=$BD$122,H89&gt;$AN$132),0))))))))))))))))))</f>
        <v>0</v>
      </c>
      <c r="I132" s="1368" t="b">
        <f>IF(AND($C$132=$BD$125,I89&lt;$AN$132),$AP$132,IF(AND($C$132=$BD$125,I89=$AN$132),$AO$132,IF(AND($C$132=$BD$125,I89&gt;$AN$132),0,IF($C$132=$BD$124,0,IF(AND($C$132=$BD$123,I89&lt;$AN$132,$BY$126&gt;=(($D$131/100)*I129)),(($D$131/100)*I129),IF(AND($C$132=$BD$123,I89&lt;$AN$132,$BY$126&lt;(($D$131/100)*I129)),$BY$126,IF(AND($C$132=$BD$123,I89=$AN$132),$AO$132,IF(AND($C$132=$BD$123,I89&gt;$AN$132),0,IF(AND($C$132=$BD$123,I89&lt;$AN$132,$BY$126&gt;=(($D$131/100)*I129)),(($D$131/100)*I129),IF(AND($C$132=$BD$123,I89&lt;$AN$132,$BY$126&lt;(($D$131/100)*I129)),$BY$126,IF(AND($C$132=$BD$123,I89=$AN$132),$AO$132,IF(AND($C$132=$BD$123,I89&gt;$AN$132),0,IF(AND($C$132=$BD$121,I89&lt;$AN$132,I129&gt;=$AR$132),$AR$132,IF(AND($C$132=$BD$121,I89&lt;$AN$132,I129&lt;$AR$132),I129,IF(AND($C$132=$BD$121,I89=$AN$132),$AO$132,IF(AND($C$132=$BD$121,I89&gt;$AN$132),0,IF(AND($C$132=$BD$122,I89&lt;$AN$132,I129&gt;=$D$131,$BY$126&gt;=$D$131),$D$131,IF(AND($C$132=$BD$122,I89&lt;$AN$132,I129&gt;=$D$131,$BY$126&lt;$D$131),$BY$126,IF(AND($C$132=$BD$122,I89&lt;$AN$132,I129&lt;$D$131,$BY$126&lt;I129),$BY$126,IF(AND($C$132=$BD$122,I89&lt;$AN$132,I129&lt;$D$131,$BY$126&gt;I129),I129,IF(AND($C$132=$BD$122,I89=$AN$132),$AO$132,IF(AND($C$132=$BD$122,I89&gt;$AN$132),0))))))))))))))))))))))</f>
        <v>0</v>
      </c>
      <c r="J132" s="1368" t="b">
        <f>IF(AND($C$132=$BD$125,J89&lt;$AN$132),$AP$132,IF(AND($C$132=$BD$125,J89=$AN$132),$AO$132,IF(AND($C$132=$BD$125,J89&gt;$AN$132),0,IF($C$132=$BD$124,0,IF(AND($C$132=$BD$123,J89&lt;$AN$132,$BY$127&gt;=(($D$131/100)*J129)),(($D$131/100)*J129),IF(AND($C$132=$BD$123,J89&lt;$AN$132,$BY$127&lt;(($D$131/100)*J129)),$BY$127,IF(AND($C$132=$BD$123,J89=$AN$132),$AO$132,IF(AND($C$132=$BD$123,J89&gt;$AN$132),0,IF(AND($C$132=$BD$121,J89&lt;$AN$132,J129&gt;=$AR$132),$AR$132,IF(AND($C$132=$BD$121,J89&lt;$AN$132,J129&lt;$AR$132),J129,IF(AND($C$132=$BD$121,J89=$AN$132),$AO$132,IF(AND($C$132=$BD$121,J89&gt;$AN$132),0,IF(AND($C$132=$BD$122,J89&lt;$AN$132,J129&gt;=$D$131,$BY$127&gt;=$D$131),$D$131,IF(AND($C$132=$BD$122,J89&lt;$AN$132,J129&gt;=$D$131,$BY$127&lt;$D$131),$BY$127,IF(AND($C$132=$BD$122,J89&lt;$AN$132,J129&lt;$D$131,$BY$127&lt;J129),$BY$127,IF(AND($C$132=$BD$122,J89&lt;$AN$132,J129&lt;$D$131,$BY$127&gt;J129),J129,IF(AND($C$132=$BD$122,J89=$AN$132),$AO$132,IF(AND($C$132=$BD$122,J89&gt;$AN$132),0))))))))))))))))))</f>
        <v>0</v>
      </c>
      <c r="K132" s="1368" t="b">
        <f>IF(AND($C$132=$BD$125,K89&lt;$AN$132),$AP$132,IF(AND($C$132=$BD$125,K89=$AN$132),$AO$132,IF(AND($C$132=$BD$125,K89&gt;$AN$132),0,IF($C$132=$BD$124,0,IF(AND($C$132=$BD$123,K89&lt;$AN$132,$BY$128&gt;=(($D$131/100)*K129)),(($D$131/100)*K129),IF(AND($C$132=$BD$123,K89&lt;$AN$132,$BY$128&lt;(($D$131/100)*K129)),$BY$128,IF(AND($C$132=$BD$123,K89=$AN$132),$AO$132,IF(AND($C$132=$BD$123,K89&gt;$AN$132),0,IF(AND($C$132=$BD$121,K89&lt;$AN$132,K129&gt;=$AR$132),$AR$132,IF(AND($C$132=$BD$121,K89&lt;$AN$132,K129&lt;$AR$132),K129,IF(AND($C$132=$BD$121,K89=$AN$132),$AO$132,IF(AND($C$132=$BD$121,K89&gt;$AN$132),0,IF(AND($C$132=$BD$122,K89&lt;$AN$132,K129&gt;=$D$131,$BY$128&gt;=$D$131),$D$131,IF(AND($C$132=$BD$122,K89&lt;$AN$132,K129&gt;=$D$131,$BY$128&lt;$D$131),$BY$128,IF(AND($C$132=$BD$122,K89&lt;$AN$132,K129&lt;$D$131,$BY$128&lt;K129),$BY$128,IF(AND($C$132=$BD$122,K89&lt;$AN$132,K129&lt;$D$131,$BY$128&gt;K129),K129,IF(AND($C$132=$BD$122,K89=$AN$132),$AO$132,IF(AND($C$132=$BD$122,K89&gt;$AN$132),0))))))))))))))))))</f>
        <v>0</v>
      </c>
      <c r="L132" s="1368" t="b">
        <f>IF(AND($C$132=$BD$125,L89&lt;$AN$132),$AP$132,IF(AND($C$132=$BD$125,L89=$AN$132),$AO$132,IF(AND($C$132=$BD$125,L89&gt;$AN$132),0,IF($C$132=$BD$124,0,IF(AND($C$132=$BD$123,L89&lt;$AN$132,$BY$129&gt;=(($D$131/100)*L129)),(($D$131/100)*L129),IF(AND($C$132=$BD$123,L89&lt;$AN$132,$BY$129&lt;(($D$131/100)*L129)),$BY$129,IF(AND($C$132=$BD$123,L89=$AN$132),$AO$132,IF(AND($C$132=$BD$123,L89&gt;$AN$132),0,IF(AND($C$132=$BD$121,L89&lt;$AN$132,L129&gt;=$AR$132),$AR$132,IF(AND($C$132=$BD$121,L89&lt;$AN$132,L129&lt;$AR$132),L129,IF(AND($C$132=$BD$121,L89=$AN$132),$AO$132,IF(AND($C$132=$BD$121,L89&gt;$AN$132),0,IF(AND($C$132=$BD$122,L89&lt;$AN$132,L129&gt;=$D$131,$BY$129&gt;=$D$131),$D$131,IF(AND($C$132=$BD$122,L89&lt;$AN$132,L129&gt;=$D$131,$BY$129&lt;$D$131),$BY$129,IF(AND($C$132=$BD$122,L89&lt;$AN$132,L129&lt;$D$131,$BY$129&lt;L129),$BY$129,IF(AND($C$132=$BD$122,L89&lt;$AN$132,L129&lt;$D$131,$BY$129&gt;L129),L129,IF(AND($C$132=$BD$122,L89=$AN$132),$AO$132,IF(AND($C$132=$BD$122,L89&gt;$AN$132),0))))))))))))))))))</f>
        <v>0</v>
      </c>
      <c r="M132" s="1368" t="b">
        <f>IF(AND($C$132=$BD$125,M89&lt;$AN$132),$AP$132,IF(AND($C$132=$BD$125,M89=$AN$132),$AO$132,IF(AND($C$132=$BD$125,M89&gt;$AN$132),0,IF($C$132=$BD$124,0,IF(AND($C$132=$BD$123,M89&lt;$AN$132,$BY$130&gt;=(($D$131/100)*M129)),(($D$131/100)*M129),IF(AND($C$132=$BD$123,M89&lt;$AN$132,$BY$130&lt;(($D$131/100)*M129)),$BY$130,IF(AND($C$132=$BD$123,M89=$AN$132),$AO$132,IF(AND($C$132=$BD$123,M89&gt;$AN$132),0,IF(AND($C$132=$BD$121,M89&lt;$AN$132,M129&gt;=$AR$132),$AR$132,IF(AND($C$132=$BD$121,M89&lt;$AN$132,M129&lt;$AR$132),M129,IF(AND($C$132=$BD$121,M89=$AN$132),$AO$132,IF(AND($C$132=$BD$121,M89&gt;$AN$132),0,IF(AND($C$132=$BD$122,M89&lt;$AN$132,M129&gt;=$D$131,$BY$130&gt;=$D$131),$D$131,IF(AND($C$132=$BD$122,M89&lt;$AN$132,M129&gt;=$D$131,$BY$130&lt;$D$131),$BY$130,IF(AND($C$132=$BD$122,M89&lt;$AN$132,M129&lt;$D$131,$BY$130&lt;M129),$BY$130,IF(AND($C$132=$BD$122,M89&lt;$AN$132,M129&lt;$D$131,$BY$130&gt;M129),M129,IF(AND($C$132=$BD$122,M89=$AN$132),$AO$132,IF(AND($C$132=$BD$122,M89&gt;$AN$132),0))))))))))))))))))</f>
        <v>0</v>
      </c>
      <c r="N132" s="1368" t="b">
        <f>IF(AND($C$132=$BD$125,N89&lt;$AN$132),$AP$132,IF(AND($C$132=$BD$125,N89=$AN$132),$AO$132,IF(AND($C$132=$BD$125,N89&gt;$AN$132),0,IF($C$132=$BD$124,0,IF(AND($C$132=$BD$123,N89&lt;$AN$132,$BY$131&gt;=(($D$131/100)*N129)),(($D$131/100)*N129),IF(AND($C$132=$BD$123,N89&lt;$AN$132,$BY$131&lt;(($D$131/100)*N129)),$BY$131,IF(AND($C$132=$BD$123,N89=$AN$132),$AO$132,IF(AND($C$132=$BD$123,N89&gt;$AN$132),0,IF(AND($C$132=$BD$121,N89&lt;$AN$132,N129&gt;=$AR$132),$AR$132,IF(AND($C$132=$BD$121,N89&lt;$AN$132,N129&lt;$AR$132),N129,IF(AND($C$132=$BD$121,N89=$AN$132),$AO$132,IF(AND($C$132=$BD$121,N89&gt;$AN$132),0,IF(AND($C$132=$BD$122,N89&lt;$AN$132,N129&gt;=$D$131,$BY$131&gt;=$D$131),$D$131,IF(AND($C$132=$BD$122,N89&lt;$AN$132,N129&gt;=$D$131,$BY$131&lt;$D$131),$BY$131,IF(AND($C$132=$BD$122,N89&lt;$AN$132,N129&lt;$D$131,$BY$131&lt;N129),$BY$131,IF(AND($C$132=$BD$122,N89&lt;$AN$132,N129&lt;$D$131,$BY$131&gt;N129),N129,IF(AND($C$132=$BD$122,N89=$AN$132),$AO$132,IF(AND($C$132=$BD$122,N89&gt;$AN$132),0))))))))))))))))))</f>
        <v>0</v>
      </c>
      <c r="O132" s="1368" t="b">
        <f>IF(AND($C$132=$BD$125,O89&lt;$AN$132),$AP$132,IF(AND($C$132=$BD$125,O89=$AN$132),$AO$132,IF(AND($C$132=$BD$125,O89&gt;$AN$132),0,IF($C$132=$BD$124,0,IF(AND($C$132=$BD$123,O89&lt;$AN$132,$BY$132&gt;=(($D$131/100)*O129)),(($D$131/100)*O129),IF(AND($C$132=$BD$123,O89&lt;$AN$132,$BY$132&lt;(($D$131/100)*O129)),$BY$132,IF(AND($C$132=$BD$123,O89=$AN$132),$AO$132,IF(AND($C$132=$BD$123,O89&gt;$AN$132),0,IF(AND($C$132=$BD$121,O89&lt;$AN$132,O129&gt;=$AR$132),$AR$132,IF(AND($C$132=$BD$121,O89&lt;$AN$132,O129&lt;$AR$132),O129,IF(AND($C$132=$BD$121,O89=$AN$132),$AO$132,IF(AND($C$132=$BD$121,O89&gt;$AN$132),0,IF(AND($C$132=$BD$122,O89&lt;$AN$132,O129&gt;=$D$131,$BY$132&gt;=$D$131),$D$131,IF(AND($C$132=$BD$122,O89&lt;$AN$132,O129&gt;=$D$131,$BY$132&lt;$D$131),$BY$132,IF(AND($C$132=$BD$122,O89&lt;$AN$132,O129&lt;$D$131,$BY$132&lt;O129),$BY$132,IF(AND($C$132=$BD$122,O89&lt;$AN$132,O129&lt;$D$131,$BY$132&gt;O129),O129,IF(AND($C$132=$BD$122,O89=$AN$132),$AO$132,IF(AND($C$132=$BD$122,O89&gt;$AN$132),0))))))))))))))))))</f>
        <v>0</v>
      </c>
      <c r="P132" s="1368" t="b">
        <f>IF(AND($C$132=$BD$125,P89&lt;$AN$132),$AP$132,IF(AND($C$132=$BD$125,P89=$AN$132),$AO$132,IF(AND($C$132=$BD$125,P89&gt;$AN$132),0,IF($C$132=$BD$124,0,IF(AND($C$132=$BD$123,P89&lt;$AN$132,$BY$133&gt;=(($D$131/100)*P129)),(($D$131/100)*P129),IF(AND($C$132=$BD$123,P89&lt;$AN$132,$BY$133&lt;(($D$131/100)*P129)),$BY$133,IF(AND($C$132=$BD$123,P89=$AN$132),$AO$132,IF(AND($C$132=$BD$123,P89&gt;$AN$132),0,IF(AND($C$132=$BD$121,P89&lt;$AN$132,P129&gt;=$AR$132),$AR$132,IF(AND($C$132=$BD$121,P89&lt;$AN$132,P129&lt;$AR$132),P129,IF(AND($C$132=$BD$121,P89=$AN$132),$AO$132,IF(AND($C$132=$BD$121,P89&gt;$AN$132),0,IF(AND($C$132=$BD$122,P89&lt;$AN$132,P129&gt;=$D$131,$BY$133&gt;=$D$131),$D$131,IF(AND($C$132=$BD$122,P89&lt;$AN$132,P129&gt;=$D$131,$BY$133&lt;$D$131),$BY$133,IF(AND($C$132=$BD$122,P89&lt;$AN$132,P129&lt;$D$131,$BY$133&lt;P129),$BY$133,IF(AND($C$132=$BD$122,P89&lt;$AN$132,P129&lt;$D$131,$BY$133&gt;P129),P129,IF(AND($C$132=$BD$122,P89=$AN$132),$AO$132,IF(AND($C$132=$BD$122,P89&gt;$AN$132),0))))))))))))))))))</f>
        <v>0</v>
      </c>
      <c r="Q132" s="1368" t="b">
        <f>IF(AND($C$132=$BD$125,Q89&lt;$AN$132),$AP$132,IF(AND($C$132=$BD$125,Q89=$AN$132),$AO$132,IF(AND($C$132=$BD$125,Q89&gt;$AN$132),0,IF($C$132=$BD$124,0,IF(AND($C$132=$BD$123,Q89&lt;$AN$132,$BY$134&gt;=(($D$131/100)*Q129)),(($D$131/100)*Q129),IF(AND($C$132=$BD$123,Q89&lt;$AN$132,$BY$134&lt;(($D$131/100)*Q129)),$BY$134,IF(AND($C$132=$BD$123,Q89=$AN$132),$AO$132,IF(AND($C$132=$BD$123,Q89&gt;$AN$132),0,IF(AND($C$132=$BD$121,Q89&lt;$AN$132,Q129&gt;=$AR$132),$AR$132,IF(AND($C$132=$BD$121,Q89&lt;$AN$132,Q129&lt;$AR$132),Q129,IF(AND($C$132=$BD$121,Q89=$AN$132),$AO$132,IF(AND($C$132=$BD$121,Q89&gt;$AN$132),0,IF(AND($C$132=$BD$122,Q89&lt;$AN$132,Q129&gt;=$D$131,$BY$134&gt;=$D$131),$D$131,IF(AND($C$132=$BD$122,Q89&lt;$AN$132,Q129&gt;=$D$131,$BY$134&lt;$D$131),$BY$134,IF(AND($C$132=$BD$122,Q89&lt;$AN$132,Q129&lt;$D$131,$BY$134&lt;Q129),$BY$134,IF(AND($C$132=$BD$122,Q89&lt;$AN$132,Q129&lt;$D$131,$BY$134&gt;Q129),Q129,IF(AND($C$132=$BD$122,Q89=$AN$132),$AO$132,IF(AND($C$132=$BD$122,Q89&gt;$AN$132),0))))))))))))))))))</f>
        <v>0</v>
      </c>
      <c r="R132" s="1368" t="b">
        <f>IF(AND($C$132=$BD$125,R89&lt;$AN$132),$AP$132,IF(AND($C$132=$BD$125,R89=$AN$132),$AO$132,IF(AND($C$132=$BD$125,R89&gt;$AN$132),0,IF($C$132=$BD$124,0,IF(AND($C$132=$BD$123,R89&lt;$AN$132,$BY$135&gt;=(($D$131/100)*R129)),(($D$131/100)*R129),IF(AND($C$132=$BD$123,R89&lt;$AN$132,$BY$135&lt;(($D$131/100)*R129)),$BY$135,IF(AND($C$132=$BD$123,R89=$AN$132),$AO$132,IF(AND($C$132=$BD$123,R89&gt;$AN$132),0,IF(AND($C$132=$BD$121,R89&lt;$AN$132,R129&gt;=$AR$132),$AR$132,IF(AND($C$132=$BD$121,R89&lt;$AN$132,R129&lt;$AR$132),R129,IF(AND($C$132=$BD$121,R89=$AN$132),$AO$132,IF(AND($C$132=$BD$121,R89&gt;$AN$132),0,IF(AND($C$132=$BD$122,R89&lt;$AN$132,R129&gt;=$D$131,$BY$135&gt;=$D$131),$D$131,IF(AND($C$132=$BD$122,R89&lt;$AN$132,R129&gt;=$D$131,$BY$135&lt;$D$131),$BY$135,IF(AND($C$132=$BD$122,R89&lt;$AN$132,R129&lt;$D$131,$BY$135&lt;R129),$BY$135,IF(AND($C$132=$BD$122,R89&lt;$AN$132,R129&lt;$D$131,$BY$135&gt;R129),R129,IF(AND($C$132=$BD$122,R89=$AN$132),$AO$132,IF(AND($C$132=$BD$122,R89&gt;$AN$132),0))))))))))))))))))</f>
        <v>0</v>
      </c>
      <c r="S132" s="1368" t="b">
        <f>IF(AND($C$132=$BD$125,S89&lt;$AN$132),$AP$132,IF(AND($C$132=$BD$125,S89=$AN$132),$AO$132,IF(AND($C$132=$BD$125,S89&gt;$AN$132),0,IF($C$132=$BD$124,0,IF(AND($C$132=$BD$123,S89&lt;$AN$132,$BY$136&gt;=(($D$131/100)*S129)),(($D$131/100)*S129),IF(AND($C$132=$BD$123,S89&lt;$AN$132,$BY$136&lt;(($D$131/100)*S129)),$BY$136,IF(AND($C$132=$BD$123,S89=$AN$132),$AO$132,IF(AND($C$132=$BD$123,S89&gt;$AN$132),0,IF(AND($C$132=$BD$121,S89&lt;$AN$132,S129&gt;=$AR$132),$AR$132,IF(AND($C$132=$BD$121,S89&lt;$AN$132,S129&lt;$AR$132),S129,IF(AND($C$132=$BD$121,S89=$AN$132),$AO$132,IF(AND($C$132=$BD$121,S89&gt;$AN$132),0,IF(AND($C$132=$BD$122,S89&lt;$AN$132,S129&gt;=$D$131,$BY$136&gt;=$D$131),$D$131,IF(AND($C$132=$BD$122,S89&lt;$AN$132,S129&gt;=$D$131,$BY$136&lt;$D$131),$BY$136,IF(AND($C$132=$BD$122,S89&lt;$AN$132,S129&lt;$D$131,$BY$136&lt;S129),$BY$136,IF(AND($C$132=$BD$122,S89&lt;$AN$132,S129&lt;$D$131,$BY$136&gt;S129),S129,IF(AND($C$132=$BD$122,S89=$AN$132),$AO$132,IF(AND($C$132=$BD$122,S89&gt;$AN$132),0))))))))))))))))))</f>
        <v>0</v>
      </c>
      <c r="T132" s="1368" t="b">
        <f>IF(AND($C$132=$BD$125,T89&lt;$AN$132),$AP$132,IF(AND($C$132=$BD$125,T89=$AN$132),$AO$132,IF(AND($C$132=$BD$125,T89&gt;$AN$132),0,IF($C$132=$BD$124,0,IF(AND($C$132=$BD$123,T89&lt;$AN$132,$BY$137&gt;=(($D$131/100)*T129)),(($D$131/100)*T129),IF(AND($C$132=$BD$123,T89&lt;$AN$132,$BY$137&lt;(($D$131/100)*T129)),$BY$137,IF(AND($C$132=$BD$123,T89=$AN$132),$AO$132,IF(AND($C$132=$BD$123,T89&gt;$AN$132),0,IF(AND($C$132=$BD$121,T89&lt;$AN$132,T129&gt;=$AR$132),$AR$132,IF(AND($C$132=$BD$121,T89&lt;$AN$132,T129&lt;$AR$132),T129,IF(AND($C$132=$BD$121,T89=$AN$132),$AO$132,IF(AND($C$132=$BD$121,T89&gt;$AN$132),0,IF(AND($C$132=$BD$122,T89&lt;$AN$132,T129&gt;=$D$131,$BY$137&gt;=$D$131),$D$131,IF(AND($C$132=$BD$122,T89&lt;$AN$132,T129&gt;=$D$131,$BY$137&lt;$D$131),$BY$137,IF(AND($C$132=$BD$122,T89&lt;$AN$132,T129&lt;$D$131,$BY$137&lt;T129),$BY$137,IF(AND($C$132=$BD$122,T89&lt;$AN$132,T129&lt;$D$131,$BY$137&gt;T129),T129,IF(AND($C$132=$BD$122,T89=$AN$132),$AO$132,IF(AND($C$132=$BD$122,T89&gt;$AN$132),0))))))))))))))))))</f>
        <v>0</v>
      </c>
      <c r="U132" s="1368" t="b">
        <f>IF(AND($C$132=$BD$125,U89&lt;$AN$132),$AP$132,IF(AND($C$132=$BD$125,U89=$AN$132),$AO$132,IF(AND($C$132=$BD$125,U89&gt;$AN$132),0,IF($C$132=$BD$124,0,IF(AND($C$132=$BD$123,U89&lt;$AN$132,$BY$138&gt;=(($D$131/100)*U129)),(($D$131/100)*U129),IF(AND($C$132=$BD$123,U89&lt;$AN$132,$BY$138&lt;(($D$131/100)*U129)),$BY$138,IF(AND($C$132=$BD$123,U89=$AN$132),$AO$132,IF(AND($C$132=$BD$123,U89&gt;$AN$132),0,IF(AND($C$132=$BD$121,U89&lt;$AN$132,U129&gt;=$AR$132),$AR$132,IF(AND($C$132=$BD$121,U89&lt;$AN$132,U129&lt;$AR$132),U129,IF(AND($C$132=$BD$121,U89=$AN$132),$AO$132,IF(AND($C$132=$BD$121,U89&gt;$AN$132),0,IF(AND($C$132=$BD$122,U89&lt;$AN$132,U129&gt;=$D$131,$BY$138&gt;=$D$131),$D$131,IF(AND($C$132=$BD$122,U89&lt;$AN$132,U129&gt;=$D$131,$BY$138&lt;$D$131),$BY$138,IF(AND($C$132=$BD$122,U89&lt;$AN$132,U129&lt;$D$131,$BY$138&lt;U129),$BY$138,IF(AND($C$132=$BD$122,U89&lt;$AN$132,U129&lt;$D$131,$BY$138&gt;U129),U129,IF(AND($C$132=$BD$122,U89=$AN$132),$AO$132,IF(AND($C$132=$BD$122,U89&gt;$AN$132),0))))))))))))))))))</f>
        <v>0</v>
      </c>
      <c r="V132" s="1368" t="b">
        <f>IF(AND($C$132=$BD$125,V89&lt;$AN$132),$AP$132,IF(AND($C$132=$BD$125,V89=$AN$132),$AO$132,IF(AND($C$132=$BD$125,V89&gt;$AN$132),0,IF($C$132=$BD$124,0,IF(AND($C$132=$BD$123,V89&lt;$AN$132,$BY$139&gt;=(($D$131/100)*V129)),(($D$131/100)*V129),IF(AND($C$132=$BD$123,V89&lt;$AN$132,$BY$139&lt;(($D$131/100)*V129)),$BY$139,IF(AND($C$132=$BD$123,V89=$AN$132),$AO$132,IF(AND($C$132=$BD$123,V89&gt;$AN$132),0,IF(AND($C$132=$BD$121,V89&lt;$AN$132,V129&gt;=$AR$132),$AR$132,IF(AND($C$132=$BD$121,V89&lt;$AN$132,V129&lt;$AR$132),V129,IF(AND($C$132=$BD$121,V89=$AN$132),$AO$132,IF(AND($C$132=$BD$121,V89&gt;$AN$132),0,IF(AND($C$132=$BD$122,V89&lt;$AN$132,V129&gt;=$D$131,$BY$139&gt;=$D$131),$D$131,IF(AND($C$132=$BD$122,V89&lt;$AN$132,V129&gt;=$D$131,$BY$139&lt;$D$131),$BY$139,IF(AND($C$132=$BD$122,V89&lt;$AN$132,V129&lt;$D$131,$BY$139&lt;V129),$BY$139,IF(AND($C$132=$BD$122,V89&lt;$AN$132,V129&lt;$D$131,$BY$139&gt;V129),V129,IF(AND($C$132=$BD$122,V89=$AN$132),$AO$132,IF(AND($C$132=$BD$122,V89&gt;$AN$132),0))))))))))))))))))</f>
        <v>0</v>
      </c>
      <c r="W132" s="1368" t="b">
        <f>IF(AND($C$132=$BD$125,W89&lt;$AN$132),$AP$132,IF(AND($C$132=$BD$125,W89=$AN$132),$AO$132,IF(AND($C$132=$BD$125,W89&gt;$AN$132),0,IF($C$132=$BD$124,0,IF(AND($C$132=$BD$123,W89&lt;$AN$132,$BY$140&gt;=(($D$131/100)*W129)),(($D$131/100)*W129),IF(AND($C$132=$BD$123,W89&lt;$AN$132,$BY$140&lt;(($D$131/100)*W129)),$BY$140,IF(AND($C$132=$BD$123,W89=$AN$132),$AO$132,IF(AND($C$132=$BD$123,W89&gt;$AN$132),0,IF(AND($C$132=$BD$121,W89&lt;$AN$132,W129&gt;=$AR$132),$AR$132,IF(AND($C$132=$BD$121,W89&lt;$AN$132,W129&lt;$AR$132),W129,IF(AND($C$132=$BD$121,W89=$AN$132),$AO$132,IF(AND($C$132=$BD$121,W89&gt;$AN$132),0,IF(AND($C$132=$BD$122,W89&lt;$AN$132,W129&gt;=$D$131,$BY$140&gt;=$D$131),$D$131,IF(AND($C$132=$BD$122,W89&lt;$AN$132,W129&gt;=$D$131,$BY$140&lt;$D$131),$BY$140,IF(AND($C$132=$BD$122,W89&lt;$AN$132,W129&lt;$D$131,$BY$140&lt;W129),$BY$140,IF(AND($C$132=$BD$122,W89&lt;$AN$132,W129&lt;$D$131,$BY$140&gt;W129),W129,IF(AND($C$132=$BD$122,W89=$AN$132),$AO$132,IF(AND($C$132=$BD$122,W89&gt;$AN$132),0))))))))))))))))))</f>
        <v>0</v>
      </c>
      <c r="X132" s="1368" t="b">
        <f>IF(AND($C$132=$BD$125,X89&lt;$AN$132),$AP$132,IF(AND($C$132=$BD$125,X89=$AN$132),$AO$132,IF(AND($C$132=$BD$125,X89&gt;$AN$132),0,IF($C$132=$BD$124,0,IF(AND($C$132=$BD$123,X89&lt;$AN$132,$BY$141&gt;=(($D$131/100)*X129)),(($D$131/100)*X129),IF(AND($C$132=$BD$123,X89&lt;$AN$132,$BY$141&lt;(($D$131/100)*X129)),$BY$141,IF(AND($C$132=$BD$123,X89=$AN$132),$AO$132,IF(AND($C$132=$BD$123,X89&gt;$AN$132),0,IF(AND($C$132=$BD$121,X89&lt;$AN$132,X129&gt;=$AR$132),$AR$132,IF(AND($C$132=$BD$121,X89&lt;$AN$132,X129&lt;$AR$132),X129,IF(AND($C$132=$BD$121,X89=$AN$132),$AO$132,IF(AND($C$132=$BD$121,X89&gt;$AN$132),0,IF(AND($C$132=$BD$122,X89&lt;$AN$132,X129&gt;=$D$131,$BY$141&gt;=$D$131),$D$131,IF(AND($C$132=$BD$122,X89&lt;$AN$132,X129&gt;=$D$131,$BY$141&lt;$D$131),$BY$141,IF(AND($C$132=$BD$122,X89&lt;$AN$132,X129&lt;$D$131,$BY$141&lt;X129),$BY$141,IF(AND($C$132=$BD$122,X89&lt;$AN$132,X129&lt;$D$131,$BY$141&gt;X129),X129,IF(AND($C$132=$BD$122,X89=$AN$132),$AO$132,IF(AND($C$132=$BD$122,X89&gt;$AN$132),0))))))))))))))))))</f>
        <v>0</v>
      </c>
      <c r="Y132" s="1368" t="b">
        <f>IF(AND($C$132=$BD$125,Y89&lt;$AN$132),$AP$132,IF(AND($C$132=$BD$125,Y89=$AN$132),$AO$132,IF(AND($C$132=$BD$125,Y89&gt;$AN$132),0,IF($C$132=$BD$124,0,IF(AND($C$132=$BD$123,Y89&lt;$AN$132,$BY$142&gt;=(($D$131/100)*Y129)),(($D$131/100)*Y129),IF(AND($C$132=$BD$123,Y89&lt;$AN$132,$BY$142&lt;(($D$131/100)*Y129)),$BY$142,IF(AND($C$132=$BD$123,Y89=$AN$132),$AO$132,IF(AND($C$132=$BD$123,Y89&gt;$AN$132),0,IF(AND($C$132=$BD$121,Y89&lt;$AN$132,Y129&gt;=$AR$132),$AR$132,IF(AND($C$132=$BD$121,Y89&lt;$AN$132,Y129&lt;$AR$132),Y129,IF(AND($C$132=$BD$121,Y89=$AN$132),$AO$132,IF(AND($C$132=$BD$121,Y89&gt;$AN$132),0,IF(AND($C$132=$BD$122,Y89&lt;$AN$132,Y129&gt;=$D$131,$BY$142&gt;=$D$131),$D$131,IF(AND($C$132=$BD$122,Y89&lt;$AN$132,Y129&gt;=$D$131,$BY$142&lt;$D$131),$BY$142,IF(AND($C$132=$BD$122,Y89&lt;$AN$132,Y129&lt;$D$131,$BY$142&lt;Y129),$BY$142,IF(AND($C$132=$BD$122,Y89&lt;$AN$132,Y129&lt;$D$131,$BY$142&gt;Y129),Y129,IF(AND($C$132=$BD$122,Y89=$AN$132),$AO$132,IF(AND($C$132=$BD$122,Y89&gt;$AN$132),0))))))))))))))))))</f>
        <v>0</v>
      </c>
      <c r="Z132" s="1368" t="b">
        <f>IF(AND($C$132=$BD$125,Z89&lt;$AN$132),$AP$132,IF(AND($C$132=$BD$125,Z89=$AN$132),$AO$132,IF(AND($C$132=$BD$125,Z89&gt;$AN$132),0,IF($C$132=$BD$124,0,IF(AND($C$132=$BD$123,Z89&lt;$AN$132,$BY$143&gt;=(($D$131/100)*Z129)),(($D$131/100)*Z129),IF(AND($C$132=$BD$123,Z89&lt;$AN$132,$BY$143&lt;(($D$131/100)*Z129)),$BY$143,IF(AND($C$132=$BD$123,Z89=$AN$132),$AO$132,IF(AND($C$132=$BD$123,Z89&gt;$AN$132),0,IF(AND($C$132=$BD$121,Z89&lt;$AN$132,Z129&gt;=$AR$132),$AR$132,IF(AND($C$132=$BD$121,Z89&lt;$AN$132,Z129&lt;$AR$132),Z129,IF(AND($C$132=$BD$121,Z89=$AN$132),$AO$132,IF(AND($C$132=$BD$121,Z89&gt;$AN$132),0,IF(AND($C$132=$BD$122,Z89&lt;$AN$132,Z129&gt;=$D$131,$BY$143&gt;=$D$131),$D$131,IF(AND($C$132=$BD$122,Z89&lt;$AN$132,Z129&gt;=$D$131,$BY$143&lt;$D$131),$BY$143,IF(AND($C$132=$BD$122,Z89&lt;$AN$132,Z129&lt;$D$131,$BY$143&lt;Z129),$BY$143,IF(AND($C$132=$BD$122,Z89&lt;$AN$132,Z129&lt;$D$131,$BY$143&gt;Z129),Z129,IF(AND($C$132=$BD$122,Z89=$AN$132),$AO$132,IF(AND($C$132=$BD$122,Z89&gt;$AN$132),0))))))))))))))))))</f>
        <v>0</v>
      </c>
      <c r="AA132" s="1368" t="b">
        <f>IF(AND($C$132=$BD$125,AA89&lt;$AN$132),$AP$132,IF(AND($C$132=$BD$125,AA89=$AN$132),$AO$132,IF(AND($C$132=$BD$125,AA89&gt;$AN$132),0,IF($C$132=$BD$124,0,IF(AND($C$132=$BD$123,AA89&lt;$AN$132,$BY$144&gt;=(($D$131/100)*AA129)),(($D$131/100)*AA129),IF(AND($C$132=$BD$123,AA89&lt;$AN$132,$BY$144&lt;(($D$131/100)*AA129)),$BY$144,IF(AND($C$132=$BD$123,AA89=$AN$132),$AO$132,IF(AND($C$132=$BD$123,AA89&gt;$AN$132),0,IF(AND($C$132=$BD$121,AA89&lt;$AN$132,AA129&gt;=$AR$132),$AR$132,IF(AND($C$132=$BD$121,AA89&lt;$AN$132,AA129&lt;$AR$132),AA129,IF(AND($C$132=$BD$121,AA89=$AN$132),$AO$132,IF(AND($C$132=$BD$121,AA89&gt;$AN$132),0,IF(AND($C$132=$BD$122,AA89&lt;$AN$132,AA129&gt;=$D$131,$BY$144&gt;=$D$131),$D$131,IF(AND($C$132=$BD$122,AA89&lt;$AN$132,AA129&gt;=$D$131,$BY$144&lt;$D$131),$BY$144,IF(AND($C$132=$BD$122,AA89&lt;$AN$132,AA129&lt;$D$131,$BY$144&lt;AA129),$BY$144,IF(AND($C$132=$BD$122,AA89&lt;$AN$132,AA129&lt;$D$131,$BY$144&gt;AA129),AA129,IF(AND($C$132=$BD$122,AA89=$AN$132),$AO$132,IF(AND($C$132=$BD$122,AA89&gt;$AN$132),0))))))))))))))))))</f>
        <v>0</v>
      </c>
      <c r="AB132" s="1368" t="b">
        <f>IF(AND($C$132=$BD$125,AB89&lt;$AN$132),$AP$132,IF(AND($C$132=$BD$125,AB89=$AN$132),$AO$132,IF(AND($C$132=$BD$125,AB89&gt;$AN$132),0,IF($C$132=$BD$124,0,IF(AND($C$132=$BD$123,AB89&lt;$AN$132,$BY$145&gt;=(($D$131/100)*AB129)),(($D$131/100)*AB129),IF(AND($C$132=$BD$123,AB89&lt;$AN$132,$BY$145&lt;(($D$131/100)*AB129)),$BY$145,IF(AND($C$132=$BD$123,AB89=$AN$132),$AO$132,IF(AND($C$132=$BD$123,AB89&gt;$AN$132),0,IF(AND($C$132=$BD$121,AB89&lt;$AN$132,AB129&gt;=$AR$132),$AR$132,IF(AND($C$132=$BD$121,AB89&lt;$AN$132,AB129&lt;$AR$132),AB129,IF(AND($C$132=$BD$121,AB89=$AN$132),$AO$132,IF(AND($C$132=$BD$121,AB89&gt;$AN$132),0,IF(AND($C$132=$BD$122,AB89&lt;$AN$132,AB129&gt;=$D$131,$BY$145&gt;=$D$131),$D$131,IF(AND($C$132=$BD$122,AB89&lt;$AN$132,AB129&gt;=$D$131,$BY$145&lt;$D$131),$BY$145,IF(AND($C$132=$BD$122,AB89&lt;$AN$132,AB129&lt;$D$131,$BY$145&lt;AB129),$BY$145,IF(AND($C$132=$BD$122,AB89&lt;$AN$132,AB129&lt;$D$131,$BY$145&gt;AB129),AB129,IF(AND($C$132=$BD$122,AB89=$AN$132),$AO$132,IF(AND($C$132=$BD$122,AB89&gt;$AN$132),0))))))))))))))))))</f>
        <v>0</v>
      </c>
      <c r="AC132" s="1368" t="b">
        <f>IF(AND($C$132=$BD$125,AC89&lt;$AN$132),$AP$132,IF(AND($C$132=$BD$125,AC89=$AN$132),$AO$132,IF(AND($C$132=$BD$125,AC89&gt;$AN$132),0,IF($C$132=$BD$124,0,IF(AND($C$132=$BD$123,AC89&lt;$AN$132,$BY$146&gt;=(($D$131/100)*AC129)),(($D$131/100)*AC129),IF(AND($C$132=$BD$123,AC89&lt;$AN$132,$BY$146&lt;(($D$131/100)*AC129)),$BY$146,IF(AND($C$132=$BD$123,AC89=$AN$132),$AO$132,IF(AND($C$132=$BD$123,AC89&gt;$AN$132),0,IF(AND($C$132=$BD$121,AC89&lt;$AN$132,AC129&gt;=$AR$132),$AR$132,IF(AND($C$132=$BD$121,AC89&lt;$AN$132,AC129&lt;$AR$132),AC129,IF(AND($C$132=$BD$121,AC89=$AN$132),$AO$132,IF(AND($C$132=$BD$121,AC89&gt;$AN$132),0,IF(AND($C$132=$BD$122,AC89&lt;$AN$132,AC129&gt;=$D$131,$BY$146&gt;=$D$131),$D$131,IF(AND($C$132=$BD$122,AC89&lt;$AN$132,AC129&gt;=$D$131,$BY$146&lt;$D$131),$BY$146,IF(AND($C$132=$BD$122,AC89&lt;$AN$132,AC129&lt;$D$131,$BY$146&lt;AC129),$BY$146,IF(AND($C$132=$BD$122,AC89&lt;$AN$132,AC129&lt;$D$131,$BY$146&gt;AC129),AC129,IF(AND($C$132=$BD$122,AC89=$AN$132),$AO$132,IF(AND($C$132=$BD$122,AC89&gt;$AN$132),0))))))))))))))))))</f>
        <v>0</v>
      </c>
      <c r="AD132" s="1368" t="b">
        <f>IF(AND($C$132=$BD$125,AD89&lt;$AN$132),$AP$132,IF(AND($C$132=$BD$125,AD89=$AN$132),$AO$132,IF(AND($C$132=$BD$125,AD89&gt;$AN$132),0,IF($C$132=$BD$124,0,IF(AND($C$132=$BD$123,AD89&lt;$AN$132,$BY$147&gt;=(($D$131/100)*AD129)),(($D$131/100)*AD129),IF(AND($C$132=$BD$123,AD89&lt;$AN$132,$BY$147&lt;(($D$131/100)*AD129)),$BY$147,IF(AND($C$132=$BD$123,AD89=$AN$132),$AO$132,IF(AND($C$132=$BD$123,AD89&gt;$AN$132),0,IF(AND($C$132=$BD$121,AD89&lt;$AN$132,AD129&gt;=$AR$132),$AR$132,IF(AND($C$132=$BD$121,AD89&lt;$AN$132,AD129&lt;$AR$132),AD129,IF(AND($C$132=$BD$121,AD89=$AN$132),$AO$132,IF(AND($C$132=$BD$121,AD89&gt;$AN$132),0,IF(AND($C$132=$BD$122,AD89&lt;$AN$132,AD129&gt;=$D$131,$BY$147&gt;=$D$131),$D$131,IF(AND($C$132=$BD$122,AD89&lt;$AN$132,AD129&gt;=$D$131,$BY$147&lt;$D$131),$BY$147,IF(AND($C$132=$BD$122,AD89&lt;$AN$132,AD129&lt;$D$131,$BY$147&lt;AD129),$BY$147,IF(AND($C$132=$BD$122,AD89&lt;$AN$132,AD129&lt;$D$131,$BY$147&gt;AD129),AD129,IF(AND($C$132=$BD$122,AD89=$AN$132),$AO$132,IF(AND($C$132=$BD$122,AD89&gt;$AN$132),0))))))))))))))))))</f>
        <v>0</v>
      </c>
      <c r="AE132" s="1368" t="b">
        <f>IF(AND($C$132=$BD$125,AE89&lt;$AN$132),$AP$132,IF(AND($C$132=$BD$125,AE89=$AN$132),$AO$132,IF(AND($C$132=$BD$125,AE89&gt;$AN$132),0,IF($C$132=$BD$124,0,IF(AND($C$132=$BD$123,AE89&lt;$AN$132,$BY$148&gt;=(($D$131/100)*AE129)),(($D$131/100)*AE129),IF(AND($C$132=$BD$123,AE89&lt;$AN$132,$BY$148&lt;(($D$131/100)*AE129)),$BY$148,IF(AND($C$132=$BD$123,AE89=$AN$132),$AO$132,IF(AND($C$132=$BD$123,AE89&gt;$AN$132),0,IF(AND($C$132=$BD$121,AE89&lt;$AN$132,AE129&gt;=$AR$132),$AR$132,IF(AND($C$132=$BD$121,AE89&lt;$AN$132,AE129&lt;$AR$132),AE129,IF(AND($C$132=$BD$121,AE89=$AN$132),$AO$132,IF(AND($C$132=$BD$121,AE89&gt;$AN$132),0,IF(AND($C$132=$BD$122,AE89&lt;$AN$132,AE129&gt;=$D$131,$BY$148&gt;=$D$131),$D$131,IF(AND($C$132=$BD$122,AE89&lt;$AN$132,AE129&gt;=$D$131,$BY$148&lt;$D$131),$BY$148,IF(AND($C$132=$BD$122,AE89&lt;$AN$132,AE129&lt;$D$131,$BY$148&lt;AE129),$BY$148,IF(AND($C$132=$BD$122,AE89&lt;$AN$132,AE129&lt;$D$131,$BY$148&gt;AE129),AE129,IF(AND($C$132=$BD$122,AE89=$AN$132),$AO$132,IF(AND($C$132=$BD$122,AE89&gt;$AN$132),0))))))))))))))))))</f>
        <v>0</v>
      </c>
      <c r="AF132" s="1368" t="b">
        <f>IF(AND($C$132=$BD$125,AF89&lt;$AN$132),$AP$132,IF(AND($C$132=$BD$125,AF89=$AN$132),$AO$132,IF(AND($C$132=$BD$125,AF89&gt;$AN$132),0,IF($C$132=$BD$124,0,IF(AND($C$132=$BD$123,AF89&lt;$AN$132,$BY$149&gt;=(($D$131/100)*AF129)),(($D$131/100)*AF129),IF(AND($C$132=$BD$123,AF89&lt;$AN$132,$BY$149&lt;(($D$131/100)*AF129)),$BY$149,IF(AND($C$132=$BD$123,AF89=$AN$132),$AO$132,IF(AND($C$132=$BD$123,AF89&gt;$AN$132),0,IF(AND($C$132=$BD$121,AF89&lt;$AN$132,AF129&gt;=$AR$132),$AR$132,IF(AND($C$132=$BD$121,AF89&lt;$AN$132,AF129&lt;$AR$132),AF129,IF(AND($C$132=$BD$121,AF89=$AN$132),$AO$132,IF(AND($C$132=$BD$121,AF89&gt;$AN$132),0,IF(AND($C$132=$BD$122,AF89&lt;$AN$132,AF129&gt;=$D$131,$BY$149&gt;=$D$131),$D$131,IF(AND($C$132=$BD$122,AF89&lt;$AN$132,AF129&gt;=$D$131,$BY$149&lt;$D$131),$BY$149,IF(AND($C$132=$BD$122,AF89&lt;$AN$132,AF129&lt;$D$131,$BY$149&lt;AF129),$BY$149,IF(AND($C$132=$BD$122,AF89&lt;$AN$132,AF129&lt;$D$131,$BY$149&gt;AF129),AF129,IF(AND($C$132=$BD$122,AF89=$AN$132),$AO$132,IF(AND($C$132=$BD$122,AF89&gt;$AN$132),0))))))))))))))))))</f>
        <v>0</v>
      </c>
      <c r="AG132" s="1368" t="b">
        <f>IF(AND($C$132=$BD$125,AG89&lt;$AN$132),$AP$132,IF(AND($C$132=$BD$125,AG89=$AN$132),$AO$132,IF(AND($C$132=$BD$125,AG89&gt;$AN$132),0,IF($C$132=$BD$124,0,IF(AND($C$132=$BD$123,AG89&lt;$AN$132,$BY$150&gt;=(($D$131/100)*AG129)),(($D$131/100)*AG129),IF(AND($C$132=$BD$123,AG89&lt;$AN$132,$BY$150&lt;(($D$131/100)*AG129)),$BY$150,IF(AND($C$132=$BD$123,AG89=$AN$132),$AO$132,IF(AND($C$132=$BD$123,AG89&gt;$AN$132),0,IF(AND($C$132=$BD$121,AG89&lt;$AN$132,AG129&gt;=$AR$132),$AR$132,IF(AND($C$132=$BD$121,AG89&lt;$AN$132,AG129&lt;$AR$132),AG129,IF(AND($C$132=$BD$121,AG89=$AN$132),$AO$132,IF(AND($C$132=$BD$121,AG89&gt;$AN$132),0,IF(AND($C$132=$BD$122,AG89&lt;$AN$132,AG129&gt;=$D$131,$BY$150&gt;=$D$131),$D$131,IF(AND($C$132=$BD$122,AG89&lt;$AN$132,AG129&gt;=$D$131,$BY$150&lt;$D$131),$BY$150,IF(AND($C$132=$BD$122,AG89&lt;$AN$132,AG129&lt;$D$131,$BY$150&lt;AG129),$BY$150,IF(AND($C$132=$BD$122,AG89&lt;$AN$132,AG129&lt;$D$131,$BY$150&gt;AG129),AG129,IF(AND($C$132=$BD$122,AG89=$AN$132),$AO$132,IF(AND($C$132=$BD$122,AG89&gt;$AN$132),0))))))))))))))))))</f>
        <v>0</v>
      </c>
      <c r="AH132" s="1368" t="b">
        <f>IF(AND($C$132=$BD$125,AH89&lt;$AN$132),$AP$132,IF(AND($C$132=$BD$125,AH89=$AN$132),$AO$132,IF(AND($C$132=$BD$125,AH89&gt;$AN$132),0,IF($C$132=$BD$124,0,IF(AND($C$132=$BD$123,AH89&lt;$AN$132,$BY$151&gt;=(($D$131/100)*AH129)),(($D$131/100)*AH129),IF(AND($C$132=$BD$123,AH89&lt;$AN$132,$BY$151&lt;(($D$131/100)*AH129)),$BY$151,IF(AND($C$132=$BD$123,AH89=$AN$132),$AO$132,IF(AND($C$132=$BD$123,AH89&gt;$AN$132),0,IF(AND($C$132=$BD$121,AH89&lt;$AN$132,AH129&gt;=$AR$132),$AR$132,IF(AND($C$132=$BD$121,AH89&lt;$AN$132,AH129&lt;$AR$132),AH129,IF(AND($C$132=$BD$121,AH89=$AN$132),$AO$132,IF(AND($C$132=$BD$121,AH89&gt;$AN$132),0,IF(AND($C$132=$BD$122,AH89&lt;$AN$132,AH129&gt;=$D$131,$BY$151&gt;=$D$131),$D$131,IF(AND($C$132=$BD$122,AH89&lt;$AN$132,AH129&gt;=$D$131,$BY$151&lt;$D$131),$BY$151,IF(AND($C$132=$BD$122,AH89&lt;$AN$132,AH129&lt;$D$131,$BY$151&lt;AH129),$BY$151,IF(AND($C$132=$BD$122,AH89&lt;$AN$132,AH129&lt;$D$131,$BY$151&gt;AH129),AH129,IF(AND($C$132=$BD$122,AH89=$AN$132),$AO$132,IF(AND($C$132=$BD$122,AH89&gt;$AN$132),0))))))))))))))))))</f>
        <v>0</v>
      </c>
      <c r="AI132" s="1368" t="b">
        <f>IF(AND($C$132=$BD$125,AI89&lt;$AN$132),$AP$132,IF(AND($C$132=$BD$125,AI89=$AN$132),$AO$132,IF(AND($C$132=$BD$125,AI89&gt;$AN$132),0,IF($C$132=$BD$124,0,IF(AND($C$132=$BD$123,AI89&lt;$AN$132,$BY$152&gt;=(($D$131/100)*AI129)),(($D$131/100)*AI129),IF(AND($C$132=$BD$123,AI89&lt;$AN$132,$BY$152&lt;(($D$131/100)*AI129)),$BY$152,IF(AND($C$132=$BD$123,AI89=$AN$132),$AO$132,IF(AND($C$132=$BD$123,AI89&gt;$AN$132),0,IF(AND($C$132=$BD$121,AI89&lt;$AN$132,AI129&gt;=$AR$132),$AR$132,IF(AND($C$132=$BD$121,AI89&lt;$AN$132,AI129&lt;$AR$132),AI129,IF(AND($C$132=$BD$121,AI89=$AN$132),$AO$132,IF(AND($C$132=$BD$121,AI89&gt;$AN$132),0,IF(AND($C$132=$BD$122,AI89&lt;$AN$132,AI129&gt;=$D$131,$BY$152&gt;=$D$131),$D$131,IF(AND($C$132=$BD$122,AI89&lt;$AN$132,AI129&gt;=$D$131,$BY$152&lt;$D$131),$BY$152,IF(AND($C$132=$BD$122,AI89&lt;$AN$132,AI129&lt;$D$131,$BY$152&lt;AI129),$BY$152,IF(AND($C$132=$BD$122,AI89&lt;$AN$132,AI129&lt;$D$131,$BY$152&gt;AI129),AI129,IF(AND($C$132=$BD$122,AI89=$AN$132),$AO$132,IF(AND($C$132=$BD$122,AI89&gt;$AN$132),0))))))))))))))))))</f>
        <v>0</v>
      </c>
      <c r="AJ132" s="1368" t="b">
        <f>IF(AND($C$132=$BD$125,AJ89&lt;$AN$132),$AP$132,IF(AND($C$132=$BD$125,AJ89=$AN$132),$AO$132,IF(AND($C$132=$BD$125,AJ89&gt;$AN$132),0,IF($C$132=$BD$124,0,IF(AND($C$132=$BD$123,AJ89&lt;$AN$132,$BY$153&gt;=(($D$131/100)*AJ129)),(($D$131/100)*AJ129),IF(AND($C$132=$BD$123,AJ89&lt;$AN$132,$BY$153&lt;(($D$131/100)*AJ129)),$BY$153,IF(AND($C$132=$BD$123,AJ89=$AN$132),$AO$132,IF(AND($C$132=$BD$123,AJ89&gt;$AN$132),0,IF(AND($C$132=$BD$121,AJ89&lt;$AN$132,AJ129&gt;=$AR$132),$AR$132,IF(AND($C$132=$BD$121,AJ89&lt;$AN$132,AJ129&lt;$AR$132),AJ129,IF(AND($C$132=$BD$121,AJ89=$AN$132),$AO$132,IF(AND($C$132=$BD$121,AJ89&gt;$AN$132),0,IF(AND($C$132=$BD$122,AJ89&lt;$AN$132,AJ129&gt;=$D$131,$BY$153&gt;=$D$131),$D$131,IF(AND($C$132=$BD$122,AJ89&lt;$AN$132,AJ129&gt;=$D$131,$BY$153&lt;$D$131),$BY$153,IF(AND($C$132=$BD$122,AJ89&lt;$AN$132,AJ129&lt;$D$131,$BY$153&lt;AJ129),$BY$153,IF(AND($C$132=$BD$122,AJ89&lt;$AN$132,AJ129&lt;$D$131,$BY$153&gt;AJ129),AJ129,IF(AND($C$132=$BD$122,AJ89=$AN$132),$AO$132,IF(AND($C$132=$BD$122,AJ89&gt;$AN$132),0))))))))))))))))))</f>
        <v>0</v>
      </c>
      <c r="AK132" s="1368" t="b">
        <f>IF(AND($C$132=$BD$125,AK89&lt;$AN$132),$AP$132,IF(AND($C$132=$BD$125,AK89=$AN$132),$AO$132,IF(AND($C$132=$BD$125,AK89&gt;$AN$132),0,IF($C$132=$BD$124,0,IF(AND($C$132=$BD$123,AK89&lt;$AN$132,$BY$155&gt;=(($D$131/100)*AK129)),(($D$131/100)*AK129),IF(AND($C$132=$BD$123,AK89&lt;$AN$132,$BY$155&lt;(($D$131/100)*AK129)),$BY$155,IF(AND($C$132=$BD$123,AK89=$AN$132),$AO$132,IF(AND($C$132=$BD$123,AK89&gt;$AN$132),0,IF(AND($C$132=$BD$121,AK89&lt;$AN$132,AK129&gt;=$AR$132),$AR$132,IF(AND($C$132=$BD$121,AK89&lt;$AN$132,AK129&lt;$AR$132),AK129,IF(AND($C$132=$BD$121,AK89=$AN$132),$AO$132,IF(AND($C$132=$BD$121,AK89&gt;$AN$132),0,IF(AND($C$132=$BD$122,AK89&lt;$AN$132,AK129&gt;=$D$131,$BY$155&gt;=$D$131),$D$131,IF(AND($C$132=$BD$122,AK89&lt;$AN$132,AK129&gt;=$D$131,$BY$155&lt;$D$131),$BY$155,IF(AND($C$132=$BD$122,AK89&lt;$AN$132,AK129&lt;$D$131,$BY$155&lt;AK129),$BY$155,IF(AND($C$132=$BD$122,AK89&lt;$AN$132,AK129&lt;$D$131,$BY$155&gt;AK129),AK129,IF(AND($C$132=$BD$122,AK89=$AN$132),$AO$132,IF(AND($C$132=$BD$122,AK89&gt;$AN$132),0))))))))))))))))))</f>
        <v>0</v>
      </c>
      <c r="AL132" s="1368" t="e">
        <f>IF(AND($C$132=$BD$125,AL89&lt;$AN$132),$AP$132,IF(AND($C$132=$BD$125,AL89=$AN$132),$AO$132,IF(AND($C$132=$BD$125,AL89&gt;$AN$132),0,IF($C$132=$BD$124,_xlfn.CONCAT("P/I Remaining:
 $",#REF!),IF(AND($C$132=$BD$123,AL89&lt;$AN$132,#REF!&gt;=(($D$131/100)*AL129)),(($D$131/100)*AL129),IF(AND($C$132=$BD$123,AL89&lt;$AN$132,#REF!&lt;(($D$131/100)*AL129)),#REF!,IF(AND($C$132=$BD$123,AL89=$AN$132),$AO$132,IF(AND($C$132=$BD$123,AL89&gt;$AN$132),0,IF(AND($C$132=$BD$121,AL89&lt;$AN$132,AL129&gt;=$AR$132),$AR$132,IF(AND($C$132=$BD$121,AL89&lt;$AN$132,AL129&lt;$AR$132),AL129,IF(AND($C$132=$BD$121,AL89=$AN$132),$AO$132,IF(AND($C$132=$BD$121,AL89&gt;$AN$132),0,IF(AND($C$132=$BD$122,AL89&lt;$AN$132,AL129&gt;=$D$131,#REF!&gt;=$D$131),$D$131,IF(AND($C$132=$BD$122,AL89&lt;$AN$132,AL129&gt;=$D$131,#REF!&lt;$D$131),#REF!,IF(AND($C$132=$BD$122,AL89&lt;$AN$132,AL129&lt;$D$131,#REF!&lt;AL129),#REF!,IF(AND($C$132=$BD$122,AL89&lt;$AN$132,AL129&lt;$D$131,#REF!&gt;AL129),AL129,IF(AND($C$132=$BD$122,AL89=$AN$132),$AO$132,IF(AND($C$132=$BD$122,AL89&gt;$AN$132),0))))))))))))))))))</f>
        <v>#REF!</v>
      </c>
      <c r="AM132" s="1034"/>
      <c r="AN132" s="1652">
        <f>_xlfn.XLOOKUP(C131,'12. Funding Sources'!$C$11:$C$23,'12. Funding Sources'!$L$11:$L$23,36)</f>
        <v>36</v>
      </c>
      <c r="AO132" s="1653" t="e">
        <f>#REF!*(1+AQ132)</f>
        <v>#REF!</v>
      </c>
      <c r="AP132" s="1653">
        <f>_xlfn.XLOOKUP(C131,'12. Funding Sources'!$C$11:$C$23,'17. Cash Flow and Reserves'!$BF$121:$BF$133,0)</f>
        <v>0</v>
      </c>
      <c r="AQ132" s="1654">
        <f>_xlfn.XLOOKUP(C131,'12. Funding Sources'!$C$11:$C$23,'12. Funding Sources'!$K$11:$K$23,0)</f>
        <v>0</v>
      </c>
      <c r="AR132" s="1653">
        <f>(IF(D129&gt;=_xlfn.XLOOKUP(C131,'12. Funding Sources'!C11:C23,AT121:AT133,0),_xlfn.XLOOKUP(C131,'12. Funding Sources'!$C$11:$C$23,'17. Cash Flow and Reserves'!$AT$121:$AT$133,0),D129))</f>
        <v>0</v>
      </c>
      <c r="AS132" s="1649" t="str">
        <f>_xlfn.CONCAT("Proposed Annual Debt Service - ",Source_12)</f>
        <v>Proposed Annual Debt Service - Other</v>
      </c>
      <c r="AT132" s="1650" t="e">
        <f>-PMT(Rate_12,Term_12,Amount_12)</f>
        <v>#NUM!</v>
      </c>
      <c r="AU132" s="1649">
        <f>IF('12. Funding Sources'!N22&gt;0,AV131+1,0)</f>
        <v>0</v>
      </c>
      <c r="AV132" s="1649">
        <f>MAX($AU$121:AU132)</f>
        <v>0</v>
      </c>
      <c r="AW132" s="1651">
        <v>12</v>
      </c>
      <c r="AX132" s="115">
        <f>IF(OR('12. Funding Sources'!J22='12. Funding Sources'!$R$12,'12. Funding Sources'!J22='12. Funding Sources'!$R$13),AY131+1,0)</f>
        <v>0</v>
      </c>
      <c r="AY132" s="1649">
        <f>IF(MAX($AX$121:AX132)=0,AY131,MAX($AX$121:AX132))</f>
        <v>10</v>
      </c>
      <c r="AZ132" s="1649">
        <v>22</v>
      </c>
      <c r="BA132" s="9" t="str">
        <f>_xlfn.XLOOKUP(AZ132,$AX$121:$AX$133,'12. Funding Sources'!$C$11:$C$23,"")</f>
        <v/>
      </c>
      <c r="BF132" s="579" t="e">
        <f>-IPMT(Rate_12,1,Term_12,Amount_12)</f>
        <v>#NUM!</v>
      </c>
      <c r="BH132" s="9">
        <v>12</v>
      </c>
      <c r="BI132" s="1323">
        <f>IF(AND($AN$122&gt;BH132,$C$122=$BD$121),(O$122),IF(AND($AN$122&gt;BH132,$C$122=$BD$122),(O$122),IF(AND($AN$122&gt;BH132,$C$122=$BD$123),(O$122),IF(AND($AN$122&gt;BH132,$C$122=$BD$124),(O$121),IF(AND($AN$122&gt;BH132,$C$122=$BD$125),(O$122),0)))))</f>
        <v>0</v>
      </c>
      <c r="BJ132" s="1323">
        <v>0</v>
      </c>
      <c r="BK132" s="1323">
        <v>0</v>
      </c>
      <c r="BL132" s="1323">
        <f t="shared" si="312"/>
        <v>0</v>
      </c>
      <c r="BM132" s="1320">
        <f t="shared" si="313"/>
        <v>0</v>
      </c>
      <c r="BN132" s="9">
        <v>12</v>
      </c>
      <c r="BO132" s="1323">
        <f>IF(AND($AN$127&gt;BN132,$C$127=$BD$121),(O$127),IF(AND($AN$127&gt;BN132,$C$127=$BD$122),(O$127),IF(AND($AN$127&gt;BN132,$C$127=$BD$123),(O$127),IF(AND($AN$127&gt;BN132,$C$127=$BD$124),(O$126),IF(AND($AN$127&gt;BN132,$C$127=$BD$125),(O$127),0)))))</f>
        <v>0</v>
      </c>
      <c r="BP132" s="1323">
        <v>0</v>
      </c>
      <c r="BQ132" s="1323">
        <v>0</v>
      </c>
      <c r="BR132" s="1323">
        <f t="shared" si="301"/>
        <v>0</v>
      </c>
      <c r="BS132" s="1324">
        <f t="shared" si="309"/>
        <v>0</v>
      </c>
      <c r="BT132" s="9">
        <v>12</v>
      </c>
      <c r="BU132" s="1323">
        <f>IF(AND($AN$132&gt;BT132,$C$132=$BD$121),(O$132),IF(AND($AN$132&gt;BT132,$C$132=$BD$122),(O$132),IF(AND($AN$132&gt;BT132,$C$132=$BD$123),(O$132),IF(AND($AN$132&gt;BT132,$C$132=$BD$124),(O$131),IF(AND($AN$132&gt;BT132,$C$132=$BD$125),(O$132),0)))))</f>
        <v>0</v>
      </c>
      <c r="BV132" s="1323">
        <v>0</v>
      </c>
      <c r="BW132" s="1323">
        <v>0</v>
      </c>
      <c r="BX132" s="1323">
        <f t="shared" si="302"/>
        <v>0</v>
      </c>
      <c r="BY132" s="1324">
        <f t="shared" si="303"/>
        <v>0</v>
      </c>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row>
    <row r="133" spans="2:102" ht="16.5" customHeight="1">
      <c r="B133" s="1411"/>
      <c r="C133" s="1668" t="s">
        <v>4753</v>
      </c>
      <c r="D133" s="1369">
        <f t="shared" ref="D133:AL133" si="315">IFERROR(IF($C$132=$BD$124,(D$86/(D$90+D$96+D$100+D$104+D$108+D$112+D$116+SUM(D121:D122)+SUM(D126:D127)+D$131)),IF(OR($C$132=$BD$121,$C$132=$BD$122,$C$132=$BD$123,$C$132=$BD$125),(D$86/(D$90+D$96+D$100+D$104+D$108+D$112+D$116+D$132)),D128)),D128)</f>
        <v>0</v>
      </c>
      <c r="E133" s="1369">
        <f t="shared" si="315"/>
        <v>0</v>
      </c>
      <c r="F133" s="1369">
        <f t="shared" si="315"/>
        <v>0</v>
      </c>
      <c r="G133" s="1369">
        <f t="shared" si="315"/>
        <v>0</v>
      </c>
      <c r="H133" s="1369">
        <f t="shared" si="315"/>
        <v>0</v>
      </c>
      <c r="I133" s="1369">
        <f t="shared" si="315"/>
        <v>0</v>
      </c>
      <c r="J133" s="1369">
        <f t="shared" si="315"/>
        <v>0</v>
      </c>
      <c r="K133" s="1369">
        <f t="shared" si="315"/>
        <v>0</v>
      </c>
      <c r="L133" s="1369">
        <f t="shared" si="315"/>
        <v>0</v>
      </c>
      <c r="M133" s="1369">
        <f t="shared" si="315"/>
        <v>0</v>
      </c>
      <c r="N133" s="1369">
        <f t="shared" si="315"/>
        <v>0</v>
      </c>
      <c r="O133" s="1369">
        <f t="shared" si="315"/>
        <v>0</v>
      </c>
      <c r="P133" s="1369">
        <f t="shared" si="315"/>
        <v>0</v>
      </c>
      <c r="Q133" s="1369">
        <f t="shared" si="315"/>
        <v>0</v>
      </c>
      <c r="R133" s="1369">
        <f t="shared" si="315"/>
        <v>0</v>
      </c>
      <c r="S133" s="1369">
        <f t="shared" si="315"/>
        <v>0</v>
      </c>
      <c r="T133" s="1369">
        <f t="shared" si="315"/>
        <v>0</v>
      </c>
      <c r="U133" s="1369">
        <f t="shared" si="315"/>
        <v>0</v>
      </c>
      <c r="V133" s="1369">
        <f t="shared" si="315"/>
        <v>0</v>
      </c>
      <c r="W133" s="1369">
        <f t="shared" si="315"/>
        <v>0</v>
      </c>
      <c r="X133" s="1369">
        <f t="shared" si="315"/>
        <v>0</v>
      </c>
      <c r="Y133" s="1369">
        <f t="shared" si="315"/>
        <v>0</v>
      </c>
      <c r="Z133" s="1369">
        <f t="shared" si="315"/>
        <v>0</v>
      </c>
      <c r="AA133" s="1369">
        <f t="shared" si="315"/>
        <v>0</v>
      </c>
      <c r="AB133" s="1369">
        <f t="shared" si="315"/>
        <v>0</v>
      </c>
      <c r="AC133" s="1369">
        <f t="shared" si="315"/>
        <v>0</v>
      </c>
      <c r="AD133" s="1369">
        <f t="shared" si="315"/>
        <v>0</v>
      </c>
      <c r="AE133" s="1369">
        <f t="shared" si="315"/>
        <v>0</v>
      </c>
      <c r="AF133" s="1369">
        <f t="shared" si="315"/>
        <v>0</v>
      </c>
      <c r="AG133" s="1369">
        <f t="shared" si="315"/>
        <v>0</v>
      </c>
      <c r="AH133" s="1369">
        <f t="shared" si="315"/>
        <v>0</v>
      </c>
      <c r="AI133" s="1369">
        <f t="shared" si="315"/>
        <v>0</v>
      </c>
      <c r="AJ133" s="1369">
        <f t="shared" si="315"/>
        <v>0</v>
      </c>
      <c r="AK133" s="1369">
        <f t="shared" si="315"/>
        <v>0</v>
      </c>
      <c r="AL133" s="1369">
        <f t="shared" si="315"/>
        <v>0</v>
      </c>
      <c r="AM133" s="1034"/>
      <c r="AO133" s="1653">
        <f>ROUND((MIN(BX121:BX155)*(AQ132+1)),0)</f>
        <v>0</v>
      </c>
      <c r="AP133" s="1653"/>
      <c r="AS133" s="1649" t="str">
        <f>_xlfn.CONCAT("Proposed Annual Debt Service - ",Source_13)</f>
        <v>Proposed Annual Debt Service - Other</v>
      </c>
      <c r="AT133" s="1650" t="e">
        <f>-PMT(Rate_13,Term_13,Amount_13)</f>
        <v>#NUM!</v>
      </c>
      <c r="AU133" s="1649">
        <f>IF('12. Funding Sources'!N23&gt;0,AV132+1,0)</f>
        <v>0</v>
      </c>
      <c r="AV133" s="1649">
        <f>MAX($AU$121:AU133)</f>
        <v>0</v>
      </c>
      <c r="AW133" s="1649">
        <v>13</v>
      </c>
      <c r="AX133" s="115">
        <f>IF(OR('12. Funding Sources'!J23='12. Funding Sources'!$R$12,'12. Funding Sources'!J23='12. Funding Sources'!$R$13),AY132+1,0)</f>
        <v>0</v>
      </c>
      <c r="AY133" s="1649">
        <f>IF(MAX($AX$121:AX133)=0,AY132,MAX($AX$121:AX133))</f>
        <v>10</v>
      </c>
      <c r="AZ133" s="1649">
        <v>23</v>
      </c>
      <c r="BA133" s="9" t="str">
        <f>_xlfn.XLOOKUP(AZ133,$AX$121:$AX$133,'12. Funding Sources'!$C$11:$C$23,"")</f>
        <v/>
      </c>
      <c r="BF133" s="579" t="e">
        <f>-IPMT(Rate_13,1,Term_13,Amount_13)</f>
        <v>#NUM!</v>
      </c>
      <c r="BH133" s="9">
        <v>13</v>
      </c>
      <c r="BI133" s="1323">
        <f>IF(AND($AN$122&gt;BH133,$C$122=$BD$121),(P$122),IF(AND($AN$122&gt;BH133,$C$122=$BD$122),(P$122),IF(AND($AN$122&gt;BH133,$C$122=$BD$123),(P$122),IF(AND($AN$122&gt;BH133,$C$122=$BD$124),(P$121),IF(AND($AN$122&gt;BH133,$C$122=$BD$125),(P$122),0)))))</f>
        <v>0</v>
      </c>
      <c r="BJ133" s="1323">
        <v>0</v>
      </c>
      <c r="BK133" s="1323">
        <v>0</v>
      </c>
      <c r="BL133" s="1323">
        <f t="shared" si="312"/>
        <v>0</v>
      </c>
      <c r="BM133" s="1320">
        <f t="shared" si="313"/>
        <v>0</v>
      </c>
      <c r="BN133" s="9">
        <v>13</v>
      </c>
      <c r="BO133" s="1323">
        <f>IF(AND($AN$127&gt;BN133,$C$127=$BD$121),(P$127),IF(AND($AN$127&gt;BN133,$C$127=$BD$122),(P$127),IF(AND($AN$127&gt;BN133,$C$127=$BD$123),(P$127),IF(AND($AN$127&gt;BN133,$C$127=$BD$124),(P$126),IF(AND($AN$127&gt;BN133,$C$127=$BD$125),(P$127),0)))))</f>
        <v>0</v>
      </c>
      <c r="BP133" s="1323">
        <v>0</v>
      </c>
      <c r="BQ133" s="1323">
        <v>0</v>
      </c>
      <c r="BR133" s="1323">
        <f t="shared" si="301"/>
        <v>0</v>
      </c>
      <c r="BS133" s="1324">
        <f t="shared" si="309"/>
        <v>0</v>
      </c>
      <c r="BT133" s="9">
        <v>13</v>
      </c>
      <c r="BU133" s="1323">
        <f>IF(AND($AN$132&gt;BT133,$C$132=$BD$121),(P$132),IF(AND($AN$132&gt;BT133,$C$132=$BD$122),(P$132),IF(AND($AN$132&gt;BT133,$C$132=$BD$123),(P$132),IF(AND($AN$132&gt;BT133,$C$132=$BD$124),(P$131),IF(AND($AN$132&gt;BT133,$C$132=$BD$125),(P$132),0)))))</f>
        <v>0</v>
      </c>
      <c r="BV133" s="1323">
        <v>0</v>
      </c>
      <c r="BW133" s="1323">
        <v>0</v>
      </c>
      <c r="BX133" s="1323">
        <f t="shared" si="302"/>
        <v>0</v>
      </c>
      <c r="BY133" s="1324">
        <f t="shared" si="303"/>
        <v>0</v>
      </c>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row>
    <row r="134" spans="2:102" ht="16.5" customHeight="1">
      <c r="B134" s="1411"/>
      <c r="C134" s="1357" t="s">
        <v>4757</v>
      </c>
      <c r="D134" s="1667">
        <f>IFERROR(MAX((IF($C$132=$BD$125,(D129-D132),IF($C$132=$BD$124,D129-D131,IF($C$132=$BD$123,D129-D132,IF($C$132=$BD$122,D129-D132,IF($C$132=$BD$121,D129-D132,D129)))))),0),D129)</f>
        <v>0</v>
      </c>
      <c r="E134" s="1370">
        <f t="shared" ref="E134:AL134" si="316">IFERROR(MAX((IF($C$132=$BD$125,(E129-E132),IF($C$132=$BD$124,E129-E131,IF($C$132=$BD$123,E129-E132,IF($C$132=$BD$122,E129-E132,IF($C$132=$BD$121,E129-E132,E129)))))),0),E129)</f>
        <v>0</v>
      </c>
      <c r="F134" s="1370">
        <f t="shared" si="316"/>
        <v>0</v>
      </c>
      <c r="G134" s="1370">
        <f t="shared" si="316"/>
        <v>0</v>
      </c>
      <c r="H134" s="1370">
        <f t="shared" si="316"/>
        <v>0</v>
      </c>
      <c r="I134" s="1370">
        <f t="shared" si="316"/>
        <v>0</v>
      </c>
      <c r="J134" s="1370">
        <f t="shared" si="316"/>
        <v>0</v>
      </c>
      <c r="K134" s="1370">
        <f t="shared" si="316"/>
        <v>0</v>
      </c>
      <c r="L134" s="1370">
        <f t="shared" si="316"/>
        <v>0</v>
      </c>
      <c r="M134" s="1370">
        <f t="shared" si="316"/>
        <v>0</v>
      </c>
      <c r="N134" s="1370">
        <f t="shared" si="316"/>
        <v>0</v>
      </c>
      <c r="O134" s="1370">
        <f t="shared" si="316"/>
        <v>0</v>
      </c>
      <c r="P134" s="1370">
        <f t="shared" si="316"/>
        <v>0</v>
      </c>
      <c r="Q134" s="1370">
        <f t="shared" si="316"/>
        <v>0</v>
      </c>
      <c r="R134" s="1370">
        <f t="shared" si="316"/>
        <v>0</v>
      </c>
      <c r="S134" s="1370">
        <f t="shared" si="316"/>
        <v>0</v>
      </c>
      <c r="T134" s="1370">
        <f t="shared" si="316"/>
        <v>0</v>
      </c>
      <c r="U134" s="1370">
        <f t="shared" si="316"/>
        <v>0</v>
      </c>
      <c r="V134" s="1370">
        <f t="shared" si="316"/>
        <v>0</v>
      </c>
      <c r="W134" s="1370">
        <f t="shared" si="316"/>
        <v>0</v>
      </c>
      <c r="X134" s="1370">
        <f t="shared" si="316"/>
        <v>0</v>
      </c>
      <c r="Y134" s="1370">
        <f t="shared" si="316"/>
        <v>0</v>
      </c>
      <c r="Z134" s="1370">
        <f t="shared" si="316"/>
        <v>0</v>
      </c>
      <c r="AA134" s="1370">
        <f t="shared" si="316"/>
        <v>0</v>
      </c>
      <c r="AB134" s="1370">
        <f t="shared" si="316"/>
        <v>0</v>
      </c>
      <c r="AC134" s="1370">
        <f t="shared" si="316"/>
        <v>0</v>
      </c>
      <c r="AD134" s="1370">
        <f t="shared" si="316"/>
        <v>0</v>
      </c>
      <c r="AE134" s="1370">
        <f t="shared" si="316"/>
        <v>0</v>
      </c>
      <c r="AF134" s="1370">
        <f t="shared" si="316"/>
        <v>0</v>
      </c>
      <c r="AG134" s="1370">
        <f t="shared" si="316"/>
        <v>0</v>
      </c>
      <c r="AH134" s="1370">
        <f t="shared" si="316"/>
        <v>0</v>
      </c>
      <c r="AI134" s="1370">
        <f t="shared" si="316"/>
        <v>0</v>
      </c>
      <c r="AJ134" s="1370">
        <f t="shared" si="316"/>
        <v>0</v>
      </c>
      <c r="AK134" s="1370">
        <f t="shared" si="316"/>
        <v>0</v>
      </c>
      <c r="AL134" s="1370">
        <f t="shared" si="316"/>
        <v>0</v>
      </c>
      <c r="AM134" s="1034"/>
      <c r="BH134" s="9">
        <v>14</v>
      </c>
      <c r="BI134" s="1323">
        <f>IF(AND($AN$122&gt;BH134,$C$122=$BD$121),(Q$122),IF(AND($AN$122&gt;BH134,$C$122=$BD$122),(Q$122),IF(AND($AN$122&gt;BH134,$C$122=$BD$123),(Q$122),IF(AND($AN$122&gt;BH134,$C$122=$BD$124),(Q$121),IF(AND($AN$122&gt;BH134,$C$122=$BD$125),(Q$122),0)))))</f>
        <v>0</v>
      </c>
      <c r="BJ134" s="1323">
        <v>0</v>
      </c>
      <c r="BK134" s="1323">
        <v>0</v>
      </c>
      <c r="BL134" s="1323">
        <f t="shared" si="312"/>
        <v>0</v>
      </c>
      <c r="BM134" s="1320">
        <f t="shared" si="313"/>
        <v>0</v>
      </c>
      <c r="BN134" s="9">
        <v>14</v>
      </c>
      <c r="BO134" s="1323">
        <f>IF(AND($AN$127&gt;BN134,$C$127=$BD$121),(Q$127),IF(AND($AN$127&gt;BN134,$C$127=$BD$122),(Q$127),IF(AND($AN$127&gt;BN134,$C$127=$BD$123),(Q$127),IF(AND($AN$127&gt;BN134,$C$127=$BD$124),(Q$126),IF(AND($AN$127&gt;BN134,$C$127=$BD$125),(Q$127),0)))))</f>
        <v>0</v>
      </c>
      <c r="BP134" s="1323">
        <v>0</v>
      </c>
      <c r="BQ134" s="1323">
        <v>0</v>
      </c>
      <c r="BR134" s="1323">
        <f t="shared" si="301"/>
        <v>0</v>
      </c>
      <c r="BS134" s="1324">
        <f t="shared" si="309"/>
        <v>0</v>
      </c>
      <c r="BT134" s="9">
        <v>14</v>
      </c>
      <c r="BU134" s="1323">
        <f>IF(AND($AN$132&gt;BT134,$C$132=$BD$121),(Q$132),IF(AND($AN$132&gt;BT134,$C$132=$BD$122),(Q$132),IF(AND($AN$132&gt;BT134,$C$132=$BD$123),(Q$132),IF(AND($AN$132&gt;BT134,$C$132=$BD$124),(Q$131),IF(AND($AN$132&gt;BT134,$C$132=$BD$125),(Q$132),0)))))</f>
        <v>0</v>
      </c>
      <c r="BV134" s="1323">
        <v>0</v>
      </c>
      <c r="BW134" s="1323">
        <v>0</v>
      </c>
      <c r="BX134" s="1323">
        <f t="shared" si="302"/>
        <v>0</v>
      </c>
      <c r="BY134" s="1324">
        <f t="shared" si="303"/>
        <v>0</v>
      </c>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row>
    <row r="135" spans="2:102" ht="14.45" customHeight="1" thickBot="1">
      <c r="B135" s="1411"/>
      <c r="C135" s="1027"/>
      <c r="D135" s="1067" t="str">
        <f>IF(OR($C$137=$BD$122,$C$137=$BD$124),"Input Desired Annual Payment Amount",IF($C$137=$BD$123,"Input Desired % of Cashflow", ""))</f>
        <v/>
      </c>
      <c r="E135" s="1067" t="str">
        <f t="shared" ref="E135:AL135" si="317">IF($C$137=$BD$124,"Input Desired Annual Payment Amount","")</f>
        <v/>
      </c>
      <c r="F135" s="1067" t="str">
        <f t="shared" si="317"/>
        <v/>
      </c>
      <c r="G135" s="1067" t="str">
        <f t="shared" si="317"/>
        <v/>
      </c>
      <c r="H135" s="1067" t="str">
        <f t="shared" si="317"/>
        <v/>
      </c>
      <c r="I135" s="1067" t="str">
        <f t="shared" si="317"/>
        <v/>
      </c>
      <c r="J135" s="1067" t="str">
        <f t="shared" si="317"/>
        <v/>
      </c>
      <c r="K135" s="1067" t="str">
        <f t="shared" si="317"/>
        <v/>
      </c>
      <c r="L135" s="1067" t="str">
        <f t="shared" si="317"/>
        <v/>
      </c>
      <c r="M135" s="1067" t="str">
        <f t="shared" si="317"/>
        <v/>
      </c>
      <c r="N135" s="1067" t="str">
        <f t="shared" si="317"/>
        <v/>
      </c>
      <c r="O135" s="1067" t="str">
        <f t="shared" si="317"/>
        <v/>
      </c>
      <c r="P135" s="1067" t="str">
        <f t="shared" si="317"/>
        <v/>
      </c>
      <c r="Q135" s="1067" t="str">
        <f t="shared" si="317"/>
        <v/>
      </c>
      <c r="R135" s="1067" t="str">
        <f t="shared" si="317"/>
        <v/>
      </c>
      <c r="S135" s="1067" t="str">
        <f t="shared" si="317"/>
        <v/>
      </c>
      <c r="T135" s="1067" t="str">
        <f t="shared" si="317"/>
        <v/>
      </c>
      <c r="U135" s="1067" t="str">
        <f t="shared" si="317"/>
        <v/>
      </c>
      <c r="V135" s="1067" t="str">
        <f t="shared" si="317"/>
        <v/>
      </c>
      <c r="W135" s="1067" t="str">
        <f t="shared" si="317"/>
        <v/>
      </c>
      <c r="X135" s="1067" t="str">
        <f t="shared" si="317"/>
        <v/>
      </c>
      <c r="Y135" s="1067" t="str">
        <f t="shared" si="317"/>
        <v/>
      </c>
      <c r="Z135" s="1067" t="str">
        <f t="shared" si="317"/>
        <v/>
      </c>
      <c r="AA135" s="1067" t="str">
        <f t="shared" si="317"/>
        <v/>
      </c>
      <c r="AB135" s="1067" t="str">
        <f t="shared" si="317"/>
        <v/>
      </c>
      <c r="AC135" s="1067" t="str">
        <f t="shared" si="317"/>
        <v/>
      </c>
      <c r="AD135" s="1067" t="str">
        <f t="shared" si="317"/>
        <v/>
      </c>
      <c r="AE135" s="1067" t="str">
        <f t="shared" si="317"/>
        <v/>
      </c>
      <c r="AF135" s="1067" t="str">
        <f t="shared" si="317"/>
        <v/>
      </c>
      <c r="AG135" s="1067" t="str">
        <f t="shared" si="317"/>
        <v/>
      </c>
      <c r="AH135" s="1067" t="str">
        <f t="shared" si="317"/>
        <v/>
      </c>
      <c r="AI135" s="1067" t="str">
        <f t="shared" si="317"/>
        <v/>
      </c>
      <c r="AJ135" s="1067" t="str">
        <f t="shared" si="317"/>
        <v/>
      </c>
      <c r="AK135" s="1067" t="str">
        <f t="shared" si="317"/>
        <v/>
      </c>
      <c r="AL135" s="1067" t="str">
        <f t="shared" si="317"/>
        <v/>
      </c>
      <c r="AM135" s="1034"/>
      <c r="BH135" s="9">
        <v>15</v>
      </c>
      <c r="BI135" s="1323">
        <f>IF(AND($AN$122&gt;BH135,$C$122=$BD$121),(R$122),IF(AND($AN$122&gt;BH135,$C$122=$BD$122),(R$122),IF(AND($AN$122&gt;BH135,$C$122=$BD$123),(R$122),IF(AND($AN$122&gt;BH135,$C$122=$BD$124),(R$121),IF(AND($AN$122&gt;BH135,$C$122=$BD$125),(R$122),0)))))</f>
        <v>0</v>
      </c>
      <c r="BJ135" s="1323">
        <v>0</v>
      </c>
      <c r="BK135" s="1323">
        <v>0</v>
      </c>
      <c r="BL135" s="1323">
        <f t="shared" si="312"/>
        <v>0</v>
      </c>
      <c r="BM135" s="1320">
        <f t="shared" si="313"/>
        <v>0</v>
      </c>
      <c r="BN135" s="9">
        <v>15</v>
      </c>
      <c r="BO135" s="1323">
        <f>IF(AND($AN$127&gt;BN135,$C$127=$BD$121),(R$127),IF(AND($AN$127&gt;BN135,$C$127=$BD$122),(R$127),IF(AND($AN$127&gt;BN135,$C$127=$BD$123),(R$127),IF(AND($AN$127&gt;BN135,$C$127=$BD$124),(R$126),IF(AND($AN$127&gt;BN135,$C$127=$BD$125),(R$127),0)))))</f>
        <v>0</v>
      </c>
      <c r="BP135" s="1323">
        <v>0</v>
      </c>
      <c r="BQ135" s="1323">
        <v>0</v>
      </c>
      <c r="BR135" s="1323">
        <f t="shared" si="301"/>
        <v>0</v>
      </c>
      <c r="BS135" s="1324">
        <f t="shared" si="309"/>
        <v>0</v>
      </c>
      <c r="BT135" s="9">
        <v>15</v>
      </c>
      <c r="BU135" s="1323">
        <f>IF(AND($AN$132&gt;BT135,$C$132=$BD$121),(R$132),IF(AND($AN$132&gt;BT135,$C$132=$BD$122),(R$132),IF(AND($AN$132&gt;BT135,$C$132=$BD$123),(R$132),IF(AND($AN$132&gt;BT135,$C$132=$BD$124),(R$131),IF(AND($AN$132&gt;BT135,$C$132=$BD$125),(R$132),0)))))</f>
        <v>0</v>
      </c>
      <c r="BV135" s="1323">
        <v>0</v>
      </c>
      <c r="BW135" s="1323">
        <v>0</v>
      </c>
      <c r="BX135" s="1323">
        <f t="shared" si="302"/>
        <v>0</v>
      </c>
      <c r="BY135" s="1324">
        <f t="shared" si="303"/>
        <v>0</v>
      </c>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row>
    <row r="136" spans="2:102" ht="14.45" hidden="1" customHeight="1">
      <c r="B136" s="1411">
        <v>14</v>
      </c>
      <c r="C136" s="1669"/>
      <c r="D136" s="1665"/>
      <c r="E136" s="1384"/>
      <c r="F136" s="1384"/>
      <c r="G136" s="1384"/>
      <c r="H136" s="1384"/>
      <c r="I136" s="1384"/>
      <c r="J136" s="1384"/>
      <c r="K136" s="1384"/>
      <c r="L136" s="1384"/>
      <c r="M136" s="1384"/>
      <c r="N136" s="1384"/>
      <c r="O136" s="1384"/>
      <c r="P136" s="1384"/>
      <c r="Q136" s="1384"/>
      <c r="R136" s="1384"/>
      <c r="S136" s="1384"/>
      <c r="T136" s="1384"/>
      <c r="U136" s="1384"/>
      <c r="V136" s="1384"/>
      <c r="W136" s="1384"/>
      <c r="X136" s="1384"/>
      <c r="Y136" s="1384"/>
      <c r="Z136" s="1384"/>
      <c r="AA136" s="1384"/>
      <c r="AB136" s="1384"/>
      <c r="AC136" s="1384"/>
      <c r="AD136" s="1384"/>
      <c r="AE136" s="1384"/>
      <c r="AF136" s="1384"/>
      <c r="AG136" s="1384"/>
      <c r="AH136" s="1384"/>
      <c r="AI136" s="1384"/>
      <c r="AJ136" s="1384"/>
      <c r="AK136" s="1384"/>
      <c r="AL136" s="1384"/>
      <c r="AM136" s="1034"/>
      <c r="BH136" s="9">
        <v>16</v>
      </c>
      <c r="BI136" s="1323">
        <f>IF(AND($AN$122&gt;BH136,$C$122=$BD$121),(S$122),IF(AND($AN$122&gt;BH136,$C$122=$BD$122),(S$122),IF(AND($AN$122&gt;BH136,$C$122=$BD$123),(S$122),IF(AND($AN$122&gt;BH136,$C$122=$BD$124),(S$121),IF(AND($AN$122&gt;BH136,$C$122=$BD$125),(S$122),0)))))</f>
        <v>0</v>
      </c>
      <c r="BJ136" s="1323">
        <v>0</v>
      </c>
      <c r="BK136" s="1323">
        <v>0</v>
      </c>
      <c r="BL136" s="1323">
        <f t="shared" si="312"/>
        <v>0</v>
      </c>
      <c r="BM136" s="1320">
        <f t="shared" si="313"/>
        <v>0</v>
      </c>
      <c r="BN136" s="9">
        <v>16</v>
      </c>
      <c r="BO136" s="1323">
        <f>IF(AND($AN$127&gt;BN136,$C$127=$BD$121),(S$127),IF(AND($AN$127&gt;BN136,$C$127=$BD$122),(S$127),IF(AND($AN$127&gt;BN136,$C$127=$BD$123),(S$127),IF(AND($AN$127&gt;BN136,$C$127=$BD$124),(S$126),IF(AND($AN$127&gt;BN136,$C$127=$BD$125),(S$127),0)))))</f>
        <v>0</v>
      </c>
      <c r="BP136" s="1323">
        <v>0</v>
      </c>
      <c r="BQ136" s="1323">
        <v>0</v>
      </c>
      <c r="BR136" s="1323">
        <f t="shared" si="301"/>
        <v>0</v>
      </c>
      <c r="BS136" s="1324">
        <f t="shared" si="309"/>
        <v>0</v>
      </c>
      <c r="BT136" s="9">
        <v>16</v>
      </c>
      <c r="BU136" s="1323">
        <f>IF(AND($AN$132&gt;BT136,$C$132=$BD$121),(S$132),IF(AND($AN$132&gt;BT136,$C$132=$BD$122),(S$132),IF(AND($AN$132&gt;BT136,$C$132=$BD$123),(S$132),IF(AND($AN$132&gt;BT136,$C$132=$BD$124),(S$131),IF(AND($AN$132&gt;BT136,$C$132=$BD$125),(S$132),0)))))</f>
        <v>0</v>
      </c>
      <c r="BV136" s="1323">
        <v>0</v>
      </c>
      <c r="BW136" s="1323">
        <v>0</v>
      </c>
      <c r="BX136" s="1323">
        <f t="shared" si="302"/>
        <v>0</v>
      </c>
      <c r="BY136" s="1324">
        <f t="shared" si="303"/>
        <v>0</v>
      </c>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row>
    <row r="137" spans="2:102" ht="14.45" hidden="1" customHeight="1">
      <c r="B137" s="1411"/>
      <c r="C137" s="1670" t="s">
        <v>4764</v>
      </c>
      <c r="D137" s="1393">
        <f>IF(C137=$BD$121,AR137,IF(C137=$BD$123,(D134*(D136/100)),IF(C137=$BD$122,D136,IF(C137=$BD$124,0,0))))</f>
        <v>0</v>
      </c>
      <c r="E137" s="1368" cm="1">
        <f t="array" ref="E137">IF(AND($C$137=$BD$123,(SUM($D$137:D137)+E134*($D$136/100))&lt;=$AO$137),(E134*($D$136/100)),IF(AND($C$137=$BD$123,(SUM($D$137:D137)+E134*($D$136/100))&gt;=$AO$137,E134&gt;=$AO$137-(SUM($D$137:D137)+E134*($D$136/100))),($AO$137-(SUM($D$137:D137))),IF(AND($C$137=$BD$121,(SUM($D$137:D137)+E134&lt;=$AO$137)),E134,IF(AND($C$137=$BD$121,(SUM($D$137:D137)+E134&gt;$AO$137),E134&gt;=$AO$137-(SUM($D$137:D137))),$AO$137-(SUM($D$137:D137)),IF(AND($C$137=$BD$124,$AN$137=E85),$AO$137-SUM($D$136:E136),IF(AND(F85&lt;=$AN$137,(SUM($D$137:D137)+$D$137)&lt;$AO$137),D137,IF(AND(F85=$AN$137+1,(SUM($D$137:D137)+$D$137)&lt;$AO$137),$AO$137-($D$137*D85),IF(SUM(($D$137:D137)+$D$137)&gt;=$AO$137,$AO$137-SUM($D$137:D137),0))))))))</f>
        <v>0</v>
      </c>
      <c r="F137" s="1368" cm="1">
        <f t="array" ref="F137">IF(AND($C$137=$BD$123,(SUM($D$137:E137)+F134*($D$136/100))&lt;=$AO$137),(F134*($D$136/100)),IF(AND($C$137=$BD$123,(SUM($D$137:E137)+F134*($D$136/100))&gt;=$AO$137,F134&gt;=$AO$137-(SUM($D$137:E137)+F134*($D$136/100))),($AO$137-(SUM($D$137:E137))),IF(AND($C$137=$BD$121,(SUM($D$137:E137)+F134&lt;=$AO$137)),F134,IF(AND($C$137=$BD$121,(SUM($D$137:E137)+F134&gt;$AO$137),F134&gt;=$AO$137-(SUM($D$137:E137))),$AO$137-(SUM($D$137:E137)),IF(AND($C$137=$BD$124,$AN$137=F85),$AO$137-SUM($D$136:F136),IF(AND(G85&lt;=$AN$137,(SUM($D$137:E137)+$D$137)&lt;$AO$137),E137,IF(AND(G85=$AN$137+1,(SUM($D$137:E137)+$D$137)&lt;$AO$137),$AO$137-($D$137*E85),IF(SUM(($D$137:E137)+$D$137)&gt;=$AO$137,$AO$137-SUM($D$137:E137),0))))))))</f>
        <v>0</v>
      </c>
      <c r="G137" s="1368" cm="1">
        <f t="array" ref="G137">IF(AND($C$137=$BD$123,(SUM($D$137:F137)+G134*($D$136/100))&lt;=$AO$137),(G134*($D$136/100)),IF(AND($C$137=$BD$123,(SUM($D$137:F137)+G134*($D$136/100))&gt;=$AO$137,G134&gt;=$AO$137-(SUM($D$137:F137)+G134*($D$136/100))),($AO$137-(SUM($D$137:F137))),IF(AND($C$137=$BD$121,(SUM($D$137:F137)+G134&lt;=$AO$137)),G134,IF(AND($C$137=$BD$121,(SUM($D$137:F137)+G134&gt;$AO$137),G134&gt;=$AO$137-(SUM($D$137:F137))),$AO$137-(SUM($D$137:F137)),IF(AND($C$137=$BD$124,$AN$137=G85),$AO$137-SUM($D$136:G136),IF(AND(H85&lt;=$AN$137,(SUM($D$137:F137)+$D$137)&lt;$AO$137),F137,IF(AND(H85=$AN$137+1,(SUM($D$137:F137)+$D$137)&lt;$AO$137),$AO$137-($D$137*F85),IF(SUM(($D$137:F137)+$D$137)&gt;=$AO$137,$AO$137-SUM($D$137:F137),0))))))))</f>
        <v>0</v>
      </c>
      <c r="H137" s="1368" cm="1">
        <f t="array" ref="H137">IF(AND($C$137=$BD$123,(SUM($D$137:G137)+H134*($D$136/100))&lt;=$AO$137),(H134*($D$136/100)),IF(AND($C$137=$BD$123,(SUM($D$137:G137)+H134*($D$136/100))&gt;=$AO$137,H134&gt;=$AO$137-(SUM($D$137:G137)+H134*($D$136/100))),($AO$137-(SUM($D$137:G137))),IF(AND($C$137=$BD$121,(SUM($D$137:G137)+H134&lt;=$AO$137)),H134,IF(AND($C$137=$BD$121,(SUM($D$137:G137)+H134&gt;$AO$137),H134&gt;=$AO$137-(SUM($D$137:G137))),$AO$137-(SUM($D$137:G137)),IF(AND($C$137=$BD$124,$AN$137=H85),$AO$137-SUM($D$136:H136),IF(AND(I85&lt;=$AN$137,(SUM($D$137:G137)+$D$137)&lt;$AO$137),G137,IF(AND(I85=$AN$137+1,(SUM($D$137:G137)+$D$137)&lt;$AO$137),$AO$137-($D$137*G85),IF(SUM(($D$137:G137)+$D$137)&gt;=$AO$137,$AO$137-SUM($D$137:G137),0))))))))</f>
        <v>0</v>
      </c>
      <c r="I137" s="1368" cm="1">
        <f t="array" ref="I137">IF(AND($C$137=$BD$123,(SUM($D$137:H137)+I134*($D$136/100))&lt;=$AO$137),(I134*($D$136/100)),IF(AND($C$137=$BD$123,(SUM($D$137:H137)+I134*($D$136/100))&gt;=$AO$137,I134&gt;=$AO$137-(SUM($D$137:H137)+I134*($D$136/100))),($AO$137-(SUM($D$137:H137))),IF(AND($C$137=$BD$121,(SUM($D$137:H137)+I134&lt;=$AO$137)),I134,IF(AND($C$137=$BD$121,(SUM($D$137:H137)+I134&gt;$AO$137),I134&gt;=$AO$137-(SUM($D$137:H137))),$AO$137-(SUM($D$137:H137)),IF(AND($C$137=$BD$124,$AN$137=I85),$AO$137-SUM($D$136:I136),IF(AND(J85&lt;=$AN$137,(SUM($D$137:H137)+$D$137)&lt;$AO$137),H137,IF(AND(J85=$AN$137+1,(SUM($D$137:H137)+$D$137)&lt;$AO$137),$AO$137-($D$137*H85),IF(SUM(($D$137:H137)+$D$137)&gt;=$AO$137,$AO$137-SUM($D$137:H137),0))))))))</f>
        <v>0</v>
      </c>
      <c r="J137" s="1368" cm="1">
        <f t="array" ref="J137">IF(AND($C$137=$BD$123,(SUM($D$137:I137)+J134*($D$136/100))&lt;=$AO$137),(J134*($D$136/100)),IF(AND($C$137=$BD$123,(SUM($D$137:I137)+J134*($D$136/100))&gt;=$AO$137,J134&gt;=$AO$137-(SUM($D$137:I137)+J134*($D$136/100))),($AO$137-(SUM($D$137:I137))),IF(AND($C$137=$BD$121,(SUM($D$137:I137)+J134&lt;=$AO$137)),J134,IF(AND($C$137=$BD$121,(SUM($D$137:I137)+J134&gt;$AO$137),J134&gt;=$AO$137-(SUM($D$137:I137))),$AO$137-(SUM($D$137:I137)),IF(AND($C$137=$BD$124,$AN$137=J85),$AO$137-SUM($D$136:J136),IF(AND(K85&lt;=$AN$137,(SUM($D$137:I137)+$D$137)&lt;$AO$137),I137,IF(AND(K85=$AN$137+1,(SUM($D$137:I137)+$D$137)&lt;$AO$137),$AO$137-($D$137*I85),IF(SUM(($D$137:I137)+$D$137)&gt;=$AO$137,$AO$137-SUM($D$137:I137),0))))))))</f>
        <v>0</v>
      </c>
      <c r="K137" s="1368" cm="1">
        <f t="array" ref="K137">IF(AND($C$137=$BD$123,(SUM($D$137:J137)+K134*($D$136/100))&lt;=$AO$137),(K134*($D$136/100)),IF(AND($C$137=$BD$123,(SUM($D$137:J137)+K134*($D$136/100))&gt;=$AO$137,K134&gt;=$AO$137-(SUM($D$137:J137)+K134*($D$136/100))),($AO$137-(SUM($D$137:J137))),IF(AND($C$137=$BD$121,(SUM($D$137:J137)+K134&lt;=$AO$137)),K134,IF(AND($C$137=$BD$121,(SUM($D$137:J137)+K134&gt;$AO$137),K134&gt;=$AO$137-(SUM($D$137:J137))),$AO$137-(SUM($D$137:J137)),IF(AND($C$137=$BD$124,$AN$137=K85),$AO$137-SUM($D$136:K136),IF(AND(L85&lt;=$AN$137,(SUM($D$137:J137)+$D$137)&lt;$AO$137),J137,IF(AND(L85=$AN$137+1,(SUM($D$137:J137)+$D$137)&lt;$AO$137),$AO$137-($D$137*J85),IF(SUM(($D$137:J137)+$D$137)&gt;=$AO$137,$AO$137-SUM($D$137:J137),0))))))))</f>
        <v>0</v>
      </c>
      <c r="L137" s="1368" cm="1">
        <f t="array" ref="L137">IF(AND($C$137=$BD$123,(SUM($D$137:K137)+L134*($D$136/100))&lt;=$AO$137),(L134*($D$136/100)),IF(AND($C$137=$BD$123,(SUM($D$137:K137)+L134*($D$136/100))&gt;=$AO$137,L134&gt;=$AO$137-(SUM($D$137:K137)+L134*($D$136/100))),($AO$137-(SUM($D$137:K137))),IF(AND($C$137=$BD$121,(SUM($D$137:K137)+L134&lt;=$AO$137)),L134,IF(AND($C$137=$BD$121,(SUM($D$137:K137)+L134&gt;$AO$137),L134&gt;=$AO$137-(SUM($D$137:K137))),$AO$137-(SUM($D$137:K137)),IF(AND($C$137=$BD$124,$AN$137=L85),$AO$137-SUM($D$136:L136),IF(AND(M85&lt;=$AN$137,(SUM($D$137:K137)+$D$137)&lt;$AO$137),K137,IF(AND(M85=$AN$137+1,(SUM($D$137:K137)+$D$137)&lt;$AO$137),$AO$137-($D$137*K85),IF(SUM(($D$137:K137)+$D$137)&gt;=$AO$137,$AO$137-SUM($D$137:K137),0))))))))</f>
        <v>0</v>
      </c>
      <c r="M137" s="1368" cm="1">
        <f t="array" ref="M137">IF(AND($C$137=$BD$123,(SUM($D$137:L137)+M134*($D$136/100))&lt;=$AO$137),(M134*($D$136/100)),IF(AND($C$137=$BD$123,(SUM($D$137:L137)+M134*($D$136/100))&gt;=$AO$137,M134&gt;=$AO$137-(SUM($D$137:L137)+M134*($D$136/100))),($AO$137-(SUM($D$137:L137))),IF(AND($C$137=$BD$121,(SUM($D$137:L137)+M134&lt;=$AO$137)),M134,IF(AND($C$137=$BD$121,(SUM($D$137:L137)+M134&gt;$AO$137),M134&gt;=$AO$137-(SUM($D$137:L137))),$AO$137-(SUM($D$137:L137)),IF(AND($C$137=$BD$124,$AN$137=M85),$AO$137-SUM($D$136:M136),IF(AND(N85&lt;=$AN$137,(SUM($D$137:L137)+$D$137)&lt;$AO$137),L137,IF(AND(N85=$AN$137+1,(SUM($D$137:L137)+$D$137)&lt;$AO$137),$AO$137-($D$137*L85),IF(SUM(($D$137:L137)+$D$137)&gt;=$AO$137,$AO$137-SUM($D$137:L137),0))))))))</f>
        <v>0</v>
      </c>
      <c r="N137" s="1368" cm="1">
        <f t="array" ref="N137">IF(AND($C$137=$BD$123,(SUM($D$137:M137)+N134*($D$136/100))&lt;=$AO$137),(N134*($D$136/100)),IF(AND($C$137=$BD$123,(SUM($D$137:M137)+N134*($D$136/100))&gt;=$AO$137,N134&gt;=$AO$137-(SUM($D$137:M137)+N134*($D$136/100))),($AO$137-(SUM($D$137:M137))),IF(AND($C$137=$BD$121,(SUM($D$137:M137)+N134&lt;=$AO$137)),N134,IF(AND($C$137=$BD$121,(SUM($D$137:M137)+N134&gt;$AO$137),N134&gt;=$AO$137-(SUM($D$137:M137))),$AO$137-(SUM($D$137:M137)),IF(AND($C$137=$BD$124,$AN$137=N85),$AO$137-SUM($D$136:N136),IF(AND(O85&lt;=$AN$137,(SUM($D$137:M137)+$D$137)&lt;$AO$137),M137,IF(AND(O85=$AN$137+1,(SUM($D$137:M137)+$D$137)&lt;$AO$137),$AO$137-($D$137*M85),IF(SUM(($D$137:M137)+$D$137)&gt;=$AO$137,$AO$137-SUM($D$137:M137),0))))))))</f>
        <v>0</v>
      </c>
      <c r="O137" s="1368" cm="1">
        <f t="array" ref="O137">IF(AND($C$137=$BD$123,(SUM($D$137:N137)+O134*($D$136/100))&lt;=$AO$137),(O134*($D$136/100)),IF(AND($C$137=$BD$123,(SUM($D$137:N137)+O134*($D$136/100))&gt;=$AO$137,O134&gt;=$AO$137-(SUM($D$137:N137)+O134*($D$136/100))),($AO$137-(SUM($D$137:N137))),IF(AND($C$137=$BD$121,(SUM($D$137:N137)+O134&lt;=$AO$137)),O134,IF(AND($C$137=$BD$121,(SUM($D$137:N137)+O134&gt;$AO$137),O134&gt;=$AO$137-(SUM($D$137:N137))),$AO$137-(SUM($D$137:N137)),IF(AND($C$137=$BD$124,$AN$137=O85),$AO$137-SUM($D$136:O136),IF(AND(P85&lt;=$AN$137,(SUM($D$137:N137)+$D$137)&lt;$AO$137),N137,IF(AND(P85=$AN$137+1,(SUM($D$137:N137)+$D$137)&lt;$AO$137),$AO$137-($D$137*N85),IF(SUM(($D$137:N137)+$D$137)&gt;=$AO$137,$AO$137-SUM($D$137:N137),0))))))))</f>
        <v>0</v>
      </c>
      <c r="P137" s="1368" cm="1">
        <f t="array" ref="P137">IF(AND($C$137=$BD$123,(SUM($D$137:O137)+P134*($D$136/100))&lt;=$AO$137),(P134*($D$136/100)),IF(AND($C$137=$BD$123,(SUM($D$137:O137)+P134*($D$136/100))&gt;=$AO$137,P134&gt;=$AO$137-(SUM($D$137:O137)+P134*($D$136/100))),($AO$137-(SUM($D$137:O137))),IF(AND($C$137=$BD$121,(SUM($D$137:O137)+P134&lt;=$AO$137)),P134,IF(AND($C$137=$BD$121,(SUM($D$137:O137)+P134&gt;$AO$137),P134&gt;=$AO$137-(SUM($D$137:O137))),$AO$137-(SUM($D$137:O137)),IF(AND($C$137=$BD$124,$AN$137=P85),$AO$137-SUM($D$136:P136),IF(AND(Q85&lt;=$AN$137,(SUM($D$137:O137)+$D$137)&lt;$AO$137),O137,IF(AND(Q85=$AN$137+1,(SUM($D$137:O137)+$D$137)&lt;$AO$137),$AO$137-($D$137*O85),IF(SUM(($D$137:O137)+$D$137)&gt;=$AO$137,$AO$137-SUM($D$137:O137),0))))))))</f>
        <v>0</v>
      </c>
      <c r="Q137" s="1368" cm="1">
        <f t="array" ref="Q137">IF(AND($C$137=$BD$123,(SUM($D$137:P137)+Q134*($D$136/100))&lt;=$AO$137),(Q134*($D$136/100)),IF(AND($C$137=$BD$123,(SUM($D$137:P137)+Q134*($D$136/100))&gt;=$AO$137,Q134&gt;=$AO$137-(SUM($D$137:P137)+Q134*($D$136/100))),($AO$137-(SUM($D$137:P137))),IF(AND($C$137=$BD$121,(SUM($D$137:P137)+Q134&lt;=$AO$137)),Q134,IF(AND($C$137=$BD$121,(SUM($D$137:P137)+Q134&gt;$AO$137),Q134&gt;=$AO$137-(SUM($D$137:P137))),$AO$137-(SUM($D$137:P137)),IF(AND($C$137=$BD$124,$AN$137=Q85),$AO$137-SUM($D$136:Q136),IF(AND(R85&lt;=$AN$137,(SUM($D$137:P137)+$D$137)&lt;$AO$137),P137,IF(AND(R85=$AN$137+1,(SUM($D$137:P137)+$D$137)&lt;$AO$137),$AO$137-($D$137*P85),IF(SUM(($D$137:P137)+$D$137)&gt;=$AO$137,$AO$137-SUM($D$137:P137),0))))))))</f>
        <v>0</v>
      </c>
      <c r="R137" s="1368" cm="1">
        <f t="array" ref="R137">IF(AND($C$137=$BD$123,(SUM($D$137:Q137)+R134*($D$136/100))&lt;=$AO$137),(R134*($D$136/100)),IF(AND($C$137=$BD$123,(SUM($D$137:Q137)+R134*($D$136/100))&gt;=$AO$137,R134&gt;=$AO$137-(SUM($D$137:Q137)+R134*($D$136/100))),($AO$137-(SUM($D$137:Q137))),IF(AND($C$137=$BD$121,(SUM($D$137:Q137)+R134&lt;=$AO$137)),R134,IF(AND($C$137=$BD$121,(SUM($D$137:Q137)+R134&gt;$AO$137),R134&gt;=$AO$137-(SUM($D$137:Q137))),$AO$137-(SUM($D$137:Q137)),IF(AND($C$137=$BD$124,$AN$137=R85),$AO$137-SUM($D$136:R136),IF(AND(S85&lt;=$AN$137,(SUM($D$137:Q137)+$D$137)&lt;$AO$137),Q137,IF(AND(S85=$AN$137+1,(SUM($D$137:Q137)+$D$137)&lt;$AO$137),$AO$137-($D$137*Q85),IF(SUM(($D$137:Q137)+$D$137)&gt;=$AO$137,$AO$137-SUM($D$137:Q137),0))))))))</f>
        <v>0</v>
      </c>
      <c r="S137" s="1368" cm="1">
        <f t="array" ref="S137">IF(AND($C$137=$BD$123,(SUM($D$137:R137)+S134*($D$136/100))&lt;=$AO$137),(S134*($D$136/100)),IF(AND($C$137=$BD$123,(SUM($D$137:R137)+S134*($D$136/100))&gt;=$AO$137,S134&gt;=$AO$137-(SUM($D$137:R137)+S134*($D$136/100))),($AO$137-(SUM($D$137:R137))),IF(AND($C$137=$BD$121,(SUM($D$137:R137)+S134&lt;=$AO$137)),S134,IF(AND($C$137=$BD$121,(SUM($D$137:R137)+S134&gt;$AO$137),S134&gt;=$AO$137-(SUM($D$137:R137))),$AO$137-(SUM($D$137:R137)),IF(AND($C$137=$BD$124,$AN$137=S85),$AO$137-SUM($D$136:S136),IF(AND(T85&lt;=$AN$137,(SUM($D$137:R137)+$D$137)&lt;$AO$137),R137,IF(AND(T85=$AN$137+1,(SUM($D$137:R137)+$D$137)&lt;$AO$137),$AO$137-($D$137*R85),IF(SUM(($D$137:R137)+$D$137)&gt;=$AO$137,$AO$137-SUM($D$137:R137),0))))))))</f>
        <v>0</v>
      </c>
      <c r="T137" s="1368" cm="1">
        <f t="array" ref="T137">IF(AND($C$137=$BD$123,(SUM($D$137:S137)+T134*($D$136/100))&lt;=$AO$137),(T134*($D$136/100)),IF(AND($C$137=$BD$123,(SUM($D$137:S137)+T134*($D$136/100))&gt;=$AO$137,T134&gt;=$AO$137-(SUM($D$137:S137)+T134*($D$136/100))),($AO$137-(SUM($D$137:S137))),IF(AND($C$137=$BD$121,(SUM($D$137:S137)+T134&lt;=$AO$137)),T134,IF(AND($C$137=$BD$121,(SUM($D$137:S137)+T134&gt;$AO$137),T134&gt;=$AO$137-(SUM($D$137:S137))),$AO$137-(SUM($D$137:S137)),IF(AND($C$137=$BD$124,$AN$137=T85),$AO$137-SUM($D$136:T136),IF(AND(U85&lt;=$AN$137,(SUM($D$137:S137)+$D$137)&lt;$AO$137),S137,IF(AND(U85=$AN$137+1,(SUM($D$137:S137)+$D$137)&lt;$AO$137),$AO$137-($D$137*S85),IF(SUM(($D$137:S137)+$D$137)&gt;=$AO$137,$AO$137-SUM($D$137:S137),0))))))))</f>
        <v>0</v>
      </c>
      <c r="U137" s="1368" cm="1">
        <f t="array" ref="U137">IF(AND($C$137=$BD$123,(SUM($D$137:T137)+U134*($D$136/100))&lt;=$AO$137),(U134*($D$136/100)),IF(AND($C$137=$BD$123,(SUM($D$137:T137)+U134*($D$136/100))&gt;=$AO$137,U134&gt;=$AO$137-(SUM($D$137:T137)+U134*($D$136/100))),($AO$137-(SUM($D$137:T137))),IF(AND($C$137=$BD$121,(SUM($D$137:T137)+U134&lt;=$AO$137)),U134,IF(AND($C$137=$BD$121,(SUM($D$137:T137)+U134&gt;$AO$137),U134&gt;=$AO$137-(SUM($D$137:T137))),$AO$137-(SUM($D$137:T137)),IF(AND($C$137=$BD$124,$AN$137=U85),$AO$137-SUM($D$136:U136),IF(AND(V85&lt;=$AN$137,(SUM($D$137:T137)+$D$137)&lt;$AO$137),T137,IF(AND(V85=$AN$137+1,(SUM($D$137:T137)+$D$137)&lt;$AO$137),$AO$137-($D$137*T85),IF(SUM(($D$137:T137)+$D$137)&gt;=$AO$137,$AO$137-SUM($D$137:T137),0))))))))</f>
        <v>0</v>
      </c>
      <c r="V137" s="1368" cm="1">
        <f t="array" ref="V137">IF(AND($C$137=$BD$123,(SUM($D$137:U137)+V134*($D$136/100))&lt;=$AO$137),(V134*($D$136/100)),IF(AND($C$137=$BD$123,(SUM($D$137:U137)+V134*($D$136/100))&gt;=$AO$137,V134&gt;=$AO$137-(SUM($D$137:U137)+V134*($D$136/100))),($AO$137-(SUM($D$137:U137))),IF(AND($C$137=$BD$121,(SUM($D$137:U137)+V134&lt;=$AO$137)),V134,IF(AND($C$137=$BD$121,(SUM($D$137:U137)+V134&gt;$AO$137),V134&gt;=$AO$137-(SUM($D$137:U137))),$AO$137-(SUM($D$137:U137)),IF(AND($C$137=$BD$124,$AN$137=V85),$AO$137-SUM($D$136:V136),IF(AND(W85&lt;=$AN$137,(SUM($D$137:U137)+$D$137)&lt;$AO$137),U137,IF(AND(W85=$AN$137+1,(SUM($D$137:U137)+$D$137)&lt;$AO$137),$AO$137-($D$137*U85),IF(SUM(($D$137:U137)+$D$137)&gt;=$AO$137,$AO$137-SUM($D$137:U137),0))))))))</f>
        <v>0</v>
      </c>
      <c r="W137" s="1368" cm="1">
        <f t="array" ref="W137">IF(AND($C$137=$BD$123,(SUM($D$137:V137)+W134*($D$136/100))&lt;=$AO$137),(W134*($D$136/100)),IF(AND($C$137=$BD$123,(SUM($D$137:V137)+W134*($D$136/100))&gt;=$AO$137,W134&gt;=$AO$137-(SUM($D$137:V137)+W134*($D$136/100))),($AO$137-(SUM($D$137:V137))),IF(AND($C$137=$BD$121,(SUM($D$137:V137)+W134&lt;=$AO$137)),W134,IF(AND($C$137=$BD$121,(SUM($D$137:V137)+W134&gt;$AO$137),W134&gt;=$AO$137-(SUM($D$137:V137))),$AO$137-(SUM($D$137:V137)),IF(AND($C$137=$BD$124,$AN$137=W85),$AO$137-SUM($D$136:W136),IF(AND(X85&lt;=$AN$137,(SUM($D$137:V137)+$D$137)&lt;$AO$137),V137,IF(AND(X85=$AN$137+1,(SUM($D$137:V137)+$D$137)&lt;$AO$137),$AO$137-($D$137*V85),IF(SUM(($D$137:V137)+$D$137)&gt;=$AO$137,$AO$137-SUM($D$137:V137),0))))))))</f>
        <v>0</v>
      </c>
      <c r="X137" s="1368" cm="1">
        <f t="array" ref="X137">IF(AND($C$137=$BD$123,(SUM($D$137:W137)+X134*($D$136/100))&lt;=$AO$137),(X134*($D$136/100)),IF(AND($C$137=$BD$123,(SUM($D$137:W137)+X134*($D$136/100))&gt;=$AO$137,X134&gt;=$AO$137-(SUM($D$137:W137)+X134*($D$136/100))),($AO$137-(SUM($D$137:W137))),IF(AND($C$137=$BD$121,(SUM($D$137:W137)+X134&lt;=$AO$137)),X134,IF(AND($C$137=$BD$121,(SUM($D$137:W137)+X134&gt;$AO$137),X134&gt;=$AO$137-(SUM($D$137:W137))),$AO$137-(SUM($D$137:W137)),IF(AND($C$137=$BD$124,$AN$137=X85),$AO$137-SUM($D$136:X136),IF(AND(Y85&lt;=$AN$137,(SUM($D$137:W137)+$D$137)&lt;$AO$137),W137,IF(AND(Y85=$AN$137+1,(SUM($D$137:W137)+$D$137)&lt;$AO$137),$AO$137-($D$137*W85),IF(SUM(($D$137:W137)+$D$137)&gt;=$AO$137,$AO$137-SUM($D$137:W137),0))))))))</f>
        <v>0</v>
      </c>
      <c r="Y137" s="1368" cm="1">
        <f t="array" ref="Y137">IF(AND($C$137=$BD$123,(SUM($D$137:X137)+Y134*($D$136/100))&lt;=$AO$137),(Y134*($D$136/100)),IF(AND($C$137=$BD$123,(SUM($D$137:X137)+Y134*($D$136/100))&gt;=$AO$137,Y134&gt;=$AO$137-(SUM($D$137:X137)+Y134*($D$136/100))),($AO$137-(SUM($D$137:X137))),IF(AND($C$137=$BD$121,(SUM($D$137:X137)+Y134&lt;=$AO$137)),Y134,IF(AND($C$137=$BD$121,(SUM($D$137:X137)+Y134&gt;$AO$137),Y134&gt;=$AO$137-(SUM($D$137:X137))),$AO$137-(SUM($D$137:X137)),IF(AND($C$137=$BD$124,$AN$137=Y85),$AO$137-SUM($D$136:Y136),IF(AND(Z85&lt;=$AN$137,(SUM($D$137:X137)+$D$137)&lt;$AO$137),X137,IF(AND(Z85=$AN$137+1,(SUM($D$137:X137)+$D$137)&lt;$AO$137),$AO$137-($D$137*X85),IF(SUM(($D$137:X137)+$D$137)&gt;=$AO$137,$AO$137-SUM($D$137:X137),0))))))))</f>
        <v>0</v>
      </c>
      <c r="Z137" s="1368" cm="1">
        <f t="array" ref="Z137">IF(AND($C$137=$BD$123,(SUM($D$137:Y137)+Z134*($D$136/100))&lt;=$AO$137),(Z134*($D$136/100)),IF(AND($C$137=$BD$123,(SUM($D$137:Y137)+Z134*($D$136/100))&gt;=$AO$137,Z134&gt;=$AO$137-(SUM($D$137:Y137)+Z134*($D$136/100))),($AO$137-(SUM($D$137:Y137))),IF(AND($C$137=$BD$121,(SUM($D$137:Y137)+Z134&lt;=$AO$137)),Z134,IF(AND($C$137=$BD$121,(SUM($D$137:Y137)+Z134&gt;$AO$137),Z134&gt;=$AO$137-(SUM($D$137:Y137))),$AO$137-(SUM($D$137:Y137)),IF(AND($C$137=$BD$124,$AN$137=Z85),$AO$137-SUM($D$136:Z136),IF(AND(AA85&lt;=$AN$137,(SUM($D$137:Y137)+$D$137)&lt;$AO$137),Y137,IF(AND(AA85=$AN$137+1,(SUM($D$137:Y137)+$D$137)&lt;$AO$137),$AO$137-($D$137*Y85),IF(SUM(($D$137:Y137)+$D$137)&gt;=$AO$137,$AO$137-SUM($D$137:Y137),0))))))))</f>
        <v>0</v>
      </c>
      <c r="AA137" s="1368" cm="1">
        <f t="array" ref="AA137">IF(AND($C$137=$BD$123,(SUM($D$137:Z137)+AA134*($D$136/100))&lt;=$AO$137),(AA134*($D$136/100)),IF(AND($C$137=$BD$123,(SUM($D$137:Z137)+AA134*($D$136/100))&gt;=$AO$137,AA134&gt;=$AO$137-(SUM($D$137:Z137)+AA134*($D$136/100))),($AO$137-(SUM($D$137:Z137))),IF(AND($C$137=$BD$121,(SUM($D$137:Z137)+AA134&lt;=$AO$137)),AA134,IF(AND($C$137=$BD$121,(SUM($D$137:Z137)+AA134&gt;$AO$137),AA134&gt;=$AO$137-(SUM($D$137:Z137))),$AO$137-(SUM($D$137:Z137)),IF(AND($C$137=$BD$124,$AN$137=AA85),$AO$137-SUM($D$136:AA136),IF(AND(AB85&lt;=$AN$137,(SUM($D$137:Z137)+$D$137)&lt;$AO$137),Z137,IF(AND(AB85=$AN$137+1,(SUM($D$137:Z137)+$D$137)&lt;$AO$137),$AO$137-($D$137*Z85),IF(SUM(($D$137:Z137)+$D$137)&gt;=$AO$137,$AO$137-SUM($D$137:Z137),0))))))))</f>
        <v>0</v>
      </c>
      <c r="AB137" s="1368" cm="1">
        <f t="array" ref="AB137">IF(AND($C$137=$BD$123,(SUM($D$137:AA137)+AB134*($D$136/100))&lt;=$AO$137),(AB134*($D$136/100)),IF(AND($C$137=$BD$123,(SUM($D$137:AA137)+AB134*($D$136/100))&gt;=$AO$137,AB134&gt;=$AO$137-(SUM($D$137:AA137)+AB134*($D$136/100))),($AO$137-(SUM($D$137:AA137))),IF(AND($C$137=$BD$121,(SUM($D$137:AA137)+AB134&lt;=$AO$137)),AB134,IF(AND($C$137=$BD$121,(SUM($D$137:AA137)+AB134&gt;$AO$137),AB134&gt;=$AO$137-(SUM($D$137:AA137))),$AO$137-(SUM($D$137:AA137)),IF(AND($C$137=$BD$124,$AN$137=AB85),$AO$137-SUM($D$136:AB136),IF(AND(AC85&lt;=$AN$137,(SUM($D$137:AA137)+$D$137)&lt;$AO$137),AA137,IF(AND(AC85=$AN$137+1,(SUM($D$137:AA137)+$D$137)&lt;$AO$137),$AO$137-($D$137*AA85),IF(SUM(($D$137:AA137)+$D$137)&gt;=$AO$137,$AO$137-SUM($D$137:AA137),0))))))))</f>
        <v>0</v>
      </c>
      <c r="AC137" s="1368" cm="1">
        <f t="array" ref="AC137">IF(AND($C$137=$BD$123,(SUM($D$137:AB137)+AC134*($D$136/100))&lt;=$AO$137),(AC134*($D$136/100)),IF(AND($C$137=$BD$123,(SUM($D$137:AB137)+AC134*($D$136/100))&gt;=$AO$137,AC134&gt;=$AO$137-(SUM($D$137:AB137)+AC134*($D$136/100))),($AO$137-(SUM($D$137:AB137))),IF(AND($C$137=$BD$121,(SUM($D$137:AB137)+AC134&lt;=$AO$137)),AC134,IF(AND($C$137=$BD$121,(SUM($D$137:AB137)+AC134&gt;$AO$137),AC134&gt;=$AO$137-(SUM($D$137:AB137))),$AO$137-(SUM($D$137:AB137)),IF(AND($C$137=$BD$124,$AN$137=AC85),$AO$137-SUM($D$136:AC136),IF(AND(AD85&lt;=$AN$137,(SUM($D$137:AB137)+$D$137)&lt;$AO$137),AB137,IF(AND(AD85=$AN$137+1,(SUM($D$137:AB137)+$D$137)&lt;$AO$137),$AO$137-($D$137*AB85),IF(SUM(($D$137:AB137)+$D$137)&gt;=$AO$137,$AO$137-SUM($D$137:AB137),0))))))))</f>
        <v>0</v>
      </c>
      <c r="AD137" s="1368" cm="1">
        <f t="array" ref="AD137">IF(AND($C$137=$BD$123,(SUM($D$137:AC137)+AD134*($D$136/100))&lt;=$AO$137),(AD134*($D$136/100)),IF(AND($C$137=$BD$123,(SUM($D$137:AC137)+AD134*($D$136/100))&gt;=$AO$137,AD134&gt;=$AO$137-(SUM($D$137:AC137)+AD134*($D$136/100))),($AO$137-(SUM($D$137:AC137))),IF(AND($C$137=$BD$121,(SUM($D$137:AC137)+AD134&lt;=$AO$137)),AD134,IF(AND($C$137=$BD$121,(SUM($D$137:AC137)+AD134&gt;$AO$137),AD134&gt;=$AO$137-(SUM($D$137:AC137))),$AO$137-(SUM($D$137:AC137)),IF(AND($C$137=$BD$124,$AN$137=AD85),$AO$137-SUM($D$136:AD136),IF(AND(AE85&lt;=$AN$137,(SUM($D$137:AC137)+$D$137)&lt;$AO$137),AC137,IF(AND(AE85=$AN$137+1,(SUM($D$137:AC137)+$D$137)&lt;$AO$137),$AO$137-($D$137*AC85),IF(SUM(($D$137:AC137)+$D$137)&gt;=$AO$137,$AO$137-SUM($D$137:AC137),0))))))))</f>
        <v>0</v>
      </c>
      <c r="AE137" s="1368" cm="1">
        <f t="array" ref="AE137">IF(AND($C$137=$BD$123,(SUM($D$137:AD137)+AE134*($D$136/100))&lt;=$AO$137),(AE134*($D$136/100)),IF(AND($C$137=$BD$123,(SUM($D$137:AD137)+AE134*($D$136/100))&gt;=$AO$137,AE134&gt;=$AO$137-(SUM($D$137:AD137)+AE134*($D$136/100))),($AO$137-(SUM($D$137:AD137))),IF(AND($C$137=$BD$121,(SUM($D$137:AD137)+AE134&lt;=$AO$137)),AE134,IF(AND($C$137=$BD$121,(SUM($D$137:AD137)+AE134&gt;$AO$137),AE134&gt;=$AO$137-(SUM($D$137:AD137))),$AO$137-(SUM($D$137:AD137)),IF(AND($C$137=$BD$124,$AN$137=AE85),$AO$137-SUM($D$136:AE136),IF(AND(AF85&lt;=$AN$137,(SUM($D$137:AD137)+$D$137)&lt;$AO$137),AD137,IF(AND(AF85=$AN$137+1,(SUM($D$137:AD137)+$D$137)&lt;$AO$137),$AO$137-($D$137*AD85),IF(SUM(($D$137:AD137)+$D$137)&gt;=$AO$137,$AO$137-SUM($D$137:AD137),0))))))))</f>
        <v>0</v>
      </c>
      <c r="AF137" s="1368" cm="1">
        <f t="array" ref="AF137">IF(AND($C$137=$BD$123,(SUM($D$137:AE137)+AF134*($D$136/100))&lt;=$AO$137),(AF134*($D$136/100)),IF(AND($C$137=$BD$123,(SUM($D$137:AE137)+AF134*($D$136/100))&gt;=$AO$137,AF134&gt;=$AO$137-(SUM($D$137:AE137)+AF134*($D$136/100))),($AO$137-(SUM($D$137:AE137))),IF(AND($C$137=$BD$121,(SUM($D$137:AE137)+AF134&lt;=$AO$137)),AF134,IF(AND($C$137=$BD$121,(SUM($D$137:AE137)+AF134&gt;$AO$137),AF134&gt;=$AO$137-(SUM($D$137:AE137))),$AO$137-(SUM($D$137:AE137)),IF(AND($C$137=$BD$124,$AN$137=AF85),$AO$137-SUM($D$136:AF136),IF(AND(AG85&lt;=$AN$137,(SUM($D$137:AE137)+$D$137)&lt;$AO$137),AE137,IF(AND(AG85=$AN$137+1,(SUM($D$137:AE137)+$D$137)&lt;$AO$137),$AO$137-($D$137*AE85),IF(SUM(($D$137:AE137)+$D$137)&gt;=$AO$137,$AO$137-SUM($D$137:AE137),0))))))))</f>
        <v>0</v>
      </c>
      <c r="AG137" s="1368" cm="1">
        <f t="array" ref="AG137">IF(AND($C$137=$BD$123,(SUM($D$137:AF137)+AG134*($D$136/100))&lt;=$AO$137),(AG134*($D$136/100)),IF(AND($C$137=$BD$123,(SUM($D$137:AF137)+AG134*($D$136/100))&gt;=$AO$137,AG134&gt;=$AO$137-(SUM($D$137:AF137)+AG134*($D$136/100))),($AO$137-(SUM($D$137:AF137))),IF(AND($C$137=$BD$121,(SUM($D$137:AF137)+AG134&lt;=$AO$137)),AG134,IF(AND($C$137=$BD$121,(SUM($D$137:AF137)+AG134&gt;$AO$137),AG134&gt;=$AO$137-(SUM($D$137:AF137))),$AO$137-(SUM($D$137:AF137)),IF(AND($C$137=$BD$124,$AN$137=AG85),$AO$137-SUM($D$136:AG136),IF(AND(AH85&lt;=$AN$137,(SUM($D$137:AF137)+$D$137)&lt;$AO$137),AF137,IF(AND(AH85=$AN$137+1,(SUM($D$137:AF137)+$D$137)&lt;$AO$137),$AO$137-($D$137*AF85),IF(SUM(($D$137:AF137)+$D$137)&gt;=$AO$137,$AO$137-SUM($D$137:AF137),0))))))))</f>
        <v>0</v>
      </c>
      <c r="AH137" s="1368" cm="1">
        <f t="array" ref="AH137">IF(AND($C$137=$BD$123,(SUM($D$137:AG137)+AH134*($D$136/100))&lt;=$AO$137),(AH134*($D$136/100)),IF(AND($C$137=$BD$123,(SUM($D$137:AG137)+AH134*($D$136/100))&gt;=$AO$137,AH134&gt;=$AO$137-(SUM($D$137:AG137)+AH134*($D$136/100))),($AO$137-(SUM($D$137:AG137))),IF(AND($C$137=$BD$121,(SUM($D$137:AG137)+AH134&lt;=$AO$137)),AH134,IF(AND($C$137=$BD$121,(SUM($D$137:AG137)+AH134&gt;$AO$137),AH134&gt;=$AO$137-(SUM($D$137:AG137))),$AO$137-(SUM($D$137:AG137)),IF(AND($C$137=$BD$124,$AN$137=AH85),$AO$137-SUM($D$136:AH136),IF(AND(AI85&lt;=$AN$137,(SUM($D$137:AG137)+$D$137)&lt;$AO$137),AG137,IF(AND(AI85=$AN$137+1,(SUM($D$137:AG137)+$D$137)&lt;$AO$137),$AO$137-($D$137*AG85),IF(SUM(($D$137:AG137)+$D$137)&gt;=$AO$137,$AO$137-SUM($D$137:AG137),0))))))))</f>
        <v>0</v>
      </c>
      <c r="AI137" s="1368" cm="1">
        <f t="array" ref="AI137">IF(AND($C$137=$BD$123,(SUM($D$137:AH137)+AI134*($D$136/100))&lt;=$AO$137),(AI134*($D$136/100)),IF(AND($C$137=$BD$123,(SUM($D$137:AH137)+AI134*($D$136/100))&gt;=$AO$137,AI134&gt;=$AO$137-(SUM($D$137:AH137)+AI134*($D$136/100))),($AO$137-(SUM($D$137:AH137))),IF(AND($C$137=$BD$121,(SUM($D$137:AH137)+AI134&lt;=$AO$137)),AI134,IF(AND($C$137=$BD$121,(SUM($D$137:AH137)+AI134&gt;$AO$137),AI134&gt;=$AO$137-(SUM($D$137:AH137))),$AO$137-(SUM($D$137:AH137)),IF(AND($C$137=$BD$124,$AN$137=AI85),$AO$137-SUM($D$136:AI136),IF(AND(AJ85&lt;=$AN$137,(SUM($D$137:AH137)+$D$137)&lt;$AO$137),AH137,IF(AND(AJ85=$AN$137+1,(SUM($D$137:AH137)+$D$137)&lt;$AO$137),$AO$137-($D$137*AH85),IF(SUM(($D$137:AH137)+$D$137)&gt;=$AO$137,$AO$137-SUM($D$137:AH137),0))))))))</f>
        <v>0</v>
      </c>
      <c r="AJ137" s="1368" cm="1">
        <f t="array" ref="AJ137">IF(AND($C$137=$BD$123,(SUM($D$137:AI137)+AJ134*($D$136/100))&lt;=$AO$137),(AJ134*($D$136/100)),IF(AND($C$137=$BD$123,(SUM($D$137:AI137)+AJ134*($D$136/100))&gt;=$AO$137,AJ134&gt;=$AO$137-(SUM($D$137:AI137)+AJ134*($D$136/100))),($AO$137-(SUM($D$137:AI137))),IF(AND($C$137=$BD$121,(SUM($D$137:AI137)+AJ134&lt;=$AO$137)),AJ134,IF(AND($C$137=$BD$121,(SUM($D$137:AI137)+AJ134&gt;$AO$137),AJ134&gt;=$AO$137-(SUM($D$137:AI137))),$AO$137-(SUM($D$137:AI137)),IF(AND($C$137=$BD$124,$AN$137=AJ85),$AO$137-SUM($D$136:AJ136),IF(AND(AK85&lt;=$AN$137,(SUM($D$137:AI137)+$D$137)&lt;$AO$137),AI137,IF(AND(AK85=$AN$137+1,(SUM($D$137:AI137)+$D$137)&lt;$AO$137),$AO$137-($D$137*AI85),IF(SUM(($D$137:AI137)+$D$137)&gt;=$AO$137,$AO$137-SUM($D$137:AI137),0))))))))</f>
        <v>0</v>
      </c>
      <c r="AK137" s="1368" cm="1">
        <f t="array" ref="AK137">IF(AND($C$137=$BD$123,(SUM($D$137:AJ137)+AK134*($D$136/100))&lt;=$AO$137),(AK134*($D$136/100)),IF(AND($C$137=$BD$123,(SUM($D$137:AJ137)+AK134*($D$136/100))&gt;=$AO$137,AK134&gt;=$AO$137-(SUM($D$137:AJ137)+AK134*($D$136/100))),($AO$137-(SUM($D$137:AJ137))),IF(AND($C$137=$BD$121,(SUM($D$137:AJ137)+AK134&lt;=$AO$137)),AK134,IF(AND($C$137=$BD$121,(SUM($D$137:AJ137)+AK134&gt;$AO$137),AK134&gt;=$AO$137-(SUM($D$137:AJ137))),$AO$137-(SUM($D$137:AJ137)),IF(AND($C$137=$BD$124,$AN$137=AK85),$AO$137-SUM($D$136:AK136),IF(AND(AL85&lt;=$AN$137,(SUM($D$137:AJ137)+$D$137)&lt;$AO$137),AJ137,IF(AND(AL85=$AN$137+1,(SUM($D$137:AJ137)+$D$137)&lt;$AO$137),$AO$137-($D$137*AJ85),IF(SUM(($D$137:AJ137)+$D$137)&gt;=$AO$137,$AO$137-SUM($D$137:AJ137),0))))))))</f>
        <v>0</v>
      </c>
      <c r="AL137" s="1368" cm="1">
        <f t="array" ref="AL137">IF(AND($C$137=$BD$123,(SUM($D$137:AK137)+AL134*($D$136/100))&lt;=$AO$137),(AL134*($D$136/100)),IF(AND($C$137=$BD$123,(SUM($D$137:AK137)+AL134*($D$136/100))&gt;=$AO$137,AL134&gt;=$AO$137-(SUM($D$137:AK137)+AL134*($D$136/100))),($AO$137-(SUM($D$137:AK137))),IF(AND($C$137=$BD$121,(SUM($D$137:AK137)+AL134&lt;=$AO$137)),AL134,IF(AND($C$137=$BD$121,(SUM($D$137:AK137)+AL134&gt;$AO$137),AL134&gt;=$AO$137-(SUM($D$137:AK137))),$AO$137-(SUM($D$137:AK137)),IF(AND($C$137=$BD$124,$AN$137=AL85),$AO$137-SUM($D$136:AL136),IF(AND(AM87&lt;=$AN$137,(SUM($D$137:AK137)+$D$137)&lt;$AO$137),AK137,IF(AND(AM87=$AN$137+1,(SUM($D$137:AK137)+$D$137)&lt;$AO$137),$AO$137-($D$137*AK85),IF(SUM(($D$137:AK137)+$D$137)&gt;=$AO$137,$AO$137-SUM($D$137:AK137),0))))))))</f>
        <v>0</v>
      </c>
      <c r="AM137" s="1034"/>
      <c r="AN137" s="1652">
        <f>_xlfn.XLOOKUP(C136,'12. Funding Sources'!$C$11:$C$20,'12. Funding Sources'!$L$11:$L$20,36)</f>
        <v>36</v>
      </c>
      <c r="AO137" s="1655">
        <f>_xlfn.XLOOKUP(C136,'12. Funding Sources'!$C$11:$C$20,'17. Cash Flow and Reserves'!$AT$121:$AT$130,0)*AN137</f>
        <v>0</v>
      </c>
      <c r="AR137" s="115">
        <f>(IF(D134&gt;=_xlfn.XLOOKUP(C136,'12. Funding Sources'!$C$11:$C$20,'17. Cash Flow and Reserves'!$AT$121:$AT$130,0),_xlfn.XLOOKUP(C136,'12. Funding Sources'!$C$11:$C$20,'17. Cash Flow and Reserves'!$AT$121:$AT$130,0),D134))</f>
        <v>0</v>
      </c>
      <c r="BH137" s="9">
        <v>17</v>
      </c>
      <c r="BI137" s="1323">
        <f>IF(AND($AN$122&gt;BH137,$C$122=$BD$121),(T$122),IF(AND($AN$122&gt;BH137,$C$122=$BD$122),(T$122),IF(AND($AN$122&gt;BH137,$C$122=$BD$123),(T$122),IF(AND($AN$122&gt;BH137,$C$122=$BD$124),(T$121),IF(AND($AN$122&gt;BH137,$C$122=$BD$125),(T$122),0)))))</f>
        <v>0</v>
      </c>
      <c r="BJ137" s="1323">
        <v>0</v>
      </c>
      <c r="BK137" s="1323">
        <v>0</v>
      </c>
      <c r="BL137" s="1323">
        <f t="shared" si="312"/>
        <v>0</v>
      </c>
      <c r="BM137" s="1320">
        <f t="shared" si="313"/>
        <v>0</v>
      </c>
      <c r="BN137" s="9">
        <v>17</v>
      </c>
      <c r="BO137" s="1323">
        <f>IF(AND($AN$127&gt;BN137,$C$127=$BD$121),(T$127),IF(AND($AN$127&gt;BN137,$C$127=$BD$122),(T$127),IF(AND($AN$127&gt;BN137,$C$127=$BD$123),(T$127),IF(AND($AN$127&gt;BN137,$C$127=$BD$124),(T$126),IF(AND($AN$127&gt;BN137,$C$127=$BD$125),(T$127),0)))))</f>
        <v>0</v>
      </c>
      <c r="BP137" s="1323">
        <v>0</v>
      </c>
      <c r="BQ137" s="1323">
        <v>0</v>
      </c>
      <c r="BR137" s="1323">
        <f t="shared" si="301"/>
        <v>0</v>
      </c>
      <c r="BS137" s="1324">
        <f t="shared" si="309"/>
        <v>0</v>
      </c>
      <c r="BT137" s="9">
        <v>17</v>
      </c>
      <c r="BU137" s="1323">
        <f>IF(AND($AN$132&gt;BT137,$C$132=$BD$121),(T$132),IF(AND($AN$132&gt;BT137,$C$132=$BD$122),(T$132),IF(AND($AN$132&gt;BT137,$C$132=$BD$123),(T$132),IF(AND($AN$132&gt;BT137,$C$132=$BD$124),(T$131),IF(AND($AN$132&gt;BT137,$C$132=$BD$125),(T$132),0)))))</f>
        <v>0</v>
      </c>
      <c r="BV137" s="1323">
        <v>0</v>
      </c>
      <c r="BW137" s="1323">
        <v>0</v>
      </c>
      <c r="BX137" s="1323">
        <f t="shared" si="302"/>
        <v>0</v>
      </c>
      <c r="BY137" s="1324">
        <f t="shared" si="303"/>
        <v>0</v>
      </c>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row>
    <row r="138" spans="2:102" ht="14.45" hidden="1" customHeight="1">
      <c r="B138" s="1411"/>
      <c r="C138" s="1670" t="s">
        <v>4753</v>
      </c>
      <c r="D138" s="1666">
        <f>IFERROR(IF($C$137=$BD$124,(D$86/(D$90+D$96+D$100+D$104+D$108+D$112+D$116+SUM(D121:D122)+SUM(D126:D127)+SUM(D131:D132)+D$136)),IF(OR($C$137=$BD$121,$C$137=$BD$122,$C$137=$BD$123),(D$86/(D$90+D$96+D$100+D$104+D$108+D$112+D$116+D$137)),D133)),D133)</f>
        <v>0</v>
      </c>
      <c r="E138" s="1369">
        <f t="shared" ref="E138:AL138" si="318">IFERROR(IF($C$137=$BD$124,(E$86/(E$90+E$96+E$100+E$104+E$108+E$112+E$116+SUM(E121:E122)+SUM(E126:E127)+SUM(E131:E132)+E$136)),IF(OR($C$137=$BD$121,$C$137=$BD$122,$C$137=$BD$123),(E$86/(E$90+E$96+E$100+E$104+E$108+E$112+E$116+E$137)),0)),0)</f>
        <v>0</v>
      </c>
      <c r="F138" s="1369">
        <f t="shared" si="318"/>
        <v>0</v>
      </c>
      <c r="G138" s="1369">
        <f t="shared" si="318"/>
        <v>0</v>
      </c>
      <c r="H138" s="1369">
        <f t="shared" si="318"/>
        <v>0</v>
      </c>
      <c r="I138" s="1369">
        <f t="shared" si="318"/>
        <v>0</v>
      </c>
      <c r="J138" s="1369">
        <f t="shared" si="318"/>
        <v>0</v>
      </c>
      <c r="K138" s="1369">
        <f t="shared" si="318"/>
        <v>0</v>
      </c>
      <c r="L138" s="1369">
        <f t="shared" si="318"/>
        <v>0</v>
      </c>
      <c r="M138" s="1369">
        <f t="shared" si="318"/>
        <v>0</v>
      </c>
      <c r="N138" s="1369">
        <f t="shared" si="318"/>
        <v>0</v>
      </c>
      <c r="O138" s="1369">
        <f t="shared" si="318"/>
        <v>0</v>
      </c>
      <c r="P138" s="1369">
        <f t="shared" si="318"/>
        <v>0</v>
      </c>
      <c r="Q138" s="1369">
        <f t="shared" si="318"/>
        <v>0</v>
      </c>
      <c r="R138" s="1369">
        <f t="shared" si="318"/>
        <v>0</v>
      </c>
      <c r="S138" s="1369">
        <f t="shared" si="318"/>
        <v>0</v>
      </c>
      <c r="T138" s="1369">
        <f t="shared" si="318"/>
        <v>0</v>
      </c>
      <c r="U138" s="1369">
        <f t="shared" si="318"/>
        <v>0</v>
      </c>
      <c r="V138" s="1369">
        <f t="shared" si="318"/>
        <v>0</v>
      </c>
      <c r="W138" s="1369">
        <f t="shared" si="318"/>
        <v>0</v>
      </c>
      <c r="X138" s="1369">
        <f t="shared" si="318"/>
        <v>0</v>
      </c>
      <c r="Y138" s="1369">
        <f t="shared" si="318"/>
        <v>0</v>
      </c>
      <c r="Z138" s="1369">
        <f t="shared" si="318"/>
        <v>0</v>
      </c>
      <c r="AA138" s="1369">
        <f t="shared" si="318"/>
        <v>0</v>
      </c>
      <c r="AB138" s="1369">
        <f t="shared" si="318"/>
        <v>0</v>
      </c>
      <c r="AC138" s="1369">
        <f t="shared" si="318"/>
        <v>0</v>
      </c>
      <c r="AD138" s="1369">
        <f t="shared" si="318"/>
        <v>0</v>
      </c>
      <c r="AE138" s="1369">
        <f t="shared" si="318"/>
        <v>0</v>
      </c>
      <c r="AF138" s="1369">
        <f t="shared" si="318"/>
        <v>0</v>
      </c>
      <c r="AG138" s="1369">
        <f t="shared" si="318"/>
        <v>0</v>
      </c>
      <c r="AH138" s="1369">
        <f t="shared" si="318"/>
        <v>0</v>
      </c>
      <c r="AI138" s="1369">
        <f t="shared" si="318"/>
        <v>0</v>
      </c>
      <c r="AJ138" s="1369">
        <f t="shared" si="318"/>
        <v>0</v>
      </c>
      <c r="AK138" s="1369">
        <f t="shared" si="318"/>
        <v>0</v>
      </c>
      <c r="AL138" s="1369">
        <f t="shared" si="318"/>
        <v>0</v>
      </c>
      <c r="AM138" s="1034"/>
      <c r="BH138" s="9">
        <v>18</v>
      </c>
      <c r="BI138" s="1323">
        <f>IF(AND($AN$122&gt;BH138,$C$122=$BD$121),(U$122),IF(AND($AN$122&gt;BH138,$C$122=$BD$122),(U$122),IF(AND($AN$122&gt;BH138,$C$122=$BD$123),(U$122),IF(AND($AN$122&gt;BH138,$C$122=$BD$124),(U$121),IF(AND($AN$122&gt;BH138,$C$122=$BD$125),(U$122),0)))))</f>
        <v>0</v>
      </c>
      <c r="BJ138" s="1323">
        <v>0</v>
      </c>
      <c r="BK138" s="1323">
        <v>0</v>
      </c>
      <c r="BL138" s="1323">
        <f t="shared" si="312"/>
        <v>0</v>
      </c>
      <c r="BM138" s="1320">
        <f t="shared" si="313"/>
        <v>0</v>
      </c>
      <c r="BN138" s="9">
        <v>18</v>
      </c>
      <c r="BO138" s="1323">
        <f>IF(AND($AN$127&gt;BN138,$C$127=$BD$121),(U$127),IF(AND($AN$127&gt;BN138,$C$127=$BD$122),(U$127),IF(AND($AN$127&gt;BN138,$C$127=$BD$123),(U$127),IF(AND($AN$127&gt;BN138,$C$127=$BD$124),(U$126),IF(AND($AN$127&gt;BN138,$C$127=$BD$125),(U$127),0)))))</f>
        <v>0</v>
      </c>
      <c r="BP138" s="1323">
        <v>0</v>
      </c>
      <c r="BQ138" s="1323">
        <v>0</v>
      </c>
      <c r="BR138" s="1323">
        <f t="shared" si="301"/>
        <v>0</v>
      </c>
      <c r="BS138" s="1324">
        <f t="shared" si="309"/>
        <v>0</v>
      </c>
      <c r="BT138" s="9">
        <v>18</v>
      </c>
      <c r="BU138" s="1323">
        <f>IF(AND($AN$132&gt;BT138,$C$132=$BD$121),(U$132),IF(AND($AN$132&gt;BT138,$C$132=$BD$122),(U$132),IF(AND($AN$132&gt;BT138,$C$132=$BD$123),(U$132),IF(AND($AN$132&gt;BT138,$C$132=$BD$124),(U$131),IF(AND($AN$132&gt;BT138,$C$132=$BD$125),(U$132),0)))))</f>
        <v>0</v>
      </c>
      <c r="BV138" s="1323">
        <v>0</v>
      </c>
      <c r="BW138" s="1323">
        <v>0</v>
      </c>
      <c r="BX138" s="1323">
        <f t="shared" si="302"/>
        <v>0</v>
      </c>
      <c r="BY138" s="1324">
        <f t="shared" si="303"/>
        <v>0</v>
      </c>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row>
    <row r="139" spans="2:102" ht="14.45" hidden="1" customHeight="1">
      <c r="B139" s="1411"/>
      <c r="C139" s="1670" t="s">
        <v>4771</v>
      </c>
      <c r="D139" s="1667">
        <f t="shared" ref="D139:AL139" si="319">IF($C$137=$BD$124,D134-D137,IF($C$137=$BD$123,D134-D137,IF($C$137=$BD$122,D134-D137,IF($C$137=$BD$121,D134-D137,D134))))</f>
        <v>0</v>
      </c>
      <c r="E139" s="1370">
        <f t="shared" si="319"/>
        <v>0</v>
      </c>
      <c r="F139" s="1370">
        <f t="shared" si="319"/>
        <v>0</v>
      </c>
      <c r="G139" s="1370">
        <f t="shared" si="319"/>
        <v>0</v>
      </c>
      <c r="H139" s="1370">
        <f t="shared" si="319"/>
        <v>0</v>
      </c>
      <c r="I139" s="1370">
        <f t="shared" si="319"/>
        <v>0</v>
      </c>
      <c r="J139" s="1370">
        <f t="shared" si="319"/>
        <v>0</v>
      </c>
      <c r="K139" s="1370">
        <f t="shared" si="319"/>
        <v>0</v>
      </c>
      <c r="L139" s="1370">
        <f t="shared" si="319"/>
        <v>0</v>
      </c>
      <c r="M139" s="1370">
        <f t="shared" si="319"/>
        <v>0</v>
      </c>
      <c r="N139" s="1370">
        <f t="shared" si="319"/>
        <v>0</v>
      </c>
      <c r="O139" s="1370">
        <f t="shared" si="319"/>
        <v>0</v>
      </c>
      <c r="P139" s="1370">
        <f t="shared" si="319"/>
        <v>0</v>
      </c>
      <c r="Q139" s="1370">
        <f t="shared" si="319"/>
        <v>0</v>
      </c>
      <c r="R139" s="1370">
        <f t="shared" si="319"/>
        <v>0</v>
      </c>
      <c r="S139" s="1370">
        <f t="shared" si="319"/>
        <v>0</v>
      </c>
      <c r="T139" s="1370">
        <f t="shared" si="319"/>
        <v>0</v>
      </c>
      <c r="U139" s="1370">
        <f t="shared" si="319"/>
        <v>0</v>
      </c>
      <c r="V139" s="1370">
        <f t="shared" si="319"/>
        <v>0</v>
      </c>
      <c r="W139" s="1370">
        <f t="shared" si="319"/>
        <v>0</v>
      </c>
      <c r="X139" s="1370">
        <f t="shared" si="319"/>
        <v>0</v>
      </c>
      <c r="Y139" s="1370">
        <f t="shared" si="319"/>
        <v>0</v>
      </c>
      <c r="Z139" s="1370">
        <f t="shared" si="319"/>
        <v>0</v>
      </c>
      <c r="AA139" s="1370">
        <f t="shared" si="319"/>
        <v>0</v>
      </c>
      <c r="AB139" s="1370">
        <f t="shared" si="319"/>
        <v>0</v>
      </c>
      <c r="AC139" s="1370">
        <f t="shared" si="319"/>
        <v>0</v>
      </c>
      <c r="AD139" s="1370">
        <f t="shared" si="319"/>
        <v>0</v>
      </c>
      <c r="AE139" s="1370">
        <f t="shared" si="319"/>
        <v>0</v>
      </c>
      <c r="AF139" s="1370">
        <f t="shared" si="319"/>
        <v>0</v>
      </c>
      <c r="AG139" s="1370">
        <f t="shared" si="319"/>
        <v>0</v>
      </c>
      <c r="AH139" s="1370">
        <f t="shared" si="319"/>
        <v>0</v>
      </c>
      <c r="AI139" s="1370">
        <f t="shared" si="319"/>
        <v>0</v>
      </c>
      <c r="AJ139" s="1370">
        <f t="shared" si="319"/>
        <v>0</v>
      </c>
      <c r="AK139" s="1370">
        <f t="shared" si="319"/>
        <v>0</v>
      </c>
      <c r="AL139" s="1370">
        <f t="shared" si="319"/>
        <v>0</v>
      </c>
      <c r="AM139" s="1034"/>
      <c r="BH139" s="9">
        <v>19</v>
      </c>
      <c r="BI139" s="1323">
        <f>IF(AND($AN$122&gt;BH139,$C$122=$BD$121),(V$122),IF(AND($AN$122&gt;BH139,$C$122=$BD$122),(V$122),IF(AND($AN$122&gt;BH139,$C$122=$BD$123),(V$122),IF(AND($AN$122&gt;BH139,$C$122=$BD$124),(V$121),IF(AND($AN$122&gt;BH139,$C$122=$BD$125),(V$122),0)))))</f>
        <v>0</v>
      </c>
      <c r="BJ139" s="1323">
        <v>0</v>
      </c>
      <c r="BK139" s="1323">
        <v>0</v>
      </c>
      <c r="BL139" s="1323">
        <f t="shared" si="312"/>
        <v>0</v>
      </c>
      <c r="BM139" s="1320">
        <f t="shared" si="313"/>
        <v>0</v>
      </c>
      <c r="BN139" s="9">
        <v>19</v>
      </c>
      <c r="BO139" s="1323">
        <f>IF(AND($AN$127&gt;BN139,$C$127=$BD$121),(V$127),IF(AND($AN$127&gt;BN139,$C$127=$BD$122),(V$127),IF(AND($AN$127&gt;BN139,$C$127=$BD$123),(V$127),IF(AND($AN$127&gt;BN139,$C$127=$BD$124),(V$126),IF(AND($AN$127&gt;BN139,$C$127=$BD$125),(V$127),0)))))</f>
        <v>0</v>
      </c>
      <c r="BP139" s="1323">
        <v>0</v>
      </c>
      <c r="BQ139" s="1323">
        <v>0</v>
      </c>
      <c r="BR139" s="1323">
        <f t="shared" si="301"/>
        <v>0</v>
      </c>
      <c r="BS139" s="1324">
        <f t="shared" si="309"/>
        <v>0</v>
      </c>
      <c r="BT139" s="9">
        <v>19</v>
      </c>
      <c r="BU139" s="1323">
        <f>IF(AND($AN$132&gt;BT139,$C$132=$BD$121),(V$132),IF(AND($AN$132&gt;BT139,$C$132=$BD$122),(V$132),IF(AND($AN$132&gt;BT139,$C$132=$BD$123),(V$132),IF(AND($AN$132&gt;BT139,$C$132=$BD$124),(V$131),IF(AND($AN$132&gt;BT139,$C$132=$BD$125),(V$132),0)))))</f>
        <v>0</v>
      </c>
      <c r="BV139" s="1323">
        <v>0</v>
      </c>
      <c r="BW139" s="1323">
        <v>0</v>
      </c>
      <c r="BX139" s="1323">
        <f t="shared" si="302"/>
        <v>0</v>
      </c>
      <c r="BY139" s="1324">
        <f t="shared" si="303"/>
        <v>0</v>
      </c>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t="14.45" hidden="1" customHeight="1">
      <c r="B140" s="1411"/>
      <c r="C140" s="1027"/>
      <c r="D140" s="1067" t="str">
        <f>IF(OR($C$142=$BD$122,$C$142=$BD$124),"Input Desired Annual Payment Amount",IF($C$142=$BD$123,"Input Desired % of Cashflow", ""))</f>
        <v/>
      </c>
      <c r="E140" s="1067" t="str">
        <f t="shared" ref="E140:AL140" si="320">IF($C$142=$BD$124,"Input Desired Annual Payment Amount","")</f>
        <v/>
      </c>
      <c r="F140" s="1067" t="str">
        <f t="shared" si="320"/>
        <v/>
      </c>
      <c r="G140" s="1067" t="str">
        <f t="shared" si="320"/>
        <v/>
      </c>
      <c r="H140" s="1067" t="str">
        <f t="shared" si="320"/>
        <v/>
      </c>
      <c r="I140" s="1067" t="str">
        <f t="shared" si="320"/>
        <v/>
      </c>
      <c r="J140" s="1067" t="str">
        <f t="shared" si="320"/>
        <v/>
      </c>
      <c r="K140" s="1067" t="str">
        <f t="shared" si="320"/>
        <v/>
      </c>
      <c r="L140" s="1067" t="str">
        <f t="shared" si="320"/>
        <v/>
      </c>
      <c r="M140" s="1067" t="str">
        <f t="shared" si="320"/>
        <v/>
      </c>
      <c r="N140" s="1067" t="str">
        <f t="shared" si="320"/>
        <v/>
      </c>
      <c r="O140" s="1067" t="str">
        <f t="shared" si="320"/>
        <v/>
      </c>
      <c r="P140" s="1067" t="str">
        <f t="shared" si="320"/>
        <v/>
      </c>
      <c r="Q140" s="1067" t="str">
        <f t="shared" si="320"/>
        <v/>
      </c>
      <c r="R140" s="1067" t="str">
        <f t="shared" si="320"/>
        <v/>
      </c>
      <c r="S140" s="1067" t="str">
        <f t="shared" si="320"/>
        <v/>
      </c>
      <c r="T140" s="1067" t="str">
        <f t="shared" si="320"/>
        <v/>
      </c>
      <c r="U140" s="1067" t="str">
        <f t="shared" si="320"/>
        <v/>
      </c>
      <c r="V140" s="1067" t="str">
        <f t="shared" si="320"/>
        <v/>
      </c>
      <c r="W140" s="1067" t="str">
        <f t="shared" si="320"/>
        <v/>
      </c>
      <c r="X140" s="1067" t="str">
        <f t="shared" si="320"/>
        <v/>
      </c>
      <c r="Y140" s="1067" t="str">
        <f t="shared" si="320"/>
        <v/>
      </c>
      <c r="Z140" s="1067" t="str">
        <f t="shared" si="320"/>
        <v/>
      </c>
      <c r="AA140" s="1067" t="str">
        <f t="shared" si="320"/>
        <v/>
      </c>
      <c r="AB140" s="1067" t="str">
        <f t="shared" si="320"/>
        <v/>
      </c>
      <c r="AC140" s="1067" t="str">
        <f t="shared" si="320"/>
        <v/>
      </c>
      <c r="AD140" s="1067" t="str">
        <f t="shared" si="320"/>
        <v/>
      </c>
      <c r="AE140" s="1067" t="str">
        <f t="shared" si="320"/>
        <v/>
      </c>
      <c r="AF140" s="1067" t="str">
        <f t="shared" si="320"/>
        <v/>
      </c>
      <c r="AG140" s="1067" t="str">
        <f t="shared" si="320"/>
        <v/>
      </c>
      <c r="AH140" s="1067" t="str">
        <f t="shared" si="320"/>
        <v/>
      </c>
      <c r="AI140" s="1067" t="str">
        <f t="shared" si="320"/>
        <v/>
      </c>
      <c r="AJ140" s="1067" t="str">
        <f t="shared" si="320"/>
        <v/>
      </c>
      <c r="AK140" s="1067" t="str">
        <f t="shared" si="320"/>
        <v/>
      </c>
      <c r="AL140" s="1067" t="str">
        <f t="shared" si="320"/>
        <v/>
      </c>
      <c r="AM140" s="1034"/>
      <c r="BH140" s="9">
        <v>20</v>
      </c>
      <c r="BI140" s="1323">
        <f>IF(AND($AN$122&gt;BH140,$C$122=$BD$121),(W$122),IF(AND($AN$122&gt;BH140,$C$122=$BD$122),(W$122),IF(AND($AN$122&gt;BH140,$C$122=$BD$123),(W$122),IF(AND($AN$122&gt;BH140,$C$122=$BD$124),(W$121),IF(AND($AN$122&gt;BH140,$C$122=$BD$125),(W$122),0)))))</f>
        <v>0</v>
      </c>
      <c r="BJ140" s="1323">
        <v>0</v>
      </c>
      <c r="BK140" s="1323">
        <v>0</v>
      </c>
      <c r="BL140" s="1323">
        <f t="shared" si="312"/>
        <v>0</v>
      </c>
      <c r="BM140" s="1320">
        <f t="shared" si="313"/>
        <v>0</v>
      </c>
      <c r="BN140" s="9">
        <v>20</v>
      </c>
      <c r="BO140" s="1323">
        <f>IF(AND($AN$127&gt;BN140,$C$127=$BD$121),(W$127),IF(AND($AN$127&gt;BN140,$C$127=$BD$122),(W$127),IF(AND($AN$127&gt;BN140,$C$127=$BD$123),(W$127),IF(AND($AN$127&gt;BN140,$C$127=$BD$124),(W$126),IF(AND($AN$127&gt;BN140,$C$127=$BD$125),(W$127),0)))))</f>
        <v>0</v>
      </c>
      <c r="BP140" s="1323">
        <v>0</v>
      </c>
      <c r="BQ140" s="1323">
        <v>0</v>
      </c>
      <c r="BR140" s="1323">
        <f t="shared" si="301"/>
        <v>0</v>
      </c>
      <c r="BS140" s="1324">
        <f t="shared" si="309"/>
        <v>0</v>
      </c>
      <c r="BT140" s="9">
        <v>20</v>
      </c>
      <c r="BU140" s="1323">
        <f>IF(AND($AN$132&gt;BT140,$C$132=$BD$121),(W$132),IF(AND($AN$132&gt;BT140,$C$132=$BD$122),(W$132),IF(AND($AN$132&gt;BT140,$C$132=$BD$123),(W$132),IF(AND($AN$132&gt;BT140,$C$132=$BD$124),(W$131),IF(AND($AN$132&gt;BT140,$C$132=$BD$125),(W$132),0)))))</f>
        <v>0</v>
      </c>
      <c r="BV140" s="1323">
        <v>0</v>
      </c>
      <c r="BW140" s="1323">
        <v>0</v>
      </c>
      <c r="BX140" s="1323">
        <f t="shared" si="302"/>
        <v>0</v>
      </c>
      <c r="BY140" s="1324">
        <f t="shared" si="303"/>
        <v>0</v>
      </c>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row>
    <row r="141" spans="2:102" ht="14.45" hidden="1" customHeight="1">
      <c r="B141" s="1411">
        <v>15</v>
      </c>
      <c r="C141" s="1669"/>
      <c r="D141" s="1665"/>
      <c r="E141" s="1384"/>
      <c r="F141" s="1384"/>
      <c r="G141" s="1384"/>
      <c r="H141" s="1384"/>
      <c r="I141" s="1384"/>
      <c r="J141" s="1384"/>
      <c r="K141" s="1384"/>
      <c r="L141" s="1384"/>
      <c r="M141" s="1384"/>
      <c r="N141" s="1384"/>
      <c r="O141" s="1384"/>
      <c r="P141" s="1384"/>
      <c r="Q141" s="1384"/>
      <c r="R141" s="1384"/>
      <c r="S141" s="1384"/>
      <c r="T141" s="1384"/>
      <c r="U141" s="1384"/>
      <c r="V141" s="1384"/>
      <c r="W141" s="1384"/>
      <c r="X141" s="1384"/>
      <c r="Y141" s="1384"/>
      <c r="Z141" s="1384"/>
      <c r="AA141" s="1384"/>
      <c r="AB141" s="1384"/>
      <c r="AC141" s="1384"/>
      <c r="AD141" s="1384"/>
      <c r="AE141" s="1384"/>
      <c r="AF141" s="1384"/>
      <c r="AG141" s="1384"/>
      <c r="AH141" s="1384"/>
      <c r="AI141" s="1384"/>
      <c r="AJ141" s="1384"/>
      <c r="AK141" s="1384"/>
      <c r="AL141" s="1384"/>
      <c r="AM141" s="1034"/>
      <c r="BH141" s="9">
        <v>21</v>
      </c>
      <c r="BI141" s="1323">
        <f>IF(AND($AN$122&gt;BH141,$C$122=$BD$121),(X$122),IF(AND($AN$122&gt;BH141,$C$122=$BD$122),(X$122),IF(AND($AN$122&gt;BH141,$C$122=$BD$123),(X$122),IF(AND($AN$122&gt;BH141,$C$122=$BD$124),(X$121),IF(AND($AN$122&gt;BH141,$C$122=$BD$125),(X$122),0)))))</f>
        <v>0</v>
      </c>
      <c r="BJ141" s="1323">
        <v>0</v>
      </c>
      <c r="BK141" s="1323">
        <v>0</v>
      </c>
      <c r="BL141" s="1323">
        <f t="shared" si="312"/>
        <v>0</v>
      </c>
      <c r="BM141" s="1320">
        <f t="shared" si="313"/>
        <v>0</v>
      </c>
      <c r="BN141" s="9">
        <v>21</v>
      </c>
      <c r="BO141" s="1323">
        <f>IF(AND($AN$127&gt;BN141,$C$127=$BD$121),(X$127),IF(AND($AN$127&gt;BN141,$C$127=$BD$122),(X$127),IF(AND($AN$127&gt;BN141,$C$127=$BD$123),(X$127),IF(AND($AN$127&gt;BN141,$C$127=$BD$124),(X$126),IF(AND($AN$127&gt;BN141,$C$127=$BD$125),(X$127),0)))))</f>
        <v>0</v>
      </c>
      <c r="BP141" s="1323">
        <v>0</v>
      </c>
      <c r="BQ141" s="1323">
        <v>0</v>
      </c>
      <c r="BR141" s="1323">
        <f t="shared" si="301"/>
        <v>0</v>
      </c>
      <c r="BS141" s="1324">
        <f t="shared" si="309"/>
        <v>0</v>
      </c>
      <c r="BT141" s="9">
        <v>21</v>
      </c>
      <c r="BU141" s="1323">
        <f>IF(AND($AN$132&gt;BT141,$C$132=$BD$121),(X$132),IF(AND($AN$132&gt;BT141,$C$132=$BD$122),(X$132),IF(AND($AN$132&gt;BT141,$C$132=$BD$123),(X$132),IF(AND($AN$132&gt;BT141,$C$132=$BD$124),(X$131),IF(AND($AN$132&gt;BT141,$C$132=$BD$125),(X$132),0)))))</f>
        <v>0</v>
      </c>
      <c r="BV141" s="1323">
        <v>0</v>
      </c>
      <c r="BW141" s="1323">
        <v>0</v>
      </c>
      <c r="BX141" s="1323">
        <f t="shared" si="302"/>
        <v>0</v>
      </c>
      <c r="BY141" s="1324">
        <f t="shared" si="303"/>
        <v>0</v>
      </c>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2:102" ht="14.45" hidden="1" customHeight="1">
      <c r="B142" s="1411"/>
      <c r="C142" s="1670" t="s">
        <v>4764</v>
      </c>
      <c r="D142" s="1393">
        <f>IF(C142=$BD$121,AR142,IF(C142=$BD$123,(D139*(D141/100)),IF(C142=$BD$122,D141,IF(C142=$BD$124,0,0))))</f>
        <v>0</v>
      </c>
      <c r="E142" s="1368" cm="1">
        <f t="array" ref="E142">IF(AND($C$142=$BD$123,(SUM($D$142:D142)+E139*($D$141/100))&lt;=$AO$142),(E139*($D$141/100)),IF(AND($C$142=$BD$123,(SUM($D$142:D142)+E139*($D$141/100))&gt;=$AO$142,E139&gt;=$AO$142-(SUM($D$142:D142)+E139*($D$141/100))),($AO$142-(SUM($D$142:D142))),IF(AND($C$142=$BD$121,(SUM($D$142:D142)+E139&lt;=$AO$142)),E139,IF(AND($C$142=$BD$121,(SUM($D$142:D142)+E139&gt;$AO$142),E139&gt;=$AO$142-(SUM($D$142:D142))),$AO$142-(SUM($D$142:D142)),IF(AND($C$142=$BD$124,$AN$142=E85),$AO$142-SUM($D$141:E141),IF(AND(F85&lt;=$AN$142,(SUM($D$142:D142)+$D$142)&lt;$AO$142),D142,IF(AND(F85=$AN$142+1,(SUM($D$142:D142)+$D$142)&lt;$AO$142),$AO$142-($D$142*D85),IF(SUM(($D$142:D142)+$D$142)&gt;=$AO$142,$AO$142-SUM($D$142:D142),0))))))))</f>
        <v>0</v>
      </c>
      <c r="F142" s="1368" cm="1">
        <f t="array" ref="F142">IF(AND($C$142=$BD$123,(SUM($D$142:E142)+F139*($D$141/100))&lt;=$AO$142),(F139*($D$141/100)),IF(AND($C$142=$BD$123,(SUM($D$142:E142)+F139*($D$141/100))&gt;=$AO$142,F139&gt;=$AO$142-(SUM($D$142:E142)+F139*($D$141/100))),($AO$142-(SUM($D$142:E142))),IF(AND($C$142=$BD$121,(SUM($D$142:E142)+F139&lt;=$AO$142)),F139,IF(AND($C$142=$BD$121,(SUM($D$142:E142)+F139&gt;$AO$142),F139&gt;=$AO$142-(SUM($D$142:E142))),$AO$142-(SUM($D$142:E142)),IF(AND($C$142=$BD$124,$AN$142=F85),$AO$142-SUM($D$141:F141),IF(AND(G85&lt;=$AN$142,(SUM($D$142:E142)+$D$142)&lt;$AO$142),E142,IF(AND(G85=$AN$142+1,(SUM($D$142:E142)+$D$142)&lt;$AO$142),$AO$142-($D$142*E85),IF(SUM(($D$142:E142)+$D$142)&gt;=$AO$142,$AO$142-SUM($D$142:E142),0))))))))</f>
        <v>0</v>
      </c>
      <c r="G142" s="1368" cm="1">
        <f t="array" ref="G142">IF(AND($C$142=$BD$123,(SUM($D$142:F142)+G139*($D$141/100))&lt;=$AO$142),(G139*($D$141/100)),IF(AND($C$142=$BD$123,(SUM($D$142:F142)+G139*($D$141/100))&gt;=$AO$142,G139&gt;=$AO$142-(SUM($D$142:F142)+G139*($D$141/100))),($AO$142-(SUM($D$142:F142))),IF(AND($C$142=$BD$121,(SUM($D$142:F142)+G139&lt;=$AO$142)),G139,IF(AND($C$142=$BD$121,(SUM($D$142:F142)+G139&gt;$AO$142),G139&gt;=$AO$142-(SUM($D$142:F142))),$AO$142-(SUM($D$142:F142)),IF(AND($C$142=$BD$124,$AN$142=G85),$AO$142-SUM($D$141:G141),IF(AND(H85&lt;=$AN$142,(SUM($D$142:F142)+$D$142)&lt;$AO$142),F142,IF(AND(H85=$AN$142+1,(SUM($D$142:F142)+$D$142)&lt;$AO$142),$AO$142-($D$142*F85),IF(SUM(($D$142:F142)+$D$142)&gt;=$AO$142,$AO$142-SUM($D$142:F142),0))))))))</f>
        <v>0</v>
      </c>
      <c r="H142" s="1368" cm="1">
        <f t="array" ref="H142">IF(AND($C$142=$BD$123,(SUM($D$142:G142)+H139*($D$141/100))&lt;=$AO$142),(H139*($D$141/100)),IF(AND($C$142=$BD$123,(SUM($D$142:G142)+H139*($D$141/100))&gt;=$AO$142,H139&gt;=$AO$142-(SUM($D$142:G142)+H139*($D$141/100))),($AO$142-(SUM($D$142:G142))),IF(AND($C$142=$BD$121,(SUM($D$142:G142)+H139&lt;=$AO$142)),H139,IF(AND($C$142=$BD$121,(SUM($D$142:G142)+H139&gt;$AO$142),H139&gt;=$AO$142-(SUM($D$142:G142))),$AO$142-(SUM($D$142:G142)),IF(AND($C$142=$BD$124,$AN$142=H85),$AO$142-SUM($D$141:H141),IF(AND(I85&lt;=$AN$142,(SUM($D$142:G142)+$D$142)&lt;$AO$142),G142,IF(AND(I85=$AN$142+1,(SUM($D$142:G142)+$D$142)&lt;$AO$142),$AO$142-($D$142*G85),IF(SUM(($D$142:G142)+$D$142)&gt;=$AO$142,$AO$142-SUM($D$142:G142),0))))))))</f>
        <v>0</v>
      </c>
      <c r="I142" s="1368" cm="1">
        <f t="array" ref="I142">IF(AND($C$142=$BD$123,(SUM($D$142:H142)+I139*($D$141/100))&lt;=$AO$142),(I139*($D$141/100)),IF(AND($C$142=$BD$123,(SUM($D$142:H142)+I139*($D$141/100))&gt;=$AO$142,I139&gt;=$AO$142-(SUM($D$142:H142)+I139*($D$141/100))),($AO$142-(SUM($D$142:H142))),IF(AND($C$142=$BD$121,(SUM($D$142:H142)+I139&lt;=$AO$142)),I139,IF(AND($C$142=$BD$121,(SUM($D$142:H142)+I139&gt;$AO$142),I139&gt;=$AO$142-(SUM($D$142:H142))),$AO$142-(SUM($D$142:H142)),IF(AND($C$142=$BD$124,$AN$142=I85),$AO$142-SUM($D$141:I141),IF(AND(J85&lt;=$AN$142,(SUM($D$142:H142)+$D$142)&lt;$AO$142),H142,IF(AND(J85=$AN$142+1,(SUM($D$142:H142)+$D$142)&lt;$AO$142),$AO$142-($D$142*H85),IF(SUM(($D$142:H142)+$D$142)&gt;=$AO$142,$AO$142-SUM($D$142:H142),0))))))))</f>
        <v>0</v>
      </c>
      <c r="J142" s="1368" cm="1">
        <f t="array" ref="J142">IF(AND($C$142=$BD$123,(SUM($D$142:I142)+J139*($D$141/100))&lt;=$AO$142),(J139*($D$141/100)),IF(AND($C$142=$BD$123,(SUM($D$142:I142)+J139*($D$141/100))&gt;=$AO$142,J139&gt;=$AO$142-(SUM($D$142:I142)+J139*($D$141/100))),($AO$142-(SUM($D$142:I142))),IF(AND($C$142=$BD$121,(SUM($D$142:I142)+J139&lt;=$AO$142)),J139,IF(AND($C$142=$BD$121,(SUM($D$142:I142)+J139&gt;$AO$142),J139&gt;=$AO$142-(SUM($D$142:I142))),$AO$142-(SUM($D$142:I142)),IF(AND($C$142=$BD$124,$AN$142=J85),$AO$142-SUM($D$141:J141),IF(AND(K85&lt;=$AN$142,(SUM($D$142:I142)+$D$142)&lt;$AO$142),I142,IF(AND(K85=$AN$142+1,(SUM($D$142:I142)+$D$142)&lt;$AO$142),$AO$142-($D$142*I85),IF(SUM(($D$142:I142)+$D$142)&gt;=$AO$142,$AO$142-SUM($D$142:I142),0))))))))</f>
        <v>0</v>
      </c>
      <c r="K142" s="1368" cm="1">
        <f t="array" ref="K142">IF(AND($C$142=$BD$123,(SUM($D$142:J142)+K139*($D$141/100))&lt;=$AO$142),(K139*($D$141/100)),IF(AND($C$142=$BD$123,(SUM($D$142:J142)+K139*($D$141/100))&gt;=$AO$142,K139&gt;=$AO$142-(SUM($D$142:J142)+K139*($D$141/100))),($AO$142-(SUM($D$142:J142))),IF(AND($C$142=$BD$121,(SUM($D$142:J142)+K139&lt;=$AO$142)),K139,IF(AND($C$142=$BD$121,(SUM($D$142:J142)+K139&gt;$AO$142),K139&gt;=$AO$142-(SUM($D$142:J142))),$AO$142-(SUM($D$142:J142)),IF(AND($C$142=$BD$124,$AN$142=K85),$AO$142-SUM($D$141:K141),IF(AND(L85&lt;=$AN$142,(SUM($D$142:J142)+$D$142)&lt;$AO$142),J142,IF(AND(L85=$AN$142+1,(SUM($D$142:J142)+$D$142)&lt;$AO$142),$AO$142-($D$142*J85),IF(SUM(($D$142:J142)+$D$142)&gt;=$AO$142,$AO$142-SUM($D$142:J142),0))))))))</f>
        <v>0</v>
      </c>
      <c r="L142" s="1368" cm="1">
        <f t="array" ref="L142">IF(AND($C$142=$BD$123,(SUM($D$142:K142)+L139*($D$141/100))&lt;=$AO$142),(L139*($D$141/100)),IF(AND($C$142=$BD$123,(SUM($D$142:K142)+L139*($D$141/100))&gt;=$AO$142,L139&gt;=$AO$142-(SUM($D$142:K142)+L139*($D$141/100))),($AO$142-(SUM($D$142:K142))),IF(AND($C$142=$BD$121,(SUM($D$142:K142)+L139&lt;=$AO$142)),L139,IF(AND($C$142=$BD$121,(SUM($D$142:K142)+L139&gt;$AO$142),L139&gt;=$AO$142-(SUM($D$142:K142))),$AO$142-(SUM($D$142:K142)),IF(AND($C$142=$BD$124,$AN$142=L85),$AO$142-SUM($D$141:L141),IF(AND(M85&lt;=$AN$142,(SUM($D$142:K142)+$D$142)&lt;$AO$142),K142,IF(AND(M85=$AN$142+1,(SUM($D$142:K142)+$D$142)&lt;$AO$142),$AO$142-($D$142*K85),IF(SUM(($D$142:K142)+$D$142)&gt;=$AO$142,$AO$142-SUM($D$142:K142),0))))))))</f>
        <v>0</v>
      </c>
      <c r="M142" s="1368" cm="1">
        <f t="array" ref="M142">IF(AND($C$142=$BD$123,(SUM($D$142:L142)+M139*($D$141/100))&lt;=$AO$142),(M139*($D$141/100)),IF(AND($C$142=$BD$123,(SUM($D$142:L142)+M139*($D$141/100))&gt;=$AO$142,M139&gt;=$AO$142-(SUM($D$142:L142)+M139*($D$141/100))),($AO$142-(SUM($D$142:L142))),IF(AND($C$142=$BD$121,(SUM($D$142:L142)+M139&lt;=$AO$142)),M139,IF(AND($C$142=$BD$121,(SUM($D$142:L142)+M139&gt;$AO$142),M139&gt;=$AO$142-(SUM($D$142:L142))),$AO$142-(SUM($D$142:L142)),IF(AND($C$142=$BD$124,$AN$142=M85),$AO$142-SUM($D$141:M141),IF(AND(N85&lt;=$AN$142,(SUM($D$142:L142)+$D$142)&lt;$AO$142),L142,IF(AND(N85=$AN$142+1,(SUM($D$142:L142)+$D$142)&lt;$AO$142),$AO$142-($D$142*L85),IF(SUM(($D$142:L142)+$D$142)&gt;=$AO$142,$AO$142-SUM($D$142:L142),0))))))))</f>
        <v>0</v>
      </c>
      <c r="N142" s="1368" cm="1">
        <f t="array" ref="N142">IF(AND($C$142=$BD$123,(SUM($D$142:M142)+N139*($D$141/100))&lt;=$AO$142),(N139*($D$141/100)),IF(AND($C$142=$BD$123,(SUM($D$142:M142)+N139*($D$141/100))&gt;=$AO$142,N139&gt;=$AO$142-(SUM($D$142:M142)+N139*($D$141/100))),($AO$142-(SUM($D$142:M142))),IF(AND($C$142=$BD$121,(SUM($D$142:M142)+N139&lt;=$AO$142)),N139,IF(AND($C$142=$BD$121,(SUM($D$142:M142)+N139&gt;$AO$142),N139&gt;=$AO$142-(SUM($D$142:M142))),$AO$142-(SUM($D$142:M142)),IF(AND($C$142=$BD$124,$AN$142=N85),$AO$142-SUM($D$141:N141),IF(AND(O85&lt;=$AN$142,(SUM($D$142:M142)+$D$142)&lt;$AO$142),M142,IF(AND(O85=$AN$142+1,(SUM($D$142:M142)+$D$142)&lt;$AO$142),$AO$142-($D$142*M85),IF(SUM(($D$142:M142)+$D$142)&gt;=$AO$142,$AO$142-SUM($D$142:M142),0))))))))</f>
        <v>0</v>
      </c>
      <c r="O142" s="1368" cm="1">
        <f t="array" ref="O142">IF(AND($C$142=$BD$123,(SUM($D$142:N142)+O139*($D$141/100))&lt;=$AO$142),(O139*($D$141/100)),IF(AND($C$142=$BD$123,(SUM($D$142:N142)+O139*($D$141/100))&gt;=$AO$142,O139&gt;=$AO$142-(SUM($D$142:N142)+O139*($D$141/100))),($AO$142-(SUM($D$142:N142))),IF(AND($C$142=$BD$121,(SUM($D$142:N142)+O139&lt;=$AO$142)),O139,IF(AND($C$142=$BD$121,(SUM($D$142:N142)+O139&gt;$AO$142),O139&gt;=$AO$142-(SUM($D$142:N142))),$AO$142-(SUM($D$142:N142)),IF(AND($C$142=$BD$124,$AN$142=O85),$AO$142-SUM($D$141:O141),IF(AND(P85&lt;=$AN$142,(SUM($D$142:N142)+$D$142)&lt;$AO$142),N142,IF(AND(P85=$AN$142+1,(SUM($D$142:N142)+$D$142)&lt;$AO$142),$AO$142-($D$142*N85),IF(SUM(($D$142:N142)+$D$142)&gt;=$AO$142,$AO$142-SUM($D$142:N142),0))))))))</f>
        <v>0</v>
      </c>
      <c r="P142" s="1368" cm="1">
        <f t="array" ref="P142">IF(AND($C$142=$BD$123,(SUM($D$142:O142)+P139*($D$141/100))&lt;=$AO$142),(P139*($D$141/100)),IF(AND($C$142=$BD$123,(SUM($D$142:O142)+P139*($D$141/100))&gt;=$AO$142,P139&gt;=$AO$142-(SUM($D$142:O142)+P139*($D$141/100))),($AO$142-(SUM($D$142:O142))),IF(AND($C$142=$BD$121,(SUM($D$142:O142)+P139&lt;=$AO$142)),P139,IF(AND($C$142=$BD$121,(SUM($D$142:O142)+P139&gt;$AO$142),P139&gt;=$AO$142-(SUM($D$142:O142))),$AO$142-(SUM($D$142:O142)),IF(AND($C$142=$BD$124,$AN$142=P85),$AO$142-SUM($D$141:P141),IF(AND(Q85&lt;=$AN$142,(SUM($D$142:O142)+$D$142)&lt;$AO$142),O142,IF(AND(Q85=$AN$142+1,(SUM($D$142:O142)+$D$142)&lt;$AO$142),$AO$142-($D$142*O85),IF(SUM(($D$142:O142)+$D$142)&gt;=$AO$142,$AO$142-SUM($D$142:O142),0))))))))</f>
        <v>0</v>
      </c>
      <c r="Q142" s="1368" cm="1">
        <f t="array" ref="Q142">IF(AND($C$142=$BD$123,(SUM($D$142:P142)+Q139*($D$141/100))&lt;=$AO$142),(Q139*($D$141/100)),IF(AND($C$142=$BD$123,(SUM($D$142:P142)+Q139*($D$141/100))&gt;=$AO$142,Q139&gt;=$AO$142-(SUM($D$142:P142)+Q139*($D$141/100))),($AO$142-(SUM($D$142:P142))),IF(AND($C$142=$BD$121,(SUM($D$142:P142)+Q139&lt;=$AO$142)),Q139,IF(AND($C$142=$BD$121,(SUM($D$142:P142)+Q139&gt;$AO$142),Q139&gt;=$AO$142-(SUM($D$142:P142))),$AO$142-(SUM($D$142:P142)),IF(AND($C$142=$BD$124,$AN$142=Q85),$AO$142-SUM($D$141:Q141),IF(AND(R85&lt;=$AN$142,(SUM($D$142:P142)+$D$142)&lt;$AO$142),P142,IF(AND(R85=$AN$142+1,(SUM($D$142:P142)+$D$142)&lt;$AO$142),$AO$142-($D$142*P85),IF(SUM(($D$142:P142)+$D$142)&gt;=$AO$142,$AO$142-SUM($D$142:P142),0))))))))</f>
        <v>0</v>
      </c>
      <c r="R142" s="1368" cm="1">
        <f t="array" ref="R142">IF(AND($C$142=$BD$123,(SUM($D$142:Q142)+R139*($D$141/100))&lt;=$AO$142),(R139*($D$141/100)),IF(AND($C$142=$BD$123,(SUM($D$142:Q142)+R139*($D$141/100))&gt;=$AO$142,R139&gt;=$AO$142-(SUM($D$142:Q142)+R139*($D$141/100))),($AO$142-(SUM($D$142:Q142))),IF(AND($C$142=$BD$121,(SUM($D$142:Q142)+R139&lt;=$AO$142)),R139,IF(AND($C$142=$BD$121,(SUM($D$142:Q142)+R139&gt;$AO$142),R139&gt;=$AO$142-(SUM($D$142:Q142))),$AO$142-(SUM($D$142:Q142)),IF(AND($C$142=$BD$124,$AN$142=R85),$AO$142-SUM($D$141:R141),IF(AND(S85&lt;=$AN$142,(SUM($D$142:Q142)+$D$142)&lt;$AO$142),Q142,IF(AND(S85=$AN$142+1,(SUM($D$142:Q142)+$D$142)&lt;$AO$142),$AO$142-($D$142*Q85),IF(SUM(($D$142:Q142)+$D$142)&gt;=$AO$142,$AO$142-SUM($D$142:Q142),0))))))))</f>
        <v>0</v>
      </c>
      <c r="S142" s="1368" cm="1">
        <f t="array" ref="S142">IF(AND($C$142=$BD$123,(SUM($D$142:R142)+S139*($D$141/100))&lt;=$AO$142),(S139*($D$141/100)),IF(AND($C$142=$BD$123,(SUM($D$142:R142)+S139*($D$141/100))&gt;=$AO$142,S139&gt;=$AO$142-(SUM($D$142:R142)+S139*($D$141/100))),($AO$142-(SUM($D$142:R142))),IF(AND($C$142=$BD$121,(SUM($D$142:R142)+S139&lt;=$AO$142)),S139,IF(AND($C$142=$BD$121,(SUM($D$142:R142)+S139&gt;$AO$142),S139&gt;=$AO$142-(SUM($D$142:R142))),$AO$142-(SUM($D$142:R142)),IF(AND($C$142=$BD$124,$AN$142=S85),$AO$142-SUM($D$141:S141),IF(AND(T85&lt;=$AN$142,(SUM($D$142:R142)+$D$142)&lt;$AO$142),R142,IF(AND(T85=$AN$142+1,(SUM($D$142:R142)+$D$142)&lt;$AO$142),$AO$142-($D$142*R85),IF(SUM(($D$142:R142)+$D$142)&gt;=$AO$142,$AO$142-SUM($D$142:R142),0))))))))</f>
        <v>0</v>
      </c>
      <c r="T142" s="1368" cm="1">
        <f t="array" ref="T142">IF(AND($C$142=$BD$123,(SUM($D$142:S142)+T139*($D$141/100))&lt;=$AO$142),(T139*($D$141/100)),IF(AND($C$142=$BD$123,(SUM($D$142:S142)+T139*($D$141/100))&gt;=$AO$142,T139&gt;=$AO$142-(SUM($D$142:S142)+T139*($D$141/100))),($AO$142-(SUM($D$142:S142))),IF(AND($C$142=$BD$121,(SUM($D$142:S142)+T139&lt;=$AO$142)),T139,IF(AND($C$142=$BD$121,(SUM($D$142:S142)+T139&gt;$AO$142),T139&gt;=$AO$142-(SUM($D$142:S142))),$AO$142-(SUM($D$142:S142)),IF(AND($C$142=$BD$124,$AN$142=T85),$AO$142-SUM($D$141:T141),IF(AND(U85&lt;=$AN$142,(SUM($D$142:S142)+$D$142)&lt;$AO$142),S142,IF(AND(U85=$AN$142+1,(SUM($D$142:S142)+$D$142)&lt;$AO$142),$AO$142-($D$142*S85),IF(SUM(($D$142:S142)+$D$142)&gt;=$AO$142,$AO$142-SUM($D$142:S142),0))))))))</f>
        <v>0</v>
      </c>
      <c r="U142" s="1368" cm="1">
        <f t="array" ref="U142">IF(AND($C$142=$BD$123,(SUM($D$142:T142)+U139*($D$141/100))&lt;=$AO$142),(U139*($D$141/100)),IF(AND($C$142=$BD$123,(SUM($D$142:T142)+U139*($D$141/100))&gt;=$AO$142,U139&gt;=$AO$142-(SUM($D$142:T142)+U139*($D$141/100))),($AO$142-(SUM($D$142:T142))),IF(AND($C$142=$BD$121,(SUM($D$142:T142)+U139&lt;=$AO$142)),U139,IF(AND($C$142=$BD$121,(SUM($D$142:T142)+U139&gt;$AO$142),U139&gt;=$AO$142-(SUM($D$142:T142))),$AO$142-(SUM($D$142:T142)),IF(AND($C$142=$BD$124,$AN$142=U85),$AO$142-SUM($D$141:U141),IF(AND(V85&lt;=$AN$142,(SUM($D$142:T142)+$D$142)&lt;$AO$142),T142,IF(AND(V85=$AN$142+1,(SUM($D$142:T142)+$D$142)&lt;$AO$142),$AO$142-($D$142*T85),IF(SUM(($D$142:T142)+$D$142)&gt;=$AO$142,$AO$142-SUM($D$142:T142),0))))))))</f>
        <v>0</v>
      </c>
      <c r="V142" s="1368" cm="1">
        <f t="array" ref="V142">IF(AND($C$142=$BD$123,(SUM($D$142:U142)+V139*($D$141/100))&lt;=$AO$142),(V139*($D$141/100)),IF(AND($C$142=$BD$123,(SUM($D$142:U142)+V139*($D$141/100))&gt;=$AO$142,V139&gt;=$AO$142-(SUM($D$142:U142)+V139*($D$141/100))),($AO$142-(SUM($D$142:U142))),IF(AND($C$142=$BD$121,(SUM($D$142:U142)+V139&lt;=$AO$142)),V139,IF(AND($C$142=$BD$121,(SUM($D$142:U142)+V139&gt;$AO$142),V139&gt;=$AO$142-(SUM($D$142:U142))),$AO$142-(SUM($D$142:U142)),IF(AND($C$142=$BD$124,$AN$142=V85),$AO$142-SUM($D$141:V141),IF(AND(W85&lt;=$AN$142,(SUM($D$142:U142)+$D$142)&lt;$AO$142),U142,IF(AND(W85=$AN$142+1,(SUM($D$142:U142)+$D$142)&lt;$AO$142),$AO$142-($D$142*U85),IF(SUM(($D$142:U142)+$D$142)&gt;=$AO$142,$AO$142-SUM($D$142:U142),0))))))))</f>
        <v>0</v>
      </c>
      <c r="W142" s="1368" cm="1">
        <f t="array" ref="W142">IF(AND($C$142=$BD$123,(SUM($D$142:V142)+W139*($D$141/100))&lt;=$AO$142),(W139*($D$141/100)),IF(AND($C$142=$BD$123,(SUM($D$142:V142)+W139*($D$141/100))&gt;=$AO$142,W139&gt;=$AO$142-(SUM($D$142:V142)+W139*($D$141/100))),($AO$142-(SUM($D$142:V142))),IF(AND($C$142=$BD$121,(SUM($D$142:V142)+W139&lt;=$AO$142)),W139,IF(AND($C$142=$BD$121,(SUM($D$142:V142)+W139&gt;$AO$142),W139&gt;=$AO$142-(SUM($D$142:V142))),$AO$142-(SUM($D$142:V142)),IF(AND($C$142=$BD$124,$AN$142=W85),$AO$142-SUM($D$141:W141),IF(AND(X85&lt;=$AN$142,(SUM($D$142:V142)+$D$142)&lt;$AO$142),V142,IF(AND(X85=$AN$142+1,(SUM($D$142:V142)+$D$142)&lt;$AO$142),$AO$142-($D$142*V85),IF(SUM(($D$142:V142)+$D$142)&gt;=$AO$142,$AO$142-SUM($D$142:V142),0))))))))</f>
        <v>0</v>
      </c>
      <c r="X142" s="1368" cm="1">
        <f t="array" ref="X142">IF(AND($C$142=$BD$123,(SUM($D$142:W142)+X139*($D$141/100))&lt;=$AO$142),(X139*($D$141/100)),IF(AND($C$142=$BD$123,(SUM($D$142:W142)+X139*($D$141/100))&gt;=$AO$142,X139&gt;=$AO$142-(SUM($D$142:W142)+X139*($D$141/100))),($AO$142-(SUM($D$142:W142))),IF(AND($C$142=$BD$121,(SUM($D$142:W142)+X139&lt;=$AO$142)),X139,IF(AND($C$142=$BD$121,(SUM($D$142:W142)+X139&gt;$AO$142),X139&gt;=$AO$142-(SUM($D$142:W142))),$AO$142-(SUM($D$142:W142)),IF(AND($C$142=$BD$124,$AN$142=X85),$AO$142-SUM($D$141:X141),IF(AND(Y85&lt;=$AN$142,(SUM($D$142:W142)+$D$142)&lt;$AO$142),W142,IF(AND(Y85=$AN$142+1,(SUM($D$142:W142)+$D$142)&lt;$AO$142),$AO$142-($D$142*W85),IF(SUM(($D$142:W142)+$D$142)&gt;=$AO$142,$AO$142-SUM($D$142:W142),0))))))))</f>
        <v>0</v>
      </c>
      <c r="Y142" s="1368" cm="1">
        <f t="array" ref="Y142">IF(AND($C$142=$BD$123,(SUM($D$142:X142)+Y139*($D$141/100))&lt;=$AO$142),(Y139*($D$141/100)),IF(AND($C$142=$BD$123,(SUM($D$142:X142)+Y139*($D$141/100))&gt;=$AO$142,Y139&gt;=$AO$142-(SUM($D$142:X142)+Y139*($D$141/100))),($AO$142-(SUM($D$142:X142))),IF(AND($C$142=$BD$121,(SUM($D$142:X142)+Y139&lt;=$AO$142)),Y139,IF(AND($C$142=$BD$121,(SUM($D$142:X142)+Y139&gt;$AO$142),Y139&gt;=$AO$142-(SUM($D$142:X142))),$AO$142-(SUM($D$142:X142)),IF(AND($C$142=$BD$124,$AN$142=Y85),$AO$142-SUM($D$141:Y141),IF(AND(Z85&lt;=$AN$142,(SUM($D$142:X142)+$D$142)&lt;$AO$142),X142,IF(AND(Z85=$AN$142+1,(SUM($D$142:X142)+$D$142)&lt;$AO$142),$AO$142-($D$142*X85),IF(SUM(($D$142:X142)+$D$142)&gt;=$AO$142,$AO$142-SUM($D$142:X142),0))))))))</f>
        <v>0</v>
      </c>
      <c r="Z142" s="1368" cm="1">
        <f t="array" ref="Z142">IF(AND($C$142=$BD$123,(SUM($D$142:Y142)+Z139*($D$141/100))&lt;=$AO$142),(Z139*($D$141/100)),IF(AND($C$142=$BD$123,(SUM($D$142:Y142)+Z139*($D$141/100))&gt;=$AO$142,Z139&gt;=$AO$142-(SUM($D$142:Y142)+Z139*($D$141/100))),($AO$142-(SUM($D$142:Y142))),IF(AND($C$142=$BD$121,(SUM($D$142:Y142)+Z139&lt;=$AO$142)),Z139,IF(AND($C$142=$BD$121,(SUM($D$142:Y142)+Z139&gt;$AO$142),Z139&gt;=$AO$142-(SUM($D$142:Y142))),$AO$142-(SUM($D$142:Y142)),IF(AND($C$142=$BD$124,$AN$142=Z85),$AO$142-SUM($D$141:Z141),IF(AND(AA85&lt;=$AN$142,(SUM($D$142:Y142)+$D$142)&lt;$AO$142),Y142,IF(AND(AA85=$AN$142+1,(SUM($D$142:Y142)+$D$142)&lt;$AO$142),$AO$142-($D$142*Y85),IF(SUM(($D$142:Y142)+$D$142)&gt;=$AO$142,$AO$142-SUM($D$142:Y142),0))))))))</f>
        <v>0</v>
      </c>
      <c r="AA142" s="1368" cm="1">
        <f t="array" ref="AA142">IF(AND($C$142=$BD$123,(SUM($D$142:Z142)+AA139*($D$141/100))&lt;=$AO$142),(AA139*($D$141/100)),IF(AND($C$142=$BD$123,(SUM($D$142:Z142)+AA139*($D$141/100))&gt;=$AO$142,AA139&gt;=$AO$142-(SUM($D$142:Z142)+AA139*($D$141/100))),($AO$142-(SUM($D$142:Z142))),IF(AND($C$142=$BD$121,(SUM($D$142:Z142)+AA139&lt;=$AO$142)),AA139,IF(AND($C$142=$BD$121,(SUM($D$142:Z142)+AA139&gt;$AO$142),AA139&gt;=$AO$142-(SUM($D$142:Z142))),$AO$142-(SUM($D$142:Z142)),IF(AND($C$142=$BD$124,$AN$142=AA85),$AO$142-SUM($D$141:AA141),IF(AND(AB85&lt;=$AN$142,(SUM($D$142:Z142)+$D$142)&lt;$AO$142),Z142,IF(AND(AB85=$AN$142+1,(SUM($D$142:Z142)+$D$142)&lt;$AO$142),$AO$142-($D$142*Z85),IF(SUM(($D$142:Z142)+$D$142)&gt;=$AO$142,$AO$142-SUM($D$142:Z142),0))))))))</f>
        <v>0</v>
      </c>
      <c r="AB142" s="1368" cm="1">
        <f t="array" ref="AB142">IF(AND($C$142=$BD$123,(SUM($D$142:AA142)+AB139*($D$141/100))&lt;=$AO$142),(AB139*($D$141/100)),IF(AND($C$142=$BD$123,(SUM($D$142:AA142)+AB139*($D$141/100))&gt;=$AO$142,AB139&gt;=$AO$142-(SUM($D$142:AA142)+AB139*($D$141/100))),($AO$142-(SUM($D$142:AA142))),IF(AND($C$142=$BD$121,(SUM($D$142:AA142)+AB139&lt;=$AO$142)),AB139,IF(AND($C$142=$BD$121,(SUM($D$142:AA142)+AB139&gt;$AO$142),AB139&gt;=$AO$142-(SUM($D$142:AA142))),$AO$142-(SUM($D$142:AA142)),IF(AND($C$142=$BD$124,$AN$142=AB85),$AO$142-SUM($D$141:AB141),IF(AND(AC85&lt;=$AN$142,(SUM($D$142:AA142)+$D$142)&lt;$AO$142),AA142,IF(AND(AC85=$AN$142+1,(SUM($D$142:AA142)+$D$142)&lt;$AO$142),$AO$142-($D$142*AA85),IF(SUM(($D$142:AA142)+$D$142)&gt;=$AO$142,$AO$142-SUM($D$142:AA142),0))))))))</f>
        <v>0</v>
      </c>
      <c r="AC142" s="1368" cm="1">
        <f t="array" ref="AC142">IF(AND($C$142=$BD$123,(SUM($D$142:AB142)+AC139*($D$141/100))&lt;=$AO$142),(AC139*($D$141/100)),IF(AND($C$142=$BD$123,(SUM($D$142:AB142)+AC139*($D$141/100))&gt;=$AO$142,AC139&gt;=$AO$142-(SUM($D$142:AB142)+AC139*($D$141/100))),($AO$142-(SUM($D$142:AB142))),IF(AND($C$142=$BD$121,(SUM($D$142:AB142)+AC139&lt;=$AO$142)),AC139,IF(AND($C$142=$BD$121,(SUM($D$142:AB142)+AC139&gt;$AO$142),AC139&gt;=$AO$142-(SUM($D$142:AB142))),$AO$142-(SUM($D$142:AB142)),IF(AND($C$142=$BD$124,$AN$142=AC85),$AO$142-SUM($D$141:AC141),IF(AND(AD85&lt;=$AN$142,(SUM($D$142:AB142)+$D$142)&lt;$AO$142),AB142,IF(AND(AD85=$AN$142+1,(SUM($D$142:AB142)+$D$142)&lt;$AO$142),$AO$142-($D$142*AB85),IF(SUM(($D$142:AB142)+$D$142)&gt;=$AO$142,$AO$142-SUM($D$142:AB142),0))))))))</f>
        <v>0</v>
      </c>
      <c r="AD142" s="1368" cm="1">
        <f t="array" ref="AD142">IF(AND($C$142=$BD$123,(SUM($D$142:AC142)+AD139*($D$141/100))&lt;=$AO$142),(AD139*($D$141/100)),IF(AND($C$142=$BD$123,(SUM($D$142:AC142)+AD139*($D$141/100))&gt;=$AO$142,AD139&gt;=$AO$142-(SUM($D$142:AC142)+AD139*($D$141/100))),($AO$142-(SUM($D$142:AC142))),IF(AND($C$142=$BD$121,(SUM($D$142:AC142)+AD139&lt;=$AO$142)),AD139,IF(AND($C$142=$BD$121,(SUM($D$142:AC142)+AD139&gt;$AO$142),AD139&gt;=$AO$142-(SUM($D$142:AC142))),$AO$142-(SUM($D$142:AC142)),IF(AND($C$142=$BD$124,$AN$142=AD85),$AO$142-SUM($D$141:AD141),IF(AND(AE85&lt;=$AN$142,(SUM($D$142:AC142)+$D$142)&lt;$AO$142),AC142,IF(AND(AE85=$AN$142+1,(SUM($D$142:AC142)+$D$142)&lt;$AO$142),$AO$142-($D$142*AC85),IF(SUM(($D$142:AC142)+$D$142)&gt;=$AO$142,$AO$142-SUM($D$142:AC142),0))))))))</f>
        <v>0</v>
      </c>
      <c r="AE142" s="1368" cm="1">
        <f t="array" ref="AE142">IF(AND($C$142=$BD$123,(SUM($D$142:AD142)+AE139*($D$141/100))&lt;=$AO$142),(AE139*($D$141/100)),IF(AND($C$142=$BD$123,(SUM($D$142:AD142)+AE139*($D$141/100))&gt;=$AO$142,AE139&gt;=$AO$142-(SUM($D$142:AD142)+AE139*($D$141/100))),($AO$142-(SUM($D$142:AD142))),IF(AND($C$142=$BD$121,(SUM($D$142:AD142)+AE139&lt;=$AO$142)),AE139,IF(AND($C$142=$BD$121,(SUM($D$142:AD142)+AE139&gt;$AO$142),AE139&gt;=$AO$142-(SUM($D$142:AD142))),$AO$142-(SUM($D$142:AD142)),IF(AND($C$142=$BD$124,$AN$142=AE85),$AO$142-SUM($D$141:AE141),IF(AND(AF85&lt;=$AN$142,(SUM($D$142:AD142)+$D$142)&lt;$AO$142),AD142,IF(AND(AF85=$AN$142+1,(SUM($D$142:AD142)+$D$142)&lt;$AO$142),$AO$142-($D$142*AD85),IF(SUM(($D$142:AD142)+$D$142)&gt;=$AO$142,$AO$142-SUM($D$142:AD142),0))))))))</f>
        <v>0</v>
      </c>
      <c r="AF142" s="1368" cm="1">
        <f t="array" ref="AF142">IF(AND($C$142=$BD$123,(SUM($D$142:AE142)+AF139*($D$141/100))&lt;=$AO$142),(AF139*($D$141/100)),IF(AND($C$142=$BD$123,(SUM($D$142:AE142)+AF139*($D$141/100))&gt;=$AO$142,AF139&gt;=$AO$142-(SUM($D$142:AE142)+AF139*($D$141/100))),($AO$142-(SUM($D$142:AE142))),IF(AND($C$142=$BD$121,(SUM($D$142:AE142)+AF139&lt;=$AO$142)),AF139,IF(AND($C$142=$BD$121,(SUM($D$142:AE142)+AF139&gt;$AO$142),AF139&gt;=$AO$142-(SUM($D$142:AE142))),$AO$142-(SUM($D$142:AE142)),IF(AND($C$142=$BD$124,$AN$142=AF85),$AO$142-SUM($D$141:AF141),IF(AND(AG85&lt;=$AN$142,(SUM($D$142:AE142)+$D$142)&lt;$AO$142),AE142,IF(AND(AG85=$AN$142+1,(SUM($D$142:AE142)+$D$142)&lt;$AO$142),$AO$142-($D$142*AE85),IF(SUM(($D$142:AE142)+$D$142)&gt;=$AO$142,$AO$142-SUM($D$142:AE142),0))))))))</f>
        <v>0</v>
      </c>
      <c r="AG142" s="1368" cm="1">
        <f t="array" ref="AG142">IF(AND($C$142=$BD$123,(SUM($D$142:AF142)+AG139*($D$141/100))&lt;=$AO$142),(AG139*($D$141/100)),IF(AND($C$142=$BD$123,(SUM($D$142:AF142)+AG139*($D$141/100))&gt;=$AO$142,AG139&gt;=$AO$142-(SUM($D$142:AF142)+AG139*($D$141/100))),($AO$142-(SUM($D$142:AF142))),IF(AND($C$142=$BD$121,(SUM($D$142:AF142)+AG139&lt;=$AO$142)),AG139,IF(AND($C$142=$BD$121,(SUM($D$142:AF142)+AG139&gt;$AO$142),AG139&gt;=$AO$142-(SUM($D$142:AF142))),$AO$142-(SUM($D$142:AF142)),IF(AND($C$142=$BD$124,$AN$142=AG85),$AO$142-SUM($D$141:AG141),IF(AND(AH85&lt;=$AN$142,(SUM($D$142:AF142)+$D$142)&lt;$AO$142),AF142,IF(AND(AH85=$AN$142+1,(SUM($D$142:AF142)+$D$142)&lt;$AO$142),$AO$142-($D$142*AF85),IF(SUM(($D$142:AF142)+$D$142)&gt;=$AO$142,$AO$142-SUM($D$142:AF142),0))))))))</f>
        <v>0</v>
      </c>
      <c r="AH142" s="1368" cm="1">
        <f t="array" ref="AH142">IF(AND($C$142=$BD$123,(SUM($D$142:AG142)+AH139*($D$141/100))&lt;=$AO$142),(AH139*($D$141/100)),IF(AND($C$142=$BD$123,(SUM($D$142:AG142)+AH139*($D$141/100))&gt;=$AO$142,AH139&gt;=$AO$142-(SUM($D$142:AG142)+AH139*($D$141/100))),($AO$142-(SUM($D$142:AG142))),IF(AND($C$142=$BD$121,(SUM($D$142:AG142)+AH139&lt;=$AO$142)),AH139,IF(AND($C$142=$BD$121,(SUM($D$142:AG142)+AH139&gt;$AO$142),AH139&gt;=$AO$142-(SUM($D$142:AG142))),$AO$142-(SUM($D$142:AG142)),IF(AND($C$142=$BD$124,$AN$142=AH85),$AO$142-SUM($D$141:AH141),IF(AND(AI85&lt;=$AN$142,(SUM($D$142:AG142)+$D$142)&lt;$AO$142),AG142,IF(AND(AI85=$AN$142+1,(SUM($D$142:AG142)+$D$142)&lt;$AO$142),$AO$142-($D$142*AG85),IF(SUM(($D$142:AG142)+$D$142)&gt;=$AO$142,$AO$142-SUM($D$142:AG142),0))))))))</f>
        <v>0</v>
      </c>
      <c r="AI142" s="1368" cm="1">
        <f t="array" ref="AI142">IF(AND($C$142=$BD$123,(SUM($D$142:AH142)+AI139*($D$141/100))&lt;=$AO$142),(AI139*($D$141/100)),IF(AND($C$142=$BD$123,(SUM($D$142:AH142)+AI139*($D$141/100))&gt;=$AO$142,AI139&gt;=$AO$142-(SUM($D$142:AH142)+AI139*($D$141/100))),($AO$142-(SUM($D$142:AH142))),IF(AND($C$142=$BD$121,(SUM($D$142:AH142)+AI139&lt;=$AO$142)),AI139,IF(AND($C$142=$BD$121,(SUM($D$142:AH142)+AI139&gt;$AO$142),AI139&gt;=$AO$142-(SUM($D$142:AH142))),$AO$142-(SUM($D$142:AH142)),IF(AND($C$142=$BD$124,$AN$142=AI85),$AO$142-SUM($D$141:AI141),IF(AND(AJ85&lt;=$AN$142,(SUM($D$142:AH142)+$D$142)&lt;$AO$142),AH142,IF(AND(AJ85=$AN$142+1,(SUM($D$142:AH142)+$D$142)&lt;$AO$142),$AO$142-($D$142*AH85),IF(SUM(($D$142:AH142)+$D$142)&gt;=$AO$142,$AO$142-SUM($D$142:AH142),0))))))))</f>
        <v>0</v>
      </c>
      <c r="AJ142" s="1368" cm="1">
        <f t="array" ref="AJ142">IF(AND($C$142=$BD$123,(SUM($D$142:AI142)+AJ139*($D$141/100))&lt;=$AO$142),(AJ139*($D$141/100)),IF(AND($C$142=$BD$123,(SUM($D$142:AI142)+AJ139*($D$141/100))&gt;=$AO$142,AJ139&gt;=$AO$142-(SUM($D$142:AI142)+AJ139*($D$141/100))),($AO$142-(SUM($D$142:AI142))),IF(AND($C$142=$BD$121,(SUM($D$142:AI142)+AJ139&lt;=$AO$142)),AJ139,IF(AND($C$142=$BD$121,(SUM($D$142:AI142)+AJ139&gt;$AO$142),AJ139&gt;=$AO$142-(SUM($D$142:AI142))),$AO$142-(SUM($D$142:AI142)),IF(AND($C$142=$BD$124,$AN$142=AJ85),$AO$142-SUM($D$141:AJ141),IF(AND(AK85&lt;=$AN$142,(SUM($D$142:AI142)+$D$142)&lt;$AO$142),AI142,IF(AND(AK85=$AN$142+1,(SUM($D$142:AI142)+$D$142)&lt;$AO$142),$AO$142-($D$142*AI85),IF(SUM(($D$142:AI142)+$D$142)&gt;=$AO$142,$AO$142-SUM($D$142:AI142),0))))))))</f>
        <v>0</v>
      </c>
      <c r="AK142" s="1368" cm="1">
        <f t="array" ref="AK142">IF(AND($C$142=$BD$123,(SUM($D$142:AJ142)+AK139*($D$141/100))&lt;=$AO$142),(AK139*($D$141/100)),IF(AND($C$142=$BD$123,(SUM($D$142:AJ142)+AK139*($D$141/100))&gt;=$AO$142,AK139&gt;=$AO$142-(SUM($D$142:AJ142)+AK139*($D$141/100))),($AO$142-(SUM($D$142:AJ142))),IF(AND($C$142=$BD$121,(SUM($D$142:AJ142)+AK139&lt;=$AO$142)),AK139,IF(AND($C$142=$BD$121,(SUM($D$142:AJ142)+AK139&gt;$AO$142),AK139&gt;=$AO$142-(SUM($D$142:AJ142))),$AO$142-(SUM($D$142:AJ142)),IF(AND($C$142=$BD$124,$AN$142=AK85),$AO$142-SUM($D$141:AK141),IF(AND(AL85&lt;=$AN$142,(SUM($D$142:AJ142)+$D$142)&lt;$AO$142),AJ142,IF(AND(AL85=$AN$142+1,(SUM($D$142:AJ142)+$D$142)&lt;$AO$142),$AO$142-($D$142*AJ85),IF(SUM(($D$142:AJ142)+$D$142)&gt;=$AO$142,$AO$142-SUM($D$142:AJ142),0))))))))</f>
        <v>0</v>
      </c>
      <c r="AL142" s="1368" cm="1">
        <f t="array" ref="AL142">IF(AND($C$142=$BD$123,(SUM($D$142:AK142)+AL139*($D$141/100))&lt;=$AO$142),(AL139*($D$141/100)),IF(AND($C$142=$BD$123,(SUM($D$142:AK142)+AL139*($D$141/100))&gt;=$AO$142,AL139&gt;=$AO$142-(SUM($D$142:AK142)+AL139*($D$141/100))),($AO$142-(SUM($D$142:AK142))),IF(AND($C$142=$BD$121,(SUM($D$142:AK142)+AL139&lt;=$AO$142)),AL139,IF(AND($C$142=$BD$121,(SUM($D$142:AK142)+AL139&gt;$AO$142),AL139&gt;=$AO$142-(SUM($D$142:AK142))),$AO$142-(SUM($D$142:AK142)),IF(AND($C$142=$BD$124,$AN$142=AL85),$AO$142-SUM($D$141:AL141),IF(AND(AM87&lt;=$AN$142,(SUM($D$142:AK142)+$D$142)&lt;$AO$142),AK142,IF(AND(AM87=$AN$142+1,(SUM($D$142:AK142)+$D$142)&lt;$AO$142),$AO$142-($D$142*AK85),IF(SUM(($D$142:AK142)+$D$142)&gt;=$AO$142,$AO$142-SUM($D$142:AK142),0))))))))</f>
        <v>0</v>
      </c>
      <c r="AM142" s="1034"/>
      <c r="AN142" s="1656">
        <f>_xlfn.XLOOKUP(C141,'12. Funding Sources'!$C$11:$C$20,'12. Funding Sources'!$L$11:$L$20,36)</f>
        <v>36</v>
      </c>
      <c r="AO142" s="1655">
        <f>_xlfn.XLOOKUP(C141,'12. Funding Sources'!$C$11:$C$20,'17. Cash Flow and Reserves'!$AT$121:$AT$130,0)*AN142</f>
        <v>0</v>
      </c>
      <c r="AR142" s="115">
        <f>(IF(D139&gt;=_xlfn.XLOOKUP(C141,'12. Funding Sources'!$C$11:$C$20,'17. Cash Flow and Reserves'!$AT$121:$AT$130,0),_xlfn.XLOOKUP(C141,'12. Funding Sources'!$C$11:$C$20,'17. Cash Flow and Reserves'!$AT$121:$AT$130,0),D139))</f>
        <v>0</v>
      </c>
      <c r="BH142" s="9">
        <v>22</v>
      </c>
      <c r="BI142" s="1323">
        <f>IF(AND($AN$122&gt;BH142,$C$122=$BD$121),(Y$122),IF(AND($AN$122&gt;BH142,$C$122=$BD$122),(Y$122),IF(AND($AN$122&gt;BH142,$C$122=$BD$123),(Y$122),IF(AND($AN$122&gt;BH142,$C$122=$BD$124),(Y$121),IF(AND($AN$122&gt;BH142,$C$122=$BD$125),(Y$122),0)))))</f>
        <v>0</v>
      </c>
      <c r="BJ142" s="1323">
        <v>0</v>
      </c>
      <c r="BK142" s="1323">
        <v>0</v>
      </c>
      <c r="BL142" s="1323">
        <f t="shared" si="312"/>
        <v>0</v>
      </c>
      <c r="BM142" s="1320">
        <f t="shared" si="313"/>
        <v>0</v>
      </c>
      <c r="BN142" s="9">
        <v>22</v>
      </c>
      <c r="BO142" s="1323">
        <f>IF(AND($AN$127&gt;BN142,$C$127=$BD$121),(Y$127),IF(AND($AN$127&gt;BN142,$C$127=$BD$122),(Y$127),IF(AND($AN$127&gt;BN142,$C$127=$BD$123),(Y$127),IF(AND($AN$127&gt;BN142,$C$127=$BD$124),(Y$126),IF(AND($AN$127&gt;BN142,$C$127=$BD$125),(Y$127),0)))))</f>
        <v>0</v>
      </c>
      <c r="BP142" s="1323">
        <v>0</v>
      </c>
      <c r="BQ142" s="1323">
        <v>0</v>
      </c>
      <c r="BR142" s="1323">
        <f t="shared" si="301"/>
        <v>0</v>
      </c>
      <c r="BS142" s="1324">
        <f t="shared" si="309"/>
        <v>0</v>
      </c>
      <c r="BT142" s="9">
        <v>22</v>
      </c>
      <c r="BU142" s="1323">
        <f>IF(AND($AN$132&gt;BT142,$C$132=$BD$121),(Y$132),IF(AND($AN$132&gt;BT142,$C$132=$BD$122),(Y$132),IF(AND($AN$132&gt;BT142,$C$132=$BD$123),(Y$132),IF(AND($AN$132&gt;BT142,$C$132=$BD$124),(Y$131),IF(AND($AN$132&gt;BT142,$C$132=$BD$125),(Y$132),0)))))</f>
        <v>0</v>
      </c>
      <c r="BV142" s="1323">
        <v>0</v>
      </c>
      <c r="BW142" s="1323">
        <v>0</v>
      </c>
      <c r="BX142" s="1323">
        <f t="shared" si="302"/>
        <v>0</v>
      </c>
      <c r="BY142" s="1324">
        <f t="shared" si="303"/>
        <v>0</v>
      </c>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2:102" ht="14.45" hidden="1" customHeight="1">
      <c r="B143" s="1411"/>
      <c r="C143" s="1670" t="s">
        <v>4753</v>
      </c>
      <c r="D143" s="1666">
        <f>IFERROR(IF($C$142=$BD$124,(D$86/(D$90+D$96+D$100+D$104+D$108+D$112+D$116+SUM(D126:D127)+SUM(D131:D132)+SUM(D136:D137)+D$141)),IF(OR($C$142=$BD$121,$C$142=$BD$122,$C$142=$BD$123),(D$86/(D$90+D$96+D$100+D$104+D$108+D$112+D$116+D$142)),D138)),D138)</f>
        <v>0</v>
      </c>
      <c r="E143" s="1369">
        <f t="shared" ref="E143:AL143" si="321">IFERROR(IF($C$142=$BD$124,(E$86/(E$90+E$96+E$100+E$104+E$108+E$112+E$116+SUM(E126:E127)+SUM(E131:E132)+SUM(E136:E137)+E$141)),IF(OR($C$142=$BD$121,$C$142=$BD$122,$C$142=$BD$123),(E$86/(E$90+E$96+E$100+E$104+E$108+E$112+E$116+E$142)),0)),0)</f>
        <v>0</v>
      </c>
      <c r="F143" s="1369">
        <f t="shared" si="321"/>
        <v>0</v>
      </c>
      <c r="G143" s="1369">
        <f t="shared" si="321"/>
        <v>0</v>
      </c>
      <c r="H143" s="1369">
        <f t="shared" si="321"/>
        <v>0</v>
      </c>
      <c r="I143" s="1369">
        <f t="shared" si="321"/>
        <v>0</v>
      </c>
      <c r="J143" s="1369">
        <f t="shared" si="321"/>
        <v>0</v>
      </c>
      <c r="K143" s="1369">
        <f t="shared" si="321"/>
        <v>0</v>
      </c>
      <c r="L143" s="1369">
        <f t="shared" si="321"/>
        <v>0</v>
      </c>
      <c r="M143" s="1369">
        <f t="shared" si="321"/>
        <v>0</v>
      </c>
      <c r="N143" s="1369">
        <f t="shared" si="321"/>
        <v>0</v>
      </c>
      <c r="O143" s="1369">
        <f t="shared" si="321"/>
        <v>0</v>
      </c>
      <c r="P143" s="1369">
        <f t="shared" si="321"/>
        <v>0</v>
      </c>
      <c r="Q143" s="1369">
        <f t="shared" si="321"/>
        <v>0</v>
      </c>
      <c r="R143" s="1369">
        <f t="shared" si="321"/>
        <v>0</v>
      </c>
      <c r="S143" s="1369">
        <f t="shared" si="321"/>
        <v>0</v>
      </c>
      <c r="T143" s="1369">
        <f t="shared" si="321"/>
        <v>0</v>
      </c>
      <c r="U143" s="1369">
        <f t="shared" si="321"/>
        <v>0</v>
      </c>
      <c r="V143" s="1369">
        <f t="shared" si="321"/>
        <v>0</v>
      </c>
      <c r="W143" s="1369">
        <f t="shared" si="321"/>
        <v>0</v>
      </c>
      <c r="X143" s="1369">
        <f t="shared" si="321"/>
        <v>0</v>
      </c>
      <c r="Y143" s="1369">
        <f t="shared" si="321"/>
        <v>0</v>
      </c>
      <c r="Z143" s="1369">
        <f t="shared" si="321"/>
        <v>0</v>
      </c>
      <c r="AA143" s="1369">
        <f t="shared" si="321"/>
        <v>0</v>
      </c>
      <c r="AB143" s="1369">
        <f t="shared" si="321"/>
        <v>0</v>
      </c>
      <c r="AC143" s="1369">
        <f t="shared" si="321"/>
        <v>0</v>
      </c>
      <c r="AD143" s="1369">
        <f t="shared" si="321"/>
        <v>0</v>
      </c>
      <c r="AE143" s="1369">
        <f t="shared" si="321"/>
        <v>0</v>
      </c>
      <c r="AF143" s="1369">
        <f t="shared" si="321"/>
        <v>0</v>
      </c>
      <c r="AG143" s="1369">
        <f t="shared" si="321"/>
        <v>0</v>
      </c>
      <c r="AH143" s="1369">
        <f t="shared" si="321"/>
        <v>0</v>
      </c>
      <c r="AI143" s="1369">
        <f t="shared" si="321"/>
        <v>0</v>
      </c>
      <c r="AJ143" s="1369">
        <f t="shared" si="321"/>
        <v>0</v>
      </c>
      <c r="AK143" s="1369">
        <f t="shared" si="321"/>
        <v>0</v>
      </c>
      <c r="AL143" s="1369">
        <f t="shared" si="321"/>
        <v>0</v>
      </c>
      <c r="AM143" s="1034"/>
      <c r="BH143" s="9">
        <v>23</v>
      </c>
      <c r="BI143" s="1323">
        <f>IF(AND($AN$122&gt;BH143,$C$122=$BD$121),(Z$122),IF(AND($AN$122&gt;BH143,$C$122=$BD$122),(Z$122),IF(AND($AN$122&gt;BH143,$C$122=$BD$123),(Z$122),IF(AND($AN$122&gt;BH143,$C$122=$BD$124),(Z$121),IF(AND($AN$122&gt;BH143,$C$122=$BD$125),(Z$122),0)))))</f>
        <v>0</v>
      </c>
      <c r="BJ143" s="1323">
        <v>0</v>
      </c>
      <c r="BK143" s="1323">
        <v>0</v>
      </c>
      <c r="BL143" s="1323">
        <f t="shared" si="312"/>
        <v>0</v>
      </c>
      <c r="BM143" s="1320">
        <f t="shared" si="313"/>
        <v>0</v>
      </c>
      <c r="BN143" s="9">
        <v>23</v>
      </c>
      <c r="BO143" s="1323">
        <f>IF(AND($AN$127&gt;BN143,$C$127=$BD$121),(Z$127),IF(AND($AN$127&gt;BN143,$C$127=$BD$122),(Z$127),IF(AND($AN$127&gt;BN143,$C$127=$BD$123),(Z$127),IF(AND($AN$127&gt;BN143,$C$127=$BD$124),(Z$126),IF(AND($AN$127&gt;BN143,$C$127=$BD$125),(Z$127),0)))))</f>
        <v>0</v>
      </c>
      <c r="BP143" s="1323">
        <v>0</v>
      </c>
      <c r="BQ143" s="1323">
        <v>0</v>
      </c>
      <c r="BR143" s="1323">
        <f t="shared" si="301"/>
        <v>0</v>
      </c>
      <c r="BS143" s="1324">
        <f t="shared" si="309"/>
        <v>0</v>
      </c>
      <c r="BT143" s="9">
        <v>23</v>
      </c>
      <c r="BU143" s="1323">
        <f>IF(AND($AN$132&gt;BT143,$C$132=$BD$121),(Z$132),IF(AND($AN$132&gt;BT143,$C$132=$BD$122),(Z$132),IF(AND($AN$132&gt;BT143,$C$132=$BD$123),(Z$132),IF(AND($AN$132&gt;BT143,$C$132=$BD$124),(Z$131),IF(AND($AN$132&gt;BT143,$C$132=$BD$125),(Z$132),0)))))</f>
        <v>0</v>
      </c>
      <c r="BV143" s="1323">
        <v>0</v>
      </c>
      <c r="BW143" s="1323">
        <v>0</v>
      </c>
      <c r="BX143" s="1323">
        <f t="shared" si="302"/>
        <v>0</v>
      </c>
      <c r="BY143" s="1324">
        <f t="shared" si="303"/>
        <v>0</v>
      </c>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t="14.45" hidden="1" customHeight="1">
      <c r="B144" s="1411"/>
      <c r="C144" s="1670" t="s">
        <v>4771</v>
      </c>
      <c r="D144" s="1667">
        <f t="shared" ref="D144:AL144" si="322">IF($C$142=$BD$124,D139-D142,IF($C$142=$BD$123,D139-D142,IF($C$142=$BD$122,D139-D142,IF($C$142=$BD$121,D139-D142,D139))))</f>
        <v>0</v>
      </c>
      <c r="E144" s="1370">
        <f t="shared" si="322"/>
        <v>0</v>
      </c>
      <c r="F144" s="1370">
        <f t="shared" si="322"/>
        <v>0</v>
      </c>
      <c r="G144" s="1370">
        <f t="shared" si="322"/>
        <v>0</v>
      </c>
      <c r="H144" s="1370">
        <f t="shared" si="322"/>
        <v>0</v>
      </c>
      <c r="I144" s="1370">
        <f t="shared" si="322"/>
        <v>0</v>
      </c>
      <c r="J144" s="1370">
        <f t="shared" si="322"/>
        <v>0</v>
      </c>
      <c r="K144" s="1370">
        <f t="shared" si="322"/>
        <v>0</v>
      </c>
      <c r="L144" s="1370">
        <f t="shared" si="322"/>
        <v>0</v>
      </c>
      <c r="M144" s="1370">
        <f t="shared" si="322"/>
        <v>0</v>
      </c>
      <c r="N144" s="1370">
        <f t="shared" si="322"/>
        <v>0</v>
      </c>
      <c r="O144" s="1370">
        <f t="shared" si="322"/>
        <v>0</v>
      </c>
      <c r="P144" s="1370">
        <f t="shared" si="322"/>
        <v>0</v>
      </c>
      <c r="Q144" s="1370">
        <f t="shared" si="322"/>
        <v>0</v>
      </c>
      <c r="R144" s="1370">
        <f t="shared" si="322"/>
        <v>0</v>
      </c>
      <c r="S144" s="1370">
        <f t="shared" si="322"/>
        <v>0</v>
      </c>
      <c r="T144" s="1370">
        <f t="shared" si="322"/>
        <v>0</v>
      </c>
      <c r="U144" s="1370">
        <f t="shared" si="322"/>
        <v>0</v>
      </c>
      <c r="V144" s="1370">
        <f t="shared" si="322"/>
        <v>0</v>
      </c>
      <c r="W144" s="1370">
        <f t="shared" si="322"/>
        <v>0</v>
      </c>
      <c r="X144" s="1370">
        <f t="shared" si="322"/>
        <v>0</v>
      </c>
      <c r="Y144" s="1370">
        <f t="shared" si="322"/>
        <v>0</v>
      </c>
      <c r="Z144" s="1370">
        <f t="shared" si="322"/>
        <v>0</v>
      </c>
      <c r="AA144" s="1370">
        <f t="shared" si="322"/>
        <v>0</v>
      </c>
      <c r="AB144" s="1370">
        <f t="shared" si="322"/>
        <v>0</v>
      </c>
      <c r="AC144" s="1370">
        <f t="shared" si="322"/>
        <v>0</v>
      </c>
      <c r="AD144" s="1370">
        <f t="shared" si="322"/>
        <v>0</v>
      </c>
      <c r="AE144" s="1370">
        <f t="shared" si="322"/>
        <v>0</v>
      </c>
      <c r="AF144" s="1370">
        <f t="shared" si="322"/>
        <v>0</v>
      </c>
      <c r="AG144" s="1370">
        <f t="shared" si="322"/>
        <v>0</v>
      </c>
      <c r="AH144" s="1370">
        <f t="shared" si="322"/>
        <v>0</v>
      </c>
      <c r="AI144" s="1370">
        <f t="shared" si="322"/>
        <v>0</v>
      </c>
      <c r="AJ144" s="1370">
        <f t="shared" si="322"/>
        <v>0</v>
      </c>
      <c r="AK144" s="1370">
        <f t="shared" si="322"/>
        <v>0</v>
      </c>
      <c r="AL144" s="1370">
        <f t="shared" si="322"/>
        <v>0</v>
      </c>
      <c r="AM144" s="1034"/>
      <c r="BH144" s="9">
        <v>24</v>
      </c>
      <c r="BI144" s="1323">
        <f>IF(AND($AN$122&gt;BH144,$C$122=$BD$121),(AA$122),IF(AND($AN$122&gt;BH144,$C$122=$BD$122),(AA$122),IF(AND($AN$122&gt;BH144,$C$122=$BD$123),(AA$122),IF(AND($AN$122&gt;BH144,$C$122=$BD$124),(AA$121),IF(AND($AN$122&gt;BH144,$C$122=$BD$125),(AA$122),0)))))</f>
        <v>0</v>
      </c>
      <c r="BJ144" s="1323">
        <v>0</v>
      </c>
      <c r="BK144" s="1323">
        <v>0</v>
      </c>
      <c r="BL144" s="1323">
        <f t="shared" si="312"/>
        <v>0</v>
      </c>
      <c r="BM144" s="1320">
        <f t="shared" si="313"/>
        <v>0</v>
      </c>
      <c r="BN144" s="9">
        <v>24</v>
      </c>
      <c r="BO144" s="1323">
        <f>IF(AND($AN$127&gt;BN144,$C$127=$BD$121),(AA$127),IF(AND($AN$127&gt;BN144,$C$127=$BD$122),(AA$127),IF(AND($AN$127&gt;BN144,$C$127=$BD$123),(AA$127),IF(AND($AN$127&gt;BN144,$C$127=$BD$124),(AA$126),IF(AND($AN$127&gt;BN144,$C$127=$BD$125),(AA$127),0)))))</f>
        <v>0</v>
      </c>
      <c r="BP144" s="1323">
        <v>0</v>
      </c>
      <c r="BQ144" s="1323">
        <v>0</v>
      </c>
      <c r="BR144" s="1323">
        <f t="shared" si="301"/>
        <v>0</v>
      </c>
      <c r="BS144" s="1324">
        <f t="shared" si="309"/>
        <v>0</v>
      </c>
      <c r="BT144" s="9">
        <v>24</v>
      </c>
      <c r="BU144" s="1323">
        <f>IF(AND($AN$132&gt;BT144,$C$132=$BD$121),(AA$132),IF(AND($AN$132&gt;BT144,$C$132=$BD$122),(AA$132),IF(AND($AN$132&gt;BT144,$C$132=$BD$123),(AA$132),IF(AND($AN$132&gt;BT144,$C$132=$BD$124),(AA$131),IF(AND($AN$132&gt;BT144,$C$132=$BD$125),(AA$132),0)))))</f>
        <v>0</v>
      </c>
      <c r="BV144" s="1323">
        <v>0</v>
      </c>
      <c r="BW144" s="1323">
        <v>0</v>
      </c>
      <c r="BX144" s="1323">
        <f t="shared" si="302"/>
        <v>0</v>
      </c>
      <c r="BY144" s="1324">
        <f t="shared" si="303"/>
        <v>0</v>
      </c>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row>
    <row r="145" spans="2:102" ht="14.45" hidden="1" customHeight="1">
      <c r="B145" s="1411"/>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209"/>
      <c r="Z145" s="1035"/>
      <c r="AA145" s="1027"/>
      <c r="AB145" s="1027"/>
      <c r="AC145" s="1027"/>
      <c r="AD145" s="1027"/>
      <c r="AE145" s="1027"/>
      <c r="AF145" s="1027"/>
      <c r="AG145" s="1027"/>
      <c r="AH145" s="1027"/>
      <c r="AI145" s="1027"/>
      <c r="AJ145" s="1027"/>
      <c r="AK145" s="1027"/>
      <c r="AL145" s="1027"/>
      <c r="AM145" s="1038"/>
      <c r="BH145" s="9">
        <v>25</v>
      </c>
      <c r="BI145" s="1323">
        <f>IF(AND($AN$122&gt;BH145,$C$122=$BD$121),(AB$122),IF(AND($AN$122&gt;BH145,$C$122=$BD$122),(AB$122),IF(AND($AN$122&gt;BH145,$C$122=$BD$123),(AB$122),IF(AND($AN$122&gt;BH145,$C$122=$BD$124),(AB$121),IF(AND($AN$122&gt;BH145,$C$122=$BD$125),(AB$122),0)))))</f>
        <v>0</v>
      </c>
      <c r="BJ145" s="1323">
        <v>0</v>
      </c>
      <c r="BK145" s="1323">
        <v>0</v>
      </c>
      <c r="BL145" s="1323">
        <f t="shared" si="312"/>
        <v>0</v>
      </c>
      <c r="BM145" s="1320">
        <f t="shared" si="313"/>
        <v>0</v>
      </c>
      <c r="BN145" s="9">
        <v>25</v>
      </c>
      <c r="BO145" s="1323">
        <f>IF(AND($AN$127&gt;BN145,$C$127=$BD$121),(AB$127),IF(AND($AN$127&gt;BN145,$C$127=$BD$122),(AB$127),IF(AND($AN$127&gt;BN145,$C$127=$BD$123),(AB$127),IF(AND($AN$127&gt;BN145,$C$127=$BD$124),(AB$126),IF(AND($AN$127&gt;BN145,$C$127=$BD$125),(AB$127),0)))))</f>
        <v>0</v>
      </c>
      <c r="BP145" s="1323">
        <v>0</v>
      </c>
      <c r="BQ145" s="1323">
        <v>0</v>
      </c>
      <c r="BR145" s="1323">
        <f t="shared" si="301"/>
        <v>0</v>
      </c>
      <c r="BS145" s="1324">
        <f t="shared" si="309"/>
        <v>0</v>
      </c>
      <c r="BT145" s="9">
        <v>25</v>
      </c>
      <c r="BU145" s="1323">
        <f>IF(AND($AN$132&gt;BT145,$C$132=$BD$121),(AB$132),IF(AND($AN$132&gt;BT145,$C$132=$BD$122),(AB$132),IF(AND($AN$132&gt;BT145,$C$132=$BD$123),(AB$132),IF(AND($AN$132&gt;BT145,$C$132=$BD$124),(AB$131),IF(AND($AN$132&gt;BT145,$C$132=$BD$125),(AB$132),0)))))</f>
        <v>0</v>
      </c>
      <c r="BV145" s="1323">
        <v>0</v>
      </c>
      <c r="BW145" s="1323">
        <v>0</v>
      </c>
      <c r="BX145" s="1323">
        <f t="shared" si="302"/>
        <v>0</v>
      </c>
      <c r="BY145" s="1324">
        <f t="shared" si="303"/>
        <v>0</v>
      </c>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row>
    <row r="146" spans="2:102" ht="14.45" hidden="1" customHeight="1">
      <c r="B146" s="1411"/>
      <c r="C146" s="1375"/>
      <c r="D146" s="1375"/>
      <c r="E146" s="1375"/>
      <c r="F146" s="1375"/>
      <c r="G146" s="1375"/>
      <c r="H146" s="1375"/>
      <c r="I146" s="1375"/>
      <c r="J146" s="1375"/>
      <c r="K146" s="1375"/>
      <c r="L146" s="1375"/>
      <c r="M146" s="1375"/>
      <c r="N146" s="1375"/>
      <c r="O146" s="1375"/>
      <c r="P146" s="1375"/>
      <c r="Q146" s="1375"/>
      <c r="R146" s="1375"/>
      <c r="S146" s="1375"/>
      <c r="T146" s="1375"/>
      <c r="U146" s="1375"/>
      <c r="V146" s="1375"/>
      <c r="W146" s="1375"/>
      <c r="X146" s="1375"/>
      <c r="Y146" s="1376"/>
      <c r="Z146" s="654"/>
      <c r="AA146" s="3"/>
      <c r="AB146" s="3"/>
      <c r="AC146" s="3"/>
      <c r="AD146" s="3"/>
      <c r="AE146" s="3"/>
      <c r="AF146" s="3"/>
      <c r="AG146" s="3"/>
      <c r="AH146" s="3"/>
      <c r="AI146" s="3"/>
      <c r="AJ146" s="3"/>
      <c r="AK146" s="3"/>
      <c r="AL146" s="3"/>
      <c r="AM146" s="1038"/>
      <c r="BH146" s="9">
        <v>26</v>
      </c>
      <c r="BI146" s="1323">
        <f>IF(AND($AN$122&gt;BH146,$C$122=$BD$121),(AC$122),IF(AND($AN$122&gt;BH146,$C$122=$BD$122),(AC$122),IF(AND($AN$122&gt;BH146,$C$122=$BD$123),(AC$122),IF(AND($AN$122&gt;BH146,$C$122=$BD$124),(AC$121),IF(AND($AN$122&gt;BH146,$C$122=$BD$125),(AC$122),0)))))</f>
        <v>0</v>
      </c>
      <c r="BJ146" s="1323">
        <v>0</v>
      </c>
      <c r="BK146" s="1323">
        <v>0</v>
      </c>
      <c r="BL146" s="1323">
        <f t="shared" si="312"/>
        <v>0</v>
      </c>
      <c r="BM146" s="1320">
        <f t="shared" si="313"/>
        <v>0</v>
      </c>
      <c r="BN146" s="9">
        <v>26</v>
      </c>
      <c r="BO146" s="1323">
        <f>IF(AND($AN$127&gt;BN146,$C$127=$BD$121),(AC$127),IF(AND($AN$127&gt;BN146,$C$127=$BD$122),(AC$127),IF(AND($AN$127&gt;BN146,$C$127=$BD$123),(AC$127),IF(AND($AN$127&gt;BN146,$C$127=$BD$124),(AC$126),IF(AND($AN$127&gt;BN146,$C$127=$BD$125),(AC$127),0)))))</f>
        <v>0</v>
      </c>
      <c r="BP146" s="1323">
        <v>0</v>
      </c>
      <c r="BQ146" s="1323">
        <v>0</v>
      </c>
      <c r="BR146" s="1323">
        <f t="shared" si="301"/>
        <v>0</v>
      </c>
      <c r="BS146" s="1324">
        <f t="shared" si="309"/>
        <v>0</v>
      </c>
      <c r="BT146" s="9">
        <v>26</v>
      </c>
      <c r="BU146" s="1323">
        <f>IF(AND($AN$132&gt;BT146,$C$132=$BD$121),(AC$132),IF(AND($AN$132&gt;BT146,$C$132=$BD$122),(AC$132),IF(AND($AN$132&gt;BT146,$C$132=$BD$123),(AC$132),IF(AND($AN$132&gt;BT146,$C$132=$BD$124),(AC$131),IF(AND($AN$132&gt;BT146,$C$132=$BD$125),(AC$132),0)))))</f>
        <v>0</v>
      </c>
      <c r="BV146" s="1323">
        <v>0</v>
      </c>
      <c r="BW146" s="1323">
        <v>0</v>
      </c>
      <c r="BX146" s="1323">
        <f t="shared" si="302"/>
        <v>0</v>
      </c>
      <c r="BY146" s="1324">
        <f t="shared" si="303"/>
        <v>0</v>
      </c>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02" ht="14.45" hidden="1" customHeight="1">
      <c r="B147" s="1411" t="b">
        <f>'12. Funding Sources'!I19="Yes"</f>
        <v>0</v>
      </c>
      <c r="C147" s="1670" t="s">
        <v>4772</v>
      </c>
      <c r="D147" s="1393">
        <f>IF(AND($B$147,D85&lt;=Term_9), '12. Funding Sources'!$N$19, 0)</f>
        <v>0</v>
      </c>
      <c r="E147" s="1368">
        <f>IF(AND($B$147,E85&lt;=Term_9), '12. Funding Sources'!$N$19, 0)</f>
        <v>0</v>
      </c>
      <c r="F147" s="1368">
        <f>IF(AND($B$147,F85&lt;=Term_9), '12. Funding Sources'!$N$19, 0)</f>
        <v>0</v>
      </c>
      <c r="G147" s="1368">
        <f>IF(AND($B$147,G85&lt;=Term_9), '12. Funding Sources'!$N$19, 0)</f>
        <v>0</v>
      </c>
      <c r="H147" s="1368">
        <f>IF(AND($B$147,H85&lt;=Term_9), '12. Funding Sources'!$N$19, 0)</f>
        <v>0</v>
      </c>
      <c r="I147" s="1368">
        <f>IF(AND($B$147,I85&lt;=Term_9), '12. Funding Sources'!$N$19, 0)</f>
        <v>0</v>
      </c>
      <c r="J147" s="1368">
        <f>IF(AND($B$147,J85&lt;=Term_9), '12. Funding Sources'!$N$19, 0)</f>
        <v>0</v>
      </c>
      <c r="K147" s="1368">
        <f>IF(AND($B$147,K85&lt;=Term_9), '12. Funding Sources'!$N$19, 0)</f>
        <v>0</v>
      </c>
      <c r="L147" s="1368">
        <f>IF(AND($B$147,L85&lt;=Term_9), '12. Funding Sources'!$N$19, 0)</f>
        <v>0</v>
      </c>
      <c r="M147" s="1368">
        <f>IF(AND($B$147,M85&lt;=Term_9), '12. Funding Sources'!$N$19, 0)</f>
        <v>0</v>
      </c>
      <c r="N147" s="1368">
        <f>IF(AND($B$147,N85&lt;=Term_9), '12. Funding Sources'!$N$19, 0)</f>
        <v>0</v>
      </c>
      <c r="O147" s="1368">
        <f>IF(AND($B$147,O85&lt;=Term_9), '12. Funding Sources'!$N$19, 0)</f>
        <v>0</v>
      </c>
      <c r="P147" s="1368">
        <f>IF(AND($B$147,P85&lt;=Term_9), '12. Funding Sources'!$N$19, 0)</f>
        <v>0</v>
      </c>
      <c r="Q147" s="1368">
        <f>IF(AND($B$147,Q85&lt;=Term_9), '12. Funding Sources'!$N$19, 0)</f>
        <v>0</v>
      </c>
      <c r="R147" s="1368">
        <f>IF(AND($B$147,R85&lt;=Term_9), '12. Funding Sources'!$N$19, 0)</f>
        <v>0</v>
      </c>
      <c r="S147" s="1368">
        <f>IF(AND($B$147,S85&lt;=Term_9), '12. Funding Sources'!$N$19, 0)</f>
        <v>0</v>
      </c>
      <c r="T147" s="1368">
        <f>IF(AND($B$147,T85&lt;=Term_9), '12. Funding Sources'!$N$19, 0)</f>
        <v>0</v>
      </c>
      <c r="U147" s="1368">
        <f>IF(AND($B$147,U85&lt;=Term_9), '12. Funding Sources'!$N$19, 0)</f>
        <v>0</v>
      </c>
      <c r="V147" s="1368">
        <f>IF(AND($B$147,V85&lt;=Term_9), '12. Funding Sources'!$N$19, 0)</f>
        <v>0</v>
      </c>
      <c r="W147" s="1368">
        <f>IF(AND($B$147,W85&lt;=Term_9), '12. Funding Sources'!$N$19, 0)</f>
        <v>0</v>
      </c>
      <c r="X147" s="1368">
        <f>IF(AND($B$147,X85&lt;=Term_9), '12. Funding Sources'!$N$19, 0)</f>
        <v>0</v>
      </c>
      <c r="Y147" s="1368">
        <f>IF(AND($B$147,Y85&lt;=Term_9), '12. Funding Sources'!$N$19, 0)</f>
        <v>0</v>
      </c>
      <c r="Z147" s="654"/>
      <c r="AA147" s="3"/>
      <c r="AB147" s="3"/>
      <c r="AC147" s="3"/>
      <c r="AD147" s="3"/>
      <c r="AE147" s="3"/>
      <c r="AF147" s="3"/>
      <c r="AG147" s="3"/>
      <c r="AH147" s="3"/>
      <c r="AI147" s="3"/>
      <c r="AJ147" s="3"/>
      <c r="AK147" s="3"/>
      <c r="AL147" s="3"/>
      <c r="AM147" s="1038"/>
      <c r="BH147" s="9">
        <v>27</v>
      </c>
      <c r="BI147" s="1323">
        <f>IF(AND($AN$122&gt;BH147,$C$122=$BD$121),(AD$122),IF(AND($AN$122&gt;BH147,$C$122=$BD$122),(AD$122),IF(AND($AN$122&gt;BH147,$C$122=$BD$123),(AD$122),IF(AND($AN$122&gt;BH147,$C$122=$BD$124),(AD$121),IF(AND($AN$122&gt;BH147,$C$122=$BD$125),(AD$122),0)))))</f>
        <v>0</v>
      </c>
      <c r="BJ147" s="1323">
        <v>0</v>
      </c>
      <c r="BK147" s="1323">
        <v>0</v>
      </c>
      <c r="BL147" s="1323">
        <f t="shared" si="312"/>
        <v>0</v>
      </c>
      <c r="BM147" s="1320">
        <f t="shared" si="313"/>
        <v>0</v>
      </c>
      <c r="BN147" s="9">
        <v>27</v>
      </c>
      <c r="BO147" s="1323">
        <f>IF(AND($AN$127&gt;BN147,$C$127=$BD$121),(AD$127),IF(AND($AN$127&gt;BN147,$C$127=$BD$122),(AD$127),IF(AND($AN$127&gt;BN147,$C$127=$BD$123),(AD$127),IF(AND($AN$127&gt;BN147,$C$127=$BD$124),(AD$126),IF(AND($AN$127&gt;BN147,$C$127=$BD$125),(AD$127),0)))))</f>
        <v>0</v>
      </c>
      <c r="BP147" s="1323">
        <v>0</v>
      </c>
      <c r="BQ147" s="1323">
        <v>0</v>
      </c>
      <c r="BR147" s="1323">
        <f t="shared" si="301"/>
        <v>0</v>
      </c>
      <c r="BS147" s="1324">
        <f t="shared" si="309"/>
        <v>0</v>
      </c>
      <c r="BT147" s="9">
        <v>27</v>
      </c>
      <c r="BU147" s="1323">
        <f>IF(AND($AN$132&gt;BT147,$C$132=$BD$121),(AD$132),IF(AND($AN$132&gt;BT147,$C$132=$BD$122),(AD$132),IF(AND($AN$132&gt;BT147,$C$132=$BD$123),(AD$132),IF(AND($AN$132&gt;BT147,$C$132=$BD$124),(AD$131),IF(AND($AN$132&gt;BT147,$C$132=$BD$125),(AD$132),0)))))</f>
        <v>0</v>
      </c>
      <c r="BV147" s="1323">
        <v>0</v>
      </c>
      <c r="BW147" s="1323">
        <v>0</v>
      </c>
      <c r="BX147" s="1323">
        <f t="shared" si="302"/>
        <v>0</v>
      </c>
      <c r="BY147" s="1324">
        <f t="shared" si="303"/>
        <v>0</v>
      </c>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2:102" ht="14.45" hidden="1" customHeight="1">
      <c r="B148" s="1411"/>
      <c r="C148" s="1670" t="s">
        <v>4773</v>
      </c>
      <c r="D148" s="1666">
        <f t="shared" ref="D148:Y148" si="323">+IFERROR(IF(D147&gt;0,D$86/(D$90+D$96+D$100+D$104+D$108+D$112+D$116+D$147),0),"N/A")</f>
        <v>0</v>
      </c>
      <c r="E148" s="1369">
        <f t="shared" si="323"/>
        <v>0</v>
      </c>
      <c r="F148" s="1369">
        <f t="shared" si="323"/>
        <v>0</v>
      </c>
      <c r="G148" s="1369">
        <f t="shared" si="323"/>
        <v>0</v>
      </c>
      <c r="H148" s="1369">
        <f t="shared" si="323"/>
        <v>0</v>
      </c>
      <c r="I148" s="1369">
        <f t="shared" si="323"/>
        <v>0</v>
      </c>
      <c r="J148" s="1369">
        <f t="shared" si="323"/>
        <v>0</v>
      </c>
      <c r="K148" s="1369">
        <f t="shared" si="323"/>
        <v>0</v>
      </c>
      <c r="L148" s="1369">
        <f t="shared" si="323"/>
        <v>0</v>
      </c>
      <c r="M148" s="1369">
        <f t="shared" si="323"/>
        <v>0</v>
      </c>
      <c r="N148" s="1369">
        <f t="shared" si="323"/>
        <v>0</v>
      </c>
      <c r="O148" s="1369">
        <f t="shared" si="323"/>
        <v>0</v>
      </c>
      <c r="P148" s="1369">
        <f t="shared" si="323"/>
        <v>0</v>
      </c>
      <c r="Q148" s="1369">
        <f t="shared" si="323"/>
        <v>0</v>
      </c>
      <c r="R148" s="1369">
        <f t="shared" si="323"/>
        <v>0</v>
      </c>
      <c r="S148" s="1369">
        <f t="shared" si="323"/>
        <v>0</v>
      </c>
      <c r="T148" s="1369">
        <f t="shared" si="323"/>
        <v>0</v>
      </c>
      <c r="U148" s="1369">
        <f t="shared" si="323"/>
        <v>0</v>
      </c>
      <c r="V148" s="1369">
        <f t="shared" si="323"/>
        <v>0</v>
      </c>
      <c r="W148" s="1369">
        <f t="shared" si="323"/>
        <v>0</v>
      </c>
      <c r="X148" s="1369">
        <f t="shared" si="323"/>
        <v>0</v>
      </c>
      <c r="Y148" s="1369">
        <f t="shared" si="323"/>
        <v>0</v>
      </c>
      <c r="Z148" s="654"/>
      <c r="AA148" s="3"/>
      <c r="AB148" s="3"/>
      <c r="AC148" s="3"/>
      <c r="AD148" s="3"/>
      <c r="AE148" s="3"/>
      <c r="AF148" s="3"/>
      <c r="AG148" s="3"/>
      <c r="AH148" s="3"/>
      <c r="AI148" s="3"/>
      <c r="AJ148" s="3"/>
      <c r="AK148" s="3"/>
      <c r="AL148" s="3"/>
      <c r="AM148" s="1038"/>
      <c r="BH148" s="9">
        <v>28</v>
      </c>
      <c r="BI148" s="1323">
        <f>IF(AND($AN$122&gt;BH148,$C$122=$BD$121),(AE$122),IF(AND($AN$122&gt;BH148,$C$122=$BD$122),(AE$122),IF(AND($AN$122&gt;BH148,$C$122=$BD$123),(AE$122),IF(AND($AN$122&gt;BH148,$C$122=$BD$124),(AE$121),IF(AND($AN$122&gt;BH148,$C$122=$BD$125),(AE$122),0)))))</f>
        <v>0</v>
      </c>
      <c r="BJ148" s="1323">
        <v>0</v>
      </c>
      <c r="BK148" s="1323">
        <v>0</v>
      </c>
      <c r="BL148" s="1323">
        <f t="shared" si="312"/>
        <v>0</v>
      </c>
      <c r="BM148" s="1320">
        <f t="shared" si="313"/>
        <v>0</v>
      </c>
      <c r="BN148" s="9">
        <v>28</v>
      </c>
      <c r="BO148" s="1323">
        <f>IF(AND($AN$127&gt;BN148,$C$127=$BD$121),(AE$127),IF(AND($AN$127&gt;BN148,$C$127=$BD$122),(AE$127),IF(AND($AN$127&gt;BN148,$C$127=$BD$123),(AE$127),IF(AND($AN$127&gt;BN148,$C$127=$BD$124),(AE$126),IF(AND($AN$127&gt;BN148,$C$127=$BD$125),(AE$127),0)))))</f>
        <v>0</v>
      </c>
      <c r="BP148" s="1323">
        <v>0</v>
      </c>
      <c r="BQ148" s="1323">
        <v>0</v>
      </c>
      <c r="BR148" s="1323">
        <f t="shared" si="301"/>
        <v>0</v>
      </c>
      <c r="BS148" s="1324">
        <f t="shared" si="309"/>
        <v>0</v>
      </c>
      <c r="BT148" s="9">
        <v>28</v>
      </c>
      <c r="BU148" s="1323">
        <f>IF(AND($AN$132&gt;BT148,$C$132=$BD$121),(AE$132),IF(AND($AN$132&gt;BT148,$C$132=$BD$122),(AE$132),IF(AND($AN$132&gt;BT148,$C$132=$BD$123),(AE$132),IF(AND($AN$132&gt;BT148,$C$132=$BD$124),(AE$131),IF(AND($AN$132&gt;BT148,$C$132=$BD$125),(AE$132),0)))))</f>
        <v>0</v>
      </c>
      <c r="BV148" s="1323">
        <v>0</v>
      </c>
      <c r="BW148" s="1323">
        <v>0</v>
      </c>
      <c r="BX148" s="1323">
        <f t="shared" si="302"/>
        <v>0</v>
      </c>
      <c r="BY148" s="1324">
        <f t="shared" si="303"/>
        <v>0</v>
      </c>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row>
    <row r="149" spans="2:102" ht="14.45" hidden="1" customHeight="1">
      <c r="B149" s="1411"/>
      <c r="C149" s="1670" t="s">
        <v>4774</v>
      </c>
      <c r="D149" s="1667">
        <f t="shared" ref="D149:Y149" si="324">D118-D147</f>
        <v>0</v>
      </c>
      <c r="E149" s="1370">
        <f t="shared" si="324"/>
        <v>0</v>
      </c>
      <c r="F149" s="1370">
        <f t="shared" si="324"/>
        <v>0</v>
      </c>
      <c r="G149" s="1370">
        <f t="shared" si="324"/>
        <v>0</v>
      </c>
      <c r="H149" s="1370">
        <f t="shared" si="324"/>
        <v>0</v>
      </c>
      <c r="I149" s="1370">
        <f t="shared" si="324"/>
        <v>0</v>
      </c>
      <c r="J149" s="1370">
        <f t="shared" si="324"/>
        <v>0</v>
      </c>
      <c r="K149" s="1370">
        <f t="shared" si="324"/>
        <v>0</v>
      </c>
      <c r="L149" s="1370">
        <f t="shared" si="324"/>
        <v>0</v>
      </c>
      <c r="M149" s="1370">
        <f t="shared" si="324"/>
        <v>0</v>
      </c>
      <c r="N149" s="1370">
        <f t="shared" si="324"/>
        <v>0</v>
      </c>
      <c r="O149" s="1370">
        <f t="shared" si="324"/>
        <v>0</v>
      </c>
      <c r="P149" s="1370">
        <f t="shared" si="324"/>
        <v>0</v>
      </c>
      <c r="Q149" s="1370">
        <f t="shared" si="324"/>
        <v>0</v>
      </c>
      <c r="R149" s="1370">
        <f t="shared" si="324"/>
        <v>0</v>
      </c>
      <c r="S149" s="1370">
        <f t="shared" si="324"/>
        <v>0</v>
      </c>
      <c r="T149" s="1370">
        <f t="shared" si="324"/>
        <v>0</v>
      </c>
      <c r="U149" s="1370">
        <f t="shared" si="324"/>
        <v>0</v>
      </c>
      <c r="V149" s="1370">
        <f t="shared" si="324"/>
        <v>0</v>
      </c>
      <c r="W149" s="1370">
        <f t="shared" si="324"/>
        <v>0</v>
      </c>
      <c r="X149" s="1370">
        <f t="shared" si="324"/>
        <v>0</v>
      </c>
      <c r="Y149" s="1370">
        <f t="shared" si="324"/>
        <v>0</v>
      </c>
      <c r="Z149" s="654"/>
      <c r="AA149" s="3"/>
      <c r="AB149" s="3"/>
      <c r="AC149" s="3"/>
      <c r="AD149" s="3"/>
      <c r="AE149" s="3"/>
      <c r="AF149" s="3"/>
      <c r="AG149" s="3"/>
      <c r="AH149" s="3"/>
      <c r="AI149" s="3"/>
      <c r="AJ149" s="3"/>
      <c r="AK149" s="3"/>
      <c r="AL149" s="3"/>
      <c r="AM149" s="1038"/>
      <c r="BH149" s="9">
        <v>29</v>
      </c>
      <c r="BI149" s="1323">
        <f>IF(AND($AN$122&gt;BH149,$C$122=$BD$121),(AF$122),IF(AND($AN$122&gt;BH149,$C$122=$BD$122),(AF$122),IF(AND($AN$122&gt;BH149,$C$122=$BD$123),(AF$122),IF(AND($AN$122&gt;BH149,$C$122=$BD$124),(AF$121),IF(AND($AN$122&gt;BH149,$C$122=$BD$125),(AF$122),0)))))</f>
        <v>0</v>
      </c>
      <c r="BJ149" s="1323">
        <v>0</v>
      </c>
      <c r="BK149" s="1323">
        <v>0</v>
      </c>
      <c r="BL149" s="1323">
        <f t="shared" si="312"/>
        <v>0</v>
      </c>
      <c r="BM149" s="1320">
        <f t="shared" si="313"/>
        <v>0</v>
      </c>
      <c r="BN149" s="9">
        <v>29</v>
      </c>
      <c r="BO149" s="1323">
        <f>IF(AND($AN$127&gt;BN149,$C$127=$BD$121),(AF$127),IF(AND($AN$127&gt;BN149,$C$127=$BD$122),(AF$127),IF(AND($AN$127&gt;BN149,$C$127=$BD$123),(AF$127),IF(AND($AN$127&gt;BN149,$C$127=$BD$124),(AF$126),IF(AND($AN$127&gt;BN149,$C$127=$BD$125),(AF$127),0)))))</f>
        <v>0</v>
      </c>
      <c r="BP149" s="1323">
        <v>0</v>
      </c>
      <c r="BQ149" s="1323">
        <v>0</v>
      </c>
      <c r="BR149" s="1323">
        <f t="shared" si="301"/>
        <v>0</v>
      </c>
      <c r="BS149" s="1324">
        <f t="shared" si="309"/>
        <v>0</v>
      </c>
      <c r="BT149" s="9">
        <v>29</v>
      </c>
      <c r="BU149" s="1323">
        <f>IF(AND($AN$132&gt;BT149,$C$132=$BD$121),(AF$132),IF(AND($AN$132&gt;BT149,$C$132=$BD$122),(AF$132),IF(AND($AN$132&gt;BT149,$C$132=$BD$123),(AF$132),IF(AND($AN$132&gt;BT149,$C$132=$BD$124),(AF$131),IF(AND($AN$132&gt;BT149,$C$132=$BD$125),(AF$132),0)))))</f>
        <v>0</v>
      </c>
      <c r="BV149" s="1323">
        <v>0</v>
      </c>
      <c r="BW149" s="1323">
        <v>0</v>
      </c>
      <c r="BX149" s="1323">
        <f t="shared" si="302"/>
        <v>0</v>
      </c>
      <c r="BY149" s="1324">
        <f t="shared" si="303"/>
        <v>0</v>
      </c>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ht="14.45" hidden="1" customHeight="1">
      <c r="B150" s="1411"/>
      <c r="C150" s="1375"/>
      <c r="D150" s="1375"/>
      <c r="E150" s="1375"/>
      <c r="F150" s="1375"/>
      <c r="G150" s="1375"/>
      <c r="H150" s="1375"/>
      <c r="I150" s="1375"/>
      <c r="J150" s="1375"/>
      <c r="K150" s="1375"/>
      <c r="L150" s="1375"/>
      <c r="M150" s="1375"/>
      <c r="N150" s="1375"/>
      <c r="O150" s="1375"/>
      <c r="P150" s="1375"/>
      <c r="Q150" s="1375"/>
      <c r="R150" s="1375"/>
      <c r="S150" s="1375"/>
      <c r="T150" s="1375"/>
      <c r="U150" s="1375"/>
      <c r="V150" s="1375"/>
      <c r="W150" s="1375"/>
      <c r="X150" s="1375"/>
      <c r="Y150" s="1376"/>
      <c r="Z150" s="654"/>
      <c r="AA150" s="3"/>
      <c r="AB150" s="3"/>
      <c r="AC150" s="3"/>
      <c r="AD150" s="3"/>
      <c r="AE150" s="3"/>
      <c r="AF150" s="3"/>
      <c r="AG150" s="3"/>
      <c r="AH150" s="3"/>
      <c r="AI150" s="3"/>
      <c r="AJ150" s="3"/>
      <c r="AK150" s="3"/>
      <c r="AL150" s="3"/>
      <c r="AM150" s="1038"/>
      <c r="BH150" s="9">
        <v>30</v>
      </c>
      <c r="BI150" s="1323">
        <f>IF(AND($AN$122&gt;BH150,$C$122=$BD$121),(AG$122),IF(AND($AN$122&gt;BH150,$C$122=$BD$122),(AG$122),IF(AND($AN$122&gt;BH150,$C$122=$BD$123),(AG$122),IF(AND($AN$122&gt;BH150,$C$122=$BD$124),(AG$121),IF(AND($AN$122&gt;BH150,$C$122=$BD$125),(AG$122),0)))))</f>
        <v>0</v>
      </c>
      <c r="BJ150" s="1323">
        <v>0</v>
      </c>
      <c r="BK150" s="1323">
        <v>0</v>
      </c>
      <c r="BL150" s="1323">
        <f t="shared" si="312"/>
        <v>0</v>
      </c>
      <c r="BM150" s="1320">
        <f t="shared" si="313"/>
        <v>0</v>
      </c>
      <c r="BN150" s="9">
        <v>30</v>
      </c>
      <c r="BO150" s="1323">
        <f>IF(AND($AN$127&gt;BN150,$C$127=$BD$121),(AG$127),IF(AND($AN$127&gt;BN150,$C$127=$BD$122),(AG$127),IF(AND($AN$127&gt;BN150,$C$127=$BD$123),(AG$127),IF(AND($AN$127&gt;BN150,$C$127=$BD$124),(AG$126),IF(AND($AN$127&gt;BN150,$C$127=$BD$125),(AG$127),0)))))</f>
        <v>0</v>
      </c>
      <c r="BP150" s="1323">
        <v>0</v>
      </c>
      <c r="BQ150" s="1323">
        <v>0</v>
      </c>
      <c r="BR150" s="1323">
        <f t="shared" si="301"/>
        <v>0</v>
      </c>
      <c r="BS150" s="1324">
        <f t="shared" si="309"/>
        <v>0</v>
      </c>
      <c r="BT150" s="9">
        <v>30</v>
      </c>
      <c r="BU150" s="1323">
        <f>IF(AND($AN$132&gt;BT150,$C$132=$BD$121),(AG$132),IF(AND($AN$132&gt;BT150,$C$132=$BD$122),(AG$132),IF(AND($AN$132&gt;BT150,$C$132=$BD$123),(AG$132),IF(AND($AN$132&gt;BT150,$C$132=$BD$124),(AG$131),IF(AND($AN$132&gt;BT150,$C$132=$BD$125),(AG$132),0)))))</f>
        <v>0</v>
      </c>
      <c r="BV150" s="1323">
        <v>0</v>
      </c>
      <c r="BW150" s="1323">
        <v>0</v>
      </c>
      <c r="BX150" s="1323">
        <f t="shared" si="302"/>
        <v>0</v>
      </c>
      <c r="BY150" s="1324">
        <f t="shared" si="303"/>
        <v>0</v>
      </c>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ht="14.45" hidden="1" customHeight="1">
      <c r="B151" s="1411" t="b">
        <f>'12. Funding Sources'!I20="Yes"</f>
        <v>0</v>
      </c>
      <c r="C151" s="1670" t="s">
        <v>4775</v>
      </c>
      <c r="D151" s="1393">
        <f>IF(AND($B$151,D85&lt;=Term_10), '12. Funding Sources'!$N$20, 0)</f>
        <v>0</v>
      </c>
      <c r="E151" s="1368">
        <f>IF(AND($B$151,E85&lt;=Term_10), '12. Funding Sources'!$N$20, 0)</f>
        <v>0</v>
      </c>
      <c r="F151" s="1368">
        <f>IF(AND($B$151,F85&lt;=Term_10), '12. Funding Sources'!$N$20, 0)</f>
        <v>0</v>
      </c>
      <c r="G151" s="1368">
        <f>IF(AND($B$151,G85&lt;=Term_10), '12. Funding Sources'!$N$20, 0)</f>
        <v>0</v>
      </c>
      <c r="H151" s="1368">
        <f>IF(AND($B$151,H85&lt;=Term_10), '12. Funding Sources'!$N$20, 0)</f>
        <v>0</v>
      </c>
      <c r="I151" s="1368">
        <f>IF(AND($B$151,I85&lt;=Term_10), '12. Funding Sources'!$N$20, 0)</f>
        <v>0</v>
      </c>
      <c r="J151" s="1368">
        <f>IF(AND($B$151,J85&lt;=Term_10), '12. Funding Sources'!$N$20, 0)</f>
        <v>0</v>
      </c>
      <c r="K151" s="1368">
        <f>IF(AND($B$151,K85&lt;=Term_10), '12. Funding Sources'!$N$20, 0)</f>
        <v>0</v>
      </c>
      <c r="L151" s="1368">
        <f>IF(AND($B$151,L85&lt;=Term_10), '12. Funding Sources'!$N$20, 0)</f>
        <v>0</v>
      </c>
      <c r="M151" s="1368">
        <f>IF(AND($B$151,M85&lt;=Term_10), '12. Funding Sources'!$N$20, 0)</f>
        <v>0</v>
      </c>
      <c r="N151" s="1368">
        <f>IF(AND($B$151,N85&lt;=Term_10), '12. Funding Sources'!$N$20, 0)</f>
        <v>0</v>
      </c>
      <c r="O151" s="1368">
        <f>IF(AND($B$151,O85&lt;=Term_10), '12. Funding Sources'!$N$20, 0)</f>
        <v>0</v>
      </c>
      <c r="P151" s="1368">
        <f>IF(AND($B$151,P85&lt;=Term_10), '12. Funding Sources'!$N$20, 0)</f>
        <v>0</v>
      </c>
      <c r="Q151" s="1368">
        <f>IF(AND($B$151,Q85&lt;=Term_10), '12. Funding Sources'!$N$20, 0)</f>
        <v>0</v>
      </c>
      <c r="R151" s="1368">
        <f>IF(AND($B$151,R85&lt;=Term_10), '12. Funding Sources'!$N$20, 0)</f>
        <v>0</v>
      </c>
      <c r="S151" s="1368">
        <f>IF(AND($B$151,S85&lt;=Term_10), '12. Funding Sources'!$N$20, 0)</f>
        <v>0</v>
      </c>
      <c r="T151" s="1368">
        <f>IF(AND($B$151,T85&lt;=Term_10), '12. Funding Sources'!$N$20, 0)</f>
        <v>0</v>
      </c>
      <c r="U151" s="1368">
        <f>IF(AND($B$151,U85&lt;=Term_10), '12. Funding Sources'!$N$20, 0)</f>
        <v>0</v>
      </c>
      <c r="V151" s="1368">
        <f>IF(AND($B$151,V85&lt;=Term_10), '12. Funding Sources'!$N$20, 0)</f>
        <v>0</v>
      </c>
      <c r="W151" s="1368">
        <f>IF(AND($B$151,W85&lt;=Term_10), '12. Funding Sources'!$N$20, 0)</f>
        <v>0</v>
      </c>
      <c r="X151" s="1368">
        <f>IF(AND($B$151,X85&lt;=Term_10), '12. Funding Sources'!$N$20, 0)</f>
        <v>0</v>
      </c>
      <c r="Y151" s="1368">
        <f>IF(AND($B$151,Y85&lt;=Term_10), '12. Funding Sources'!$N$20, 0)</f>
        <v>0</v>
      </c>
      <c r="Z151" s="654"/>
      <c r="AA151" s="3"/>
      <c r="AB151" s="3"/>
      <c r="AC151" s="3"/>
      <c r="AD151" s="3"/>
      <c r="AE151" s="3"/>
      <c r="AF151" s="3"/>
      <c r="AG151" s="3"/>
      <c r="AH151" s="3"/>
      <c r="AI151" s="3"/>
      <c r="AJ151" s="3"/>
      <c r="AK151" s="3"/>
      <c r="AL151" s="3"/>
      <c r="AM151" s="1038"/>
      <c r="AN151" s="1657">
        <f>_xlfn.XLOOKUP(C150,'12. Funding Sources'!$C$11:$C$20,'12. Funding Sources'!$L$11:$L$20,36)</f>
        <v>36</v>
      </c>
      <c r="AO151" s="1655">
        <f>_xlfn.XLOOKUP(C150,'12. Funding Sources'!$C$11:$C$20,'17. Cash Flow and Reserves'!$AT$121:$AT$130,0)*AN151</f>
        <v>0</v>
      </c>
      <c r="BH151" s="9">
        <v>31</v>
      </c>
      <c r="BI151" s="1323">
        <f>IF(AND($AN$122&gt;BH151,$C$122=$BD$121),(AH$122),IF(AND($AN$122&gt;BH151,$C$122=$BD$122),(AH$122),IF(AND($AN$122&gt;BH151,$C$122=$BD$123),(AH$122),IF(AND($AN$122&gt;BH151,$C$122=$BD$124),(AH$121),IF(AND($AN$122&gt;BH151,$C$122=$BD$125),(AH$122),0)))))</f>
        <v>0</v>
      </c>
      <c r="BJ151" s="1323">
        <v>0</v>
      </c>
      <c r="BK151" s="1323">
        <v>0</v>
      </c>
      <c r="BL151" s="1323">
        <f t="shared" si="312"/>
        <v>0</v>
      </c>
      <c r="BM151" s="1320">
        <f t="shared" si="313"/>
        <v>0</v>
      </c>
      <c r="BN151" s="9">
        <v>31</v>
      </c>
      <c r="BO151" s="1323">
        <f>IF(AND($AN$127&gt;BN151,$C$127=$BD$121),(AH$127),IF(AND($AN$127&gt;BN151,$C$127=$BD$122),(AH$127),IF(AND($AN$127&gt;BN151,$C$127=$BD$123),(AH$127),IF(AND($AN$127&gt;BN151,$C$127=$BD$124),(AH$126),IF(AND($AN$127&gt;BN151,$C$127=$BD$125),(AH$127),0)))))</f>
        <v>0</v>
      </c>
      <c r="BP151" s="1323">
        <v>0</v>
      </c>
      <c r="BQ151" s="1323">
        <v>0</v>
      </c>
      <c r="BR151" s="1323">
        <f t="shared" si="301"/>
        <v>0</v>
      </c>
      <c r="BS151" s="1324">
        <f t="shared" si="309"/>
        <v>0</v>
      </c>
      <c r="BT151" s="9">
        <v>31</v>
      </c>
      <c r="BU151" s="1323">
        <f>IF(AND($AN$132&gt;BT151,$C$132=$BD$121),(AH$132),IF(AND($AN$132&gt;BT151,$C$132=$BD$122),(AH$132),IF(AND($AN$132&gt;BT151,$C$132=$BD$123),(AH$132),IF(AND($AN$132&gt;BT151,$C$132=$BD$124),(AH$131),IF(AND($AN$132&gt;BT151,$C$132=$BD$125),(AH$132),0)))))</f>
        <v>0</v>
      </c>
      <c r="BV151" s="1323">
        <v>0</v>
      </c>
      <c r="BW151" s="1323">
        <v>0</v>
      </c>
      <c r="BX151" s="1323">
        <f t="shared" si="302"/>
        <v>0</v>
      </c>
      <c r="BY151" s="1324">
        <f t="shared" si="303"/>
        <v>0</v>
      </c>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t="14.45" hidden="1" customHeight="1">
      <c r="B152" s="1411"/>
      <c r="C152" s="1670" t="s">
        <v>4776</v>
      </c>
      <c r="D152" s="1666">
        <f t="shared" ref="D152:Y152" si="325">+IFERROR(IF(D151&gt;0,D$86/(D$90+D$96+D$100+D$104+D$108+D$112+D$116+D$147+D151),0),"N/A")</f>
        <v>0</v>
      </c>
      <c r="E152" s="1369">
        <f t="shared" si="325"/>
        <v>0</v>
      </c>
      <c r="F152" s="1369">
        <f t="shared" si="325"/>
        <v>0</v>
      </c>
      <c r="G152" s="1369">
        <f t="shared" si="325"/>
        <v>0</v>
      </c>
      <c r="H152" s="1369">
        <f t="shared" si="325"/>
        <v>0</v>
      </c>
      <c r="I152" s="1369">
        <f t="shared" si="325"/>
        <v>0</v>
      </c>
      <c r="J152" s="1369">
        <f t="shared" si="325"/>
        <v>0</v>
      </c>
      <c r="K152" s="1369">
        <f t="shared" si="325"/>
        <v>0</v>
      </c>
      <c r="L152" s="1369">
        <f t="shared" si="325"/>
        <v>0</v>
      </c>
      <c r="M152" s="1369">
        <f t="shared" si="325"/>
        <v>0</v>
      </c>
      <c r="N152" s="1369">
        <f t="shared" si="325"/>
        <v>0</v>
      </c>
      <c r="O152" s="1369">
        <f t="shared" si="325"/>
        <v>0</v>
      </c>
      <c r="P152" s="1369">
        <f t="shared" si="325"/>
        <v>0</v>
      </c>
      <c r="Q152" s="1369">
        <f t="shared" si="325"/>
        <v>0</v>
      </c>
      <c r="R152" s="1369">
        <f t="shared" si="325"/>
        <v>0</v>
      </c>
      <c r="S152" s="1369">
        <f t="shared" si="325"/>
        <v>0</v>
      </c>
      <c r="T152" s="1369">
        <f t="shared" si="325"/>
        <v>0</v>
      </c>
      <c r="U152" s="1369">
        <f t="shared" si="325"/>
        <v>0</v>
      </c>
      <c r="V152" s="1369">
        <f t="shared" si="325"/>
        <v>0</v>
      </c>
      <c r="W152" s="1369">
        <f t="shared" si="325"/>
        <v>0</v>
      </c>
      <c r="X152" s="1369">
        <f t="shared" si="325"/>
        <v>0</v>
      </c>
      <c r="Y152" s="1369">
        <f t="shared" si="325"/>
        <v>0</v>
      </c>
      <c r="Z152" s="654"/>
      <c r="AA152" s="3"/>
      <c r="AB152" s="3"/>
      <c r="AC152" s="3"/>
      <c r="AD152" s="3"/>
      <c r="AE152" s="3"/>
      <c r="AF152" s="3"/>
      <c r="AG152" s="3"/>
      <c r="AH152" s="3"/>
      <c r="AI152" s="3"/>
      <c r="AJ152" s="3"/>
      <c r="AK152" s="3"/>
      <c r="AL152" s="3"/>
      <c r="AM152" s="1038"/>
      <c r="BH152" s="9">
        <v>32</v>
      </c>
      <c r="BI152" s="1323">
        <f>IF(AND($AN$122&gt;BH152,$C$122=$BD$121),(AI$122),IF(AND($AN$122&gt;BH152,$C$122=$BD$122),(AI$122),IF(AND($AN$122&gt;BH152,$C$122=$BD$123),(AI$122),IF(AND($AN$122&gt;BH152,$C$122=$BD$124),(AI$121),IF(AND($AN$122&gt;BH152,$C$122=$BD$125),(AI$122),0)))))</f>
        <v>0</v>
      </c>
      <c r="BJ152" s="1323">
        <v>0</v>
      </c>
      <c r="BK152" s="1323">
        <v>0</v>
      </c>
      <c r="BL152" s="1323">
        <f t="shared" si="312"/>
        <v>0</v>
      </c>
      <c r="BM152" s="1320">
        <f t="shared" si="313"/>
        <v>0</v>
      </c>
      <c r="BN152" s="9">
        <v>32</v>
      </c>
      <c r="BO152" s="1323">
        <f>IF(AND($AN$127&gt;BN152,$C$127=$BD$121),(AI$127),IF(AND($AN$127&gt;BN152,$C$127=$BD$122),(AI$127),IF(AND($AN$127&gt;BN152,$C$127=$BD$123),(AI$127),IF(AND($AN$127&gt;BN152,$C$127=$BD$124),(AI$126),IF(AND($AN$127&gt;BN152,$C$127=$BD$125),(AI$127),0)))))</f>
        <v>0</v>
      </c>
      <c r="BP152" s="1323">
        <v>0</v>
      </c>
      <c r="BQ152" s="1323">
        <v>0</v>
      </c>
      <c r="BR152" s="1323">
        <f t="shared" si="301"/>
        <v>0</v>
      </c>
      <c r="BS152" s="1324">
        <f t="shared" si="309"/>
        <v>0</v>
      </c>
      <c r="BT152" s="9">
        <v>32</v>
      </c>
      <c r="BU152" s="1323">
        <f>IF(AND($AN$132&gt;BT152,$C$132=$BD$121),(AI$132),IF(AND($AN$132&gt;BT152,$C$132=$BD$122),(AI$132),IF(AND($AN$132&gt;BT152,$C$132=$BD$123),(AI$132),IF(AND($AN$132&gt;BT152,$C$132=$BD$124),(AI$131),IF(AND($AN$132&gt;BT152,$C$132=$BD$125),(AI$132),0)))))</f>
        <v>0</v>
      </c>
      <c r="BV152" s="1323">
        <v>0</v>
      </c>
      <c r="BW152" s="1323">
        <v>0</v>
      </c>
      <c r="BX152" s="1323">
        <f t="shared" si="302"/>
        <v>0</v>
      </c>
      <c r="BY152" s="1324">
        <f t="shared" si="303"/>
        <v>0</v>
      </c>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ht="14.45" hidden="1" customHeight="1" thickBot="1">
      <c r="B153" s="1411"/>
      <c r="C153" s="1670" t="s">
        <v>4771</v>
      </c>
      <c r="D153" s="1673">
        <f t="shared" ref="D153:Y153" si="326">D149-D151</f>
        <v>0</v>
      </c>
      <c r="E153" s="1370">
        <f t="shared" si="326"/>
        <v>0</v>
      </c>
      <c r="F153" s="1370">
        <f t="shared" si="326"/>
        <v>0</v>
      </c>
      <c r="G153" s="1370">
        <f t="shared" si="326"/>
        <v>0</v>
      </c>
      <c r="H153" s="1370">
        <f t="shared" si="326"/>
        <v>0</v>
      </c>
      <c r="I153" s="1370">
        <f t="shared" si="326"/>
        <v>0</v>
      </c>
      <c r="J153" s="1370">
        <f t="shared" si="326"/>
        <v>0</v>
      </c>
      <c r="K153" s="1370">
        <f t="shared" si="326"/>
        <v>0</v>
      </c>
      <c r="L153" s="1370">
        <f t="shared" si="326"/>
        <v>0</v>
      </c>
      <c r="M153" s="1370">
        <f t="shared" si="326"/>
        <v>0</v>
      </c>
      <c r="N153" s="1370">
        <f t="shared" si="326"/>
        <v>0</v>
      </c>
      <c r="O153" s="1370">
        <f t="shared" si="326"/>
        <v>0</v>
      </c>
      <c r="P153" s="1370">
        <f t="shared" si="326"/>
        <v>0</v>
      </c>
      <c r="Q153" s="1370">
        <f t="shared" si="326"/>
        <v>0</v>
      </c>
      <c r="R153" s="1370">
        <f t="shared" si="326"/>
        <v>0</v>
      </c>
      <c r="S153" s="1370">
        <f t="shared" si="326"/>
        <v>0</v>
      </c>
      <c r="T153" s="1370">
        <f t="shared" si="326"/>
        <v>0</v>
      </c>
      <c r="U153" s="1370">
        <f t="shared" si="326"/>
        <v>0</v>
      </c>
      <c r="V153" s="1370">
        <f t="shared" si="326"/>
        <v>0</v>
      </c>
      <c r="W153" s="1370">
        <f t="shared" si="326"/>
        <v>0</v>
      </c>
      <c r="X153" s="1370">
        <f t="shared" si="326"/>
        <v>0</v>
      </c>
      <c r="Y153" s="1370">
        <f t="shared" si="326"/>
        <v>0</v>
      </c>
      <c r="Z153" s="654"/>
      <c r="AA153" s="3"/>
      <c r="AB153" s="3"/>
      <c r="AC153" s="3"/>
      <c r="AD153" s="3"/>
      <c r="AE153" s="3"/>
      <c r="AF153" s="3"/>
      <c r="AG153" s="3"/>
      <c r="AH153" s="3"/>
      <c r="AI153" s="3"/>
      <c r="AJ153" s="3"/>
      <c r="AK153" s="3"/>
      <c r="AL153" s="3"/>
      <c r="AM153" s="1038"/>
      <c r="BH153" s="9">
        <v>33</v>
      </c>
      <c r="BI153" s="1323">
        <f>IF(AND($AN$122&gt;BH153,$C$122=$BD$121),(AJ$122),IF(AND($AN$122&gt;BH153,$C$122=$BD$122),(AJ$122),IF(AND($AN$122&gt;BH153,$C$122=$BD$123),(AJ$122),IF(AND($AN$122&gt;BH153,$C$122=$BD$124),(AJ$121),IF(AND($AN$122&gt;BH153,$C$122=$BD$125),(AJ$122),0)))))</f>
        <v>0</v>
      </c>
      <c r="BJ153" s="1323">
        <v>0</v>
      </c>
      <c r="BK153" s="1323">
        <v>0</v>
      </c>
      <c r="BL153" s="1323">
        <f t="shared" si="312"/>
        <v>0</v>
      </c>
      <c r="BM153" s="1320">
        <f t="shared" si="313"/>
        <v>0</v>
      </c>
      <c r="BN153" s="9">
        <v>33</v>
      </c>
      <c r="BO153" s="1323">
        <f>IF(AND($AN$127&gt;BN153,$C$127=$BD$121),(AJ$127),IF(AND($AN$127&gt;BN153,$C$127=$BD$122),(AJ$127),IF(AND($AN$127&gt;BN153,$C$127=$BD$123),(AJ$127),IF(AND($AN$127&gt;BN153,$C$127=$BD$124),(AJ$126),IF(AND($AN$127&gt;BN153,$C$127=$BD$125),(AJ$127),0)))))</f>
        <v>0</v>
      </c>
      <c r="BP153" s="1323">
        <v>0</v>
      </c>
      <c r="BQ153" s="1323">
        <v>0</v>
      </c>
      <c r="BR153" s="1323">
        <f t="shared" si="301"/>
        <v>0</v>
      </c>
      <c r="BS153" s="1324">
        <f t="shared" si="309"/>
        <v>0</v>
      </c>
      <c r="BT153" s="9">
        <v>33</v>
      </c>
      <c r="BU153" s="1323">
        <f>IF(AND($AN$132&gt;BT153,$C$132=$BD$121),(AJ$132),IF(AND($AN$132&gt;BT153,$C$132=$BD$122),(AJ$132),IF(AND($AN$132&gt;BT153,$C$132=$BD$123),(AJ$132),IF(AND($AN$132&gt;BT153,$C$132=$BD$124),(AJ$131),IF(AND($AN$132&gt;BT153,$C$132=$BD$125),(AJ$132),0)))))</f>
        <v>0</v>
      </c>
      <c r="BV153" s="1323">
        <v>0</v>
      </c>
      <c r="BW153" s="1323">
        <v>0</v>
      </c>
      <c r="BX153" s="1323">
        <f t="shared" si="302"/>
        <v>0</v>
      </c>
      <c r="BY153" s="1324">
        <f t="shared" si="303"/>
        <v>0</v>
      </c>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ht="14.45" customHeight="1" thickBot="1">
      <c r="B154" s="1411"/>
      <c r="C154" s="1674" t="s">
        <v>4777</v>
      </c>
      <c r="D154" s="1675">
        <f>PC_DEV_Dev_Fee_Deferred_Total</f>
        <v>0</v>
      </c>
      <c r="E154" s="1067"/>
      <c r="F154" s="1067"/>
      <c r="G154" s="1067"/>
      <c r="H154" s="1067"/>
      <c r="I154" s="1067"/>
      <c r="J154" s="1067"/>
      <c r="K154" s="1067"/>
      <c r="L154" s="1067"/>
      <c r="M154" s="1067"/>
      <c r="N154" s="1067"/>
      <c r="O154" s="1067"/>
      <c r="P154" s="1067"/>
      <c r="Q154" s="1067"/>
      <c r="R154" s="1067"/>
      <c r="S154" s="1067"/>
      <c r="T154" s="1067"/>
      <c r="U154" s="1067"/>
      <c r="V154" s="1067"/>
      <c r="W154" s="1067"/>
      <c r="X154" s="1067"/>
      <c r="Y154" s="1067"/>
      <c r="Z154" s="1067"/>
      <c r="AA154" s="1067"/>
      <c r="AB154" s="1067"/>
      <c r="AC154" s="1067"/>
      <c r="AD154" s="1067"/>
      <c r="AE154" s="1067"/>
      <c r="AF154" s="1067"/>
      <c r="AG154" s="1067"/>
      <c r="AH154" s="1067"/>
      <c r="AI154" s="1067"/>
      <c r="AJ154" s="1067"/>
      <c r="AK154" s="1067"/>
      <c r="AL154" s="1067"/>
      <c r="AM154" s="1034"/>
      <c r="BI154" s="1323"/>
      <c r="BJ154" s="1323"/>
      <c r="BK154" s="1323"/>
      <c r="BL154" s="1323"/>
      <c r="BM154" s="1320"/>
      <c r="BO154" s="1323"/>
      <c r="BP154" s="1323"/>
      <c r="BQ154" s="1323"/>
      <c r="BR154" s="1323"/>
      <c r="BS154" s="1324"/>
      <c r="BU154" s="1323"/>
      <c r="BV154" s="1323"/>
      <c r="BW154" s="1323"/>
      <c r="BX154" s="1323"/>
      <c r="BY154" s="1324"/>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ht="14.45" customHeight="1" thickBot="1">
      <c r="B155" s="1411"/>
      <c r="C155" s="1672" t="s">
        <v>4778</v>
      </c>
      <c r="D155" s="1671">
        <v>1</v>
      </c>
      <c r="E155" s="1390">
        <f t="shared" ref="E155:AL155" si="327">D155+1</f>
        <v>2</v>
      </c>
      <c r="F155" s="1390">
        <f t="shared" si="327"/>
        <v>3</v>
      </c>
      <c r="G155" s="1390">
        <f t="shared" si="327"/>
        <v>4</v>
      </c>
      <c r="H155" s="1390">
        <f t="shared" si="327"/>
        <v>5</v>
      </c>
      <c r="I155" s="1390">
        <f t="shared" si="327"/>
        <v>6</v>
      </c>
      <c r="J155" s="1390">
        <f t="shared" si="327"/>
        <v>7</v>
      </c>
      <c r="K155" s="1390">
        <f t="shared" si="327"/>
        <v>8</v>
      </c>
      <c r="L155" s="1390">
        <f t="shared" si="327"/>
        <v>9</v>
      </c>
      <c r="M155" s="1390">
        <f t="shared" si="327"/>
        <v>10</v>
      </c>
      <c r="N155" s="1390">
        <f t="shared" si="327"/>
        <v>11</v>
      </c>
      <c r="O155" s="1390">
        <f t="shared" si="327"/>
        <v>12</v>
      </c>
      <c r="P155" s="1390">
        <f t="shared" si="327"/>
        <v>13</v>
      </c>
      <c r="Q155" s="1390">
        <f t="shared" si="327"/>
        <v>14</v>
      </c>
      <c r="R155" s="1390">
        <f t="shared" si="327"/>
        <v>15</v>
      </c>
      <c r="S155" s="1390">
        <f t="shared" si="327"/>
        <v>16</v>
      </c>
      <c r="T155" s="1390">
        <f t="shared" si="327"/>
        <v>17</v>
      </c>
      <c r="U155" s="1390">
        <f t="shared" si="327"/>
        <v>18</v>
      </c>
      <c r="V155" s="1390">
        <f t="shared" si="327"/>
        <v>19</v>
      </c>
      <c r="W155" s="1390">
        <f t="shared" si="327"/>
        <v>20</v>
      </c>
      <c r="X155" s="1390">
        <f t="shared" si="327"/>
        <v>21</v>
      </c>
      <c r="Y155" s="1391">
        <f t="shared" si="327"/>
        <v>22</v>
      </c>
      <c r="Z155" s="1391">
        <f t="shared" si="327"/>
        <v>23</v>
      </c>
      <c r="AA155" s="1391">
        <f t="shared" si="327"/>
        <v>24</v>
      </c>
      <c r="AB155" s="1391">
        <f t="shared" si="327"/>
        <v>25</v>
      </c>
      <c r="AC155" s="1391">
        <f t="shared" si="327"/>
        <v>26</v>
      </c>
      <c r="AD155" s="1391">
        <f t="shared" si="327"/>
        <v>27</v>
      </c>
      <c r="AE155" s="1391">
        <f t="shared" si="327"/>
        <v>28</v>
      </c>
      <c r="AF155" s="1391">
        <f t="shared" si="327"/>
        <v>29</v>
      </c>
      <c r="AG155" s="1391">
        <f t="shared" si="327"/>
        <v>30</v>
      </c>
      <c r="AH155" s="1391">
        <f t="shared" si="327"/>
        <v>31</v>
      </c>
      <c r="AI155" s="1391">
        <f t="shared" si="327"/>
        <v>32</v>
      </c>
      <c r="AJ155" s="1391">
        <f t="shared" si="327"/>
        <v>33</v>
      </c>
      <c r="AK155" s="1391">
        <f t="shared" si="327"/>
        <v>34</v>
      </c>
      <c r="AL155" s="1391">
        <f t="shared" si="327"/>
        <v>35</v>
      </c>
      <c r="AM155" s="1038"/>
      <c r="BH155" s="9">
        <v>34</v>
      </c>
      <c r="BI155" s="1323">
        <f>IF(AND($AN$122&gt;BH155,$C$122=$BD$121),(AK$122),IF(AND($AN$122&gt;BH155,$C$122=$BD$122),(AK$122),IF(AND($AN$122&gt;BH155,$C$122=$BD$123),(AK$122),IF(AND($AN$122&gt;BH155,$C$122=$BD$124),(AK$121),IF(AND($AN$122&gt;BH155,$C$122=$BD$125),(AK$122),0)))))</f>
        <v>0</v>
      </c>
      <c r="BJ155" s="1323">
        <v>0</v>
      </c>
      <c r="BK155" s="1323">
        <v>0</v>
      </c>
      <c r="BL155" s="1323">
        <f>IF(AND($AN$122&gt;BH155,$AP$122&gt;=BI155),(((BL153+($AP$122-BI155))*($AQ$122+1))-BI155),IF(AND($AN$122&gt;BH155,$AP$122&lt;=BI155),((BL153*($AQ$122+1))-BI155),IF($AN$122&lt;=BL153,BL153,0)))</f>
        <v>0</v>
      </c>
      <c r="BM155" s="1320">
        <f>IF(BI153=BM153,0,BL153*($AQ$122+1))</f>
        <v>0</v>
      </c>
      <c r="BN155" s="9">
        <v>34</v>
      </c>
      <c r="BO155" s="1323">
        <f>IF(AND($AN$127&gt;BN155,$C$127=$BD$121),(AK$127),IF(AND($AN$127&gt;BN155,$C$127=$BD$122),(AK$127),IF(AND($AN$127&gt;BN155,$C$127=$BD$123),(AK$127),IF(AND($AN$127&gt;BN155,$C$127=$BD$124),(AK$126),IF(AND($AN$127&gt;BN155,$C$127=$BD$125),(AK$127),0)))))</f>
        <v>0</v>
      </c>
      <c r="BP155" s="1323">
        <v>0</v>
      </c>
      <c r="BQ155" s="1323">
        <v>0</v>
      </c>
      <c r="BR155" s="1323">
        <f>IF(AND($AN$127&gt;BN155,$AP$127&gt;=BO155),(((BR153+($AP$127-BO155))*($AQ$127+1))-BO155),IF(AND($AN$127&gt;BN155,$AP$127&lt;=BO155),((BR153*($AQ$127+1))-BO155),IF($AN$127&lt;=BR153,BR153,0)))</f>
        <v>0</v>
      </c>
      <c r="BS155" s="1324">
        <f>IF(BO153=BS153,0,BR153*($AQ$122+1))</f>
        <v>0</v>
      </c>
      <c r="BT155" s="9">
        <v>34</v>
      </c>
      <c r="BU155" s="1323">
        <f>IF(AND($AN$132&gt;BT155,$C$132=$BD$121),(AK$132),IF(AND($AN$132&gt;BT155,$C$132=$BD$122),(AK$132),IF(AND($AN$132&gt;BT155,$C$132=$BD$123),(AK$132),IF(AND($AN$132&gt;BT155,$C$132=$BD$124),(AK$131),IF(AND($AN$132&gt;BT155,$C$132=$BD$125),(AK$132),0)))))</f>
        <v>0</v>
      </c>
      <c r="BV155" s="1323">
        <v>0</v>
      </c>
      <c r="BW155" s="1323">
        <v>0</v>
      </c>
      <c r="BX155" s="1323">
        <f>IF(AND($AN$132&gt;BT155,$AP$132&gt;=BU155),(((BX153+($AP$132-BU155))*($AQ$132+1))-BU155),IF(AND($AN$132&gt;BT155,$AP$132&lt;=BU155),((BX153*($AQ$132+1))-BU155),IF($AN$132&lt;=BX153,BX153,0)))</f>
        <v>0</v>
      </c>
      <c r="BY155" s="1324">
        <f>IF(BU153=BY153,0,BX153*($AQ$132+1))</f>
        <v>0</v>
      </c>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t="16.5" customHeight="1">
      <c r="B156" s="1411"/>
      <c r="C156" s="1392" t="s">
        <v>4779</v>
      </c>
      <c r="D156" s="1394" t="str">
        <f>IF(D154&gt;0,"Yes","No")</f>
        <v>No</v>
      </c>
      <c r="E156" s="1394" t="str">
        <f>IF(D158&gt;0,"Yes","No")</f>
        <v>No</v>
      </c>
      <c r="F156" s="1394" t="str">
        <f>IF(E158&gt;0,"Yes","No")</f>
        <v>No</v>
      </c>
      <c r="G156" s="1394" t="str">
        <f t="shared" ref="G156:AL156" si="328">IF(F158&gt;0,"Yes","No")</f>
        <v>No</v>
      </c>
      <c r="H156" s="1394" t="str">
        <f t="shared" si="328"/>
        <v>No</v>
      </c>
      <c r="I156" s="1394" t="str">
        <f t="shared" si="328"/>
        <v>No</v>
      </c>
      <c r="J156" s="1394" t="str">
        <f t="shared" si="328"/>
        <v>No</v>
      </c>
      <c r="K156" s="1394" t="str">
        <f t="shared" si="328"/>
        <v>No</v>
      </c>
      <c r="L156" s="1394" t="str">
        <f t="shared" si="328"/>
        <v>No</v>
      </c>
      <c r="M156" s="1394" t="str">
        <f t="shared" si="328"/>
        <v>No</v>
      </c>
      <c r="N156" s="1394" t="str">
        <f t="shared" si="328"/>
        <v>No</v>
      </c>
      <c r="O156" s="1394" t="str">
        <f t="shared" si="328"/>
        <v>No</v>
      </c>
      <c r="P156" s="1394" t="str">
        <f t="shared" si="328"/>
        <v>No</v>
      </c>
      <c r="Q156" s="1394" t="str">
        <f t="shared" si="328"/>
        <v>No</v>
      </c>
      <c r="R156" s="1394" t="str">
        <f t="shared" si="328"/>
        <v>No</v>
      </c>
      <c r="S156" s="1394" t="str">
        <f t="shared" si="328"/>
        <v>No</v>
      </c>
      <c r="T156" s="1394" t="str">
        <f t="shared" si="328"/>
        <v>No</v>
      </c>
      <c r="U156" s="1394" t="str">
        <f t="shared" si="328"/>
        <v>No</v>
      </c>
      <c r="V156" s="1394" t="str">
        <f t="shared" si="328"/>
        <v>No</v>
      </c>
      <c r="W156" s="1394" t="str">
        <f t="shared" si="328"/>
        <v>No</v>
      </c>
      <c r="X156" s="1394" t="str">
        <f t="shared" si="328"/>
        <v>No</v>
      </c>
      <c r="Y156" s="1394" t="str">
        <f t="shared" si="328"/>
        <v>No</v>
      </c>
      <c r="Z156" s="1394" t="str">
        <f t="shared" si="328"/>
        <v>No</v>
      </c>
      <c r="AA156" s="1394" t="str">
        <f t="shared" si="328"/>
        <v>No</v>
      </c>
      <c r="AB156" s="1394" t="str">
        <f t="shared" si="328"/>
        <v>No</v>
      </c>
      <c r="AC156" s="1394" t="str">
        <f t="shared" si="328"/>
        <v>No</v>
      </c>
      <c r="AD156" s="1394" t="str">
        <f t="shared" si="328"/>
        <v>No</v>
      </c>
      <c r="AE156" s="1394" t="str">
        <f t="shared" si="328"/>
        <v>No</v>
      </c>
      <c r="AF156" s="1394" t="str">
        <f t="shared" si="328"/>
        <v>No</v>
      </c>
      <c r="AG156" s="1394" t="str">
        <f t="shared" si="328"/>
        <v>No</v>
      </c>
      <c r="AH156" s="1394" t="str">
        <f t="shared" si="328"/>
        <v>No</v>
      </c>
      <c r="AI156" s="1394" t="str">
        <f t="shared" si="328"/>
        <v>No</v>
      </c>
      <c r="AJ156" s="1394" t="str">
        <f t="shared" si="328"/>
        <v>No</v>
      </c>
      <c r="AK156" s="1394" t="str">
        <f t="shared" si="328"/>
        <v>No</v>
      </c>
      <c r="AL156" s="1394" t="str">
        <f t="shared" si="328"/>
        <v>No</v>
      </c>
      <c r="AM156" s="1038"/>
      <c r="BI156" s="1323"/>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ht="16.5" customHeight="1">
      <c r="B157" s="1411"/>
      <c r="C157" s="1392" t="s">
        <v>4780</v>
      </c>
      <c r="D157" s="1393">
        <f>D154-D158</f>
        <v>0</v>
      </c>
      <c r="E157" s="1393">
        <f t="shared" ref="E157:AL157" si="329">D158-E158</f>
        <v>0</v>
      </c>
      <c r="F157" s="1393">
        <f t="shared" si="329"/>
        <v>0</v>
      </c>
      <c r="G157" s="1393">
        <f t="shared" si="329"/>
        <v>0</v>
      </c>
      <c r="H157" s="1393">
        <f t="shared" si="329"/>
        <v>0</v>
      </c>
      <c r="I157" s="1393">
        <f t="shared" si="329"/>
        <v>0</v>
      </c>
      <c r="J157" s="1393">
        <f t="shared" si="329"/>
        <v>0</v>
      </c>
      <c r="K157" s="1393">
        <f t="shared" si="329"/>
        <v>0</v>
      </c>
      <c r="L157" s="1393">
        <f t="shared" si="329"/>
        <v>0</v>
      </c>
      <c r="M157" s="1393">
        <f t="shared" si="329"/>
        <v>0</v>
      </c>
      <c r="N157" s="1393">
        <f t="shared" si="329"/>
        <v>0</v>
      </c>
      <c r="O157" s="1393">
        <f t="shared" si="329"/>
        <v>0</v>
      </c>
      <c r="P157" s="1393">
        <f t="shared" si="329"/>
        <v>0</v>
      </c>
      <c r="Q157" s="1393">
        <f t="shared" si="329"/>
        <v>0</v>
      </c>
      <c r="R157" s="1393">
        <f t="shared" si="329"/>
        <v>0</v>
      </c>
      <c r="S157" s="1393">
        <f t="shared" si="329"/>
        <v>0</v>
      </c>
      <c r="T157" s="1393">
        <f t="shared" si="329"/>
        <v>0</v>
      </c>
      <c r="U157" s="1393">
        <f t="shared" si="329"/>
        <v>0</v>
      </c>
      <c r="V157" s="1393">
        <f t="shared" si="329"/>
        <v>0</v>
      </c>
      <c r="W157" s="1393">
        <f t="shared" si="329"/>
        <v>0</v>
      </c>
      <c r="X157" s="1393">
        <f t="shared" si="329"/>
        <v>0</v>
      </c>
      <c r="Y157" s="1393">
        <f t="shared" si="329"/>
        <v>0</v>
      </c>
      <c r="Z157" s="1393">
        <f t="shared" si="329"/>
        <v>0</v>
      </c>
      <c r="AA157" s="1393">
        <f t="shared" si="329"/>
        <v>0</v>
      </c>
      <c r="AB157" s="1393">
        <f t="shared" si="329"/>
        <v>0</v>
      </c>
      <c r="AC157" s="1393">
        <f t="shared" si="329"/>
        <v>0</v>
      </c>
      <c r="AD157" s="1393">
        <f t="shared" si="329"/>
        <v>0</v>
      </c>
      <c r="AE157" s="1393">
        <f t="shared" si="329"/>
        <v>0</v>
      </c>
      <c r="AF157" s="1393">
        <f t="shared" si="329"/>
        <v>0</v>
      </c>
      <c r="AG157" s="1393">
        <f t="shared" si="329"/>
        <v>0</v>
      </c>
      <c r="AH157" s="1393">
        <f t="shared" si="329"/>
        <v>0</v>
      </c>
      <c r="AI157" s="1393">
        <f t="shared" si="329"/>
        <v>0</v>
      </c>
      <c r="AJ157" s="1393">
        <f t="shared" si="329"/>
        <v>0</v>
      </c>
      <c r="AK157" s="1393">
        <f t="shared" si="329"/>
        <v>0</v>
      </c>
      <c r="AL157" s="1393">
        <f t="shared" si="329"/>
        <v>0</v>
      </c>
      <c r="AM157" s="1038"/>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1411"/>
      <c r="C158" s="1392" t="s">
        <v>4781</v>
      </c>
      <c r="D158" s="1393">
        <f>IF(D154&gt;0,IF(D134&gt;=D154,D154-D154,D154-D134),0)</f>
        <v>0</v>
      </c>
      <c r="E158" s="1393">
        <f t="shared" ref="E158:AL158" si="330">IF(D158&gt;0,IF(E134&gt;=D158,D158-D158,D158-E134),0)</f>
        <v>0</v>
      </c>
      <c r="F158" s="1393">
        <f t="shared" si="330"/>
        <v>0</v>
      </c>
      <c r="G158" s="1393">
        <f t="shared" si="330"/>
        <v>0</v>
      </c>
      <c r="H158" s="1393">
        <f t="shared" si="330"/>
        <v>0</v>
      </c>
      <c r="I158" s="1393">
        <f t="shared" si="330"/>
        <v>0</v>
      </c>
      <c r="J158" s="1393">
        <f t="shared" si="330"/>
        <v>0</v>
      </c>
      <c r="K158" s="1393">
        <f t="shared" si="330"/>
        <v>0</v>
      </c>
      <c r="L158" s="1393">
        <f t="shared" si="330"/>
        <v>0</v>
      </c>
      <c r="M158" s="1393">
        <f t="shared" si="330"/>
        <v>0</v>
      </c>
      <c r="N158" s="1393">
        <f t="shared" si="330"/>
        <v>0</v>
      </c>
      <c r="O158" s="1393">
        <f t="shared" si="330"/>
        <v>0</v>
      </c>
      <c r="P158" s="1393">
        <f t="shared" si="330"/>
        <v>0</v>
      </c>
      <c r="Q158" s="1393">
        <f t="shared" si="330"/>
        <v>0</v>
      </c>
      <c r="R158" s="1393">
        <f t="shared" si="330"/>
        <v>0</v>
      </c>
      <c r="S158" s="1393">
        <f t="shared" si="330"/>
        <v>0</v>
      </c>
      <c r="T158" s="1393">
        <f t="shared" si="330"/>
        <v>0</v>
      </c>
      <c r="U158" s="1393">
        <f t="shared" si="330"/>
        <v>0</v>
      </c>
      <c r="V158" s="1393">
        <f t="shared" si="330"/>
        <v>0</v>
      </c>
      <c r="W158" s="1393">
        <f t="shared" si="330"/>
        <v>0</v>
      </c>
      <c r="X158" s="1393">
        <f t="shared" si="330"/>
        <v>0</v>
      </c>
      <c r="Y158" s="1393">
        <f t="shared" si="330"/>
        <v>0</v>
      </c>
      <c r="Z158" s="1393">
        <f t="shared" si="330"/>
        <v>0</v>
      </c>
      <c r="AA158" s="1393">
        <f t="shared" si="330"/>
        <v>0</v>
      </c>
      <c r="AB158" s="1393">
        <f t="shared" si="330"/>
        <v>0</v>
      </c>
      <c r="AC158" s="1393">
        <f t="shared" si="330"/>
        <v>0</v>
      </c>
      <c r="AD158" s="1393">
        <f t="shared" si="330"/>
        <v>0</v>
      </c>
      <c r="AE158" s="1393">
        <f t="shared" si="330"/>
        <v>0</v>
      </c>
      <c r="AF158" s="1393">
        <f t="shared" si="330"/>
        <v>0</v>
      </c>
      <c r="AG158" s="1393">
        <f t="shared" si="330"/>
        <v>0</v>
      </c>
      <c r="AH158" s="1393">
        <f t="shared" si="330"/>
        <v>0</v>
      </c>
      <c r="AI158" s="1393">
        <f t="shared" si="330"/>
        <v>0</v>
      </c>
      <c r="AJ158" s="1393">
        <f t="shared" si="330"/>
        <v>0</v>
      </c>
      <c r="AK158" s="1393">
        <f t="shared" si="330"/>
        <v>0</v>
      </c>
      <c r="AL158" s="1393">
        <f t="shared" si="330"/>
        <v>0</v>
      </c>
      <c r="AM158" s="1038"/>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1411"/>
      <c r="C159" s="1392" t="s">
        <v>4782</v>
      </c>
      <c r="D159" s="1393">
        <f t="shared" ref="D159:AL159" si="331">D134-D157</f>
        <v>0</v>
      </c>
      <c r="E159" s="1393">
        <f t="shared" si="331"/>
        <v>0</v>
      </c>
      <c r="F159" s="1393">
        <f t="shared" si="331"/>
        <v>0</v>
      </c>
      <c r="G159" s="1393">
        <f t="shared" si="331"/>
        <v>0</v>
      </c>
      <c r="H159" s="1393">
        <f t="shared" si="331"/>
        <v>0</v>
      </c>
      <c r="I159" s="1393">
        <f t="shared" si="331"/>
        <v>0</v>
      </c>
      <c r="J159" s="1393">
        <f t="shared" si="331"/>
        <v>0</v>
      </c>
      <c r="K159" s="1393">
        <f t="shared" si="331"/>
        <v>0</v>
      </c>
      <c r="L159" s="1393">
        <f t="shared" si="331"/>
        <v>0</v>
      </c>
      <c r="M159" s="1393">
        <f t="shared" si="331"/>
        <v>0</v>
      </c>
      <c r="N159" s="1393">
        <f t="shared" si="331"/>
        <v>0</v>
      </c>
      <c r="O159" s="1393">
        <f t="shared" si="331"/>
        <v>0</v>
      </c>
      <c r="P159" s="1393">
        <f t="shared" si="331"/>
        <v>0</v>
      </c>
      <c r="Q159" s="1393">
        <f t="shared" si="331"/>
        <v>0</v>
      </c>
      <c r="R159" s="1393">
        <f t="shared" si="331"/>
        <v>0</v>
      </c>
      <c r="S159" s="1393">
        <f t="shared" si="331"/>
        <v>0</v>
      </c>
      <c r="T159" s="1393">
        <f t="shared" si="331"/>
        <v>0</v>
      </c>
      <c r="U159" s="1393">
        <f t="shared" si="331"/>
        <v>0</v>
      </c>
      <c r="V159" s="1393">
        <f t="shared" si="331"/>
        <v>0</v>
      </c>
      <c r="W159" s="1393">
        <f t="shared" si="331"/>
        <v>0</v>
      </c>
      <c r="X159" s="1393">
        <f t="shared" si="331"/>
        <v>0</v>
      </c>
      <c r="Y159" s="1393">
        <f t="shared" si="331"/>
        <v>0</v>
      </c>
      <c r="Z159" s="1393">
        <f t="shared" si="331"/>
        <v>0</v>
      </c>
      <c r="AA159" s="1393">
        <f t="shared" si="331"/>
        <v>0</v>
      </c>
      <c r="AB159" s="1393">
        <f t="shared" si="331"/>
        <v>0</v>
      </c>
      <c r="AC159" s="1393">
        <f t="shared" si="331"/>
        <v>0</v>
      </c>
      <c r="AD159" s="1393">
        <f t="shared" si="331"/>
        <v>0</v>
      </c>
      <c r="AE159" s="1393">
        <f t="shared" si="331"/>
        <v>0</v>
      </c>
      <c r="AF159" s="1393">
        <f t="shared" si="331"/>
        <v>0</v>
      </c>
      <c r="AG159" s="1393">
        <f t="shared" si="331"/>
        <v>0</v>
      </c>
      <c r="AH159" s="1393">
        <f t="shared" si="331"/>
        <v>0</v>
      </c>
      <c r="AI159" s="1393">
        <f t="shared" si="331"/>
        <v>0</v>
      </c>
      <c r="AJ159" s="1393">
        <f t="shared" si="331"/>
        <v>0</v>
      </c>
      <c r="AK159" s="1393">
        <f t="shared" si="331"/>
        <v>0</v>
      </c>
      <c r="AL159" s="1393">
        <f t="shared" si="331"/>
        <v>0</v>
      </c>
      <c r="AM159" s="1038"/>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ht="15.75" thickBot="1">
      <c r="B160" s="1411"/>
      <c r="C160" s="1395"/>
      <c r="D160" s="1395"/>
      <c r="E160" s="1396"/>
      <c r="F160" s="1397"/>
      <c r="G160" s="1398"/>
      <c r="H160" s="1399"/>
      <c r="I160" s="1399"/>
      <c r="J160" s="1399"/>
      <c r="K160" s="1399"/>
      <c r="L160" s="1399"/>
      <c r="M160" s="1399"/>
      <c r="N160" s="1399"/>
      <c r="O160" s="1399"/>
      <c r="P160" s="1399"/>
      <c r="Q160" s="1399"/>
      <c r="R160" s="1399"/>
      <c r="S160" s="1399"/>
      <c r="T160" s="1399"/>
      <c r="U160" s="1399"/>
      <c r="V160" s="1399"/>
      <c r="W160" s="1399"/>
      <c r="X160" s="1399"/>
      <c r="Y160" s="1395"/>
      <c r="Z160" s="1035"/>
      <c r="AA160" s="1027"/>
      <c r="AB160" s="1027"/>
      <c r="AC160" s="1027"/>
      <c r="AD160" s="1027"/>
      <c r="AE160" s="1027"/>
      <c r="AF160" s="1027"/>
      <c r="AG160" s="1027"/>
      <c r="AH160" s="1027"/>
      <c r="AI160" s="1027"/>
      <c r="AJ160" s="1027"/>
      <c r="AK160" s="1027"/>
      <c r="AL160" s="1027"/>
      <c r="AM160" s="1038"/>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ht="15.75" thickBot="1">
      <c r="B161" s="1411"/>
      <c r="C161" s="1389" t="s">
        <v>4783</v>
      </c>
      <c r="D161" s="1390">
        <v>1</v>
      </c>
      <c r="E161" s="1390">
        <f t="shared" ref="E161:AL161" si="332">D161+1</f>
        <v>2</v>
      </c>
      <c r="F161" s="1390">
        <f t="shared" si="332"/>
        <v>3</v>
      </c>
      <c r="G161" s="1390">
        <f t="shared" si="332"/>
        <v>4</v>
      </c>
      <c r="H161" s="1390">
        <f t="shared" si="332"/>
        <v>5</v>
      </c>
      <c r="I161" s="1390">
        <f t="shared" si="332"/>
        <v>6</v>
      </c>
      <c r="J161" s="1390">
        <f t="shared" si="332"/>
        <v>7</v>
      </c>
      <c r="K161" s="1390">
        <f t="shared" si="332"/>
        <v>8</v>
      </c>
      <c r="L161" s="1390">
        <f t="shared" si="332"/>
        <v>9</v>
      </c>
      <c r="M161" s="1390">
        <f t="shared" si="332"/>
        <v>10</v>
      </c>
      <c r="N161" s="1390">
        <f t="shared" si="332"/>
        <v>11</v>
      </c>
      <c r="O161" s="1390">
        <f t="shared" si="332"/>
        <v>12</v>
      </c>
      <c r="P161" s="1390">
        <f t="shared" si="332"/>
        <v>13</v>
      </c>
      <c r="Q161" s="1390">
        <f t="shared" si="332"/>
        <v>14</v>
      </c>
      <c r="R161" s="1390">
        <f t="shared" si="332"/>
        <v>15</v>
      </c>
      <c r="S161" s="1390">
        <f t="shared" si="332"/>
        <v>16</v>
      </c>
      <c r="T161" s="1390">
        <f t="shared" si="332"/>
        <v>17</v>
      </c>
      <c r="U161" s="1390">
        <f t="shared" si="332"/>
        <v>18</v>
      </c>
      <c r="V161" s="1390">
        <f t="shared" si="332"/>
        <v>19</v>
      </c>
      <c r="W161" s="1390">
        <f t="shared" si="332"/>
        <v>20</v>
      </c>
      <c r="X161" s="1390">
        <f t="shared" si="332"/>
        <v>21</v>
      </c>
      <c r="Y161" s="1391">
        <f t="shared" si="332"/>
        <v>22</v>
      </c>
      <c r="Z161" s="1391">
        <f t="shared" si="332"/>
        <v>23</v>
      </c>
      <c r="AA161" s="1391">
        <f t="shared" si="332"/>
        <v>24</v>
      </c>
      <c r="AB161" s="1391">
        <f t="shared" si="332"/>
        <v>25</v>
      </c>
      <c r="AC161" s="1391">
        <f t="shared" si="332"/>
        <v>26</v>
      </c>
      <c r="AD161" s="1391">
        <f t="shared" si="332"/>
        <v>27</v>
      </c>
      <c r="AE161" s="1391">
        <f t="shared" si="332"/>
        <v>28</v>
      </c>
      <c r="AF161" s="1391">
        <f t="shared" si="332"/>
        <v>29</v>
      </c>
      <c r="AG161" s="1391">
        <f t="shared" si="332"/>
        <v>30</v>
      </c>
      <c r="AH161" s="1391">
        <f t="shared" si="332"/>
        <v>31</v>
      </c>
      <c r="AI161" s="1391">
        <f t="shared" si="332"/>
        <v>32</v>
      </c>
      <c r="AJ161" s="1391">
        <f t="shared" si="332"/>
        <v>33</v>
      </c>
      <c r="AK161" s="1391">
        <f t="shared" si="332"/>
        <v>34</v>
      </c>
      <c r="AL161" s="1391">
        <f t="shared" si="332"/>
        <v>35</v>
      </c>
      <c r="AM161" s="1038"/>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1411"/>
      <c r="C162" s="1400" t="s">
        <v>4784</v>
      </c>
      <c r="D162" s="1401"/>
      <c r="E162" s="1401"/>
      <c r="F162" s="1401"/>
      <c r="G162" s="1401"/>
      <c r="H162" s="1401"/>
      <c r="I162" s="1401"/>
      <c r="J162" s="1401"/>
      <c r="K162" s="1401"/>
      <c r="L162" s="1401"/>
      <c r="M162" s="1401"/>
      <c r="N162" s="1401"/>
      <c r="O162" s="1401"/>
      <c r="P162" s="1401"/>
      <c r="Q162" s="1401"/>
      <c r="R162" s="1401"/>
      <c r="S162" s="1401"/>
      <c r="T162" s="1401"/>
      <c r="U162" s="1401"/>
      <c r="V162" s="1401"/>
      <c r="W162" s="1401"/>
      <c r="X162" s="1401"/>
      <c r="Y162" s="1402"/>
      <c r="Z162" s="1402"/>
      <c r="AA162" s="1402"/>
      <c r="AB162" s="1402"/>
      <c r="AC162" s="1402"/>
      <c r="AD162" s="1402"/>
      <c r="AE162" s="1402"/>
      <c r="AF162" s="1402"/>
      <c r="AG162" s="1402"/>
      <c r="AH162" s="1402"/>
      <c r="AI162" s="1402"/>
      <c r="AJ162" s="1402"/>
      <c r="AK162" s="1402"/>
      <c r="AL162" s="1402"/>
      <c r="AM162" s="1038"/>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1411" t="b">
        <f>'12. Funding Sources'!I15="Yes"</f>
        <v>0</v>
      </c>
      <c r="C163" s="1403" t="s">
        <v>4785</v>
      </c>
      <c r="D163" s="1404">
        <f>IF(AND($B$163,D85&lt;=Term_5), '12. Funding Sources'!$N$15, 0)</f>
        <v>0</v>
      </c>
      <c r="E163" s="1404">
        <f>IF(AND($B$163,E85&lt;=Term_5), '12. Funding Sources'!$N$15, 0)</f>
        <v>0</v>
      </c>
      <c r="F163" s="1404">
        <f>IF(AND($B$163,F85&lt;=Term_5), '12. Funding Sources'!$N$15, 0)</f>
        <v>0</v>
      </c>
      <c r="G163" s="1404">
        <f>IF(AND($B$163,G85&lt;=Term_5), '12. Funding Sources'!$N$15, 0)</f>
        <v>0</v>
      </c>
      <c r="H163" s="1404">
        <f>IF(AND($B$163,H85&lt;=Term_5), '12. Funding Sources'!$N$15, 0)</f>
        <v>0</v>
      </c>
      <c r="I163" s="1404">
        <f>IF(AND($B$163,I85&lt;=Term_5), '12. Funding Sources'!$N$15, 0)</f>
        <v>0</v>
      </c>
      <c r="J163" s="1404">
        <f>IF(AND($B$163,J85&lt;=Term_5), '12. Funding Sources'!$N$15, 0)</f>
        <v>0</v>
      </c>
      <c r="K163" s="1404">
        <f>IF(AND($B$163,K85&lt;=Term_5), '12. Funding Sources'!$N$15, 0)</f>
        <v>0</v>
      </c>
      <c r="L163" s="1404">
        <f>IF(AND($B$163,L85&lt;=Term_5), '12. Funding Sources'!$N$15, 0)</f>
        <v>0</v>
      </c>
      <c r="M163" s="1404">
        <f>IF(AND($B$163,M85&lt;=Term_5), '12. Funding Sources'!$N$15, 0)</f>
        <v>0</v>
      </c>
      <c r="N163" s="1404">
        <f>IF(AND($B$163,N85&lt;=Term_5), '12. Funding Sources'!$N$15, 0)</f>
        <v>0</v>
      </c>
      <c r="O163" s="1404">
        <f>IF(AND($B$163,O85&lt;=Term_5), '12. Funding Sources'!$N$15, 0)</f>
        <v>0</v>
      </c>
      <c r="P163" s="1404">
        <f>IF(AND($B$163,P85&lt;=Term_5), '12. Funding Sources'!$N$15, 0)</f>
        <v>0</v>
      </c>
      <c r="Q163" s="1404">
        <f>IF(AND($B$163,Q85&lt;=Term_5), '12. Funding Sources'!$N$15, 0)</f>
        <v>0</v>
      </c>
      <c r="R163" s="1404">
        <f>IF(AND($B$163,R85&lt;=Term_5), '12. Funding Sources'!$N$15, 0)</f>
        <v>0</v>
      </c>
      <c r="S163" s="1404">
        <f>IF(AND($B$163,S85&lt;=Term_5), '12. Funding Sources'!$N$15, 0)</f>
        <v>0</v>
      </c>
      <c r="T163" s="1404">
        <f>IF(AND($B$163,T85&lt;=Term_5), '12. Funding Sources'!$N$15, 0)</f>
        <v>0</v>
      </c>
      <c r="U163" s="1404">
        <f>IF(AND($B$163,U85&lt;=Term_5), '12. Funding Sources'!$N$15, 0)</f>
        <v>0</v>
      </c>
      <c r="V163" s="1404">
        <f>IF(AND($B$163,V85&lt;=Term_5), '12. Funding Sources'!$N$15, 0)</f>
        <v>0</v>
      </c>
      <c r="W163" s="1404">
        <f>IF(AND($B$163,W85&lt;=Term_5), '12. Funding Sources'!$N$15, 0)</f>
        <v>0</v>
      </c>
      <c r="X163" s="1404">
        <f>IF(AND($B$163,X85&lt;=Term_5), '12. Funding Sources'!$N$15, 0)</f>
        <v>0</v>
      </c>
      <c r="Y163" s="1405">
        <f>IF(AND($B$163,Y85&lt;=Term_5), '12. Funding Sources'!$N$15, 0)</f>
        <v>0</v>
      </c>
      <c r="Z163" s="1405">
        <f>IF(AND($B$163,Z85&lt;=Term_5), '12. Funding Sources'!$N$15, 0)</f>
        <v>0</v>
      </c>
      <c r="AA163" s="1405">
        <f>IF(AND($B$163,AA85&lt;=Term_5), '12. Funding Sources'!$N$15, 0)</f>
        <v>0</v>
      </c>
      <c r="AB163" s="1405">
        <f>IF(AND($B$163,AB85&lt;=Term_5), '12. Funding Sources'!$N$15, 0)</f>
        <v>0</v>
      </c>
      <c r="AC163" s="1405">
        <f>IF(AND($B$163,AC85&lt;=Term_5), '12. Funding Sources'!$N$15, 0)</f>
        <v>0</v>
      </c>
      <c r="AD163" s="1405">
        <f>IF(AND($B$163,AD85&lt;=Term_5), '12. Funding Sources'!$N$15, 0)</f>
        <v>0</v>
      </c>
      <c r="AE163" s="1405">
        <f>IF(AND($B$163,AE85&lt;=Term_5), '12. Funding Sources'!$N$15, 0)</f>
        <v>0</v>
      </c>
      <c r="AF163" s="1405">
        <f>IF(AND($B$163,AF85&lt;=Term_5), '12. Funding Sources'!$N$15, 0)</f>
        <v>0</v>
      </c>
      <c r="AG163" s="1405">
        <f>IF(AND($B$163,AG85&lt;=Term_5), '12. Funding Sources'!$N$15, 0)</f>
        <v>0</v>
      </c>
      <c r="AH163" s="1405">
        <f>IF(AND($B$163,AH85&lt;=Term_5), '12. Funding Sources'!$N$15, 0)</f>
        <v>0</v>
      </c>
      <c r="AI163" s="1405">
        <f>IF(AND($B$163,AI85&lt;=Term_5), '12. Funding Sources'!$N$15, 0)</f>
        <v>0</v>
      </c>
      <c r="AJ163" s="1405">
        <f>IF(AND($B$163,AJ85&lt;=Term_5), '12. Funding Sources'!$N$15, 0)</f>
        <v>0</v>
      </c>
      <c r="AK163" s="1405">
        <f>IF(AND($B$163,AK85&lt;=Term_5), '12. Funding Sources'!$N$15, 0)</f>
        <v>0</v>
      </c>
      <c r="AL163" s="1405">
        <f>IF(AND($B$163,AL85&lt;=Term_5), '12. Funding Sources'!$N$15, 0)</f>
        <v>0</v>
      </c>
      <c r="AM163" s="1038"/>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1411"/>
      <c r="C164" s="1403" t="s">
        <v>4786</v>
      </c>
      <c r="D164" s="1406"/>
      <c r="E164" s="1406"/>
      <c r="F164" s="1406"/>
      <c r="G164" s="1406"/>
      <c r="H164" s="1406"/>
      <c r="I164" s="1406"/>
      <c r="J164" s="1406"/>
      <c r="K164" s="1406"/>
      <c r="L164" s="1406"/>
      <c r="M164" s="1406"/>
      <c r="N164" s="1406"/>
      <c r="O164" s="1406"/>
      <c r="P164" s="1406"/>
      <c r="Q164" s="1406"/>
      <c r="R164" s="1406"/>
      <c r="S164" s="1406"/>
      <c r="T164" s="1406"/>
      <c r="U164" s="1406"/>
      <c r="V164" s="1406"/>
      <c r="W164" s="1406"/>
      <c r="X164" s="1406"/>
      <c r="Y164" s="1407"/>
      <c r="Z164" s="1407"/>
      <c r="AA164" s="1407"/>
      <c r="AB164" s="1407"/>
      <c r="AC164" s="1407"/>
      <c r="AD164" s="1407"/>
      <c r="AE164" s="1407"/>
      <c r="AF164" s="1407"/>
      <c r="AG164" s="1407"/>
      <c r="AH164" s="1407"/>
      <c r="AI164" s="1407"/>
      <c r="AJ164" s="1407"/>
      <c r="AK164" s="1407"/>
      <c r="AL164" s="1407"/>
      <c r="AM164" s="1038"/>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1411"/>
      <c r="C165" s="1403" t="s">
        <v>4787</v>
      </c>
      <c r="D165" s="1404">
        <f t="shared" ref="D165:AL165" si="333">+SUM(D163:D164)</f>
        <v>0</v>
      </c>
      <c r="E165" s="1404">
        <f t="shared" si="333"/>
        <v>0</v>
      </c>
      <c r="F165" s="1404">
        <f t="shared" si="333"/>
        <v>0</v>
      </c>
      <c r="G165" s="1404">
        <f t="shared" si="333"/>
        <v>0</v>
      </c>
      <c r="H165" s="1404">
        <f t="shared" si="333"/>
        <v>0</v>
      </c>
      <c r="I165" s="1404">
        <f t="shared" si="333"/>
        <v>0</v>
      </c>
      <c r="J165" s="1404">
        <f t="shared" si="333"/>
        <v>0</v>
      </c>
      <c r="K165" s="1404">
        <f t="shared" si="333"/>
        <v>0</v>
      </c>
      <c r="L165" s="1404">
        <f t="shared" si="333"/>
        <v>0</v>
      </c>
      <c r="M165" s="1404">
        <f t="shared" si="333"/>
        <v>0</v>
      </c>
      <c r="N165" s="1404">
        <f t="shared" si="333"/>
        <v>0</v>
      </c>
      <c r="O165" s="1404">
        <f t="shared" si="333"/>
        <v>0</v>
      </c>
      <c r="P165" s="1404">
        <f t="shared" si="333"/>
        <v>0</v>
      </c>
      <c r="Q165" s="1404">
        <f t="shared" si="333"/>
        <v>0</v>
      </c>
      <c r="R165" s="1404">
        <f t="shared" si="333"/>
        <v>0</v>
      </c>
      <c r="S165" s="1404">
        <f t="shared" si="333"/>
        <v>0</v>
      </c>
      <c r="T165" s="1404">
        <f t="shared" si="333"/>
        <v>0</v>
      </c>
      <c r="U165" s="1404">
        <f t="shared" si="333"/>
        <v>0</v>
      </c>
      <c r="V165" s="1404">
        <f t="shared" si="333"/>
        <v>0</v>
      </c>
      <c r="W165" s="1404">
        <f t="shared" si="333"/>
        <v>0</v>
      </c>
      <c r="X165" s="1404">
        <f t="shared" si="333"/>
        <v>0</v>
      </c>
      <c r="Y165" s="1405">
        <f t="shared" si="333"/>
        <v>0</v>
      </c>
      <c r="Z165" s="1405">
        <f t="shared" si="333"/>
        <v>0</v>
      </c>
      <c r="AA165" s="1405">
        <f t="shared" si="333"/>
        <v>0</v>
      </c>
      <c r="AB165" s="1405">
        <f t="shared" si="333"/>
        <v>0</v>
      </c>
      <c r="AC165" s="1405">
        <f t="shared" si="333"/>
        <v>0</v>
      </c>
      <c r="AD165" s="1405">
        <f t="shared" si="333"/>
        <v>0</v>
      </c>
      <c r="AE165" s="1405">
        <f t="shared" si="333"/>
        <v>0</v>
      </c>
      <c r="AF165" s="1405">
        <f t="shared" si="333"/>
        <v>0</v>
      </c>
      <c r="AG165" s="1405">
        <f t="shared" si="333"/>
        <v>0</v>
      </c>
      <c r="AH165" s="1405">
        <f t="shared" si="333"/>
        <v>0</v>
      </c>
      <c r="AI165" s="1405">
        <f t="shared" si="333"/>
        <v>0</v>
      </c>
      <c r="AJ165" s="1405">
        <f t="shared" si="333"/>
        <v>0</v>
      </c>
      <c r="AK165" s="1405">
        <f t="shared" si="333"/>
        <v>0</v>
      </c>
      <c r="AL165" s="1405">
        <f t="shared" si="333"/>
        <v>0</v>
      </c>
      <c r="AM165" s="1038"/>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1411"/>
      <c r="C166" s="1403" t="s">
        <v>4788</v>
      </c>
      <c r="D166" s="1369">
        <f t="shared" ref="D166:AL166" si="334">IFERROR(+D162/D165,0)</f>
        <v>0</v>
      </c>
      <c r="E166" s="1369">
        <f t="shared" si="334"/>
        <v>0</v>
      </c>
      <c r="F166" s="1369">
        <f t="shared" si="334"/>
        <v>0</v>
      </c>
      <c r="G166" s="1369">
        <f t="shared" si="334"/>
        <v>0</v>
      </c>
      <c r="H166" s="1369">
        <f t="shared" si="334"/>
        <v>0</v>
      </c>
      <c r="I166" s="1369">
        <f t="shared" si="334"/>
        <v>0</v>
      </c>
      <c r="J166" s="1369">
        <f t="shared" si="334"/>
        <v>0</v>
      </c>
      <c r="K166" s="1369">
        <f t="shared" si="334"/>
        <v>0</v>
      </c>
      <c r="L166" s="1369">
        <f t="shared" si="334"/>
        <v>0</v>
      </c>
      <c r="M166" s="1369">
        <f t="shared" si="334"/>
        <v>0</v>
      </c>
      <c r="N166" s="1369">
        <f t="shared" si="334"/>
        <v>0</v>
      </c>
      <c r="O166" s="1369">
        <f t="shared" si="334"/>
        <v>0</v>
      </c>
      <c r="P166" s="1369">
        <f t="shared" si="334"/>
        <v>0</v>
      </c>
      <c r="Q166" s="1369">
        <f t="shared" si="334"/>
        <v>0</v>
      </c>
      <c r="R166" s="1369">
        <f t="shared" si="334"/>
        <v>0</v>
      </c>
      <c r="S166" s="1369">
        <f t="shared" si="334"/>
        <v>0</v>
      </c>
      <c r="T166" s="1369">
        <f t="shared" si="334"/>
        <v>0</v>
      </c>
      <c r="U166" s="1369">
        <f t="shared" si="334"/>
        <v>0</v>
      </c>
      <c r="V166" s="1369">
        <f t="shared" si="334"/>
        <v>0</v>
      </c>
      <c r="W166" s="1369">
        <f t="shared" si="334"/>
        <v>0</v>
      </c>
      <c r="X166" s="1369">
        <f t="shared" si="334"/>
        <v>0</v>
      </c>
      <c r="Y166" s="1369">
        <f t="shared" si="334"/>
        <v>0</v>
      </c>
      <c r="Z166" s="1369">
        <f t="shared" si="334"/>
        <v>0</v>
      </c>
      <c r="AA166" s="1369">
        <f t="shared" si="334"/>
        <v>0</v>
      </c>
      <c r="AB166" s="1369">
        <f t="shared" si="334"/>
        <v>0</v>
      </c>
      <c r="AC166" s="1369">
        <f t="shared" si="334"/>
        <v>0</v>
      </c>
      <c r="AD166" s="1369">
        <f t="shared" si="334"/>
        <v>0</v>
      </c>
      <c r="AE166" s="1369">
        <f t="shared" si="334"/>
        <v>0</v>
      </c>
      <c r="AF166" s="1369">
        <f t="shared" si="334"/>
        <v>0</v>
      </c>
      <c r="AG166" s="1369">
        <f t="shared" si="334"/>
        <v>0</v>
      </c>
      <c r="AH166" s="1369">
        <f t="shared" si="334"/>
        <v>0</v>
      </c>
      <c r="AI166" s="1369">
        <f t="shared" si="334"/>
        <v>0</v>
      </c>
      <c r="AJ166" s="1369">
        <f t="shared" si="334"/>
        <v>0</v>
      </c>
      <c r="AK166" s="1369">
        <f t="shared" si="334"/>
        <v>0</v>
      </c>
      <c r="AL166" s="1369">
        <f t="shared" si="334"/>
        <v>0</v>
      </c>
      <c r="AM166" s="1038"/>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ht="15.75" thickBot="1">
      <c r="B167" s="1411"/>
      <c r="C167" s="1408" t="s">
        <v>4789</v>
      </c>
      <c r="D167" s="1409">
        <f>D162-D163</f>
        <v>0</v>
      </c>
      <c r="E167" s="1409">
        <f t="shared" ref="E167:Y167" si="335">E162-E163</f>
        <v>0</v>
      </c>
      <c r="F167" s="1409">
        <f t="shared" si="335"/>
        <v>0</v>
      </c>
      <c r="G167" s="1409">
        <f t="shared" si="335"/>
        <v>0</v>
      </c>
      <c r="H167" s="1409">
        <f t="shared" si="335"/>
        <v>0</v>
      </c>
      <c r="I167" s="1409">
        <f t="shared" si="335"/>
        <v>0</v>
      </c>
      <c r="J167" s="1409">
        <f t="shared" si="335"/>
        <v>0</v>
      </c>
      <c r="K167" s="1409">
        <f t="shared" si="335"/>
        <v>0</v>
      </c>
      <c r="L167" s="1409">
        <f t="shared" si="335"/>
        <v>0</v>
      </c>
      <c r="M167" s="1409">
        <f t="shared" si="335"/>
        <v>0</v>
      </c>
      <c r="N167" s="1409">
        <f t="shared" si="335"/>
        <v>0</v>
      </c>
      <c r="O167" s="1409">
        <f t="shared" si="335"/>
        <v>0</v>
      </c>
      <c r="P167" s="1409">
        <f t="shared" si="335"/>
        <v>0</v>
      </c>
      <c r="Q167" s="1409">
        <f t="shared" si="335"/>
        <v>0</v>
      </c>
      <c r="R167" s="1409">
        <f t="shared" si="335"/>
        <v>0</v>
      </c>
      <c r="S167" s="1409">
        <f t="shared" si="335"/>
        <v>0</v>
      </c>
      <c r="T167" s="1409">
        <f t="shared" si="335"/>
        <v>0</v>
      </c>
      <c r="U167" s="1409">
        <f t="shared" si="335"/>
        <v>0</v>
      </c>
      <c r="V167" s="1409">
        <f t="shared" si="335"/>
        <v>0</v>
      </c>
      <c r="W167" s="1409">
        <f t="shared" si="335"/>
        <v>0</v>
      </c>
      <c r="X167" s="1409">
        <f t="shared" si="335"/>
        <v>0</v>
      </c>
      <c r="Y167" s="1410">
        <f t="shared" si="335"/>
        <v>0</v>
      </c>
      <c r="Z167" s="1410">
        <f t="shared" ref="Z167:AK167" si="336">Z162-Z163</f>
        <v>0</v>
      </c>
      <c r="AA167" s="1410">
        <f t="shared" si="336"/>
        <v>0</v>
      </c>
      <c r="AB167" s="1410">
        <f t="shared" si="336"/>
        <v>0</v>
      </c>
      <c r="AC167" s="1410">
        <f t="shared" si="336"/>
        <v>0</v>
      </c>
      <c r="AD167" s="1410">
        <f t="shared" si="336"/>
        <v>0</v>
      </c>
      <c r="AE167" s="1410">
        <f t="shared" si="336"/>
        <v>0</v>
      </c>
      <c r="AF167" s="1410">
        <f t="shared" si="336"/>
        <v>0</v>
      </c>
      <c r="AG167" s="1410">
        <f t="shared" si="336"/>
        <v>0</v>
      </c>
      <c r="AH167" s="1410">
        <f t="shared" si="336"/>
        <v>0</v>
      </c>
      <c r="AI167" s="1410">
        <f t="shared" si="336"/>
        <v>0</v>
      </c>
      <c r="AJ167" s="1410">
        <f t="shared" si="336"/>
        <v>0</v>
      </c>
      <c r="AK167" s="1410">
        <f t="shared" si="336"/>
        <v>0</v>
      </c>
      <c r="AL167" s="1410">
        <f>AL162-AL163</f>
        <v>0</v>
      </c>
      <c r="AM167" s="1038"/>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1286"/>
      <c r="C168" s="1027"/>
      <c r="D168" s="1027"/>
      <c r="E168" s="1027"/>
      <c r="F168" s="1027"/>
      <c r="G168" s="1027"/>
      <c r="H168" s="1027"/>
      <c r="I168" s="1027"/>
      <c r="J168" s="1027"/>
      <c r="K168" s="1027"/>
      <c r="L168" s="1027"/>
      <c r="M168" s="1027"/>
      <c r="N168" s="1027"/>
      <c r="O168" s="1027"/>
      <c r="P168" s="1027"/>
      <c r="Q168" s="1027"/>
      <c r="R168" s="1027"/>
      <c r="S168" s="1027"/>
      <c r="T168" s="1027"/>
      <c r="U168" s="1027"/>
      <c r="V168" s="1027"/>
      <c r="W168" s="1027"/>
      <c r="X168" s="1027"/>
      <c r="Y168" s="1027"/>
      <c r="Z168" s="1027"/>
      <c r="AA168" s="1027"/>
      <c r="AB168" s="1027"/>
      <c r="AC168" s="1027"/>
      <c r="AD168" s="1027"/>
      <c r="AE168" s="1027"/>
      <c r="AF168" s="1027"/>
      <c r="AG168" s="1027"/>
      <c r="AH168" s="1027"/>
      <c r="AI168" s="1027"/>
      <c r="AJ168" s="1027"/>
      <c r="AK168" s="1027"/>
      <c r="AL168" s="1027"/>
      <c r="AM168" s="1038"/>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ht="18.75">
      <c r="B169" s="1020" t="s">
        <v>3541</v>
      </c>
      <c r="C169" s="996"/>
      <c r="D169" s="996"/>
      <c r="E169" s="996"/>
      <c r="F169" s="996"/>
      <c r="G169" s="996"/>
      <c r="H169" s="996"/>
      <c r="I169" s="3"/>
      <c r="J169" s="996"/>
      <c r="K169" s="996"/>
      <c r="L169" s="996"/>
      <c r="M169" s="996"/>
      <c r="N169" s="996"/>
      <c r="O169" s="996"/>
      <c r="P169" s="996"/>
      <c r="Q169" s="996"/>
      <c r="R169" s="996"/>
      <c r="S169" s="996"/>
      <c r="T169" s="996"/>
      <c r="U169" s="996"/>
      <c r="V169" s="996"/>
      <c r="W169" s="996"/>
      <c r="X169" s="996"/>
      <c r="Y169" s="996"/>
      <c r="Z169" s="996"/>
      <c r="AA169" s="996"/>
      <c r="AB169" s="996"/>
      <c r="AC169" s="996"/>
      <c r="AD169" s="996"/>
      <c r="AE169" s="996"/>
      <c r="AF169" s="996"/>
      <c r="AG169" s="996"/>
      <c r="AH169" s="996"/>
      <c r="AI169" s="996"/>
      <c r="AJ169" s="996"/>
      <c r="AK169" s="996"/>
      <c r="AL169" s="996"/>
      <c r="AM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1116"/>
      <c r="C170" s="1116"/>
      <c r="D170" s="1116"/>
      <c r="E170" s="1116"/>
      <c r="F170" s="1116"/>
      <c r="G170" s="1116"/>
      <c r="H170" s="1116"/>
      <c r="I170" s="1116"/>
      <c r="J170" s="1116"/>
      <c r="K170" s="1116"/>
      <c r="L170" s="1116"/>
      <c r="M170" s="1116"/>
      <c r="N170" s="1116"/>
      <c r="O170" s="1116"/>
      <c r="P170" s="1116"/>
      <c r="Q170" s="1116"/>
      <c r="R170" s="1116"/>
      <c r="S170" s="1116"/>
      <c r="T170" s="1116"/>
      <c r="U170" s="996"/>
      <c r="V170" s="996"/>
      <c r="W170" s="996"/>
      <c r="X170" s="996"/>
      <c r="Y170" s="996"/>
      <c r="Z170" s="996"/>
      <c r="AA170" s="996"/>
      <c r="AB170" s="996"/>
      <c r="AC170" s="996"/>
      <c r="AD170" s="996"/>
      <c r="AE170" s="996"/>
      <c r="AF170" s="996"/>
      <c r="AG170" s="996"/>
      <c r="AH170" s="996"/>
      <c r="AI170" s="996"/>
      <c r="AJ170" s="996"/>
      <c r="AK170" s="996"/>
      <c r="AL170" s="996"/>
      <c r="AM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1169"/>
      <c r="C171" s="2331" t="s">
        <v>4790</v>
      </c>
      <c r="D171" s="2332"/>
      <c r="E171" s="2332"/>
      <c r="F171" s="2333"/>
      <c r="G171" s="1116"/>
      <c r="H171" s="1116"/>
      <c r="I171" s="1116"/>
      <c r="J171" s="1116"/>
      <c r="K171" s="1116"/>
      <c r="L171" s="1116"/>
      <c r="M171" s="1116"/>
      <c r="N171" s="1116"/>
      <c r="O171" s="1116"/>
      <c r="P171" s="1116"/>
      <c r="Q171" s="1116"/>
      <c r="R171" s="1116"/>
      <c r="S171" s="1116"/>
      <c r="T171" s="1116"/>
      <c r="U171" s="996"/>
      <c r="V171" s="996"/>
      <c r="W171" s="996"/>
      <c r="X171" s="996"/>
      <c r="Y171" s="996"/>
      <c r="Z171" s="996"/>
      <c r="AA171" s="996"/>
      <c r="AB171" s="996"/>
      <c r="AC171" s="996"/>
      <c r="AD171" s="996"/>
      <c r="AE171" s="996"/>
      <c r="AF171" s="996"/>
      <c r="AG171" s="996"/>
      <c r="AH171" s="996"/>
      <c r="AI171" s="996"/>
      <c r="AJ171" s="996"/>
      <c r="AK171" s="996"/>
      <c r="AL171" s="996"/>
      <c r="AM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1169"/>
      <c r="C172" s="1338" t="s">
        <v>4791</v>
      </c>
      <c r="D172" s="1339"/>
      <c r="E172" s="1340"/>
      <c r="F172" s="1021">
        <v>0</v>
      </c>
      <c r="G172" s="1116"/>
      <c r="H172" s="1116"/>
      <c r="I172" s="1116"/>
      <c r="J172" s="1116"/>
      <c r="K172" s="1116"/>
      <c r="L172" s="1116"/>
      <c r="M172" s="1116"/>
      <c r="N172" s="1116"/>
      <c r="O172" s="1116"/>
      <c r="P172" s="1116"/>
      <c r="Q172" s="1116"/>
      <c r="R172" s="1116"/>
      <c r="S172" s="1116"/>
      <c r="T172" s="1116"/>
      <c r="U172" s="996"/>
      <c r="V172" s="996"/>
      <c r="W172" s="996"/>
      <c r="X172" s="996"/>
      <c r="Y172" s="996"/>
      <c r="Z172" s="996"/>
      <c r="AA172" s="996"/>
      <c r="AB172" s="996"/>
      <c r="AC172" s="996"/>
      <c r="AD172" s="996"/>
      <c r="AE172" s="996"/>
      <c r="AF172" s="996"/>
      <c r="AG172" s="996"/>
      <c r="AH172" s="996"/>
      <c r="AI172" s="996"/>
      <c r="AJ172" s="996"/>
      <c r="AK172" s="996"/>
      <c r="AL172" s="996"/>
      <c r="AM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1169"/>
      <c r="C173" s="1338" t="s">
        <v>4792</v>
      </c>
      <c r="D173" s="1339"/>
      <c r="E173" s="1340"/>
      <c r="F173" s="1341">
        <f>Annual_Replacement_Reserve</f>
        <v>0</v>
      </c>
      <c r="G173" s="1116"/>
      <c r="H173" s="1116"/>
      <c r="I173" s="1116"/>
      <c r="J173" s="1116"/>
      <c r="K173" s="1116"/>
      <c r="L173" s="1116"/>
      <c r="M173" s="1116"/>
      <c r="N173" s="1116"/>
      <c r="O173" s="1116"/>
      <c r="P173" s="1116"/>
      <c r="Q173" s="1116"/>
      <c r="R173" s="1116"/>
      <c r="S173" s="1116"/>
      <c r="T173" s="1116"/>
      <c r="U173" s="996"/>
      <c r="V173" s="996"/>
      <c r="W173" s="996"/>
      <c r="X173" s="996"/>
      <c r="Y173" s="996"/>
      <c r="Z173" s="996"/>
      <c r="AA173" s="996"/>
      <c r="AB173" s="996"/>
      <c r="AC173" s="996"/>
      <c r="AD173" s="996"/>
      <c r="AE173" s="996"/>
      <c r="AF173" s="996"/>
      <c r="AG173" s="996"/>
      <c r="AH173" s="996"/>
      <c r="AI173" s="996"/>
      <c r="AJ173" s="996"/>
      <c r="AK173" s="996"/>
      <c r="AL173" s="996"/>
      <c r="AM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1169"/>
      <c r="C174" s="1342" t="s">
        <v>4793</v>
      </c>
      <c r="D174" s="1343"/>
      <c r="E174" s="1344"/>
      <c r="F174" s="1345">
        <v>0</v>
      </c>
      <c r="G174" s="1116"/>
      <c r="H174" s="1116"/>
      <c r="I174" s="1116"/>
      <c r="J174" s="1116"/>
      <c r="K174" s="1116"/>
      <c r="L174" s="1116"/>
      <c r="M174" s="1116"/>
      <c r="N174" s="1116"/>
      <c r="O174" s="1116"/>
      <c r="P174" s="1116"/>
      <c r="Q174" s="1116"/>
      <c r="R174" s="1116"/>
      <c r="S174" s="1116"/>
      <c r="T174" s="1116"/>
      <c r="U174" s="996"/>
      <c r="V174" s="996"/>
      <c r="W174" s="996"/>
      <c r="X174" s="996"/>
      <c r="Y174" s="996"/>
      <c r="Z174" s="996"/>
      <c r="AA174" s="996"/>
      <c r="AB174" s="996"/>
      <c r="AC174" s="996"/>
      <c r="AD174" s="996"/>
      <c r="AE174" s="996"/>
      <c r="AF174" s="996"/>
      <c r="AG174" s="996"/>
      <c r="AH174" s="996"/>
      <c r="AI174" s="996"/>
      <c r="AJ174" s="996"/>
      <c r="AK174" s="996"/>
      <c r="AL174" s="996"/>
      <c r="AM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1169"/>
      <c r="C175" s="1338" t="s">
        <v>4794</v>
      </c>
      <c r="D175" s="1339"/>
      <c r="E175" s="1340"/>
      <c r="F175" s="1341">
        <f>PC_CAP_Replacement_Reserves_Total</f>
        <v>0</v>
      </c>
      <c r="G175" s="1116"/>
      <c r="H175" s="1116"/>
      <c r="I175" s="1116"/>
      <c r="J175" s="1116"/>
      <c r="K175" s="1116"/>
      <c r="L175" s="1116"/>
      <c r="M175" s="1116"/>
      <c r="N175" s="1116"/>
      <c r="O175" s="1116"/>
      <c r="P175" s="1116"/>
      <c r="Q175" s="1116"/>
      <c r="R175" s="1116"/>
      <c r="S175" s="1116"/>
      <c r="T175" s="1116"/>
      <c r="U175" s="996"/>
      <c r="V175" s="996"/>
      <c r="W175" s="996"/>
      <c r="X175" s="996"/>
      <c r="Y175" s="996"/>
      <c r="Z175" s="996"/>
      <c r="AA175" s="996"/>
      <c r="AB175" s="996"/>
      <c r="AC175" s="996"/>
      <c r="AD175" s="996"/>
      <c r="AE175" s="996"/>
      <c r="AF175" s="996"/>
      <c r="AG175" s="996"/>
      <c r="AH175" s="996"/>
      <c r="AI175" s="996"/>
      <c r="AJ175" s="996"/>
      <c r="AK175" s="996"/>
      <c r="AL175" s="996"/>
      <c r="AM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1170"/>
      <c r="C176" s="1346"/>
      <c r="D176" s="1346"/>
      <c r="E176" s="1346"/>
      <c r="F176" s="1347"/>
      <c r="G176" s="1116"/>
      <c r="H176" s="1116"/>
      <c r="I176" s="1116"/>
      <c r="J176" s="1116"/>
      <c r="K176" s="1116"/>
      <c r="L176" s="1116"/>
      <c r="M176" s="1116"/>
      <c r="N176" s="1116"/>
      <c r="O176" s="1116"/>
      <c r="P176" s="1116"/>
      <c r="Q176" s="1116"/>
      <c r="R176" s="1116"/>
      <c r="S176" s="1116"/>
      <c r="T176" s="1116"/>
      <c r="U176" s="996"/>
      <c r="V176" s="996"/>
      <c r="W176" s="996"/>
      <c r="X176" s="996"/>
      <c r="Y176" s="996"/>
      <c r="Z176" s="996"/>
      <c r="AA176" s="996"/>
      <c r="AB176" s="996"/>
      <c r="AC176" s="996"/>
      <c r="AD176" s="996"/>
      <c r="AE176" s="996"/>
      <c r="AF176" s="996"/>
      <c r="AG176" s="996"/>
      <c r="AH176" s="996"/>
      <c r="AI176" s="996"/>
      <c r="AJ176" s="996"/>
      <c r="AK176" s="996"/>
      <c r="AL176" s="996"/>
      <c r="AM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39">
      <c r="B177" s="1170"/>
      <c r="C177" s="1348" t="s">
        <v>4795</v>
      </c>
      <c r="D177" s="1348" t="s">
        <v>4796</v>
      </c>
      <c r="E177" s="1349">
        <v>1</v>
      </c>
      <c r="F177" s="1349">
        <v>2</v>
      </c>
      <c r="G177" s="1349">
        <v>3</v>
      </c>
      <c r="H177" s="1349">
        <v>4</v>
      </c>
      <c r="I177" s="1349">
        <v>5</v>
      </c>
      <c r="J177" s="1349">
        <v>6</v>
      </c>
      <c r="K177" s="1349">
        <v>7</v>
      </c>
      <c r="L177" s="1349">
        <v>8</v>
      </c>
      <c r="M177" s="1349">
        <v>9</v>
      </c>
      <c r="N177" s="1349">
        <v>10</v>
      </c>
      <c r="O177" s="1349">
        <v>11</v>
      </c>
      <c r="P177" s="1349">
        <v>12</v>
      </c>
      <c r="Q177" s="1349">
        <v>13</v>
      </c>
      <c r="R177" s="1349">
        <v>14</v>
      </c>
      <c r="S177" s="1349">
        <v>15</v>
      </c>
      <c r="T177" s="1116"/>
      <c r="U177" s="996"/>
      <c r="V177" s="996"/>
      <c r="W177" s="996"/>
      <c r="X177" s="996"/>
      <c r="Y177" s="996"/>
      <c r="Z177" s="996"/>
      <c r="AA177" s="996"/>
      <c r="AB177" s="996"/>
      <c r="AC177" s="996"/>
      <c r="AD177" s="996"/>
      <c r="AE177" s="996"/>
      <c r="AF177" s="996"/>
      <c r="AG177" s="996"/>
      <c r="AH177" s="996"/>
      <c r="AI177" s="996"/>
      <c r="AJ177" s="996"/>
      <c r="AK177" s="996"/>
      <c r="AL177" s="996"/>
      <c r="AM177" s="9"/>
    </row>
    <row r="178" spans="2:39">
      <c r="B178" s="1126"/>
      <c r="C178" s="1350" t="s">
        <v>4797</v>
      </c>
      <c r="D178" s="1351">
        <f>'17. Cash Flow and Reserves'!F175</f>
        <v>0</v>
      </c>
      <c r="E178" s="1351">
        <f t="shared" ref="E178:S178" si="337">D182</f>
        <v>0</v>
      </c>
      <c r="F178" s="1351">
        <f t="shared" si="337"/>
        <v>0</v>
      </c>
      <c r="G178" s="1351">
        <f t="shared" si="337"/>
        <v>0</v>
      </c>
      <c r="H178" s="1351">
        <f t="shared" si="337"/>
        <v>0</v>
      </c>
      <c r="I178" s="1352">
        <f t="shared" si="337"/>
        <v>0</v>
      </c>
      <c r="J178" s="1351">
        <f t="shared" si="337"/>
        <v>0</v>
      </c>
      <c r="K178" s="1351">
        <f t="shared" si="337"/>
        <v>0</v>
      </c>
      <c r="L178" s="1351">
        <f t="shared" si="337"/>
        <v>0</v>
      </c>
      <c r="M178" s="1351">
        <f t="shared" si="337"/>
        <v>0</v>
      </c>
      <c r="N178" s="1351">
        <f t="shared" si="337"/>
        <v>0</v>
      </c>
      <c r="O178" s="1351">
        <f t="shared" si="337"/>
        <v>0</v>
      </c>
      <c r="P178" s="1351">
        <f t="shared" si="337"/>
        <v>0</v>
      </c>
      <c r="Q178" s="1351">
        <f t="shared" si="337"/>
        <v>0</v>
      </c>
      <c r="R178" s="1351">
        <f t="shared" si="337"/>
        <v>0</v>
      </c>
      <c r="S178" s="1351">
        <f t="shared" si="337"/>
        <v>0</v>
      </c>
      <c r="T178" s="1116"/>
      <c r="U178" s="996"/>
      <c r="V178" s="996"/>
      <c r="W178" s="996"/>
      <c r="X178" s="996"/>
      <c r="Y178" s="996"/>
      <c r="Z178" s="996"/>
      <c r="AA178" s="996"/>
      <c r="AB178" s="996"/>
      <c r="AC178" s="996"/>
      <c r="AD178" s="996"/>
      <c r="AE178" s="996"/>
      <c r="AF178" s="996"/>
      <c r="AG178" s="996"/>
      <c r="AH178" s="996"/>
      <c r="AI178" s="996"/>
      <c r="AJ178" s="996"/>
      <c r="AK178" s="996"/>
      <c r="AL178" s="996"/>
      <c r="AM178" s="9"/>
    </row>
    <row r="179" spans="2:39">
      <c r="B179" s="1126"/>
      <c r="C179" s="1350" t="s">
        <v>4798</v>
      </c>
      <c r="D179" s="1351">
        <f>'17. Cash Flow and Reserves'!$F$172*D178</f>
        <v>0</v>
      </c>
      <c r="E179" s="1351">
        <f>'17. Cash Flow and Reserves'!$F$172*E178</f>
        <v>0</v>
      </c>
      <c r="F179" s="1351">
        <f>'17. Cash Flow and Reserves'!$F$172*F178</f>
        <v>0</v>
      </c>
      <c r="G179" s="1351">
        <f>'17. Cash Flow and Reserves'!$F$172*G178</f>
        <v>0</v>
      </c>
      <c r="H179" s="1351">
        <f>'17. Cash Flow and Reserves'!$F$172*H178</f>
        <v>0</v>
      </c>
      <c r="I179" s="1352">
        <f>'17. Cash Flow and Reserves'!$F$172*I178</f>
        <v>0</v>
      </c>
      <c r="J179" s="1351">
        <f>'17. Cash Flow and Reserves'!$F$172*J178</f>
        <v>0</v>
      </c>
      <c r="K179" s="1351">
        <f>'17. Cash Flow and Reserves'!$F$172*K178</f>
        <v>0</v>
      </c>
      <c r="L179" s="1351">
        <f>'17. Cash Flow and Reserves'!$F$172*L178</f>
        <v>0</v>
      </c>
      <c r="M179" s="1351">
        <f>'17. Cash Flow and Reserves'!$F$172*M178</f>
        <v>0</v>
      </c>
      <c r="N179" s="1351">
        <f>'17. Cash Flow and Reserves'!$F$172*N178</f>
        <v>0</v>
      </c>
      <c r="O179" s="1351">
        <f>'17. Cash Flow and Reserves'!$F$172*O178</f>
        <v>0</v>
      </c>
      <c r="P179" s="1351">
        <f>'17. Cash Flow and Reserves'!$F$172*P178</f>
        <v>0</v>
      </c>
      <c r="Q179" s="1351">
        <f>'17. Cash Flow and Reserves'!$F$172*Q178</f>
        <v>0</v>
      </c>
      <c r="R179" s="1351">
        <f>'17. Cash Flow and Reserves'!$F$172*R178</f>
        <v>0</v>
      </c>
      <c r="S179" s="1351">
        <f>'17. Cash Flow and Reserves'!$F$172*S178</f>
        <v>0</v>
      </c>
      <c r="T179" s="1116"/>
      <c r="U179" s="996"/>
      <c r="V179" s="996"/>
      <c r="W179" s="996"/>
      <c r="X179" s="996"/>
      <c r="Y179" s="996"/>
      <c r="Z179" s="996"/>
      <c r="AA179" s="996"/>
      <c r="AB179" s="996"/>
      <c r="AC179" s="996"/>
      <c r="AD179" s="996"/>
      <c r="AE179" s="996"/>
      <c r="AF179" s="996"/>
      <c r="AG179" s="996"/>
      <c r="AH179" s="996"/>
      <c r="AI179" s="996"/>
      <c r="AJ179" s="996"/>
      <c r="AK179" s="996"/>
      <c r="AL179" s="996"/>
      <c r="AM179" s="9"/>
    </row>
    <row r="180" spans="2:39">
      <c r="B180" s="1126"/>
      <c r="C180" s="1350" t="s">
        <v>4799</v>
      </c>
      <c r="D180" s="1351">
        <f>'17. Cash Flow and Reserves'!F173</f>
        <v>0</v>
      </c>
      <c r="E180" s="1351">
        <f>D180*(100%+'17. Cash Flow and Reserves'!$F$174)</f>
        <v>0</v>
      </c>
      <c r="F180" s="1351">
        <f>E180*(100%+'17. Cash Flow and Reserves'!$F$174)</f>
        <v>0</v>
      </c>
      <c r="G180" s="1351">
        <f>F180*(100%+'17. Cash Flow and Reserves'!$F$174)</f>
        <v>0</v>
      </c>
      <c r="H180" s="1351">
        <f>G180*(100%+'17. Cash Flow and Reserves'!$F$174)</f>
        <v>0</v>
      </c>
      <c r="I180" s="1352">
        <f>H180*(100%+'17. Cash Flow and Reserves'!$F$174)</f>
        <v>0</v>
      </c>
      <c r="J180" s="1351">
        <f>I180*(100%+'17. Cash Flow and Reserves'!$F$174)</f>
        <v>0</v>
      </c>
      <c r="K180" s="1351">
        <f>J180*(100%+'17. Cash Flow and Reserves'!$F$174)</f>
        <v>0</v>
      </c>
      <c r="L180" s="1351">
        <f>K180*(100%+'17. Cash Flow and Reserves'!$F$174)</f>
        <v>0</v>
      </c>
      <c r="M180" s="1351">
        <f>L180*(100%+'17. Cash Flow and Reserves'!$F$174)</f>
        <v>0</v>
      </c>
      <c r="N180" s="1351">
        <f>M180*(100%+'17. Cash Flow and Reserves'!$F$174)</f>
        <v>0</v>
      </c>
      <c r="O180" s="1351">
        <f>N180*(100%+'17. Cash Flow and Reserves'!$F$174)</f>
        <v>0</v>
      </c>
      <c r="P180" s="1351">
        <f>O180*(100%+'17. Cash Flow and Reserves'!$F$174)</f>
        <v>0</v>
      </c>
      <c r="Q180" s="1351">
        <f>P180*(100%+'17. Cash Flow and Reserves'!$F$174)</f>
        <v>0</v>
      </c>
      <c r="R180" s="1351">
        <f>Q180*(100%+'17. Cash Flow and Reserves'!$F$174)</f>
        <v>0</v>
      </c>
      <c r="S180" s="1351">
        <f>R180*(100%+'17. Cash Flow and Reserves'!$F$174)</f>
        <v>0</v>
      </c>
      <c r="T180" s="1116"/>
      <c r="U180" s="996"/>
      <c r="V180" s="996"/>
      <c r="W180" s="996"/>
      <c r="X180" s="996"/>
      <c r="Y180" s="996"/>
      <c r="Z180" s="996"/>
      <c r="AA180" s="996"/>
      <c r="AB180" s="996"/>
      <c r="AC180" s="996"/>
      <c r="AD180" s="996"/>
      <c r="AE180" s="996"/>
      <c r="AF180" s="996"/>
      <c r="AG180" s="996"/>
      <c r="AH180" s="996"/>
      <c r="AI180" s="996"/>
      <c r="AJ180" s="996"/>
      <c r="AK180" s="996"/>
      <c r="AL180" s="996"/>
      <c r="AM180" s="9"/>
    </row>
    <row r="181" spans="2:39">
      <c r="B181" s="1126"/>
      <c r="C181" s="1350" t="s">
        <v>4800</v>
      </c>
      <c r="D181" s="1353"/>
      <c r="E181" s="1353"/>
      <c r="F181" s="1353"/>
      <c r="G181" s="1353"/>
      <c r="H181" s="1353"/>
      <c r="I181" s="1353"/>
      <c r="J181" s="1353"/>
      <c r="K181" s="1353"/>
      <c r="L181" s="1353"/>
      <c r="M181" s="1353"/>
      <c r="N181" s="1353"/>
      <c r="O181" s="1353"/>
      <c r="P181" s="1353"/>
      <c r="Q181" s="1353"/>
      <c r="R181" s="1353"/>
      <c r="S181" s="1353"/>
      <c r="T181" s="1116"/>
      <c r="U181" s="996"/>
      <c r="V181" s="996"/>
      <c r="W181" s="996"/>
      <c r="X181" s="996"/>
      <c r="Y181" s="996"/>
      <c r="Z181" s="996"/>
      <c r="AA181" s="996"/>
      <c r="AB181" s="996"/>
      <c r="AC181" s="996"/>
      <c r="AD181" s="996"/>
      <c r="AE181" s="996"/>
      <c r="AF181" s="996"/>
      <c r="AG181" s="996"/>
      <c r="AH181" s="996"/>
      <c r="AI181" s="996"/>
      <c r="AJ181" s="996"/>
      <c r="AK181" s="996"/>
      <c r="AL181" s="996"/>
      <c r="AM181" s="9"/>
    </row>
    <row r="182" spans="2:39">
      <c r="B182" s="1126"/>
      <c r="C182" s="1350" t="s">
        <v>4801</v>
      </c>
      <c r="D182" s="1351">
        <f>D178+D179+D180-D181</f>
        <v>0</v>
      </c>
      <c r="E182" s="1351">
        <f>E178+E179+E180-E181</f>
        <v>0</v>
      </c>
      <c r="F182" s="1351">
        <f t="shared" ref="F182:S182" si="338">F178+F179+F180-F181</f>
        <v>0</v>
      </c>
      <c r="G182" s="1351">
        <f t="shared" si="338"/>
        <v>0</v>
      </c>
      <c r="H182" s="1351">
        <f t="shared" si="338"/>
        <v>0</v>
      </c>
      <c r="I182" s="1351">
        <f t="shared" si="338"/>
        <v>0</v>
      </c>
      <c r="J182" s="1351">
        <f t="shared" si="338"/>
        <v>0</v>
      </c>
      <c r="K182" s="1351">
        <f t="shared" si="338"/>
        <v>0</v>
      </c>
      <c r="L182" s="1351">
        <f t="shared" si="338"/>
        <v>0</v>
      </c>
      <c r="M182" s="1351">
        <f t="shared" si="338"/>
        <v>0</v>
      </c>
      <c r="N182" s="1351">
        <f t="shared" si="338"/>
        <v>0</v>
      </c>
      <c r="O182" s="1351">
        <f t="shared" si="338"/>
        <v>0</v>
      </c>
      <c r="P182" s="1351">
        <f t="shared" si="338"/>
        <v>0</v>
      </c>
      <c r="Q182" s="1351">
        <f t="shared" si="338"/>
        <v>0</v>
      </c>
      <c r="R182" s="1351">
        <f t="shared" si="338"/>
        <v>0</v>
      </c>
      <c r="S182" s="1351">
        <f t="shared" si="338"/>
        <v>0</v>
      </c>
      <c r="T182" s="1116"/>
      <c r="U182" s="996"/>
      <c r="V182" s="996"/>
      <c r="W182" s="996"/>
      <c r="X182" s="996"/>
      <c r="Y182" s="996"/>
      <c r="Z182" s="996"/>
      <c r="AA182" s="996"/>
      <c r="AB182" s="996"/>
      <c r="AC182" s="996"/>
      <c r="AD182" s="996"/>
      <c r="AE182" s="996"/>
      <c r="AF182" s="996"/>
      <c r="AG182" s="996"/>
      <c r="AH182" s="996"/>
      <c r="AI182" s="996"/>
      <c r="AJ182" s="996"/>
      <c r="AK182" s="996"/>
      <c r="AL182" s="996"/>
      <c r="AM182" s="9"/>
    </row>
    <row r="183" spans="2:39">
      <c r="B183" s="1054"/>
      <c r="C183" s="1116"/>
      <c r="D183" s="1116"/>
      <c r="E183" s="1116"/>
      <c r="F183" s="1116"/>
      <c r="G183" s="1116"/>
      <c r="H183" s="1116"/>
      <c r="I183" s="1116"/>
      <c r="J183" s="1116"/>
      <c r="K183" s="1116"/>
      <c r="L183" s="1116"/>
      <c r="M183" s="1116"/>
      <c r="N183" s="1116"/>
      <c r="O183" s="1116"/>
      <c r="P183" s="1116"/>
      <c r="Q183" s="1116"/>
      <c r="R183" s="1116"/>
      <c r="S183" s="1116"/>
      <c r="T183" s="1116"/>
      <c r="U183" s="996"/>
      <c r="V183" s="996"/>
      <c r="W183" s="996"/>
      <c r="X183" s="996"/>
      <c r="Y183" s="996"/>
      <c r="Z183" s="996"/>
      <c r="AA183" s="996"/>
      <c r="AB183" s="996"/>
      <c r="AC183" s="996"/>
      <c r="AD183" s="996"/>
      <c r="AE183" s="996"/>
      <c r="AF183" s="996"/>
      <c r="AG183" s="996"/>
      <c r="AH183" s="996"/>
      <c r="AI183" s="996"/>
      <c r="AJ183" s="996"/>
      <c r="AK183" s="996"/>
      <c r="AL183" s="996"/>
      <c r="AM183" s="9"/>
    </row>
    <row r="184" spans="2:39">
      <c r="B184" s="545"/>
      <c r="C184" s="996"/>
      <c r="D184" s="996"/>
      <c r="E184" s="996"/>
      <c r="F184" s="996"/>
      <c r="G184" s="996"/>
      <c r="H184" s="996"/>
      <c r="I184" s="3"/>
      <c r="J184" s="996"/>
      <c r="K184" s="996"/>
      <c r="L184" s="996"/>
      <c r="M184" s="996"/>
      <c r="N184" s="996"/>
      <c r="O184" s="996"/>
      <c r="P184" s="996"/>
      <c r="Q184" s="996"/>
      <c r="R184" s="996"/>
      <c r="S184" s="996"/>
      <c r="T184" s="996"/>
      <c r="U184" s="996"/>
      <c r="V184" s="996"/>
      <c r="W184" s="996"/>
      <c r="X184" s="996"/>
      <c r="Y184" s="996"/>
      <c r="Z184" s="996"/>
      <c r="AA184" s="996"/>
      <c r="AB184" s="996"/>
      <c r="AC184" s="996"/>
      <c r="AD184" s="996"/>
      <c r="AE184" s="996"/>
      <c r="AF184" s="996"/>
      <c r="AG184" s="996"/>
      <c r="AH184" s="996"/>
      <c r="AI184" s="996"/>
      <c r="AJ184" s="996"/>
      <c r="AK184" s="996"/>
      <c r="AL184" s="996"/>
      <c r="AM184" s="9"/>
    </row>
    <row r="185" spans="2:39" ht="18.75">
      <c r="B185" s="1014" t="s">
        <v>1055</v>
      </c>
      <c r="C185" s="9"/>
      <c r="D185" s="1022"/>
      <c r="E185" s="1022"/>
      <c r="F185" s="995"/>
      <c r="G185" s="1006"/>
      <c r="H185" s="1006"/>
      <c r="I185" s="1289"/>
      <c r="J185" s="995"/>
      <c r="K185" s="996"/>
      <c r="L185" s="996"/>
      <c r="M185" s="996"/>
      <c r="N185" s="996"/>
      <c r="O185" s="996"/>
      <c r="P185" s="996"/>
      <c r="Q185" s="996"/>
      <c r="R185" s="996"/>
      <c r="S185" s="996"/>
      <c r="T185" s="996"/>
      <c r="U185" s="996"/>
      <c r="V185" s="996"/>
      <c r="W185" s="996"/>
      <c r="X185" s="996"/>
      <c r="Y185" s="996"/>
      <c r="Z185" s="996"/>
      <c r="AA185" s="996"/>
      <c r="AB185" s="996"/>
      <c r="AC185" s="996"/>
      <c r="AD185" s="996"/>
      <c r="AE185" s="996"/>
      <c r="AF185" s="996"/>
      <c r="AG185" s="996"/>
      <c r="AH185" s="996"/>
      <c r="AI185" s="996"/>
      <c r="AJ185" s="996"/>
      <c r="AK185" s="996"/>
      <c r="AL185" s="996"/>
      <c r="AM185" s="9"/>
    </row>
    <row r="186" spans="2:39">
      <c r="B186" s="1126"/>
      <c r="C186" s="1171" t="s">
        <v>4802</v>
      </c>
      <c r="D186" s="1171"/>
      <c r="E186" s="1167"/>
      <c r="F186" s="1167"/>
      <c r="G186" s="1167"/>
      <c r="H186" s="1167"/>
      <c r="I186" s="1116"/>
      <c r="J186" s="1167"/>
      <c r="K186" s="1167"/>
      <c r="L186" s="1167"/>
      <c r="M186" s="1167"/>
      <c r="N186" s="1167"/>
      <c r="O186" s="1167"/>
      <c r="P186" s="1167"/>
      <c r="Q186" s="1167"/>
      <c r="R186" s="1167"/>
      <c r="S186" s="1167"/>
      <c r="T186" s="1167"/>
      <c r="U186" s="996"/>
      <c r="V186" s="996"/>
      <c r="W186" s="996"/>
      <c r="X186" s="996"/>
      <c r="Y186" s="996"/>
      <c r="Z186" s="996"/>
      <c r="AA186" s="996"/>
      <c r="AB186" s="996"/>
      <c r="AC186" s="996"/>
      <c r="AD186" s="996"/>
      <c r="AE186" s="996"/>
      <c r="AF186" s="996"/>
      <c r="AG186" s="996"/>
      <c r="AH186" s="996"/>
      <c r="AI186" s="996"/>
      <c r="AJ186" s="996"/>
      <c r="AK186" s="996"/>
      <c r="AL186" s="996"/>
      <c r="AM186" s="9"/>
    </row>
    <row r="187" spans="2:39">
      <c r="B187" s="1126"/>
      <c r="C187" s="2330"/>
      <c r="D187" s="2330"/>
      <c r="E187" s="2330"/>
      <c r="F187" s="2330"/>
      <c r="G187" s="2330"/>
      <c r="H187" s="2330"/>
      <c r="I187" s="1116"/>
      <c r="J187" s="1167"/>
      <c r="K187" s="1167"/>
      <c r="L187" s="1167"/>
      <c r="M187" s="1167"/>
      <c r="N187" s="1167"/>
      <c r="O187" s="1167"/>
      <c r="P187" s="1167"/>
      <c r="Q187" s="1167"/>
      <c r="R187" s="1167"/>
      <c r="S187" s="1167"/>
      <c r="T187" s="1167"/>
      <c r="U187" s="996"/>
      <c r="V187" s="996"/>
      <c r="W187" s="996"/>
      <c r="X187" s="996"/>
      <c r="Y187" s="996"/>
      <c r="Z187" s="996"/>
      <c r="AA187" s="996"/>
      <c r="AB187" s="996"/>
      <c r="AC187" s="996"/>
      <c r="AD187" s="996"/>
      <c r="AE187" s="996"/>
      <c r="AF187" s="996"/>
      <c r="AG187" s="996"/>
      <c r="AH187" s="996"/>
      <c r="AI187" s="996"/>
      <c r="AJ187" s="996"/>
      <c r="AK187" s="996"/>
      <c r="AL187" s="996"/>
      <c r="AM187" s="9"/>
    </row>
    <row r="188" spans="2:39">
      <c r="B188" s="1126"/>
      <c r="C188" s="2330"/>
      <c r="D188" s="2330"/>
      <c r="E188" s="2330"/>
      <c r="F188" s="2330"/>
      <c r="G188" s="2330"/>
      <c r="H188" s="2330"/>
      <c r="I188" s="1116"/>
      <c r="J188" s="1167"/>
      <c r="K188" s="1167"/>
      <c r="L188" s="1167"/>
      <c r="M188" s="1167"/>
      <c r="N188" s="1167"/>
      <c r="O188" s="1167"/>
      <c r="P188" s="1167"/>
      <c r="Q188" s="1167"/>
      <c r="R188" s="1167"/>
      <c r="S188" s="1167"/>
      <c r="T188" s="1167"/>
      <c r="U188" s="996"/>
      <c r="V188" s="996"/>
      <c r="W188" s="996"/>
      <c r="X188" s="996"/>
      <c r="Y188" s="996"/>
      <c r="Z188" s="996"/>
      <c r="AA188" s="996"/>
      <c r="AB188" s="996"/>
      <c r="AC188" s="996"/>
      <c r="AD188" s="996"/>
      <c r="AE188" s="996"/>
      <c r="AF188" s="996"/>
      <c r="AG188" s="996"/>
      <c r="AH188" s="996"/>
      <c r="AI188" s="996"/>
      <c r="AJ188" s="996"/>
      <c r="AK188" s="996"/>
      <c r="AL188" s="996"/>
      <c r="AM188" s="9"/>
    </row>
    <row r="189" spans="2:39">
      <c r="B189" s="1126"/>
      <c r="C189" s="2330"/>
      <c r="D189" s="2330"/>
      <c r="E189" s="2330"/>
      <c r="F189" s="2330"/>
      <c r="G189" s="2330"/>
      <c r="H189" s="2330"/>
      <c r="I189" s="1116"/>
      <c r="J189" s="1167"/>
      <c r="K189" s="1167"/>
      <c r="L189" s="1167"/>
      <c r="M189" s="1167"/>
      <c r="N189" s="1167"/>
      <c r="O189" s="1167"/>
      <c r="P189" s="1167"/>
      <c r="Q189" s="1167"/>
      <c r="R189" s="1167"/>
      <c r="S189" s="1167"/>
      <c r="T189" s="1167"/>
      <c r="U189" s="996"/>
      <c r="V189" s="996"/>
      <c r="W189" s="996"/>
      <c r="X189" s="996"/>
      <c r="Y189" s="996"/>
      <c r="Z189" s="996"/>
      <c r="AA189" s="996"/>
      <c r="AB189" s="996"/>
      <c r="AC189" s="996"/>
      <c r="AD189" s="996"/>
      <c r="AE189" s="996"/>
      <c r="AF189" s="996"/>
      <c r="AG189" s="996"/>
      <c r="AH189" s="996"/>
      <c r="AI189" s="996"/>
      <c r="AJ189" s="996"/>
      <c r="AK189" s="996"/>
      <c r="AL189" s="996"/>
      <c r="AM189" s="9"/>
    </row>
    <row r="190" spans="2:39">
      <c r="B190" s="1126"/>
      <c r="C190" s="2330"/>
      <c r="D190" s="2330"/>
      <c r="E190" s="2330"/>
      <c r="F190" s="2330"/>
      <c r="G190" s="2330"/>
      <c r="H190" s="2330"/>
      <c r="I190" s="1116"/>
      <c r="J190" s="1167"/>
      <c r="K190" s="1167"/>
      <c r="L190" s="1167"/>
      <c r="M190" s="1167"/>
      <c r="N190" s="1167"/>
      <c r="O190" s="1167"/>
      <c r="P190" s="1167"/>
      <c r="Q190" s="1167"/>
      <c r="R190" s="1167"/>
      <c r="S190" s="1167"/>
      <c r="T190" s="1167"/>
      <c r="U190" s="996"/>
      <c r="V190" s="996"/>
      <c r="W190" s="996"/>
      <c r="X190" s="996"/>
      <c r="Y190" s="996"/>
      <c r="Z190" s="996"/>
      <c r="AA190" s="996"/>
      <c r="AB190" s="996"/>
      <c r="AC190" s="996"/>
      <c r="AD190" s="996"/>
      <c r="AE190" s="996"/>
      <c r="AF190" s="996"/>
      <c r="AG190" s="996"/>
      <c r="AH190" s="996"/>
      <c r="AI190" s="996"/>
      <c r="AJ190" s="996"/>
      <c r="AK190" s="996"/>
      <c r="AL190" s="996"/>
      <c r="AM190" s="9"/>
    </row>
    <row r="191" spans="2:39">
      <c r="B191" s="1126"/>
      <c r="C191" s="2330"/>
      <c r="D191" s="2330"/>
      <c r="E191" s="2330"/>
      <c r="F191" s="2330"/>
      <c r="G191" s="2330"/>
      <c r="H191" s="2330"/>
      <c r="I191" s="1116"/>
      <c r="J191" s="1167"/>
      <c r="K191" s="1167"/>
      <c r="L191" s="1167"/>
      <c r="M191" s="1167"/>
      <c r="N191" s="1167"/>
      <c r="O191" s="1167"/>
      <c r="P191" s="1167"/>
      <c r="Q191" s="1167"/>
      <c r="R191" s="1167"/>
      <c r="S191" s="1167"/>
      <c r="T191" s="1167"/>
      <c r="U191" s="996"/>
      <c r="V191" s="996"/>
      <c r="W191" s="996"/>
      <c r="X191" s="996"/>
      <c r="Y191" s="996"/>
      <c r="Z191" s="996"/>
      <c r="AA191" s="996"/>
      <c r="AB191" s="996"/>
      <c r="AC191" s="996"/>
      <c r="AD191" s="996"/>
      <c r="AE191" s="996"/>
      <c r="AF191" s="996"/>
      <c r="AG191" s="996"/>
      <c r="AH191" s="996"/>
      <c r="AI191" s="996"/>
      <c r="AJ191" s="996"/>
      <c r="AK191" s="996"/>
      <c r="AL191" s="996"/>
      <c r="AM191" s="9"/>
    </row>
    <row r="192" spans="2:39">
      <c r="B192" s="1126"/>
      <c r="C192" s="2330"/>
      <c r="D192" s="2330"/>
      <c r="E192" s="2330"/>
      <c r="F192" s="2330"/>
      <c r="G192" s="2330"/>
      <c r="H192" s="2330"/>
      <c r="I192" s="1116"/>
      <c r="J192" s="1167"/>
      <c r="K192" s="1167"/>
      <c r="L192" s="1167"/>
      <c r="M192" s="1167"/>
      <c r="N192" s="1167"/>
      <c r="O192" s="1167"/>
      <c r="P192" s="1167"/>
      <c r="Q192" s="1167"/>
      <c r="R192" s="1167"/>
      <c r="S192" s="1167"/>
      <c r="T192" s="1167"/>
      <c r="U192" s="996"/>
      <c r="V192" s="996"/>
      <c r="W192" s="996"/>
      <c r="X192" s="996"/>
      <c r="Y192" s="996"/>
      <c r="Z192" s="996"/>
      <c r="AA192" s="996"/>
      <c r="AB192" s="996"/>
      <c r="AC192" s="996"/>
      <c r="AD192" s="996"/>
      <c r="AE192" s="996"/>
      <c r="AF192" s="996"/>
      <c r="AG192" s="996"/>
      <c r="AH192" s="996"/>
      <c r="AI192" s="996"/>
      <c r="AJ192" s="996"/>
      <c r="AK192" s="996"/>
      <c r="AL192" s="996"/>
      <c r="AM192" s="9"/>
    </row>
    <row r="193" spans="2:38">
      <c r="B193" s="1126"/>
      <c r="C193" s="2330"/>
      <c r="D193" s="2330"/>
      <c r="E193" s="2330"/>
      <c r="F193" s="2330"/>
      <c r="G193" s="2330"/>
      <c r="H193" s="2330"/>
      <c r="I193" s="1116"/>
      <c r="J193" s="1167"/>
      <c r="K193" s="1167"/>
      <c r="L193" s="1167"/>
      <c r="M193" s="1167"/>
      <c r="N193" s="1167"/>
      <c r="O193" s="1167"/>
      <c r="P193" s="1167"/>
      <c r="Q193" s="1167"/>
      <c r="R193" s="1167"/>
      <c r="S193" s="1167"/>
      <c r="T193" s="1167"/>
      <c r="U193" s="996"/>
      <c r="V193" s="996"/>
      <c r="W193" s="996"/>
      <c r="X193" s="996"/>
      <c r="Y193" s="996"/>
      <c r="Z193" s="996"/>
      <c r="AA193" s="996"/>
      <c r="AB193" s="996"/>
      <c r="AC193" s="996"/>
      <c r="AD193" s="996"/>
      <c r="AE193" s="996"/>
      <c r="AF193" s="996"/>
      <c r="AG193" s="996"/>
      <c r="AH193" s="996"/>
      <c r="AI193" s="996"/>
      <c r="AJ193" s="996"/>
      <c r="AK193" s="996"/>
      <c r="AL193" s="996"/>
    </row>
    <row r="194" spans="2:38">
      <c r="B194" s="1126"/>
      <c r="C194" s="2330"/>
      <c r="D194" s="2330"/>
      <c r="E194" s="2330"/>
      <c r="F194" s="2330"/>
      <c r="G194" s="2330"/>
      <c r="H194" s="2330"/>
      <c r="I194" s="1116"/>
      <c r="J194" s="1167"/>
      <c r="K194" s="1167"/>
      <c r="L194" s="1167"/>
      <c r="M194" s="1167"/>
      <c r="N194" s="1167"/>
      <c r="O194" s="1167"/>
      <c r="P194" s="1167"/>
      <c r="Q194" s="1167"/>
      <c r="R194" s="1167"/>
      <c r="S194" s="1167"/>
      <c r="T194" s="1167"/>
      <c r="U194" s="996"/>
      <c r="V194" s="996"/>
      <c r="W194" s="996"/>
      <c r="X194" s="996"/>
      <c r="Y194" s="996"/>
      <c r="Z194" s="996"/>
      <c r="AA194" s="996"/>
      <c r="AB194" s="996"/>
      <c r="AC194" s="996"/>
      <c r="AD194" s="996"/>
      <c r="AE194" s="996"/>
      <c r="AF194" s="996"/>
      <c r="AG194" s="996"/>
      <c r="AH194" s="996"/>
      <c r="AI194" s="996"/>
      <c r="AJ194" s="996"/>
      <c r="AK194" s="996"/>
      <c r="AL194" s="996"/>
    </row>
    <row r="195" spans="2:38">
      <c r="B195" s="1126"/>
      <c r="C195" s="1167"/>
      <c r="D195" s="1167"/>
      <c r="E195" s="1167"/>
      <c r="F195" s="1167"/>
      <c r="G195" s="1167"/>
      <c r="H195" s="1167"/>
      <c r="I195" s="1116"/>
      <c r="J195" s="1167"/>
      <c r="K195" s="1167"/>
      <c r="L195" s="1167"/>
      <c r="M195" s="1167"/>
      <c r="N195" s="1167"/>
      <c r="O195" s="1167"/>
      <c r="P195" s="1167"/>
      <c r="Q195" s="1167"/>
      <c r="R195" s="1167"/>
      <c r="S195" s="1167"/>
      <c r="T195" s="1167"/>
      <c r="U195" s="996"/>
      <c r="V195" s="996"/>
      <c r="W195" s="996"/>
      <c r="X195" s="996"/>
      <c r="Y195" s="996"/>
      <c r="Z195" s="996"/>
      <c r="AA195" s="996"/>
      <c r="AB195" s="996"/>
      <c r="AC195" s="996"/>
      <c r="AD195" s="996"/>
      <c r="AE195" s="996"/>
      <c r="AF195" s="996"/>
      <c r="AG195" s="996"/>
      <c r="AH195" s="996"/>
      <c r="AI195" s="996"/>
      <c r="AJ195" s="996"/>
      <c r="AK195" s="996"/>
      <c r="AL195" s="996"/>
    </row>
    <row r="196" spans="2:38" ht="15.75">
      <c r="B196" s="545"/>
      <c r="C196" s="994"/>
      <c r="D196" s="994"/>
      <c r="E196" s="994"/>
      <c r="F196" s="994"/>
      <c r="G196" s="1023"/>
      <c r="H196" s="994"/>
      <c r="I196" s="1291"/>
      <c r="J196" s="1007"/>
      <c r="K196" s="998"/>
      <c r="L196" s="998"/>
      <c r="M196" s="998"/>
      <c r="N196" s="998"/>
      <c r="O196" s="998"/>
      <c r="P196" s="998"/>
      <c r="Q196" s="998"/>
      <c r="R196" s="998"/>
      <c r="S196" s="998"/>
      <c r="T196" s="998"/>
      <c r="U196" s="996"/>
      <c r="V196" s="996"/>
      <c r="W196" s="996"/>
      <c r="X196" s="996"/>
      <c r="Y196" s="996"/>
      <c r="Z196" s="996"/>
      <c r="AA196" s="996"/>
      <c r="AB196" s="996"/>
      <c r="AC196" s="996"/>
      <c r="AD196" s="996"/>
      <c r="AE196" s="996"/>
      <c r="AF196" s="996"/>
      <c r="AG196" s="996"/>
      <c r="AH196" s="996"/>
      <c r="AI196" s="996"/>
      <c r="AJ196" s="996"/>
      <c r="AK196" s="996"/>
      <c r="AL196" s="996"/>
    </row>
    <row r="197" spans="2:38">
      <c r="B197" s="1024" t="s">
        <v>4697</v>
      </c>
      <c r="C197" s="999"/>
      <c r="D197" s="999"/>
      <c r="E197" s="999"/>
      <c r="F197" s="999"/>
      <c r="G197" s="999"/>
      <c r="H197" s="999"/>
      <c r="I197" s="1290"/>
      <c r="J197" s="996"/>
      <c r="K197" s="996"/>
      <c r="L197" s="996"/>
      <c r="M197" s="996"/>
      <c r="N197" s="996"/>
      <c r="O197" s="996"/>
      <c r="P197" s="996"/>
      <c r="Q197" s="996"/>
      <c r="R197" s="996"/>
      <c r="S197" s="996"/>
      <c r="T197" s="996"/>
      <c r="U197" s="996"/>
      <c r="V197" s="996"/>
      <c r="W197" s="996"/>
      <c r="X197" s="996"/>
      <c r="Y197" s="996"/>
      <c r="Z197" s="996"/>
      <c r="AA197" s="996"/>
      <c r="AB197" s="996"/>
      <c r="AC197" s="996"/>
      <c r="AD197" s="996"/>
      <c r="AE197" s="996"/>
      <c r="AF197" s="996"/>
      <c r="AG197" s="996"/>
      <c r="AH197" s="996"/>
      <c r="AI197" s="996"/>
      <c r="AJ197" s="996"/>
      <c r="AK197" s="996"/>
      <c r="AL197" s="996"/>
    </row>
    <row r="198" spans="2:38" ht="18.75">
      <c r="B198" s="1020" t="s">
        <v>3638</v>
      </c>
      <c r="C198" s="994"/>
      <c r="D198" s="994"/>
      <c r="E198" s="994"/>
      <c r="F198" s="1008"/>
      <c r="G198" s="1008"/>
      <c r="H198" s="1008"/>
      <c r="I198" s="1291"/>
      <c r="J198" s="996"/>
      <c r="K198" s="996"/>
      <c r="L198" s="996"/>
      <c r="M198" s="996"/>
      <c r="N198" s="996"/>
      <c r="O198" s="996"/>
      <c r="P198" s="996"/>
      <c r="Q198" s="996"/>
      <c r="R198" s="996"/>
      <c r="S198" s="996"/>
      <c r="T198" s="996"/>
      <c r="U198" s="996"/>
      <c r="V198" s="996"/>
      <c r="W198" s="996"/>
      <c r="X198" s="996"/>
      <c r="Y198" s="996"/>
      <c r="Z198" s="996"/>
      <c r="AA198" s="996"/>
      <c r="AB198" s="996"/>
      <c r="AC198" s="996"/>
      <c r="AD198" s="996"/>
      <c r="AE198" s="996"/>
      <c r="AF198" s="996"/>
      <c r="AG198" s="996"/>
      <c r="AH198" s="996"/>
      <c r="AI198" s="996"/>
      <c r="AJ198" s="996"/>
      <c r="AK198" s="996"/>
      <c r="AL198" s="996"/>
    </row>
    <row r="199" spans="2:38">
      <c r="B199" s="1126"/>
      <c r="C199" s="1171"/>
      <c r="D199" s="1171"/>
      <c r="E199" s="1167"/>
      <c r="F199" s="1167"/>
      <c r="G199" s="1167"/>
      <c r="H199" s="1167"/>
      <c r="I199" s="1116"/>
      <c r="J199" s="1167"/>
      <c r="K199" s="1167"/>
      <c r="L199" s="1167"/>
      <c r="M199" s="1167"/>
      <c r="N199" s="1167"/>
      <c r="O199" s="1167"/>
      <c r="P199" s="1167"/>
      <c r="Q199" s="1167"/>
      <c r="R199" s="1167"/>
      <c r="S199" s="1167"/>
      <c r="T199" s="1167"/>
      <c r="U199" s="996"/>
      <c r="V199" s="996"/>
      <c r="W199" s="996"/>
      <c r="X199" s="996"/>
      <c r="Y199" s="996"/>
      <c r="Z199" s="996"/>
      <c r="AA199" s="996"/>
      <c r="AB199" s="996"/>
      <c r="AC199" s="996"/>
      <c r="AD199" s="996"/>
      <c r="AE199" s="996"/>
      <c r="AF199" s="996"/>
      <c r="AG199" s="996"/>
      <c r="AH199" s="996"/>
      <c r="AI199" s="996"/>
      <c r="AJ199" s="996"/>
      <c r="AK199" s="996"/>
      <c r="AL199" s="996"/>
    </row>
    <row r="200" spans="2:38">
      <c r="B200" s="1126"/>
      <c r="C200" s="2321"/>
      <c r="D200" s="2322"/>
      <c r="E200" s="2322"/>
      <c r="F200" s="2322"/>
      <c r="G200" s="2322"/>
      <c r="H200" s="2323"/>
      <c r="I200" s="1116"/>
      <c r="J200" s="1167"/>
      <c r="K200" s="1167"/>
      <c r="L200" s="1167"/>
      <c r="M200" s="1167"/>
      <c r="N200" s="1167"/>
      <c r="O200" s="1167"/>
      <c r="P200" s="1167"/>
      <c r="Q200" s="1167"/>
      <c r="R200" s="1167"/>
      <c r="S200" s="1167"/>
      <c r="T200" s="1167"/>
      <c r="U200" s="996"/>
      <c r="V200" s="996"/>
      <c r="W200" s="996"/>
      <c r="X200" s="996"/>
      <c r="Y200" s="996"/>
      <c r="Z200" s="996"/>
      <c r="AA200" s="996"/>
      <c r="AB200" s="996"/>
      <c r="AC200" s="996"/>
      <c r="AD200" s="996"/>
      <c r="AE200" s="996"/>
      <c r="AF200" s="996"/>
      <c r="AG200" s="996"/>
      <c r="AH200" s="996"/>
      <c r="AI200" s="996"/>
      <c r="AJ200" s="996"/>
      <c r="AK200" s="996"/>
      <c r="AL200" s="996"/>
    </row>
    <row r="201" spans="2:38">
      <c r="B201" s="1126"/>
      <c r="C201" s="2324"/>
      <c r="D201" s="2325"/>
      <c r="E201" s="2325"/>
      <c r="F201" s="2325"/>
      <c r="G201" s="2325"/>
      <c r="H201" s="2326"/>
      <c r="I201" s="1116"/>
      <c r="J201" s="1167"/>
      <c r="K201" s="1167"/>
      <c r="L201" s="1167"/>
      <c r="M201" s="1167"/>
      <c r="N201" s="1167"/>
      <c r="O201" s="1167"/>
      <c r="P201" s="1167"/>
      <c r="Q201" s="1167"/>
      <c r="R201" s="1167"/>
      <c r="S201" s="1167"/>
      <c r="T201" s="1167"/>
      <c r="U201" s="996"/>
      <c r="V201" s="996"/>
      <c r="W201" s="996"/>
      <c r="X201" s="996"/>
      <c r="Y201" s="996"/>
      <c r="Z201" s="996"/>
      <c r="AA201" s="996"/>
      <c r="AB201" s="996"/>
      <c r="AC201" s="996"/>
      <c r="AD201" s="996"/>
      <c r="AE201" s="996"/>
      <c r="AF201" s="996"/>
      <c r="AG201" s="996"/>
      <c r="AH201" s="996"/>
      <c r="AI201" s="996"/>
      <c r="AJ201" s="996"/>
      <c r="AK201" s="996"/>
      <c r="AL201" s="996"/>
    </row>
    <row r="202" spans="2:38">
      <c r="B202" s="1126"/>
      <c r="C202" s="2324"/>
      <c r="D202" s="2325"/>
      <c r="E202" s="2325"/>
      <c r="F202" s="2325"/>
      <c r="G202" s="2325"/>
      <c r="H202" s="2326"/>
      <c r="I202" s="1116"/>
      <c r="J202" s="1167"/>
      <c r="K202" s="1167"/>
      <c r="L202" s="1167"/>
      <c r="M202" s="1167"/>
      <c r="N202" s="1167"/>
      <c r="O202" s="1167"/>
      <c r="P202" s="1167"/>
      <c r="Q202" s="1167"/>
      <c r="R202" s="1167"/>
      <c r="S202" s="1167"/>
      <c r="T202" s="1167"/>
      <c r="U202" s="996"/>
      <c r="V202" s="996"/>
      <c r="W202" s="996"/>
      <c r="X202" s="996"/>
      <c r="Y202" s="996"/>
      <c r="Z202" s="996"/>
      <c r="AA202" s="996"/>
      <c r="AB202" s="996"/>
      <c r="AC202" s="996"/>
      <c r="AD202" s="996"/>
      <c r="AE202" s="996"/>
      <c r="AF202" s="996"/>
      <c r="AG202" s="996"/>
      <c r="AH202" s="996"/>
      <c r="AI202" s="996"/>
      <c r="AJ202" s="996"/>
      <c r="AK202" s="996"/>
      <c r="AL202" s="996"/>
    </row>
    <row r="203" spans="2:38">
      <c r="B203" s="1126"/>
      <c r="C203" s="2327"/>
      <c r="D203" s="2328"/>
      <c r="E203" s="2328"/>
      <c r="F203" s="2328"/>
      <c r="G203" s="2328"/>
      <c r="H203" s="2329"/>
      <c r="I203" s="1116"/>
      <c r="J203" s="1167"/>
      <c r="K203" s="1167"/>
      <c r="L203" s="1167"/>
      <c r="M203" s="1167"/>
      <c r="N203" s="1167"/>
      <c r="O203" s="1167"/>
      <c r="P203" s="1167"/>
      <c r="Q203" s="1167"/>
      <c r="R203" s="1167"/>
      <c r="S203" s="1167"/>
      <c r="T203" s="1167"/>
      <c r="U203" s="996"/>
      <c r="V203" s="996"/>
      <c r="W203" s="996"/>
      <c r="X203" s="996"/>
      <c r="Y203" s="996"/>
      <c r="Z203" s="996"/>
      <c r="AA203" s="996"/>
      <c r="AB203" s="996"/>
      <c r="AC203" s="996"/>
      <c r="AD203" s="996"/>
      <c r="AE203" s="996"/>
      <c r="AF203" s="996"/>
      <c r="AG203" s="996"/>
      <c r="AH203" s="996"/>
      <c r="AI203" s="996"/>
      <c r="AJ203" s="996"/>
      <c r="AK203" s="996"/>
      <c r="AL203" s="996"/>
    </row>
    <row r="204" spans="2:38">
      <c r="B204" s="1126"/>
      <c r="C204" s="1167"/>
      <c r="D204" s="1167"/>
      <c r="E204" s="1167"/>
      <c r="F204" s="1167"/>
      <c r="G204" s="1167"/>
      <c r="H204" s="1167"/>
      <c r="I204" s="1116"/>
      <c r="J204" s="1167"/>
      <c r="K204" s="1167"/>
      <c r="L204" s="1167"/>
      <c r="M204" s="1167"/>
      <c r="N204" s="1167"/>
      <c r="O204" s="1167"/>
      <c r="P204" s="1167"/>
      <c r="Q204" s="1167"/>
      <c r="R204" s="1167"/>
      <c r="S204" s="1167"/>
      <c r="T204" s="1167"/>
      <c r="U204" s="996"/>
      <c r="V204" s="996"/>
      <c r="W204" s="996"/>
      <c r="X204" s="996"/>
      <c r="Y204" s="996"/>
      <c r="Z204" s="996"/>
      <c r="AA204" s="996"/>
      <c r="AB204" s="996"/>
      <c r="AC204" s="996"/>
      <c r="AD204" s="996"/>
      <c r="AE204" s="996"/>
      <c r="AF204" s="996"/>
      <c r="AG204" s="996"/>
      <c r="AH204" s="996"/>
      <c r="AI204" s="996"/>
      <c r="AJ204" s="996"/>
      <c r="AK204" s="996"/>
      <c r="AL204" s="996"/>
    </row>
    <row r="205" spans="2:38">
      <c r="B205" s="545"/>
      <c r="C205" s="996"/>
      <c r="D205" s="996"/>
      <c r="E205" s="996"/>
      <c r="F205" s="996"/>
      <c r="G205" s="996"/>
      <c r="H205" s="996"/>
      <c r="I205" s="3"/>
      <c r="J205" s="996"/>
      <c r="K205" s="996"/>
      <c r="L205" s="996"/>
      <c r="M205" s="996"/>
      <c r="N205" s="996"/>
      <c r="O205" s="996"/>
      <c r="P205" s="996"/>
      <c r="Q205" s="996"/>
      <c r="R205" s="996"/>
      <c r="S205" s="996"/>
      <c r="T205" s="996"/>
      <c r="U205" s="996"/>
      <c r="V205" s="996"/>
      <c r="W205" s="996"/>
      <c r="X205" s="996"/>
      <c r="Y205" s="996"/>
      <c r="Z205" s="97"/>
      <c r="AA205" s="996"/>
      <c r="AB205" s="996"/>
      <c r="AC205" s="996"/>
      <c r="AD205" s="996"/>
      <c r="AE205" s="996"/>
      <c r="AF205" s="996"/>
      <c r="AG205" s="996"/>
      <c r="AH205" s="996"/>
      <c r="AI205" s="996"/>
      <c r="AJ205" s="996"/>
      <c r="AK205" s="996"/>
      <c r="AL205" s="996"/>
    </row>
    <row r="206" spans="2:38">
      <c r="B206" s="545"/>
      <c r="C206" s="996"/>
      <c r="D206" s="996"/>
      <c r="E206" s="996"/>
      <c r="F206" s="996"/>
      <c r="G206" s="996"/>
      <c r="H206" s="996"/>
      <c r="I206" s="3"/>
      <c r="J206" s="996"/>
      <c r="K206" s="996"/>
      <c r="L206" s="996"/>
      <c r="M206" s="996"/>
      <c r="N206" s="996"/>
      <c r="O206" s="996"/>
      <c r="P206" s="996"/>
      <c r="Q206" s="996"/>
      <c r="R206" s="996"/>
      <c r="S206" s="996"/>
      <c r="T206" s="996"/>
      <c r="U206" s="996"/>
      <c r="V206" s="996"/>
      <c r="W206" s="996"/>
      <c r="X206" s="996"/>
      <c r="Y206" s="996"/>
      <c r="Z206" s="97"/>
      <c r="AA206" s="996"/>
      <c r="AB206" s="996"/>
      <c r="AC206" s="996"/>
      <c r="AD206" s="996"/>
      <c r="AE206" s="996"/>
      <c r="AF206" s="996"/>
      <c r="AG206" s="996"/>
      <c r="AH206" s="996"/>
      <c r="AI206" s="996"/>
      <c r="AJ206" s="996"/>
      <c r="AK206" s="996"/>
      <c r="AL206" s="996"/>
    </row>
    <row r="207" spans="2:38">
      <c r="B207" s="545"/>
      <c r="C207" s="996"/>
      <c r="D207" s="996"/>
      <c r="E207" s="996"/>
      <c r="F207" s="996"/>
      <c r="G207" s="996"/>
      <c r="H207" s="996"/>
      <c r="I207" s="3"/>
      <c r="J207" s="996"/>
      <c r="K207" s="996"/>
      <c r="L207" s="996"/>
      <c r="M207" s="996"/>
      <c r="N207" s="996"/>
      <c r="O207" s="996"/>
      <c r="P207" s="996"/>
      <c r="Q207" s="996"/>
      <c r="R207" s="996"/>
      <c r="S207" s="996"/>
      <c r="T207" s="996"/>
      <c r="U207" s="996"/>
      <c r="V207" s="996"/>
      <c r="W207" s="996"/>
      <c r="X207" s="996"/>
      <c r="Y207" s="996"/>
      <c r="Z207" s="97"/>
      <c r="AA207" s="996"/>
      <c r="AB207" s="996"/>
      <c r="AC207" s="996"/>
      <c r="AD207" s="996"/>
      <c r="AE207" s="996"/>
      <c r="AF207" s="996"/>
      <c r="AG207" s="996"/>
      <c r="AH207" s="996"/>
      <c r="AI207" s="996"/>
      <c r="AJ207" s="996"/>
      <c r="AK207" s="996"/>
      <c r="AL207" s="996"/>
    </row>
    <row r="208" spans="2:38">
      <c r="B208" s="545"/>
      <c r="C208" s="996"/>
      <c r="D208" s="996"/>
      <c r="E208" s="996"/>
      <c r="F208" s="996"/>
      <c r="G208" s="996"/>
      <c r="H208" s="996"/>
      <c r="I208" s="3"/>
      <c r="J208" s="996"/>
      <c r="K208" s="996"/>
      <c r="L208" s="996"/>
      <c r="M208" s="996"/>
      <c r="N208" s="996"/>
      <c r="O208" s="996"/>
      <c r="P208" s="996"/>
      <c r="Q208" s="996"/>
      <c r="R208" s="996"/>
      <c r="S208" s="996"/>
      <c r="T208" s="996"/>
      <c r="U208" s="996"/>
      <c r="V208" s="996"/>
      <c r="W208" s="996"/>
      <c r="X208" s="996"/>
      <c r="Y208" s="996"/>
      <c r="Z208" s="97"/>
      <c r="AA208" s="996"/>
      <c r="AB208" s="996"/>
      <c r="AC208" s="996"/>
      <c r="AD208" s="996"/>
      <c r="AE208" s="996"/>
      <c r="AF208" s="996"/>
      <c r="AG208" s="996"/>
      <c r="AH208" s="996"/>
      <c r="AI208" s="996"/>
      <c r="AJ208" s="996"/>
      <c r="AK208" s="996"/>
      <c r="AL208" s="996"/>
    </row>
    <row r="209" spans="2:38">
      <c r="B209" s="545"/>
      <c r="C209" s="996"/>
      <c r="D209" s="996"/>
      <c r="E209" s="996"/>
      <c r="F209" s="996"/>
      <c r="G209" s="996"/>
      <c r="H209" s="996"/>
      <c r="I209" s="3"/>
      <c r="J209" s="996"/>
      <c r="K209" s="996"/>
      <c r="L209" s="996"/>
      <c r="M209" s="996"/>
      <c r="N209" s="996"/>
      <c r="O209" s="996"/>
      <c r="P209" s="996"/>
      <c r="Q209" s="996"/>
      <c r="R209" s="996"/>
      <c r="S209" s="996"/>
      <c r="T209" s="996"/>
      <c r="U209" s="996"/>
      <c r="V209" s="996"/>
      <c r="W209" s="996"/>
      <c r="X209" s="996"/>
      <c r="Y209" s="996"/>
      <c r="Z209" s="97"/>
      <c r="AA209" s="996"/>
      <c r="AB209" s="996"/>
      <c r="AC209" s="996"/>
      <c r="AD209" s="996"/>
      <c r="AE209" s="996"/>
      <c r="AF209" s="996"/>
      <c r="AG209" s="996"/>
      <c r="AH209" s="996"/>
      <c r="AI209" s="996"/>
      <c r="AJ209" s="996"/>
      <c r="AK209" s="996"/>
      <c r="AL209" s="996"/>
    </row>
    <row r="210" spans="2:38">
      <c r="B210" s="545"/>
      <c r="C210" s="996"/>
      <c r="D210" s="996"/>
      <c r="E210" s="996"/>
      <c r="F210" s="996"/>
      <c r="G210" s="996"/>
      <c r="H210" s="996"/>
      <c r="I210" s="3"/>
      <c r="J210" s="996"/>
      <c r="K210" s="996"/>
      <c r="L210" s="996"/>
      <c r="M210" s="996"/>
      <c r="N210" s="996"/>
      <c r="O210" s="996"/>
      <c r="P210" s="996"/>
      <c r="Q210" s="996"/>
      <c r="R210" s="996"/>
      <c r="S210" s="996"/>
      <c r="T210" s="996"/>
      <c r="U210" s="996"/>
      <c r="V210" s="996"/>
      <c r="W210" s="996"/>
      <c r="X210" s="996"/>
      <c r="Y210" s="996"/>
      <c r="Z210" s="97"/>
      <c r="AA210" s="996"/>
      <c r="AB210" s="996"/>
      <c r="AC210" s="996"/>
      <c r="AD210" s="996"/>
      <c r="AE210" s="996"/>
      <c r="AF210" s="996"/>
      <c r="AG210" s="996"/>
      <c r="AH210" s="996"/>
      <c r="AI210" s="996"/>
      <c r="AJ210" s="996"/>
      <c r="AK210" s="996"/>
      <c r="AL210" s="996"/>
    </row>
    <row r="211" spans="2:38">
      <c r="B211" s="545"/>
      <c r="C211" s="996"/>
      <c r="D211" s="996"/>
      <c r="E211" s="996"/>
      <c r="F211" s="996"/>
      <c r="G211" s="996"/>
      <c r="H211" s="996"/>
      <c r="I211" s="3"/>
      <c r="J211" s="996"/>
      <c r="K211" s="996"/>
      <c r="L211" s="996"/>
      <c r="M211" s="996"/>
      <c r="N211" s="996"/>
      <c r="O211" s="996"/>
      <c r="P211" s="996"/>
      <c r="Q211" s="996"/>
      <c r="R211" s="996"/>
      <c r="S211" s="996"/>
      <c r="T211" s="996"/>
      <c r="U211" s="996"/>
      <c r="V211" s="996"/>
      <c r="W211" s="996"/>
      <c r="X211" s="996"/>
      <c r="Y211" s="996"/>
      <c r="Z211" s="97"/>
      <c r="AA211" s="996"/>
      <c r="AB211" s="996"/>
      <c r="AC211" s="996"/>
      <c r="AD211" s="996"/>
      <c r="AE211" s="996"/>
      <c r="AF211" s="996"/>
      <c r="AG211" s="996"/>
      <c r="AH211" s="996"/>
      <c r="AI211" s="996"/>
      <c r="AJ211" s="996"/>
      <c r="AK211" s="996"/>
      <c r="AL211" s="996"/>
    </row>
    <row r="212" spans="2:38">
      <c r="B212" s="545"/>
      <c r="C212" s="996"/>
      <c r="D212" s="996"/>
      <c r="E212" s="996"/>
      <c r="F212" s="996"/>
      <c r="G212" s="996"/>
      <c r="H212" s="996"/>
      <c r="I212" s="3"/>
      <c r="J212" s="996"/>
      <c r="K212" s="996"/>
      <c r="L212" s="996"/>
      <c r="M212" s="996"/>
      <c r="N212" s="996"/>
      <c r="O212" s="996"/>
      <c r="P212" s="996"/>
      <c r="Q212" s="996"/>
      <c r="R212" s="996"/>
      <c r="S212" s="996"/>
      <c r="T212" s="996"/>
      <c r="U212" s="996"/>
      <c r="V212" s="996"/>
      <c r="W212" s="996"/>
      <c r="X212" s="996"/>
      <c r="Y212" s="996"/>
      <c r="Z212" s="97"/>
      <c r="AA212" s="996"/>
      <c r="AB212" s="996"/>
      <c r="AC212" s="996"/>
      <c r="AD212" s="996"/>
      <c r="AE212" s="996"/>
      <c r="AF212" s="996"/>
      <c r="AG212" s="996"/>
      <c r="AH212" s="996"/>
      <c r="AI212" s="996"/>
      <c r="AJ212" s="996"/>
      <c r="AK212" s="996"/>
      <c r="AL212" s="996"/>
    </row>
    <row r="213" spans="2:38">
      <c r="B213" s="545"/>
      <c r="C213" s="996"/>
      <c r="D213" s="996"/>
      <c r="E213" s="996"/>
      <c r="F213" s="996"/>
      <c r="G213" s="996"/>
      <c r="H213" s="996"/>
      <c r="I213" s="3"/>
      <c r="J213" s="996"/>
      <c r="K213" s="996"/>
      <c r="L213" s="996"/>
      <c r="M213" s="996"/>
      <c r="N213" s="996"/>
      <c r="O213" s="996"/>
      <c r="P213" s="996"/>
      <c r="Q213" s="996"/>
      <c r="R213" s="996"/>
      <c r="S213" s="996"/>
      <c r="T213" s="996"/>
      <c r="U213" s="996"/>
      <c r="V213" s="996"/>
      <c r="W213" s="996"/>
      <c r="X213" s="996"/>
      <c r="Y213" s="996"/>
      <c r="Z213" s="97"/>
      <c r="AA213" s="996"/>
      <c r="AB213" s="996"/>
      <c r="AC213" s="996"/>
      <c r="AD213" s="996"/>
      <c r="AE213" s="996"/>
      <c r="AF213" s="996"/>
      <c r="AG213" s="996"/>
      <c r="AH213" s="996"/>
      <c r="AI213" s="996"/>
      <c r="AJ213" s="996"/>
      <c r="AK213" s="996"/>
      <c r="AL213" s="996"/>
    </row>
    <row r="214" spans="2:38">
      <c r="B214" s="545"/>
      <c r="C214" s="996"/>
      <c r="D214" s="996"/>
      <c r="E214" s="996"/>
      <c r="F214" s="996"/>
      <c r="G214" s="996"/>
      <c r="H214" s="996"/>
      <c r="I214" s="3"/>
      <c r="J214" s="996"/>
      <c r="K214" s="996"/>
      <c r="L214" s="996"/>
      <c r="M214" s="996"/>
      <c r="N214" s="996"/>
      <c r="O214" s="996"/>
      <c r="P214" s="996"/>
      <c r="Q214" s="996"/>
      <c r="R214" s="996"/>
      <c r="S214" s="996"/>
      <c r="T214" s="996"/>
      <c r="U214" s="996"/>
      <c r="V214" s="996"/>
      <c r="W214" s="996"/>
      <c r="X214" s="996"/>
      <c r="Y214" s="996"/>
      <c r="Z214" s="97"/>
      <c r="AA214" s="996"/>
      <c r="AB214" s="996"/>
      <c r="AC214" s="996"/>
      <c r="AD214" s="996"/>
      <c r="AE214" s="996"/>
      <c r="AF214" s="996"/>
      <c r="AG214" s="996"/>
      <c r="AH214" s="996"/>
      <c r="AI214" s="996"/>
      <c r="AJ214" s="996"/>
      <c r="AK214" s="996"/>
      <c r="AL214" s="996"/>
    </row>
    <row r="215" spans="2:38">
      <c r="B215" s="545"/>
      <c r="C215" s="996"/>
      <c r="D215" s="996"/>
      <c r="E215" s="996"/>
      <c r="F215" s="996"/>
      <c r="G215" s="996"/>
      <c r="H215" s="996"/>
      <c r="I215" s="3"/>
      <c r="J215" s="996"/>
      <c r="K215" s="996"/>
      <c r="L215" s="996"/>
      <c r="M215" s="996"/>
      <c r="N215" s="996"/>
      <c r="O215" s="996"/>
      <c r="P215" s="996"/>
      <c r="Q215" s="996"/>
      <c r="R215" s="996"/>
      <c r="S215" s="996"/>
      <c r="T215" s="996"/>
      <c r="U215" s="996"/>
      <c r="V215" s="996"/>
      <c r="W215" s="996"/>
      <c r="X215" s="996"/>
      <c r="Y215" s="996"/>
      <c r="Z215" s="97"/>
      <c r="AA215" s="996"/>
      <c r="AB215" s="996"/>
      <c r="AC215" s="996"/>
      <c r="AD215" s="996"/>
      <c r="AE215" s="996"/>
      <c r="AF215" s="996"/>
      <c r="AG215" s="996"/>
      <c r="AH215" s="996"/>
      <c r="AI215" s="996"/>
      <c r="AJ215" s="996"/>
      <c r="AK215" s="996"/>
      <c r="AL215" s="996"/>
    </row>
    <row r="216" spans="2:38">
      <c r="B216" s="545"/>
      <c r="C216" s="996"/>
      <c r="D216" s="996"/>
      <c r="E216" s="996"/>
      <c r="F216" s="996"/>
      <c r="G216" s="996"/>
      <c r="H216" s="996"/>
      <c r="I216" s="3"/>
      <c r="J216" s="996"/>
      <c r="K216" s="996"/>
      <c r="L216" s="996"/>
      <c r="M216" s="996"/>
      <c r="N216" s="996"/>
      <c r="O216" s="996"/>
      <c r="P216" s="996"/>
      <c r="Q216" s="996"/>
      <c r="R216" s="996"/>
      <c r="S216" s="996"/>
      <c r="T216" s="996"/>
      <c r="U216" s="996"/>
      <c r="V216" s="996"/>
      <c r="W216" s="996"/>
      <c r="X216" s="996"/>
      <c r="Y216" s="996"/>
      <c r="Z216" s="97"/>
      <c r="AA216" s="996"/>
      <c r="AB216" s="996"/>
      <c r="AC216" s="996"/>
      <c r="AD216" s="996"/>
      <c r="AE216" s="996"/>
      <c r="AF216" s="996"/>
      <c r="AG216" s="996"/>
      <c r="AH216" s="996"/>
      <c r="AI216" s="996"/>
      <c r="AJ216" s="996"/>
      <c r="AK216" s="996"/>
      <c r="AL216" s="996"/>
    </row>
    <row r="217" spans="2:38">
      <c r="B217" s="545"/>
      <c r="C217" s="996"/>
      <c r="D217" s="996"/>
      <c r="E217" s="996"/>
      <c r="F217" s="996"/>
      <c r="G217" s="996"/>
      <c r="H217" s="996"/>
      <c r="I217" s="3"/>
      <c r="J217" s="996"/>
      <c r="K217" s="996"/>
      <c r="L217" s="996"/>
      <c r="M217" s="996"/>
      <c r="N217" s="996"/>
      <c r="O217" s="996"/>
      <c r="P217" s="996"/>
      <c r="Q217" s="996"/>
      <c r="R217" s="996"/>
      <c r="S217" s="996"/>
      <c r="T217" s="996"/>
      <c r="U217" s="996"/>
      <c r="V217" s="996"/>
      <c r="W217" s="996"/>
      <c r="X217" s="996"/>
      <c r="Y217" s="996"/>
      <c r="Z217" s="97"/>
      <c r="AA217" s="996"/>
      <c r="AB217" s="996"/>
      <c r="AC217" s="996"/>
      <c r="AD217" s="996"/>
      <c r="AE217" s="996"/>
      <c r="AF217" s="996"/>
      <c r="AG217" s="996"/>
      <c r="AH217" s="996"/>
      <c r="AI217" s="996"/>
      <c r="AJ217" s="996"/>
      <c r="AK217" s="996"/>
      <c r="AL217" s="996"/>
    </row>
    <row r="218" spans="2:38">
      <c r="B218" s="545"/>
      <c r="C218" s="996"/>
      <c r="D218" s="996"/>
      <c r="E218" s="996"/>
      <c r="F218" s="996"/>
      <c r="G218" s="996"/>
      <c r="H218" s="996"/>
      <c r="I218" s="3"/>
      <c r="J218" s="996"/>
      <c r="K218" s="996"/>
      <c r="L218" s="996"/>
      <c r="M218" s="996"/>
      <c r="N218" s="996"/>
      <c r="O218" s="996"/>
      <c r="P218" s="996"/>
      <c r="Q218" s="996"/>
      <c r="R218" s="996"/>
      <c r="S218" s="996"/>
      <c r="T218" s="996"/>
      <c r="U218" s="996"/>
      <c r="V218" s="996"/>
      <c r="W218" s="996"/>
      <c r="X218" s="996"/>
      <c r="Y218" s="996"/>
      <c r="Z218" s="97"/>
      <c r="AA218" s="996"/>
      <c r="AB218" s="996"/>
      <c r="AC218" s="996"/>
      <c r="AD218" s="996"/>
      <c r="AE218" s="996"/>
      <c r="AF218" s="996"/>
      <c r="AG218" s="996"/>
      <c r="AH218" s="996"/>
      <c r="AI218" s="996"/>
      <c r="AJ218" s="996"/>
      <c r="AK218" s="996"/>
      <c r="AL218" s="996"/>
    </row>
    <row r="219" spans="2:38">
      <c r="B219" s="545"/>
      <c r="C219" s="996"/>
      <c r="D219" s="996"/>
      <c r="E219" s="996"/>
      <c r="F219" s="996"/>
      <c r="G219" s="996"/>
      <c r="H219" s="996"/>
      <c r="I219" s="3"/>
      <c r="J219" s="996"/>
      <c r="K219" s="996"/>
      <c r="L219" s="996"/>
      <c r="M219" s="996"/>
      <c r="N219" s="996"/>
      <c r="O219" s="996"/>
      <c r="P219" s="996"/>
      <c r="Q219" s="996"/>
      <c r="R219" s="996"/>
      <c r="S219" s="996"/>
      <c r="T219" s="996"/>
      <c r="U219" s="996"/>
      <c r="V219" s="996"/>
      <c r="W219" s="996"/>
      <c r="X219" s="996"/>
      <c r="Y219" s="996"/>
      <c r="Z219" s="97"/>
      <c r="AA219" s="996"/>
      <c r="AB219" s="996"/>
      <c r="AC219" s="996"/>
      <c r="AD219" s="996"/>
      <c r="AE219" s="996"/>
      <c r="AF219" s="996"/>
      <c r="AG219" s="996"/>
      <c r="AH219" s="996"/>
      <c r="AI219" s="996"/>
      <c r="AJ219" s="996"/>
      <c r="AK219" s="996"/>
      <c r="AL219" s="996"/>
    </row>
    <row r="220" spans="2:38">
      <c r="B220" s="545"/>
      <c r="C220" s="996"/>
      <c r="D220" s="996"/>
      <c r="E220" s="996"/>
      <c r="F220" s="996"/>
      <c r="G220" s="996"/>
      <c r="H220" s="996"/>
      <c r="I220" s="3"/>
      <c r="J220" s="996"/>
      <c r="K220" s="996"/>
      <c r="L220" s="996"/>
      <c r="M220" s="996"/>
      <c r="N220" s="996"/>
      <c r="O220" s="996"/>
      <c r="P220" s="996"/>
      <c r="Q220" s="996"/>
      <c r="R220" s="996"/>
      <c r="S220" s="996"/>
      <c r="T220" s="996"/>
      <c r="U220" s="996"/>
      <c r="V220" s="996"/>
      <c r="W220" s="996"/>
      <c r="X220" s="996"/>
      <c r="Y220" s="996"/>
      <c r="Z220" s="97"/>
      <c r="AA220" s="996"/>
      <c r="AB220" s="996"/>
      <c r="AC220" s="996"/>
      <c r="AD220" s="996"/>
      <c r="AE220" s="996"/>
      <c r="AF220" s="996"/>
      <c r="AG220" s="996"/>
      <c r="AH220" s="996"/>
      <c r="AI220" s="996"/>
      <c r="AJ220" s="996"/>
      <c r="AK220" s="996"/>
      <c r="AL220" s="996"/>
    </row>
    <row r="221" spans="2:38">
      <c r="B221" s="545"/>
      <c r="C221" s="996"/>
      <c r="D221" s="996"/>
      <c r="E221" s="996"/>
      <c r="F221" s="996"/>
      <c r="G221" s="996"/>
      <c r="H221" s="996"/>
      <c r="I221" s="3"/>
      <c r="J221" s="996"/>
      <c r="K221" s="996"/>
      <c r="L221" s="996"/>
      <c r="M221" s="996"/>
      <c r="N221" s="996"/>
      <c r="O221" s="996"/>
      <c r="P221" s="996"/>
      <c r="Q221" s="996"/>
      <c r="R221" s="996"/>
      <c r="S221" s="996"/>
      <c r="T221" s="996"/>
      <c r="U221" s="996"/>
      <c r="V221" s="996"/>
      <c r="W221" s="996"/>
      <c r="X221" s="996"/>
      <c r="Y221" s="996"/>
      <c r="Z221" s="97"/>
      <c r="AA221" s="996"/>
      <c r="AB221" s="996"/>
      <c r="AC221" s="996"/>
      <c r="AD221" s="996"/>
      <c r="AE221" s="996"/>
      <c r="AF221" s="996"/>
      <c r="AG221" s="996"/>
      <c r="AH221" s="996"/>
      <c r="AI221" s="996"/>
      <c r="AJ221" s="996"/>
      <c r="AK221" s="996"/>
      <c r="AL221" s="996"/>
    </row>
    <row r="222" spans="2:38">
      <c r="B222" s="545"/>
      <c r="C222" s="996"/>
      <c r="D222" s="996"/>
      <c r="E222" s="996"/>
      <c r="F222" s="996"/>
      <c r="G222" s="996"/>
      <c r="H222" s="996"/>
      <c r="I222" s="3"/>
      <c r="J222" s="996"/>
      <c r="K222" s="996"/>
      <c r="L222" s="996"/>
      <c r="M222" s="996"/>
      <c r="N222" s="996"/>
      <c r="O222" s="996"/>
      <c r="P222" s="996"/>
      <c r="Q222" s="996"/>
      <c r="R222" s="996"/>
      <c r="S222" s="996"/>
      <c r="T222" s="996"/>
      <c r="U222" s="996"/>
      <c r="V222" s="996"/>
      <c r="W222" s="996"/>
      <c r="X222" s="996"/>
      <c r="Y222" s="996"/>
      <c r="Z222" s="97"/>
      <c r="AA222" s="996"/>
      <c r="AB222" s="996"/>
      <c r="AC222" s="996"/>
      <c r="AD222" s="996"/>
      <c r="AE222" s="996"/>
      <c r="AF222" s="996"/>
      <c r="AG222" s="996"/>
      <c r="AH222" s="996"/>
      <c r="AI222" s="996"/>
      <c r="AJ222" s="996"/>
      <c r="AK222" s="996"/>
      <c r="AL222" s="996"/>
    </row>
    <row r="223" spans="2:38">
      <c r="B223" s="545"/>
      <c r="C223" s="996"/>
      <c r="D223" s="996"/>
      <c r="E223" s="996"/>
      <c r="F223" s="996"/>
      <c r="G223" s="996"/>
      <c r="H223" s="996"/>
      <c r="I223" s="3"/>
      <c r="J223" s="996"/>
      <c r="K223" s="996"/>
      <c r="L223" s="996"/>
      <c r="M223" s="996"/>
      <c r="N223" s="996"/>
      <c r="O223" s="996"/>
      <c r="P223" s="996"/>
      <c r="Q223" s="996"/>
      <c r="R223" s="996"/>
      <c r="S223" s="996"/>
      <c r="T223" s="996"/>
      <c r="U223" s="996"/>
      <c r="V223" s="996"/>
      <c r="W223" s="996"/>
      <c r="X223" s="996"/>
      <c r="Y223" s="996"/>
      <c r="Z223" s="97"/>
      <c r="AA223" s="996"/>
      <c r="AB223" s="996"/>
      <c r="AC223" s="996"/>
      <c r="AD223" s="996"/>
      <c r="AE223" s="996"/>
      <c r="AF223" s="996"/>
      <c r="AG223" s="996"/>
      <c r="AH223" s="996"/>
      <c r="AI223" s="996"/>
      <c r="AJ223" s="996"/>
      <c r="AK223" s="996"/>
      <c r="AL223" s="996"/>
    </row>
    <row r="224" spans="2:38">
      <c r="B224" s="545"/>
      <c r="C224" s="996"/>
      <c r="D224" s="996"/>
      <c r="E224" s="996"/>
      <c r="F224" s="996"/>
      <c r="G224" s="996"/>
      <c r="H224" s="996"/>
      <c r="I224" s="3"/>
      <c r="J224" s="996"/>
      <c r="K224" s="996"/>
      <c r="L224" s="996"/>
      <c r="M224" s="996"/>
      <c r="N224" s="996"/>
      <c r="O224" s="996"/>
      <c r="P224" s="996"/>
      <c r="Q224" s="996"/>
      <c r="R224" s="996"/>
      <c r="S224" s="996"/>
      <c r="T224" s="996"/>
      <c r="U224" s="996"/>
      <c r="V224" s="996"/>
      <c r="W224" s="996"/>
      <c r="X224" s="996"/>
      <c r="Y224" s="996"/>
      <c r="Z224" s="97"/>
      <c r="AA224" s="996"/>
      <c r="AB224" s="996"/>
      <c r="AC224" s="996"/>
      <c r="AD224" s="996"/>
      <c r="AE224" s="996"/>
      <c r="AF224" s="996"/>
      <c r="AG224" s="996"/>
      <c r="AH224" s="996"/>
      <c r="AI224" s="996"/>
      <c r="AJ224" s="996"/>
      <c r="AK224" s="996"/>
      <c r="AL224" s="996"/>
    </row>
    <row r="225" spans="2:38">
      <c r="B225" s="545"/>
      <c r="C225" s="996"/>
      <c r="D225" s="996"/>
      <c r="E225" s="996"/>
      <c r="F225" s="996"/>
      <c r="G225" s="996"/>
      <c r="H225" s="996"/>
      <c r="I225" s="3"/>
      <c r="J225" s="996"/>
      <c r="K225" s="996"/>
      <c r="L225" s="996"/>
      <c r="M225" s="996"/>
      <c r="N225" s="996"/>
      <c r="O225" s="996"/>
      <c r="P225" s="996"/>
      <c r="Q225" s="996"/>
      <c r="R225" s="996"/>
      <c r="S225" s="996"/>
      <c r="T225" s="996"/>
      <c r="U225" s="996"/>
      <c r="V225" s="996"/>
      <c r="W225" s="996"/>
      <c r="X225" s="996"/>
      <c r="Y225" s="996"/>
      <c r="Z225" s="97"/>
      <c r="AA225" s="996"/>
      <c r="AB225" s="996"/>
      <c r="AC225" s="996"/>
      <c r="AD225" s="996"/>
      <c r="AE225" s="996"/>
      <c r="AF225" s="996"/>
      <c r="AG225" s="996"/>
      <c r="AH225" s="996"/>
      <c r="AI225" s="996"/>
      <c r="AJ225" s="996"/>
      <c r="AK225" s="996"/>
      <c r="AL225" s="996"/>
    </row>
    <row r="226" spans="2:38">
      <c r="B226" s="545"/>
      <c r="C226" s="996"/>
      <c r="D226" s="996"/>
      <c r="E226" s="996"/>
      <c r="F226" s="996"/>
      <c r="G226" s="996"/>
      <c r="H226" s="996"/>
      <c r="I226" s="3"/>
      <c r="J226" s="996"/>
      <c r="K226" s="996"/>
      <c r="L226" s="996"/>
      <c r="M226" s="996"/>
      <c r="N226" s="996"/>
      <c r="O226" s="996"/>
      <c r="P226" s="996"/>
      <c r="Q226" s="996"/>
      <c r="R226" s="996"/>
      <c r="S226" s="996"/>
      <c r="T226" s="996"/>
      <c r="U226" s="996"/>
      <c r="V226" s="996"/>
      <c r="W226" s="996"/>
      <c r="X226" s="996"/>
      <c r="Y226" s="996"/>
      <c r="Z226" s="97"/>
      <c r="AA226" s="996"/>
      <c r="AB226" s="996"/>
      <c r="AC226" s="996"/>
      <c r="AD226" s="996"/>
      <c r="AE226" s="996"/>
      <c r="AF226" s="996"/>
      <c r="AG226" s="996"/>
      <c r="AH226" s="996"/>
      <c r="AI226" s="996"/>
      <c r="AJ226" s="996"/>
      <c r="AK226" s="996"/>
      <c r="AL226" s="996"/>
    </row>
    <row r="227" spans="2:38">
      <c r="B227" s="545"/>
      <c r="C227" s="996"/>
      <c r="D227" s="996"/>
      <c r="E227" s="996"/>
      <c r="F227" s="996"/>
      <c r="G227" s="996"/>
      <c r="H227" s="996"/>
      <c r="I227" s="3"/>
      <c r="J227" s="996"/>
      <c r="K227" s="996"/>
      <c r="L227" s="996"/>
      <c r="M227" s="996"/>
      <c r="N227" s="996"/>
      <c r="O227" s="996"/>
      <c r="P227" s="996"/>
      <c r="Q227" s="996"/>
      <c r="R227" s="996"/>
      <c r="S227" s="996"/>
      <c r="T227" s="996"/>
      <c r="U227" s="996"/>
      <c r="V227" s="996"/>
      <c r="W227" s="996"/>
      <c r="X227" s="996"/>
      <c r="Y227" s="996"/>
      <c r="Z227" s="97"/>
      <c r="AA227" s="996"/>
      <c r="AB227" s="996"/>
      <c r="AC227" s="996"/>
      <c r="AD227" s="996"/>
      <c r="AE227" s="996"/>
      <c r="AF227" s="996"/>
      <c r="AG227" s="996"/>
      <c r="AH227" s="996"/>
      <c r="AI227" s="996"/>
      <c r="AJ227" s="996"/>
      <c r="AK227" s="996"/>
      <c r="AL227" s="996"/>
    </row>
    <row r="228" spans="2:38">
      <c r="B228" s="545"/>
      <c r="C228" s="996"/>
      <c r="D228" s="996"/>
      <c r="E228" s="996"/>
      <c r="F228" s="996"/>
      <c r="G228" s="996"/>
      <c r="H228" s="996"/>
      <c r="I228" s="3"/>
      <c r="J228" s="996"/>
      <c r="K228" s="996"/>
      <c r="L228" s="996"/>
      <c r="M228" s="996"/>
      <c r="N228" s="996"/>
      <c r="O228" s="996"/>
      <c r="P228" s="996"/>
      <c r="Q228" s="996"/>
      <c r="R228" s="996"/>
      <c r="S228" s="996"/>
      <c r="T228" s="996"/>
      <c r="U228" s="996"/>
      <c r="V228" s="996"/>
      <c r="W228" s="996"/>
      <c r="X228" s="996"/>
      <c r="Y228" s="996"/>
      <c r="Z228" s="97"/>
      <c r="AA228" s="996"/>
      <c r="AB228" s="996"/>
      <c r="AC228" s="996"/>
      <c r="AD228" s="996"/>
      <c r="AE228" s="996"/>
      <c r="AF228" s="996"/>
      <c r="AG228" s="996"/>
      <c r="AH228" s="996"/>
      <c r="AI228" s="996"/>
      <c r="AJ228" s="996"/>
      <c r="AK228" s="996"/>
      <c r="AL228" s="996"/>
    </row>
    <row r="229" spans="2:38">
      <c r="B229" s="545"/>
      <c r="C229" s="996"/>
      <c r="D229" s="996"/>
      <c r="E229" s="996"/>
      <c r="F229" s="996"/>
      <c r="G229" s="996"/>
      <c r="H229" s="996"/>
      <c r="I229" s="3"/>
      <c r="J229" s="996"/>
      <c r="K229" s="996"/>
      <c r="L229" s="996"/>
      <c r="M229" s="996"/>
      <c r="N229" s="996"/>
      <c r="O229" s="996"/>
      <c r="P229" s="996"/>
      <c r="Q229" s="996"/>
      <c r="R229" s="996"/>
      <c r="S229" s="996"/>
      <c r="T229" s="996"/>
      <c r="U229" s="996"/>
      <c r="V229" s="996"/>
      <c r="W229" s="996"/>
      <c r="X229" s="996"/>
      <c r="Y229" s="996"/>
      <c r="Z229" s="97"/>
      <c r="AA229" s="996"/>
      <c r="AB229" s="996"/>
      <c r="AC229" s="996"/>
      <c r="AD229" s="996"/>
      <c r="AE229" s="996"/>
      <c r="AF229" s="996"/>
      <c r="AG229" s="996"/>
      <c r="AH229" s="996"/>
      <c r="AI229" s="996"/>
      <c r="AJ229" s="996"/>
      <c r="AK229" s="996"/>
      <c r="AL229" s="996"/>
    </row>
    <row r="230" spans="2:38">
      <c r="B230" s="545"/>
      <c r="C230" s="996"/>
      <c r="D230" s="996"/>
      <c r="E230" s="996"/>
      <c r="F230" s="996"/>
      <c r="G230" s="996"/>
      <c r="H230" s="996"/>
      <c r="I230" s="3"/>
      <c r="J230" s="996"/>
      <c r="K230" s="996"/>
      <c r="L230" s="996"/>
      <c r="M230" s="996"/>
      <c r="N230" s="996"/>
      <c r="O230" s="996"/>
      <c r="P230" s="996"/>
      <c r="Q230" s="996"/>
      <c r="R230" s="996"/>
      <c r="S230" s="996"/>
      <c r="T230" s="996"/>
      <c r="U230" s="996"/>
      <c r="V230" s="996"/>
      <c r="W230" s="996"/>
      <c r="X230" s="996"/>
      <c r="Y230" s="996"/>
      <c r="Z230" s="97"/>
      <c r="AA230" s="996"/>
      <c r="AB230" s="996"/>
      <c r="AC230" s="996"/>
      <c r="AD230" s="996"/>
      <c r="AE230" s="996"/>
      <c r="AF230" s="996"/>
      <c r="AG230" s="996"/>
      <c r="AH230" s="996"/>
      <c r="AI230" s="996"/>
      <c r="AJ230" s="996"/>
      <c r="AK230" s="996"/>
      <c r="AL230" s="996"/>
    </row>
    <row r="231" spans="2:38">
      <c r="B231" s="545"/>
      <c r="C231" s="996"/>
      <c r="D231" s="996"/>
      <c r="E231" s="996"/>
      <c r="F231" s="996"/>
      <c r="G231" s="996"/>
      <c r="H231" s="996"/>
      <c r="I231" s="3"/>
      <c r="J231" s="996"/>
      <c r="K231" s="996"/>
      <c r="L231" s="996"/>
      <c r="M231" s="996"/>
      <c r="N231" s="996"/>
      <c r="O231" s="996"/>
      <c r="P231" s="996"/>
      <c r="Q231" s="996"/>
      <c r="R231" s="996"/>
      <c r="S231" s="996"/>
      <c r="T231" s="996"/>
      <c r="U231" s="996"/>
      <c r="V231" s="996"/>
      <c r="W231" s="996"/>
      <c r="X231" s="996"/>
      <c r="Y231" s="996"/>
      <c r="Z231" s="97"/>
      <c r="AA231" s="996"/>
      <c r="AB231" s="996"/>
      <c r="AC231" s="996"/>
      <c r="AD231" s="996"/>
      <c r="AE231" s="996"/>
      <c r="AF231" s="996"/>
      <c r="AG231" s="996"/>
      <c r="AH231" s="996"/>
      <c r="AI231" s="996"/>
      <c r="AJ231" s="996"/>
      <c r="AK231" s="996"/>
      <c r="AL231" s="996"/>
    </row>
    <row r="232" spans="2:38">
      <c r="B232" s="545"/>
      <c r="C232" s="996"/>
      <c r="D232" s="996"/>
      <c r="E232" s="996"/>
      <c r="F232" s="996"/>
      <c r="G232" s="996"/>
      <c r="H232" s="996"/>
      <c r="I232" s="3"/>
      <c r="J232" s="996"/>
      <c r="K232" s="996"/>
      <c r="L232" s="996"/>
      <c r="M232" s="996"/>
      <c r="N232" s="996"/>
      <c r="O232" s="996"/>
      <c r="P232" s="996"/>
      <c r="Q232" s="996"/>
      <c r="R232" s="996"/>
      <c r="S232" s="996"/>
      <c r="T232" s="996"/>
      <c r="U232" s="996"/>
      <c r="V232" s="996"/>
      <c r="W232" s="996"/>
      <c r="X232" s="996"/>
      <c r="Y232" s="996"/>
      <c r="Z232" s="97"/>
      <c r="AA232" s="996"/>
      <c r="AB232" s="996"/>
      <c r="AC232" s="996"/>
      <c r="AD232" s="996"/>
      <c r="AE232" s="996"/>
      <c r="AF232" s="996"/>
      <c r="AG232" s="996"/>
      <c r="AH232" s="996"/>
      <c r="AI232" s="996"/>
      <c r="AJ232" s="996"/>
      <c r="AK232" s="996"/>
      <c r="AL232" s="996"/>
    </row>
    <row r="233" spans="2:38">
      <c r="B233" s="545"/>
      <c r="C233" s="996"/>
      <c r="D233" s="996"/>
      <c r="E233" s="996"/>
      <c r="F233" s="996"/>
      <c r="G233" s="996"/>
      <c r="H233" s="996"/>
      <c r="I233" s="3"/>
      <c r="J233" s="996"/>
      <c r="K233" s="996"/>
      <c r="L233" s="996"/>
      <c r="M233" s="996"/>
      <c r="N233" s="996"/>
      <c r="O233" s="996"/>
      <c r="P233" s="996"/>
      <c r="Q233" s="996"/>
      <c r="R233" s="996"/>
      <c r="S233" s="996"/>
      <c r="T233" s="996"/>
      <c r="U233" s="996"/>
      <c r="V233" s="996"/>
      <c r="W233" s="996"/>
      <c r="X233" s="996"/>
      <c r="Y233" s="996"/>
      <c r="Z233" s="97"/>
      <c r="AA233" s="996"/>
      <c r="AB233" s="996"/>
      <c r="AC233" s="996"/>
      <c r="AD233" s="996"/>
      <c r="AE233" s="996"/>
      <c r="AF233" s="996"/>
      <c r="AG233" s="996"/>
      <c r="AH233" s="996"/>
      <c r="AI233" s="996"/>
      <c r="AJ233" s="996"/>
      <c r="AK233" s="996"/>
      <c r="AL233" s="996"/>
    </row>
    <row r="234" spans="2:38">
      <c r="B234" s="545"/>
      <c r="C234" s="996"/>
      <c r="D234" s="996"/>
      <c r="E234" s="996"/>
      <c r="F234" s="996"/>
      <c r="G234" s="996"/>
      <c r="H234" s="996"/>
      <c r="I234" s="3"/>
      <c r="J234" s="996"/>
      <c r="K234" s="996"/>
      <c r="L234" s="996"/>
      <c r="M234" s="996"/>
      <c r="N234" s="996"/>
      <c r="O234" s="996"/>
      <c r="P234" s="996"/>
      <c r="Q234" s="996"/>
      <c r="R234" s="996"/>
      <c r="S234" s="996"/>
      <c r="T234" s="996"/>
      <c r="U234" s="996"/>
      <c r="V234" s="996"/>
      <c r="W234" s="996"/>
      <c r="X234" s="996"/>
      <c r="Y234" s="996"/>
      <c r="Z234" s="97"/>
      <c r="AA234" s="996"/>
      <c r="AB234" s="996"/>
      <c r="AC234" s="996"/>
      <c r="AD234" s="996"/>
      <c r="AE234" s="996"/>
      <c r="AF234" s="996"/>
      <c r="AG234" s="996"/>
      <c r="AH234" s="996"/>
      <c r="AI234" s="996"/>
      <c r="AJ234" s="996"/>
      <c r="AK234" s="996"/>
      <c r="AL234" s="996"/>
    </row>
    <row r="235" spans="2:38">
      <c r="B235" s="545"/>
      <c r="C235" s="996"/>
      <c r="D235" s="996"/>
      <c r="E235" s="996"/>
      <c r="F235" s="996"/>
      <c r="G235" s="996"/>
      <c r="H235" s="996"/>
      <c r="I235" s="3"/>
      <c r="J235" s="996"/>
      <c r="K235" s="996"/>
      <c r="L235" s="996"/>
      <c r="M235" s="996"/>
      <c r="N235" s="996"/>
      <c r="O235" s="996"/>
      <c r="P235" s="996"/>
      <c r="Q235" s="996"/>
      <c r="R235" s="996"/>
      <c r="S235" s="996"/>
      <c r="T235" s="996"/>
      <c r="U235" s="996"/>
      <c r="V235" s="996"/>
      <c r="W235" s="996"/>
      <c r="X235" s="996"/>
      <c r="Y235" s="996"/>
      <c r="Z235" s="97"/>
      <c r="AA235" s="996"/>
      <c r="AB235" s="996"/>
      <c r="AC235" s="996"/>
      <c r="AD235" s="996"/>
      <c r="AE235" s="996"/>
      <c r="AF235" s="996"/>
      <c r="AG235" s="996"/>
      <c r="AH235" s="996"/>
      <c r="AI235" s="996"/>
      <c r="AJ235" s="996"/>
      <c r="AK235" s="996"/>
      <c r="AL235" s="996"/>
    </row>
    <row r="236" spans="2:38">
      <c r="B236" s="545"/>
      <c r="C236" s="996"/>
      <c r="D236" s="996"/>
      <c r="E236" s="996"/>
      <c r="F236" s="996"/>
      <c r="G236" s="996"/>
      <c r="H236" s="996"/>
      <c r="I236" s="3"/>
      <c r="J236" s="996"/>
      <c r="K236" s="996"/>
      <c r="L236" s="996"/>
      <c r="M236" s="996"/>
      <c r="N236" s="996"/>
      <c r="O236" s="996"/>
      <c r="P236" s="996"/>
      <c r="Q236" s="996"/>
      <c r="R236" s="996"/>
      <c r="S236" s="996"/>
      <c r="T236" s="996"/>
      <c r="U236" s="996"/>
      <c r="V236" s="996"/>
      <c r="W236" s="996"/>
      <c r="X236" s="996"/>
      <c r="Y236" s="996"/>
      <c r="Z236" s="97"/>
      <c r="AA236" s="996"/>
      <c r="AB236" s="996"/>
      <c r="AC236" s="996"/>
      <c r="AD236" s="996"/>
      <c r="AE236" s="996"/>
      <c r="AF236" s="996"/>
      <c r="AG236" s="996"/>
      <c r="AH236" s="996"/>
      <c r="AI236" s="996"/>
      <c r="AJ236" s="996"/>
      <c r="AK236" s="996"/>
      <c r="AL236" s="996"/>
    </row>
    <row r="237" spans="2:38">
      <c r="B237" s="545"/>
      <c r="C237" s="996"/>
      <c r="D237" s="996"/>
      <c r="E237" s="996"/>
      <c r="F237" s="996"/>
      <c r="G237" s="996"/>
      <c r="H237" s="996"/>
      <c r="I237" s="3"/>
      <c r="J237" s="996"/>
      <c r="K237" s="996"/>
      <c r="L237" s="996"/>
      <c r="M237" s="996"/>
      <c r="N237" s="996"/>
      <c r="O237" s="996"/>
      <c r="P237" s="996"/>
      <c r="Q237" s="996"/>
      <c r="R237" s="996"/>
      <c r="S237" s="996"/>
      <c r="T237" s="996"/>
      <c r="U237" s="996"/>
      <c r="V237" s="996"/>
      <c r="W237" s="996"/>
      <c r="X237" s="996"/>
      <c r="Y237" s="996"/>
      <c r="Z237" s="97"/>
      <c r="AA237" s="996"/>
      <c r="AB237" s="996"/>
      <c r="AC237" s="996"/>
      <c r="AD237" s="996"/>
      <c r="AE237" s="996"/>
      <c r="AF237" s="996"/>
      <c r="AG237" s="996"/>
      <c r="AH237" s="996"/>
      <c r="AI237" s="996"/>
      <c r="AJ237" s="996"/>
      <c r="AK237" s="996"/>
      <c r="AL237" s="996"/>
    </row>
    <row r="238" spans="2:38">
      <c r="B238" s="545"/>
      <c r="C238" s="996"/>
      <c r="D238" s="996"/>
      <c r="E238" s="996"/>
      <c r="F238" s="996"/>
      <c r="G238" s="996"/>
      <c r="H238" s="996"/>
      <c r="I238" s="3"/>
      <c r="J238" s="996"/>
      <c r="K238" s="996"/>
      <c r="L238" s="996"/>
      <c r="M238" s="996"/>
      <c r="N238" s="996"/>
      <c r="O238" s="996"/>
      <c r="P238" s="996"/>
      <c r="Q238" s="996"/>
      <c r="R238" s="996"/>
      <c r="S238" s="996"/>
      <c r="T238" s="996"/>
      <c r="U238" s="996"/>
      <c r="V238" s="996"/>
      <c r="W238" s="996"/>
      <c r="X238" s="996"/>
      <c r="Y238" s="996"/>
      <c r="Z238" s="97"/>
      <c r="AA238" s="996"/>
      <c r="AB238" s="996"/>
      <c r="AC238" s="996"/>
      <c r="AD238" s="996"/>
      <c r="AE238" s="996"/>
      <c r="AF238" s="996"/>
      <c r="AG238" s="996"/>
      <c r="AH238" s="996"/>
      <c r="AI238" s="996"/>
      <c r="AJ238" s="996"/>
      <c r="AK238" s="996"/>
      <c r="AL238" s="996"/>
    </row>
    <row r="239" spans="2:38">
      <c r="B239" s="545"/>
      <c r="C239" s="996"/>
      <c r="D239" s="996"/>
      <c r="E239" s="996"/>
      <c r="F239" s="996"/>
      <c r="G239" s="996"/>
      <c r="H239" s="996"/>
      <c r="I239" s="3"/>
      <c r="J239" s="996"/>
      <c r="K239" s="996"/>
      <c r="L239" s="996"/>
      <c r="M239" s="996"/>
      <c r="N239" s="996"/>
      <c r="O239" s="996"/>
      <c r="P239" s="996"/>
      <c r="Q239" s="996"/>
      <c r="R239" s="996"/>
      <c r="S239" s="996"/>
      <c r="T239" s="996"/>
      <c r="U239" s="996"/>
      <c r="V239" s="996"/>
      <c r="W239" s="996"/>
      <c r="X239" s="996"/>
      <c r="Y239" s="996"/>
      <c r="Z239" s="97"/>
      <c r="AA239" s="996"/>
      <c r="AB239" s="996"/>
      <c r="AC239" s="996"/>
      <c r="AD239" s="996"/>
      <c r="AE239" s="996"/>
      <c r="AF239" s="996"/>
      <c r="AG239" s="996"/>
      <c r="AH239" s="996"/>
      <c r="AI239" s="996"/>
      <c r="AJ239" s="996"/>
      <c r="AK239" s="996"/>
      <c r="AL239" s="996"/>
    </row>
    <row r="240" spans="2:38">
      <c r="B240" s="545"/>
      <c r="C240" s="996"/>
      <c r="D240" s="996"/>
      <c r="E240" s="996"/>
      <c r="F240" s="996"/>
      <c r="G240" s="996"/>
      <c r="H240" s="996"/>
      <c r="I240" s="3"/>
      <c r="J240" s="996"/>
      <c r="K240" s="996"/>
      <c r="L240" s="996"/>
      <c r="M240" s="996"/>
      <c r="N240" s="996"/>
      <c r="O240" s="996"/>
      <c r="P240" s="996"/>
      <c r="Q240" s="996"/>
      <c r="R240" s="996"/>
      <c r="S240" s="996"/>
      <c r="T240" s="996"/>
      <c r="U240" s="996"/>
      <c r="V240" s="996"/>
      <c r="W240" s="996"/>
      <c r="X240" s="996"/>
      <c r="Y240" s="996"/>
      <c r="Z240" s="97"/>
      <c r="AA240" s="996"/>
      <c r="AB240" s="996"/>
      <c r="AC240" s="996"/>
      <c r="AD240" s="996"/>
      <c r="AE240" s="996"/>
      <c r="AF240" s="996"/>
      <c r="AG240" s="996"/>
      <c r="AH240" s="996"/>
      <c r="AI240" s="996"/>
      <c r="AJ240" s="996"/>
      <c r="AK240" s="996"/>
      <c r="AL240" s="996"/>
    </row>
    <row r="241" spans="2:38">
      <c r="B241" s="545"/>
      <c r="C241" s="996"/>
      <c r="D241" s="996"/>
      <c r="E241" s="996"/>
      <c r="F241" s="996"/>
      <c r="G241" s="996"/>
      <c r="H241" s="996"/>
      <c r="I241" s="3"/>
      <c r="J241" s="996"/>
      <c r="K241" s="996"/>
      <c r="L241" s="996"/>
      <c r="M241" s="996"/>
      <c r="N241" s="996"/>
      <c r="O241" s="996"/>
      <c r="P241" s="996"/>
      <c r="Q241" s="996"/>
      <c r="R241" s="996"/>
      <c r="S241" s="996"/>
      <c r="T241" s="996"/>
      <c r="U241" s="996"/>
      <c r="V241" s="996"/>
      <c r="W241" s="996"/>
      <c r="X241" s="996"/>
      <c r="Y241" s="996"/>
      <c r="Z241" s="97"/>
      <c r="AA241" s="996"/>
      <c r="AB241" s="996"/>
      <c r="AC241" s="996"/>
      <c r="AD241" s="996"/>
      <c r="AE241" s="996"/>
      <c r="AF241" s="996"/>
      <c r="AG241" s="996"/>
      <c r="AH241" s="996"/>
      <c r="AI241" s="996"/>
      <c r="AJ241" s="996"/>
      <c r="AK241" s="996"/>
      <c r="AL241" s="996"/>
    </row>
    <row r="242" spans="2:38">
      <c r="B242" s="545"/>
      <c r="C242" s="996"/>
      <c r="D242" s="996"/>
      <c r="E242" s="996"/>
      <c r="F242" s="996"/>
      <c r="G242" s="996"/>
      <c r="H242" s="996"/>
      <c r="I242" s="3"/>
      <c r="J242" s="996"/>
      <c r="K242" s="996"/>
      <c r="L242" s="996"/>
      <c r="M242" s="996"/>
      <c r="N242" s="996"/>
      <c r="O242" s="996"/>
      <c r="P242" s="996"/>
      <c r="Q242" s="996"/>
      <c r="R242" s="996"/>
      <c r="S242" s="996"/>
      <c r="T242" s="996"/>
      <c r="U242" s="996"/>
      <c r="V242" s="996"/>
      <c r="W242" s="996"/>
      <c r="X242" s="996"/>
      <c r="Y242" s="996"/>
      <c r="Z242" s="97"/>
      <c r="AA242" s="996"/>
      <c r="AB242" s="996"/>
      <c r="AC242" s="996"/>
      <c r="AD242" s="996"/>
      <c r="AE242" s="996"/>
      <c r="AF242" s="996"/>
      <c r="AG242" s="996"/>
      <c r="AH242" s="996"/>
      <c r="AI242" s="996"/>
      <c r="AJ242" s="996"/>
      <c r="AK242" s="996"/>
      <c r="AL242" s="996"/>
    </row>
    <row r="243" spans="2:38">
      <c r="B243" s="545"/>
      <c r="C243" s="996"/>
      <c r="D243" s="996"/>
      <c r="E243" s="996"/>
      <c r="F243" s="996"/>
      <c r="G243" s="996"/>
      <c r="H243" s="996"/>
      <c r="I243" s="3"/>
      <c r="J243" s="996"/>
      <c r="K243" s="996"/>
      <c r="L243" s="996"/>
      <c r="M243" s="996"/>
      <c r="N243" s="996"/>
      <c r="O243" s="996"/>
      <c r="P243" s="996"/>
      <c r="Q243" s="996"/>
      <c r="R243" s="996"/>
      <c r="S243" s="996"/>
      <c r="T243" s="996"/>
      <c r="U243" s="996"/>
      <c r="V243" s="996"/>
      <c r="W243" s="996"/>
      <c r="X243" s="996"/>
      <c r="Y243" s="996"/>
      <c r="Z243" s="97"/>
      <c r="AA243" s="996"/>
      <c r="AB243" s="996"/>
      <c r="AC243" s="996"/>
      <c r="AD243" s="996"/>
      <c r="AE243" s="996"/>
      <c r="AF243" s="996"/>
      <c r="AG243" s="996"/>
      <c r="AH243" s="996"/>
      <c r="AI243" s="996"/>
      <c r="AJ243" s="996"/>
      <c r="AK243" s="996"/>
      <c r="AL243" s="996"/>
    </row>
    <row r="244" spans="2:38">
      <c r="B244" s="545"/>
      <c r="C244" s="996"/>
      <c r="D244" s="996"/>
      <c r="E244" s="996"/>
      <c r="F244" s="996"/>
      <c r="G244" s="996"/>
      <c r="H244" s="996"/>
      <c r="I244" s="3"/>
      <c r="J244" s="996"/>
      <c r="K244" s="996"/>
      <c r="L244" s="996"/>
      <c r="M244" s="996"/>
      <c r="N244" s="996"/>
      <c r="O244" s="996"/>
      <c r="P244" s="996"/>
      <c r="Q244" s="996"/>
      <c r="R244" s="996"/>
      <c r="S244" s="996"/>
      <c r="T244" s="996"/>
      <c r="U244" s="996"/>
      <c r="V244" s="996"/>
      <c r="W244" s="996"/>
      <c r="X244" s="996"/>
      <c r="Y244" s="996"/>
      <c r="Z244" s="97"/>
      <c r="AA244" s="996"/>
      <c r="AB244" s="996"/>
      <c r="AC244" s="996"/>
      <c r="AD244" s="996"/>
      <c r="AE244" s="996"/>
      <c r="AF244" s="996"/>
      <c r="AG244" s="996"/>
      <c r="AH244" s="996"/>
      <c r="AI244" s="996"/>
      <c r="AJ244" s="996"/>
      <c r="AK244" s="996"/>
      <c r="AL244" s="996"/>
    </row>
    <row r="245" spans="2:38">
      <c r="B245" s="545"/>
      <c r="C245" s="996"/>
      <c r="D245" s="996"/>
      <c r="E245" s="996"/>
      <c r="F245" s="996"/>
      <c r="G245" s="996"/>
      <c r="H245" s="996"/>
      <c r="I245" s="3"/>
      <c r="J245" s="996"/>
      <c r="K245" s="996"/>
      <c r="L245" s="996"/>
      <c r="M245" s="996"/>
      <c r="N245" s="996"/>
      <c r="O245" s="996"/>
      <c r="P245" s="996"/>
      <c r="Q245" s="996"/>
      <c r="R245" s="996"/>
      <c r="S245" s="996"/>
      <c r="T245" s="996"/>
      <c r="U245" s="996"/>
      <c r="V245" s="996"/>
      <c r="W245" s="996"/>
      <c r="X245" s="996"/>
      <c r="Y245" s="996"/>
      <c r="Z245" s="97"/>
      <c r="AA245" s="996"/>
      <c r="AB245" s="996"/>
      <c r="AC245" s="996"/>
      <c r="AD245" s="996"/>
      <c r="AE245" s="996"/>
      <c r="AF245" s="996"/>
      <c r="AG245" s="996"/>
      <c r="AH245" s="996"/>
      <c r="AI245" s="996"/>
      <c r="AJ245" s="996"/>
      <c r="AK245" s="996"/>
      <c r="AL245" s="996"/>
    </row>
    <row r="246" spans="2:38">
      <c r="B246" s="545"/>
      <c r="C246" s="996"/>
      <c r="D246" s="996"/>
      <c r="E246" s="996"/>
      <c r="F246" s="996"/>
      <c r="G246" s="996"/>
      <c r="H246" s="996"/>
      <c r="I246" s="3"/>
      <c r="J246" s="996"/>
      <c r="K246" s="996"/>
      <c r="L246" s="996"/>
      <c r="M246" s="996"/>
      <c r="N246" s="996"/>
      <c r="O246" s="996"/>
      <c r="P246" s="996"/>
      <c r="Q246" s="996"/>
      <c r="R246" s="996"/>
      <c r="S246" s="996"/>
      <c r="T246" s="996"/>
      <c r="U246" s="996"/>
      <c r="V246" s="996"/>
      <c r="W246" s="996"/>
      <c r="X246" s="996"/>
      <c r="Y246" s="996"/>
      <c r="Z246" s="97"/>
      <c r="AA246" s="996"/>
      <c r="AB246" s="996"/>
      <c r="AC246" s="996"/>
      <c r="AD246" s="996"/>
      <c r="AE246" s="996"/>
      <c r="AF246" s="996"/>
      <c r="AG246" s="996"/>
      <c r="AH246" s="996"/>
      <c r="AI246" s="996"/>
      <c r="AJ246" s="996"/>
      <c r="AK246" s="996"/>
      <c r="AL246" s="996"/>
    </row>
    <row r="247" spans="2:38">
      <c r="B247" s="545"/>
      <c r="C247" s="996"/>
      <c r="D247" s="996"/>
      <c r="E247" s="996"/>
      <c r="F247" s="996"/>
      <c r="G247" s="996"/>
      <c r="H247" s="996"/>
      <c r="I247" s="3"/>
      <c r="J247" s="996"/>
      <c r="K247" s="996"/>
      <c r="L247" s="996"/>
      <c r="M247" s="996"/>
      <c r="N247" s="996"/>
      <c r="O247" s="996"/>
      <c r="P247" s="996"/>
      <c r="Q247" s="996"/>
      <c r="R247" s="996"/>
      <c r="S247" s="996"/>
      <c r="T247" s="996"/>
      <c r="U247" s="996"/>
      <c r="V247" s="996"/>
      <c r="W247" s="996"/>
      <c r="X247" s="996"/>
      <c r="Y247" s="996"/>
      <c r="Z247" s="97"/>
      <c r="AA247" s="996"/>
      <c r="AB247" s="996"/>
      <c r="AC247" s="996"/>
      <c r="AD247" s="996"/>
      <c r="AE247" s="996"/>
      <c r="AF247" s="996"/>
      <c r="AG247" s="996"/>
      <c r="AH247" s="996"/>
      <c r="AI247" s="996"/>
      <c r="AJ247" s="996"/>
      <c r="AK247" s="996"/>
      <c r="AL247" s="996"/>
    </row>
    <row r="248" spans="2:38">
      <c r="B248" s="545"/>
      <c r="C248" s="996"/>
      <c r="D248" s="996"/>
      <c r="E248" s="996"/>
      <c r="F248" s="996"/>
      <c r="G248" s="996"/>
      <c r="H248" s="996"/>
      <c r="I248" s="3"/>
      <c r="J248" s="996"/>
      <c r="K248" s="996"/>
      <c r="L248" s="996"/>
      <c r="M248" s="996"/>
      <c r="N248" s="996"/>
      <c r="O248" s="996"/>
      <c r="P248" s="996"/>
      <c r="Q248" s="996"/>
      <c r="R248" s="996"/>
      <c r="S248" s="996"/>
      <c r="T248" s="996"/>
      <c r="U248" s="996"/>
      <c r="V248" s="996"/>
      <c r="W248" s="996"/>
      <c r="X248" s="996"/>
      <c r="Y248" s="996"/>
      <c r="Z248" s="97"/>
      <c r="AA248" s="996"/>
      <c r="AB248" s="996"/>
      <c r="AC248" s="996"/>
      <c r="AD248" s="996"/>
      <c r="AE248" s="996"/>
      <c r="AF248" s="996"/>
      <c r="AG248" s="996"/>
      <c r="AH248" s="996"/>
      <c r="AI248" s="996"/>
      <c r="AJ248" s="996"/>
      <c r="AK248" s="996"/>
      <c r="AL248" s="996"/>
    </row>
    <row r="249" spans="2:38">
      <c r="B249" s="545"/>
      <c r="C249" s="996"/>
      <c r="D249" s="996"/>
      <c r="E249" s="996"/>
      <c r="F249" s="996"/>
      <c r="G249" s="996"/>
      <c r="H249" s="996"/>
      <c r="I249" s="3"/>
      <c r="J249" s="996"/>
      <c r="K249" s="996"/>
      <c r="L249" s="996"/>
      <c r="M249" s="996"/>
      <c r="N249" s="996"/>
      <c r="O249" s="996"/>
      <c r="P249" s="996"/>
      <c r="Q249" s="996"/>
      <c r="R249" s="996"/>
      <c r="S249" s="996"/>
      <c r="T249" s="996"/>
      <c r="U249" s="996"/>
      <c r="V249" s="996"/>
      <c r="W249" s="996"/>
      <c r="X249" s="996"/>
      <c r="Y249" s="996"/>
      <c r="Z249" s="97"/>
      <c r="AA249" s="996"/>
      <c r="AB249" s="996"/>
      <c r="AC249" s="996"/>
      <c r="AD249" s="996"/>
      <c r="AE249" s="996"/>
      <c r="AF249" s="996"/>
      <c r="AG249" s="996"/>
      <c r="AH249" s="996"/>
      <c r="AI249" s="996"/>
      <c r="AJ249" s="996"/>
      <c r="AK249" s="996"/>
      <c r="AL249" s="996"/>
    </row>
    <row r="250" spans="2:38">
      <c r="B250" s="545"/>
      <c r="C250" s="996"/>
      <c r="D250" s="996"/>
      <c r="E250" s="996"/>
      <c r="F250" s="996"/>
      <c r="G250" s="996"/>
      <c r="H250" s="996"/>
      <c r="I250" s="3"/>
      <c r="J250" s="996"/>
      <c r="K250" s="996"/>
      <c r="L250" s="996"/>
      <c r="M250" s="996"/>
      <c r="N250" s="996"/>
      <c r="O250" s="996"/>
      <c r="P250" s="996"/>
      <c r="Q250" s="996"/>
      <c r="R250" s="996"/>
      <c r="S250" s="996"/>
      <c r="T250" s="996"/>
      <c r="U250" s="996"/>
      <c r="V250" s="996"/>
      <c r="W250" s="996"/>
      <c r="X250" s="996"/>
      <c r="Y250" s="996"/>
      <c r="Z250" s="97"/>
      <c r="AA250" s="996"/>
      <c r="AB250" s="996"/>
      <c r="AC250" s="996"/>
      <c r="AD250" s="996"/>
      <c r="AE250" s="996"/>
      <c r="AF250" s="996"/>
      <c r="AG250" s="996"/>
      <c r="AH250" s="996"/>
      <c r="AI250" s="996"/>
      <c r="AJ250" s="996"/>
      <c r="AK250" s="996"/>
      <c r="AL250" s="996"/>
    </row>
    <row r="251" spans="2:38">
      <c r="B251" s="545"/>
      <c r="C251" s="996"/>
      <c r="D251" s="996"/>
      <c r="E251" s="996"/>
      <c r="F251" s="996"/>
      <c r="G251" s="996"/>
      <c r="H251" s="996"/>
      <c r="I251" s="3"/>
      <c r="J251" s="996"/>
      <c r="K251" s="996"/>
      <c r="L251" s="996"/>
      <c r="M251" s="996"/>
      <c r="N251" s="996"/>
      <c r="O251" s="996"/>
      <c r="P251" s="996"/>
      <c r="Q251" s="996"/>
      <c r="R251" s="996"/>
      <c r="S251" s="996"/>
      <c r="T251" s="996"/>
      <c r="U251" s="996"/>
      <c r="V251" s="996"/>
      <c r="W251" s="996"/>
      <c r="X251" s="996"/>
      <c r="Y251" s="996"/>
      <c r="Z251" s="97"/>
      <c r="AA251" s="996"/>
      <c r="AB251" s="996"/>
      <c r="AC251" s="996"/>
      <c r="AD251" s="996"/>
      <c r="AE251" s="996"/>
      <c r="AF251" s="996"/>
      <c r="AG251" s="996"/>
      <c r="AH251" s="996"/>
      <c r="AI251" s="996"/>
      <c r="AJ251" s="996"/>
      <c r="AK251" s="996"/>
      <c r="AL251" s="996"/>
    </row>
    <row r="252" spans="2:38">
      <c r="B252" s="545"/>
      <c r="C252" s="996"/>
      <c r="D252" s="996"/>
      <c r="E252" s="996"/>
      <c r="F252" s="996"/>
      <c r="G252" s="996"/>
      <c r="H252" s="996"/>
      <c r="I252" s="3"/>
      <c r="J252" s="996"/>
      <c r="K252" s="996"/>
      <c r="L252" s="996"/>
      <c r="M252" s="996"/>
      <c r="N252" s="996"/>
      <c r="O252" s="996"/>
      <c r="P252" s="996"/>
      <c r="Q252" s="996"/>
      <c r="R252" s="996"/>
      <c r="S252" s="996"/>
      <c r="T252" s="996"/>
      <c r="U252" s="996"/>
      <c r="V252" s="996"/>
      <c r="W252" s="996"/>
      <c r="X252" s="996"/>
      <c r="Y252" s="996"/>
      <c r="Z252" s="97"/>
      <c r="AA252" s="996"/>
      <c r="AB252" s="996"/>
      <c r="AC252" s="996"/>
      <c r="AD252" s="996"/>
      <c r="AE252" s="996"/>
      <c r="AF252" s="996"/>
      <c r="AG252" s="996"/>
      <c r="AH252" s="996"/>
      <c r="AI252" s="996"/>
      <c r="AJ252" s="996"/>
      <c r="AK252" s="996"/>
      <c r="AL252" s="996"/>
    </row>
    <row r="253" spans="2:38">
      <c r="B253" s="545"/>
      <c r="C253" s="996"/>
      <c r="D253" s="996"/>
      <c r="E253" s="996"/>
      <c r="F253" s="996"/>
      <c r="G253" s="996"/>
      <c r="H253" s="996"/>
      <c r="I253" s="3"/>
      <c r="J253" s="996"/>
      <c r="K253" s="996"/>
      <c r="L253" s="996"/>
      <c r="M253" s="996"/>
      <c r="N253" s="996"/>
      <c r="O253" s="996"/>
      <c r="P253" s="996"/>
      <c r="Q253" s="996"/>
      <c r="R253" s="996"/>
      <c r="S253" s="996"/>
      <c r="T253" s="996"/>
      <c r="U253" s="996"/>
      <c r="V253" s="996"/>
      <c r="W253" s="996"/>
      <c r="X253" s="996"/>
      <c r="Y253" s="996"/>
      <c r="Z253" s="97"/>
      <c r="AA253" s="996"/>
      <c r="AB253" s="996"/>
      <c r="AC253" s="996"/>
      <c r="AD253" s="996"/>
      <c r="AE253" s="996"/>
      <c r="AF253" s="996"/>
      <c r="AG253" s="996"/>
      <c r="AH253" s="996"/>
      <c r="AI253" s="996"/>
      <c r="AJ253" s="996"/>
      <c r="AK253" s="996"/>
      <c r="AL253" s="996"/>
    </row>
    <row r="254" spans="2:38">
      <c r="B254" s="545"/>
      <c r="C254" s="996"/>
      <c r="D254" s="996"/>
      <c r="E254" s="996"/>
      <c r="F254" s="996"/>
      <c r="G254" s="996"/>
      <c r="H254" s="996"/>
      <c r="I254" s="3"/>
      <c r="J254" s="996"/>
      <c r="K254" s="996"/>
      <c r="L254" s="996"/>
      <c r="M254" s="996"/>
      <c r="N254" s="996"/>
      <c r="O254" s="996"/>
      <c r="P254" s="996"/>
      <c r="Q254" s="996"/>
      <c r="R254" s="996"/>
      <c r="S254" s="996"/>
      <c r="T254" s="996"/>
      <c r="U254" s="996"/>
      <c r="V254" s="996"/>
      <c r="W254" s="996"/>
      <c r="X254" s="996"/>
      <c r="Y254" s="996"/>
      <c r="Z254" s="97"/>
      <c r="AA254" s="996"/>
      <c r="AB254" s="996"/>
      <c r="AC254" s="996"/>
      <c r="AD254" s="996"/>
      <c r="AE254" s="996"/>
      <c r="AF254" s="996"/>
      <c r="AG254" s="996"/>
      <c r="AH254" s="996"/>
      <c r="AI254" s="996"/>
      <c r="AJ254" s="996"/>
      <c r="AK254" s="996"/>
      <c r="AL254" s="996"/>
    </row>
    <row r="255" spans="2:38">
      <c r="B255" s="545"/>
      <c r="C255" s="996"/>
      <c r="D255" s="996"/>
      <c r="E255" s="996"/>
      <c r="F255" s="996"/>
      <c r="G255" s="996"/>
      <c r="H255" s="996"/>
      <c r="I255" s="3"/>
      <c r="J255" s="996"/>
      <c r="K255" s="996"/>
      <c r="L255" s="996"/>
      <c r="M255" s="996"/>
      <c r="N255" s="996"/>
      <c r="O255" s="996"/>
      <c r="P255" s="996"/>
      <c r="Q255" s="996"/>
      <c r="R255" s="996"/>
      <c r="S255" s="996"/>
      <c r="T255" s="996"/>
      <c r="U255" s="996"/>
      <c r="V255" s="996"/>
      <c r="W255" s="996"/>
      <c r="X255" s="996"/>
      <c r="Y255" s="996"/>
      <c r="Z255" s="97"/>
      <c r="AA255" s="996"/>
      <c r="AB255" s="996"/>
      <c r="AC255" s="996"/>
      <c r="AD255" s="996"/>
      <c r="AE255" s="996"/>
      <c r="AF255" s="996"/>
      <c r="AG255" s="996"/>
      <c r="AH255" s="996"/>
      <c r="AI255" s="996"/>
      <c r="AJ255" s="996"/>
      <c r="AK255" s="996"/>
      <c r="AL255" s="996"/>
    </row>
    <row r="256" spans="2:38">
      <c r="B256" s="545"/>
      <c r="C256" s="996"/>
      <c r="D256" s="996"/>
      <c r="E256" s="996"/>
      <c r="F256" s="996"/>
      <c r="G256" s="996"/>
      <c r="H256" s="996"/>
      <c r="I256" s="3"/>
      <c r="J256" s="996"/>
      <c r="K256" s="996"/>
      <c r="L256" s="996"/>
      <c r="M256" s="996"/>
      <c r="N256" s="996"/>
      <c r="O256" s="996"/>
      <c r="P256" s="996"/>
      <c r="Q256" s="996"/>
      <c r="R256" s="996"/>
      <c r="S256" s="996"/>
      <c r="T256" s="996"/>
      <c r="U256" s="996"/>
      <c r="V256" s="996"/>
      <c r="W256" s="996"/>
      <c r="X256" s="996"/>
      <c r="Y256" s="996"/>
      <c r="Z256" s="97"/>
      <c r="AA256" s="996"/>
      <c r="AB256" s="996"/>
      <c r="AC256" s="996"/>
      <c r="AD256" s="996"/>
      <c r="AE256" s="996"/>
      <c r="AF256" s="996"/>
      <c r="AG256" s="996"/>
      <c r="AH256" s="996"/>
      <c r="AI256" s="996"/>
      <c r="AJ256" s="996"/>
      <c r="AK256" s="996"/>
      <c r="AL256" s="996"/>
    </row>
    <row r="257" spans="2:38">
      <c r="B257" s="545"/>
      <c r="C257" s="996"/>
      <c r="D257" s="996"/>
      <c r="E257" s="996"/>
      <c r="F257" s="996"/>
      <c r="G257" s="996"/>
      <c r="H257" s="996"/>
      <c r="I257" s="3"/>
      <c r="J257" s="996"/>
      <c r="K257" s="996"/>
      <c r="L257" s="996"/>
      <c r="M257" s="996"/>
      <c r="N257" s="996"/>
      <c r="O257" s="996"/>
      <c r="P257" s="996"/>
      <c r="Q257" s="996"/>
      <c r="R257" s="996"/>
      <c r="S257" s="996"/>
      <c r="T257" s="996"/>
      <c r="U257" s="996"/>
      <c r="V257" s="996"/>
      <c r="W257" s="996"/>
      <c r="X257" s="996"/>
      <c r="Y257" s="996"/>
      <c r="Z257" s="97"/>
      <c r="AA257" s="996"/>
      <c r="AB257" s="996"/>
      <c r="AC257" s="996"/>
      <c r="AD257" s="996"/>
      <c r="AE257" s="996"/>
      <c r="AF257" s="996"/>
      <c r="AG257" s="996"/>
      <c r="AH257" s="996"/>
      <c r="AI257" s="996"/>
      <c r="AJ257" s="996"/>
      <c r="AK257" s="996"/>
      <c r="AL257" s="996"/>
    </row>
    <row r="258" spans="2:38">
      <c r="B258" s="545"/>
      <c r="C258" s="996"/>
      <c r="D258" s="996"/>
      <c r="E258" s="996"/>
      <c r="F258" s="996"/>
      <c r="G258" s="996"/>
      <c r="H258" s="996"/>
      <c r="I258" s="3"/>
      <c r="J258" s="996"/>
      <c r="K258" s="996"/>
      <c r="L258" s="996"/>
      <c r="M258" s="996"/>
      <c r="N258" s="996"/>
      <c r="O258" s="996"/>
      <c r="P258" s="996"/>
      <c r="Q258" s="996"/>
      <c r="R258" s="996"/>
      <c r="S258" s="996"/>
      <c r="T258" s="996"/>
      <c r="U258" s="996"/>
      <c r="V258" s="996"/>
      <c r="W258" s="996"/>
      <c r="X258" s="996"/>
      <c r="Y258" s="996"/>
      <c r="Z258" s="97"/>
      <c r="AA258" s="996"/>
      <c r="AB258" s="996"/>
      <c r="AC258" s="996"/>
      <c r="AD258" s="996"/>
      <c r="AE258" s="996"/>
      <c r="AF258" s="996"/>
      <c r="AG258" s="996"/>
      <c r="AH258" s="996"/>
      <c r="AI258" s="996"/>
      <c r="AJ258" s="996"/>
      <c r="AK258" s="996"/>
      <c r="AL258" s="996"/>
    </row>
    <row r="259" spans="2:38">
      <c r="B259" s="545"/>
      <c r="C259" s="996"/>
      <c r="D259" s="996"/>
      <c r="E259" s="996"/>
      <c r="F259" s="996"/>
      <c r="G259" s="996"/>
      <c r="H259" s="996"/>
      <c r="I259" s="3"/>
      <c r="J259" s="996"/>
      <c r="K259" s="996"/>
      <c r="L259" s="996"/>
      <c r="M259" s="996"/>
      <c r="N259" s="996"/>
      <c r="O259" s="996"/>
      <c r="P259" s="996"/>
      <c r="Q259" s="996"/>
      <c r="R259" s="996"/>
      <c r="S259" s="996"/>
      <c r="T259" s="996"/>
      <c r="U259" s="996"/>
      <c r="V259" s="996"/>
      <c r="W259" s="996"/>
      <c r="X259" s="996"/>
      <c r="Y259" s="996"/>
      <c r="Z259" s="97"/>
      <c r="AA259" s="996"/>
      <c r="AB259" s="996"/>
      <c r="AC259" s="996"/>
      <c r="AD259" s="996"/>
      <c r="AE259" s="996"/>
      <c r="AF259" s="996"/>
      <c r="AG259" s="996"/>
      <c r="AH259" s="996"/>
      <c r="AI259" s="996"/>
      <c r="AJ259" s="996"/>
      <c r="AK259" s="996"/>
      <c r="AL259" s="996"/>
    </row>
    <row r="260" spans="2:38">
      <c r="B260" s="545"/>
      <c r="C260" s="996"/>
      <c r="D260" s="996"/>
      <c r="E260" s="996"/>
      <c r="F260" s="996"/>
      <c r="G260" s="996"/>
      <c r="H260" s="996"/>
      <c r="I260" s="3"/>
      <c r="J260" s="996"/>
      <c r="K260" s="996"/>
      <c r="L260" s="996"/>
      <c r="M260" s="996"/>
      <c r="N260" s="996"/>
      <c r="O260" s="996"/>
      <c r="P260" s="996"/>
      <c r="Q260" s="996"/>
      <c r="R260" s="996"/>
      <c r="S260" s="996"/>
      <c r="T260" s="996"/>
      <c r="U260" s="996"/>
      <c r="V260" s="996"/>
      <c r="W260" s="996"/>
      <c r="X260" s="996"/>
      <c r="Y260" s="996"/>
      <c r="Z260" s="97"/>
      <c r="AA260" s="996"/>
      <c r="AB260" s="996"/>
      <c r="AC260" s="996"/>
      <c r="AD260" s="996"/>
      <c r="AE260" s="996"/>
      <c r="AF260" s="996"/>
      <c r="AG260" s="996"/>
      <c r="AH260" s="996"/>
      <c r="AI260" s="996"/>
      <c r="AJ260" s="996"/>
      <c r="AK260" s="996"/>
      <c r="AL260" s="996"/>
    </row>
    <row r="261" spans="2:38">
      <c r="B261" s="545"/>
      <c r="C261" s="996"/>
      <c r="D261" s="996"/>
      <c r="E261" s="996"/>
      <c r="F261" s="996"/>
      <c r="G261" s="996"/>
      <c r="H261" s="996"/>
      <c r="I261" s="3"/>
      <c r="J261" s="996"/>
      <c r="K261" s="996"/>
      <c r="L261" s="996"/>
      <c r="M261" s="996"/>
      <c r="N261" s="996"/>
      <c r="O261" s="996"/>
      <c r="P261" s="996"/>
      <c r="Q261" s="996"/>
      <c r="R261" s="996"/>
      <c r="S261" s="996"/>
      <c r="T261" s="996"/>
      <c r="U261" s="996"/>
      <c r="V261" s="996"/>
      <c r="W261" s="996"/>
      <c r="X261" s="996"/>
      <c r="Y261" s="996"/>
      <c r="Z261" s="97"/>
      <c r="AA261" s="996"/>
      <c r="AB261" s="996"/>
      <c r="AC261" s="996"/>
      <c r="AD261" s="996"/>
      <c r="AE261" s="996"/>
      <c r="AF261" s="996"/>
      <c r="AG261" s="996"/>
      <c r="AH261" s="996"/>
      <c r="AI261" s="996"/>
      <c r="AJ261" s="996"/>
      <c r="AK261" s="996"/>
      <c r="AL261" s="996"/>
    </row>
    <row r="262" spans="2:38">
      <c r="B262" s="545"/>
      <c r="C262" s="996"/>
      <c r="D262" s="996"/>
      <c r="E262" s="996"/>
      <c r="F262" s="996"/>
      <c r="G262" s="996"/>
      <c r="H262" s="996"/>
      <c r="I262" s="3"/>
      <c r="J262" s="996"/>
      <c r="K262" s="996"/>
      <c r="L262" s="996"/>
      <c r="M262" s="996"/>
      <c r="N262" s="996"/>
      <c r="O262" s="996"/>
      <c r="P262" s="996"/>
      <c r="Q262" s="996"/>
      <c r="R262" s="996"/>
      <c r="S262" s="996"/>
      <c r="T262" s="996"/>
      <c r="U262" s="996"/>
      <c r="V262" s="996"/>
      <c r="W262" s="996"/>
      <c r="X262" s="996"/>
      <c r="Y262" s="996"/>
      <c r="Z262" s="97"/>
      <c r="AA262" s="996"/>
      <c r="AB262" s="996"/>
      <c r="AC262" s="996"/>
      <c r="AD262" s="996"/>
      <c r="AE262" s="996"/>
      <c r="AF262" s="996"/>
      <c r="AG262" s="996"/>
      <c r="AH262" s="996"/>
      <c r="AI262" s="996"/>
      <c r="AJ262" s="996"/>
      <c r="AK262" s="996"/>
      <c r="AL262" s="996"/>
    </row>
    <row r="263" spans="2:38">
      <c r="B263" s="545"/>
      <c r="C263" s="996"/>
      <c r="D263" s="996"/>
      <c r="E263" s="996"/>
      <c r="F263" s="996"/>
      <c r="G263" s="996"/>
      <c r="H263" s="996"/>
      <c r="I263" s="3"/>
      <c r="J263" s="996"/>
      <c r="K263" s="996"/>
      <c r="L263" s="996"/>
      <c r="M263" s="996"/>
      <c r="N263" s="996"/>
      <c r="O263" s="996"/>
      <c r="P263" s="996"/>
      <c r="Q263" s="996"/>
      <c r="R263" s="996"/>
      <c r="S263" s="996"/>
      <c r="T263" s="996"/>
      <c r="U263" s="996"/>
      <c r="V263" s="996"/>
      <c r="W263" s="996"/>
      <c r="X263" s="996"/>
      <c r="Y263" s="996"/>
      <c r="Z263" s="97"/>
      <c r="AA263" s="996"/>
      <c r="AB263" s="996"/>
      <c r="AC263" s="996"/>
      <c r="AD263" s="996"/>
      <c r="AE263" s="996"/>
      <c r="AF263" s="996"/>
      <c r="AG263" s="996"/>
      <c r="AH263" s="996"/>
      <c r="AI263" s="996"/>
      <c r="AJ263" s="996"/>
      <c r="AK263" s="996"/>
      <c r="AL263" s="996"/>
    </row>
    <row r="264" spans="2:38">
      <c r="B264" s="545"/>
      <c r="C264" s="996"/>
      <c r="D264" s="996"/>
      <c r="E264" s="996"/>
      <c r="F264" s="996"/>
      <c r="G264" s="996"/>
      <c r="H264" s="996"/>
      <c r="I264" s="3"/>
      <c r="J264" s="996"/>
      <c r="K264" s="996"/>
      <c r="L264" s="996"/>
      <c r="M264" s="996"/>
      <c r="N264" s="996"/>
      <c r="O264" s="996"/>
      <c r="P264" s="996"/>
      <c r="Q264" s="996"/>
      <c r="R264" s="996"/>
      <c r="S264" s="996"/>
      <c r="T264" s="996"/>
      <c r="U264" s="996"/>
      <c r="V264" s="996"/>
      <c r="W264" s="996"/>
      <c r="X264" s="996"/>
      <c r="Y264" s="996"/>
      <c r="Z264" s="97"/>
      <c r="AA264" s="996"/>
      <c r="AB264" s="996"/>
      <c r="AC264" s="996"/>
      <c r="AD264" s="996"/>
      <c r="AE264" s="996"/>
      <c r="AF264" s="996"/>
      <c r="AG264" s="996"/>
      <c r="AH264" s="996"/>
      <c r="AI264" s="996"/>
      <c r="AJ264" s="996"/>
      <c r="AK264" s="996"/>
      <c r="AL264" s="996"/>
    </row>
    <row r="265" spans="2:38">
      <c r="B265" s="545"/>
      <c r="C265" s="996"/>
      <c r="D265" s="996"/>
      <c r="E265" s="996"/>
      <c r="F265" s="996"/>
      <c r="G265" s="996"/>
      <c r="H265" s="996"/>
      <c r="I265" s="3"/>
      <c r="J265" s="996"/>
      <c r="K265" s="996"/>
      <c r="L265" s="996"/>
      <c r="M265" s="996"/>
      <c r="N265" s="996"/>
      <c r="O265" s="996"/>
      <c r="P265" s="996"/>
      <c r="Q265" s="996"/>
      <c r="R265" s="996"/>
      <c r="S265" s="996"/>
      <c r="T265" s="996"/>
      <c r="U265" s="996"/>
      <c r="V265" s="996"/>
      <c r="W265" s="996"/>
      <c r="X265" s="996"/>
      <c r="Y265" s="996"/>
      <c r="Z265" s="97"/>
      <c r="AA265" s="996"/>
      <c r="AB265" s="996"/>
      <c r="AC265" s="996"/>
      <c r="AD265" s="996"/>
      <c r="AE265" s="996"/>
      <c r="AF265" s="996"/>
      <c r="AG265" s="996"/>
      <c r="AH265" s="996"/>
      <c r="AI265" s="996"/>
      <c r="AJ265" s="996"/>
      <c r="AK265" s="996"/>
      <c r="AL265" s="996"/>
    </row>
    <row r="266" spans="2:38">
      <c r="B266" s="545"/>
      <c r="C266" s="996"/>
      <c r="D266" s="996"/>
      <c r="E266" s="996"/>
      <c r="F266" s="996"/>
      <c r="G266" s="996"/>
      <c r="H266" s="996"/>
      <c r="I266" s="3"/>
      <c r="J266" s="996"/>
      <c r="K266" s="996"/>
      <c r="L266" s="996"/>
      <c r="M266" s="996"/>
      <c r="N266" s="996"/>
      <c r="O266" s="996"/>
      <c r="P266" s="996"/>
      <c r="Q266" s="996"/>
      <c r="R266" s="996"/>
      <c r="S266" s="996"/>
      <c r="T266" s="996"/>
      <c r="U266" s="996"/>
      <c r="V266" s="996"/>
      <c r="W266" s="996"/>
      <c r="X266" s="996"/>
      <c r="Y266" s="996"/>
      <c r="Z266" s="97"/>
      <c r="AA266" s="996"/>
      <c r="AB266" s="996"/>
      <c r="AC266" s="996"/>
      <c r="AD266" s="996"/>
      <c r="AE266" s="996"/>
      <c r="AF266" s="996"/>
      <c r="AG266" s="996"/>
      <c r="AH266" s="996"/>
      <c r="AI266" s="996"/>
      <c r="AJ266" s="996"/>
      <c r="AK266" s="996"/>
      <c r="AL266" s="996"/>
    </row>
    <row r="267" spans="2:38">
      <c r="B267" s="545"/>
      <c r="C267" s="996"/>
      <c r="D267" s="996"/>
      <c r="E267" s="996"/>
      <c r="F267" s="996"/>
      <c r="G267" s="996"/>
      <c r="H267" s="996"/>
      <c r="I267" s="3"/>
      <c r="J267" s="996"/>
      <c r="K267" s="996"/>
      <c r="L267" s="996"/>
      <c r="M267" s="996"/>
      <c r="N267" s="996"/>
      <c r="O267" s="996"/>
      <c r="P267" s="996"/>
      <c r="Q267" s="996"/>
      <c r="R267" s="996"/>
      <c r="S267" s="996"/>
      <c r="T267" s="996"/>
      <c r="U267" s="996"/>
      <c r="V267" s="996"/>
      <c r="W267" s="996"/>
      <c r="X267" s="996"/>
      <c r="Y267" s="996"/>
      <c r="Z267" s="97"/>
      <c r="AA267" s="996"/>
      <c r="AB267" s="996"/>
      <c r="AC267" s="996"/>
      <c r="AD267" s="996"/>
      <c r="AE267" s="996"/>
      <c r="AF267" s="996"/>
      <c r="AG267" s="996"/>
      <c r="AH267" s="996"/>
      <c r="AI267" s="996"/>
      <c r="AJ267" s="996"/>
      <c r="AK267" s="996"/>
      <c r="AL267" s="996"/>
    </row>
    <row r="268" spans="2:38">
      <c r="B268" s="545"/>
      <c r="C268" s="996"/>
      <c r="D268" s="996"/>
      <c r="E268" s="996"/>
      <c r="F268" s="996"/>
      <c r="G268" s="996"/>
      <c r="H268" s="996"/>
      <c r="I268" s="3"/>
      <c r="J268" s="996"/>
      <c r="K268" s="996"/>
      <c r="L268" s="996"/>
      <c r="M268" s="996"/>
      <c r="N268" s="996"/>
      <c r="O268" s="996"/>
      <c r="P268" s="996"/>
      <c r="Q268" s="996"/>
      <c r="R268" s="996"/>
      <c r="S268" s="996"/>
      <c r="T268" s="996"/>
      <c r="U268" s="996"/>
      <c r="V268" s="996"/>
      <c r="W268" s="996"/>
      <c r="X268" s="996"/>
      <c r="Y268" s="996"/>
      <c r="Z268" s="97"/>
      <c r="AA268" s="996"/>
      <c r="AB268" s="996"/>
      <c r="AC268" s="996"/>
      <c r="AD268" s="996"/>
      <c r="AE268" s="996"/>
      <c r="AF268" s="996"/>
      <c r="AG268" s="996"/>
      <c r="AH268" s="996"/>
      <c r="AI268" s="996"/>
      <c r="AJ268" s="996"/>
      <c r="AK268" s="996"/>
      <c r="AL268" s="996"/>
    </row>
    <row r="269" spans="2:38">
      <c r="B269" s="545"/>
      <c r="C269" s="996"/>
      <c r="D269" s="996"/>
      <c r="E269" s="996"/>
      <c r="F269" s="996"/>
      <c r="G269" s="996"/>
      <c r="H269" s="996"/>
      <c r="I269" s="3"/>
      <c r="J269" s="996"/>
      <c r="K269" s="996"/>
      <c r="L269" s="996"/>
      <c r="M269" s="996"/>
      <c r="N269" s="996"/>
      <c r="O269" s="996"/>
      <c r="P269" s="996"/>
      <c r="Q269" s="996"/>
      <c r="R269" s="996"/>
      <c r="S269" s="996"/>
      <c r="T269" s="996"/>
      <c r="U269" s="996"/>
      <c r="V269" s="996"/>
      <c r="W269" s="996"/>
      <c r="X269" s="996"/>
      <c r="Y269" s="996"/>
      <c r="Z269" s="97"/>
      <c r="AA269" s="996"/>
      <c r="AB269" s="996"/>
      <c r="AC269" s="996"/>
      <c r="AD269" s="996"/>
      <c r="AE269" s="996"/>
      <c r="AF269" s="996"/>
      <c r="AG269" s="996"/>
      <c r="AH269" s="996"/>
      <c r="AI269" s="996"/>
      <c r="AJ269" s="996"/>
      <c r="AK269" s="996"/>
      <c r="AL269" s="996"/>
    </row>
    <row r="270" spans="2:38">
      <c r="B270" s="545"/>
      <c r="C270" s="996"/>
      <c r="D270" s="996"/>
      <c r="E270" s="996"/>
      <c r="F270" s="996"/>
      <c r="G270" s="996"/>
      <c r="H270" s="996"/>
      <c r="I270" s="3"/>
      <c r="J270" s="996"/>
      <c r="K270" s="996"/>
      <c r="L270" s="996"/>
      <c r="M270" s="996"/>
      <c r="N270" s="996"/>
      <c r="O270" s="996"/>
      <c r="P270" s="996"/>
      <c r="Q270" s="996"/>
      <c r="R270" s="996"/>
      <c r="S270" s="996"/>
      <c r="T270" s="996"/>
      <c r="U270" s="996"/>
      <c r="V270" s="996"/>
      <c r="W270" s="996"/>
      <c r="X270" s="996"/>
      <c r="Y270" s="996"/>
      <c r="Z270" s="97"/>
      <c r="AA270" s="996"/>
      <c r="AB270" s="996"/>
      <c r="AC270" s="996"/>
      <c r="AD270" s="996"/>
      <c r="AE270" s="996"/>
      <c r="AF270" s="996"/>
      <c r="AG270" s="996"/>
      <c r="AH270" s="996"/>
      <c r="AI270" s="996"/>
      <c r="AJ270" s="996"/>
      <c r="AK270" s="996"/>
      <c r="AL270" s="996"/>
    </row>
    <row r="271" spans="2:38">
      <c r="B271" s="545"/>
      <c r="C271" s="996"/>
      <c r="D271" s="996"/>
      <c r="E271" s="996"/>
      <c r="F271" s="996"/>
      <c r="G271" s="996"/>
      <c r="H271" s="996"/>
      <c r="I271" s="3"/>
      <c r="J271" s="996"/>
      <c r="K271" s="996"/>
      <c r="L271" s="996"/>
      <c r="M271" s="996"/>
      <c r="N271" s="996"/>
      <c r="O271" s="996"/>
      <c r="P271" s="996"/>
      <c r="Q271" s="996"/>
      <c r="R271" s="996"/>
      <c r="S271" s="996"/>
      <c r="T271" s="996"/>
      <c r="U271" s="996"/>
      <c r="V271" s="996"/>
      <c r="W271" s="996"/>
      <c r="X271" s="996"/>
      <c r="Y271" s="996"/>
      <c r="Z271" s="97"/>
      <c r="AA271" s="996"/>
      <c r="AB271" s="996"/>
      <c r="AC271" s="996"/>
      <c r="AD271" s="996"/>
      <c r="AE271" s="996"/>
      <c r="AF271" s="996"/>
      <c r="AG271" s="996"/>
      <c r="AH271" s="996"/>
      <c r="AI271" s="996"/>
      <c r="AJ271" s="996"/>
      <c r="AK271" s="996"/>
      <c r="AL271" s="996"/>
    </row>
    <row r="272" spans="2:38">
      <c r="B272" s="545"/>
      <c r="C272" s="996"/>
      <c r="D272" s="996"/>
      <c r="E272" s="996"/>
      <c r="F272" s="996"/>
      <c r="G272" s="996"/>
      <c r="H272" s="996"/>
      <c r="I272" s="3"/>
      <c r="J272" s="996"/>
      <c r="K272" s="996"/>
      <c r="L272" s="996"/>
      <c r="M272" s="996"/>
      <c r="N272" s="996"/>
      <c r="O272" s="996"/>
      <c r="P272" s="996"/>
      <c r="Q272" s="996"/>
      <c r="R272" s="996"/>
      <c r="S272" s="996"/>
      <c r="T272" s="996"/>
      <c r="U272" s="996"/>
      <c r="V272" s="996"/>
      <c r="W272" s="996"/>
      <c r="X272" s="996"/>
      <c r="Y272" s="996"/>
      <c r="Z272" s="97"/>
      <c r="AA272" s="996"/>
      <c r="AB272" s="996"/>
      <c r="AC272" s="996"/>
      <c r="AD272" s="996"/>
      <c r="AE272" s="996"/>
      <c r="AF272" s="996"/>
      <c r="AG272" s="996"/>
      <c r="AH272" s="996"/>
      <c r="AI272" s="996"/>
      <c r="AJ272" s="996"/>
      <c r="AK272" s="996"/>
      <c r="AL272" s="996"/>
    </row>
    <row r="273" spans="2:38">
      <c r="B273" s="545"/>
      <c r="C273" s="996"/>
      <c r="D273" s="996"/>
      <c r="E273" s="996"/>
      <c r="F273" s="996"/>
      <c r="G273" s="996"/>
      <c r="H273" s="996"/>
      <c r="I273" s="3"/>
      <c r="J273" s="996"/>
      <c r="K273" s="996"/>
      <c r="L273" s="996"/>
      <c r="M273" s="996"/>
      <c r="N273" s="996"/>
      <c r="O273" s="996"/>
      <c r="P273" s="996"/>
      <c r="Q273" s="996"/>
      <c r="R273" s="996"/>
      <c r="S273" s="996"/>
      <c r="T273" s="996"/>
      <c r="U273" s="996"/>
      <c r="V273" s="996"/>
      <c r="W273" s="996"/>
      <c r="X273" s="996"/>
      <c r="Y273" s="996"/>
      <c r="Z273" s="97"/>
      <c r="AA273" s="996"/>
      <c r="AB273" s="996"/>
      <c r="AC273" s="996"/>
      <c r="AD273" s="996"/>
      <c r="AE273" s="996"/>
      <c r="AF273" s="996"/>
      <c r="AG273" s="996"/>
      <c r="AH273" s="996"/>
      <c r="AI273" s="996"/>
      <c r="AJ273" s="996"/>
      <c r="AK273" s="996"/>
      <c r="AL273" s="996"/>
    </row>
    <row r="274" spans="2:38">
      <c r="B274" s="545"/>
      <c r="C274" s="996"/>
      <c r="D274" s="996"/>
      <c r="E274" s="996"/>
      <c r="F274" s="996"/>
      <c r="G274" s="996"/>
      <c r="H274" s="996"/>
      <c r="I274" s="3"/>
      <c r="J274" s="996"/>
      <c r="K274" s="996"/>
      <c r="L274" s="996"/>
      <c r="M274" s="996"/>
      <c r="N274" s="996"/>
      <c r="O274" s="996"/>
      <c r="P274" s="996"/>
      <c r="Q274" s="996"/>
      <c r="R274" s="996"/>
      <c r="S274" s="996"/>
      <c r="T274" s="996"/>
      <c r="U274" s="996"/>
      <c r="V274" s="996"/>
      <c r="W274" s="996"/>
      <c r="X274" s="996"/>
      <c r="Y274" s="996"/>
      <c r="Z274" s="97"/>
      <c r="AA274" s="996"/>
      <c r="AB274" s="996"/>
      <c r="AC274" s="996"/>
      <c r="AD274" s="996"/>
      <c r="AE274" s="996"/>
      <c r="AF274" s="996"/>
      <c r="AG274" s="996"/>
      <c r="AH274" s="996"/>
      <c r="AI274" s="996"/>
      <c r="AJ274" s="996"/>
      <c r="AK274" s="996"/>
      <c r="AL274" s="996"/>
    </row>
    <row r="275" spans="2:38">
      <c r="B275" s="545"/>
      <c r="C275" s="996"/>
      <c r="D275" s="996"/>
      <c r="E275" s="996"/>
      <c r="F275" s="996"/>
      <c r="G275" s="996"/>
      <c r="H275" s="996"/>
      <c r="I275" s="3"/>
      <c r="J275" s="996"/>
      <c r="K275" s="996"/>
      <c r="L275" s="996"/>
      <c r="M275" s="996"/>
      <c r="N275" s="996"/>
      <c r="O275" s="996"/>
      <c r="P275" s="996"/>
      <c r="Q275" s="996"/>
      <c r="R275" s="996"/>
      <c r="S275" s="996"/>
      <c r="T275" s="996"/>
      <c r="U275" s="996"/>
      <c r="V275" s="996"/>
      <c r="W275" s="996"/>
      <c r="X275" s="996"/>
      <c r="Y275" s="996"/>
      <c r="Z275" s="97"/>
      <c r="AA275" s="996"/>
      <c r="AB275" s="996"/>
      <c r="AC275" s="996"/>
      <c r="AD275" s="996"/>
      <c r="AE275" s="996"/>
      <c r="AF275" s="996"/>
      <c r="AG275" s="996"/>
      <c r="AH275" s="996"/>
      <c r="AI275" s="996"/>
      <c r="AJ275" s="996"/>
      <c r="AK275" s="996"/>
      <c r="AL275" s="996"/>
    </row>
    <row r="276" spans="2:38">
      <c r="B276" s="545"/>
      <c r="C276" s="996"/>
      <c r="D276" s="996"/>
      <c r="E276" s="996"/>
      <c r="F276" s="996"/>
      <c r="G276" s="996"/>
      <c r="H276" s="996"/>
      <c r="I276" s="3"/>
      <c r="J276" s="996"/>
      <c r="K276" s="996"/>
      <c r="L276" s="996"/>
      <c r="M276" s="996"/>
      <c r="N276" s="996"/>
      <c r="O276" s="996"/>
      <c r="P276" s="996"/>
      <c r="Q276" s="996"/>
      <c r="R276" s="996"/>
      <c r="S276" s="996"/>
      <c r="T276" s="996"/>
      <c r="U276" s="996"/>
      <c r="V276" s="996"/>
      <c r="W276" s="996"/>
      <c r="X276" s="996"/>
      <c r="Y276" s="996"/>
      <c r="Z276" s="97"/>
      <c r="AA276" s="996"/>
      <c r="AB276" s="996"/>
      <c r="AC276" s="996"/>
      <c r="AD276" s="996"/>
      <c r="AE276" s="996"/>
      <c r="AF276" s="996"/>
      <c r="AG276" s="996"/>
      <c r="AH276" s="996"/>
      <c r="AI276" s="996"/>
      <c r="AJ276" s="996"/>
      <c r="AK276" s="996"/>
      <c r="AL276" s="996"/>
    </row>
    <row r="277" spans="2:38">
      <c r="B277" s="545"/>
      <c r="C277" s="996"/>
      <c r="D277" s="996"/>
      <c r="E277" s="996"/>
      <c r="F277" s="996"/>
      <c r="G277" s="996"/>
      <c r="H277" s="996"/>
      <c r="I277" s="3"/>
      <c r="J277" s="996"/>
      <c r="K277" s="996"/>
      <c r="L277" s="996"/>
      <c r="M277" s="996"/>
      <c r="N277" s="996"/>
      <c r="O277" s="996"/>
      <c r="P277" s="996"/>
      <c r="Q277" s="996"/>
      <c r="R277" s="996"/>
      <c r="S277" s="996"/>
      <c r="T277" s="996"/>
      <c r="U277" s="996"/>
      <c r="V277" s="996"/>
      <c r="W277" s="996"/>
      <c r="X277" s="996"/>
      <c r="Y277" s="996"/>
      <c r="Z277" s="97"/>
      <c r="AA277" s="996"/>
      <c r="AB277" s="996"/>
      <c r="AC277" s="996"/>
      <c r="AD277" s="996"/>
      <c r="AE277" s="996"/>
      <c r="AF277" s="996"/>
      <c r="AG277" s="996"/>
      <c r="AH277" s="996"/>
      <c r="AI277" s="996"/>
      <c r="AJ277" s="996"/>
      <c r="AK277" s="996"/>
      <c r="AL277" s="996"/>
    </row>
    <row r="278" spans="2:38">
      <c r="B278" s="545"/>
      <c r="C278" s="996"/>
      <c r="D278" s="996"/>
      <c r="E278" s="996"/>
      <c r="F278" s="996"/>
      <c r="G278" s="996"/>
      <c r="H278" s="996"/>
      <c r="I278" s="3"/>
      <c r="J278" s="996"/>
      <c r="K278" s="996"/>
      <c r="L278" s="996"/>
      <c r="M278" s="996"/>
      <c r="N278" s="996"/>
      <c r="O278" s="996"/>
      <c r="P278" s="996"/>
      <c r="Q278" s="996"/>
      <c r="R278" s="996"/>
      <c r="S278" s="996"/>
      <c r="T278" s="996"/>
      <c r="U278" s="996"/>
      <c r="V278" s="996"/>
      <c r="W278" s="996"/>
      <c r="X278" s="996"/>
      <c r="Y278" s="996"/>
      <c r="Z278" s="97"/>
      <c r="AA278" s="996"/>
      <c r="AB278" s="996"/>
      <c r="AC278" s="996"/>
      <c r="AD278" s="996"/>
      <c r="AE278" s="996"/>
      <c r="AF278" s="996"/>
      <c r="AG278" s="996"/>
      <c r="AH278" s="996"/>
      <c r="AI278" s="996"/>
      <c r="AJ278" s="996"/>
      <c r="AK278" s="996"/>
      <c r="AL278" s="996"/>
    </row>
    <row r="279" spans="2:38">
      <c r="B279" s="545"/>
      <c r="C279" s="996"/>
      <c r="D279" s="996"/>
      <c r="E279" s="996"/>
      <c r="F279" s="996"/>
      <c r="G279" s="996"/>
      <c r="H279" s="996"/>
      <c r="I279" s="3"/>
      <c r="J279" s="996"/>
      <c r="K279" s="996"/>
      <c r="L279" s="996"/>
      <c r="M279" s="996"/>
      <c r="N279" s="996"/>
      <c r="O279" s="996"/>
      <c r="P279" s="996"/>
      <c r="Q279" s="996"/>
      <c r="R279" s="996"/>
      <c r="S279" s="996"/>
      <c r="T279" s="996"/>
      <c r="U279" s="996"/>
      <c r="V279" s="996"/>
      <c r="W279" s="996"/>
      <c r="X279" s="996"/>
      <c r="Y279" s="996"/>
      <c r="Z279" s="97"/>
      <c r="AA279" s="996"/>
      <c r="AB279" s="996"/>
      <c r="AC279" s="996"/>
      <c r="AD279" s="996"/>
      <c r="AE279" s="996"/>
      <c r="AF279" s="996"/>
      <c r="AG279" s="996"/>
      <c r="AH279" s="996"/>
      <c r="AI279" s="996"/>
      <c r="AJ279" s="996"/>
      <c r="AK279" s="996"/>
      <c r="AL279" s="996"/>
    </row>
    <row r="280" spans="2:38">
      <c r="B280" s="545"/>
      <c r="C280" s="996"/>
      <c r="D280" s="996"/>
      <c r="E280" s="996"/>
      <c r="F280" s="996"/>
      <c r="G280" s="996"/>
      <c r="H280" s="996"/>
      <c r="I280" s="3"/>
      <c r="J280" s="996"/>
      <c r="K280" s="996"/>
      <c r="L280" s="996"/>
      <c r="M280" s="996"/>
      <c r="N280" s="996"/>
      <c r="O280" s="996"/>
      <c r="P280" s="996"/>
      <c r="Q280" s="996"/>
      <c r="R280" s="996"/>
      <c r="S280" s="996"/>
      <c r="T280" s="996"/>
      <c r="U280" s="996"/>
      <c r="V280" s="996"/>
      <c r="W280" s="996"/>
      <c r="X280" s="996"/>
      <c r="Y280" s="996"/>
      <c r="Z280" s="97"/>
      <c r="AA280" s="996"/>
      <c r="AB280" s="996"/>
      <c r="AC280" s="996"/>
      <c r="AD280" s="996"/>
      <c r="AE280" s="996"/>
      <c r="AF280" s="996"/>
      <c r="AG280" s="996"/>
      <c r="AH280" s="996"/>
      <c r="AI280" s="996"/>
      <c r="AJ280" s="996"/>
      <c r="AK280" s="996"/>
      <c r="AL280" s="996"/>
    </row>
    <row r="281" spans="2:38">
      <c r="B281" s="545"/>
      <c r="C281" s="996"/>
      <c r="D281" s="996"/>
      <c r="E281" s="996"/>
      <c r="F281" s="996"/>
      <c r="G281" s="996"/>
      <c r="H281" s="996"/>
      <c r="I281" s="3"/>
      <c r="J281" s="996"/>
      <c r="K281" s="996"/>
      <c r="L281" s="996"/>
      <c r="M281" s="996"/>
      <c r="N281" s="996"/>
      <c r="O281" s="996"/>
      <c r="P281" s="996"/>
      <c r="Q281" s="996"/>
      <c r="R281" s="996"/>
      <c r="S281" s="996"/>
      <c r="T281" s="996"/>
      <c r="U281" s="996"/>
      <c r="V281" s="996"/>
      <c r="W281" s="996"/>
      <c r="X281" s="996"/>
      <c r="Y281" s="996"/>
      <c r="Z281" s="97"/>
      <c r="AA281" s="996"/>
      <c r="AB281" s="996"/>
      <c r="AC281" s="996"/>
      <c r="AD281" s="996"/>
      <c r="AE281" s="996"/>
      <c r="AF281" s="996"/>
      <c r="AG281" s="996"/>
      <c r="AH281" s="996"/>
      <c r="AI281" s="996"/>
      <c r="AJ281" s="996"/>
      <c r="AK281" s="996"/>
      <c r="AL281" s="996"/>
    </row>
    <row r="282" spans="2:38">
      <c r="B282" s="545"/>
      <c r="C282" s="996"/>
      <c r="D282" s="996"/>
      <c r="E282" s="996"/>
      <c r="F282" s="996"/>
      <c r="G282" s="996"/>
      <c r="H282" s="996"/>
      <c r="I282" s="3"/>
      <c r="J282" s="996"/>
      <c r="K282" s="996"/>
      <c r="L282" s="996"/>
      <c r="M282" s="996"/>
      <c r="N282" s="996"/>
      <c r="O282" s="996"/>
      <c r="P282" s="996"/>
      <c r="Q282" s="996"/>
      <c r="R282" s="996"/>
      <c r="S282" s="996"/>
      <c r="T282" s="996"/>
      <c r="U282" s="996"/>
      <c r="V282" s="996"/>
      <c r="W282" s="996"/>
      <c r="X282" s="996"/>
      <c r="Y282" s="996"/>
      <c r="Z282" s="97"/>
      <c r="AA282" s="996"/>
      <c r="AB282" s="996"/>
      <c r="AC282" s="996"/>
      <c r="AD282" s="996"/>
      <c r="AE282" s="996"/>
      <c r="AF282" s="996"/>
      <c r="AG282" s="996"/>
      <c r="AH282" s="996"/>
      <c r="AI282" s="996"/>
      <c r="AJ282" s="996"/>
      <c r="AK282" s="996"/>
      <c r="AL282" s="996"/>
    </row>
    <row r="283" spans="2:38">
      <c r="B283" s="545"/>
      <c r="C283" s="996"/>
      <c r="D283" s="996"/>
      <c r="E283" s="996"/>
      <c r="F283" s="996"/>
      <c r="G283" s="996"/>
      <c r="H283" s="996"/>
      <c r="I283" s="3"/>
      <c r="J283" s="996"/>
      <c r="K283" s="996"/>
      <c r="L283" s="996"/>
      <c r="M283" s="996"/>
      <c r="N283" s="996"/>
      <c r="O283" s="996"/>
      <c r="P283" s="996"/>
      <c r="Q283" s="996"/>
      <c r="R283" s="996"/>
      <c r="S283" s="996"/>
      <c r="T283" s="996"/>
      <c r="U283" s="996"/>
      <c r="V283" s="996"/>
      <c r="W283" s="996"/>
      <c r="X283" s="996"/>
      <c r="Y283" s="996"/>
      <c r="Z283" s="97"/>
      <c r="AA283" s="996"/>
      <c r="AB283" s="996"/>
      <c r="AC283" s="996"/>
      <c r="AD283" s="996"/>
      <c r="AE283" s="996"/>
      <c r="AF283" s="996"/>
      <c r="AG283" s="996"/>
      <c r="AH283" s="996"/>
      <c r="AI283" s="996"/>
      <c r="AJ283" s="996"/>
      <c r="AK283" s="996"/>
      <c r="AL283" s="996"/>
    </row>
    <row r="284" spans="2:38">
      <c r="B284" s="545"/>
      <c r="C284" s="996"/>
      <c r="D284" s="996"/>
      <c r="E284" s="996"/>
      <c r="F284" s="996"/>
      <c r="G284" s="996"/>
      <c r="H284" s="996"/>
      <c r="I284" s="3"/>
      <c r="J284" s="996"/>
      <c r="K284" s="996"/>
      <c r="L284" s="996"/>
      <c r="M284" s="996"/>
      <c r="N284" s="996"/>
      <c r="O284" s="996"/>
      <c r="P284" s="996"/>
      <c r="Q284" s="996"/>
      <c r="R284" s="996"/>
      <c r="S284" s="996"/>
      <c r="T284" s="996"/>
      <c r="U284" s="996"/>
      <c r="V284" s="996"/>
      <c r="W284" s="996"/>
      <c r="X284" s="996"/>
      <c r="Y284" s="996"/>
      <c r="Z284" s="97"/>
      <c r="AA284" s="996"/>
      <c r="AB284" s="996"/>
      <c r="AC284" s="996"/>
      <c r="AD284" s="996"/>
      <c r="AE284" s="996"/>
      <c r="AF284" s="996"/>
      <c r="AG284" s="996"/>
      <c r="AH284" s="996"/>
      <c r="AI284" s="996"/>
      <c r="AJ284" s="996"/>
      <c r="AK284" s="996"/>
      <c r="AL284" s="996"/>
    </row>
    <row r="285" spans="2:38">
      <c r="B285" s="545"/>
      <c r="C285" s="996"/>
      <c r="D285" s="996"/>
      <c r="E285" s="996"/>
      <c r="F285" s="996"/>
      <c r="G285" s="996"/>
      <c r="H285" s="996"/>
      <c r="I285" s="3"/>
      <c r="J285" s="996"/>
      <c r="K285" s="996"/>
      <c r="L285" s="996"/>
      <c r="M285" s="996"/>
      <c r="N285" s="996"/>
      <c r="O285" s="996"/>
      <c r="P285" s="996"/>
      <c r="Q285" s="996"/>
      <c r="R285" s="996"/>
      <c r="S285" s="996"/>
      <c r="T285" s="996"/>
      <c r="U285" s="996"/>
      <c r="V285" s="996"/>
      <c r="W285" s="996"/>
      <c r="X285" s="996"/>
      <c r="Y285" s="996"/>
      <c r="Z285" s="97"/>
      <c r="AA285" s="996"/>
      <c r="AB285" s="996"/>
      <c r="AC285" s="996"/>
      <c r="AD285" s="996"/>
      <c r="AE285" s="996"/>
      <c r="AF285" s="996"/>
      <c r="AG285" s="996"/>
      <c r="AH285" s="996"/>
      <c r="AI285" s="996"/>
      <c r="AJ285" s="996"/>
      <c r="AK285" s="996"/>
      <c r="AL285" s="996"/>
    </row>
    <row r="286" spans="2:38">
      <c r="B286" s="545"/>
      <c r="C286" s="996"/>
      <c r="D286" s="996"/>
      <c r="E286" s="996"/>
      <c r="F286" s="996"/>
      <c r="G286" s="996"/>
      <c r="H286" s="996"/>
      <c r="I286" s="3"/>
      <c r="J286" s="996"/>
      <c r="K286" s="996"/>
      <c r="L286" s="996"/>
      <c r="M286" s="996"/>
      <c r="N286" s="996"/>
      <c r="O286" s="996"/>
      <c r="P286" s="996"/>
      <c r="Q286" s="996"/>
      <c r="R286" s="996"/>
      <c r="S286" s="996"/>
      <c r="T286" s="996"/>
      <c r="U286" s="996"/>
      <c r="V286" s="996"/>
      <c r="W286" s="996"/>
      <c r="X286" s="996"/>
      <c r="Y286" s="996"/>
      <c r="Z286" s="97"/>
      <c r="AA286" s="996"/>
      <c r="AB286" s="996"/>
      <c r="AC286" s="996"/>
      <c r="AD286" s="996"/>
      <c r="AE286" s="996"/>
      <c r="AF286" s="996"/>
      <c r="AG286" s="996"/>
      <c r="AH286" s="996"/>
      <c r="AI286" s="996"/>
      <c r="AJ286" s="996"/>
      <c r="AK286" s="996"/>
      <c r="AL286" s="996"/>
    </row>
    <row r="287" spans="2:38">
      <c r="B287" s="545"/>
      <c r="C287" s="996"/>
      <c r="D287" s="996"/>
      <c r="E287" s="996"/>
      <c r="F287" s="996"/>
      <c r="G287" s="996"/>
      <c r="H287" s="996"/>
      <c r="I287" s="3"/>
      <c r="J287" s="996"/>
      <c r="K287" s="996"/>
      <c r="L287" s="996"/>
      <c r="M287" s="996"/>
      <c r="N287" s="996"/>
      <c r="O287" s="996"/>
      <c r="P287" s="996"/>
      <c r="Q287" s="996"/>
      <c r="R287" s="996"/>
      <c r="S287" s="996"/>
      <c r="T287" s="996"/>
      <c r="U287" s="996"/>
      <c r="V287" s="996"/>
      <c r="W287" s="996"/>
      <c r="X287" s="996"/>
      <c r="Y287" s="996"/>
      <c r="Z287" s="97"/>
      <c r="AA287" s="996"/>
      <c r="AB287" s="996"/>
      <c r="AC287" s="996"/>
      <c r="AD287" s="996"/>
      <c r="AE287" s="996"/>
      <c r="AF287" s="996"/>
      <c r="AG287" s="996"/>
      <c r="AH287" s="996"/>
      <c r="AI287" s="996"/>
      <c r="AJ287" s="996"/>
      <c r="AK287" s="996"/>
      <c r="AL287" s="996"/>
    </row>
    <row r="288" spans="2:38">
      <c r="B288" s="545"/>
      <c r="C288" s="996"/>
      <c r="D288" s="996"/>
      <c r="E288" s="996"/>
      <c r="F288" s="996"/>
      <c r="G288" s="996"/>
      <c r="H288" s="996"/>
      <c r="I288" s="3"/>
      <c r="J288" s="996"/>
      <c r="K288" s="996"/>
      <c r="L288" s="996"/>
      <c r="M288" s="996"/>
      <c r="N288" s="996"/>
      <c r="O288" s="996"/>
      <c r="P288" s="996"/>
      <c r="Q288" s="996"/>
      <c r="R288" s="996"/>
      <c r="S288" s="996"/>
      <c r="T288" s="996"/>
      <c r="U288" s="996"/>
      <c r="V288" s="996"/>
      <c r="W288" s="996"/>
      <c r="X288" s="996"/>
      <c r="Y288" s="996"/>
      <c r="Z288" s="97"/>
      <c r="AA288" s="996"/>
      <c r="AB288" s="996"/>
      <c r="AC288" s="996"/>
      <c r="AD288" s="996"/>
      <c r="AE288" s="996"/>
      <c r="AF288" s="996"/>
      <c r="AG288" s="996"/>
      <c r="AH288" s="996"/>
      <c r="AI288" s="996"/>
      <c r="AJ288" s="996"/>
      <c r="AK288" s="996"/>
      <c r="AL288" s="996"/>
    </row>
    <row r="289" spans="2:38">
      <c r="B289" s="545"/>
      <c r="C289" s="996"/>
      <c r="D289" s="996"/>
      <c r="E289" s="996"/>
      <c r="F289" s="996"/>
      <c r="G289" s="996"/>
      <c r="H289" s="996"/>
      <c r="I289" s="3"/>
      <c r="J289" s="996"/>
      <c r="K289" s="996"/>
      <c r="L289" s="996"/>
      <c r="M289" s="996"/>
      <c r="N289" s="996"/>
      <c r="O289" s="996"/>
      <c r="P289" s="996"/>
      <c r="Q289" s="996"/>
      <c r="R289" s="996"/>
      <c r="S289" s="996"/>
      <c r="T289" s="996"/>
      <c r="U289" s="996"/>
      <c r="V289" s="996"/>
      <c r="W289" s="996"/>
      <c r="X289" s="996"/>
      <c r="Y289" s="996"/>
      <c r="Z289" s="97"/>
      <c r="AA289" s="996"/>
      <c r="AB289" s="996"/>
      <c r="AC289" s="996"/>
      <c r="AD289" s="996"/>
      <c r="AE289" s="996"/>
      <c r="AF289" s="996"/>
      <c r="AG289" s="996"/>
      <c r="AH289" s="996"/>
      <c r="AI289" s="996"/>
      <c r="AJ289" s="996"/>
      <c r="AK289" s="996"/>
      <c r="AL289" s="996"/>
    </row>
    <row r="290" spans="2:38">
      <c r="B290" s="545"/>
      <c r="C290" s="996"/>
      <c r="D290" s="996"/>
      <c r="E290" s="996"/>
      <c r="F290" s="996"/>
      <c r="G290" s="996"/>
      <c r="H290" s="996"/>
      <c r="I290" s="3"/>
      <c r="J290" s="996"/>
      <c r="K290" s="996"/>
      <c r="L290" s="996"/>
      <c r="M290" s="996"/>
      <c r="N290" s="996"/>
      <c r="O290" s="996"/>
      <c r="P290" s="996"/>
      <c r="Q290" s="996"/>
      <c r="R290" s="996"/>
      <c r="S290" s="996"/>
      <c r="T290" s="996"/>
      <c r="U290" s="996"/>
      <c r="V290" s="996"/>
      <c r="W290" s="996"/>
      <c r="X290" s="996"/>
      <c r="Y290" s="996"/>
      <c r="Z290" s="97"/>
      <c r="AA290" s="996"/>
      <c r="AB290" s="996"/>
      <c r="AC290" s="996"/>
      <c r="AD290" s="996"/>
      <c r="AE290" s="996"/>
      <c r="AF290" s="996"/>
      <c r="AG290" s="996"/>
      <c r="AH290" s="996"/>
      <c r="AI290" s="996"/>
      <c r="AJ290" s="996"/>
      <c r="AK290" s="996"/>
      <c r="AL290" s="996"/>
    </row>
    <row r="291" spans="2:38">
      <c r="B291" s="545"/>
      <c r="C291" s="996"/>
      <c r="D291" s="996"/>
      <c r="E291" s="996"/>
      <c r="F291" s="996"/>
      <c r="G291" s="996"/>
      <c r="H291" s="996"/>
      <c r="I291" s="3"/>
      <c r="J291" s="996"/>
      <c r="K291" s="996"/>
      <c r="L291" s="996"/>
      <c r="M291" s="996"/>
      <c r="N291" s="996"/>
      <c r="O291" s="996"/>
      <c r="P291" s="996"/>
      <c r="Q291" s="996"/>
      <c r="R291" s="996"/>
      <c r="S291" s="996"/>
      <c r="T291" s="996"/>
      <c r="U291" s="996"/>
      <c r="V291" s="996"/>
      <c r="W291" s="996"/>
      <c r="X291" s="996"/>
      <c r="Y291" s="996"/>
      <c r="Z291" s="97"/>
      <c r="AA291" s="996"/>
      <c r="AB291" s="996"/>
      <c r="AC291" s="996"/>
      <c r="AD291" s="996"/>
      <c r="AE291" s="996"/>
      <c r="AF291" s="996"/>
      <c r="AG291" s="996"/>
      <c r="AH291" s="996"/>
      <c r="AI291" s="996"/>
      <c r="AJ291" s="996"/>
      <c r="AK291" s="996"/>
      <c r="AL291" s="996"/>
    </row>
    <row r="292" spans="2:38">
      <c r="B292" s="545"/>
      <c r="C292" s="996"/>
      <c r="D292" s="996"/>
      <c r="E292" s="996"/>
      <c r="F292" s="996"/>
      <c r="G292" s="996"/>
      <c r="H292" s="996"/>
      <c r="I292" s="3"/>
      <c r="J292" s="996"/>
      <c r="K292" s="996"/>
      <c r="L292" s="996"/>
      <c r="M292" s="996"/>
      <c r="N292" s="996"/>
      <c r="O292" s="996"/>
      <c r="P292" s="996"/>
      <c r="Q292" s="996"/>
      <c r="R292" s="996"/>
      <c r="S292" s="996"/>
      <c r="T292" s="996"/>
      <c r="U292" s="996"/>
      <c r="V292" s="996"/>
      <c r="W292" s="996"/>
      <c r="X292" s="996"/>
      <c r="Y292" s="996"/>
      <c r="Z292" s="97"/>
      <c r="AA292" s="996"/>
      <c r="AB292" s="996"/>
      <c r="AC292" s="996"/>
      <c r="AD292" s="996"/>
      <c r="AE292" s="996"/>
      <c r="AF292" s="996"/>
      <c r="AG292" s="996"/>
      <c r="AH292" s="996"/>
      <c r="AI292" s="996"/>
      <c r="AJ292" s="996"/>
      <c r="AK292" s="996"/>
      <c r="AL292" s="996"/>
    </row>
    <row r="293" spans="2:38">
      <c r="B293" s="545"/>
      <c r="C293" s="996"/>
      <c r="D293" s="996"/>
      <c r="E293" s="996"/>
      <c r="F293" s="996"/>
      <c r="G293" s="996"/>
      <c r="H293" s="996"/>
      <c r="I293" s="3"/>
      <c r="J293" s="996"/>
      <c r="K293" s="996"/>
      <c r="L293" s="996"/>
      <c r="M293" s="996"/>
      <c r="N293" s="996"/>
      <c r="O293" s="996"/>
      <c r="P293" s="996"/>
      <c r="Q293" s="996"/>
      <c r="R293" s="996"/>
      <c r="S293" s="996"/>
      <c r="T293" s="996"/>
      <c r="U293" s="996"/>
      <c r="V293" s="996"/>
      <c r="W293" s="996"/>
      <c r="X293" s="996"/>
      <c r="Y293" s="996"/>
      <c r="Z293" s="97"/>
      <c r="AA293" s="996"/>
      <c r="AB293" s="996"/>
      <c r="AC293" s="996"/>
      <c r="AD293" s="996"/>
      <c r="AE293" s="996"/>
      <c r="AF293" s="996"/>
      <c r="AG293" s="996"/>
      <c r="AH293" s="996"/>
      <c r="AI293" s="996"/>
      <c r="AJ293" s="996"/>
      <c r="AK293" s="996"/>
      <c r="AL293" s="996"/>
    </row>
    <row r="294" spans="2:38">
      <c r="B294" s="545"/>
      <c r="C294" s="996"/>
      <c r="D294" s="996"/>
      <c r="E294" s="996"/>
      <c r="F294" s="996"/>
      <c r="G294" s="996"/>
      <c r="H294" s="996"/>
      <c r="I294" s="3"/>
      <c r="J294" s="996"/>
      <c r="K294" s="996"/>
      <c r="L294" s="996"/>
      <c r="M294" s="996"/>
      <c r="N294" s="996"/>
      <c r="O294" s="996"/>
      <c r="P294" s="996"/>
      <c r="Q294" s="996"/>
      <c r="R294" s="996"/>
      <c r="S294" s="996"/>
      <c r="T294" s="996"/>
      <c r="U294" s="996"/>
      <c r="V294" s="996"/>
      <c r="W294" s="996"/>
      <c r="X294" s="996"/>
      <c r="Y294" s="996"/>
      <c r="Z294" s="97"/>
      <c r="AA294" s="996"/>
      <c r="AB294" s="996"/>
      <c r="AC294" s="996"/>
      <c r="AD294" s="996"/>
      <c r="AE294" s="996"/>
      <c r="AF294" s="996"/>
      <c r="AG294" s="996"/>
      <c r="AH294" s="996"/>
      <c r="AI294" s="996"/>
      <c r="AJ294" s="996"/>
      <c r="AK294" s="996"/>
      <c r="AL294" s="996"/>
    </row>
    <row r="295" spans="2:38">
      <c r="B295" s="545"/>
      <c r="C295" s="996"/>
      <c r="D295" s="996"/>
      <c r="E295" s="996"/>
      <c r="F295" s="996"/>
      <c r="G295" s="996"/>
      <c r="H295" s="996"/>
      <c r="I295" s="3"/>
      <c r="J295" s="996"/>
      <c r="K295" s="996"/>
      <c r="L295" s="996"/>
      <c r="M295" s="996"/>
      <c r="N295" s="996"/>
      <c r="O295" s="996"/>
      <c r="P295" s="996"/>
      <c r="Q295" s="996"/>
      <c r="R295" s="996"/>
      <c r="S295" s="996"/>
      <c r="T295" s="996"/>
      <c r="U295" s="996"/>
      <c r="V295" s="996"/>
      <c r="W295" s="996"/>
      <c r="X295" s="996"/>
      <c r="Y295" s="996"/>
      <c r="Z295" s="97"/>
      <c r="AA295" s="996"/>
      <c r="AB295" s="996"/>
      <c r="AC295" s="996"/>
      <c r="AD295" s="996"/>
      <c r="AE295" s="996"/>
      <c r="AF295" s="996"/>
      <c r="AG295" s="996"/>
      <c r="AH295" s="996"/>
      <c r="AI295" s="996"/>
      <c r="AJ295" s="996"/>
      <c r="AK295" s="996"/>
      <c r="AL295" s="996"/>
    </row>
    <row r="296" spans="2:38">
      <c r="B296" s="545"/>
      <c r="C296" s="996"/>
      <c r="D296" s="996"/>
      <c r="E296" s="996"/>
      <c r="F296" s="996"/>
      <c r="G296" s="996"/>
      <c r="H296" s="996"/>
      <c r="I296" s="3"/>
      <c r="J296" s="996"/>
      <c r="K296" s="996"/>
      <c r="L296" s="996"/>
      <c r="M296" s="996"/>
      <c r="N296" s="996"/>
      <c r="O296" s="996"/>
      <c r="P296" s="996"/>
      <c r="Q296" s="996"/>
      <c r="R296" s="996"/>
      <c r="S296" s="996"/>
      <c r="T296" s="996"/>
      <c r="U296" s="996"/>
      <c r="V296" s="996"/>
      <c r="W296" s="996"/>
      <c r="X296" s="996"/>
      <c r="Y296" s="996"/>
      <c r="Z296" s="97"/>
      <c r="AA296" s="996"/>
      <c r="AB296" s="996"/>
      <c r="AC296" s="996"/>
      <c r="AD296" s="996"/>
      <c r="AE296" s="996"/>
      <c r="AF296" s="996"/>
      <c r="AG296" s="996"/>
      <c r="AH296" s="996"/>
      <c r="AI296" s="996"/>
      <c r="AJ296" s="996"/>
      <c r="AK296" s="996"/>
      <c r="AL296" s="996"/>
    </row>
    <row r="297" spans="2:38">
      <c r="B297" s="545"/>
      <c r="C297" s="996"/>
      <c r="D297" s="996"/>
      <c r="E297" s="996"/>
      <c r="F297" s="996"/>
      <c r="G297" s="996"/>
      <c r="H297" s="996"/>
      <c r="I297" s="3"/>
      <c r="J297" s="996"/>
      <c r="K297" s="996"/>
      <c r="L297" s="996"/>
      <c r="M297" s="996"/>
      <c r="N297" s="996"/>
      <c r="O297" s="996"/>
      <c r="P297" s="996"/>
      <c r="Q297" s="996"/>
      <c r="R297" s="996"/>
      <c r="S297" s="996"/>
      <c r="T297" s="996"/>
      <c r="U297" s="996"/>
      <c r="V297" s="996"/>
      <c r="W297" s="996"/>
      <c r="X297" s="996"/>
      <c r="Y297" s="996"/>
      <c r="Z297" s="97"/>
      <c r="AA297" s="996"/>
      <c r="AB297" s="996"/>
      <c r="AC297" s="996"/>
      <c r="AD297" s="996"/>
      <c r="AE297" s="996"/>
      <c r="AF297" s="996"/>
      <c r="AG297" s="996"/>
      <c r="AH297" s="996"/>
      <c r="AI297" s="996"/>
      <c r="AJ297" s="996"/>
      <c r="AK297" s="996"/>
      <c r="AL297" s="996"/>
    </row>
    <row r="298" spans="2:38">
      <c r="B298" s="545"/>
      <c r="C298" s="996"/>
      <c r="D298" s="996"/>
      <c r="E298" s="996"/>
      <c r="F298" s="996"/>
      <c r="G298" s="996"/>
      <c r="H298" s="996"/>
      <c r="I298" s="3"/>
      <c r="J298" s="996"/>
      <c r="K298" s="996"/>
      <c r="L298" s="996"/>
      <c r="M298" s="996"/>
      <c r="N298" s="996"/>
      <c r="O298" s="996"/>
      <c r="P298" s="996"/>
      <c r="Q298" s="996"/>
      <c r="R298" s="996"/>
      <c r="S298" s="996"/>
      <c r="T298" s="996"/>
      <c r="U298" s="996"/>
      <c r="V298" s="996"/>
      <c r="W298" s="996"/>
      <c r="X298" s="996"/>
      <c r="Y298" s="996"/>
      <c r="Z298" s="97"/>
      <c r="AA298" s="996"/>
      <c r="AB298" s="996"/>
      <c r="AC298" s="996"/>
      <c r="AD298" s="996"/>
      <c r="AE298" s="996"/>
      <c r="AF298" s="996"/>
      <c r="AG298" s="996"/>
      <c r="AH298" s="996"/>
      <c r="AI298" s="996"/>
      <c r="AJ298" s="996"/>
      <c r="AK298" s="996"/>
      <c r="AL298" s="996"/>
    </row>
    <row r="299" spans="2:38">
      <c r="B299" s="545"/>
      <c r="C299" s="996"/>
      <c r="D299" s="996"/>
      <c r="E299" s="996"/>
      <c r="F299" s="996"/>
      <c r="G299" s="996"/>
      <c r="H299" s="996"/>
      <c r="I299" s="3"/>
      <c r="J299" s="996"/>
      <c r="K299" s="996"/>
      <c r="L299" s="996"/>
      <c r="M299" s="996"/>
      <c r="N299" s="996"/>
      <c r="O299" s="996"/>
      <c r="P299" s="996"/>
      <c r="Q299" s="996"/>
      <c r="R299" s="996"/>
      <c r="S299" s="996"/>
      <c r="T299" s="996"/>
      <c r="U299" s="996"/>
      <c r="V299" s="996"/>
      <c r="W299" s="996"/>
      <c r="X299" s="996"/>
      <c r="Y299" s="996"/>
      <c r="Z299" s="97"/>
      <c r="AA299" s="996"/>
      <c r="AB299" s="996"/>
      <c r="AC299" s="996"/>
      <c r="AD299" s="996"/>
      <c r="AE299" s="996"/>
      <c r="AF299" s="996"/>
      <c r="AG299" s="996"/>
      <c r="AH299" s="996"/>
      <c r="AI299" s="996"/>
      <c r="AJ299" s="996"/>
      <c r="AK299" s="996"/>
      <c r="AL299" s="996"/>
    </row>
    <row r="300" spans="2:38">
      <c r="B300" s="545"/>
      <c r="C300" s="996"/>
      <c r="D300" s="996"/>
      <c r="E300" s="996"/>
      <c r="F300" s="996"/>
      <c r="G300" s="996"/>
      <c r="H300" s="996"/>
      <c r="I300" s="3"/>
      <c r="J300" s="996"/>
      <c r="K300" s="996"/>
      <c r="L300" s="996"/>
      <c r="M300" s="996"/>
      <c r="N300" s="996"/>
      <c r="O300" s="996"/>
      <c r="P300" s="996"/>
      <c r="Q300" s="996"/>
      <c r="R300" s="996"/>
      <c r="S300" s="996"/>
      <c r="T300" s="996"/>
      <c r="U300" s="996"/>
      <c r="V300" s="996"/>
      <c r="W300" s="996"/>
      <c r="X300" s="996"/>
      <c r="Y300" s="996"/>
      <c r="Z300" s="97"/>
      <c r="AA300" s="996"/>
      <c r="AB300" s="996"/>
      <c r="AC300" s="996"/>
      <c r="AD300" s="996"/>
      <c r="AE300" s="996"/>
      <c r="AF300" s="996"/>
      <c r="AG300" s="996"/>
      <c r="AH300" s="996"/>
      <c r="AI300" s="996"/>
      <c r="AJ300" s="996"/>
      <c r="AK300" s="996"/>
      <c r="AL300" s="996"/>
    </row>
    <row r="301" spans="2:38">
      <c r="B301" s="545"/>
      <c r="C301" s="996"/>
      <c r="D301" s="996"/>
      <c r="E301" s="996"/>
      <c r="F301" s="996"/>
      <c r="G301" s="996"/>
      <c r="H301" s="996"/>
      <c r="I301" s="3"/>
      <c r="J301" s="996"/>
      <c r="K301" s="996"/>
      <c r="L301" s="996"/>
      <c r="M301" s="996"/>
      <c r="N301" s="996"/>
      <c r="O301" s="996"/>
      <c r="P301" s="996"/>
      <c r="Q301" s="996"/>
      <c r="R301" s="996"/>
      <c r="S301" s="996"/>
      <c r="T301" s="996"/>
      <c r="U301" s="996"/>
      <c r="V301" s="996"/>
      <c r="W301" s="996"/>
      <c r="X301" s="996"/>
      <c r="Y301" s="996"/>
      <c r="Z301" s="97"/>
      <c r="AA301" s="996"/>
      <c r="AB301" s="996"/>
      <c r="AC301" s="996"/>
      <c r="AD301" s="996"/>
      <c r="AE301" s="996"/>
      <c r="AF301" s="996"/>
      <c r="AG301" s="996"/>
      <c r="AH301" s="996"/>
      <c r="AI301" s="996"/>
      <c r="AJ301" s="996"/>
      <c r="AK301" s="996"/>
      <c r="AL301" s="996"/>
    </row>
    <row r="302" spans="2:38">
      <c r="B302" s="545"/>
      <c r="C302" s="996"/>
      <c r="D302" s="996"/>
      <c r="E302" s="996"/>
      <c r="F302" s="996"/>
      <c r="G302" s="996"/>
      <c r="H302" s="996"/>
      <c r="I302" s="3"/>
      <c r="J302" s="996"/>
      <c r="K302" s="996"/>
      <c r="L302" s="996"/>
      <c r="M302" s="996"/>
      <c r="N302" s="996"/>
      <c r="O302" s="996"/>
      <c r="P302" s="996"/>
      <c r="Q302" s="996"/>
      <c r="R302" s="996"/>
      <c r="S302" s="996"/>
      <c r="T302" s="996"/>
      <c r="U302" s="996"/>
      <c r="V302" s="996"/>
      <c r="W302" s="996"/>
      <c r="X302" s="996"/>
      <c r="Y302" s="996"/>
      <c r="Z302" s="97"/>
      <c r="AA302" s="996"/>
      <c r="AB302" s="996"/>
      <c r="AC302" s="996"/>
      <c r="AD302" s="996"/>
      <c r="AE302" s="996"/>
      <c r="AF302" s="996"/>
      <c r="AG302" s="996"/>
      <c r="AH302" s="996"/>
      <c r="AI302" s="996"/>
      <c r="AJ302" s="996"/>
      <c r="AK302" s="996"/>
      <c r="AL302" s="996"/>
    </row>
    <row r="303" spans="2:38">
      <c r="B303" s="545"/>
      <c r="C303" s="996"/>
      <c r="D303" s="996"/>
      <c r="E303" s="996"/>
      <c r="F303" s="996"/>
      <c r="G303" s="996"/>
      <c r="H303" s="996"/>
      <c r="I303" s="3"/>
      <c r="J303" s="996"/>
      <c r="K303" s="996"/>
      <c r="L303" s="996"/>
      <c r="M303" s="996"/>
      <c r="N303" s="996"/>
      <c r="O303" s="996"/>
      <c r="P303" s="996"/>
      <c r="Q303" s="996"/>
      <c r="R303" s="996"/>
      <c r="S303" s="996"/>
      <c r="T303" s="996"/>
      <c r="U303" s="996"/>
      <c r="V303" s="996"/>
      <c r="W303" s="996"/>
      <c r="X303" s="996"/>
      <c r="Y303" s="996"/>
      <c r="Z303" s="97"/>
      <c r="AA303" s="996"/>
      <c r="AB303" s="996"/>
      <c r="AC303" s="996"/>
      <c r="AD303" s="996"/>
      <c r="AE303" s="996"/>
      <c r="AF303" s="996"/>
      <c r="AG303" s="996"/>
      <c r="AH303" s="996"/>
      <c r="AI303" s="996"/>
      <c r="AJ303" s="996"/>
      <c r="AK303" s="996"/>
      <c r="AL303" s="996"/>
    </row>
    <row r="304" spans="2:38">
      <c r="B304" s="545"/>
      <c r="C304" s="996"/>
      <c r="D304" s="996"/>
      <c r="E304" s="996"/>
      <c r="F304" s="996"/>
      <c r="G304" s="996"/>
      <c r="H304" s="996"/>
      <c r="I304" s="3"/>
      <c r="J304" s="996"/>
      <c r="K304" s="996"/>
      <c r="L304" s="996"/>
      <c r="M304" s="996"/>
      <c r="N304" s="996"/>
      <c r="O304" s="996"/>
      <c r="P304" s="996"/>
      <c r="Q304" s="996"/>
      <c r="R304" s="996"/>
      <c r="S304" s="996"/>
      <c r="T304" s="996"/>
      <c r="U304" s="996"/>
      <c r="V304" s="996"/>
      <c r="W304" s="996"/>
      <c r="X304" s="996"/>
      <c r="Y304" s="996"/>
      <c r="Z304" s="97"/>
      <c r="AA304" s="996"/>
      <c r="AB304" s="996"/>
      <c r="AC304" s="996"/>
      <c r="AD304" s="996"/>
      <c r="AE304" s="996"/>
      <c r="AF304" s="996"/>
      <c r="AG304" s="996"/>
      <c r="AH304" s="996"/>
      <c r="AI304" s="996"/>
      <c r="AJ304" s="996"/>
      <c r="AK304" s="996"/>
      <c r="AL304" s="996"/>
    </row>
    <row r="305" spans="2:38">
      <c r="B305" s="545"/>
      <c r="C305" s="996"/>
      <c r="D305" s="996"/>
      <c r="E305" s="996"/>
      <c r="F305" s="996"/>
      <c r="G305" s="996"/>
      <c r="H305" s="996"/>
      <c r="I305" s="3"/>
      <c r="J305" s="996"/>
      <c r="K305" s="996"/>
      <c r="L305" s="996"/>
      <c r="M305" s="996"/>
      <c r="N305" s="996"/>
      <c r="O305" s="996"/>
      <c r="P305" s="996"/>
      <c r="Q305" s="996"/>
      <c r="R305" s="996"/>
      <c r="S305" s="996"/>
      <c r="T305" s="996"/>
      <c r="U305" s="996"/>
      <c r="V305" s="996"/>
      <c r="W305" s="996"/>
      <c r="X305" s="996"/>
      <c r="Y305" s="996"/>
      <c r="Z305" s="97"/>
      <c r="AA305" s="996"/>
      <c r="AB305" s="996"/>
      <c r="AC305" s="996"/>
      <c r="AD305" s="996"/>
      <c r="AE305" s="996"/>
      <c r="AF305" s="996"/>
      <c r="AG305" s="996"/>
      <c r="AH305" s="996"/>
      <c r="AI305" s="996"/>
      <c r="AJ305" s="996"/>
      <c r="AK305" s="996"/>
      <c r="AL305" s="996"/>
    </row>
    <row r="306" spans="2:38">
      <c r="B306" s="545"/>
      <c r="C306" s="996"/>
      <c r="D306" s="996"/>
      <c r="E306" s="996"/>
      <c r="F306" s="996"/>
      <c r="G306" s="996"/>
      <c r="H306" s="996"/>
      <c r="I306" s="3"/>
      <c r="J306" s="996"/>
      <c r="K306" s="996"/>
      <c r="L306" s="996"/>
      <c r="M306" s="996"/>
      <c r="N306" s="996"/>
      <c r="O306" s="996"/>
      <c r="P306" s="996"/>
      <c r="Q306" s="996"/>
      <c r="R306" s="996"/>
      <c r="S306" s="996"/>
      <c r="T306" s="996"/>
      <c r="U306" s="996"/>
      <c r="V306" s="996"/>
      <c r="W306" s="996"/>
      <c r="X306" s="996"/>
      <c r="Y306" s="996"/>
      <c r="Z306" s="97"/>
      <c r="AA306" s="996"/>
      <c r="AB306" s="996"/>
      <c r="AC306" s="996"/>
      <c r="AD306" s="996"/>
      <c r="AE306" s="996"/>
      <c r="AF306" s="996"/>
      <c r="AG306" s="996"/>
      <c r="AH306" s="996"/>
      <c r="AI306" s="996"/>
      <c r="AJ306" s="996"/>
      <c r="AK306" s="996"/>
      <c r="AL306" s="996"/>
    </row>
    <row r="307" spans="2:38">
      <c r="B307" s="545"/>
      <c r="C307" s="996"/>
      <c r="D307" s="996"/>
      <c r="E307" s="996"/>
      <c r="F307" s="996"/>
      <c r="G307" s="996"/>
      <c r="H307" s="996"/>
      <c r="I307" s="3"/>
      <c r="J307" s="996"/>
      <c r="K307" s="996"/>
      <c r="L307" s="996"/>
      <c r="M307" s="996"/>
      <c r="N307" s="996"/>
      <c r="O307" s="996"/>
      <c r="P307" s="996"/>
      <c r="Q307" s="996"/>
      <c r="R307" s="996"/>
      <c r="S307" s="996"/>
      <c r="T307" s="996"/>
      <c r="U307" s="996"/>
      <c r="V307" s="996"/>
      <c r="W307" s="996"/>
      <c r="X307" s="996"/>
      <c r="Y307" s="996"/>
      <c r="Z307" s="97"/>
      <c r="AA307" s="996"/>
      <c r="AB307" s="996"/>
      <c r="AC307" s="996"/>
      <c r="AD307" s="996"/>
      <c r="AE307" s="996"/>
      <c r="AF307" s="996"/>
      <c r="AG307" s="996"/>
      <c r="AH307" s="996"/>
      <c r="AI307" s="996"/>
      <c r="AJ307" s="996"/>
      <c r="AK307" s="996"/>
      <c r="AL307" s="996"/>
    </row>
    <row r="308" spans="2:38">
      <c r="B308" s="545"/>
      <c r="C308" s="996"/>
      <c r="D308" s="996"/>
      <c r="E308" s="996"/>
      <c r="F308" s="996"/>
      <c r="G308" s="996"/>
      <c r="H308" s="996"/>
      <c r="I308" s="3"/>
      <c r="J308" s="996"/>
      <c r="K308" s="996"/>
      <c r="L308" s="996"/>
      <c r="M308" s="996"/>
      <c r="N308" s="996"/>
      <c r="O308" s="996"/>
      <c r="P308" s="996"/>
      <c r="Q308" s="996"/>
      <c r="R308" s="996"/>
      <c r="S308" s="996"/>
      <c r="T308" s="996"/>
      <c r="U308" s="996"/>
      <c r="V308" s="996"/>
      <c r="W308" s="996"/>
      <c r="X308" s="996"/>
      <c r="Y308" s="996"/>
      <c r="Z308" s="97"/>
      <c r="AA308" s="996"/>
      <c r="AB308" s="996"/>
      <c r="AC308" s="996"/>
      <c r="AD308" s="996"/>
      <c r="AE308" s="996"/>
      <c r="AF308" s="996"/>
      <c r="AG308" s="996"/>
      <c r="AH308" s="996"/>
      <c r="AI308" s="996"/>
      <c r="AJ308" s="996"/>
      <c r="AK308" s="996"/>
      <c r="AL308" s="996"/>
    </row>
    <row r="309" spans="2:38">
      <c r="B309" s="545"/>
      <c r="C309" s="996"/>
      <c r="D309" s="996"/>
      <c r="E309" s="996"/>
      <c r="F309" s="996"/>
      <c r="G309" s="996"/>
      <c r="H309" s="996"/>
      <c r="I309" s="3"/>
      <c r="J309" s="996"/>
      <c r="K309" s="996"/>
      <c r="L309" s="996"/>
      <c r="M309" s="996"/>
      <c r="N309" s="996"/>
      <c r="O309" s="996"/>
      <c r="P309" s="996"/>
      <c r="Q309" s="996"/>
      <c r="R309" s="996"/>
      <c r="S309" s="996"/>
      <c r="T309" s="996"/>
      <c r="U309" s="996"/>
      <c r="V309" s="996"/>
      <c r="W309" s="996"/>
      <c r="X309" s="996"/>
      <c r="Y309" s="996"/>
      <c r="Z309" s="97"/>
      <c r="AA309" s="996"/>
      <c r="AB309" s="996"/>
      <c r="AC309" s="996"/>
      <c r="AD309" s="996"/>
      <c r="AE309" s="996"/>
      <c r="AF309" s="996"/>
      <c r="AG309" s="996"/>
      <c r="AH309" s="996"/>
      <c r="AI309" s="996"/>
      <c r="AJ309" s="996"/>
      <c r="AK309" s="996"/>
      <c r="AL309" s="996"/>
    </row>
    <row r="310" spans="2:38">
      <c r="B310" s="545"/>
      <c r="C310" s="996"/>
      <c r="D310" s="996"/>
      <c r="E310" s="996"/>
      <c r="F310" s="996"/>
      <c r="G310" s="996"/>
      <c r="H310" s="996"/>
      <c r="I310" s="3"/>
      <c r="J310" s="996"/>
      <c r="K310" s="996"/>
      <c r="L310" s="996"/>
      <c r="M310" s="996"/>
      <c r="N310" s="996"/>
      <c r="O310" s="996"/>
      <c r="P310" s="996"/>
      <c r="Q310" s="996"/>
      <c r="R310" s="996"/>
      <c r="S310" s="996"/>
      <c r="T310" s="996"/>
      <c r="U310" s="996"/>
      <c r="V310" s="996"/>
      <c r="W310" s="996"/>
      <c r="X310" s="996"/>
      <c r="Y310" s="996"/>
      <c r="Z310" s="97"/>
      <c r="AA310" s="996"/>
      <c r="AB310" s="996"/>
      <c r="AC310" s="996"/>
      <c r="AD310" s="996"/>
      <c r="AE310" s="996"/>
      <c r="AF310" s="996"/>
      <c r="AG310" s="996"/>
      <c r="AH310" s="996"/>
      <c r="AI310" s="996"/>
      <c r="AJ310" s="996"/>
      <c r="AK310" s="996"/>
      <c r="AL310" s="996"/>
    </row>
    <row r="311" spans="2:38">
      <c r="B311" s="545"/>
      <c r="C311" s="996"/>
      <c r="D311" s="996"/>
      <c r="E311" s="996"/>
      <c r="F311" s="996"/>
      <c r="G311" s="996"/>
      <c r="H311" s="996"/>
      <c r="I311" s="3"/>
      <c r="J311" s="996"/>
      <c r="K311" s="996"/>
      <c r="L311" s="996"/>
      <c r="M311" s="996"/>
      <c r="N311" s="996"/>
      <c r="O311" s="996"/>
      <c r="P311" s="996"/>
      <c r="Q311" s="996"/>
      <c r="R311" s="996"/>
      <c r="S311" s="996"/>
      <c r="T311" s="996"/>
      <c r="U311" s="996"/>
      <c r="V311" s="996"/>
      <c r="W311" s="996"/>
      <c r="X311" s="996"/>
      <c r="Y311" s="996"/>
      <c r="Z311" s="97"/>
      <c r="AA311" s="996"/>
      <c r="AB311" s="996"/>
      <c r="AC311" s="996"/>
      <c r="AD311" s="996"/>
      <c r="AE311" s="996"/>
      <c r="AF311" s="996"/>
      <c r="AG311" s="996"/>
      <c r="AH311" s="996"/>
      <c r="AI311" s="996"/>
      <c r="AJ311" s="996"/>
      <c r="AK311" s="996"/>
      <c r="AL311" s="996"/>
    </row>
    <row r="312" spans="2:38">
      <c r="B312" s="545"/>
      <c r="C312" s="996"/>
      <c r="D312" s="996"/>
      <c r="E312" s="996"/>
      <c r="F312" s="996"/>
      <c r="G312" s="996"/>
      <c r="H312" s="996"/>
      <c r="I312" s="3"/>
      <c r="J312" s="996"/>
      <c r="K312" s="996"/>
      <c r="L312" s="996"/>
      <c r="M312" s="996"/>
      <c r="N312" s="996"/>
      <c r="O312" s="996"/>
      <c r="P312" s="996"/>
      <c r="Q312" s="996"/>
      <c r="R312" s="996"/>
      <c r="S312" s="996"/>
      <c r="T312" s="996"/>
      <c r="U312" s="996"/>
      <c r="V312" s="996"/>
      <c r="W312" s="996"/>
      <c r="X312" s="996"/>
      <c r="Y312" s="996"/>
      <c r="Z312" s="97"/>
      <c r="AA312" s="996"/>
      <c r="AB312" s="996"/>
      <c r="AC312" s="996"/>
      <c r="AD312" s="996"/>
      <c r="AE312" s="996"/>
      <c r="AF312" s="996"/>
      <c r="AG312" s="996"/>
      <c r="AH312" s="996"/>
      <c r="AI312" s="996"/>
      <c r="AJ312" s="996"/>
      <c r="AK312" s="996"/>
      <c r="AL312" s="996"/>
    </row>
    <row r="313" spans="2:38">
      <c r="B313" s="545"/>
      <c r="C313" s="996"/>
      <c r="D313" s="996"/>
      <c r="E313" s="996"/>
      <c r="F313" s="996"/>
      <c r="G313" s="996"/>
      <c r="H313" s="996"/>
      <c r="I313" s="3"/>
      <c r="J313" s="996"/>
      <c r="K313" s="996"/>
      <c r="L313" s="996"/>
      <c r="M313" s="996"/>
      <c r="N313" s="996"/>
      <c r="O313" s="996"/>
      <c r="P313" s="996"/>
      <c r="Q313" s="996"/>
      <c r="R313" s="996"/>
      <c r="S313" s="996"/>
      <c r="T313" s="996"/>
      <c r="U313" s="996"/>
      <c r="V313" s="996"/>
      <c r="W313" s="996"/>
      <c r="X313" s="996"/>
      <c r="Y313" s="996"/>
      <c r="Z313" s="97"/>
      <c r="AA313" s="996"/>
      <c r="AB313" s="996"/>
      <c r="AC313" s="996"/>
      <c r="AD313" s="996"/>
      <c r="AE313" s="996"/>
      <c r="AF313" s="996"/>
      <c r="AG313" s="996"/>
      <c r="AH313" s="996"/>
      <c r="AI313" s="996"/>
      <c r="AJ313" s="996"/>
      <c r="AK313" s="996"/>
      <c r="AL313" s="996"/>
    </row>
    <row r="314" spans="2:38">
      <c r="B314" s="545"/>
      <c r="C314" s="996"/>
      <c r="D314" s="996"/>
      <c r="E314" s="996"/>
      <c r="F314" s="996"/>
      <c r="G314" s="996"/>
      <c r="H314" s="996"/>
      <c r="I314" s="3"/>
      <c r="J314" s="996"/>
      <c r="K314" s="996"/>
      <c r="L314" s="996"/>
      <c r="M314" s="996"/>
      <c r="N314" s="996"/>
      <c r="O314" s="996"/>
      <c r="P314" s="996"/>
      <c r="Q314" s="996"/>
      <c r="R314" s="996"/>
      <c r="S314" s="996"/>
      <c r="T314" s="996"/>
      <c r="U314" s="996"/>
      <c r="V314" s="996"/>
      <c r="W314" s="996"/>
      <c r="X314" s="996"/>
      <c r="Y314" s="996"/>
      <c r="Z314" s="97"/>
      <c r="AA314" s="996"/>
      <c r="AB314" s="996"/>
      <c r="AC314" s="996"/>
      <c r="AD314" s="996"/>
      <c r="AE314" s="996"/>
      <c r="AF314" s="996"/>
      <c r="AG314" s="996"/>
      <c r="AH314" s="996"/>
      <c r="AI314" s="996"/>
      <c r="AJ314" s="996"/>
      <c r="AK314" s="996"/>
      <c r="AL314" s="996"/>
    </row>
    <row r="315" spans="2:38">
      <c r="B315" s="545"/>
      <c r="C315" s="996"/>
      <c r="D315" s="996"/>
      <c r="E315" s="996"/>
      <c r="F315" s="996"/>
      <c r="G315" s="996"/>
      <c r="H315" s="996"/>
      <c r="I315" s="3"/>
      <c r="J315" s="996"/>
      <c r="K315" s="996"/>
      <c r="L315" s="996"/>
      <c r="M315" s="996"/>
      <c r="N315" s="996"/>
      <c r="O315" s="996"/>
      <c r="P315" s="996"/>
      <c r="Q315" s="996"/>
      <c r="R315" s="996"/>
      <c r="S315" s="996"/>
      <c r="T315" s="996"/>
      <c r="U315" s="996"/>
      <c r="V315" s="996"/>
      <c r="W315" s="996"/>
      <c r="X315" s="996"/>
      <c r="Y315" s="996"/>
      <c r="Z315" s="97"/>
      <c r="AA315" s="996"/>
      <c r="AB315" s="996"/>
      <c r="AC315" s="996"/>
      <c r="AD315" s="996"/>
      <c r="AE315" s="996"/>
      <c r="AF315" s="996"/>
      <c r="AG315" s="996"/>
      <c r="AH315" s="996"/>
      <c r="AI315" s="996"/>
      <c r="AJ315" s="996"/>
      <c r="AK315" s="996"/>
      <c r="AL315" s="996"/>
    </row>
    <row r="316" spans="2:38">
      <c r="B316" s="545"/>
      <c r="C316" s="996"/>
      <c r="D316" s="996"/>
      <c r="E316" s="996"/>
      <c r="F316" s="996"/>
      <c r="G316" s="996"/>
      <c r="H316" s="996"/>
      <c r="I316" s="3"/>
      <c r="J316" s="996"/>
      <c r="K316" s="996"/>
      <c r="L316" s="996"/>
      <c r="M316" s="996"/>
      <c r="N316" s="996"/>
      <c r="O316" s="996"/>
      <c r="P316" s="996"/>
      <c r="Q316" s="996"/>
      <c r="R316" s="996"/>
      <c r="S316" s="996"/>
      <c r="T316" s="996"/>
      <c r="U316" s="996"/>
      <c r="V316" s="996"/>
      <c r="W316" s="996"/>
      <c r="X316" s="996"/>
      <c r="Y316" s="996"/>
      <c r="Z316" s="97"/>
      <c r="AA316" s="996"/>
      <c r="AB316" s="996"/>
      <c r="AC316" s="996"/>
      <c r="AD316" s="996"/>
      <c r="AE316" s="996"/>
      <c r="AF316" s="996"/>
      <c r="AG316" s="996"/>
      <c r="AH316" s="996"/>
      <c r="AI316" s="996"/>
      <c r="AJ316" s="996"/>
      <c r="AK316" s="996"/>
      <c r="AL316" s="996"/>
    </row>
    <row r="317" spans="2:38">
      <c r="B317" s="545"/>
      <c r="C317" s="996"/>
      <c r="D317" s="996"/>
      <c r="E317" s="996"/>
      <c r="F317" s="996"/>
      <c r="G317" s="996"/>
      <c r="H317" s="996"/>
      <c r="I317" s="3"/>
      <c r="J317" s="996"/>
      <c r="K317" s="996"/>
      <c r="L317" s="996"/>
      <c r="M317" s="996"/>
      <c r="N317" s="996"/>
      <c r="O317" s="996"/>
      <c r="P317" s="996"/>
      <c r="Q317" s="996"/>
      <c r="R317" s="996"/>
      <c r="S317" s="996"/>
      <c r="T317" s="996"/>
      <c r="U317" s="996"/>
      <c r="V317" s="996"/>
      <c r="W317" s="996"/>
      <c r="X317" s="996"/>
      <c r="Y317" s="996"/>
      <c r="Z317" s="97"/>
      <c r="AA317" s="996"/>
      <c r="AB317" s="996"/>
      <c r="AC317" s="996"/>
      <c r="AD317" s="996"/>
      <c r="AE317" s="996"/>
      <c r="AF317" s="996"/>
      <c r="AG317" s="996"/>
      <c r="AH317" s="996"/>
      <c r="AI317" s="996"/>
      <c r="AJ317" s="996"/>
      <c r="AK317" s="996"/>
      <c r="AL317" s="996"/>
    </row>
    <row r="318" spans="2:38">
      <c r="B318" s="545"/>
      <c r="C318" s="996"/>
      <c r="D318" s="996"/>
      <c r="E318" s="996"/>
      <c r="F318" s="996"/>
      <c r="G318" s="996"/>
      <c r="H318" s="996"/>
      <c r="I318" s="3"/>
      <c r="J318" s="996"/>
      <c r="K318" s="996"/>
      <c r="L318" s="996"/>
      <c r="M318" s="996"/>
      <c r="N318" s="996"/>
      <c r="O318" s="996"/>
      <c r="P318" s="996"/>
      <c r="Q318" s="996"/>
      <c r="R318" s="996"/>
      <c r="S318" s="996"/>
      <c r="T318" s="996"/>
      <c r="U318" s="996"/>
      <c r="V318" s="996"/>
      <c r="W318" s="996"/>
      <c r="X318" s="996"/>
      <c r="Y318" s="996"/>
      <c r="Z318" s="97"/>
      <c r="AA318" s="996"/>
      <c r="AB318" s="996"/>
      <c r="AC318" s="996"/>
      <c r="AD318" s="996"/>
      <c r="AE318" s="996"/>
      <c r="AF318" s="996"/>
      <c r="AG318" s="996"/>
      <c r="AH318" s="996"/>
      <c r="AI318" s="996"/>
      <c r="AJ318" s="996"/>
      <c r="AK318" s="996"/>
      <c r="AL318" s="996"/>
    </row>
    <row r="319" spans="2:38">
      <c r="B319" s="545"/>
      <c r="C319" s="996"/>
      <c r="D319" s="996"/>
      <c r="E319" s="996"/>
      <c r="F319" s="996"/>
      <c r="G319" s="996"/>
      <c r="H319" s="996"/>
      <c r="I319" s="3"/>
      <c r="J319" s="996"/>
      <c r="K319" s="996"/>
      <c r="L319" s="996"/>
      <c r="M319" s="996"/>
      <c r="N319" s="996"/>
      <c r="O319" s="996"/>
      <c r="P319" s="996"/>
      <c r="Q319" s="996"/>
      <c r="R319" s="996"/>
      <c r="S319" s="996"/>
      <c r="T319" s="996"/>
      <c r="U319" s="996"/>
      <c r="V319" s="996"/>
      <c r="W319" s="996"/>
      <c r="X319" s="996"/>
      <c r="Y319" s="996"/>
      <c r="Z319" s="97"/>
      <c r="AA319" s="996"/>
      <c r="AB319" s="996"/>
      <c r="AC319" s="996"/>
      <c r="AD319" s="996"/>
      <c r="AE319" s="996"/>
      <c r="AF319" s="996"/>
      <c r="AG319" s="996"/>
      <c r="AH319" s="996"/>
      <c r="AI319" s="996"/>
      <c r="AJ319" s="996"/>
      <c r="AK319" s="996"/>
      <c r="AL319" s="996"/>
    </row>
    <row r="320" spans="2:38">
      <c r="B320" s="545"/>
      <c r="C320" s="996"/>
      <c r="D320" s="996"/>
      <c r="E320" s="996"/>
      <c r="F320" s="996"/>
      <c r="G320" s="996"/>
      <c r="H320" s="996"/>
      <c r="I320" s="3"/>
      <c r="J320" s="996"/>
      <c r="K320" s="996"/>
      <c r="L320" s="996"/>
      <c r="M320" s="996"/>
      <c r="N320" s="996"/>
      <c r="O320" s="996"/>
      <c r="P320" s="996"/>
      <c r="Q320" s="996"/>
      <c r="R320" s="996"/>
      <c r="S320" s="996"/>
      <c r="T320" s="996"/>
      <c r="U320" s="996"/>
      <c r="V320" s="996"/>
      <c r="W320" s="996"/>
      <c r="X320" s="996"/>
      <c r="Y320" s="996"/>
      <c r="Z320" s="97"/>
      <c r="AA320" s="996"/>
      <c r="AB320" s="996"/>
      <c r="AC320" s="996"/>
      <c r="AD320" s="996"/>
      <c r="AE320" s="996"/>
      <c r="AF320" s="996"/>
      <c r="AG320" s="996"/>
      <c r="AH320" s="996"/>
      <c r="AI320" s="996"/>
      <c r="AJ320" s="996"/>
      <c r="AK320" s="996"/>
      <c r="AL320" s="996"/>
    </row>
    <row r="321" spans="2:38">
      <c r="B321" s="545"/>
      <c r="C321" s="996"/>
      <c r="D321" s="996"/>
      <c r="E321" s="996"/>
      <c r="F321" s="996"/>
      <c r="G321" s="996"/>
      <c r="H321" s="996"/>
      <c r="I321" s="3"/>
      <c r="J321" s="996"/>
      <c r="K321" s="996"/>
      <c r="L321" s="996"/>
      <c r="M321" s="996"/>
      <c r="N321" s="996"/>
      <c r="O321" s="996"/>
      <c r="P321" s="996"/>
      <c r="Q321" s="996"/>
      <c r="R321" s="996"/>
      <c r="S321" s="996"/>
      <c r="T321" s="996"/>
      <c r="U321" s="996"/>
      <c r="V321" s="996"/>
      <c r="W321" s="996"/>
      <c r="X321" s="996"/>
      <c r="Y321" s="996"/>
      <c r="Z321" s="97"/>
      <c r="AA321" s="996"/>
      <c r="AB321" s="996"/>
      <c r="AC321" s="996"/>
      <c r="AD321" s="996"/>
      <c r="AE321" s="996"/>
      <c r="AF321" s="996"/>
      <c r="AG321" s="996"/>
      <c r="AH321" s="996"/>
      <c r="AI321" s="996"/>
      <c r="AJ321" s="996"/>
      <c r="AK321" s="996"/>
      <c r="AL321" s="996"/>
    </row>
    <row r="322" spans="2:38">
      <c r="B322" s="545"/>
      <c r="C322" s="996"/>
      <c r="D322" s="996"/>
      <c r="E322" s="996"/>
      <c r="F322" s="996"/>
      <c r="G322" s="996"/>
      <c r="H322" s="996"/>
      <c r="I322" s="3"/>
      <c r="J322" s="996"/>
      <c r="K322" s="996"/>
      <c r="L322" s="996"/>
      <c r="M322" s="996"/>
      <c r="N322" s="996"/>
      <c r="O322" s="996"/>
      <c r="P322" s="996"/>
      <c r="Q322" s="996"/>
      <c r="R322" s="996"/>
      <c r="S322" s="996"/>
      <c r="T322" s="996"/>
      <c r="U322" s="996"/>
      <c r="V322" s="996"/>
      <c r="W322" s="996"/>
      <c r="X322" s="996"/>
      <c r="Y322" s="996"/>
      <c r="Z322" s="97"/>
      <c r="AA322" s="996"/>
      <c r="AB322" s="996"/>
      <c r="AC322" s="996"/>
      <c r="AD322" s="996"/>
      <c r="AE322" s="996"/>
      <c r="AF322" s="996"/>
      <c r="AG322" s="996"/>
      <c r="AH322" s="996"/>
      <c r="AI322" s="996"/>
      <c r="AJ322" s="996"/>
      <c r="AK322" s="996"/>
      <c r="AL322" s="996"/>
    </row>
    <row r="323" spans="2:38">
      <c r="B323" s="545"/>
      <c r="C323" s="996"/>
      <c r="D323" s="996"/>
      <c r="E323" s="996"/>
      <c r="F323" s="996"/>
      <c r="G323" s="996"/>
      <c r="H323" s="996"/>
      <c r="I323" s="3"/>
      <c r="J323" s="996"/>
      <c r="K323" s="996"/>
      <c r="L323" s="996"/>
      <c r="M323" s="996"/>
      <c r="N323" s="996"/>
      <c r="O323" s="996"/>
      <c r="P323" s="996"/>
      <c r="Q323" s="996"/>
      <c r="R323" s="996"/>
      <c r="S323" s="996"/>
      <c r="T323" s="996"/>
      <c r="U323" s="996"/>
      <c r="V323" s="996"/>
      <c r="W323" s="996"/>
      <c r="X323" s="996"/>
      <c r="Y323" s="996"/>
      <c r="Z323" s="97"/>
      <c r="AA323" s="996"/>
      <c r="AB323" s="996"/>
      <c r="AC323" s="996"/>
      <c r="AD323" s="996"/>
      <c r="AE323" s="996"/>
      <c r="AF323" s="996"/>
      <c r="AG323" s="996"/>
      <c r="AH323" s="996"/>
      <c r="AI323" s="996"/>
      <c r="AJ323" s="996"/>
      <c r="AK323" s="996"/>
      <c r="AL323" s="996"/>
    </row>
    <row r="324" spans="2:38">
      <c r="B324" s="545"/>
      <c r="C324" s="996"/>
      <c r="D324" s="996"/>
      <c r="E324" s="996"/>
      <c r="F324" s="996"/>
      <c r="G324" s="996"/>
      <c r="H324" s="996"/>
      <c r="I324" s="3"/>
      <c r="J324" s="996"/>
      <c r="K324" s="996"/>
      <c r="L324" s="996"/>
      <c r="M324" s="996"/>
      <c r="N324" s="996"/>
      <c r="O324" s="996"/>
      <c r="P324" s="996"/>
      <c r="Q324" s="996"/>
      <c r="R324" s="996"/>
      <c r="S324" s="996"/>
      <c r="T324" s="996"/>
      <c r="U324" s="996"/>
      <c r="V324" s="996"/>
      <c r="W324" s="996"/>
      <c r="X324" s="996"/>
      <c r="Y324" s="996"/>
      <c r="Z324" s="97"/>
      <c r="AA324" s="996"/>
      <c r="AB324" s="996"/>
      <c r="AC324" s="996"/>
      <c r="AD324" s="996"/>
      <c r="AE324" s="996"/>
      <c r="AF324" s="996"/>
      <c r="AG324" s="996"/>
      <c r="AH324" s="996"/>
      <c r="AI324" s="996"/>
      <c r="AJ324" s="996"/>
      <c r="AK324" s="996"/>
      <c r="AL324" s="996"/>
    </row>
    <row r="325" spans="2:38">
      <c r="B325" s="545"/>
      <c r="C325" s="996"/>
      <c r="D325" s="996"/>
      <c r="E325" s="996"/>
      <c r="F325" s="996"/>
      <c r="G325" s="996"/>
      <c r="H325" s="996"/>
      <c r="I325" s="3"/>
      <c r="J325" s="996"/>
      <c r="K325" s="996"/>
      <c r="L325" s="996"/>
      <c r="M325" s="996"/>
      <c r="N325" s="996"/>
      <c r="O325" s="996"/>
      <c r="P325" s="996"/>
      <c r="Q325" s="996"/>
      <c r="R325" s="996"/>
      <c r="S325" s="996"/>
      <c r="T325" s="996"/>
      <c r="U325" s="996"/>
      <c r="V325" s="996"/>
      <c r="W325" s="996"/>
      <c r="X325" s="996"/>
      <c r="Y325" s="996"/>
      <c r="Z325" s="97"/>
      <c r="AA325" s="996"/>
      <c r="AB325" s="996"/>
      <c r="AC325" s="996"/>
      <c r="AD325" s="996"/>
      <c r="AE325" s="996"/>
      <c r="AF325" s="996"/>
      <c r="AG325" s="996"/>
      <c r="AH325" s="996"/>
      <c r="AI325" s="996"/>
      <c r="AJ325" s="996"/>
      <c r="AK325" s="996"/>
      <c r="AL325" s="996"/>
    </row>
    <row r="326" spans="2:38">
      <c r="B326" s="545"/>
      <c r="C326" s="996"/>
      <c r="D326" s="996"/>
      <c r="E326" s="996"/>
      <c r="F326" s="996"/>
      <c r="G326" s="996"/>
      <c r="H326" s="996"/>
      <c r="I326" s="3"/>
      <c r="J326" s="996"/>
      <c r="K326" s="996"/>
      <c r="L326" s="996"/>
      <c r="M326" s="996"/>
      <c r="N326" s="996"/>
      <c r="O326" s="996"/>
      <c r="P326" s="996"/>
      <c r="Q326" s="996"/>
      <c r="R326" s="996"/>
      <c r="S326" s="996"/>
      <c r="T326" s="996"/>
      <c r="U326" s="996"/>
      <c r="V326" s="996"/>
      <c r="W326" s="996"/>
      <c r="X326" s="996"/>
      <c r="Y326" s="996"/>
      <c r="Z326" s="97"/>
      <c r="AA326" s="996"/>
      <c r="AB326" s="996"/>
      <c r="AC326" s="996"/>
      <c r="AD326" s="996"/>
      <c r="AE326" s="996"/>
      <c r="AF326" s="996"/>
      <c r="AG326" s="996"/>
      <c r="AH326" s="996"/>
      <c r="AI326" s="996"/>
      <c r="AJ326" s="996"/>
      <c r="AK326" s="996"/>
      <c r="AL326" s="996"/>
    </row>
    <row r="327" spans="2:38">
      <c r="B327" s="545"/>
      <c r="C327" s="996"/>
      <c r="D327" s="996"/>
      <c r="E327" s="996"/>
      <c r="F327" s="996"/>
      <c r="G327" s="996"/>
      <c r="H327" s="996"/>
      <c r="I327" s="3"/>
      <c r="J327" s="996"/>
      <c r="K327" s="996"/>
      <c r="L327" s="996"/>
      <c r="M327" s="996"/>
      <c r="N327" s="996"/>
      <c r="O327" s="996"/>
      <c r="P327" s="996"/>
      <c r="Q327" s="996"/>
      <c r="R327" s="996"/>
      <c r="S327" s="996"/>
      <c r="T327" s="996"/>
      <c r="U327" s="996"/>
      <c r="V327" s="996"/>
      <c r="W327" s="996"/>
      <c r="X327" s="996"/>
      <c r="Y327" s="996"/>
      <c r="Z327" s="97"/>
      <c r="AA327" s="996"/>
      <c r="AB327" s="996"/>
      <c r="AC327" s="996"/>
      <c r="AD327" s="996"/>
      <c r="AE327" s="996"/>
      <c r="AF327" s="996"/>
      <c r="AG327" s="996"/>
      <c r="AH327" s="996"/>
      <c r="AI327" s="996"/>
      <c r="AJ327" s="996"/>
      <c r="AK327" s="996"/>
      <c r="AL327" s="996"/>
    </row>
    <row r="328" spans="2:38">
      <c r="B328" s="545"/>
      <c r="C328" s="996"/>
      <c r="D328" s="996"/>
      <c r="E328" s="996"/>
      <c r="F328" s="996"/>
      <c r="G328" s="996"/>
      <c r="H328" s="996"/>
      <c r="I328" s="3"/>
      <c r="J328" s="996"/>
      <c r="K328" s="996"/>
      <c r="L328" s="996"/>
      <c r="M328" s="996"/>
      <c r="N328" s="996"/>
      <c r="O328" s="996"/>
      <c r="P328" s="996"/>
      <c r="Q328" s="996"/>
      <c r="R328" s="996"/>
      <c r="S328" s="996"/>
      <c r="T328" s="996"/>
      <c r="U328" s="996"/>
      <c r="V328" s="996"/>
      <c r="W328" s="996"/>
      <c r="X328" s="996"/>
      <c r="Y328" s="996"/>
      <c r="Z328" s="97"/>
      <c r="AA328" s="996"/>
      <c r="AB328" s="996"/>
      <c r="AC328" s="996"/>
      <c r="AD328" s="996"/>
      <c r="AE328" s="996"/>
      <c r="AF328" s="996"/>
      <c r="AG328" s="996"/>
      <c r="AH328" s="996"/>
      <c r="AI328" s="996"/>
      <c r="AJ328" s="996"/>
      <c r="AK328" s="996"/>
      <c r="AL328" s="996"/>
    </row>
    <row r="329" spans="2:38">
      <c r="B329" s="545"/>
      <c r="C329" s="996"/>
      <c r="D329" s="996"/>
      <c r="E329" s="996"/>
      <c r="F329" s="996"/>
      <c r="G329" s="996"/>
      <c r="H329" s="996"/>
      <c r="I329" s="3"/>
      <c r="J329" s="996"/>
      <c r="K329" s="996"/>
      <c r="L329" s="996"/>
      <c r="M329" s="996"/>
      <c r="N329" s="996"/>
      <c r="O329" s="996"/>
      <c r="P329" s="996"/>
      <c r="Q329" s="996"/>
      <c r="R329" s="996"/>
      <c r="S329" s="996"/>
      <c r="T329" s="996"/>
      <c r="U329" s="996"/>
      <c r="V329" s="996"/>
      <c r="W329" s="996"/>
      <c r="X329" s="996"/>
      <c r="Y329" s="996"/>
      <c r="Z329" s="97"/>
      <c r="AA329" s="996"/>
      <c r="AB329" s="996"/>
      <c r="AC329" s="996"/>
      <c r="AD329" s="996"/>
      <c r="AE329" s="996"/>
      <c r="AF329" s="996"/>
      <c r="AG329" s="996"/>
      <c r="AH329" s="996"/>
      <c r="AI329" s="996"/>
      <c r="AJ329" s="996"/>
      <c r="AK329" s="996"/>
      <c r="AL329" s="996"/>
    </row>
    <row r="330" spans="2:38">
      <c r="B330" s="545"/>
      <c r="C330" s="996"/>
      <c r="D330" s="996"/>
      <c r="E330" s="996"/>
      <c r="F330" s="996"/>
      <c r="G330" s="996"/>
      <c r="H330" s="996"/>
      <c r="I330" s="3"/>
      <c r="J330" s="996"/>
      <c r="K330" s="996"/>
      <c r="L330" s="996"/>
      <c r="M330" s="996"/>
      <c r="N330" s="996"/>
      <c r="O330" s="996"/>
      <c r="P330" s="996"/>
      <c r="Q330" s="996"/>
      <c r="R330" s="996"/>
      <c r="S330" s="996"/>
      <c r="T330" s="996"/>
      <c r="U330" s="996"/>
      <c r="V330" s="996"/>
      <c r="W330" s="996"/>
      <c r="X330" s="996"/>
      <c r="Y330" s="996"/>
      <c r="Z330" s="97"/>
      <c r="AA330" s="996"/>
      <c r="AB330" s="996"/>
      <c r="AC330" s="996"/>
      <c r="AD330" s="996"/>
      <c r="AE330" s="996"/>
      <c r="AF330" s="996"/>
      <c r="AG330" s="996"/>
      <c r="AH330" s="996"/>
      <c r="AI330" s="996"/>
      <c r="AJ330" s="996"/>
      <c r="AK330" s="996"/>
      <c r="AL330" s="996"/>
    </row>
    <row r="331" spans="2:38">
      <c r="B331" s="545"/>
      <c r="C331" s="996"/>
      <c r="D331" s="996"/>
      <c r="E331" s="996"/>
      <c r="F331" s="996"/>
      <c r="G331" s="996"/>
      <c r="H331" s="996"/>
      <c r="I331" s="3"/>
      <c r="J331" s="996"/>
      <c r="K331" s="996"/>
      <c r="L331" s="996"/>
      <c r="M331" s="996"/>
      <c r="N331" s="996"/>
      <c r="O331" s="996"/>
      <c r="P331" s="996"/>
      <c r="Q331" s="996"/>
      <c r="R331" s="996"/>
      <c r="S331" s="996"/>
      <c r="T331" s="996"/>
      <c r="U331" s="996"/>
      <c r="V331" s="996"/>
      <c r="W331" s="996"/>
      <c r="X331" s="996"/>
      <c r="Y331" s="996"/>
      <c r="Z331" s="97"/>
      <c r="AA331" s="996"/>
      <c r="AB331" s="996"/>
      <c r="AC331" s="996"/>
      <c r="AD331" s="996"/>
      <c r="AE331" s="996"/>
      <c r="AF331" s="996"/>
      <c r="AG331" s="996"/>
      <c r="AH331" s="996"/>
      <c r="AI331" s="996"/>
      <c r="AJ331" s="996"/>
      <c r="AK331" s="996"/>
      <c r="AL331" s="996"/>
    </row>
    <row r="332" spans="2:38">
      <c r="B332" s="545"/>
      <c r="C332" s="996"/>
      <c r="D332" s="996"/>
      <c r="E332" s="996"/>
      <c r="F332" s="996"/>
      <c r="G332" s="996"/>
      <c r="H332" s="996"/>
      <c r="I332" s="3"/>
      <c r="J332" s="996"/>
      <c r="K332" s="996"/>
      <c r="L332" s="996"/>
      <c r="M332" s="996"/>
      <c r="N332" s="996"/>
      <c r="O332" s="996"/>
      <c r="P332" s="996"/>
      <c r="Q332" s="996"/>
      <c r="R332" s="996"/>
      <c r="S332" s="996"/>
      <c r="T332" s="996"/>
      <c r="U332" s="996"/>
      <c r="V332" s="996"/>
      <c r="W332" s="996"/>
      <c r="X332" s="996"/>
      <c r="Y332" s="996"/>
      <c r="Z332" s="97"/>
      <c r="AA332" s="996"/>
      <c r="AB332" s="996"/>
      <c r="AC332" s="996"/>
      <c r="AD332" s="996"/>
      <c r="AE332" s="996"/>
      <c r="AF332" s="996"/>
      <c r="AG332" s="996"/>
      <c r="AH332" s="996"/>
      <c r="AI332" s="996"/>
      <c r="AJ332" s="996"/>
      <c r="AK332" s="996"/>
      <c r="AL332" s="996"/>
    </row>
    <row r="333" spans="2:38">
      <c r="B333" s="545"/>
      <c r="C333" s="996"/>
      <c r="D333" s="996"/>
      <c r="E333" s="996"/>
      <c r="F333" s="996"/>
      <c r="G333" s="996"/>
      <c r="H333" s="996"/>
      <c r="I333" s="3"/>
      <c r="J333" s="996"/>
      <c r="K333" s="996"/>
      <c r="L333" s="996"/>
      <c r="M333" s="996"/>
      <c r="N333" s="996"/>
      <c r="O333" s="996"/>
      <c r="P333" s="996"/>
      <c r="Q333" s="996"/>
      <c r="R333" s="996"/>
      <c r="S333" s="996"/>
      <c r="T333" s="996"/>
      <c r="U333" s="996"/>
      <c r="V333" s="996"/>
      <c r="W333" s="996"/>
      <c r="X333" s="996"/>
      <c r="Y333" s="996"/>
      <c r="Z333" s="97"/>
      <c r="AA333" s="996"/>
      <c r="AB333" s="996"/>
      <c r="AC333" s="996"/>
      <c r="AD333" s="996"/>
      <c r="AE333" s="996"/>
      <c r="AF333" s="996"/>
      <c r="AG333" s="996"/>
      <c r="AH333" s="996"/>
      <c r="AI333" s="996"/>
      <c r="AJ333" s="996"/>
      <c r="AK333" s="996"/>
      <c r="AL333" s="996"/>
    </row>
    <row r="334" spans="2:38">
      <c r="B334" s="545"/>
      <c r="C334" s="996"/>
      <c r="D334" s="996"/>
      <c r="E334" s="996"/>
      <c r="F334" s="996"/>
      <c r="G334" s="996"/>
      <c r="H334" s="996"/>
      <c r="I334" s="3"/>
      <c r="J334" s="996"/>
      <c r="K334" s="996"/>
      <c r="L334" s="996"/>
      <c r="M334" s="996"/>
      <c r="N334" s="996"/>
      <c r="O334" s="996"/>
      <c r="P334" s="996"/>
      <c r="Q334" s="996"/>
      <c r="R334" s="996"/>
      <c r="S334" s="996"/>
      <c r="T334" s="996"/>
      <c r="U334" s="996"/>
      <c r="V334" s="996"/>
      <c r="W334" s="996"/>
      <c r="X334" s="996"/>
      <c r="Y334" s="996"/>
      <c r="Z334" s="97"/>
      <c r="AA334" s="996"/>
      <c r="AB334" s="996"/>
      <c r="AC334" s="996"/>
      <c r="AD334" s="996"/>
      <c r="AE334" s="996"/>
      <c r="AF334" s="996"/>
      <c r="AG334" s="996"/>
      <c r="AH334" s="996"/>
      <c r="AI334" s="996"/>
      <c r="AJ334" s="996"/>
      <c r="AK334" s="996"/>
      <c r="AL334" s="996"/>
    </row>
    <row r="335" spans="2:38">
      <c r="B335" s="545"/>
      <c r="C335" s="996"/>
      <c r="D335" s="996"/>
      <c r="E335" s="996"/>
      <c r="F335" s="996"/>
      <c r="G335" s="996"/>
      <c r="H335" s="996"/>
      <c r="I335" s="3"/>
      <c r="J335" s="996"/>
      <c r="K335" s="996"/>
      <c r="L335" s="996"/>
      <c r="M335" s="996"/>
      <c r="N335" s="996"/>
      <c r="O335" s="996"/>
      <c r="P335" s="996"/>
      <c r="Q335" s="996"/>
      <c r="R335" s="996"/>
      <c r="S335" s="996"/>
      <c r="T335" s="996"/>
      <c r="U335" s="996"/>
      <c r="V335" s="996"/>
      <c r="W335" s="996"/>
      <c r="X335" s="996"/>
      <c r="Y335" s="996"/>
      <c r="Z335" s="97"/>
      <c r="AA335" s="996"/>
      <c r="AB335" s="996"/>
      <c r="AC335" s="996"/>
      <c r="AD335" s="996"/>
      <c r="AE335" s="996"/>
      <c r="AF335" s="996"/>
      <c r="AG335" s="996"/>
      <c r="AH335" s="996"/>
      <c r="AI335" s="996"/>
      <c r="AJ335" s="996"/>
      <c r="AK335" s="996"/>
      <c r="AL335" s="996"/>
    </row>
    <row r="336" spans="2:38">
      <c r="B336" s="545"/>
      <c r="C336" s="996"/>
      <c r="D336" s="996"/>
      <c r="E336" s="996"/>
      <c r="F336" s="996"/>
      <c r="G336" s="996"/>
      <c r="H336" s="996"/>
      <c r="I336" s="3"/>
      <c r="J336" s="996"/>
      <c r="K336" s="996"/>
      <c r="L336" s="996"/>
      <c r="M336" s="996"/>
      <c r="N336" s="996"/>
      <c r="O336" s="996"/>
      <c r="P336" s="996"/>
      <c r="Q336" s="996"/>
      <c r="R336" s="996"/>
      <c r="S336" s="996"/>
      <c r="T336" s="996"/>
      <c r="U336" s="996"/>
      <c r="V336" s="996"/>
      <c r="W336" s="996"/>
      <c r="X336" s="996"/>
      <c r="Y336" s="996"/>
      <c r="Z336" s="97"/>
      <c r="AA336" s="996"/>
      <c r="AB336" s="996"/>
      <c r="AC336" s="996"/>
      <c r="AD336" s="996"/>
      <c r="AE336" s="996"/>
      <c r="AF336" s="996"/>
      <c r="AG336" s="996"/>
      <c r="AH336" s="996"/>
      <c r="AI336" s="996"/>
      <c r="AJ336" s="996"/>
      <c r="AK336" s="996"/>
      <c r="AL336" s="996"/>
    </row>
    <row r="337" spans="2:38">
      <c r="B337" s="545"/>
      <c r="C337" s="996"/>
      <c r="D337" s="996"/>
      <c r="E337" s="996"/>
      <c r="F337" s="996"/>
      <c r="G337" s="996"/>
      <c r="H337" s="996"/>
      <c r="I337" s="3"/>
      <c r="J337" s="996"/>
      <c r="K337" s="996"/>
      <c r="L337" s="996"/>
      <c r="M337" s="996"/>
      <c r="N337" s="996"/>
      <c r="O337" s="996"/>
      <c r="P337" s="996"/>
      <c r="Q337" s="996"/>
      <c r="R337" s="996"/>
      <c r="S337" s="996"/>
      <c r="T337" s="996"/>
      <c r="U337" s="996"/>
      <c r="V337" s="996"/>
      <c r="W337" s="996"/>
      <c r="X337" s="996"/>
      <c r="Y337" s="996"/>
      <c r="Z337" s="97"/>
      <c r="AA337" s="996"/>
      <c r="AB337" s="996"/>
      <c r="AC337" s="996"/>
      <c r="AD337" s="996"/>
      <c r="AE337" s="996"/>
      <c r="AF337" s="996"/>
      <c r="AG337" s="996"/>
      <c r="AH337" s="996"/>
      <c r="AI337" s="996"/>
      <c r="AJ337" s="996"/>
      <c r="AK337" s="996"/>
      <c r="AL337" s="996"/>
    </row>
    <row r="338" spans="2:38">
      <c r="B338" s="545"/>
      <c r="C338" s="996"/>
      <c r="D338" s="996"/>
      <c r="E338" s="996"/>
      <c r="F338" s="996"/>
      <c r="G338" s="996"/>
      <c r="H338" s="996"/>
      <c r="I338" s="3"/>
      <c r="J338" s="996"/>
      <c r="K338" s="996"/>
      <c r="L338" s="996"/>
      <c r="M338" s="996"/>
      <c r="N338" s="996"/>
      <c r="O338" s="996"/>
      <c r="P338" s="996"/>
      <c r="Q338" s="996"/>
      <c r="R338" s="996"/>
      <c r="S338" s="996"/>
      <c r="T338" s="996"/>
      <c r="U338" s="996"/>
      <c r="V338" s="996"/>
      <c r="W338" s="996"/>
      <c r="X338" s="996"/>
      <c r="Y338" s="996"/>
      <c r="Z338" s="97"/>
      <c r="AA338" s="996"/>
      <c r="AB338" s="996"/>
      <c r="AC338" s="996"/>
      <c r="AD338" s="996"/>
      <c r="AE338" s="996"/>
      <c r="AF338" s="996"/>
      <c r="AG338" s="996"/>
      <c r="AH338" s="996"/>
      <c r="AI338" s="996"/>
      <c r="AJ338" s="996"/>
      <c r="AK338" s="996"/>
      <c r="AL338" s="996"/>
    </row>
    <row r="339" spans="2:38">
      <c r="B339" s="545"/>
      <c r="C339" s="996"/>
      <c r="D339" s="996"/>
      <c r="E339" s="996"/>
      <c r="F339" s="996"/>
      <c r="G339" s="996"/>
      <c r="H339" s="996"/>
      <c r="I339" s="3"/>
      <c r="J339" s="996"/>
      <c r="K339" s="996"/>
      <c r="L339" s="996"/>
      <c r="M339" s="996"/>
      <c r="N339" s="996"/>
      <c r="O339" s="996"/>
      <c r="P339" s="996"/>
      <c r="Q339" s="996"/>
      <c r="R339" s="996"/>
      <c r="S339" s="996"/>
      <c r="T339" s="996"/>
      <c r="U339" s="996"/>
      <c r="V339" s="996"/>
      <c r="W339" s="996"/>
      <c r="X339" s="996"/>
      <c r="Y339" s="996"/>
      <c r="Z339" s="97"/>
      <c r="AA339" s="996"/>
      <c r="AB339" s="996"/>
      <c r="AC339" s="996"/>
      <c r="AD339" s="996"/>
      <c r="AE339" s="996"/>
      <c r="AF339" s="996"/>
      <c r="AG339" s="996"/>
      <c r="AH339" s="996"/>
      <c r="AI339" s="996"/>
      <c r="AJ339" s="996"/>
      <c r="AK339" s="996"/>
      <c r="AL339" s="996"/>
    </row>
    <row r="340" spans="2:38">
      <c r="B340" s="545"/>
      <c r="C340" s="996"/>
      <c r="D340" s="996"/>
      <c r="E340" s="996"/>
      <c r="F340" s="996"/>
      <c r="G340" s="996"/>
      <c r="H340" s="996"/>
      <c r="I340" s="3"/>
      <c r="J340" s="996"/>
      <c r="K340" s="996"/>
      <c r="L340" s="996"/>
      <c r="M340" s="996"/>
      <c r="N340" s="996"/>
      <c r="O340" s="996"/>
      <c r="P340" s="996"/>
      <c r="Q340" s="996"/>
      <c r="R340" s="996"/>
      <c r="S340" s="996"/>
      <c r="T340" s="996"/>
      <c r="U340" s="996"/>
      <c r="V340" s="996"/>
      <c r="W340" s="996"/>
      <c r="X340" s="996"/>
      <c r="Y340" s="996"/>
      <c r="Z340" s="97"/>
      <c r="AA340" s="996"/>
      <c r="AB340" s="996"/>
      <c r="AC340" s="996"/>
      <c r="AD340" s="996"/>
      <c r="AE340" s="996"/>
      <c r="AF340" s="996"/>
      <c r="AG340" s="996"/>
      <c r="AH340" s="996"/>
      <c r="AI340" s="996"/>
      <c r="AJ340" s="996"/>
      <c r="AK340" s="996"/>
      <c r="AL340" s="996"/>
    </row>
    <row r="341" spans="2:38">
      <c r="B341" s="545"/>
      <c r="C341" s="996"/>
      <c r="D341" s="996"/>
      <c r="E341" s="996"/>
      <c r="F341" s="996"/>
      <c r="G341" s="996"/>
      <c r="H341" s="996"/>
      <c r="I341" s="3"/>
      <c r="J341" s="996"/>
      <c r="K341" s="996"/>
      <c r="L341" s="996"/>
      <c r="M341" s="996"/>
      <c r="N341" s="996"/>
      <c r="O341" s="996"/>
      <c r="P341" s="996"/>
      <c r="Q341" s="996"/>
      <c r="R341" s="996"/>
      <c r="S341" s="996"/>
      <c r="T341" s="996"/>
      <c r="U341" s="996"/>
      <c r="V341" s="996"/>
      <c r="W341" s="996"/>
      <c r="X341" s="996"/>
      <c r="Y341" s="996"/>
      <c r="Z341" s="97"/>
      <c r="AA341" s="996"/>
      <c r="AB341" s="996"/>
      <c r="AC341" s="996"/>
      <c r="AD341" s="996"/>
      <c r="AE341" s="996"/>
      <c r="AF341" s="996"/>
      <c r="AG341" s="996"/>
      <c r="AH341" s="996"/>
      <c r="AI341" s="996"/>
      <c r="AJ341" s="996"/>
      <c r="AK341" s="996"/>
      <c r="AL341" s="996"/>
    </row>
    <row r="342" spans="2:38">
      <c r="B342" s="545"/>
      <c r="C342" s="996"/>
      <c r="D342" s="996"/>
      <c r="E342" s="996"/>
      <c r="F342" s="996"/>
      <c r="G342" s="996"/>
      <c r="H342" s="996"/>
      <c r="I342" s="3"/>
      <c r="J342" s="996"/>
      <c r="K342" s="996"/>
      <c r="L342" s="996"/>
      <c r="M342" s="996"/>
      <c r="N342" s="996"/>
      <c r="O342" s="996"/>
      <c r="P342" s="996"/>
      <c r="Q342" s="996"/>
      <c r="R342" s="996"/>
      <c r="S342" s="996"/>
      <c r="T342" s="996"/>
      <c r="U342" s="996"/>
      <c r="V342" s="996"/>
      <c r="W342" s="996"/>
      <c r="X342" s="996"/>
      <c r="Y342" s="996"/>
      <c r="Z342" s="97"/>
      <c r="AA342" s="996"/>
      <c r="AB342" s="996"/>
      <c r="AC342" s="996"/>
      <c r="AD342" s="996"/>
      <c r="AE342" s="996"/>
      <c r="AF342" s="996"/>
      <c r="AG342" s="996"/>
      <c r="AH342" s="996"/>
      <c r="AI342" s="996"/>
      <c r="AJ342" s="996"/>
      <c r="AK342" s="996"/>
      <c r="AL342" s="996"/>
    </row>
    <row r="343" spans="2:38">
      <c r="B343" s="545"/>
      <c r="C343" s="996"/>
      <c r="D343" s="996"/>
      <c r="E343" s="996"/>
      <c r="F343" s="996"/>
      <c r="G343" s="996"/>
      <c r="H343" s="996"/>
      <c r="I343" s="3"/>
      <c r="J343" s="996"/>
      <c r="K343" s="996"/>
      <c r="L343" s="996"/>
      <c r="M343" s="996"/>
      <c r="N343" s="996"/>
      <c r="O343" s="996"/>
      <c r="P343" s="996"/>
      <c r="Q343" s="996"/>
      <c r="R343" s="996"/>
      <c r="S343" s="996"/>
      <c r="T343" s="996"/>
      <c r="U343" s="996"/>
      <c r="V343" s="996"/>
      <c r="W343" s="996"/>
      <c r="X343" s="996"/>
      <c r="Y343" s="996"/>
      <c r="Z343" s="97"/>
      <c r="AA343" s="996"/>
      <c r="AB343" s="996"/>
      <c r="AC343" s="996"/>
      <c r="AD343" s="996"/>
      <c r="AE343" s="996"/>
      <c r="AF343" s="996"/>
      <c r="AG343" s="996"/>
      <c r="AH343" s="996"/>
      <c r="AI343" s="996"/>
      <c r="AJ343" s="996"/>
      <c r="AK343" s="996"/>
      <c r="AL343" s="996"/>
    </row>
    <row r="344" spans="2:38">
      <c r="B344" s="545"/>
      <c r="C344" s="996"/>
      <c r="D344" s="996"/>
      <c r="E344" s="996"/>
      <c r="F344" s="996"/>
      <c r="G344" s="996"/>
      <c r="H344" s="996"/>
      <c r="I344" s="3"/>
      <c r="J344" s="996"/>
      <c r="K344" s="996"/>
      <c r="L344" s="996"/>
      <c r="M344" s="996"/>
      <c r="N344" s="996"/>
      <c r="O344" s="996"/>
      <c r="P344" s="996"/>
      <c r="Q344" s="996"/>
      <c r="R344" s="996"/>
      <c r="S344" s="996"/>
      <c r="T344" s="996"/>
      <c r="U344" s="996"/>
      <c r="V344" s="996"/>
      <c r="W344" s="996"/>
      <c r="X344" s="996"/>
      <c r="Y344" s="996"/>
      <c r="Z344" s="97"/>
      <c r="AA344" s="996"/>
      <c r="AB344" s="996"/>
      <c r="AC344" s="996"/>
      <c r="AD344" s="996"/>
      <c r="AE344" s="996"/>
      <c r="AF344" s="996"/>
      <c r="AG344" s="996"/>
      <c r="AH344" s="996"/>
      <c r="AI344" s="996"/>
      <c r="AJ344" s="996"/>
      <c r="AK344" s="996"/>
      <c r="AL344" s="996"/>
    </row>
    <row r="345" spans="2:38">
      <c r="B345" s="545"/>
      <c r="C345" s="996"/>
      <c r="D345" s="996"/>
      <c r="E345" s="996"/>
      <c r="F345" s="996"/>
      <c r="G345" s="996"/>
      <c r="H345" s="996"/>
      <c r="I345" s="3"/>
      <c r="J345" s="996"/>
      <c r="K345" s="996"/>
      <c r="L345" s="996"/>
      <c r="M345" s="996"/>
      <c r="N345" s="996"/>
      <c r="O345" s="996"/>
      <c r="P345" s="996"/>
      <c r="Q345" s="996"/>
      <c r="R345" s="996"/>
      <c r="S345" s="996"/>
      <c r="T345" s="996"/>
      <c r="U345" s="996"/>
      <c r="V345" s="996"/>
      <c r="W345" s="996"/>
      <c r="X345" s="996"/>
      <c r="Y345" s="996"/>
      <c r="Z345" s="97"/>
      <c r="AA345" s="996"/>
      <c r="AB345" s="996"/>
      <c r="AC345" s="996"/>
      <c r="AD345" s="996"/>
      <c r="AE345" s="996"/>
      <c r="AF345" s="996"/>
      <c r="AG345" s="996"/>
      <c r="AH345" s="996"/>
      <c r="AI345" s="996"/>
      <c r="AJ345" s="996"/>
      <c r="AK345" s="996"/>
      <c r="AL345" s="996"/>
    </row>
    <row r="346" spans="2:38">
      <c r="B346" s="545"/>
      <c r="C346" s="996"/>
      <c r="D346" s="996"/>
      <c r="E346" s="996"/>
      <c r="F346" s="996"/>
      <c r="G346" s="996"/>
      <c r="H346" s="996"/>
      <c r="I346" s="3"/>
      <c r="J346" s="996"/>
      <c r="K346" s="996"/>
      <c r="L346" s="996"/>
      <c r="M346" s="996"/>
      <c r="N346" s="996"/>
      <c r="O346" s="996"/>
      <c r="P346" s="996"/>
      <c r="Q346" s="996"/>
      <c r="R346" s="996"/>
      <c r="S346" s="996"/>
      <c r="T346" s="996"/>
      <c r="U346" s="996"/>
      <c r="V346" s="996"/>
      <c r="W346" s="996"/>
      <c r="X346" s="996"/>
      <c r="Y346" s="996"/>
      <c r="Z346" s="97"/>
      <c r="AA346" s="996"/>
      <c r="AB346" s="996"/>
      <c r="AC346" s="996"/>
      <c r="AD346" s="996"/>
      <c r="AE346" s="996"/>
      <c r="AF346" s="996"/>
      <c r="AG346" s="996"/>
      <c r="AH346" s="996"/>
      <c r="AI346" s="996"/>
      <c r="AJ346" s="996"/>
      <c r="AK346" s="996"/>
      <c r="AL346" s="996"/>
    </row>
    <row r="347" spans="2:38">
      <c r="B347" s="545"/>
      <c r="C347" s="996"/>
      <c r="D347" s="996"/>
      <c r="E347" s="996"/>
      <c r="F347" s="996"/>
      <c r="G347" s="996"/>
      <c r="H347" s="996"/>
      <c r="I347" s="3"/>
      <c r="J347" s="996"/>
      <c r="K347" s="996"/>
      <c r="L347" s="996"/>
      <c r="M347" s="996"/>
      <c r="N347" s="996"/>
      <c r="O347" s="996"/>
      <c r="P347" s="996"/>
      <c r="Q347" s="996"/>
      <c r="R347" s="996"/>
      <c r="S347" s="996"/>
      <c r="T347" s="996"/>
      <c r="U347" s="996"/>
      <c r="V347" s="996"/>
      <c r="W347" s="996"/>
      <c r="X347" s="996"/>
      <c r="Y347" s="996"/>
      <c r="Z347" s="97"/>
      <c r="AA347" s="996"/>
      <c r="AB347" s="996"/>
      <c r="AC347" s="996"/>
      <c r="AD347" s="996"/>
      <c r="AE347" s="996"/>
      <c r="AF347" s="996"/>
      <c r="AG347" s="996"/>
      <c r="AH347" s="996"/>
      <c r="AI347" s="996"/>
      <c r="AJ347" s="996"/>
      <c r="AK347" s="996"/>
      <c r="AL347" s="996"/>
    </row>
    <row r="348" spans="2:38">
      <c r="B348" s="545"/>
      <c r="C348" s="996"/>
      <c r="D348" s="996"/>
      <c r="E348" s="996"/>
      <c r="F348" s="996"/>
      <c r="G348" s="996"/>
      <c r="H348" s="996"/>
      <c r="I348" s="3"/>
      <c r="J348" s="996"/>
      <c r="K348" s="996"/>
      <c r="L348" s="996"/>
      <c r="M348" s="996"/>
      <c r="N348" s="996"/>
      <c r="O348" s="996"/>
      <c r="P348" s="996"/>
      <c r="Q348" s="996"/>
      <c r="R348" s="996"/>
      <c r="S348" s="996"/>
      <c r="T348" s="996"/>
      <c r="U348" s="996"/>
      <c r="V348" s="996"/>
      <c r="W348" s="996"/>
      <c r="X348" s="996"/>
      <c r="Y348" s="996"/>
      <c r="Z348" s="97"/>
      <c r="AA348" s="996"/>
      <c r="AB348" s="996"/>
      <c r="AC348" s="996"/>
      <c r="AD348" s="996"/>
      <c r="AE348" s="996"/>
      <c r="AF348" s="996"/>
      <c r="AG348" s="996"/>
      <c r="AH348" s="996"/>
      <c r="AI348" s="996"/>
      <c r="AJ348" s="996"/>
      <c r="AK348" s="996"/>
      <c r="AL348" s="996"/>
    </row>
    <row r="349" spans="2:38">
      <c r="B349" s="545"/>
      <c r="C349" s="996"/>
      <c r="D349" s="996"/>
      <c r="E349" s="996"/>
      <c r="F349" s="996"/>
      <c r="G349" s="996"/>
      <c r="H349" s="996"/>
      <c r="I349" s="3"/>
      <c r="J349" s="996"/>
      <c r="K349" s="996"/>
      <c r="L349" s="996"/>
      <c r="M349" s="996"/>
      <c r="N349" s="996"/>
      <c r="O349" s="996"/>
      <c r="P349" s="996"/>
      <c r="Q349" s="996"/>
      <c r="R349" s="996"/>
      <c r="S349" s="996"/>
      <c r="T349" s="996"/>
      <c r="U349" s="996"/>
      <c r="V349" s="996"/>
      <c r="W349" s="996"/>
      <c r="X349" s="996"/>
      <c r="Y349" s="996"/>
      <c r="Z349" s="97"/>
      <c r="AA349" s="996"/>
      <c r="AB349" s="996"/>
      <c r="AC349" s="996"/>
      <c r="AD349" s="996"/>
      <c r="AE349" s="996"/>
      <c r="AF349" s="996"/>
      <c r="AG349" s="996"/>
      <c r="AH349" s="996"/>
      <c r="AI349" s="996"/>
      <c r="AJ349" s="996"/>
      <c r="AK349" s="996"/>
      <c r="AL349" s="996"/>
    </row>
    <row r="350" spans="2:38">
      <c r="B350" s="545"/>
      <c r="C350" s="996"/>
      <c r="D350" s="996"/>
      <c r="E350" s="996"/>
      <c r="F350" s="996"/>
      <c r="G350" s="996"/>
      <c r="H350" s="996"/>
      <c r="I350" s="3"/>
      <c r="J350" s="996"/>
      <c r="K350" s="996"/>
      <c r="L350" s="996"/>
      <c r="M350" s="996"/>
      <c r="N350" s="996"/>
      <c r="O350" s="996"/>
      <c r="P350" s="996"/>
      <c r="Q350" s="996"/>
      <c r="R350" s="996"/>
      <c r="S350" s="996"/>
      <c r="T350" s="996"/>
      <c r="U350" s="996"/>
      <c r="V350" s="996"/>
      <c r="W350" s="996"/>
      <c r="X350" s="996"/>
      <c r="Y350" s="996"/>
      <c r="Z350" s="97"/>
      <c r="AA350" s="996"/>
      <c r="AB350" s="996"/>
      <c r="AC350" s="996"/>
      <c r="AD350" s="996"/>
      <c r="AE350" s="996"/>
      <c r="AF350" s="996"/>
      <c r="AG350" s="996"/>
      <c r="AH350" s="996"/>
      <c r="AI350" s="996"/>
      <c r="AJ350" s="996"/>
      <c r="AK350" s="996"/>
      <c r="AL350" s="996"/>
    </row>
    <row r="351" spans="2:38">
      <c r="B351" s="545"/>
      <c r="C351" s="996"/>
      <c r="D351" s="996"/>
      <c r="E351" s="996"/>
      <c r="F351" s="996"/>
      <c r="G351" s="996"/>
      <c r="H351" s="996"/>
      <c r="I351" s="3"/>
      <c r="J351" s="996"/>
      <c r="K351" s="996"/>
      <c r="L351" s="996"/>
      <c r="M351" s="996"/>
      <c r="N351" s="996"/>
      <c r="O351" s="996"/>
      <c r="P351" s="996"/>
      <c r="Q351" s="996"/>
      <c r="R351" s="996"/>
      <c r="S351" s="996"/>
      <c r="T351" s="996"/>
      <c r="U351" s="996"/>
      <c r="V351" s="996"/>
      <c r="W351" s="996"/>
      <c r="X351" s="996"/>
      <c r="Y351" s="996"/>
      <c r="Z351" s="97"/>
      <c r="AA351" s="996"/>
      <c r="AB351" s="996"/>
      <c r="AC351" s="996"/>
      <c r="AD351" s="996"/>
      <c r="AE351" s="996"/>
      <c r="AF351" s="996"/>
      <c r="AG351" s="996"/>
      <c r="AH351" s="996"/>
      <c r="AI351" s="996"/>
      <c r="AJ351" s="996"/>
      <c r="AK351" s="996"/>
      <c r="AL351" s="996"/>
    </row>
    <row r="352" spans="2:38">
      <c r="B352" s="545"/>
      <c r="C352" s="996"/>
      <c r="D352" s="996"/>
      <c r="E352" s="996"/>
      <c r="F352" s="996"/>
      <c r="G352" s="996"/>
      <c r="H352" s="996"/>
      <c r="I352" s="3"/>
      <c r="J352" s="996"/>
      <c r="K352" s="996"/>
      <c r="L352" s="996"/>
      <c r="M352" s="996"/>
      <c r="N352" s="996"/>
      <c r="O352" s="996"/>
      <c r="P352" s="996"/>
      <c r="Q352" s="996"/>
      <c r="R352" s="996"/>
      <c r="S352" s="996"/>
      <c r="T352" s="996"/>
      <c r="U352" s="996"/>
      <c r="V352" s="996"/>
      <c r="W352" s="996"/>
      <c r="X352" s="996"/>
      <c r="Y352" s="996"/>
      <c r="Z352" s="97"/>
      <c r="AA352" s="996"/>
      <c r="AB352" s="996"/>
      <c r="AC352" s="996"/>
      <c r="AD352" s="996"/>
      <c r="AE352" s="996"/>
      <c r="AF352" s="996"/>
      <c r="AG352" s="996"/>
      <c r="AH352" s="996"/>
      <c r="AI352" s="996"/>
      <c r="AJ352" s="996"/>
      <c r="AK352" s="996"/>
      <c r="AL352" s="996"/>
    </row>
    <row r="353" spans="2:38">
      <c r="B353" s="545"/>
      <c r="C353" s="996"/>
      <c r="D353" s="996"/>
      <c r="E353" s="996"/>
      <c r="F353" s="996"/>
      <c r="G353" s="996"/>
      <c r="H353" s="996"/>
      <c r="I353" s="3"/>
      <c r="J353" s="996"/>
      <c r="K353" s="996"/>
      <c r="L353" s="996"/>
      <c r="M353" s="996"/>
      <c r="N353" s="996"/>
      <c r="O353" s="996"/>
      <c r="P353" s="996"/>
      <c r="Q353" s="996"/>
      <c r="R353" s="996"/>
      <c r="S353" s="996"/>
      <c r="T353" s="996"/>
      <c r="U353" s="996"/>
      <c r="V353" s="996"/>
      <c r="W353" s="996"/>
      <c r="X353" s="996"/>
      <c r="Y353" s="996"/>
      <c r="Z353" s="97"/>
      <c r="AA353" s="996"/>
      <c r="AB353" s="996"/>
      <c r="AC353" s="996"/>
      <c r="AD353" s="996"/>
      <c r="AE353" s="996"/>
      <c r="AF353" s="996"/>
      <c r="AG353" s="996"/>
      <c r="AH353" s="996"/>
      <c r="AI353" s="996"/>
      <c r="AJ353" s="996"/>
      <c r="AK353" s="996"/>
      <c r="AL353" s="996"/>
    </row>
    <row r="354" spans="2:38">
      <c r="B354" s="545"/>
      <c r="C354" s="996"/>
      <c r="D354" s="996"/>
      <c r="E354" s="996"/>
      <c r="F354" s="996"/>
      <c r="G354" s="996"/>
      <c r="H354" s="996"/>
      <c r="I354" s="3"/>
      <c r="J354" s="996"/>
      <c r="K354" s="996"/>
      <c r="L354" s="996"/>
      <c r="M354" s="996"/>
      <c r="N354" s="996"/>
      <c r="O354" s="996"/>
      <c r="P354" s="996"/>
      <c r="Q354" s="996"/>
      <c r="R354" s="996"/>
      <c r="S354" s="996"/>
      <c r="T354" s="996"/>
      <c r="U354" s="996"/>
      <c r="V354" s="996"/>
      <c r="W354" s="996"/>
      <c r="X354" s="996"/>
      <c r="Y354" s="996"/>
      <c r="Z354" s="97"/>
      <c r="AA354" s="996"/>
      <c r="AB354" s="996"/>
      <c r="AC354" s="996"/>
      <c r="AD354" s="996"/>
      <c r="AE354" s="996"/>
      <c r="AF354" s="996"/>
      <c r="AG354" s="996"/>
      <c r="AH354" s="996"/>
      <c r="AI354" s="996"/>
      <c r="AJ354" s="996"/>
      <c r="AK354" s="996"/>
      <c r="AL354" s="996"/>
    </row>
    <row r="355" spans="2:38">
      <c r="B355" s="545"/>
      <c r="C355" s="996"/>
      <c r="D355" s="996"/>
      <c r="E355" s="996"/>
      <c r="F355" s="996"/>
      <c r="G355" s="996"/>
      <c r="H355" s="996"/>
      <c r="I355" s="3"/>
      <c r="J355" s="996"/>
      <c r="K355" s="996"/>
      <c r="L355" s="996"/>
      <c r="M355" s="996"/>
      <c r="N355" s="996"/>
      <c r="O355" s="996"/>
      <c r="P355" s="996"/>
      <c r="Q355" s="996"/>
      <c r="R355" s="996"/>
      <c r="S355" s="996"/>
      <c r="T355" s="996"/>
      <c r="U355" s="996"/>
      <c r="V355" s="996"/>
      <c r="W355" s="996"/>
      <c r="X355" s="996"/>
      <c r="Y355" s="996"/>
      <c r="Z355" s="97"/>
      <c r="AA355" s="996"/>
      <c r="AB355" s="996"/>
      <c r="AC355" s="996"/>
      <c r="AD355" s="996"/>
      <c r="AE355" s="996"/>
      <c r="AF355" s="996"/>
      <c r="AG355" s="996"/>
      <c r="AH355" s="996"/>
      <c r="AI355" s="996"/>
      <c r="AJ355" s="996"/>
      <c r="AK355" s="996"/>
      <c r="AL355" s="996"/>
    </row>
    <row r="356" spans="2:38">
      <c r="B356" s="545"/>
      <c r="C356" s="996"/>
      <c r="D356" s="996"/>
      <c r="E356" s="996"/>
      <c r="F356" s="996"/>
      <c r="G356" s="996"/>
      <c r="H356" s="996"/>
      <c r="I356" s="3"/>
      <c r="J356" s="996"/>
      <c r="K356" s="996"/>
      <c r="L356" s="996"/>
      <c r="M356" s="996"/>
      <c r="N356" s="996"/>
      <c r="O356" s="996"/>
      <c r="P356" s="996"/>
      <c r="Q356" s="996"/>
      <c r="R356" s="996"/>
      <c r="S356" s="996"/>
      <c r="T356" s="996"/>
      <c r="U356" s="996"/>
      <c r="V356" s="996"/>
      <c r="W356" s="996"/>
      <c r="X356" s="996"/>
      <c r="Y356" s="996"/>
      <c r="Z356" s="97"/>
      <c r="AA356" s="996"/>
      <c r="AB356" s="996"/>
      <c r="AC356" s="996"/>
      <c r="AD356" s="996"/>
      <c r="AE356" s="996"/>
      <c r="AF356" s="996"/>
      <c r="AG356" s="996"/>
      <c r="AH356" s="996"/>
      <c r="AI356" s="996"/>
      <c r="AJ356" s="996"/>
      <c r="AK356" s="996"/>
      <c r="AL356" s="996"/>
    </row>
    <row r="357" spans="2:38">
      <c r="B357" s="545"/>
      <c r="C357" s="996"/>
      <c r="D357" s="996"/>
      <c r="E357" s="996"/>
      <c r="F357" s="996"/>
      <c r="G357" s="996"/>
      <c r="H357" s="996"/>
      <c r="I357" s="3"/>
      <c r="J357" s="996"/>
      <c r="K357" s="996"/>
      <c r="L357" s="996"/>
      <c r="M357" s="996"/>
      <c r="N357" s="996"/>
      <c r="O357" s="996"/>
      <c r="P357" s="996"/>
      <c r="Q357" s="996"/>
      <c r="R357" s="996"/>
      <c r="S357" s="996"/>
      <c r="T357" s="996"/>
      <c r="U357" s="996"/>
      <c r="V357" s="996"/>
      <c r="W357" s="996"/>
      <c r="X357" s="996"/>
      <c r="Y357" s="996"/>
      <c r="Z357" s="97"/>
      <c r="AA357" s="996"/>
      <c r="AB357" s="996"/>
      <c r="AC357" s="996"/>
      <c r="AD357" s="996"/>
      <c r="AE357" s="996"/>
      <c r="AF357" s="996"/>
      <c r="AG357" s="996"/>
      <c r="AH357" s="996"/>
      <c r="AI357" s="996"/>
      <c r="AJ357" s="996"/>
      <c r="AK357" s="996"/>
      <c r="AL357" s="996"/>
    </row>
    <row r="358" spans="2:38">
      <c r="B358" s="545"/>
      <c r="C358" s="996"/>
      <c r="D358" s="996"/>
      <c r="E358" s="996"/>
      <c r="F358" s="996"/>
      <c r="G358" s="996"/>
      <c r="H358" s="996"/>
      <c r="I358" s="3"/>
      <c r="J358" s="996"/>
      <c r="K358" s="996"/>
      <c r="L358" s="996"/>
      <c r="M358" s="996"/>
      <c r="N358" s="996"/>
      <c r="O358" s="996"/>
      <c r="P358" s="996"/>
      <c r="Q358" s="996"/>
      <c r="R358" s="996"/>
      <c r="S358" s="996"/>
      <c r="T358" s="996"/>
      <c r="U358" s="996"/>
      <c r="V358" s="996"/>
      <c r="W358" s="996"/>
      <c r="X358" s="996"/>
      <c r="Y358" s="996"/>
      <c r="Z358" s="97"/>
      <c r="AA358" s="996"/>
      <c r="AB358" s="996"/>
      <c r="AC358" s="996"/>
      <c r="AD358" s="996"/>
      <c r="AE358" s="996"/>
      <c r="AF358" s="996"/>
      <c r="AG358" s="996"/>
      <c r="AH358" s="996"/>
      <c r="AI358" s="996"/>
      <c r="AJ358" s="996"/>
      <c r="AK358" s="996"/>
      <c r="AL358" s="996"/>
    </row>
    <row r="359" spans="2:38">
      <c r="B359" s="545"/>
      <c r="C359" s="996"/>
      <c r="D359" s="996"/>
      <c r="E359" s="996"/>
      <c r="F359" s="996"/>
      <c r="G359" s="996"/>
      <c r="H359" s="996"/>
      <c r="I359" s="3"/>
      <c r="J359" s="996"/>
      <c r="K359" s="996"/>
      <c r="L359" s="996"/>
      <c r="M359" s="996"/>
      <c r="N359" s="996"/>
      <c r="O359" s="996"/>
      <c r="P359" s="996"/>
      <c r="Q359" s="996"/>
      <c r="R359" s="996"/>
      <c r="S359" s="996"/>
      <c r="T359" s="996"/>
      <c r="U359" s="996"/>
      <c r="V359" s="996"/>
      <c r="W359" s="996"/>
      <c r="X359" s="996"/>
      <c r="Y359" s="996"/>
      <c r="Z359" s="97"/>
      <c r="AA359" s="996"/>
      <c r="AB359" s="996"/>
      <c r="AC359" s="996"/>
      <c r="AD359" s="996"/>
      <c r="AE359" s="996"/>
      <c r="AF359" s="996"/>
      <c r="AG359" s="996"/>
      <c r="AH359" s="996"/>
      <c r="AI359" s="996"/>
      <c r="AJ359" s="996"/>
      <c r="AK359" s="996"/>
      <c r="AL359" s="996"/>
    </row>
    <row r="360" spans="2:38">
      <c r="B360" s="545"/>
      <c r="C360" s="996"/>
      <c r="D360" s="996"/>
      <c r="E360" s="996"/>
      <c r="F360" s="996"/>
      <c r="G360" s="996"/>
      <c r="H360" s="996"/>
      <c r="I360" s="3"/>
      <c r="J360" s="996"/>
      <c r="K360" s="996"/>
      <c r="L360" s="996"/>
      <c r="M360" s="996"/>
      <c r="N360" s="996"/>
      <c r="O360" s="996"/>
      <c r="P360" s="996"/>
      <c r="Q360" s="996"/>
      <c r="R360" s="996"/>
      <c r="S360" s="996"/>
      <c r="T360" s="996"/>
      <c r="U360" s="996"/>
      <c r="V360" s="996"/>
      <c r="W360" s="996"/>
      <c r="X360" s="996"/>
      <c r="Y360" s="996"/>
      <c r="Z360" s="97"/>
      <c r="AA360" s="996"/>
      <c r="AB360" s="996"/>
      <c r="AC360" s="996"/>
      <c r="AD360" s="996"/>
      <c r="AE360" s="996"/>
      <c r="AF360" s="996"/>
      <c r="AG360" s="996"/>
      <c r="AH360" s="996"/>
      <c r="AI360" s="996"/>
      <c r="AJ360" s="996"/>
      <c r="AK360" s="996"/>
      <c r="AL360" s="996"/>
    </row>
    <row r="361" spans="2:38">
      <c r="B361" s="545"/>
      <c r="C361" s="996"/>
      <c r="D361" s="996"/>
      <c r="E361" s="996"/>
      <c r="F361" s="996"/>
      <c r="G361" s="996"/>
      <c r="H361" s="996"/>
      <c r="I361" s="3"/>
      <c r="J361" s="996"/>
      <c r="K361" s="996"/>
      <c r="L361" s="996"/>
      <c r="M361" s="996"/>
      <c r="N361" s="996"/>
      <c r="O361" s="996"/>
      <c r="P361" s="996"/>
      <c r="Q361" s="996"/>
      <c r="R361" s="996"/>
      <c r="S361" s="996"/>
      <c r="T361" s="996"/>
      <c r="U361" s="996"/>
      <c r="V361" s="996"/>
      <c r="W361" s="996"/>
      <c r="X361" s="996"/>
      <c r="Y361" s="996"/>
      <c r="Z361" s="97"/>
      <c r="AA361" s="996"/>
      <c r="AB361" s="996"/>
      <c r="AC361" s="996"/>
      <c r="AD361" s="996"/>
      <c r="AE361" s="996"/>
      <c r="AF361" s="996"/>
      <c r="AG361" s="996"/>
      <c r="AH361" s="996"/>
      <c r="AI361" s="996"/>
      <c r="AJ361" s="996"/>
      <c r="AK361" s="996"/>
      <c r="AL361" s="996"/>
    </row>
    <row r="362" spans="2:38">
      <c r="B362" s="545"/>
      <c r="C362" s="996"/>
      <c r="D362" s="996"/>
      <c r="E362" s="996"/>
      <c r="F362" s="996"/>
      <c r="G362" s="996"/>
      <c r="H362" s="996"/>
      <c r="I362" s="3"/>
      <c r="J362" s="996"/>
      <c r="K362" s="996"/>
      <c r="L362" s="996"/>
      <c r="M362" s="996"/>
      <c r="N362" s="996"/>
      <c r="O362" s="996"/>
      <c r="P362" s="996"/>
      <c r="Q362" s="996"/>
      <c r="R362" s="996"/>
      <c r="S362" s="996"/>
      <c r="T362" s="996"/>
      <c r="U362" s="996"/>
      <c r="V362" s="996"/>
      <c r="W362" s="996"/>
      <c r="X362" s="996"/>
      <c r="Y362" s="996"/>
      <c r="Z362" s="97"/>
      <c r="AA362" s="996"/>
      <c r="AB362" s="996"/>
      <c r="AC362" s="996"/>
      <c r="AD362" s="996"/>
      <c r="AE362" s="996"/>
      <c r="AF362" s="996"/>
      <c r="AG362" s="996"/>
      <c r="AH362" s="996"/>
      <c r="AI362" s="996"/>
      <c r="AJ362" s="996"/>
      <c r="AK362" s="996"/>
      <c r="AL362" s="996"/>
    </row>
    <row r="363" spans="2:38">
      <c r="B363" s="545"/>
      <c r="C363" s="996"/>
      <c r="D363" s="996"/>
      <c r="E363" s="996"/>
      <c r="F363" s="996"/>
      <c r="G363" s="996"/>
      <c r="H363" s="996"/>
      <c r="I363" s="3"/>
      <c r="J363" s="996"/>
      <c r="K363" s="996"/>
      <c r="L363" s="996"/>
      <c r="M363" s="996"/>
      <c r="N363" s="996"/>
      <c r="O363" s="996"/>
      <c r="P363" s="996"/>
      <c r="Q363" s="996"/>
      <c r="R363" s="996"/>
      <c r="S363" s="996"/>
      <c r="T363" s="996"/>
      <c r="U363" s="996"/>
      <c r="V363" s="996"/>
      <c r="W363" s="996"/>
      <c r="X363" s="996"/>
      <c r="Y363" s="996"/>
      <c r="Z363" s="97"/>
      <c r="AA363" s="996"/>
      <c r="AB363" s="996"/>
      <c r="AC363" s="996"/>
      <c r="AD363" s="996"/>
      <c r="AE363" s="996"/>
      <c r="AF363" s="996"/>
      <c r="AG363" s="996"/>
      <c r="AH363" s="996"/>
      <c r="AI363" s="996"/>
      <c r="AJ363" s="996"/>
      <c r="AK363" s="996"/>
      <c r="AL363" s="996"/>
    </row>
    <row r="364" spans="2:38">
      <c r="B364" s="545"/>
      <c r="C364" s="996"/>
      <c r="D364" s="996"/>
      <c r="E364" s="996"/>
      <c r="F364" s="996"/>
      <c r="G364" s="996"/>
      <c r="H364" s="996"/>
      <c r="I364" s="3"/>
      <c r="J364" s="996"/>
      <c r="K364" s="996"/>
      <c r="L364" s="996"/>
      <c r="M364" s="996"/>
      <c r="N364" s="996"/>
      <c r="O364" s="996"/>
      <c r="P364" s="996"/>
      <c r="Q364" s="996"/>
      <c r="R364" s="996"/>
      <c r="S364" s="996"/>
      <c r="T364" s="996"/>
      <c r="U364" s="996"/>
      <c r="V364" s="996"/>
      <c r="W364" s="996"/>
      <c r="X364" s="996"/>
      <c r="Y364" s="996"/>
      <c r="Z364" s="97"/>
      <c r="AA364" s="996"/>
      <c r="AB364" s="996"/>
      <c r="AC364" s="996"/>
      <c r="AD364" s="996"/>
      <c r="AE364" s="996"/>
      <c r="AF364" s="996"/>
      <c r="AG364" s="996"/>
      <c r="AH364" s="996"/>
      <c r="AI364" s="996"/>
      <c r="AJ364" s="996"/>
      <c r="AK364" s="996"/>
      <c r="AL364" s="996"/>
    </row>
    <row r="365" spans="2:38">
      <c r="B365" s="545"/>
      <c r="C365" s="996"/>
      <c r="D365" s="996"/>
      <c r="E365" s="996"/>
      <c r="F365" s="996"/>
      <c r="G365" s="996"/>
      <c r="H365" s="996"/>
      <c r="I365" s="3"/>
      <c r="J365" s="996"/>
      <c r="K365" s="996"/>
      <c r="L365" s="996"/>
      <c r="M365" s="996"/>
      <c r="N365" s="996"/>
      <c r="O365" s="996"/>
      <c r="P365" s="996"/>
      <c r="Q365" s="996"/>
      <c r="R365" s="996"/>
      <c r="S365" s="996"/>
      <c r="T365" s="996"/>
      <c r="U365" s="996"/>
      <c r="V365" s="996"/>
      <c r="W365" s="996"/>
      <c r="X365" s="996"/>
      <c r="Y365" s="996"/>
      <c r="Z365" s="97"/>
      <c r="AA365" s="996"/>
      <c r="AB365" s="996"/>
      <c r="AC365" s="996"/>
      <c r="AD365" s="996"/>
      <c r="AE365" s="996"/>
      <c r="AF365" s="996"/>
      <c r="AG365" s="996"/>
      <c r="AH365" s="996"/>
      <c r="AI365" s="996"/>
      <c r="AJ365" s="996"/>
      <c r="AK365" s="996"/>
      <c r="AL365" s="996"/>
    </row>
    <row r="366" spans="2:38">
      <c r="B366" s="545"/>
      <c r="C366" s="996"/>
      <c r="D366" s="996"/>
      <c r="E366" s="996"/>
      <c r="F366" s="996"/>
      <c r="G366" s="996"/>
      <c r="H366" s="996"/>
      <c r="I366" s="3"/>
      <c r="J366" s="996"/>
      <c r="K366" s="996"/>
      <c r="L366" s="996"/>
      <c r="M366" s="996"/>
      <c r="N366" s="996"/>
      <c r="O366" s="996"/>
      <c r="P366" s="996"/>
      <c r="Q366" s="996"/>
      <c r="R366" s="996"/>
      <c r="S366" s="996"/>
      <c r="T366" s="996"/>
      <c r="U366" s="996"/>
      <c r="V366" s="996"/>
      <c r="W366" s="996"/>
      <c r="X366" s="996"/>
      <c r="Y366" s="996"/>
      <c r="Z366" s="97"/>
      <c r="AA366" s="996"/>
      <c r="AB366" s="996"/>
      <c r="AC366" s="996"/>
      <c r="AD366" s="996"/>
      <c r="AE366" s="996"/>
      <c r="AF366" s="996"/>
      <c r="AG366" s="996"/>
      <c r="AH366" s="996"/>
      <c r="AI366" s="996"/>
      <c r="AJ366" s="996"/>
      <c r="AK366" s="996"/>
      <c r="AL366" s="996"/>
    </row>
    <row r="367" spans="2:38">
      <c r="B367" s="545"/>
      <c r="C367" s="996"/>
      <c r="D367" s="996"/>
      <c r="E367" s="996"/>
      <c r="F367" s="996"/>
      <c r="G367" s="996"/>
      <c r="H367" s="996"/>
      <c r="I367" s="3"/>
      <c r="J367" s="996"/>
      <c r="K367" s="996"/>
      <c r="L367" s="996"/>
      <c r="M367" s="996"/>
      <c r="N367" s="996"/>
      <c r="O367" s="996"/>
      <c r="P367" s="996"/>
      <c r="Q367" s="996"/>
      <c r="R367" s="996"/>
      <c r="S367" s="996"/>
      <c r="T367" s="996"/>
      <c r="U367" s="996"/>
      <c r="V367" s="996"/>
      <c r="W367" s="996"/>
      <c r="X367" s="996"/>
      <c r="Y367" s="996"/>
      <c r="Z367" s="97"/>
      <c r="AA367" s="996"/>
      <c r="AB367" s="996"/>
      <c r="AC367" s="996"/>
      <c r="AD367" s="996"/>
      <c r="AE367" s="996"/>
      <c r="AF367" s="996"/>
      <c r="AG367" s="996"/>
      <c r="AH367" s="996"/>
      <c r="AI367" s="996"/>
      <c r="AJ367" s="996"/>
      <c r="AK367" s="996"/>
      <c r="AL367" s="996"/>
    </row>
    <row r="368" spans="2:38">
      <c r="B368" s="545"/>
      <c r="C368" s="996"/>
      <c r="D368" s="996"/>
      <c r="E368" s="996"/>
      <c r="F368" s="996"/>
      <c r="G368" s="996"/>
      <c r="H368" s="996"/>
      <c r="I368" s="3"/>
      <c r="J368" s="996"/>
      <c r="K368" s="996"/>
      <c r="L368" s="996"/>
      <c r="M368" s="996"/>
      <c r="N368" s="996"/>
      <c r="O368" s="996"/>
      <c r="P368" s="996"/>
      <c r="Q368" s="996"/>
      <c r="R368" s="996"/>
      <c r="S368" s="996"/>
      <c r="T368" s="996"/>
      <c r="U368" s="996"/>
      <c r="V368" s="996"/>
      <c r="W368" s="996"/>
      <c r="X368" s="996"/>
      <c r="Y368" s="996"/>
      <c r="Z368" s="97"/>
      <c r="AA368" s="996"/>
      <c r="AB368" s="996"/>
      <c r="AC368" s="996"/>
      <c r="AD368" s="996"/>
      <c r="AE368" s="996"/>
      <c r="AF368" s="996"/>
      <c r="AG368" s="996"/>
      <c r="AH368" s="996"/>
      <c r="AI368" s="996"/>
      <c r="AJ368" s="996"/>
      <c r="AK368" s="996"/>
      <c r="AL368" s="996"/>
    </row>
    <row r="369" spans="2:38">
      <c r="B369" s="545"/>
      <c r="C369" s="996"/>
      <c r="D369" s="996"/>
      <c r="E369" s="996"/>
      <c r="F369" s="996"/>
      <c r="G369" s="996"/>
      <c r="H369" s="996"/>
      <c r="I369" s="3"/>
      <c r="J369" s="996"/>
      <c r="K369" s="996"/>
      <c r="L369" s="996"/>
      <c r="M369" s="996"/>
      <c r="N369" s="996"/>
      <c r="O369" s="996"/>
      <c r="P369" s="996"/>
      <c r="Q369" s="996"/>
      <c r="R369" s="996"/>
      <c r="S369" s="996"/>
      <c r="T369" s="996"/>
      <c r="U369" s="996"/>
      <c r="V369" s="996"/>
      <c r="W369" s="996"/>
      <c r="X369" s="996"/>
      <c r="Y369" s="996"/>
      <c r="Z369" s="97"/>
      <c r="AA369" s="996"/>
      <c r="AB369" s="996"/>
      <c r="AC369" s="996"/>
      <c r="AD369" s="996"/>
      <c r="AE369" s="996"/>
      <c r="AF369" s="996"/>
      <c r="AG369" s="996"/>
      <c r="AH369" s="996"/>
      <c r="AI369" s="996"/>
      <c r="AJ369" s="996"/>
      <c r="AK369" s="996"/>
      <c r="AL369" s="996"/>
    </row>
    <row r="370" spans="2:38">
      <c r="B370" s="545"/>
      <c r="C370" s="996"/>
      <c r="D370" s="996"/>
      <c r="E370" s="996"/>
      <c r="F370" s="996"/>
      <c r="G370" s="996"/>
      <c r="H370" s="996"/>
      <c r="I370" s="3"/>
      <c r="J370" s="996"/>
      <c r="K370" s="996"/>
      <c r="L370" s="996"/>
      <c r="M370" s="996"/>
      <c r="N370" s="996"/>
      <c r="O370" s="996"/>
      <c r="P370" s="996"/>
      <c r="Q370" s="996"/>
      <c r="R370" s="996"/>
      <c r="S370" s="996"/>
      <c r="T370" s="996"/>
      <c r="U370" s="996"/>
      <c r="V370" s="996"/>
      <c r="W370" s="996"/>
      <c r="X370" s="996"/>
      <c r="Y370" s="996"/>
      <c r="Z370" s="97"/>
      <c r="AA370" s="996"/>
      <c r="AB370" s="996"/>
      <c r="AC370" s="996"/>
      <c r="AD370" s="996"/>
      <c r="AE370" s="996"/>
      <c r="AF370" s="996"/>
      <c r="AG370" s="996"/>
      <c r="AH370" s="996"/>
      <c r="AI370" s="996"/>
      <c r="AJ370" s="996"/>
      <c r="AK370" s="996"/>
      <c r="AL370" s="996"/>
    </row>
    <row r="371" spans="2:38">
      <c r="B371" s="545"/>
      <c r="C371" s="996"/>
      <c r="D371" s="996"/>
      <c r="E371" s="996"/>
      <c r="F371" s="996"/>
      <c r="G371" s="996"/>
      <c r="H371" s="996"/>
      <c r="I371" s="3"/>
      <c r="J371" s="996"/>
      <c r="K371" s="996"/>
      <c r="L371" s="996"/>
      <c r="M371" s="996"/>
      <c r="N371" s="996"/>
      <c r="O371" s="996"/>
      <c r="P371" s="996"/>
      <c r="Q371" s="996"/>
      <c r="R371" s="996"/>
      <c r="S371" s="996"/>
      <c r="T371" s="996"/>
      <c r="U371" s="996"/>
      <c r="V371" s="996"/>
      <c r="W371" s="996"/>
      <c r="X371" s="996"/>
      <c r="Y371" s="996"/>
      <c r="Z371" s="97"/>
      <c r="AA371" s="996"/>
      <c r="AB371" s="996"/>
      <c r="AC371" s="996"/>
      <c r="AD371" s="996"/>
      <c r="AE371" s="996"/>
      <c r="AF371" s="996"/>
      <c r="AG371" s="996"/>
      <c r="AH371" s="996"/>
      <c r="AI371" s="996"/>
      <c r="AJ371" s="996"/>
      <c r="AK371" s="996"/>
      <c r="AL371" s="996"/>
    </row>
    <row r="372" spans="2:38">
      <c r="B372" s="545"/>
      <c r="C372" s="996"/>
      <c r="D372" s="996"/>
      <c r="E372" s="996"/>
      <c r="F372" s="996"/>
      <c r="G372" s="996"/>
      <c r="H372" s="996"/>
      <c r="I372" s="3"/>
      <c r="J372" s="996"/>
      <c r="K372" s="996"/>
      <c r="L372" s="996"/>
      <c r="M372" s="996"/>
      <c r="N372" s="996"/>
      <c r="O372" s="996"/>
      <c r="P372" s="996"/>
      <c r="Q372" s="996"/>
      <c r="R372" s="996"/>
      <c r="S372" s="996"/>
      <c r="T372" s="996"/>
      <c r="U372" s="996"/>
      <c r="V372" s="996"/>
      <c r="W372" s="996"/>
      <c r="X372" s="996"/>
      <c r="Y372" s="996"/>
      <c r="Z372" s="97"/>
      <c r="AA372" s="996"/>
      <c r="AB372" s="996"/>
      <c r="AC372" s="996"/>
      <c r="AD372" s="996"/>
      <c r="AE372" s="996"/>
      <c r="AF372" s="996"/>
      <c r="AG372" s="996"/>
      <c r="AH372" s="996"/>
      <c r="AI372" s="996"/>
      <c r="AJ372" s="996"/>
      <c r="AK372" s="996"/>
      <c r="AL372" s="996"/>
    </row>
    <row r="373" spans="2:38">
      <c r="B373" s="545"/>
      <c r="C373" s="996"/>
      <c r="D373" s="996"/>
      <c r="E373" s="996"/>
      <c r="F373" s="996"/>
      <c r="G373" s="996"/>
      <c r="H373" s="996"/>
      <c r="I373" s="3"/>
      <c r="J373" s="996"/>
      <c r="K373" s="996"/>
      <c r="L373" s="996"/>
      <c r="M373" s="996"/>
      <c r="N373" s="996"/>
      <c r="O373" s="996"/>
      <c r="P373" s="996"/>
      <c r="Q373" s="996"/>
      <c r="R373" s="996"/>
      <c r="S373" s="996"/>
      <c r="T373" s="996"/>
      <c r="U373" s="996"/>
      <c r="V373" s="996"/>
      <c r="W373" s="996"/>
      <c r="X373" s="996"/>
      <c r="Y373" s="996"/>
      <c r="Z373" s="97"/>
      <c r="AA373" s="996"/>
      <c r="AB373" s="996"/>
      <c r="AC373" s="996"/>
      <c r="AD373" s="996"/>
      <c r="AE373" s="996"/>
      <c r="AF373" s="996"/>
      <c r="AG373" s="996"/>
      <c r="AH373" s="996"/>
      <c r="AI373" s="996"/>
      <c r="AJ373" s="996"/>
      <c r="AK373" s="996"/>
      <c r="AL373" s="996"/>
    </row>
    <row r="374" spans="2:38">
      <c r="B374" s="545"/>
      <c r="C374" s="996"/>
      <c r="D374" s="996"/>
      <c r="E374" s="996"/>
      <c r="F374" s="996"/>
      <c r="G374" s="996"/>
      <c r="H374" s="996"/>
      <c r="I374" s="3"/>
      <c r="J374" s="996"/>
      <c r="K374" s="996"/>
      <c r="L374" s="996"/>
      <c r="M374" s="996"/>
      <c r="N374" s="996"/>
      <c r="O374" s="996"/>
      <c r="P374" s="996"/>
      <c r="Q374" s="996"/>
      <c r="R374" s="996"/>
      <c r="S374" s="996"/>
      <c r="T374" s="996"/>
      <c r="U374" s="996"/>
      <c r="V374" s="996"/>
      <c r="W374" s="996"/>
      <c r="X374" s="996"/>
      <c r="Y374" s="996"/>
      <c r="Z374" s="97"/>
      <c r="AA374" s="996"/>
      <c r="AB374" s="996"/>
      <c r="AC374" s="996"/>
      <c r="AD374" s="996"/>
      <c r="AE374" s="996"/>
      <c r="AF374" s="996"/>
      <c r="AG374" s="996"/>
      <c r="AH374" s="996"/>
      <c r="AI374" s="996"/>
      <c r="AJ374" s="996"/>
      <c r="AK374" s="996"/>
      <c r="AL374" s="996"/>
    </row>
    <row r="375" spans="2:38">
      <c r="B375" s="545"/>
      <c r="C375" s="996"/>
      <c r="D375" s="996"/>
      <c r="E375" s="996"/>
      <c r="F375" s="996"/>
      <c r="G375" s="996"/>
      <c r="H375" s="996"/>
      <c r="I375" s="3"/>
      <c r="J375" s="996"/>
      <c r="K375" s="996"/>
      <c r="L375" s="996"/>
      <c r="M375" s="996"/>
      <c r="N375" s="996"/>
      <c r="O375" s="996"/>
      <c r="P375" s="996"/>
      <c r="Q375" s="996"/>
      <c r="R375" s="996"/>
      <c r="S375" s="996"/>
      <c r="T375" s="996"/>
      <c r="U375" s="996"/>
      <c r="V375" s="996"/>
      <c r="W375" s="996"/>
      <c r="X375" s="996"/>
      <c r="Y375" s="996"/>
      <c r="Z375" s="97"/>
      <c r="AA375" s="996"/>
      <c r="AB375" s="996"/>
      <c r="AC375" s="996"/>
      <c r="AD375" s="996"/>
      <c r="AE375" s="996"/>
      <c r="AF375" s="996"/>
      <c r="AG375" s="996"/>
      <c r="AH375" s="996"/>
      <c r="AI375" s="996"/>
      <c r="AJ375" s="996"/>
      <c r="AK375" s="996"/>
      <c r="AL375" s="996"/>
    </row>
    <row r="376" spans="2:38">
      <c r="B376" s="545"/>
      <c r="C376" s="996"/>
      <c r="D376" s="996"/>
      <c r="E376" s="996"/>
      <c r="F376" s="996"/>
      <c r="G376" s="996"/>
      <c r="H376" s="996"/>
      <c r="I376" s="3"/>
      <c r="J376" s="996"/>
      <c r="K376" s="996"/>
      <c r="L376" s="996"/>
      <c r="M376" s="996"/>
      <c r="N376" s="996"/>
      <c r="O376" s="996"/>
      <c r="P376" s="996"/>
      <c r="Q376" s="996"/>
      <c r="R376" s="996"/>
      <c r="S376" s="996"/>
      <c r="T376" s="996"/>
      <c r="U376" s="996"/>
      <c r="V376" s="996"/>
      <c r="W376" s="996"/>
      <c r="X376" s="996"/>
      <c r="Y376" s="996"/>
      <c r="Z376" s="97"/>
      <c r="AA376" s="996"/>
      <c r="AB376" s="996"/>
      <c r="AC376" s="996"/>
      <c r="AD376" s="996"/>
      <c r="AE376" s="996"/>
      <c r="AF376" s="996"/>
      <c r="AG376" s="996"/>
      <c r="AH376" s="996"/>
      <c r="AI376" s="996"/>
      <c r="AJ376" s="996"/>
      <c r="AK376" s="996"/>
      <c r="AL376" s="996"/>
    </row>
    <row r="377" spans="2:38">
      <c r="B377" s="545"/>
      <c r="C377" s="996"/>
      <c r="D377" s="996"/>
      <c r="E377" s="996"/>
      <c r="F377" s="996"/>
      <c r="G377" s="996"/>
      <c r="H377" s="996"/>
      <c r="I377" s="3"/>
      <c r="J377" s="996"/>
      <c r="K377" s="996"/>
      <c r="L377" s="996"/>
      <c r="M377" s="996"/>
      <c r="N377" s="996"/>
      <c r="O377" s="996"/>
      <c r="P377" s="996"/>
      <c r="Q377" s="996"/>
      <c r="R377" s="996"/>
      <c r="S377" s="996"/>
      <c r="T377" s="996"/>
      <c r="U377" s="996"/>
      <c r="V377" s="996"/>
      <c r="W377" s="996"/>
      <c r="X377" s="996"/>
      <c r="Y377" s="996"/>
      <c r="Z377" s="97"/>
      <c r="AA377" s="996"/>
      <c r="AB377" s="996"/>
      <c r="AC377" s="996"/>
      <c r="AD377" s="996"/>
      <c r="AE377" s="996"/>
      <c r="AF377" s="996"/>
      <c r="AG377" s="996"/>
      <c r="AH377" s="996"/>
      <c r="AI377" s="996"/>
      <c r="AJ377" s="996"/>
      <c r="AK377" s="996"/>
      <c r="AL377" s="996"/>
    </row>
    <row r="378" spans="2:38">
      <c r="B378" s="545"/>
      <c r="C378" s="996"/>
      <c r="D378" s="996"/>
      <c r="E378" s="996"/>
      <c r="F378" s="996"/>
      <c r="G378" s="996"/>
      <c r="H378" s="996"/>
      <c r="I378" s="3"/>
      <c r="J378" s="996"/>
      <c r="K378" s="996"/>
      <c r="L378" s="996"/>
      <c r="M378" s="996"/>
      <c r="N378" s="996"/>
      <c r="O378" s="996"/>
      <c r="P378" s="996"/>
      <c r="Q378" s="996"/>
      <c r="R378" s="996"/>
      <c r="S378" s="996"/>
      <c r="T378" s="996"/>
      <c r="U378" s="996"/>
      <c r="V378" s="996"/>
      <c r="W378" s="996"/>
      <c r="X378" s="996"/>
      <c r="Y378" s="996"/>
      <c r="Z378" s="97"/>
      <c r="AA378" s="996"/>
      <c r="AB378" s="996"/>
      <c r="AC378" s="996"/>
      <c r="AD378" s="996"/>
      <c r="AE378" s="996"/>
      <c r="AF378" s="996"/>
      <c r="AG378" s="996"/>
      <c r="AH378" s="996"/>
      <c r="AI378" s="996"/>
      <c r="AJ378" s="996"/>
      <c r="AK378" s="996"/>
      <c r="AL378" s="996"/>
    </row>
    <row r="379" spans="2:38">
      <c r="B379" s="545"/>
      <c r="C379" s="996"/>
      <c r="D379" s="996"/>
      <c r="E379" s="996"/>
      <c r="F379" s="996"/>
      <c r="G379" s="996"/>
      <c r="H379" s="996"/>
      <c r="I379" s="3"/>
      <c r="J379" s="996"/>
      <c r="K379" s="996"/>
      <c r="L379" s="996"/>
      <c r="M379" s="996"/>
      <c r="N379" s="996"/>
      <c r="O379" s="996"/>
      <c r="P379" s="996"/>
      <c r="Q379" s="996"/>
      <c r="R379" s="996"/>
      <c r="S379" s="996"/>
      <c r="T379" s="996"/>
      <c r="U379" s="996"/>
      <c r="V379" s="996"/>
      <c r="W379" s="996"/>
      <c r="X379" s="996"/>
      <c r="Y379" s="996"/>
      <c r="Z379" s="97"/>
      <c r="AA379" s="996"/>
      <c r="AB379" s="996"/>
      <c r="AC379" s="996"/>
      <c r="AD379" s="996"/>
      <c r="AE379" s="996"/>
      <c r="AF379" s="996"/>
      <c r="AG379" s="996"/>
      <c r="AH379" s="996"/>
      <c r="AI379" s="996"/>
      <c r="AJ379" s="996"/>
      <c r="AK379" s="996"/>
      <c r="AL379" s="996"/>
    </row>
    <row r="380" spans="2:38">
      <c r="B380" s="545"/>
      <c r="C380" s="996"/>
      <c r="D380" s="996"/>
      <c r="E380" s="996"/>
      <c r="F380" s="996"/>
      <c r="G380" s="996"/>
      <c r="H380" s="996"/>
      <c r="I380" s="3"/>
      <c r="J380" s="996"/>
      <c r="K380" s="996"/>
      <c r="L380" s="996"/>
      <c r="M380" s="996"/>
      <c r="N380" s="996"/>
      <c r="O380" s="996"/>
      <c r="P380" s="996"/>
      <c r="Q380" s="996"/>
      <c r="R380" s="996"/>
      <c r="S380" s="996"/>
      <c r="T380" s="996"/>
      <c r="U380" s="996"/>
      <c r="V380" s="996"/>
      <c r="W380" s="996"/>
      <c r="X380" s="996"/>
      <c r="Y380" s="996"/>
      <c r="Z380" s="97"/>
      <c r="AA380" s="996"/>
      <c r="AB380" s="996"/>
      <c r="AC380" s="996"/>
      <c r="AD380" s="996"/>
      <c r="AE380" s="996"/>
      <c r="AF380" s="996"/>
      <c r="AG380" s="996"/>
      <c r="AH380" s="996"/>
      <c r="AI380" s="996"/>
      <c r="AJ380" s="996"/>
      <c r="AK380" s="996"/>
      <c r="AL380" s="996"/>
    </row>
    <row r="381" spans="2:38">
      <c r="B381" s="545"/>
      <c r="C381" s="996"/>
      <c r="D381" s="996"/>
      <c r="E381" s="996"/>
      <c r="F381" s="996"/>
      <c r="G381" s="996"/>
      <c r="H381" s="996"/>
      <c r="I381" s="3"/>
      <c r="J381" s="996"/>
      <c r="K381" s="996"/>
      <c r="L381" s="996"/>
      <c r="M381" s="996"/>
      <c r="N381" s="996"/>
      <c r="O381" s="996"/>
      <c r="P381" s="996"/>
      <c r="Q381" s="996"/>
      <c r="R381" s="996"/>
      <c r="S381" s="996"/>
      <c r="T381" s="996"/>
      <c r="U381" s="996"/>
      <c r="V381" s="996"/>
      <c r="W381" s="996"/>
      <c r="X381" s="996"/>
      <c r="Y381" s="996"/>
      <c r="Z381" s="97"/>
      <c r="AA381" s="996"/>
      <c r="AB381" s="996"/>
      <c r="AC381" s="996"/>
      <c r="AD381" s="996"/>
      <c r="AE381" s="996"/>
      <c r="AF381" s="996"/>
      <c r="AG381" s="996"/>
      <c r="AH381" s="996"/>
      <c r="AI381" s="996"/>
      <c r="AJ381" s="996"/>
      <c r="AK381" s="996"/>
      <c r="AL381" s="996"/>
    </row>
    <row r="382" spans="2:38">
      <c r="B382" s="545"/>
      <c r="C382" s="996"/>
      <c r="D382" s="996"/>
      <c r="E382" s="996"/>
      <c r="F382" s="996"/>
      <c r="G382" s="996"/>
      <c r="H382" s="996"/>
      <c r="I382" s="3"/>
      <c r="J382" s="996"/>
      <c r="K382" s="996"/>
      <c r="L382" s="996"/>
      <c r="M382" s="996"/>
      <c r="N382" s="996"/>
      <c r="O382" s="996"/>
      <c r="P382" s="996"/>
      <c r="Q382" s="996"/>
      <c r="R382" s="996"/>
      <c r="S382" s="996"/>
      <c r="T382" s="996"/>
      <c r="U382" s="996"/>
      <c r="V382" s="996"/>
      <c r="W382" s="996"/>
      <c r="X382" s="996"/>
      <c r="Y382" s="996"/>
      <c r="Z382" s="97"/>
      <c r="AA382" s="996"/>
      <c r="AB382" s="996"/>
      <c r="AC382" s="996"/>
      <c r="AD382" s="996"/>
      <c r="AE382" s="996"/>
      <c r="AF382" s="996"/>
      <c r="AG382" s="996"/>
      <c r="AH382" s="996"/>
      <c r="AI382" s="996"/>
      <c r="AJ382" s="996"/>
      <c r="AK382" s="996"/>
      <c r="AL382" s="996"/>
    </row>
    <row r="383" spans="2:38">
      <c r="B383" s="545"/>
      <c r="C383" s="996"/>
      <c r="D383" s="996"/>
      <c r="E383" s="996"/>
      <c r="F383" s="996"/>
      <c r="G383" s="996"/>
      <c r="H383" s="996"/>
      <c r="I383" s="3"/>
      <c r="J383" s="996"/>
      <c r="K383" s="996"/>
      <c r="L383" s="996"/>
      <c r="M383" s="996"/>
      <c r="N383" s="996"/>
      <c r="O383" s="996"/>
      <c r="P383" s="996"/>
      <c r="Q383" s="996"/>
      <c r="R383" s="996"/>
      <c r="S383" s="996"/>
      <c r="T383" s="996"/>
      <c r="U383" s="996"/>
      <c r="V383" s="996"/>
      <c r="W383" s="996"/>
      <c r="X383" s="996"/>
      <c r="Y383" s="996"/>
      <c r="Z383" s="97"/>
      <c r="AA383" s="996"/>
      <c r="AB383" s="996"/>
      <c r="AC383" s="996"/>
      <c r="AD383" s="996"/>
      <c r="AE383" s="996"/>
      <c r="AF383" s="996"/>
      <c r="AG383" s="996"/>
      <c r="AH383" s="996"/>
      <c r="AI383" s="996"/>
      <c r="AJ383" s="996"/>
      <c r="AK383" s="996"/>
      <c r="AL383" s="996"/>
    </row>
    <row r="384" spans="2:38">
      <c r="B384" s="545"/>
      <c r="C384" s="996"/>
      <c r="D384" s="996"/>
      <c r="E384" s="996"/>
      <c r="F384" s="996"/>
      <c r="G384" s="996"/>
      <c r="H384" s="996"/>
      <c r="I384" s="3"/>
      <c r="J384" s="996"/>
      <c r="K384" s="996"/>
      <c r="L384" s="996"/>
      <c r="M384" s="996"/>
      <c r="N384" s="996"/>
      <c r="O384" s="996"/>
      <c r="P384" s="996"/>
      <c r="Q384" s="996"/>
      <c r="R384" s="996"/>
      <c r="S384" s="996"/>
      <c r="T384" s="996"/>
      <c r="U384" s="996"/>
      <c r="V384" s="996"/>
      <c r="W384" s="996"/>
      <c r="X384" s="996"/>
      <c r="Y384" s="996"/>
      <c r="Z384" s="97"/>
      <c r="AA384" s="996"/>
      <c r="AB384" s="996"/>
      <c r="AC384" s="996"/>
      <c r="AD384" s="996"/>
      <c r="AE384" s="996"/>
      <c r="AF384" s="996"/>
      <c r="AG384" s="996"/>
      <c r="AH384" s="996"/>
      <c r="AI384" s="996"/>
      <c r="AJ384" s="996"/>
      <c r="AK384" s="996"/>
      <c r="AL384" s="996"/>
    </row>
    <row r="385" spans="2:38">
      <c r="B385" s="545"/>
      <c r="C385" s="996"/>
      <c r="D385" s="996"/>
      <c r="E385" s="996"/>
      <c r="F385" s="996"/>
      <c r="G385" s="996"/>
      <c r="H385" s="996"/>
      <c r="I385" s="3"/>
      <c r="J385" s="996"/>
      <c r="K385" s="996"/>
      <c r="L385" s="996"/>
      <c r="M385" s="996"/>
      <c r="N385" s="996"/>
      <c r="O385" s="996"/>
      <c r="P385" s="996"/>
      <c r="Q385" s="996"/>
      <c r="R385" s="996"/>
      <c r="S385" s="996"/>
      <c r="T385" s="996"/>
      <c r="U385" s="996"/>
      <c r="V385" s="996"/>
      <c r="W385" s="996"/>
      <c r="X385" s="996"/>
      <c r="Y385" s="996"/>
      <c r="Z385" s="97"/>
      <c r="AA385" s="996"/>
      <c r="AB385" s="996"/>
      <c r="AC385" s="996"/>
      <c r="AD385" s="996"/>
      <c r="AE385" s="996"/>
      <c r="AF385" s="996"/>
      <c r="AG385" s="996"/>
      <c r="AH385" s="996"/>
      <c r="AI385" s="996"/>
      <c r="AJ385" s="996"/>
      <c r="AK385" s="996"/>
      <c r="AL385" s="996"/>
    </row>
    <row r="386" spans="2:38">
      <c r="B386" s="545"/>
      <c r="C386" s="996"/>
      <c r="D386" s="996"/>
      <c r="E386" s="996"/>
      <c r="F386" s="996"/>
      <c r="G386" s="996"/>
      <c r="H386" s="996"/>
      <c r="I386" s="3"/>
      <c r="J386" s="996"/>
      <c r="K386" s="996"/>
      <c r="L386" s="996"/>
      <c r="M386" s="996"/>
      <c r="N386" s="996"/>
      <c r="O386" s="996"/>
      <c r="P386" s="996"/>
      <c r="Q386" s="996"/>
      <c r="R386" s="996"/>
      <c r="S386" s="996"/>
      <c r="T386" s="996"/>
      <c r="U386" s="996"/>
      <c r="V386" s="996"/>
      <c r="W386" s="996"/>
      <c r="X386" s="996"/>
      <c r="Y386" s="996"/>
      <c r="Z386" s="97"/>
      <c r="AA386" s="996"/>
      <c r="AB386" s="996"/>
      <c r="AC386" s="996"/>
      <c r="AD386" s="996"/>
      <c r="AE386" s="996"/>
      <c r="AF386" s="996"/>
      <c r="AG386" s="996"/>
      <c r="AH386" s="996"/>
      <c r="AI386" s="996"/>
      <c r="AJ386" s="996"/>
      <c r="AK386" s="996"/>
      <c r="AL386" s="996"/>
    </row>
    <row r="387" spans="2:38">
      <c r="B387" s="545"/>
      <c r="C387" s="996"/>
      <c r="D387" s="996"/>
      <c r="E387" s="996"/>
      <c r="F387" s="996"/>
      <c r="G387" s="996"/>
      <c r="H387" s="996"/>
      <c r="I387" s="3"/>
      <c r="J387" s="996"/>
      <c r="K387" s="996"/>
      <c r="L387" s="996"/>
      <c r="M387" s="996"/>
      <c r="N387" s="996"/>
      <c r="O387" s="996"/>
      <c r="P387" s="996"/>
      <c r="Q387" s="996"/>
      <c r="R387" s="996"/>
      <c r="S387" s="996"/>
      <c r="T387" s="996"/>
      <c r="U387" s="996"/>
      <c r="V387" s="996"/>
      <c r="W387" s="996"/>
      <c r="X387" s="996"/>
      <c r="Y387" s="996"/>
      <c r="Z387" s="97"/>
      <c r="AA387" s="996"/>
      <c r="AB387" s="996"/>
      <c r="AC387" s="996"/>
      <c r="AD387" s="996"/>
      <c r="AE387" s="996"/>
      <c r="AF387" s="996"/>
      <c r="AG387" s="996"/>
      <c r="AH387" s="996"/>
      <c r="AI387" s="996"/>
      <c r="AJ387" s="996"/>
      <c r="AK387" s="996"/>
      <c r="AL387" s="996"/>
    </row>
    <row r="388" spans="2:38">
      <c r="B388" s="545"/>
      <c r="C388" s="996"/>
      <c r="D388" s="996"/>
      <c r="E388" s="996"/>
      <c r="F388" s="996"/>
      <c r="G388" s="996"/>
      <c r="H388" s="996"/>
      <c r="I388" s="3"/>
      <c r="J388" s="996"/>
      <c r="K388" s="996"/>
      <c r="L388" s="996"/>
      <c r="M388" s="996"/>
      <c r="N388" s="996"/>
      <c r="O388" s="996"/>
      <c r="P388" s="996"/>
      <c r="Q388" s="996"/>
      <c r="R388" s="996"/>
      <c r="S388" s="996"/>
      <c r="T388" s="996"/>
      <c r="U388" s="996"/>
      <c r="V388" s="996"/>
      <c r="W388" s="996"/>
      <c r="X388" s="996"/>
      <c r="Y388" s="996"/>
      <c r="Z388" s="97"/>
      <c r="AA388" s="996"/>
      <c r="AB388" s="996"/>
      <c r="AC388" s="996"/>
      <c r="AD388" s="996"/>
      <c r="AE388" s="996"/>
      <c r="AF388" s="996"/>
      <c r="AG388" s="996"/>
      <c r="AH388" s="996"/>
      <c r="AI388" s="996"/>
      <c r="AJ388" s="996"/>
      <c r="AK388" s="996"/>
      <c r="AL388" s="996"/>
    </row>
    <row r="389" spans="2:38">
      <c r="B389" s="545"/>
      <c r="C389" s="996"/>
      <c r="D389" s="996"/>
      <c r="E389" s="996"/>
      <c r="F389" s="996"/>
      <c r="G389" s="996"/>
      <c r="H389" s="996"/>
      <c r="I389" s="3"/>
      <c r="J389" s="996"/>
      <c r="K389" s="996"/>
      <c r="L389" s="996"/>
      <c r="M389" s="996"/>
      <c r="N389" s="996"/>
      <c r="O389" s="996"/>
      <c r="P389" s="996"/>
      <c r="Q389" s="996"/>
      <c r="R389" s="996"/>
      <c r="S389" s="996"/>
      <c r="T389" s="996"/>
      <c r="U389" s="996"/>
      <c r="V389" s="996"/>
      <c r="W389" s="996"/>
      <c r="X389" s="996"/>
      <c r="Y389" s="996"/>
      <c r="Z389" s="97"/>
      <c r="AA389" s="996"/>
      <c r="AB389" s="996"/>
      <c r="AC389" s="996"/>
      <c r="AD389" s="996"/>
      <c r="AE389" s="996"/>
      <c r="AF389" s="996"/>
      <c r="AG389" s="996"/>
      <c r="AH389" s="996"/>
      <c r="AI389" s="996"/>
      <c r="AJ389" s="996"/>
      <c r="AK389" s="996"/>
      <c r="AL389" s="996"/>
    </row>
    <row r="390" spans="2:38">
      <c r="B390" s="545"/>
      <c r="C390" s="996"/>
      <c r="D390" s="996"/>
      <c r="E390" s="996"/>
      <c r="F390" s="996"/>
      <c r="G390" s="996"/>
      <c r="H390" s="996"/>
      <c r="I390" s="3"/>
      <c r="J390" s="996"/>
      <c r="K390" s="996"/>
      <c r="L390" s="996"/>
      <c r="M390" s="996"/>
      <c r="N390" s="996"/>
      <c r="O390" s="996"/>
      <c r="P390" s="996"/>
      <c r="Q390" s="996"/>
      <c r="R390" s="996"/>
      <c r="S390" s="996"/>
      <c r="T390" s="996"/>
      <c r="U390" s="996"/>
      <c r="V390" s="996"/>
      <c r="W390" s="996"/>
      <c r="X390" s="996"/>
      <c r="Y390" s="996"/>
      <c r="Z390" s="97"/>
      <c r="AA390" s="996"/>
      <c r="AB390" s="996"/>
      <c r="AC390" s="996"/>
      <c r="AD390" s="996"/>
      <c r="AE390" s="996"/>
      <c r="AF390" s="996"/>
      <c r="AG390" s="996"/>
      <c r="AH390" s="996"/>
      <c r="AI390" s="996"/>
      <c r="AJ390" s="996"/>
      <c r="AK390" s="996"/>
      <c r="AL390" s="996"/>
    </row>
    <row r="391" spans="2:38">
      <c r="B391" s="545"/>
      <c r="C391" s="996"/>
      <c r="D391" s="996"/>
      <c r="E391" s="996"/>
      <c r="F391" s="996"/>
      <c r="G391" s="996"/>
      <c r="H391" s="996"/>
      <c r="I391" s="3"/>
      <c r="J391" s="996"/>
      <c r="K391" s="996"/>
      <c r="L391" s="996"/>
      <c r="M391" s="996"/>
      <c r="N391" s="996"/>
      <c r="O391" s="996"/>
      <c r="P391" s="996"/>
      <c r="Q391" s="996"/>
      <c r="R391" s="996"/>
      <c r="S391" s="996"/>
      <c r="T391" s="996"/>
      <c r="U391" s="996"/>
      <c r="V391" s="996"/>
      <c r="W391" s="996"/>
      <c r="X391" s="996"/>
      <c r="Y391" s="996"/>
      <c r="Z391" s="97"/>
      <c r="AA391" s="996"/>
      <c r="AB391" s="996"/>
      <c r="AC391" s="996"/>
      <c r="AD391" s="996"/>
      <c r="AE391" s="996"/>
      <c r="AF391" s="996"/>
      <c r="AG391" s="996"/>
      <c r="AH391" s="996"/>
      <c r="AI391" s="996"/>
      <c r="AJ391" s="996"/>
      <c r="AK391" s="996"/>
      <c r="AL391" s="996"/>
    </row>
    <row r="392" spans="2:38">
      <c r="B392" s="545"/>
      <c r="C392" s="996"/>
      <c r="D392" s="996"/>
      <c r="E392" s="996"/>
      <c r="F392" s="996"/>
      <c r="G392" s="996"/>
      <c r="H392" s="996"/>
      <c r="I392" s="3"/>
      <c r="J392" s="996"/>
      <c r="K392" s="996"/>
      <c r="L392" s="996"/>
      <c r="M392" s="996"/>
      <c r="N392" s="996"/>
      <c r="O392" s="996"/>
      <c r="P392" s="996"/>
      <c r="Q392" s="996"/>
      <c r="R392" s="996"/>
      <c r="S392" s="996"/>
      <c r="T392" s="996"/>
      <c r="U392" s="996"/>
      <c r="V392" s="996"/>
      <c r="W392" s="996"/>
      <c r="X392" s="996"/>
      <c r="Y392" s="996"/>
      <c r="Z392" s="97"/>
      <c r="AA392" s="996"/>
      <c r="AB392" s="996"/>
      <c r="AC392" s="996"/>
      <c r="AD392" s="996"/>
      <c r="AE392" s="996"/>
      <c r="AF392" s="996"/>
      <c r="AG392" s="996"/>
      <c r="AH392" s="996"/>
      <c r="AI392" s="996"/>
      <c r="AJ392" s="996"/>
      <c r="AK392" s="996"/>
      <c r="AL392" s="996"/>
    </row>
    <row r="393" spans="2:38">
      <c r="B393" s="545"/>
      <c r="C393" s="996"/>
      <c r="D393" s="996"/>
      <c r="E393" s="996"/>
      <c r="F393" s="996"/>
      <c r="G393" s="996"/>
      <c r="H393" s="996"/>
      <c r="I393" s="3"/>
      <c r="J393" s="996"/>
      <c r="K393" s="996"/>
      <c r="L393" s="996"/>
      <c r="M393" s="996"/>
      <c r="N393" s="996"/>
      <c r="O393" s="996"/>
      <c r="P393" s="996"/>
      <c r="Q393" s="996"/>
      <c r="R393" s="996"/>
      <c r="S393" s="996"/>
      <c r="T393" s="996"/>
      <c r="U393" s="996"/>
      <c r="V393" s="996"/>
      <c r="W393" s="996"/>
      <c r="X393" s="996"/>
      <c r="Y393" s="996"/>
      <c r="Z393" s="97"/>
      <c r="AA393" s="996"/>
      <c r="AB393" s="996"/>
      <c r="AC393" s="996"/>
      <c r="AD393" s="996"/>
      <c r="AE393" s="996"/>
      <c r="AF393" s="996"/>
      <c r="AG393" s="996"/>
      <c r="AH393" s="996"/>
      <c r="AI393" s="996"/>
      <c r="AJ393" s="996"/>
      <c r="AK393" s="996"/>
      <c r="AL393" s="996"/>
    </row>
    <row r="394" spans="2:38">
      <c r="B394" s="545"/>
      <c r="C394" s="996"/>
      <c r="D394" s="996"/>
      <c r="E394" s="996"/>
      <c r="F394" s="996"/>
      <c r="G394" s="996"/>
      <c r="H394" s="996"/>
      <c r="I394" s="3"/>
      <c r="J394" s="996"/>
      <c r="K394" s="996"/>
      <c r="L394" s="996"/>
      <c r="M394" s="996"/>
      <c r="N394" s="996"/>
      <c r="O394" s="996"/>
      <c r="P394" s="996"/>
      <c r="Q394" s="996"/>
      <c r="R394" s="996"/>
      <c r="S394" s="996"/>
      <c r="T394" s="996"/>
      <c r="U394" s="996"/>
      <c r="V394" s="996"/>
      <c r="W394" s="996"/>
      <c r="X394" s="996"/>
      <c r="Y394" s="996"/>
      <c r="Z394" s="97"/>
      <c r="AA394" s="996"/>
      <c r="AB394" s="996"/>
      <c r="AC394" s="996"/>
      <c r="AD394" s="996"/>
      <c r="AE394" s="996"/>
      <c r="AF394" s="996"/>
      <c r="AG394" s="996"/>
      <c r="AH394" s="996"/>
      <c r="AI394" s="996"/>
      <c r="AJ394" s="996"/>
      <c r="AK394" s="996"/>
      <c r="AL394" s="996"/>
    </row>
    <row r="395" spans="2:38">
      <c r="B395" s="545"/>
      <c r="C395" s="996"/>
      <c r="D395" s="996"/>
      <c r="E395" s="996"/>
      <c r="F395" s="996"/>
      <c r="G395" s="996"/>
      <c r="H395" s="996"/>
      <c r="I395" s="3"/>
      <c r="J395" s="996"/>
      <c r="K395" s="996"/>
      <c r="L395" s="996"/>
      <c r="M395" s="996"/>
      <c r="N395" s="996"/>
      <c r="O395" s="996"/>
      <c r="P395" s="996"/>
      <c r="Q395" s="996"/>
      <c r="R395" s="996"/>
      <c r="S395" s="996"/>
      <c r="T395" s="996"/>
      <c r="U395" s="996"/>
      <c r="V395" s="996"/>
      <c r="W395" s="996"/>
      <c r="X395" s="996"/>
      <c r="Y395" s="996"/>
      <c r="Z395" s="97"/>
      <c r="AA395" s="996"/>
      <c r="AB395" s="996"/>
      <c r="AC395" s="996"/>
      <c r="AD395" s="996"/>
      <c r="AE395" s="996"/>
      <c r="AF395" s="996"/>
      <c r="AG395" s="996"/>
      <c r="AH395" s="996"/>
      <c r="AI395" s="996"/>
      <c r="AJ395" s="996"/>
      <c r="AK395" s="996"/>
      <c r="AL395" s="996"/>
    </row>
    <row r="396" spans="2:38">
      <c r="B396" s="545"/>
      <c r="C396" s="996"/>
      <c r="D396" s="996"/>
      <c r="E396" s="996"/>
      <c r="F396" s="996"/>
      <c r="G396" s="996"/>
      <c r="H396" s="996"/>
      <c r="I396" s="3"/>
      <c r="J396" s="996"/>
      <c r="K396" s="996"/>
      <c r="L396" s="996"/>
      <c r="M396" s="996"/>
      <c r="N396" s="996"/>
      <c r="O396" s="996"/>
      <c r="P396" s="996"/>
      <c r="Q396" s="996"/>
      <c r="R396" s="996"/>
      <c r="S396" s="996"/>
      <c r="T396" s="996"/>
      <c r="U396" s="996"/>
      <c r="V396" s="996"/>
      <c r="W396" s="996"/>
      <c r="X396" s="996"/>
      <c r="Y396" s="996"/>
      <c r="Z396" s="97"/>
      <c r="AA396" s="996"/>
      <c r="AB396" s="996"/>
      <c r="AC396" s="996"/>
      <c r="AD396" s="996"/>
      <c r="AE396" s="996"/>
      <c r="AF396" s="996"/>
      <c r="AG396" s="996"/>
      <c r="AH396" s="996"/>
      <c r="AI396" s="996"/>
      <c r="AJ396" s="996"/>
      <c r="AK396" s="996"/>
      <c r="AL396" s="996"/>
    </row>
    <row r="397" spans="2:38">
      <c r="B397" s="545"/>
      <c r="C397" s="996"/>
      <c r="D397" s="996"/>
      <c r="E397" s="996"/>
      <c r="F397" s="996"/>
      <c r="G397" s="996"/>
      <c r="H397" s="996"/>
      <c r="I397" s="3"/>
      <c r="J397" s="996"/>
      <c r="K397" s="996"/>
      <c r="L397" s="996"/>
      <c r="M397" s="996"/>
      <c r="N397" s="996"/>
      <c r="O397" s="996"/>
      <c r="P397" s="996"/>
      <c r="Q397" s="996"/>
      <c r="R397" s="996"/>
      <c r="S397" s="996"/>
      <c r="T397" s="996"/>
      <c r="U397" s="996"/>
      <c r="V397" s="996"/>
      <c r="W397" s="996"/>
      <c r="X397" s="996"/>
      <c r="Y397" s="996"/>
      <c r="Z397" s="97"/>
      <c r="AA397" s="996"/>
      <c r="AB397" s="996"/>
      <c r="AC397" s="996"/>
      <c r="AD397" s="996"/>
      <c r="AE397" s="996"/>
      <c r="AF397" s="996"/>
      <c r="AG397" s="996"/>
      <c r="AH397" s="996"/>
      <c r="AI397" s="996"/>
      <c r="AJ397" s="996"/>
      <c r="AK397" s="996"/>
      <c r="AL397" s="996"/>
    </row>
    <row r="398" spans="2:38">
      <c r="B398" s="545"/>
      <c r="C398" s="996"/>
      <c r="D398" s="996"/>
      <c r="E398" s="996"/>
      <c r="F398" s="996"/>
      <c r="G398" s="996"/>
      <c r="H398" s="996"/>
      <c r="I398" s="3"/>
      <c r="J398" s="996"/>
      <c r="K398" s="996"/>
      <c r="L398" s="996"/>
      <c r="M398" s="996"/>
      <c r="N398" s="996"/>
      <c r="O398" s="996"/>
      <c r="P398" s="996"/>
      <c r="Q398" s="996"/>
      <c r="R398" s="996"/>
      <c r="S398" s="996"/>
      <c r="T398" s="996"/>
      <c r="U398" s="996"/>
      <c r="V398" s="996"/>
      <c r="W398" s="996"/>
      <c r="X398" s="996"/>
      <c r="Y398" s="996"/>
      <c r="Z398" s="97"/>
      <c r="AA398" s="996"/>
      <c r="AB398" s="996"/>
      <c r="AC398" s="996"/>
      <c r="AD398" s="996"/>
      <c r="AE398" s="996"/>
      <c r="AF398" s="996"/>
      <c r="AG398" s="996"/>
      <c r="AH398" s="996"/>
      <c r="AI398" s="996"/>
      <c r="AJ398" s="996"/>
      <c r="AK398" s="996"/>
      <c r="AL398" s="996"/>
    </row>
    <row r="399" spans="2:38">
      <c r="B399" s="545"/>
      <c r="C399" s="996"/>
      <c r="D399" s="996"/>
      <c r="E399" s="996"/>
      <c r="F399" s="996"/>
      <c r="G399" s="996"/>
      <c r="H399" s="996"/>
      <c r="I399" s="3"/>
      <c r="J399" s="996"/>
      <c r="K399" s="996"/>
      <c r="L399" s="996"/>
      <c r="M399" s="996"/>
      <c r="N399" s="996"/>
      <c r="O399" s="996"/>
      <c r="P399" s="996"/>
      <c r="Q399" s="996"/>
      <c r="R399" s="996"/>
      <c r="S399" s="996"/>
      <c r="T399" s="996"/>
      <c r="U399" s="996"/>
      <c r="V399" s="996"/>
      <c r="W399" s="996"/>
      <c r="X399" s="996"/>
      <c r="Y399" s="996"/>
      <c r="Z399" s="97"/>
      <c r="AA399" s="996"/>
      <c r="AB399" s="996"/>
      <c r="AC399" s="996"/>
      <c r="AD399" s="996"/>
      <c r="AE399" s="996"/>
      <c r="AF399" s="996"/>
      <c r="AG399" s="996"/>
      <c r="AH399" s="996"/>
      <c r="AI399" s="996"/>
      <c r="AJ399" s="996"/>
      <c r="AK399" s="996"/>
      <c r="AL399" s="996"/>
    </row>
    <row r="400" spans="2:38">
      <c r="B400" s="545"/>
      <c r="C400" s="996"/>
      <c r="D400" s="996"/>
      <c r="E400" s="996"/>
      <c r="F400" s="996"/>
      <c r="G400" s="996"/>
      <c r="H400" s="996"/>
      <c r="I400" s="3"/>
      <c r="J400" s="996"/>
      <c r="K400" s="996"/>
      <c r="L400" s="996"/>
      <c r="M400" s="996"/>
      <c r="N400" s="996"/>
      <c r="O400" s="996"/>
      <c r="P400" s="996"/>
      <c r="Q400" s="996"/>
      <c r="R400" s="996"/>
      <c r="S400" s="996"/>
      <c r="T400" s="996"/>
      <c r="U400" s="996"/>
      <c r="V400" s="996"/>
      <c r="W400" s="996"/>
      <c r="X400" s="996"/>
      <c r="Y400" s="996"/>
      <c r="Z400" s="97"/>
      <c r="AA400" s="996"/>
      <c r="AB400" s="996"/>
      <c r="AC400" s="996"/>
      <c r="AD400" s="996"/>
      <c r="AE400" s="996"/>
      <c r="AF400" s="996"/>
      <c r="AG400" s="996"/>
      <c r="AH400" s="996"/>
      <c r="AI400" s="996"/>
      <c r="AJ400" s="996"/>
      <c r="AK400" s="996"/>
      <c r="AL400" s="996"/>
    </row>
    <row r="401" spans="2:38">
      <c r="B401" s="545"/>
      <c r="C401" s="996"/>
      <c r="D401" s="996"/>
      <c r="E401" s="996"/>
      <c r="F401" s="996"/>
      <c r="G401" s="996"/>
      <c r="H401" s="996"/>
      <c r="I401" s="3"/>
      <c r="J401" s="996"/>
      <c r="K401" s="996"/>
      <c r="L401" s="996"/>
      <c r="M401" s="996"/>
      <c r="N401" s="996"/>
      <c r="O401" s="996"/>
      <c r="P401" s="996"/>
      <c r="Q401" s="996"/>
      <c r="R401" s="996"/>
      <c r="S401" s="996"/>
      <c r="T401" s="996"/>
      <c r="U401" s="996"/>
      <c r="V401" s="996"/>
      <c r="W401" s="996"/>
      <c r="X401" s="996"/>
      <c r="Y401" s="996"/>
      <c r="Z401" s="97"/>
      <c r="AA401" s="996"/>
      <c r="AB401" s="996"/>
      <c r="AC401" s="996"/>
      <c r="AD401" s="996"/>
      <c r="AE401" s="996"/>
      <c r="AF401" s="996"/>
      <c r="AG401" s="996"/>
      <c r="AH401" s="996"/>
      <c r="AI401" s="996"/>
      <c r="AJ401" s="996"/>
      <c r="AK401" s="996"/>
      <c r="AL401" s="996"/>
    </row>
    <row r="402" spans="2:38">
      <c r="B402" s="545"/>
      <c r="C402" s="996"/>
      <c r="D402" s="996"/>
      <c r="E402" s="996"/>
      <c r="F402" s="996"/>
      <c r="G402" s="996"/>
      <c r="H402" s="996"/>
      <c r="I402" s="3"/>
      <c r="J402" s="996"/>
      <c r="K402" s="996"/>
      <c r="L402" s="996"/>
      <c r="M402" s="996"/>
      <c r="N402" s="996"/>
      <c r="O402" s="996"/>
      <c r="P402" s="996"/>
      <c r="Q402" s="996"/>
      <c r="R402" s="996"/>
      <c r="S402" s="996"/>
      <c r="T402" s="996"/>
      <c r="U402" s="996"/>
      <c r="V402" s="996"/>
      <c r="W402" s="996"/>
      <c r="X402" s="996"/>
      <c r="Y402" s="996"/>
      <c r="Z402" s="97"/>
      <c r="AA402" s="996"/>
      <c r="AB402" s="996"/>
      <c r="AC402" s="996"/>
      <c r="AD402" s="996"/>
      <c r="AE402" s="996"/>
      <c r="AF402" s="996"/>
      <c r="AG402" s="996"/>
      <c r="AH402" s="996"/>
      <c r="AI402" s="996"/>
      <c r="AJ402" s="996"/>
      <c r="AK402" s="996"/>
      <c r="AL402" s="996"/>
    </row>
    <row r="403" spans="2:38">
      <c r="B403" s="545"/>
      <c r="C403" s="996"/>
      <c r="D403" s="996"/>
      <c r="E403" s="996"/>
      <c r="F403" s="996"/>
      <c r="G403" s="996"/>
      <c r="H403" s="996"/>
      <c r="I403" s="3"/>
      <c r="J403" s="996"/>
      <c r="K403" s="996"/>
      <c r="L403" s="996"/>
      <c r="M403" s="996"/>
      <c r="N403" s="996"/>
      <c r="O403" s="996"/>
      <c r="P403" s="996"/>
      <c r="Q403" s="996"/>
      <c r="R403" s="996"/>
      <c r="S403" s="996"/>
      <c r="T403" s="996"/>
      <c r="U403" s="996"/>
      <c r="V403" s="996"/>
      <c r="W403" s="996"/>
      <c r="X403" s="996"/>
      <c r="Y403" s="996"/>
      <c r="Z403" s="97"/>
      <c r="AA403" s="996"/>
      <c r="AB403" s="996"/>
      <c r="AC403" s="996"/>
      <c r="AD403" s="996"/>
      <c r="AE403" s="996"/>
      <c r="AF403" s="996"/>
      <c r="AG403" s="996"/>
      <c r="AH403" s="996"/>
      <c r="AI403" s="996"/>
      <c r="AJ403" s="996"/>
      <c r="AK403" s="996"/>
      <c r="AL403" s="996"/>
    </row>
    <row r="404" spans="2:38">
      <c r="B404" s="545"/>
      <c r="C404" s="996"/>
      <c r="D404" s="996"/>
      <c r="E404" s="996"/>
      <c r="F404" s="996"/>
      <c r="G404" s="996"/>
      <c r="H404" s="996"/>
      <c r="I404" s="3"/>
      <c r="J404" s="996"/>
      <c r="K404" s="996"/>
      <c r="L404" s="996"/>
      <c r="M404" s="996"/>
      <c r="N404" s="996"/>
      <c r="O404" s="996"/>
      <c r="P404" s="996"/>
      <c r="Q404" s="996"/>
      <c r="R404" s="996"/>
      <c r="S404" s="996"/>
      <c r="T404" s="996"/>
      <c r="U404" s="996"/>
      <c r="V404" s="996"/>
      <c r="W404" s="996"/>
      <c r="X404" s="996"/>
      <c r="Y404" s="996"/>
      <c r="Z404" s="97"/>
      <c r="AA404" s="996"/>
      <c r="AB404" s="996"/>
      <c r="AC404" s="996"/>
      <c r="AD404" s="996"/>
      <c r="AE404" s="996"/>
      <c r="AF404" s="996"/>
      <c r="AG404" s="996"/>
      <c r="AH404" s="996"/>
      <c r="AI404" s="996"/>
      <c r="AJ404" s="996"/>
      <c r="AK404" s="996"/>
      <c r="AL404" s="996"/>
    </row>
    <row r="405" spans="2:38">
      <c r="B405" s="545"/>
      <c r="C405" s="996"/>
      <c r="D405" s="996"/>
      <c r="E405" s="996"/>
      <c r="F405" s="996"/>
      <c r="G405" s="996"/>
      <c r="H405" s="996"/>
      <c r="I405" s="3"/>
      <c r="J405" s="996"/>
      <c r="K405" s="996"/>
      <c r="L405" s="996"/>
      <c r="M405" s="996"/>
      <c r="N405" s="996"/>
      <c r="O405" s="996"/>
      <c r="P405" s="996"/>
      <c r="Q405" s="996"/>
      <c r="R405" s="996"/>
      <c r="S405" s="996"/>
      <c r="T405" s="996"/>
      <c r="U405" s="996"/>
      <c r="V405" s="996"/>
      <c r="W405" s="996"/>
      <c r="X405" s="996"/>
      <c r="Y405" s="996"/>
      <c r="Z405" s="97"/>
      <c r="AA405" s="996"/>
      <c r="AB405" s="996"/>
      <c r="AC405" s="996"/>
      <c r="AD405" s="996"/>
      <c r="AE405" s="996"/>
      <c r="AF405" s="996"/>
      <c r="AG405" s="996"/>
      <c r="AH405" s="996"/>
      <c r="AI405" s="996"/>
      <c r="AJ405" s="996"/>
      <c r="AK405" s="996"/>
      <c r="AL405" s="996"/>
    </row>
    <row r="406" spans="2:38">
      <c r="B406" s="545"/>
      <c r="C406" s="996"/>
      <c r="D406" s="996"/>
      <c r="E406" s="996"/>
      <c r="F406" s="996"/>
      <c r="G406" s="996"/>
      <c r="H406" s="996"/>
      <c r="I406" s="3"/>
      <c r="J406" s="996"/>
      <c r="K406" s="996"/>
      <c r="L406" s="996"/>
      <c r="M406" s="996"/>
      <c r="N406" s="996"/>
      <c r="O406" s="996"/>
      <c r="P406" s="996"/>
      <c r="Q406" s="996"/>
      <c r="R406" s="996"/>
      <c r="S406" s="996"/>
      <c r="T406" s="996"/>
      <c r="U406" s="996"/>
      <c r="V406" s="996"/>
      <c r="W406" s="996"/>
      <c r="X406" s="996"/>
      <c r="Y406" s="996"/>
      <c r="Z406" s="97"/>
      <c r="AA406" s="996"/>
      <c r="AB406" s="996"/>
      <c r="AC406" s="996"/>
      <c r="AD406" s="996"/>
      <c r="AE406" s="996"/>
      <c r="AF406" s="996"/>
      <c r="AG406" s="996"/>
      <c r="AH406" s="996"/>
      <c r="AI406" s="996"/>
      <c r="AJ406" s="996"/>
      <c r="AK406" s="996"/>
      <c r="AL406" s="996"/>
    </row>
    <row r="407" spans="2:38">
      <c r="B407" s="545"/>
      <c r="C407" s="996"/>
      <c r="D407" s="996"/>
      <c r="E407" s="996"/>
      <c r="F407" s="996"/>
      <c r="G407" s="996"/>
      <c r="H407" s="996"/>
      <c r="I407" s="3"/>
      <c r="J407" s="996"/>
      <c r="K407" s="996"/>
      <c r="L407" s="996"/>
      <c r="M407" s="996"/>
      <c r="N407" s="996"/>
      <c r="O407" s="996"/>
      <c r="P407" s="996"/>
      <c r="Q407" s="996"/>
      <c r="R407" s="996"/>
      <c r="S407" s="996"/>
      <c r="T407" s="996"/>
      <c r="U407" s="996"/>
      <c r="V407" s="996"/>
      <c r="W407" s="996"/>
      <c r="X407" s="996"/>
      <c r="Y407" s="996"/>
      <c r="Z407" s="97"/>
      <c r="AA407" s="996"/>
      <c r="AB407" s="996"/>
      <c r="AC407" s="996"/>
      <c r="AD407" s="996"/>
      <c r="AE407" s="996"/>
      <c r="AF407" s="996"/>
      <c r="AG407" s="996"/>
      <c r="AH407" s="996"/>
      <c r="AI407" s="996"/>
      <c r="AJ407" s="996"/>
      <c r="AK407" s="996"/>
      <c r="AL407" s="996"/>
    </row>
    <row r="408" spans="2:38">
      <c r="B408" s="545"/>
      <c r="C408" s="996"/>
      <c r="D408" s="996"/>
      <c r="E408" s="996"/>
      <c r="F408" s="996"/>
      <c r="G408" s="996"/>
      <c r="H408" s="996"/>
      <c r="I408" s="3"/>
      <c r="J408" s="996"/>
      <c r="K408" s="996"/>
      <c r="L408" s="996"/>
      <c r="M408" s="996"/>
      <c r="N408" s="996"/>
      <c r="O408" s="996"/>
      <c r="P408" s="996"/>
      <c r="Q408" s="996"/>
      <c r="R408" s="996"/>
      <c r="S408" s="996"/>
      <c r="T408" s="996"/>
      <c r="U408" s="996"/>
      <c r="V408" s="996"/>
      <c r="W408" s="996"/>
      <c r="X408" s="996"/>
      <c r="Y408" s="996"/>
      <c r="Z408" s="97"/>
      <c r="AA408" s="996"/>
      <c r="AB408" s="996"/>
      <c r="AC408" s="996"/>
      <c r="AD408" s="996"/>
      <c r="AE408" s="996"/>
      <c r="AF408" s="996"/>
      <c r="AG408" s="996"/>
      <c r="AH408" s="996"/>
      <c r="AI408" s="997"/>
      <c r="AJ408" s="997"/>
      <c r="AK408" s="997"/>
      <c r="AL408" s="997"/>
    </row>
    <row r="409" spans="2:38">
      <c r="B409" s="545"/>
      <c r="C409" s="996"/>
      <c r="D409" s="996"/>
      <c r="E409" s="996"/>
      <c r="F409" s="996"/>
      <c r="G409" s="996"/>
      <c r="H409" s="996"/>
      <c r="I409" s="3"/>
      <c r="J409" s="996"/>
      <c r="K409" s="996"/>
      <c r="L409" s="996"/>
      <c r="M409" s="996"/>
      <c r="N409" s="996"/>
      <c r="O409" s="996"/>
      <c r="P409" s="996"/>
      <c r="Q409" s="996"/>
      <c r="R409" s="996"/>
      <c r="S409" s="996"/>
      <c r="T409" s="996"/>
      <c r="U409" s="996"/>
      <c r="V409" s="996"/>
      <c r="W409" s="996"/>
      <c r="X409" s="996"/>
      <c r="Y409" s="996"/>
      <c r="Z409" s="97"/>
      <c r="AA409" s="996"/>
      <c r="AB409" s="996"/>
      <c r="AC409" s="996"/>
      <c r="AD409" s="996"/>
      <c r="AE409" s="996"/>
      <c r="AF409" s="996"/>
      <c r="AG409" s="996"/>
      <c r="AH409" s="996"/>
      <c r="AI409" s="997"/>
      <c r="AJ409" s="997"/>
      <c r="AK409" s="997"/>
      <c r="AL409" s="997"/>
    </row>
    <row r="410" spans="2:38">
      <c r="B410" s="545"/>
      <c r="C410" s="996"/>
      <c r="D410" s="996"/>
      <c r="E410" s="996"/>
      <c r="F410" s="996"/>
      <c r="G410" s="996"/>
      <c r="H410" s="996"/>
      <c r="I410" s="3"/>
      <c r="J410" s="996"/>
      <c r="K410" s="996"/>
      <c r="L410" s="996"/>
      <c r="M410" s="996"/>
      <c r="N410" s="996"/>
      <c r="O410" s="996"/>
      <c r="P410" s="996"/>
      <c r="Q410" s="996"/>
      <c r="R410" s="996"/>
      <c r="S410" s="996"/>
      <c r="T410" s="996"/>
      <c r="U410" s="996"/>
      <c r="V410" s="996"/>
      <c r="W410" s="996"/>
      <c r="X410" s="996"/>
      <c r="Y410" s="996"/>
      <c r="Z410" s="97"/>
      <c r="AA410" s="996"/>
      <c r="AB410" s="996"/>
      <c r="AC410" s="996"/>
      <c r="AD410" s="996"/>
      <c r="AE410" s="996"/>
      <c r="AF410" s="996"/>
      <c r="AG410" s="996"/>
      <c r="AH410" s="996"/>
      <c r="AI410" s="997"/>
      <c r="AJ410" s="997"/>
      <c r="AK410" s="997"/>
      <c r="AL410" s="997"/>
    </row>
    <row r="411" spans="2:38">
      <c r="B411" s="545"/>
      <c r="C411" s="996"/>
      <c r="D411" s="996"/>
      <c r="E411" s="996"/>
      <c r="F411" s="996"/>
      <c r="G411" s="996"/>
      <c r="H411" s="996"/>
      <c r="I411" s="3"/>
      <c r="J411" s="996"/>
      <c r="K411" s="996"/>
      <c r="L411" s="996"/>
      <c r="M411" s="996"/>
      <c r="N411" s="996"/>
      <c r="O411" s="996"/>
      <c r="P411" s="996"/>
      <c r="Q411" s="996"/>
      <c r="R411" s="996"/>
      <c r="S411" s="996"/>
      <c r="T411" s="996"/>
      <c r="U411" s="996"/>
      <c r="V411" s="996"/>
      <c r="W411" s="996"/>
      <c r="X411" s="996"/>
      <c r="Y411" s="996"/>
      <c r="Z411" s="97"/>
      <c r="AA411" s="996"/>
      <c r="AB411" s="996"/>
      <c r="AC411" s="996"/>
      <c r="AD411" s="996"/>
      <c r="AE411" s="996"/>
      <c r="AF411" s="996"/>
      <c r="AG411" s="996"/>
      <c r="AH411" s="996"/>
      <c r="AI411" s="997"/>
      <c r="AJ411" s="997"/>
      <c r="AK411" s="997"/>
      <c r="AL411" s="997"/>
    </row>
    <row r="412" spans="2:38">
      <c r="B412" s="545"/>
      <c r="C412" s="996"/>
      <c r="D412" s="996"/>
      <c r="E412" s="996"/>
      <c r="F412" s="996"/>
      <c r="G412" s="996"/>
      <c r="H412" s="996"/>
      <c r="I412" s="3"/>
      <c r="J412" s="996"/>
      <c r="K412" s="996"/>
      <c r="L412" s="996"/>
      <c r="M412" s="996"/>
      <c r="N412" s="996"/>
      <c r="O412" s="996"/>
      <c r="P412" s="996"/>
      <c r="Q412" s="996"/>
      <c r="R412" s="996"/>
      <c r="S412" s="996"/>
      <c r="T412" s="996"/>
      <c r="U412" s="996"/>
      <c r="V412" s="996"/>
      <c r="W412" s="996"/>
      <c r="X412" s="996"/>
      <c r="Y412" s="996"/>
      <c r="Z412" s="39"/>
      <c r="AA412" s="996"/>
      <c r="AB412" s="996"/>
      <c r="AC412" s="996"/>
      <c r="AD412" s="996"/>
      <c r="AE412" s="996"/>
      <c r="AF412" s="996"/>
      <c r="AG412" s="996"/>
      <c r="AH412" s="996"/>
      <c r="AI412" s="997"/>
      <c r="AJ412" s="997"/>
      <c r="AK412" s="997"/>
      <c r="AL412" s="997"/>
    </row>
    <row r="413" spans="2:38">
      <c r="B413" s="545"/>
      <c r="C413" s="997"/>
      <c r="D413" s="997"/>
      <c r="E413" s="997"/>
      <c r="F413" s="997"/>
      <c r="G413" s="997"/>
      <c r="H413" s="997"/>
      <c r="J413" s="997"/>
      <c r="K413" s="997"/>
      <c r="L413" s="997"/>
      <c r="M413" s="997"/>
      <c r="N413" s="997"/>
      <c r="O413" s="997"/>
      <c r="P413" s="997"/>
      <c r="Q413" s="997"/>
      <c r="R413" s="997"/>
      <c r="S413" s="997"/>
      <c r="T413" s="997"/>
      <c r="U413" s="997"/>
      <c r="V413" s="997"/>
      <c r="W413" s="997"/>
      <c r="X413" s="997"/>
      <c r="Y413" s="997"/>
      <c r="Z413" s="39"/>
      <c r="AA413" s="996"/>
      <c r="AB413" s="996"/>
      <c r="AC413" s="996"/>
      <c r="AD413" s="996"/>
      <c r="AE413" s="996"/>
      <c r="AF413" s="996"/>
      <c r="AG413" s="996"/>
      <c r="AH413" s="996"/>
      <c r="AI413" s="997"/>
      <c r="AJ413" s="997"/>
      <c r="AK413" s="997"/>
      <c r="AL413" s="997"/>
    </row>
    <row r="414" spans="2:38">
      <c r="B414" s="545"/>
      <c r="C414" s="997"/>
      <c r="D414" s="997"/>
      <c r="E414" s="997"/>
      <c r="F414" s="997"/>
      <c r="G414" s="997"/>
      <c r="H414" s="997"/>
      <c r="J414" s="997"/>
      <c r="K414" s="997"/>
      <c r="L414" s="997"/>
      <c r="M414" s="997"/>
      <c r="N414" s="997"/>
      <c r="O414" s="997"/>
      <c r="P414" s="997"/>
      <c r="Q414" s="997"/>
      <c r="R414" s="997"/>
      <c r="S414" s="997"/>
      <c r="T414" s="997"/>
      <c r="U414" s="997"/>
      <c r="V414" s="997"/>
      <c r="W414" s="997"/>
      <c r="X414" s="997"/>
      <c r="Y414" s="997"/>
      <c r="Z414" s="39"/>
      <c r="AA414" s="996"/>
      <c r="AB414" s="996"/>
      <c r="AC414" s="996"/>
      <c r="AD414" s="996"/>
      <c r="AE414" s="996"/>
      <c r="AF414" s="996"/>
      <c r="AG414" s="996"/>
      <c r="AH414" s="996"/>
      <c r="AI414" s="997"/>
      <c r="AJ414" s="997"/>
      <c r="AK414" s="997"/>
      <c r="AL414" s="997"/>
    </row>
    <row r="415" spans="2:38">
      <c r="B415" s="545"/>
      <c r="C415" s="997"/>
      <c r="D415" s="997"/>
      <c r="E415" s="997"/>
      <c r="F415" s="997"/>
      <c r="G415" s="997"/>
      <c r="H415" s="997"/>
      <c r="J415" s="997"/>
      <c r="K415" s="997"/>
      <c r="L415" s="997"/>
      <c r="M415" s="997"/>
      <c r="N415" s="997"/>
      <c r="O415" s="997"/>
      <c r="P415" s="997"/>
      <c r="Q415" s="997"/>
      <c r="R415" s="997"/>
      <c r="S415" s="997"/>
      <c r="T415" s="997"/>
      <c r="U415" s="997"/>
      <c r="V415" s="997"/>
      <c r="W415" s="997"/>
      <c r="X415" s="997"/>
      <c r="Y415" s="997"/>
      <c r="Z415" s="39"/>
      <c r="AA415" s="996"/>
      <c r="AB415" s="996"/>
      <c r="AC415" s="996"/>
      <c r="AD415" s="996"/>
      <c r="AE415" s="996"/>
      <c r="AF415" s="996"/>
      <c r="AG415" s="996"/>
      <c r="AH415" s="996"/>
      <c r="AI415" s="997"/>
      <c r="AJ415" s="997"/>
      <c r="AK415" s="997"/>
      <c r="AL415" s="997"/>
    </row>
    <row r="416" spans="2:38">
      <c r="B416" s="545"/>
      <c r="C416" s="997"/>
      <c r="D416" s="997"/>
      <c r="E416" s="997"/>
      <c r="F416" s="997"/>
      <c r="G416" s="997"/>
      <c r="H416" s="997"/>
      <c r="J416" s="997"/>
      <c r="K416" s="997"/>
      <c r="L416" s="997"/>
      <c r="M416" s="997"/>
      <c r="N416" s="997"/>
      <c r="O416" s="997"/>
      <c r="P416" s="997"/>
      <c r="Q416" s="997"/>
      <c r="R416" s="997"/>
      <c r="S416" s="997"/>
      <c r="T416" s="997"/>
      <c r="U416" s="997"/>
      <c r="V416" s="997"/>
      <c r="W416" s="997"/>
      <c r="X416" s="997"/>
      <c r="Y416" s="997"/>
      <c r="Z416" s="39"/>
      <c r="AA416" s="996"/>
      <c r="AB416" s="996"/>
      <c r="AC416" s="996"/>
      <c r="AD416" s="996"/>
      <c r="AE416" s="996"/>
      <c r="AF416" s="996"/>
      <c r="AG416" s="996"/>
      <c r="AH416" s="996"/>
      <c r="AI416" s="997"/>
      <c r="AJ416" s="997"/>
      <c r="AK416" s="997"/>
      <c r="AL416" s="997"/>
    </row>
    <row r="417" spans="2:38">
      <c r="B417" s="545"/>
      <c r="C417" s="997"/>
      <c r="D417" s="997"/>
      <c r="E417" s="997"/>
      <c r="F417" s="997"/>
      <c r="G417" s="997"/>
      <c r="H417" s="997"/>
      <c r="J417" s="997"/>
      <c r="K417" s="997"/>
      <c r="L417" s="997"/>
      <c r="M417" s="997"/>
      <c r="N417" s="997"/>
      <c r="O417" s="997"/>
      <c r="P417" s="997"/>
      <c r="Q417" s="997"/>
      <c r="R417" s="997"/>
      <c r="S417" s="997"/>
      <c r="T417" s="997"/>
      <c r="U417" s="997"/>
      <c r="V417" s="997"/>
      <c r="W417" s="997"/>
      <c r="X417" s="997"/>
      <c r="Y417" s="997"/>
      <c r="Z417" s="39"/>
      <c r="AA417" s="996"/>
      <c r="AB417" s="996"/>
      <c r="AC417" s="996"/>
      <c r="AD417" s="996"/>
      <c r="AE417" s="996"/>
      <c r="AF417" s="996"/>
      <c r="AG417" s="996"/>
      <c r="AH417" s="996"/>
      <c r="AI417" s="997"/>
      <c r="AJ417" s="997"/>
      <c r="AK417" s="997"/>
      <c r="AL417" s="997"/>
    </row>
    <row r="418" spans="2:38">
      <c r="B418" s="545"/>
      <c r="C418" s="997"/>
      <c r="D418" s="997"/>
      <c r="E418" s="997"/>
      <c r="F418" s="997"/>
      <c r="G418" s="997"/>
      <c r="H418" s="997"/>
      <c r="J418" s="997"/>
      <c r="K418" s="997"/>
      <c r="L418" s="997"/>
      <c r="M418" s="997"/>
      <c r="N418" s="997"/>
      <c r="O418" s="997"/>
      <c r="P418" s="997"/>
      <c r="Q418" s="997"/>
      <c r="R418" s="997"/>
      <c r="S418" s="997"/>
      <c r="T418" s="997"/>
      <c r="U418" s="997"/>
      <c r="V418" s="997"/>
      <c r="W418" s="997"/>
      <c r="X418" s="997"/>
      <c r="Y418" s="997"/>
      <c r="Z418" s="39"/>
      <c r="AA418" s="996"/>
      <c r="AB418" s="996"/>
      <c r="AC418" s="996"/>
      <c r="AD418" s="996"/>
      <c r="AE418" s="996"/>
      <c r="AF418" s="996"/>
      <c r="AG418" s="996"/>
      <c r="AH418" s="996"/>
      <c r="AI418" s="997"/>
      <c r="AJ418" s="997"/>
      <c r="AK418" s="997"/>
      <c r="AL418" s="997"/>
    </row>
    <row r="419" spans="2:38">
      <c r="B419" s="545"/>
      <c r="C419" s="997"/>
      <c r="D419" s="997"/>
      <c r="E419" s="997"/>
      <c r="F419" s="997"/>
      <c r="G419" s="997"/>
      <c r="H419" s="997"/>
      <c r="J419" s="997"/>
      <c r="K419" s="997"/>
      <c r="L419" s="997"/>
      <c r="M419" s="997"/>
      <c r="N419" s="997"/>
      <c r="O419" s="997"/>
      <c r="P419" s="997"/>
      <c r="Q419" s="997"/>
      <c r="R419" s="997"/>
      <c r="S419" s="997"/>
      <c r="T419" s="997"/>
      <c r="U419" s="997"/>
      <c r="V419" s="997"/>
      <c r="W419" s="997"/>
      <c r="X419" s="997"/>
      <c r="Y419" s="997"/>
      <c r="Z419" s="39"/>
      <c r="AA419" s="996"/>
      <c r="AB419" s="996"/>
      <c r="AC419" s="996"/>
      <c r="AD419" s="996"/>
      <c r="AE419" s="996"/>
      <c r="AF419" s="996"/>
      <c r="AG419" s="996"/>
      <c r="AH419" s="996"/>
      <c r="AI419" s="997"/>
      <c r="AJ419" s="997"/>
      <c r="AK419" s="997"/>
      <c r="AL419" s="997"/>
    </row>
    <row r="420" spans="2:38">
      <c r="B420" s="545"/>
      <c r="C420" s="997"/>
      <c r="D420" s="997"/>
      <c r="E420" s="997"/>
      <c r="F420" s="997"/>
      <c r="G420" s="997"/>
      <c r="H420" s="997"/>
      <c r="J420" s="997"/>
      <c r="K420" s="997"/>
      <c r="L420" s="997"/>
      <c r="M420" s="997"/>
      <c r="N420" s="997"/>
      <c r="O420" s="997"/>
      <c r="P420" s="997"/>
      <c r="Q420" s="997"/>
      <c r="R420" s="997"/>
      <c r="S420" s="997"/>
      <c r="T420" s="997"/>
      <c r="U420" s="997"/>
      <c r="V420" s="997"/>
      <c r="W420" s="997"/>
      <c r="X420" s="997"/>
      <c r="Y420" s="997"/>
      <c r="Z420" s="39"/>
      <c r="AA420" s="996"/>
      <c r="AB420" s="996"/>
      <c r="AC420" s="996"/>
      <c r="AD420" s="996"/>
      <c r="AE420" s="996"/>
      <c r="AF420" s="996"/>
      <c r="AG420" s="996"/>
      <c r="AH420" s="996"/>
      <c r="AI420" s="997"/>
      <c r="AJ420" s="997"/>
      <c r="AK420" s="997"/>
      <c r="AL420" s="997"/>
    </row>
    <row r="421" spans="2:38">
      <c r="B421" s="545"/>
      <c r="C421" s="997"/>
      <c r="D421" s="997"/>
      <c r="E421" s="997"/>
      <c r="F421" s="997"/>
      <c r="G421" s="997"/>
      <c r="H421" s="997"/>
      <c r="J421" s="997"/>
      <c r="K421" s="997"/>
      <c r="L421" s="997"/>
      <c r="M421" s="997"/>
      <c r="N421" s="997"/>
      <c r="O421" s="997"/>
      <c r="P421" s="997"/>
      <c r="Q421" s="997"/>
      <c r="R421" s="997"/>
      <c r="S421" s="997"/>
      <c r="T421" s="997"/>
      <c r="U421" s="997"/>
      <c r="V421" s="997"/>
      <c r="W421" s="997"/>
      <c r="X421" s="997"/>
      <c r="Y421" s="997"/>
      <c r="Z421" s="39"/>
      <c r="AA421" s="996"/>
      <c r="AB421" s="996"/>
      <c r="AC421" s="996"/>
      <c r="AD421" s="996"/>
      <c r="AE421" s="996"/>
      <c r="AF421" s="996"/>
      <c r="AG421" s="996"/>
      <c r="AH421" s="996"/>
      <c r="AI421" s="997"/>
      <c r="AJ421" s="997"/>
      <c r="AK421" s="997"/>
      <c r="AL421" s="997"/>
    </row>
    <row r="422" spans="2:38">
      <c r="B422" s="545"/>
      <c r="C422" s="997"/>
      <c r="D422" s="997"/>
      <c r="E422" s="997"/>
      <c r="F422" s="997"/>
      <c r="G422" s="997"/>
      <c r="H422" s="997"/>
      <c r="J422" s="997"/>
      <c r="K422" s="997"/>
      <c r="L422" s="997"/>
      <c r="M422" s="997"/>
      <c r="N422" s="997"/>
      <c r="O422" s="997"/>
      <c r="P422" s="997"/>
      <c r="Q422" s="997"/>
      <c r="R422" s="997"/>
      <c r="S422" s="997"/>
      <c r="T422" s="997"/>
      <c r="U422" s="997"/>
      <c r="V422" s="997"/>
      <c r="W422" s="997"/>
      <c r="X422" s="997"/>
      <c r="Y422" s="997"/>
      <c r="Z422" s="39"/>
      <c r="AA422" s="996"/>
      <c r="AB422" s="996"/>
      <c r="AC422" s="996"/>
      <c r="AD422" s="996"/>
      <c r="AE422" s="996"/>
      <c r="AF422" s="996"/>
      <c r="AG422" s="996"/>
      <c r="AH422" s="996"/>
      <c r="AI422" s="997"/>
      <c r="AJ422" s="997"/>
      <c r="AK422" s="997"/>
      <c r="AL422" s="997"/>
    </row>
    <row r="423" spans="2:38">
      <c r="B423" s="545"/>
      <c r="C423" s="997"/>
      <c r="D423" s="997"/>
      <c r="E423" s="997"/>
      <c r="F423" s="997"/>
      <c r="G423" s="997"/>
      <c r="H423" s="997"/>
      <c r="J423" s="997"/>
      <c r="K423" s="997"/>
      <c r="L423" s="997"/>
      <c r="M423" s="997"/>
      <c r="N423" s="997"/>
      <c r="O423" s="997"/>
      <c r="P423" s="997"/>
      <c r="Q423" s="997"/>
      <c r="R423" s="997"/>
      <c r="S423" s="997"/>
      <c r="T423" s="997"/>
      <c r="U423" s="997"/>
      <c r="V423" s="997"/>
      <c r="W423" s="997"/>
      <c r="X423" s="997"/>
      <c r="Y423" s="997"/>
      <c r="Z423" s="39"/>
      <c r="AA423" s="996"/>
      <c r="AB423" s="996"/>
      <c r="AC423" s="996"/>
      <c r="AD423" s="996"/>
      <c r="AE423" s="996"/>
      <c r="AF423" s="996"/>
      <c r="AG423" s="996"/>
      <c r="AH423" s="996"/>
      <c r="AI423" s="997"/>
      <c r="AJ423" s="997"/>
      <c r="AK423" s="997"/>
      <c r="AL423" s="997"/>
    </row>
    <row r="424" spans="2:38">
      <c r="B424" s="545"/>
      <c r="C424" s="997"/>
      <c r="D424" s="997"/>
      <c r="E424" s="997"/>
      <c r="F424" s="997"/>
      <c r="G424" s="997"/>
      <c r="H424" s="997"/>
      <c r="J424" s="997"/>
      <c r="K424" s="997"/>
      <c r="L424" s="997"/>
      <c r="M424" s="997"/>
      <c r="N424" s="997"/>
      <c r="O424" s="997"/>
      <c r="P424" s="997"/>
      <c r="Q424" s="997"/>
      <c r="R424" s="997"/>
      <c r="S424" s="997"/>
      <c r="T424" s="997"/>
      <c r="U424" s="997"/>
      <c r="V424" s="997"/>
      <c r="W424" s="997"/>
      <c r="X424" s="997"/>
      <c r="Y424" s="997"/>
      <c r="Z424" s="39"/>
      <c r="AA424" s="996"/>
      <c r="AB424" s="996"/>
      <c r="AC424" s="996"/>
      <c r="AD424" s="996"/>
      <c r="AE424" s="996"/>
      <c r="AF424" s="996"/>
      <c r="AG424" s="996"/>
      <c r="AH424" s="996"/>
      <c r="AI424" s="997"/>
      <c r="AJ424" s="997"/>
      <c r="AK424" s="997"/>
      <c r="AL424" s="997"/>
    </row>
    <row r="425" spans="2:38">
      <c r="B425" s="545"/>
      <c r="C425" s="997"/>
      <c r="D425" s="997"/>
      <c r="E425" s="997"/>
      <c r="F425" s="997"/>
      <c r="G425" s="997"/>
      <c r="H425" s="997"/>
      <c r="J425" s="997"/>
      <c r="K425" s="997"/>
      <c r="L425" s="997"/>
      <c r="M425" s="997"/>
      <c r="N425" s="997"/>
      <c r="O425" s="997"/>
      <c r="P425" s="997"/>
      <c r="Q425" s="997"/>
      <c r="R425" s="997"/>
      <c r="S425" s="997"/>
      <c r="T425" s="997"/>
      <c r="U425" s="997"/>
      <c r="V425" s="997"/>
      <c r="W425" s="997"/>
      <c r="X425" s="997"/>
      <c r="Y425" s="997"/>
      <c r="Z425" s="39"/>
      <c r="AA425" s="996"/>
      <c r="AB425" s="996"/>
      <c r="AC425" s="996"/>
      <c r="AD425" s="996"/>
      <c r="AE425" s="996"/>
      <c r="AF425" s="996"/>
      <c r="AG425" s="996"/>
      <c r="AH425" s="996"/>
      <c r="AI425" s="997"/>
      <c r="AJ425" s="997"/>
      <c r="AK425" s="997"/>
      <c r="AL425" s="997"/>
    </row>
    <row r="426" spans="2:38">
      <c r="B426" s="545"/>
      <c r="C426" s="997"/>
      <c r="D426" s="997"/>
      <c r="E426" s="997"/>
      <c r="F426" s="997"/>
      <c r="G426" s="997"/>
      <c r="H426" s="997"/>
      <c r="J426" s="997"/>
      <c r="K426" s="997"/>
      <c r="L426" s="997"/>
      <c r="M426" s="997"/>
      <c r="N426" s="997"/>
      <c r="O426" s="997"/>
      <c r="P426" s="997"/>
      <c r="Q426" s="997"/>
      <c r="R426" s="997"/>
      <c r="S426" s="997"/>
      <c r="T426" s="997"/>
      <c r="U426" s="997"/>
      <c r="V426" s="997"/>
      <c r="W426" s="997"/>
      <c r="X426" s="997"/>
      <c r="Y426" s="997"/>
      <c r="Z426" s="39"/>
      <c r="AA426" s="996"/>
      <c r="AB426" s="996"/>
      <c r="AC426" s="996"/>
      <c r="AD426" s="996"/>
      <c r="AE426" s="996"/>
      <c r="AF426" s="996"/>
      <c r="AG426" s="996"/>
      <c r="AH426" s="996"/>
      <c r="AI426" s="997"/>
      <c r="AJ426" s="997"/>
      <c r="AK426" s="997"/>
      <c r="AL426" s="997"/>
    </row>
    <row r="427" spans="2:38">
      <c r="B427" s="545"/>
      <c r="C427" s="997"/>
      <c r="D427" s="997"/>
      <c r="E427" s="997"/>
      <c r="F427" s="997"/>
      <c r="G427" s="997"/>
      <c r="H427" s="997"/>
      <c r="J427" s="997"/>
      <c r="K427" s="997"/>
      <c r="L427" s="997"/>
      <c r="M427" s="997"/>
      <c r="N427" s="997"/>
      <c r="O427" s="997"/>
      <c r="P427" s="997"/>
      <c r="Q427" s="997"/>
      <c r="R427" s="997"/>
      <c r="S427" s="997"/>
      <c r="T427" s="997"/>
      <c r="U427" s="997"/>
      <c r="V427" s="997"/>
      <c r="W427" s="997"/>
      <c r="X427" s="997"/>
      <c r="Y427" s="997"/>
      <c r="Z427" s="39"/>
      <c r="AA427" s="996"/>
      <c r="AB427" s="996"/>
      <c r="AC427" s="996"/>
      <c r="AD427" s="996"/>
      <c r="AE427" s="996"/>
      <c r="AF427" s="996"/>
      <c r="AG427" s="996"/>
      <c r="AH427" s="996"/>
      <c r="AI427" s="997"/>
      <c r="AJ427" s="997"/>
      <c r="AK427" s="997"/>
      <c r="AL427" s="997"/>
    </row>
    <row r="428" spans="2:38">
      <c r="B428" s="545"/>
      <c r="C428" s="997"/>
      <c r="D428" s="997"/>
      <c r="E428" s="997"/>
      <c r="F428" s="997"/>
      <c r="G428" s="997"/>
      <c r="H428" s="997"/>
      <c r="J428" s="997"/>
      <c r="K428" s="997"/>
      <c r="L428" s="997"/>
      <c r="M428" s="997"/>
      <c r="N428" s="997"/>
      <c r="O428" s="997"/>
      <c r="P428" s="997"/>
      <c r="Q428" s="997"/>
      <c r="R428" s="997"/>
      <c r="S428" s="997"/>
      <c r="T428" s="997"/>
      <c r="U428" s="997"/>
      <c r="V428" s="997"/>
      <c r="W428" s="997"/>
      <c r="X428" s="997"/>
      <c r="Y428" s="997"/>
      <c r="Z428" s="39"/>
      <c r="AA428" s="996"/>
      <c r="AB428" s="996"/>
      <c r="AC428" s="996"/>
      <c r="AD428" s="996"/>
      <c r="AE428" s="996"/>
      <c r="AF428" s="996"/>
      <c r="AG428" s="996"/>
      <c r="AH428" s="996"/>
      <c r="AI428" s="997"/>
      <c r="AJ428" s="997"/>
      <c r="AK428" s="997"/>
      <c r="AL428" s="997"/>
    </row>
    <row r="429" spans="2:38">
      <c r="B429" s="545"/>
      <c r="C429" s="997"/>
      <c r="D429" s="997"/>
      <c r="E429" s="997"/>
      <c r="F429" s="997"/>
      <c r="G429" s="997"/>
      <c r="H429" s="997"/>
      <c r="J429" s="997"/>
      <c r="K429" s="997"/>
      <c r="L429" s="997"/>
      <c r="M429" s="997"/>
      <c r="N429" s="997"/>
      <c r="O429" s="997"/>
      <c r="P429" s="997"/>
      <c r="Q429" s="997"/>
      <c r="R429" s="997"/>
      <c r="S429" s="997"/>
      <c r="T429" s="997"/>
      <c r="U429" s="997"/>
      <c r="V429" s="997"/>
      <c r="W429" s="997"/>
      <c r="X429" s="997"/>
      <c r="Y429" s="997"/>
      <c r="Z429" s="39"/>
      <c r="AA429" s="996"/>
      <c r="AB429" s="996"/>
      <c r="AC429" s="996"/>
      <c r="AD429" s="996"/>
      <c r="AE429" s="996"/>
      <c r="AF429" s="996"/>
      <c r="AG429" s="996"/>
      <c r="AH429" s="996"/>
      <c r="AI429" s="997"/>
      <c r="AJ429" s="997"/>
      <c r="AK429" s="997"/>
      <c r="AL429" s="997"/>
    </row>
    <row r="430" spans="2:38">
      <c r="B430" s="545"/>
      <c r="C430" s="997"/>
      <c r="D430" s="997"/>
      <c r="E430" s="997"/>
      <c r="F430" s="997"/>
      <c r="G430" s="997"/>
      <c r="H430" s="997"/>
      <c r="J430" s="997"/>
      <c r="K430" s="997"/>
      <c r="L430" s="997"/>
      <c r="M430" s="997"/>
      <c r="N430" s="997"/>
      <c r="O430" s="997"/>
      <c r="P430" s="997"/>
      <c r="Q430" s="997"/>
      <c r="R430" s="997"/>
      <c r="S430" s="997"/>
      <c r="T430" s="997"/>
      <c r="U430" s="997"/>
      <c r="V430" s="997"/>
      <c r="W430" s="997"/>
      <c r="X430" s="997"/>
      <c r="Y430" s="997"/>
      <c r="Z430" s="39"/>
      <c r="AA430" s="996"/>
      <c r="AB430" s="996"/>
      <c r="AC430" s="996"/>
      <c r="AD430" s="996"/>
      <c r="AE430" s="996"/>
      <c r="AF430" s="996"/>
      <c r="AG430" s="996"/>
      <c r="AH430" s="996"/>
      <c r="AI430" s="997"/>
      <c r="AJ430" s="997"/>
      <c r="AK430" s="997"/>
      <c r="AL430" s="997"/>
    </row>
    <row r="431" spans="2:38">
      <c r="B431" s="545"/>
      <c r="C431" s="997"/>
      <c r="D431" s="997"/>
      <c r="E431" s="997"/>
      <c r="F431" s="997"/>
      <c r="G431" s="997"/>
      <c r="H431" s="997"/>
      <c r="J431" s="997"/>
      <c r="K431" s="997"/>
      <c r="L431" s="997"/>
      <c r="M431" s="997"/>
      <c r="N431" s="997"/>
      <c r="O431" s="997"/>
      <c r="P431" s="997"/>
      <c r="Q431" s="997"/>
      <c r="R431" s="997"/>
      <c r="S431" s="997"/>
      <c r="T431" s="997"/>
      <c r="U431" s="997"/>
      <c r="V431" s="997"/>
      <c r="W431" s="997"/>
      <c r="X431" s="997"/>
      <c r="Y431" s="997"/>
      <c r="Z431" s="39"/>
      <c r="AA431" s="996"/>
      <c r="AB431" s="996"/>
      <c r="AC431" s="996"/>
      <c r="AD431" s="996"/>
      <c r="AE431" s="996"/>
      <c r="AF431" s="996"/>
      <c r="AG431" s="996"/>
      <c r="AH431" s="996"/>
      <c r="AI431" s="997"/>
      <c r="AJ431" s="997"/>
      <c r="AK431" s="997"/>
      <c r="AL431" s="997"/>
    </row>
    <row r="432" spans="2:38">
      <c r="B432" s="545"/>
      <c r="C432" s="997"/>
      <c r="D432" s="997"/>
      <c r="E432" s="997"/>
      <c r="F432" s="997"/>
      <c r="G432" s="997"/>
      <c r="H432" s="997"/>
      <c r="J432" s="997"/>
      <c r="K432" s="997"/>
      <c r="L432" s="997"/>
      <c r="M432" s="997"/>
      <c r="N432" s="997"/>
      <c r="O432" s="997"/>
      <c r="P432" s="997"/>
      <c r="Q432" s="997"/>
      <c r="R432" s="997"/>
      <c r="S432" s="997"/>
      <c r="T432" s="997"/>
      <c r="U432" s="997"/>
      <c r="V432" s="997"/>
      <c r="W432" s="997"/>
      <c r="X432" s="997"/>
      <c r="Y432" s="997"/>
      <c r="Z432" s="39"/>
      <c r="AA432" s="996"/>
      <c r="AB432" s="996"/>
      <c r="AC432" s="996"/>
      <c r="AD432" s="996"/>
      <c r="AE432" s="996"/>
      <c r="AF432" s="996"/>
      <c r="AG432" s="996"/>
      <c r="AH432" s="996"/>
      <c r="AI432" s="997"/>
      <c r="AJ432" s="997"/>
      <c r="AK432" s="997"/>
      <c r="AL432" s="997"/>
    </row>
    <row r="433" spans="2:2">
      <c r="B433" s="545"/>
    </row>
    <row r="434" spans="2:2">
      <c r="B434" s="545"/>
    </row>
    <row r="435" spans="2:2">
      <c r="B435" s="545"/>
    </row>
    <row r="436" spans="2:2">
      <c r="B436" s="545"/>
    </row>
    <row r="437" spans="2:2">
      <c r="B437" s="545"/>
    </row>
    <row r="438" spans="2:2">
      <c r="B438" s="545"/>
    </row>
    <row r="439" spans="2:2">
      <c r="B439" s="545"/>
    </row>
    <row r="440" spans="2:2">
      <c r="B440" s="545"/>
    </row>
    <row r="441" spans="2:2">
      <c r="B441" s="545"/>
    </row>
    <row r="442" spans="2:2">
      <c r="B442" s="545"/>
    </row>
    <row r="443" spans="2:2">
      <c r="B443" s="545"/>
    </row>
    <row r="444" spans="2:2">
      <c r="B444" s="545"/>
    </row>
    <row r="445" spans="2:2">
      <c r="B445" s="545"/>
    </row>
    <row r="446" spans="2:2">
      <c r="B446" s="545"/>
    </row>
    <row r="447" spans="2:2">
      <c r="B447" s="545"/>
    </row>
    <row r="448" spans="2:2">
      <c r="B448" s="545"/>
    </row>
    <row r="449" spans="2:2">
      <c r="B449" s="545"/>
    </row>
    <row r="450" spans="2:2">
      <c r="B450" s="545"/>
    </row>
    <row r="451" spans="2:2">
      <c r="B451" s="545"/>
    </row>
    <row r="452" spans="2:2">
      <c r="B452" s="545"/>
    </row>
    <row r="453" spans="2:2">
      <c r="B453" s="545"/>
    </row>
    <row r="454" spans="2:2">
      <c r="B454" s="545"/>
    </row>
  </sheetData>
  <sheetProtection algorithmName="SHA-512" hashValue="/7n2rIf8q+P9DN4FDPaZEutc4mLwyRfihGZ8nEMHsq7rbqNcz56swcCb4yGpuKjDhFdZSDBi9KxAx6vFoK4S0A==" saltValue="0GWWWZPOZ1FnEq3/RvhsZQ==" spinCount="100000" sheet="1" objects="1" scenarios="1" selectLockedCells="1"/>
  <mergeCells count="7">
    <mergeCell ref="BJ119:BL119"/>
    <mergeCell ref="C38:G43"/>
    <mergeCell ref="C200:H203"/>
    <mergeCell ref="C187:H194"/>
    <mergeCell ref="C46:G51"/>
    <mergeCell ref="C171:F171"/>
    <mergeCell ref="C119:AL119"/>
  </mergeCells>
  <conditionalFormatting sqref="C121:C122">
    <cfRule type="expression" dxfId="268" priority="45">
      <formula>IF($AY$130&gt;=11,TRUE,FALSE)</formula>
    </cfRule>
  </conditionalFormatting>
  <conditionalFormatting sqref="C126:C127">
    <cfRule type="expression" dxfId="267" priority="41">
      <formula>IF($AY$130&gt;=12,TRUE,FALSE)</formula>
    </cfRule>
  </conditionalFormatting>
  <conditionalFormatting sqref="C131:C132">
    <cfRule type="expression" dxfId="266" priority="33">
      <formula>IF($AY$133&gt;=13,TRUE,FALSE)</formula>
    </cfRule>
  </conditionalFormatting>
  <conditionalFormatting sqref="C136:C137">
    <cfRule type="expression" dxfId="265" priority="26">
      <formula>IF($AY$130&gt;=14,TRUE,FALSE)</formula>
    </cfRule>
  </conditionalFormatting>
  <conditionalFormatting sqref="C141:C142">
    <cfRule type="expression" dxfId="264" priority="20">
      <formula>IF($AY$130&gt;=15,TRUE,FALSE)</formula>
    </cfRule>
  </conditionalFormatting>
  <conditionalFormatting sqref="C46:G51">
    <cfRule type="expression" dxfId="263" priority="49">
      <formula>$D$17&gt;0</formula>
    </cfRule>
  </conditionalFormatting>
  <conditionalFormatting sqref="D126">
    <cfRule type="expression" dxfId="262" priority="40">
      <formula>IF($C$127=$BD$123,TRUE,FALSE)</formula>
    </cfRule>
    <cfRule type="expression" dxfId="261" priority="39">
      <formula>IF($C$127=$BD$121,TRUE,FALSE)</formula>
    </cfRule>
    <cfRule type="expression" dxfId="260" priority="37">
      <formula>IF($C$127=$BD$122,TRUE,FALSE)</formula>
    </cfRule>
    <cfRule type="expression" dxfId="259" priority="36">
      <formula>IF($C$127=$BD$123,TRUE,FALSE)</formula>
    </cfRule>
  </conditionalFormatting>
  <conditionalFormatting sqref="D131">
    <cfRule type="expression" dxfId="258" priority="32">
      <formula>IF($C$132=$BD$123,TRUE,FALSE)</formula>
    </cfRule>
    <cfRule type="expression" dxfId="257" priority="28">
      <formula>IF($C$132=$BD$123,TRUE,FALSE)</formula>
    </cfRule>
    <cfRule type="expression" dxfId="256" priority="29">
      <formula>IF($C$132=$BD$122,TRUE,FALSE)</formula>
    </cfRule>
    <cfRule type="expression" dxfId="255" priority="31">
      <formula>IF($C$132=$BD$121,TRUE,FALSE)</formula>
    </cfRule>
  </conditionalFormatting>
  <conditionalFormatting sqref="D136">
    <cfRule type="expression" dxfId="254" priority="25">
      <formula>IF($C$137=$BD$123,TRUE,FALSE)</formula>
    </cfRule>
    <cfRule type="expression" dxfId="253" priority="24">
      <formula>IF($C$137=$BD$121,TRUE,FALSE)</formula>
    </cfRule>
    <cfRule type="expression" dxfId="252" priority="22">
      <formula>IF($C$137=$BD$122,TRUE,FALSE)</formula>
    </cfRule>
    <cfRule type="expression" dxfId="251" priority="21">
      <formula>IF($C$137=$BD$123,TRUE,FALSE)</formula>
    </cfRule>
  </conditionalFormatting>
  <conditionalFormatting sqref="D141">
    <cfRule type="expression" dxfId="250" priority="15">
      <formula>IF($C$142=$BD$123,TRUE,FALSE)</formula>
    </cfRule>
    <cfRule type="expression" dxfId="249" priority="16">
      <formula>IF($C$142=$BD$122,TRUE,FALSE)</formula>
    </cfRule>
    <cfRule type="expression" dxfId="248" priority="19">
      <formula>IF($C$142=$BD$123,TRUE,FALSE)</formula>
    </cfRule>
    <cfRule type="expression" dxfId="247" priority="18">
      <formula>IF($C$142=$BD$121,TRUE,FALSE)</formula>
    </cfRule>
  </conditionalFormatting>
  <conditionalFormatting sqref="D126:AH126 AJ126:AL126">
    <cfRule type="expression" dxfId="246" priority="38">
      <formula>IF($C$127=$BD$124,TRUE,FALSE)</formula>
    </cfRule>
  </conditionalFormatting>
  <conditionalFormatting sqref="D121:AL121">
    <cfRule type="expression" dxfId="245" priority="42">
      <formula>IF($C$122=$BD$123,TRUE,FALSE)</formula>
    </cfRule>
    <cfRule type="expression" dxfId="244" priority="43">
      <formula>IF($C$122=$BD$122,TRUE,FALSE)</formula>
    </cfRule>
    <cfRule type="expression" dxfId="243" priority="44">
      <formula>IF($C$122=$BD$124,TRUE,FALSE)</formula>
    </cfRule>
    <cfRule type="expression" dxfId="242" priority="46">
      <formula>IF($C$122=$BD$121,TRUE,FALSE)</formula>
    </cfRule>
    <cfRule type="expression" dxfId="241" priority="47">
      <formula>IF($C$122=$BD$123,TRUE,FALSE)</formula>
    </cfRule>
  </conditionalFormatting>
  <conditionalFormatting sqref="D131:AL131">
    <cfRule type="expression" dxfId="240" priority="30">
      <formula>IF($C$132=$BD$124,TRUE,FALSE)</formula>
    </cfRule>
  </conditionalFormatting>
  <conditionalFormatting sqref="D136:AL136">
    <cfRule type="expression" dxfId="239" priority="23">
      <formula>IF($C$137=$BD$124,TRUE,FALSE)</formula>
    </cfRule>
  </conditionalFormatting>
  <conditionalFormatting sqref="D141:AL141">
    <cfRule type="expression" dxfId="238" priority="17">
      <formula>IF($C$142=$BD$124,TRUE,FALSE)</formula>
    </cfRule>
  </conditionalFormatting>
  <conditionalFormatting sqref="E121:AL121">
    <cfRule type="expression" dxfId="237" priority="48">
      <formula>IF(OR($C$122=$BD$121,$C$122=$BD$122,$C$122=$BD$123),TRUE,FALSE)</formula>
    </cfRule>
    <cfRule type="expression" dxfId="236" priority="1">
      <formula>IF(OR($C$122=$BD$122,$C$122=$BD$123),TRUE,FALSE)</formula>
    </cfRule>
  </conditionalFormatting>
  <conditionalFormatting sqref="Z121:AG121">
    <cfRule type="expression" dxfId="235" priority="2">
      <formula>IF($AN$122&lt;Z89,TRUE,FALSE)</formula>
    </cfRule>
  </conditionalFormatting>
  <conditionalFormatting sqref="AH121">
    <cfRule type="expression" dxfId="234" priority="10">
      <formula>IF(AN122&lt;AH89,TRUE,FALSE)</formula>
    </cfRule>
  </conditionalFormatting>
  <conditionalFormatting sqref="AI121">
    <cfRule type="expression" dxfId="233" priority="11">
      <formula>IF(AN122&lt;AI89,TRUE,FALSE)</formula>
    </cfRule>
  </conditionalFormatting>
  <conditionalFormatting sqref="AJ121">
    <cfRule type="expression" dxfId="232" priority="12">
      <formula>IF(AN122&lt;AJ89,TRUE,FALSE)</formula>
    </cfRule>
  </conditionalFormatting>
  <conditionalFormatting sqref="AK121">
    <cfRule type="expression" dxfId="231" priority="13">
      <formula>IF(AN122&lt;AK89,TRUE,FALSE)</formula>
    </cfRule>
  </conditionalFormatting>
  <conditionalFormatting sqref="AL121">
    <cfRule type="expression" dxfId="230" priority="14">
      <formula>IF(AN122&lt;AL89,TRUE,FALSE)</formula>
    </cfRule>
  </conditionalFormatting>
  <dataValidations count="4">
    <dataValidation type="custom" allowBlank="1" showInputMessage="1" showErrorMessage="1" sqref="F1" xr:uid="{BC973409-83A4-4991-8206-F5159A5262FD}">
      <formula1>"&lt;0&gt;0"</formula1>
    </dataValidation>
    <dataValidation type="list" allowBlank="1" showInputMessage="1" showErrorMessage="1" sqref="G16 D12" xr:uid="{E721AEA3-6ED4-4273-A63B-9391DFCD95D8}">
      <formula1>YesNo</formula1>
    </dataValidation>
    <dataValidation type="list" allowBlank="1" showInputMessage="1" showErrorMessage="1" sqref="C122 C142 C137 C132 C127" xr:uid="{574DF24B-8C0B-43CB-B831-A3E70A1FCA1C}">
      <formula1>$BD$120:$BD$125</formula1>
    </dataValidation>
    <dataValidation type="list" allowBlank="1" showInputMessage="1" showErrorMessage="1" sqref="C121 C141 C136 C131 C126" xr:uid="{AFC17FF4-60F8-4FDA-A9A6-A817B569193E}">
      <formula1>_xlfn.ANCHORARRAY($BC$121)</formula1>
    </dataValidation>
  </dataValidations>
  <pageMargins left="0.25" right="0.25" top="0.75" bottom="0.75" header="0.3" footer="0.3"/>
  <pageSetup scale="48" fitToWidth="3" fitToHeight="0" orientation="landscape" r:id="rId1"/>
  <headerFooter>
    <oddHeader>&amp;L&amp;G</oddHeader>
    <oddFooter>&amp;CWHEDA MULTIFAMILY APPLICATION&amp;R&amp;P of &amp;N</oddFooter>
  </headerFooter>
  <legacyDrawingHF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E404C-2671-472B-AF12-1A594682D004}">
  <sheetPr codeName="Sheet18">
    <outlinePr showOutlineSymbols="0"/>
    <pageSetUpPr fitToPage="1"/>
  </sheetPr>
  <dimension ref="A1:BB81"/>
  <sheetViews>
    <sheetView workbookViewId="0">
      <selection activeCell="M22" sqref="M22:N22"/>
    </sheetView>
  </sheetViews>
  <sheetFormatPr defaultColWidth="8.85546875" defaultRowHeight="15"/>
  <cols>
    <col min="1" max="1" width="4.5703125" style="3" customWidth="1"/>
    <col min="2" max="2" width="6.28515625" style="3" customWidth="1"/>
    <col min="3" max="10" width="9.28515625" style="3" customWidth="1"/>
    <col min="11" max="14" width="9.28515625" style="97" customWidth="1"/>
    <col min="15" max="16" width="10" style="97" customWidth="1"/>
    <col min="17" max="17" width="10" style="9" customWidth="1"/>
    <col min="18" max="18" width="20.42578125" style="9" customWidth="1"/>
    <col min="19" max="19" width="13.85546875" style="9" customWidth="1"/>
    <col min="20" max="30" width="10" style="9" customWidth="1"/>
    <col min="31" max="32" width="8.85546875" style="9"/>
    <col min="33" max="33" width="8.85546875" style="3"/>
    <col min="34" max="37" width="8.85546875" style="97"/>
    <col min="38" max="16384" width="8.85546875" style="3"/>
  </cols>
  <sheetData>
    <row r="1" spans="1:38" ht="28.5">
      <c r="B1" s="2420" t="str">
        <f>'1. TOC'!B1</f>
        <v>WHEDA 2025 Multifamily Application</v>
      </c>
      <c r="C1" s="2420"/>
      <c r="D1" s="2420"/>
      <c r="E1" s="2420"/>
      <c r="F1" s="2420"/>
      <c r="G1" s="2420"/>
      <c r="H1" s="2420"/>
      <c r="I1" s="2420"/>
      <c r="K1" s="450" t="str">
        <f>'1. TOC'!L1</f>
        <v>v25.1.12</v>
      </c>
      <c r="L1" s="450"/>
      <c r="M1" s="2421" t="str">
        <f>HYPERLINK("#Table_of_Contents", Table_of_Contents)</f>
        <v>Table of Contents</v>
      </c>
      <c r="N1" s="2421"/>
      <c r="O1" s="2421"/>
    </row>
    <row r="2" spans="1:38" ht="18.75">
      <c r="B2" s="811" t="str">
        <f>_xlfn.CONCAT(IF(ISBLANK(WHEDA_Project_Number),"",_xlfn.CONCAT(WHEDA_Project_Number," - ")), Project_Name, IF(ISBLANK(Credit_percentage_applied_for),"",_xlfn.CONCAT(" - ", Credit_percentage_applied_for," HTC")))</f>
        <v/>
      </c>
      <c r="C2" s="62"/>
      <c r="D2" s="62"/>
      <c r="E2" s="62"/>
      <c r="F2" s="62"/>
      <c r="G2" s="62"/>
      <c r="H2" s="62"/>
      <c r="I2" s="62"/>
      <c r="J2" s="62"/>
      <c r="K2" s="638"/>
      <c r="L2" s="638"/>
      <c r="M2" s="638"/>
      <c r="N2" s="638"/>
      <c r="O2" s="638"/>
    </row>
    <row r="3" spans="1:38" ht="18.75">
      <c r="B3" s="85"/>
    </row>
    <row r="4" spans="1:38" s="629" customFormat="1" ht="28.5">
      <c r="A4" s="85"/>
      <c r="B4" s="4" t="s">
        <v>4803</v>
      </c>
      <c r="C4" s="834"/>
      <c r="D4" s="834"/>
      <c r="E4" s="834"/>
      <c r="F4" s="834"/>
      <c r="G4" s="834"/>
      <c r="H4" s="834"/>
      <c r="I4" s="834"/>
      <c r="J4" s="834"/>
      <c r="K4" s="628"/>
      <c r="L4" s="628"/>
      <c r="M4" s="628"/>
      <c r="N4" s="628"/>
      <c r="O4" s="628"/>
      <c r="P4" s="628"/>
      <c r="Q4" s="1413"/>
      <c r="R4" s="1413"/>
      <c r="S4" s="1414"/>
      <c r="T4" s="1414"/>
      <c r="U4" s="1414"/>
      <c r="V4" s="1414"/>
      <c r="W4" s="1414"/>
      <c r="X4" s="1414"/>
      <c r="Y4" s="1414"/>
      <c r="Z4" s="1414"/>
      <c r="AA4" s="1414"/>
      <c r="AB4" s="1414"/>
      <c r="AC4" s="1414"/>
      <c r="AD4" s="1414"/>
      <c r="AE4" s="1414"/>
      <c r="AF4" s="1414"/>
      <c r="AH4" s="975"/>
      <c r="AI4" s="975"/>
      <c r="AJ4" s="975"/>
      <c r="AK4" s="975"/>
    </row>
    <row r="5" spans="1:38" s="629" customFormat="1" ht="18.75">
      <c r="A5" s="85"/>
      <c r="B5" s="8" t="s">
        <v>4804</v>
      </c>
      <c r="C5" s="834"/>
      <c r="D5" s="834"/>
      <c r="E5" s="834"/>
      <c r="F5" s="834"/>
      <c r="G5" s="834"/>
      <c r="H5" s="834"/>
      <c r="I5" s="834"/>
      <c r="J5" s="834"/>
      <c r="K5" s="628"/>
      <c r="L5" s="628"/>
      <c r="M5" s="628"/>
      <c r="N5" s="628"/>
      <c r="O5" s="628"/>
      <c r="P5" s="628"/>
      <c r="Q5" s="1413"/>
      <c r="R5" s="1413"/>
      <c r="S5" s="1414"/>
      <c r="T5" s="1414"/>
      <c r="U5" s="1414"/>
      <c r="V5" s="1414"/>
      <c r="W5" s="1414"/>
      <c r="X5" s="1414"/>
      <c r="Y5" s="1414"/>
      <c r="Z5" s="1414"/>
      <c r="AA5" s="1414"/>
      <c r="AB5" s="1414"/>
      <c r="AC5" s="1414"/>
      <c r="AD5" s="1414"/>
      <c r="AE5" s="1414"/>
      <c r="AF5" s="1414"/>
      <c r="AH5" s="975"/>
      <c r="AI5" s="975"/>
      <c r="AJ5" s="975"/>
      <c r="AK5" s="975"/>
    </row>
    <row r="6" spans="1:38" s="629" customFormat="1" ht="12.75">
      <c r="A6" s="938"/>
      <c r="B6" s="1172"/>
      <c r="C6" s="1172"/>
      <c r="D6" s="1172"/>
      <c r="E6" s="1173"/>
      <c r="F6" s="1174"/>
      <c r="G6" s="1174"/>
      <c r="H6" s="1174"/>
      <c r="I6" s="1174"/>
      <c r="J6" s="1174"/>
      <c r="K6" s="1175"/>
      <c r="L6" s="1175"/>
      <c r="M6" s="1175"/>
      <c r="N6" s="1175"/>
      <c r="O6" s="1175"/>
      <c r="P6" s="628"/>
      <c r="Q6" s="1413"/>
      <c r="R6" s="1413"/>
      <c r="S6" s="1414"/>
      <c r="T6" s="1414"/>
      <c r="U6" s="1414"/>
      <c r="V6" s="1414"/>
      <c r="W6" s="1414"/>
      <c r="X6" s="1414"/>
      <c r="Y6" s="1414"/>
      <c r="Z6" s="1414"/>
      <c r="AA6" s="1414"/>
      <c r="AB6" s="1414"/>
      <c r="AC6" s="1414"/>
      <c r="AD6" s="1414"/>
      <c r="AE6" s="1414"/>
      <c r="AF6" s="1414"/>
      <c r="AH6" s="975"/>
      <c r="AI6" s="975"/>
      <c r="AJ6" s="975"/>
      <c r="AK6" s="975"/>
    </row>
    <row r="7" spans="1:38" s="64" customFormat="1" ht="15.75">
      <c r="A7" s="939"/>
      <c r="B7" s="1176"/>
      <c r="C7" s="2434"/>
      <c r="D7" s="2435"/>
      <c r="E7" s="2435"/>
      <c r="F7" s="2435"/>
      <c r="G7" s="2435"/>
      <c r="H7" s="2435"/>
      <c r="I7" s="2435"/>
      <c r="J7" s="2435"/>
      <c r="K7" s="2435"/>
      <c r="L7" s="2435"/>
      <c r="M7" s="2435"/>
      <c r="N7" s="2436"/>
      <c r="O7" s="1177"/>
      <c r="P7" s="976"/>
      <c r="Q7" s="1326"/>
      <c r="R7" s="1326"/>
      <c r="S7" s="83"/>
      <c r="T7" s="83"/>
      <c r="U7" s="83"/>
      <c r="V7" s="83"/>
      <c r="W7" s="83"/>
      <c r="X7" s="83"/>
      <c r="Y7" s="83"/>
      <c r="Z7" s="83"/>
      <c r="AA7" s="83"/>
      <c r="AB7" s="83"/>
      <c r="AC7" s="83"/>
      <c r="AD7" s="83"/>
      <c r="AE7" s="83"/>
      <c r="AF7" s="83"/>
      <c r="AG7" s="1477"/>
      <c r="AH7" s="1477"/>
      <c r="AI7" s="284"/>
      <c r="AJ7" s="284"/>
      <c r="AK7" s="284"/>
      <c r="AL7" s="284"/>
    </row>
    <row r="8" spans="1:38">
      <c r="A8" s="940"/>
      <c r="B8" s="1116"/>
      <c r="C8" s="2376" t="s">
        <v>4805</v>
      </c>
      <c r="D8" s="2377"/>
      <c r="E8" s="2377"/>
      <c r="F8" s="2377"/>
      <c r="G8" s="2377"/>
      <c r="H8" s="2377"/>
      <c r="I8" s="2377"/>
      <c r="J8" s="2377"/>
      <c r="K8" s="2377"/>
      <c r="L8" s="2377"/>
      <c r="M8" s="2377"/>
      <c r="N8" s="2415"/>
      <c r="O8" s="1138"/>
    </row>
    <row r="9" spans="1:38">
      <c r="B9" s="1027"/>
      <c r="C9" s="2376" t="s">
        <v>4806</v>
      </c>
      <c r="D9" s="2377"/>
      <c r="E9" s="2377"/>
      <c r="F9" s="2377"/>
      <c r="G9" s="2377"/>
      <c r="H9" s="2377"/>
      <c r="I9" s="2377"/>
      <c r="J9" s="2377"/>
      <c r="K9" s="2377"/>
      <c r="L9" s="2377"/>
      <c r="M9" s="2377"/>
      <c r="N9" s="2415"/>
      <c r="O9" s="1138"/>
    </row>
    <row r="10" spans="1:38">
      <c r="B10" s="1027"/>
      <c r="C10" s="2376"/>
      <c r="D10" s="2377"/>
      <c r="E10" s="2377"/>
      <c r="F10" s="2377"/>
      <c r="G10" s="2377"/>
      <c r="H10" s="2377"/>
      <c r="I10" s="2377"/>
      <c r="J10" s="2377"/>
      <c r="K10" s="2377"/>
      <c r="L10" s="2377"/>
      <c r="M10" s="2377"/>
      <c r="N10" s="2415"/>
      <c r="O10" s="1138"/>
    </row>
    <row r="11" spans="1:38" ht="88.15" customHeight="1">
      <c r="B11" s="1027"/>
      <c r="C11" s="2376" t="s">
        <v>4807</v>
      </c>
      <c r="D11" s="2377"/>
      <c r="E11" s="2377"/>
      <c r="F11" s="2377"/>
      <c r="G11" s="2377"/>
      <c r="H11" s="2377"/>
      <c r="I11" s="2377"/>
      <c r="J11" s="2377"/>
      <c r="K11" s="2377"/>
      <c r="L11" s="2377"/>
      <c r="M11" s="2377"/>
      <c r="N11" s="2415"/>
      <c r="O11" s="1138"/>
    </row>
    <row r="12" spans="1:38">
      <c r="A12" s="940"/>
      <c r="B12" s="1116"/>
      <c r="C12" s="2376"/>
      <c r="D12" s="2377"/>
      <c r="E12" s="2377"/>
      <c r="F12" s="2377"/>
      <c r="G12" s="2377"/>
      <c r="H12" s="2377"/>
      <c r="I12" s="2377"/>
      <c r="J12" s="2377"/>
      <c r="K12" s="2377"/>
      <c r="L12" s="2377"/>
      <c r="M12" s="2377"/>
      <c r="N12" s="2415"/>
      <c r="O12" s="1138"/>
    </row>
    <row r="13" spans="1:38" ht="30.6" customHeight="1">
      <c r="A13" s="940"/>
      <c r="B13" s="1116"/>
      <c r="C13" s="2376" t="s">
        <v>4808</v>
      </c>
      <c r="D13" s="2377"/>
      <c r="E13" s="2377"/>
      <c r="F13" s="2377"/>
      <c r="G13" s="2377"/>
      <c r="H13" s="2377"/>
      <c r="I13" s="2377"/>
      <c r="J13" s="2377"/>
      <c r="K13" s="2377"/>
      <c r="L13" s="2377"/>
      <c r="M13" s="2377"/>
      <c r="N13" s="2415"/>
      <c r="O13" s="1138"/>
    </row>
    <row r="14" spans="1:38">
      <c r="A14" s="940"/>
      <c r="B14" s="1116"/>
      <c r="C14" s="2376"/>
      <c r="D14" s="2377"/>
      <c r="E14" s="2377"/>
      <c r="F14" s="2377"/>
      <c r="G14" s="2377"/>
      <c r="H14" s="2377"/>
      <c r="I14" s="2377"/>
      <c r="J14" s="2377"/>
      <c r="K14" s="2377"/>
      <c r="L14" s="2377"/>
      <c r="M14" s="2377"/>
      <c r="N14" s="2415"/>
      <c r="O14" s="1138"/>
    </row>
    <row r="15" spans="1:38" ht="28.9" customHeight="1">
      <c r="A15" s="940"/>
      <c r="B15" s="1116"/>
      <c r="C15" s="2376" t="str">
        <f>"The model automatically provides a thirty percent (30%) allowance above the predicted cost. The absolute cost maximum is "&amp;TEXT(U60,"$#,##0")&amp;"/unit for New Construction and Adaptive Reuse, or "&amp;TEXT(U61,"$#,##0")&amp;" for Acquisition/Rehab)."</f>
        <v>The model automatically provides a thirty percent (30%) allowance above the predicted cost. The absolute cost maximum is $494,961/unit for New Construction and Adaptive Reuse, or $413,186 for Acquisition/Rehab).</v>
      </c>
      <c r="D15" s="2377"/>
      <c r="E15" s="2377"/>
      <c r="F15" s="2377"/>
      <c r="G15" s="2377"/>
      <c r="H15" s="2377"/>
      <c r="I15" s="2377"/>
      <c r="J15" s="2377"/>
      <c r="K15" s="2377"/>
      <c r="L15" s="2377"/>
      <c r="M15" s="2377"/>
      <c r="N15" s="2415"/>
      <c r="O15" s="1138"/>
    </row>
    <row r="16" spans="1:38">
      <c r="A16" s="940"/>
      <c r="B16" s="1116"/>
      <c r="C16" s="2376"/>
      <c r="D16" s="2377"/>
      <c r="E16" s="2377"/>
      <c r="F16" s="2377"/>
      <c r="G16" s="2377"/>
      <c r="H16" s="2377"/>
      <c r="I16" s="2377"/>
      <c r="J16" s="2377"/>
      <c r="K16" s="2377"/>
      <c r="L16" s="2377"/>
      <c r="M16" s="2377"/>
      <c r="N16" s="2415"/>
      <c r="O16" s="1138"/>
    </row>
    <row r="17" spans="1:47" ht="44.25" hidden="1" customHeight="1">
      <c r="A17" s="940"/>
      <c r="B17" s="1116"/>
      <c r="C17" s="2376" t="str">
        <f>"Note: Supportive Housing and projects addressing the rehabilitation of foreclosed and/or abandoned SF homes/duplexes automatically receive an additional 10% allowance above the predicted cost.  The absolute cost maximum is " &amp; TEXT((U60*1.1),"$#,##0") &amp; "/unit for New Construction &amp; Adaptive Reuse and " &amp; TEXT((U61*1.1),"$#,##0") &amp; " for Acquisition/Rehab."</f>
        <v>Note: Supportive Housing and projects addressing the rehabilitation of foreclosed and/or abandoned SF homes/duplexes automatically receive an additional 10% allowance above the predicted cost.  The absolute cost maximum is $544,458/unit for New Construction &amp; Adaptive Reuse and $454,505 for Acquisition/Rehab.</v>
      </c>
      <c r="D17" s="2377"/>
      <c r="E17" s="2377"/>
      <c r="F17" s="2377"/>
      <c r="G17" s="2377"/>
      <c r="H17" s="2377"/>
      <c r="I17" s="2377"/>
      <c r="J17" s="2377"/>
      <c r="K17" s="2377"/>
      <c r="L17" s="2377"/>
      <c r="M17" s="2377"/>
      <c r="N17" s="2415"/>
      <c r="O17" s="1138"/>
    </row>
    <row r="18" spans="1:47">
      <c r="A18" s="940"/>
      <c r="B18" s="1116"/>
      <c r="C18" s="2416"/>
      <c r="D18" s="2417"/>
      <c r="E18" s="2417"/>
      <c r="F18" s="2417"/>
      <c r="G18" s="2417"/>
      <c r="H18" s="2417"/>
      <c r="I18" s="2417"/>
      <c r="J18" s="2417"/>
      <c r="K18" s="2417"/>
      <c r="L18" s="2417"/>
      <c r="M18" s="2417"/>
      <c r="N18" s="2418"/>
      <c r="O18" s="1138"/>
    </row>
    <row r="19" spans="1:47">
      <c r="A19" s="940"/>
      <c r="B19" s="1116"/>
      <c r="C19" s="1116"/>
      <c r="D19" s="1116"/>
      <c r="E19" s="1178"/>
      <c r="F19" s="1116"/>
      <c r="G19" s="1116"/>
      <c r="H19" s="1116"/>
      <c r="I19" s="1116"/>
      <c r="J19" s="1116"/>
      <c r="K19" s="1138"/>
      <c r="L19" s="1138"/>
      <c r="M19" s="1138"/>
      <c r="N19" s="1138"/>
      <c r="O19" s="1138"/>
    </row>
    <row r="20" spans="1:47" ht="18.75">
      <c r="A20" s="940"/>
      <c r="B20" s="8" t="s">
        <v>4809</v>
      </c>
      <c r="C20" s="834"/>
      <c r="D20" s="834"/>
      <c r="E20" s="834"/>
      <c r="F20" s="834"/>
      <c r="G20" s="834"/>
      <c r="H20" s="834"/>
      <c r="I20" s="834"/>
      <c r="J20" s="834"/>
      <c r="K20" s="628"/>
      <c r="L20" s="628"/>
      <c r="M20" s="628"/>
      <c r="N20" s="628"/>
      <c r="O20" s="628"/>
    </row>
    <row r="21" spans="1:47">
      <c r="A21" s="940"/>
      <c r="B21" s="1176"/>
      <c r="C21" s="1116"/>
      <c r="D21" s="1116"/>
      <c r="E21" s="1178"/>
      <c r="F21" s="1116"/>
      <c r="G21" s="1116"/>
      <c r="H21" s="1116"/>
      <c r="I21" s="1116"/>
      <c r="J21" s="1116"/>
      <c r="K21" s="1138"/>
      <c r="L21" s="1138"/>
      <c r="M21" s="1138"/>
      <c r="N21" s="1138"/>
      <c r="O21" s="1138"/>
    </row>
    <row r="22" spans="1:47">
      <c r="A22" s="940"/>
      <c r="B22" s="1116"/>
      <c r="C22" s="2413" t="s">
        <v>4810</v>
      </c>
      <c r="D22" s="2414"/>
      <c r="E22" s="2414"/>
      <c r="F22" s="2414"/>
      <c r="G22" s="2414"/>
      <c r="H22" s="2414"/>
      <c r="I22" s="2414"/>
      <c r="J22" s="2414"/>
      <c r="K22" s="2414"/>
      <c r="L22" s="2414"/>
      <c r="M22" s="2419">
        <v>0</v>
      </c>
      <c r="N22" s="2419"/>
      <c r="O22" s="1138"/>
    </row>
    <row r="23" spans="1:47" ht="28.9" customHeight="1">
      <c r="B23" s="1116"/>
      <c r="C23" s="2410" t="s">
        <v>4811</v>
      </c>
      <c r="D23" s="2411"/>
      <c r="E23" s="2411"/>
      <c r="F23" s="2411"/>
      <c r="G23" s="2411"/>
      <c r="H23" s="2411"/>
      <c r="I23" s="2411"/>
      <c r="J23" s="2411"/>
      <c r="K23" s="2411"/>
      <c r="L23" s="2411"/>
      <c r="M23" s="2412"/>
      <c r="N23" s="2412"/>
      <c r="O23" s="1138"/>
    </row>
    <row r="24" spans="1:47" ht="28.9" customHeight="1">
      <c r="B24" s="1116"/>
      <c r="C24" s="2408" t="s">
        <v>4812</v>
      </c>
      <c r="D24" s="2409"/>
      <c r="E24" s="2409"/>
      <c r="F24" s="2409"/>
      <c r="G24" s="2409"/>
      <c r="H24" s="2409"/>
      <c r="I24" s="2409"/>
      <c r="J24" s="2409"/>
      <c r="K24" s="2409"/>
      <c r="L24" s="2409"/>
      <c r="M24" s="2412"/>
      <c r="N24" s="2412"/>
      <c r="O24" s="1138"/>
    </row>
    <row r="25" spans="1:47" ht="18" hidden="1" customHeight="1">
      <c r="B25" s="1116"/>
      <c r="C25" s="2410" t="s">
        <v>4813</v>
      </c>
      <c r="D25" s="2411"/>
      <c r="E25" s="2411"/>
      <c r="F25" s="2411"/>
      <c r="G25" s="2411"/>
      <c r="H25" s="2411"/>
      <c r="I25" s="2411"/>
      <c r="J25" s="2411"/>
      <c r="K25" s="2411"/>
      <c r="L25" s="2411"/>
      <c r="M25" s="2412"/>
      <c r="N25" s="2412"/>
      <c r="O25" s="1138"/>
    </row>
    <row r="26" spans="1:47" ht="28.9" hidden="1" customHeight="1">
      <c r="B26" s="1116"/>
      <c r="C26" s="2408" t="s">
        <v>4814</v>
      </c>
      <c r="D26" s="2409"/>
      <c r="E26" s="2409"/>
      <c r="F26" s="2409"/>
      <c r="G26" s="2409"/>
      <c r="H26" s="2409"/>
      <c r="I26" s="2409"/>
      <c r="J26" s="2409"/>
      <c r="K26" s="2409"/>
      <c r="L26" s="2409"/>
      <c r="M26" s="2412"/>
      <c r="N26" s="2412"/>
      <c r="O26" s="1116"/>
      <c r="P26" s="3"/>
      <c r="AG26" s="97"/>
      <c r="AL26" s="9"/>
      <c r="AM26" s="9"/>
      <c r="AN26" s="9"/>
      <c r="AO26" s="97"/>
      <c r="AP26" s="97"/>
      <c r="AQ26" s="97"/>
      <c r="AR26" s="97"/>
      <c r="AS26" s="97"/>
      <c r="AT26" s="97"/>
      <c r="AU26" s="97"/>
    </row>
    <row r="27" spans="1:47">
      <c r="B27" s="1116"/>
      <c r="C27" s="2410" t="s">
        <v>4815</v>
      </c>
      <c r="D27" s="2411"/>
      <c r="E27" s="2411"/>
      <c r="F27" s="2411"/>
      <c r="G27" s="2411"/>
      <c r="H27" s="2411"/>
      <c r="I27" s="2411"/>
      <c r="J27" s="2411"/>
      <c r="K27" s="2411"/>
      <c r="L27" s="2411"/>
      <c r="M27" s="2412"/>
      <c r="N27" s="2412"/>
      <c r="O27" s="1138"/>
      <c r="AG27" s="97"/>
      <c r="AL27" s="97"/>
      <c r="AM27" s="97"/>
      <c r="AN27" s="97"/>
      <c r="AO27" s="97"/>
      <c r="AP27" s="97"/>
      <c r="AQ27" s="97"/>
      <c r="AR27" s="97"/>
      <c r="AS27" s="97"/>
      <c r="AT27" s="97"/>
      <c r="AU27" s="97"/>
    </row>
    <row r="28" spans="1:47">
      <c r="A28" s="940"/>
      <c r="B28" s="1116"/>
      <c r="C28" s="1116"/>
      <c r="D28" s="1116"/>
      <c r="E28" s="1179"/>
      <c r="F28" s="1179"/>
      <c r="G28" s="1179"/>
      <c r="H28" s="1179"/>
      <c r="I28" s="1179"/>
      <c r="J28" s="1138"/>
      <c r="K28" s="1138"/>
      <c r="L28" s="1138"/>
      <c r="M28" s="1138"/>
      <c r="N28" s="1138"/>
      <c r="O28" s="1138"/>
      <c r="AG28" s="945"/>
      <c r="AI28" s="945"/>
      <c r="AL28" s="97"/>
      <c r="AM28" s="97"/>
      <c r="AN28" s="97"/>
      <c r="AO28" s="97"/>
      <c r="AP28" s="97"/>
      <c r="AQ28" s="97"/>
      <c r="AR28" s="97"/>
      <c r="AS28" s="97"/>
      <c r="AT28" s="97"/>
      <c r="AU28" s="97"/>
    </row>
    <row r="29" spans="1:47">
      <c r="A29" s="940"/>
      <c r="B29" s="1116"/>
      <c r="C29" s="1116"/>
      <c r="D29" s="1116"/>
      <c r="E29" s="1178"/>
      <c r="F29" s="1116"/>
      <c r="G29" s="1116"/>
      <c r="H29" s="1116"/>
      <c r="I29" s="1116"/>
      <c r="J29" s="1116"/>
      <c r="K29" s="1138"/>
      <c r="L29" s="1138"/>
      <c r="M29" s="1138"/>
      <c r="N29" s="1138"/>
      <c r="O29" s="1138"/>
      <c r="AG29" s="945"/>
      <c r="AI29" s="945"/>
      <c r="AL29" s="97"/>
      <c r="AM29" s="97"/>
      <c r="AN29" s="97"/>
      <c r="AO29" s="97"/>
      <c r="AP29" s="97"/>
      <c r="AQ29" s="97"/>
      <c r="AR29" s="97"/>
      <c r="AS29" s="97"/>
      <c r="AT29" s="97"/>
      <c r="AU29" s="97"/>
    </row>
    <row r="30" spans="1:47" ht="18.75">
      <c r="A30" s="940"/>
      <c r="B30" s="8" t="s">
        <v>4816</v>
      </c>
      <c r="C30" s="834"/>
      <c r="D30" s="834"/>
      <c r="E30" s="834"/>
      <c r="F30" s="834"/>
      <c r="G30" s="834"/>
      <c r="H30" s="834"/>
      <c r="I30" s="834"/>
      <c r="J30" s="834"/>
      <c r="K30" s="628"/>
      <c r="L30" s="628"/>
      <c r="M30" s="628"/>
      <c r="N30" s="628"/>
      <c r="O30" s="628"/>
      <c r="AG30" s="945"/>
      <c r="AI30" s="945"/>
      <c r="AL30" s="97"/>
      <c r="AM30" s="97"/>
      <c r="AN30" s="97"/>
      <c r="AO30" s="97"/>
      <c r="AP30" s="97"/>
      <c r="AQ30" s="97"/>
      <c r="AR30" s="97"/>
      <c r="AS30" s="97"/>
      <c r="AT30" s="97"/>
      <c r="AU30" s="97"/>
    </row>
    <row r="31" spans="1:47">
      <c r="A31" s="940"/>
      <c r="B31" s="1176"/>
      <c r="C31" s="1116"/>
      <c r="D31" s="1116"/>
      <c r="E31" s="1178"/>
      <c r="F31" s="1116"/>
      <c r="G31" s="1116"/>
      <c r="H31" s="1116"/>
      <c r="I31" s="1116"/>
      <c r="J31" s="1116"/>
      <c r="K31" s="1138"/>
      <c r="L31" s="1138"/>
      <c r="M31" s="1138"/>
      <c r="N31" s="1138"/>
      <c r="O31" s="1138"/>
      <c r="AG31" s="945"/>
      <c r="AI31" s="945"/>
      <c r="AL31" s="97"/>
      <c r="AM31" s="97"/>
      <c r="AN31" s="97"/>
      <c r="AO31" s="97"/>
      <c r="AP31" s="97"/>
      <c r="AQ31" s="97"/>
      <c r="AR31" s="97"/>
      <c r="AS31" s="97"/>
      <c r="AT31" s="97"/>
      <c r="AU31" s="97"/>
    </row>
    <row r="32" spans="1:47">
      <c r="A32" s="940"/>
      <c r="B32" s="1131"/>
      <c r="C32" s="745" t="s">
        <v>4037</v>
      </c>
      <c r="D32" s="746"/>
      <c r="E32" s="747"/>
      <c r="F32" s="747"/>
      <c r="G32" s="747"/>
      <c r="H32" s="747"/>
      <c r="I32" s="747"/>
      <c r="J32" s="746"/>
      <c r="K32" s="746"/>
      <c r="L32" s="746"/>
      <c r="M32" s="746"/>
      <c r="N32" s="748"/>
      <c r="O32" s="1138"/>
      <c r="AG32" s="945"/>
      <c r="AI32" s="945"/>
      <c r="AL32" s="97"/>
      <c r="AM32" s="97"/>
      <c r="AN32" s="97"/>
      <c r="AO32" s="97"/>
      <c r="AP32" s="97"/>
      <c r="AQ32" s="97"/>
      <c r="AR32" s="97"/>
      <c r="AS32" s="97"/>
      <c r="AT32" s="97"/>
      <c r="AU32" s="97"/>
    </row>
    <row r="33" spans="2:48">
      <c r="B33" s="1116"/>
      <c r="C33" s="2402" t="s">
        <v>4817</v>
      </c>
      <c r="D33" s="2403"/>
      <c r="E33" s="2403"/>
      <c r="F33" s="2403"/>
      <c r="G33" s="2403"/>
      <c r="H33" s="2403"/>
      <c r="I33" s="2403"/>
      <c r="J33" s="2403"/>
      <c r="K33" s="2403"/>
      <c r="L33" s="2403"/>
      <c r="M33" s="2396">
        <f>+Acquisition_Rehab_Units</f>
        <v>0</v>
      </c>
      <c r="N33" s="2397"/>
      <c r="O33" s="1138"/>
      <c r="AG33" s="945"/>
      <c r="AI33" s="945"/>
      <c r="AL33" s="97"/>
      <c r="AM33" s="97"/>
      <c r="AN33" s="97"/>
      <c r="AO33" s="97"/>
      <c r="AP33" s="97"/>
      <c r="AQ33" s="97"/>
      <c r="AR33" s="97"/>
      <c r="AS33" s="97"/>
      <c r="AT33" s="97"/>
      <c r="AU33" s="97"/>
    </row>
    <row r="34" spans="2:48">
      <c r="B34" s="1116"/>
      <c r="C34" s="2404" t="s">
        <v>4818</v>
      </c>
      <c r="D34" s="2405"/>
      <c r="E34" s="2405"/>
      <c r="F34" s="2405"/>
      <c r="G34" s="2405"/>
      <c r="H34" s="2405"/>
      <c r="I34" s="2405"/>
      <c r="J34" s="2405"/>
      <c r="K34" s="2405"/>
      <c r="L34" s="2405"/>
      <c r="M34" s="2398">
        <f>+New_Construction_Units</f>
        <v>0</v>
      </c>
      <c r="N34" s="2399"/>
      <c r="O34" s="1138"/>
      <c r="AG34" s="945"/>
      <c r="AI34" s="945"/>
      <c r="AL34" s="97"/>
      <c r="AM34" s="97"/>
      <c r="AN34" s="97"/>
      <c r="AO34" s="97"/>
      <c r="AP34" s="97"/>
      <c r="AQ34" s="97"/>
      <c r="AR34" s="97"/>
      <c r="AS34" s="97"/>
      <c r="AT34" s="97"/>
      <c r="AU34" s="97"/>
    </row>
    <row r="35" spans="2:48">
      <c r="B35" s="1116"/>
      <c r="C35" s="2406" t="s">
        <v>4819</v>
      </c>
      <c r="D35" s="2407"/>
      <c r="E35" s="2407"/>
      <c r="F35" s="2407"/>
      <c r="G35" s="2407"/>
      <c r="H35" s="2407"/>
      <c r="I35" s="2407"/>
      <c r="J35" s="2407"/>
      <c r="K35" s="2407"/>
      <c r="L35" s="2407"/>
      <c r="M35" s="2400">
        <f>+Adaptive_Reuse_Units</f>
        <v>0</v>
      </c>
      <c r="N35" s="2401"/>
      <c r="O35" s="1138"/>
      <c r="AG35" s="945"/>
      <c r="AI35" s="945"/>
      <c r="AL35" s="97"/>
      <c r="AM35" s="97"/>
      <c r="AN35" s="97"/>
      <c r="AO35" s="97"/>
      <c r="AP35" s="97"/>
      <c r="AQ35" s="97"/>
      <c r="AR35" s="97"/>
      <c r="AS35" s="97"/>
      <c r="AT35" s="97"/>
      <c r="AU35" s="97"/>
    </row>
    <row r="36" spans="2:48">
      <c r="B36" s="1116"/>
      <c r="C36" s="2368" t="s">
        <v>4820</v>
      </c>
      <c r="D36" s="2369"/>
      <c r="E36" s="2369"/>
      <c r="F36" s="2369"/>
      <c r="G36" s="2369"/>
      <c r="H36" s="2369"/>
      <c r="I36" s="2369"/>
      <c r="J36" s="2369"/>
      <c r="K36" s="2369"/>
      <c r="L36" s="2369"/>
      <c r="M36" s="2370">
        <f>M33+M34+M35</f>
        <v>0</v>
      </c>
      <c r="N36" s="2371"/>
      <c r="O36" s="1138"/>
      <c r="AG36" s="945"/>
      <c r="AI36" s="945"/>
      <c r="AL36" s="97"/>
      <c r="AM36" s="97"/>
      <c r="AN36" s="97"/>
      <c r="AO36" s="97"/>
      <c r="AP36" s="97"/>
      <c r="AQ36" s="97"/>
      <c r="AR36" s="97"/>
      <c r="AS36" s="97"/>
      <c r="AT36" s="97"/>
      <c r="AU36" s="97"/>
    </row>
    <row r="37" spans="2:48">
      <c r="B37" s="1116"/>
      <c r="C37" s="1116"/>
      <c r="D37" s="1116"/>
      <c r="E37" s="1179"/>
      <c r="F37" s="1179"/>
      <c r="G37" s="1179"/>
      <c r="H37" s="1179"/>
      <c r="I37" s="1179"/>
      <c r="J37" s="1138"/>
      <c r="K37" s="1138"/>
      <c r="L37" s="1138"/>
      <c r="M37" s="1138"/>
      <c r="N37" s="1138"/>
      <c r="O37" s="1138"/>
      <c r="AG37" s="945"/>
      <c r="AI37" s="945"/>
      <c r="AL37" s="97"/>
      <c r="AM37" s="97"/>
      <c r="AN37" s="97"/>
      <c r="AO37" s="97"/>
      <c r="AP37" s="97"/>
      <c r="AQ37" s="97"/>
      <c r="AR37" s="97"/>
      <c r="AS37" s="97"/>
      <c r="AT37" s="97"/>
      <c r="AU37" s="97"/>
    </row>
    <row r="38" spans="2:48">
      <c r="B38" s="1116"/>
      <c r="C38" s="745" t="s">
        <v>4821</v>
      </c>
      <c r="D38" s="746"/>
      <c r="E38" s="747"/>
      <c r="F38" s="747"/>
      <c r="G38" s="747"/>
      <c r="H38" s="747"/>
      <c r="I38" s="747"/>
      <c r="J38" s="746"/>
      <c r="K38" s="746"/>
      <c r="L38" s="746"/>
      <c r="M38" s="746"/>
      <c r="N38" s="748"/>
      <c r="O38" s="1138"/>
      <c r="AG38" s="945"/>
      <c r="AI38" s="945"/>
      <c r="AL38" s="97"/>
      <c r="AM38" s="97"/>
      <c r="AN38" s="97"/>
      <c r="AO38" s="97"/>
      <c r="AP38" s="97"/>
      <c r="AQ38" s="97"/>
      <c r="AR38" s="97"/>
      <c r="AS38" s="97"/>
      <c r="AT38" s="97"/>
      <c r="AU38" s="97"/>
    </row>
    <row r="39" spans="2:48">
      <c r="B39" s="1116"/>
      <c r="C39" s="2378" t="s">
        <v>4822</v>
      </c>
      <c r="D39" s="2379"/>
      <c r="E39" s="2379"/>
      <c r="F39" s="2379"/>
      <c r="G39" s="2379"/>
      <c r="H39" s="2379"/>
      <c r="I39" s="2379"/>
      <c r="J39" s="2379"/>
      <c r="K39" s="2379"/>
      <c r="L39" s="2379"/>
      <c r="M39" s="2382" t="str">
        <f>IF(Property_City="Milwaukee","Yes","No")</f>
        <v>No</v>
      </c>
      <c r="N39" s="2383"/>
      <c r="O39" s="1138"/>
      <c r="Q39" s="9" t="s">
        <v>4823</v>
      </c>
      <c r="AG39" s="945"/>
      <c r="AI39" s="945"/>
      <c r="AL39" s="97"/>
      <c r="AM39" s="97"/>
      <c r="AN39" s="97"/>
      <c r="AO39" s="97"/>
      <c r="AP39" s="97"/>
      <c r="AQ39" s="97"/>
      <c r="AR39" s="97"/>
      <c r="AS39" s="97"/>
      <c r="AT39" s="97"/>
      <c r="AU39" s="97"/>
    </row>
    <row r="40" spans="2:48">
      <c r="B40" s="1116"/>
      <c r="C40" s="2374" t="s">
        <v>4824</v>
      </c>
      <c r="D40" s="2375"/>
      <c r="E40" s="2375"/>
      <c r="F40" s="2375"/>
      <c r="G40" s="2375"/>
      <c r="H40" s="2375"/>
      <c r="I40" s="2375"/>
      <c r="J40" s="2375"/>
      <c r="K40" s="2375"/>
      <c r="L40" s="2375"/>
      <c r="M40" s="2384" t="str">
        <f>IF(Property_City="Madison","Yes","No")</f>
        <v>No</v>
      </c>
      <c r="N40" s="2385"/>
      <c r="O40" s="1138"/>
      <c r="AG40" s="945"/>
      <c r="AI40" s="945"/>
      <c r="AL40" s="97"/>
      <c r="AM40" s="97"/>
      <c r="AN40" s="97"/>
      <c r="AO40" s="97"/>
      <c r="AP40" s="97"/>
      <c r="AQ40" s="97"/>
      <c r="AR40" s="97"/>
      <c r="AS40" s="97"/>
      <c r="AT40" s="97"/>
      <c r="AU40" s="97"/>
    </row>
    <row r="41" spans="2:48" ht="28.9" customHeight="1">
      <c r="B41" s="1116"/>
      <c r="C41" s="2376" t="s">
        <v>4825</v>
      </c>
      <c r="D41" s="2377"/>
      <c r="E41" s="2377"/>
      <c r="F41" s="2377"/>
      <c r="G41" s="2377"/>
      <c r="H41" s="2377"/>
      <c r="I41" s="2377"/>
      <c r="J41" s="2377"/>
      <c r="K41" s="2377"/>
      <c r="L41" s="2377"/>
      <c r="M41" s="2386" t="str">
        <f>(IF(AND(M40="No",M39="No",COUNTIF('Dropdown Lists'!AB2:AB26,Property_County)=1),"Yes","No"))</f>
        <v>No</v>
      </c>
      <c r="N41" s="2387"/>
      <c r="O41" s="1138"/>
      <c r="Q41" s="9" t="s">
        <v>4826</v>
      </c>
      <c r="AG41" s="945"/>
      <c r="AI41" s="945"/>
      <c r="AL41" s="97"/>
      <c r="AM41" s="97"/>
      <c r="AN41" s="97"/>
      <c r="AO41" s="97"/>
      <c r="AP41" s="97"/>
      <c r="AQ41" s="97"/>
      <c r="AR41" s="97"/>
      <c r="AS41" s="97"/>
      <c r="AT41" s="97"/>
      <c r="AU41" s="97"/>
    </row>
    <row r="42" spans="2:48">
      <c r="B42" s="1116"/>
      <c r="C42" s="2380" t="s">
        <v>4827</v>
      </c>
      <c r="D42" s="2381"/>
      <c r="E42" s="2381"/>
      <c r="F42" s="2381"/>
      <c r="G42" s="2381"/>
      <c r="H42" s="2381"/>
      <c r="I42" s="2381"/>
      <c r="J42" s="2381"/>
      <c r="K42" s="2381"/>
      <c r="L42" s="2381"/>
      <c r="M42" s="2388" t="str">
        <f>IF(COUNTIF('Dropdown Lists'!AC2:AC12,Tribal_Name)=1,"Yes","No")</f>
        <v>No</v>
      </c>
      <c r="N42" s="2389"/>
      <c r="O42" s="1138"/>
      <c r="AG42" s="945"/>
      <c r="AI42" s="945"/>
      <c r="AL42" s="97"/>
      <c r="AM42" s="97"/>
      <c r="AN42" s="97"/>
      <c r="AO42" s="97"/>
      <c r="AP42" s="97"/>
      <c r="AQ42" s="97"/>
      <c r="AR42" s="97"/>
      <c r="AS42" s="97"/>
      <c r="AT42" s="97"/>
      <c r="AU42" s="97"/>
    </row>
    <row r="43" spans="2:48">
      <c r="B43" s="1116"/>
      <c r="C43" s="1116"/>
      <c r="D43" s="1116"/>
      <c r="E43" s="1179"/>
      <c r="F43" s="1179"/>
      <c r="G43" s="1179"/>
      <c r="H43" s="1179"/>
      <c r="I43" s="1179"/>
      <c r="J43" s="1138"/>
      <c r="K43" s="1138"/>
      <c r="L43" s="1138"/>
      <c r="M43" s="1138"/>
      <c r="N43" s="1138"/>
      <c r="O43" s="1138"/>
      <c r="AG43" s="945"/>
      <c r="AI43" s="945"/>
      <c r="AL43" s="97"/>
      <c r="AM43" s="97"/>
      <c r="AN43" s="97"/>
      <c r="AO43" s="97"/>
      <c r="AP43" s="97"/>
      <c r="AQ43" s="97"/>
      <c r="AR43" s="97"/>
      <c r="AS43" s="97"/>
      <c r="AT43" s="97"/>
      <c r="AU43" s="97"/>
    </row>
    <row r="44" spans="2:48">
      <c r="B44" s="1116"/>
      <c r="C44" s="745" t="s">
        <v>4828</v>
      </c>
      <c r="D44" s="746"/>
      <c r="E44" s="747"/>
      <c r="F44" s="747"/>
      <c r="G44" s="747"/>
      <c r="H44" s="747"/>
      <c r="I44" s="747"/>
      <c r="J44" s="746"/>
      <c r="K44" s="746"/>
      <c r="L44" s="746"/>
      <c r="M44" s="746"/>
      <c r="N44" s="748"/>
      <c r="O44" s="1138"/>
      <c r="S44" s="1332" t="s">
        <v>4829</v>
      </c>
      <c r="T44" s="1415" t="s">
        <v>4830</v>
      </c>
      <c r="U44" s="1415" t="s">
        <v>4831</v>
      </c>
      <c r="V44" s="1415" t="s">
        <v>4832</v>
      </c>
      <c r="W44" s="1415" t="s">
        <v>4833</v>
      </c>
      <c r="AB44" s="1416"/>
      <c r="AG44" s="97"/>
      <c r="AH44" s="945"/>
      <c r="AJ44" s="945"/>
      <c r="AL44" s="97"/>
      <c r="AM44" s="97"/>
      <c r="AN44" s="97"/>
      <c r="AO44" s="97"/>
      <c r="AP44" s="97"/>
      <c r="AQ44" s="97"/>
      <c r="AR44" s="97"/>
      <c r="AS44" s="97"/>
      <c r="AT44" s="97"/>
      <c r="AU44" s="97"/>
      <c r="AV44" s="97"/>
    </row>
    <row r="45" spans="2:48">
      <c r="B45" s="1116"/>
      <c r="C45" s="1895" t="s">
        <v>4834</v>
      </c>
      <c r="D45" s="1896"/>
      <c r="E45" s="1896"/>
      <c r="F45" s="1896"/>
      <c r="G45" s="1896"/>
      <c r="H45" s="1896"/>
      <c r="I45" s="1896"/>
      <c r="J45" s="1896"/>
      <c r="K45" s="1896"/>
      <c r="L45" s="1896"/>
      <c r="M45" s="2392" t="str">
        <f>+IF(New_Construction_Units&gt;=1,"Yes","No")</f>
        <v>No</v>
      </c>
      <c r="N45" s="2393"/>
      <c r="O45" s="1138"/>
      <c r="R45" s="9" t="s">
        <v>402</v>
      </c>
      <c r="S45" s="1417">
        <f>45579*1.1*1.15*1.05</f>
        <v>60540.306750000003</v>
      </c>
      <c r="T45" s="1416">
        <f>IF(M39="yes",S45*1.1,0)</f>
        <v>0</v>
      </c>
      <c r="U45" s="1416"/>
      <c r="V45" s="1418"/>
      <c r="W45" s="1416"/>
      <c r="X45" s="978"/>
      <c r="Y45" s="978"/>
      <c r="Z45" s="978"/>
      <c r="AA45" s="978"/>
      <c r="AB45" s="1416"/>
      <c r="AG45" s="97"/>
      <c r="AH45" s="945"/>
      <c r="AJ45" s="945"/>
      <c r="AL45" s="97"/>
      <c r="AM45" s="97"/>
      <c r="AN45" s="97"/>
      <c r="AO45" s="97"/>
      <c r="AP45" s="97"/>
      <c r="AQ45" s="97"/>
      <c r="AR45" s="97"/>
      <c r="AS45" s="97"/>
      <c r="AT45" s="97"/>
      <c r="AU45" s="97"/>
      <c r="AV45" s="97"/>
    </row>
    <row r="46" spans="2:48">
      <c r="B46" s="1116"/>
      <c r="C46" s="2364" t="s">
        <v>4835</v>
      </c>
      <c r="D46" s="2365"/>
      <c r="E46" s="2365"/>
      <c r="F46" s="2365"/>
      <c r="G46" s="2365"/>
      <c r="H46" s="2365"/>
      <c r="I46" s="2365"/>
      <c r="J46" s="2365"/>
      <c r="K46" s="2365"/>
      <c r="L46" s="2365"/>
      <c r="M46" s="2394" t="str">
        <f>IF(Adaptive_Reuse_Units&gt;=1,"Yes","No")</f>
        <v>No</v>
      </c>
      <c r="N46" s="2395"/>
      <c r="O46" s="1138"/>
      <c r="R46" s="978" t="s">
        <v>4836</v>
      </c>
      <c r="S46" s="1419">
        <f>45880*1.1*1.15*1.05</f>
        <v>60940.110000000008</v>
      </c>
      <c r="T46" s="1416">
        <f>IF(M40="yes",S46*1.1,0)</f>
        <v>0</v>
      </c>
      <c r="U46" s="1416"/>
      <c r="V46" s="1418"/>
      <c r="W46" s="1416"/>
      <c r="X46" s="978"/>
      <c r="Y46" s="978"/>
      <c r="Z46" s="978"/>
      <c r="AA46" s="978"/>
      <c r="AB46" s="1416"/>
      <c r="AG46" s="97"/>
      <c r="AH46" s="945"/>
      <c r="AJ46" s="945"/>
      <c r="AL46" s="97"/>
      <c r="AM46" s="97"/>
      <c r="AN46" s="97"/>
      <c r="AO46" s="97"/>
      <c r="AP46" s="97"/>
      <c r="AQ46" s="97"/>
      <c r="AR46" s="97"/>
      <c r="AS46" s="97"/>
      <c r="AT46" s="97"/>
      <c r="AU46" s="97"/>
      <c r="AV46" s="97"/>
    </row>
    <row r="47" spans="2:48">
      <c r="B47" s="1116"/>
      <c r="C47" s="2390" t="s">
        <v>4837</v>
      </c>
      <c r="D47" s="2391"/>
      <c r="E47" s="2391"/>
      <c r="F47" s="2391"/>
      <c r="G47" s="2391"/>
      <c r="H47" s="2391"/>
      <c r="I47" s="2391"/>
      <c r="J47" s="2391"/>
      <c r="K47" s="2391"/>
      <c r="L47" s="2391"/>
      <c r="M47" s="2356">
        <f>+'11. Unit Mix'!G142</f>
        <v>0</v>
      </c>
      <c r="N47" s="2357"/>
      <c r="O47" s="1138"/>
      <c r="R47" s="978" t="s">
        <v>4838</v>
      </c>
      <c r="S47" s="1419">
        <f>7995*1.1*1.15*1.05</f>
        <v>10619.358749999999</v>
      </c>
      <c r="T47" s="1416">
        <f>IF(M41="yes",S47*1.1,0)</f>
        <v>0</v>
      </c>
      <c r="U47" s="1416"/>
      <c r="V47" s="1418"/>
      <c r="W47" s="1416"/>
      <c r="X47" s="978"/>
      <c r="Y47" s="978"/>
      <c r="Z47" s="978"/>
      <c r="AA47" s="978"/>
      <c r="AG47" s="97"/>
      <c r="AH47" s="945"/>
      <c r="AJ47" s="945"/>
      <c r="AL47" s="97"/>
      <c r="AM47" s="97"/>
      <c r="AN47" s="97"/>
      <c r="AO47" s="97"/>
      <c r="AP47" s="97"/>
      <c r="AQ47" s="97"/>
      <c r="AR47" s="97"/>
      <c r="AS47" s="97"/>
      <c r="AT47" s="97"/>
      <c r="AU47" s="97"/>
      <c r="AV47" s="97"/>
    </row>
    <row r="48" spans="2:48">
      <c r="B48" s="1116"/>
      <c r="C48" s="1116"/>
      <c r="D48" s="1116"/>
      <c r="E48" s="1179"/>
      <c r="F48" s="1179"/>
      <c r="G48" s="1179"/>
      <c r="H48" s="1179"/>
      <c r="I48" s="1179"/>
      <c r="J48" s="1138"/>
      <c r="K48" s="1138"/>
      <c r="L48" s="1138"/>
      <c r="M48" s="1138"/>
      <c r="N48" s="1138"/>
      <c r="O48" s="1138"/>
      <c r="R48" s="978" t="s">
        <v>4839</v>
      </c>
      <c r="S48" s="1419">
        <f>39066*1.1*1.15*1.05</f>
        <v>51889.414500000006</v>
      </c>
      <c r="T48" s="1416">
        <f>IF(M42="yes",S48*1.1,0)</f>
        <v>0</v>
      </c>
      <c r="U48" s="1416"/>
      <c r="V48" s="1418"/>
      <c r="W48" s="1416"/>
      <c r="X48" s="978"/>
      <c r="Y48" s="978"/>
      <c r="Z48" s="978"/>
      <c r="AA48" s="978"/>
      <c r="AC48" s="1416"/>
      <c r="AG48" s="97"/>
      <c r="AH48" s="945"/>
      <c r="AJ48" s="945"/>
      <c r="AL48" s="97"/>
      <c r="AM48" s="97"/>
      <c r="AN48" s="97"/>
      <c r="AO48" s="97"/>
      <c r="AP48" s="97"/>
      <c r="AQ48" s="97"/>
      <c r="AR48" s="97"/>
      <c r="AS48" s="97"/>
      <c r="AT48" s="97"/>
      <c r="AU48" s="97"/>
      <c r="AV48" s="97"/>
    </row>
    <row r="49" spans="1:54">
      <c r="B49" s="1116"/>
      <c r="C49" s="745" t="s">
        <v>4840</v>
      </c>
      <c r="D49" s="746"/>
      <c r="E49" s="747"/>
      <c r="F49" s="747"/>
      <c r="G49" s="747"/>
      <c r="H49" s="747"/>
      <c r="I49" s="747"/>
      <c r="J49" s="746"/>
      <c r="K49" s="746"/>
      <c r="L49" s="746"/>
      <c r="M49" s="746"/>
      <c r="N49" s="748"/>
      <c r="O49" s="1138"/>
      <c r="R49" s="978" t="s">
        <v>4841</v>
      </c>
      <c r="S49" s="1419">
        <f>78012*1.1*1.15*1.05</f>
        <v>103619.43900000001</v>
      </c>
      <c r="T49" s="1416">
        <f>IF(M45="yes",S49*1.1,0)</f>
        <v>0</v>
      </c>
      <c r="U49" s="1416">
        <f>IF(M36&lt;&gt;0,T49*(M34/M36),0)</f>
        <v>0</v>
      </c>
      <c r="V49" s="1416"/>
      <c r="W49" s="1416"/>
      <c r="X49" s="978"/>
      <c r="Y49" s="978"/>
      <c r="Z49" s="978"/>
      <c r="AA49" s="978"/>
      <c r="AC49" s="1416"/>
      <c r="AG49" s="97"/>
      <c r="AH49" s="945"/>
      <c r="AJ49" s="945"/>
      <c r="AL49" s="97"/>
      <c r="AM49" s="97"/>
      <c r="AN49" s="97"/>
      <c r="AO49" s="97"/>
      <c r="AP49" s="97"/>
      <c r="AQ49" s="97"/>
      <c r="AR49" s="97"/>
      <c r="AS49" s="97"/>
      <c r="AT49" s="97"/>
      <c r="AU49" s="97"/>
      <c r="AV49" s="97"/>
    </row>
    <row r="50" spans="1:54">
      <c r="B50" s="1116"/>
      <c r="C50" s="2426" t="s">
        <v>4842</v>
      </c>
      <c r="D50" s="2427"/>
      <c r="E50" s="2427"/>
      <c r="F50" s="2427"/>
      <c r="G50" s="2427"/>
      <c r="H50" s="2427"/>
      <c r="I50" s="2427"/>
      <c r="J50" s="2427"/>
      <c r="K50" s="2427"/>
      <c r="L50" s="2427"/>
      <c r="M50" s="2372">
        <f>IF(Credit_percentage_applied_for="9%",0,IF(PC_DEV_Developer_Costs_Subtotal_Total-25000*Total_Units&gt;0,PC_DEV_Developer_Costs_Subtotal_Total-25000*Total_Units,0))</f>
        <v>0</v>
      </c>
      <c r="N50" s="2373"/>
      <c r="O50" s="1138"/>
      <c r="R50" s="978" t="s">
        <v>4843</v>
      </c>
      <c r="S50" s="1419">
        <f>78317*1.1*1.15*1.05</f>
        <v>104024.55525</v>
      </c>
      <c r="T50" s="1416">
        <f>IF(M46="yes",S50*1.1,0)</f>
        <v>0</v>
      </c>
      <c r="U50" s="1416"/>
      <c r="V50" s="1416">
        <f>IF(M36&lt;&gt;0,T50*(M35/M36),0)</f>
        <v>0</v>
      </c>
      <c r="W50" s="1416"/>
      <c r="X50" s="978"/>
      <c r="Y50" s="978"/>
      <c r="Z50" s="978"/>
      <c r="AA50" s="1420"/>
      <c r="AC50" s="1418"/>
      <c r="AG50" s="97"/>
      <c r="AH50" s="945"/>
      <c r="AJ50" s="945"/>
      <c r="AL50" s="97"/>
      <c r="AM50" s="97"/>
      <c r="AN50" s="97"/>
      <c r="AO50" s="97"/>
      <c r="AP50" s="97"/>
      <c r="AQ50" s="97"/>
      <c r="AR50" s="97"/>
      <c r="AS50" s="97"/>
      <c r="AT50" s="97"/>
      <c r="AU50" s="97"/>
      <c r="AV50" s="97"/>
    </row>
    <row r="51" spans="1:54">
      <c r="A51" s="940"/>
      <c r="B51" s="1116"/>
      <c r="C51" s="1116"/>
      <c r="D51" s="1116"/>
      <c r="E51" s="1179"/>
      <c r="F51" s="1179"/>
      <c r="G51" s="1179"/>
      <c r="H51" s="1179"/>
      <c r="I51" s="1179"/>
      <c r="J51" s="1138"/>
      <c r="K51" s="1138"/>
      <c r="L51" s="1138"/>
      <c r="M51" s="1138"/>
      <c r="N51" s="1138"/>
      <c r="O51" s="1138"/>
      <c r="R51" s="978" t="s">
        <v>4844</v>
      </c>
      <c r="S51" s="1419">
        <f>25769*1.1*1.15*1.05</f>
        <v>34227.674250000004</v>
      </c>
      <c r="T51" s="1416">
        <f>IF(M23="yes",S51*1.1,0)</f>
        <v>0</v>
      </c>
      <c r="U51" s="1416"/>
      <c r="V51" s="1416"/>
      <c r="W51" s="1416">
        <f>IF(M36&lt;&gt;0,T51*(M33/M36),0)</f>
        <v>0</v>
      </c>
      <c r="X51" s="978"/>
      <c r="Y51" s="978"/>
      <c r="Z51" s="978"/>
      <c r="AA51" s="978"/>
      <c r="AC51" s="1418"/>
      <c r="AG51" s="97"/>
      <c r="AH51" s="945"/>
      <c r="AJ51" s="945"/>
      <c r="AL51" s="97"/>
      <c r="AM51" s="97"/>
      <c r="AN51" s="97"/>
      <c r="AO51" s="97"/>
      <c r="AP51" s="97"/>
      <c r="AQ51" s="97"/>
      <c r="AR51" s="97"/>
      <c r="AS51" s="97"/>
      <c r="AT51" s="97"/>
      <c r="AU51" s="97"/>
      <c r="AV51" s="97"/>
    </row>
    <row r="52" spans="1:54" ht="18.75">
      <c r="A52" s="940"/>
      <c r="B52" s="8" t="s">
        <v>4845</v>
      </c>
      <c r="C52" s="834"/>
      <c r="D52" s="834"/>
      <c r="E52" s="834"/>
      <c r="F52" s="834"/>
      <c r="G52" s="834"/>
      <c r="H52" s="834"/>
      <c r="I52" s="834"/>
      <c r="J52" s="834"/>
      <c r="K52" s="628"/>
      <c r="L52" s="628"/>
      <c r="M52" s="628"/>
      <c r="N52" s="628"/>
      <c r="O52" s="628"/>
      <c r="R52" s="978"/>
      <c r="S52" s="1419"/>
      <c r="T52" s="1416"/>
      <c r="U52" s="1416"/>
      <c r="V52" s="1416"/>
      <c r="W52" s="1416"/>
      <c r="X52" s="978"/>
      <c r="Y52" s="978"/>
      <c r="Z52" s="978"/>
      <c r="AA52" s="978"/>
      <c r="AC52" s="1418"/>
      <c r="AG52" s="97"/>
      <c r="AH52" s="945"/>
      <c r="AJ52" s="945"/>
      <c r="AL52" s="97"/>
      <c r="AM52" s="97"/>
      <c r="AN52" s="97"/>
      <c r="AO52" s="97"/>
      <c r="AP52" s="97"/>
      <c r="AQ52" s="97"/>
      <c r="AR52" s="97"/>
      <c r="AS52" s="97"/>
      <c r="AT52" s="97"/>
      <c r="AU52" s="97"/>
      <c r="AV52" s="97"/>
    </row>
    <row r="53" spans="1:54">
      <c r="A53" s="940"/>
      <c r="B53" s="1176"/>
      <c r="C53" s="1116"/>
      <c r="D53" s="1116"/>
      <c r="E53" s="1178"/>
      <c r="F53" s="1116"/>
      <c r="G53" s="1116"/>
      <c r="H53" s="1116"/>
      <c r="I53" s="1116"/>
      <c r="J53" s="1116"/>
      <c r="K53" s="1138"/>
      <c r="L53" s="1138"/>
      <c r="M53" s="1138"/>
      <c r="N53" s="1138"/>
      <c r="O53" s="1138"/>
      <c r="R53" s="978" t="s">
        <v>4846</v>
      </c>
      <c r="S53" s="1419">
        <f>67297*1.1*1.15*1.05</f>
        <v>89387.240250000003</v>
      </c>
      <c r="T53" s="1416">
        <f>IF(M24="yes",S53*1.1,0)</f>
        <v>0</v>
      </c>
      <c r="U53" s="1416"/>
      <c r="V53" s="1416"/>
      <c r="W53" s="1416">
        <f>IF(M36&lt;&gt;0,T53*(M33/M36),0)</f>
        <v>0</v>
      </c>
      <c r="X53" s="978"/>
      <c r="Y53" s="978"/>
      <c r="Z53" s="978"/>
      <c r="AA53" s="978"/>
      <c r="AC53" s="1416"/>
      <c r="AG53" s="97"/>
      <c r="AH53" s="945"/>
      <c r="AJ53" s="945"/>
      <c r="AL53" s="97"/>
      <c r="AM53" s="97"/>
      <c r="AN53" s="97"/>
      <c r="AO53" s="97"/>
      <c r="AP53" s="97"/>
      <c r="AQ53" s="97"/>
      <c r="AR53" s="97"/>
      <c r="AS53" s="97"/>
      <c r="AT53" s="97"/>
      <c r="AU53" s="97"/>
      <c r="AV53" s="97"/>
    </row>
    <row r="54" spans="1:54">
      <c r="B54" s="1131"/>
      <c r="C54" s="1895" t="s">
        <v>4847</v>
      </c>
      <c r="D54" s="1896"/>
      <c r="E54" s="1896"/>
      <c r="F54" s="1896"/>
      <c r="G54" s="1896"/>
      <c r="H54" s="1896"/>
      <c r="I54" s="1896"/>
      <c r="J54" s="1896"/>
      <c r="K54" s="1896"/>
      <c r="L54" s="1896"/>
      <c r="M54" s="2358">
        <f>IFERROR(IF(SUM(T45:T48,U49:W53,T55,T57)&gt;0, SUM(T45:T48,U49:W53,T55,T57)+34535*1.15+(4371*8*1.15), 0), 0)</f>
        <v>0</v>
      </c>
      <c r="N54" s="2359"/>
      <c r="O54" s="1138"/>
      <c r="R54" s="978"/>
      <c r="S54" s="1419"/>
      <c r="T54" s="1416"/>
      <c r="U54" s="1418"/>
      <c r="V54" s="1418"/>
      <c r="W54" s="1418"/>
      <c r="X54" s="978"/>
      <c r="Y54" s="978"/>
      <c r="Z54" s="978"/>
      <c r="AA54" s="978"/>
      <c r="AC54" s="1418"/>
      <c r="AG54" s="97"/>
      <c r="AL54" s="97"/>
      <c r="AM54" s="97"/>
      <c r="AN54" s="615"/>
      <c r="AO54" s="405"/>
      <c r="AP54" s="97"/>
      <c r="AQ54" s="97"/>
      <c r="AR54" s="97"/>
      <c r="AS54" s="97"/>
      <c r="AT54" s="97"/>
      <c r="AU54" s="97"/>
      <c r="AV54" s="97"/>
      <c r="AW54" s="97"/>
    </row>
    <row r="55" spans="1:54">
      <c r="B55" s="1116"/>
      <c r="C55" s="2364" t="s">
        <v>4848</v>
      </c>
      <c r="D55" s="2365"/>
      <c r="E55" s="2365"/>
      <c r="F55" s="2365"/>
      <c r="G55" s="2365"/>
      <c r="H55" s="2365"/>
      <c r="I55" s="2365"/>
      <c r="J55" s="2365"/>
      <c r="K55" s="2365"/>
      <c r="L55" s="2365"/>
      <c r="M55" s="2360">
        <f>M54*0.3</f>
        <v>0</v>
      </c>
      <c r="N55" s="2361"/>
      <c r="O55" s="1182"/>
      <c r="P55" s="395"/>
      <c r="Q55" s="978"/>
      <c r="R55" s="978" t="s">
        <v>4849</v>
      </c>
      <c r="S55" s="1419">
        <f>32412*1.1*1.15*1.05</f>
        <v>43051.239000000001</v>
      </c>
      <c r="T55" s="1416">
        <f>IF(M27="yes",S55*1.1,0)</f>
        <v>0</v>
      </c>
      <c r="U55" s="1416"/>
      <c r="V55" s="1418"/>
      <c r="W55" s="1416"/>
      <c r="X55" s="978"/>
      <c r="Y55" s="978"/>
      <c r="Z55" s="978"/>
      <c r="AA55" s="978"/>
      <c r="AB55" s="978"/>
      <c r="AC55" s="1416"/>
      <c r="AF55" s="978"/>
      <c r="AG55" s="395"/>
      <c r="AH55" s="977"/>
      <c r="AI55" s="395"/>
      <c r="AJ55" s="395"/>
      <c r="AK55" s="395"/>
      <c r="AL55" s="616"/>
      <c r="AM55" s="395"/>
      <c r="AN55" s="617"/>
      <c r="AO55" s="617"/>
      <c r="AP55" s="97"/>
      <c r="AQ55" s="97"/>
      <c r="AR55" s="97"/>
      <c r="AS55" s="97"/>
      <c r="AT55" s="97"/>
      <c r="AU55" s="97"/>
      <c r="AV55" s="97"/>
      <c r="AW55" s="97"/>
    </row>
    <row r="56" spans="1:54">
      <c r="B56" s="1116"/>
      <c r="C56" s="2366" t="s">
        <v>4850</v>
      </c>
      <c r="D56" s="2367"/>
      <c r="E56" s="2367"/>
      <c r="F56" s="2367"/>
      <c r="G56" s="2367"/>
      <c r="H56" s="2367"/>
      <c r="I56" s="2367"/>
      <c r="J56" s="2367"/>
      <c r="K56" s="2367"/>
      <c r="L56" s="2367"/>
      <c r="M56" s="2362">
        <f>M54+M55</f>
        <v>0</v>
      </c>
      <c r="N56" s="2363"/>
      <c r="O56" s="1182"/>
      <c r="P56" s="395"/>
      <c r="Q56" s="978"/>
      <c r="R56" s="978"/>
      <c r="S56" s="1419"/>
      <c r="T56" s="1416"/>
      <c r="U56" s="1418"/>
      <c r="V56" s="1418"/>
      <c r="W56" s="1418"/>
      <c r="X56" s="978"/>
      <c r="Y56" s="978"/>
      <c r="Z56" s="978"/>
      <c r="AA56" s="978"/>
      <c r="AF56" s="978"/>
      <c r="AG56" s="395"/>
      <c r="AH56" s="977"/>
      <c r="AI56" s="395"/>
      <c r="AJ56" s="395"/>
      <c r="AK56" s="395"/>
      <c r="AL56" s="616"/>
      <c r="AM56" s="395"/>
      <c r="AN56" s="617"/>
      <c r="AO56" s="617"/>
      <c r="AP56" s="97"/>
      <c r="AQ56" s="97"/>
      <c r="AR56" s="97"/>
      <c r="AS56" s="97"/>
      <c r="AT56" s="97"/>
      <c r="AU56" s="97"/>
      <c r="AV56" s="97"/>
      <c r="AW56" s="97"/>
    </row>
    <row r="57" spans="1:54">
      <c r="B57" s="1116"/>
      <c r="C57" s="1116"/>
      <c r="D57" s="1116"/>
      <c r="E57" s="1180"/>
      <c r="F57" s="1181"/>
      <c r="G57" s="1181"/>
      <c r="H57" s="1181"/>
      <c r="I57" s="1116"/>
      <c r="J57" s="1182"/>
      <c r="K57" s="1182"/>
      <c r="L57" s="1182"/>
      <c r="M57" s="1182"/>
      <c r="N57" s="1182"/>
      <c r="O57" s="1182"/>
      <c r="P57" s="395"/>
      <c r="Q57" s="978"/>
      <c r="R57" s="978" t="s">
        <v>4851</v>
      </c>
      <c r="S57" s="1419">
        <f>36.7*1.1*1.15*1.05</f>
        <v>48.746775</v>
      </c>
      <c r="T57" s="1416">
        <f>IF(M36&lt;&gt;0,(M47/M36)*(S57*1.1),0)</f>
        <v>0</v>
      </c>
      <c r="U57" s="1416"/>
      <c r="V57" s="1416"/>
      <c r="W57" s="1416"/>
      <c r="X57" s="978"/>
      <c r="Y57" s="978"/>
      <c r="Z57" s="978"/>
      <c r="AA57" s="978"/>
      <c r="AF57" s="978"/>
      <c r="AG57" s="395"/>
      <c r="AH57" s="977"/>
      <c r="AI57" s="395"/>
      <c r="AJ57" s="395"/>
      <c r="AK57" s="395"/>
      <c r="AL57" s="616"/>
      <c r="AM57" s="395"/>
      <c r="AN57" s="617"/>
      <c r="AO57" s="617"/>
      <c r="AP57" s="97"/>
      <c r="AQ57" s="97"/>
      <c r="AR57" s="97"/>
      <c r="AS57" s="97"/>
      <c r="AT57" s="97"/>
      <c r="AU57" s="97"/>
      <c r="AV57" s="97"/>
      <c r="AW57" s="97"/>
      <c r="AX57" s="97"/>
      <c r="AY57" s="97"/>
      <c r="AZ57" s="97"/>
      <c r="BA57" s="97"/>
      <c r="BB57" s="97"/>
    </row>
    <row r="58" spans="1:54" ht="28.9" customHeight="1">
      <c r="B58" s="1116"/>
      <c r="C58" s="2342" t="str">
        <f>"Adjusted Cost Limit (not to exceed "&amp; TEXT(U60,"$#,##0") &amp; " per-unit for New Construction and Adaptive Reuse, or " &amp; TEXT(U61,"$#,##0") &amp; " for Acquisition/Rehab)"</f>
        <v>Adjusted Cost Limit (not to exceed $494,961 per-unit for New Construction and Adaptive Reuse, or $413,186 for Acquisition/Rehab)</v>
      </c>
      <c r="D58" s="2343"/>
      <c r="E58" s="2343"/>
      <c r="F58" s="2343"/>
      <c r="G58" s="2343"/>
      <c r="H58" s="2343"/>
      <c r="I58" s="2343"/>
      <c r="J58" s="2343"/>
      <c r="K58" s="2343"/>
      <c r="L58" s="2343"/>
      <c r="M58" s="2340">
        <f>IFERROR(AA62,0)</f>
        <v>0</v>
      </c>
      <c r="N58" s="2341"/>
      <c r="O58" s="1182"/>
      <c r="P58" s="395"/>
      <c r="Q58" s="978"/>
      <c r="R58" s="978"/>
      <c r="S58" s="1416"/>
      <c r="T58" s="1416"/>
      <c r="U58" s="1416"/>
      <c r="V58" s="1416"/>
      <c r="W58" s="978"/>
      <c r="X58" s="978"/>
      <c r="Y58" s="978"/>
      <c r="Z58" s="978"/>
      <c r="AB58" s="1735"/>
      <c r="AG58" s="97"/>
      <c r="AL58" s="97"/>
      <c r="AM58" s="97"/>
      <c r="AN58" s="97"/>
      <c r="AO58" s="97"/>
    </row>
    <row r="59" spans="1:54">
      <c r="B59" s="1116"/>
      <c r="C59" s="1116"/>
      <c r="D59" s="1116"/>
      <c r="E59" s="1180"/>
      <c r="F59" s="2425"/>
      <c r="G59" s="2425"/>
      <c r="H59" s="2425"/>
      <c r="I59" s="1116"/>
      <c r="J59" s="1182"/>
      <c r="K59" s="1182"/>
      <c r="L59" s="1182"/>
      <c r="M59" s="1182"/>
      <c r="N59" s="1182"/>
      <c r="O59" s="1182"/>
      <c r="P59" s="395"/>
      <c r="Q59" s="978"/>
      <c r="S59" s="1332" t="s">
        <v>4852</v>
      </c>
      <c r="T59" s="1332" t="s">
        <v>4853</v>
      </c>
      <c r="U59" s="1415" t="s">
        <v>4854</v>
      </c>
      <c r="V59" s="1415" t="s">
        <v>4855</v>
      </c>
      <c r="W59" s="1415" t="s">
        <v>4856</v>
      </c>
      <c r="X59" s="1415" t="s">
        <v>4857</v>
      </c>
      <c r="Y59" s="1415" t="s">
        <v>4858</v>
      </c>
      <c r="Z59" s="1415" t="s">
        <v>4856</v>
      </c>
      <c r="AA59" s="944" t="s">
        <v>4859</v>
      </c>
      <c r="AB59" s="1332"/>
      <c r="AD59" s="1421"/>
      <c r="AG59" s="97"/>
      <c r="AL59" s="97"/>
      <c r="AM59" s="97"/>
      <c r="AN59" s="97"/>
      <c r="AO59" s="97"/>
      <c r="AP59" s="97"/>
      <c r="AQ59" s="97"/>
    </row>
    <row r="60" spans="1:54" ht="28.9" hidden="1" customHeight="1">
      <c r="B60" s="1116"/>
      <c r="C60" s="2350" t="s">
        <v>4860</v>
      </c>
      <c r="D60" s="2351"/>
      <c r="E60" s="2351"/>
      <c r="F60" s="2351"/>
      <c r="G60" s="2351"/>
      <c r="H60" s="2351"/>
      <c r="I60" s="2351"/>
      <c r="J60" s="2351"/>
      <c r="K60" s="2351"/>
      <c r="L60" s="2351"/>
      <c r="M60" s="2348">
        <f>IF(OR(M25="Yes",M26="Yes"),M58*0.1,0)*0</f>
        <v>0</v>
      </c>
      <c r="N60" s="2349"/>
      <c r="O60" s="1182"/>
      <c r="P60" s="395"/>
      <c r="Q60" s="978"/>
      <c r="R60" s="9" t="s">
        <v>4861</v>
      </c>
      <c r="S60" s="1422">
        <f>409906*1.05</f>
        <v>430401.30000000005</v>
      </c>
      <c r="T60" s="1422">
        <f>193407*1.05</f>
        <v>203077.35</v>
      </c>
      <c r="U60" s="1423">
        <f>S60*1.15</f>
        <v>494961.495</v>
      </c>
      <c r="V60" s="1421">
        <f>T60*1.15</f>
        <v>233538.95249999998</v>
      </c>
      <c r="W60" s="1421">
        <f>M54+M55</f>
        <v>0</v>
      </c>
      <c r="X60" s="1421">
        <f>IF(W60&gt;U60,U60,IF(W60&lt;V60,V60,W60))</f>
        <v>233538.95249999998</v>
      </c>
      <c r="Y60" s="803">
        <f>IF(M36&lt;&gt;0,(M34+M35)/M36,0)</f>
        <v>0</v>
      </c>
      <c r="Z60" s="576">
        <f>W60*Y60</f>
        <v>0</v>
      </c>
      <c r="AA60" s="576">
        <f>X60*Y60</f>
        <v>0</v>
      </c>
      <c r="AB60" s="1735"/>
      <c r="AD60" s="1421"/>
      <c r="AG60" s="97"/>
      <c r="AL60" s="97"/>
      <c r="AM60" s="97"/>
      <c r="AN60" s="97"/>
      <c r="AO60" s="97"/>
      <c r="AP60" s="97"/>
      <c r="AQ60" s="97"/>
    </row>
    <row r="61" spans="1:54">
      <c r="B61" s="1116"/>
      <c r="C61" s="1116"/>
      <c r="D61" s="1116"/>
      <c r="E61" s="1180"/>
      <c r="F61" s="1181"/>
      <c r="G61" s="1181"/>
      <c r="H61" s="1181"/>
      <c r="I61" s="1116"/>
      <c r="J61" s="1182"/>
      <c r="K61" s="1182"/>
      <c r="L61" s="1182"/>
      <c r="M61" s="1182"/>
      <c r="N61" s="1182"/>
      <c r="O61" s="1182"/>
      <c r="P61" s="395"/>
      <c r="Q61" s="978"/>
      <c r="R61" s="9" t="s">
        <v>4862</v>
      </c>
      <c r="S61" s="1422">
        <f>342183*1.05</f>
        <v>359292.15</v>
      </c>
      <c r="T61" s="1422">
        <f>109597*1.05</f>
        <v>115076.85</v>
      </c>
      <c r="U61" s="1421">
        <f>S61*1.15</f>
        <v>413185.97249999997</v>
      </c>
      <c r="V61" s="1421">
        <f>T61*1.15</f>
        <v>132338.3775</v>
      </c>
      <c r="W61" s="1421">
        <f>M54+M55</f>
        <v>0</v>
      </c>
      <c r="X61" s="1421">
        <f>IF(W61&gt;U61,U61,IF(W61&lt;V61,V61,W61))</f>
        <v>132338.3775</v>
      </c>
      <c r="Y61" s="803">
        <f>IF(M36&lt;&gt;0,M33/M36,0)</f>
        <v>0</v>
      </c>
      <c r="Z61" s="576">
        <f>W61*Y61</f>
        <v>0</v>
      </c>
      <c r="AA61" s="576">
        <f>X61*Y61</f>
        <v>0</v>
      </c>
      <c r="AG61" s="97"/>
      <c r="AL61" s="97"/>
      <c r="AM61" s="97"/>
      <c r="AN61" s="97"/>
      <c r="AO61" s="97"/>
      <c r="AP61" s="97"/>
      <c r="AQ61" s="97"/>
    </row>
    <row r="62" spans="1:54">
      <c r="B62" s="1116"/>
      <c r="C62" s="2352" t="s">
        <v>4863</v>
      </c>
      <c r="D62" s="2353"/>
      <c r="E62" s="2353"/>
      <c r="F62" s="2353"/>
      <c r="G62" s="2353"/>
      <c r="H62" s="2353"/>
      <c r="I62" s="2353"/>
      <c r="J62" s="2353"/>
      <c r="K62" s="2353"/>
      <c r="L62" s="2353"/>
      <c r="M62" s="2346">
        <f>M58</f>
        <v>0</v>
      </c>
      <c r="N62" s="2347"/>
      <c r="O62" s="1182"/>
      <c r="P62" s="395"/>
      <c r="Q62" s="978"/>
      <c r="W62" s="576"/>
      <c r="Z62" s="576">
        <f>Z60+Z61</f>
        <v>0</v>
      </c>
      <c r="AA62" s="576">
        <f>AA60+AA61</f>
        <v>0</v>
      </c>
      <c r="AC62" s="576"/>
      <c r="AG62" s="97"/>
      <c r="AL62" s="97"/>
      <c r="AM62" s="97"/>
      <c r="AN62" s="97"/>
      <c r="AO62" s="97"/>
      <c r="AP62" s="97"/>
      <c r="AQ62" s="97"/>
    </row>
    <row r="63" spans="1:54">
      <c r="B63" s="1116"/>
      <c r="C63" s="2354" t="s">
        <v>4864</v>
      </c>
      <c r="D63" s="2355"/>
      <c r="E63" s="2355"/>
      <c r="F63" s="2355"/>
      <c r="G63" s="2355"/>
      <c r="H63" s="2355"/>
      <c r="I63" s="2355"/>
      <c r="J63" s="2355"/>
      <c r="K63" s="2355"/>
      <c r="L63" s="2355"/>
      <c r="M63" s="2344">
        <f>IFERROR(('14. Project Costs'!F173-M50-M22)/Total_Units,0)</f>
        <v>0</v>
      </c>
      <c r="N63" s="2345"/>
      <c r="O63" s="1182"/>
      <c r="P63" s="395"/>
      <c r="Q63" s="9" t="s">
        <v>4865</v>
      </c>
      <c r="S63" s="576"/>
      <c r="T63" s="576"/>
      <c r="V63" s="576"/>
      <c r="AA63" s="576"/>
      <c r="AG63" s="97"/>
      <c r="AL63" s="97"/>
      <c r="AM63" s="97"/>
      <c r="AN63" s="97"/>
      <c r="AO63" s="97"/>
    </row>
    <row r="64" spans="1:54">
      <c r="A64" s="940"/>
      <c r="B64" s="1116"/>
      <c r="C64" s="1116"/>
      <c r="D64" s="1116"/>
      <c r="E64" s="1179"/>
      <c r="F64" s="1179"/>
      <c r="G64" s="1179"/>
      <c r="H64" s="1179"/>
      <c r="I64" s="1179"/>
      <c r="J64" s="1138"/>
      <c r="K64" s="1138"/>
      <c r="L64" s="1138"/>
      <c r="M64" s="1138"/>
      <c r="N64" s="1138"/>
      <c r="O64" s="1138"/>
      <c r="R64" s="978" t="s">
        <v>4844</v>
      </c>
      <c r="S64" s="1419">
        <f>25769*1.1*1.15*1.05</f>
        <v>34227.674250000004</v>
      </c>
      <c r="T64" s="1416">
        <f>IF(M36="yes",S64*1.1,0)</f>
        <v>0</v>
      </c>
      <c r="U64" s="1416"/>
      <c r="V64" s="1416"/>
      <c r="W64" s="1416">
        <f>IF(M49&lt;&gt;0,T64*(M46/M49),0)</f>
        <v>0</v>
      </c>
      <c r="X64" s="978"/>
      <c r="Y64" s="978"/>
      <c r="Z64" s="978"/>
      <c r="AA64" s="978"/>
      <c r="AC64" s="1418"/>
      <c r="AG64" s="97"/>
      <c r="AH64" s="945"/>
      <c r="AJ64" s="945"/>
      <c r="AL64" s="97"/>
      <c r="AM64" s="97"/>
      <c r="AN64" s="97"/>
      <c r="AO64" s="97"/>
      <c r="AP64" s="97"/>
      <c r="AQ64" s="97"/>
      <c r="AR64" s="97"/>
      <c r="AS64" s="97"/>
      <c r="AT64" s="97"/>
      <c r="AU64" s="97"/>
      <c r="AV64" s="97"/>
    </row>
    <row r="65" spans="1:48" ht="18.75">
      <c r="A65" s="940"/>
      <c r="B65" s="8" t="s">
        <v>4866</v>
      </c>
      <c r="C65" s="834"/>
      <c r="D65" s="834"/>
      <c r="E65" s="834"/>
      <c r="F65" s="834"/>
      <c r="G65" s="834"/>
      <c r="H65" s="834"/>
      <c r="I65" s="834"/>
      <c r="J65" s="834"/>
      <c r="K65" s="628"/>
      <c r="L65" s="628"/>
      <c r="M65" s="628"/>
      <c r="N65" s="628"/>
      <c r="O65" s="628"/>
      <c r="R65" s="978"/>
      <c r="S65" s="1419"/>
      <c r="T65" s="1416"/>
      <c r="U65" s="1416"/>
      <c r="V65" s="1416"/>
      <c r="W65" s="1416"/>
      <c r="X65" s="978"/>
      <c r="Y65" s="978"/>
      <c r="Z65" s="978"/>
      <c r="AA65" s="978"/>
      <c r="AC65" s="1418"/>
      <c r="AG65" s="97"/>
      <c r="AH65" s="945"/>
      <c r="AJ65" s="945"/>
      <c r="AL65" s="97"/>
      <c r="AM65" s="97"/>
      <c r="AN65" s="97"/>
      <c r="AO65" s="97"/>
      <c r="AP65" s="97"/>
      <c r="AQ65" s="97"/>
      <c r="AR65" s="97"/>
      <c r="AS65" s="97"/>
      <c r="AT65" s="97"/>
      <c r="AU65" s="97"/>
      <c r="AV65" s="97"/>
    </row>
    <row r="66" spans="1:48">
      <c r="A66" s="940"/>
      <c r="B66" s="1131"/>
      <c r="C66" s="1116"/>
      <c r="D66" s="1116"/>
      <c r="E66" s="1179"/>
      <c r="F66" s="1179"/>
      <c r="G66" s="1179"/>
      <c r="H66" s="1179"/>
      <c r="I66" s="1179"/>
      <c r="J66" s="1138"/>
      <c r="K66" s="1138"/>
      <c r="L66" s="1138"/>
      <c r="M66" s="1138"/>
      <c r="N66" s="1138"/>
      <c r="O66" s="1138"/>
      <c r="P66" s="395"/>
      <c r="Q66" s="978"/>
      <c r="AG66" s="97"/>
      <c r="AL66" s="97"/>
      <c r="AM66" s="97"/>
      <c r="AN66" s="97"/>
      <c r="AO66" s="97"/>
    </row>
    <row r="67" spans="1:48">
      <c r="B67" s="1116"/>
      <c r="C67" s="2428" t="s">
        <v>4867</v>
      </c>
      <c r="D67" s="2429"/>
      <c r="E67" s="2429"/>
      <c r="F67" s="2429"/>
      <c r="G67" s="2429"/>
      <c r="H67" s="2429"/>
      <c r="I67" s="2429"/>
      <c r="J67" s="2429"/>
      <c r="K67" s="2429"/>
      <c r="L67" s="2429"/>
      <c r="M67" s="2429"/>
      <c r="N67" s="2430"/>
      <c r="O67" s="1182"/>
      <c r="P67" s="395"/>
      <c r="Q67" s="978"/>
      <c r="R67" s="978"/>
      <c r="S67" s="978"/>
      <c r="T67" s="1418"/>
      <c r="U67" s="978"/>
      <c r="V67" s="978"/>
      <c r="W67" s="978"/>
      <c r="X67" s="1424"/>
      <c r="Y67" s="978"/>
      <c r="AG67" s="97"/>
      <c r="AL67" s="97"/>
      <c r="AM67" s="97"/>
      <c r="AN67" s="97"/>
      <c r="AO67" s="97"/>
    </row>
    <row r="68" spans="1:48">
      <c r="B68" s="1116"/>
      <c r="C68" s="2431"/>
      <c r="D68" s="2432"/>
      <c r="E68" s="2432"/>
      <c r="F68" s="2432"/>
      <c r="G68" s="2432"/>
      <c r="H68" s="2432"/>
      <c r="I68" s="2432"/>
      <c r="J68" s="2432"/>
      <c r="K68" s="2432"/>
      <c r="L68" s="2432"/>
      <c r="M68" s="2432"/>
      <c r="N68" s="2433"/>
      <c r="O68" s="1138"/>
      <c r="P68" s="395"/>
      <c r="Q68" s="978"/>
      <c r="Z68" s="1415"/>
      <c r="AG68" s="97"/>
      <c r="AL68" s="97"/>
      <c r="AM68" s="97"/>
      <c r="AN68" s="97"/>
      <c r="AO68" s="97"/>
    </row>
    <row r="69" spans="1:48">
      <c r="B69" s="1116"/>
      <c r="C69" s="2422" t="s">
        <v>4868</v>
      </c>
      <c r="D69" s="2423"/>
      <c r="E69" s="2423"/>
      <c r="F69" s="2423"/>
      <c r="G69" s="2423"/>
      <c r="H69" s="2423"/>
      <c r="I69" s="2423"/>
      <c r="J69" s="2423"/>
      <c r="K69" s="2423"/>
      <c r="L69" s="2423"/>
      <c r="M69" s="2423"/>
      <c r="N69" s="2424"/>
      <c r="O69" s="1138"/>
      <c r="P69" s="395"/>
      <c r="Q69" s="978"/>
      <c r="Z69" s="1416"/>
      <c r="AG69" s="97"/>
      <c r="AL69" s="97"/>
      <c r="AM69" s="97"/>
      <c r="AN69" s="97"/>
      <c r="AO69" s="97"/>
    </row>
    <row r="70" spans="1:48" ht="28.9" customHeight="1">
      <c r="B70" s="1116"/>
      <c r="C70" s="1183" t="s">
        <v>4869</v>
      </c>
      <c r="D70" s="2338" t="s">
        <v>4870</v>
      </c>
      <c r="E70" s="2338"/>
      <c r="F70" s="2338"/>
      <c r="G70" s="2338"/>
      <c r="H70" s="2338"/>
      <c r="I70" s="2338"/>
      <c r="J70" s="2338"/>
      <c r="K70" s="2338"/>
      <c r="L70" s="2338"/>
      <c r="M70" s="2338"/>
      <c r="N70" s="2339"/>
      <c r="O70" s="1116"/>
      <c r="P70" s="395"/>
      <c r="Q70" s="978"/>
      <c r="Z70" s="978"/>
      <c r="AG70" s="97"/>
      <c r="AL70" s="97"/>
      <c r="AM70" s="97"/>
      <c r="AN70" s="97"/>
      <c r="AO70" s="97"/>
    </row>
    <row r="71" spans="1:48" ht="28.9" customHeight="1">
      <c r="B71" s="1116"/>
      <c r="C71" s="1183" t="s">
        <v>4869</v>
      </c>
      <c r="D71" s="2338" t="s">
        <v>4871</v>
      </c>
      <c r="E71" s="2338"/>
      <c r="F71" s="2338"/>
      <c r="G71" s="2338"/>
      <c r="H71" s="2338"/>
      <c r="I71" s="2338"/>
      <c r="J71" s="2338"/>
      <c r="K71" s="2338"/>
      <c r="L71" s="2338"/>
      <c r="M71" s="2338"/>
      <c r="N71" s="2339"/>
      <c r="O71" s="1116"/>
      <c r="P71" s="395"/>
      <c r="Q71" s="978"/>
      <c r="AG71" s="97"/>
      <c r="AL71" s="97"/>
      <c r="AM71" s="97"/>
      <c r="AN71" s="97"/>
    </row>
    <row r="72" spans="1:48" ht="28.9" customHeight="1">
      <c r="B72" s="1116"/>
      <c r="C72" s="1183" t="s">
        <v>4869</v>
      </c>
      <c r="D72" s="2338" t="s">
        <v>4872</v>
      </c>
      <c r="E72" s="2338"/>
      <c r="F72" s="2338"/>
      <c r="G72" s="2338"/>
      <c r="H72" s="2338"/>
      <c r="I72" s="2338"/>
      <c r="J72" s="2338"/>
      <c r="K72" s="2338"/>
      <c r="L72" s="2338"/>
      <c r="M72" s="2338"/>
      <c r="N72" s="2339"/>
      <c r="O72" s="1116"/>
      <c r="P72" s="395"/>
      <c r="Q72" s="978"/>
      <c r="AG72" s="97"/>
      <c r="AL72" s="97"/>
      <c r="AM72" s="97"/>
      <c r="AN72" s="97"/>
    </row>
    <row r="73" spans="1:48" ht="28.9" customHeight="1">
      <c r="B73" s="1116"/>
      <c r="C73" s="1183" t="s">
        <v>4869</v>
      </c>
      <c r="D73" s="2338" t="s">
        <v>4873</v>
      </c>
      <c r="E73" s="2338"/>
      <c r="F73" s="2338"/>
      <c r="G73" s="2338"/>
      <c r="H73" s="2338"/>
      <c r="I73" s="2338"/>
      <c r="J73" s="2338"/>
      <c r="K73" s="2338"/>
      <c r="L73" s="2338"/>
      <c r="M73" s="2338"/>
      <c r="N73" s="2339"/>
      <c r="O73" s="1116"/>
      <c r="P73" s="395"/>
      <c r="Q73" s="978"/>
      <c r="AG73" s="97"/>
      <c r="AL73" s="97"/>
      <c r="AM73" s="97"/>
      <c r="AN73" s="97"/>
    </row>
    <row r="74" spans="1:48" ht="47.25" customHeight="1">
      <c r="B74" s="1116"/>
      <c r="C74" s="1184" t="s">
        <v>4869</v>
      </c>
      <c r="D74" s="2336" t="s">
        <v>4874</v>
      </c>
      <c r="E74" s="2336"/>
      <c r="F74" s="2336"/>
      <c r="G74" s="2336"/>
      <c r="H74" s="2336"/>
      <c r="I74" s="2336"/>
      <c r="J74" s="2336"/>
      <c r="K74" s="2336"/>
      <c r="L74" s="2336"/>
      <c r="M74" s="2336"/>
      <c r="N74" s="2337"/>
      <c r="O74" s="1116"/>
      <c r="AG74" s="97"/>
      <c r="AL74" s="97"/>
      <c r="AM74" s="97"/>
      <c r="AN74" s="97"/>
    </row>
    <row r="75" spans="1:48">
      <c r="B75" s="1116"/>
      <c r="C75" s="1116"/>
      <c r="D75" s="1116"/>
      <c r="E75" s="1116"/>
      <c r="F75" s="1116"/>
      <c r="G75" s="1116"/>
      <c r="H75" s="1116"/>
      <c r="I75" s="1116"/>
      <c r="J75" s="1116"/>
      <c r="K75" s="1116"/>
      <c r="L75" s="1116"/>
      <c r="M75" s="1116"/>
      <c r="N75" s="1116"/>
      <c r="O75" s="1116"/>
      <c r="AA75" s="1735"/>
      <c r="AG75" s="97"/>
      <c r="AL75" s="97"/>
      <c r="AM75" s="97"/>
      <c r="AN75" s="97"/>
    </row>
    <row r="76" spans="1:48">
      <c r="AG76" s="97"/>
      <c r="AL76" s="97"/>
      <c r="AM76" s="97"/>
      <c r="AN76" s="97"/>
      <c r="AO76" s="97"/>
      <c r="AP76" s="97"/>
      <c r="AQ76" s="97"/>
      <c r="AR76" s="97"/>
      <c r="AS76" s="97"/>
      <c r="AT76" s="97"/>
      <c r="AU76" s="97"/>
    </row>
    <row r="77" spans="1:48">
      <c r="AG77" s="97"/>
      <c r="AR77" s="97"/>
      <c r="AS77" s="97"/>
      <c r="AT77" s="97"/>
      <c r="AU77" s="97"/>
    </row>
    <row r="78" spans="1:48">
      <c r="AG78" s="97"/>
      <c r="AR78" s="97"/>
      <c r="AS78" s="97"/>
      <c r="AT78" s="97"/>
      <c r="AU78" s="97"/>
    </row>
    <row r="79" spans="1:48">
      <c r="AG79" s="97"/>
      <c r="AR79" s="97"/>
      <c r="AS79" s="97"/>
      <c r="AT79" s="97"/>
      <c r="AU79" s="97"/>
    </row>
    <row r="80" spans="1:48">
      <c r="AG80" s="97"/>
      <c r="AR80" s="97"/>
      <c r="AS80" s="97"/>
      <c r="AT80" s="97"/>
      <c r="AU80" s="97"/>
    </row>
    <row r="81" spans="33:47">
      <c r="AG81" s="97"/>
      <c r="AR81" s="97"/>
      <c r="AS81" s="97"/>
      <c r="AT81" s="97"/>
      <c r="AU81" s="97"/>
    </row>
  </sheetData>
  <sheetProtection algorithmName="SHA-512" hashValue="UuvBLneXXoEw/kt3WvvsEqENlzgsqdmITBBxpjOKavwhRfengFKzS3x5f3v/d6lvIMNbj4RRgt4Tw+eCk8cj9A==" saltValue="ZcYfklMO/74VdBHuZsuFGw==" spinCount="100000" sheet="1" objects="1" scenarios="1" selectLockedCells="1"/>
  <mergeCells count="73">
    <mergeCell ref="B1:I1"/>
    <mergeCell ref="M1:O1"/>
    <mergeCell ref="C69:N69"/>
    <mergeCell ref="F59:H59"/>
    <mergeCell ref="C50:L50"/>
    <mergeCell ref="C67:N67"/>
    <mergeCell ref="C68:N68"/>
    <mergeCell ref="C7:N7"/>
    <mergeCell ref="C8:N8"/>
    <mergeCell ref="C9:N9"/>
    <mergeCell ref="C10:N10"/>
    <mergeCell ref="C11:N11"/>
    <mergeCell ref="C12:N12"/>
    <mergeCell ref="C13:N13"/>
    <mergeCell ref="C14:N14"/>
    <mergeCell ref="C15:N15"/>
    <mergeCell ref="C22:L22"/>
    <mergeCell ref="C23:L23"/>
    <mergeCell ref="C24:L24"/>
    <mergeCell ref="C25:L25"/>
    <mergeCell ref="C16:N16"/>
    <mergeCell ref="C17:N17"/>
    <mergeCell ref="C18:N18"/>
    <mergeCell ref="M22:N22"/>
    <mergeCell ref="C26:L26"/>
    <mergeCell ref="C27:L27"/>
    <mergeCell ref="M23:N23"/>
    <mergeCell ref="M24:N24"/>
    <mergeCell ref="M25:N25"/>
    <mergeCell ref="M26:N26"/>
    <mergeCell ref="M27:N27"/>
    <mergeCell ref="M33:N33"/>
    <mergeCell ref="M34:N34"/>
    <mergeCell ref="M35:N35"/>
    <mergeCell ref="C33:L33"/>
    <mergeCell ref="C34:L34"/>
    <mergeCell ref="C35:L35"/>
    <mergeCell ref="C36:L36"/>
    <mergeCell ref="M36:N36"/>
    <mergeCell ref="M50:N50"/>
    <mergeCell ref="C40:L40"/>
    <mergeCell ref="C41:L41"/>
    <mergeCell ref="C39:L39"/>
    <mergeCell ref="C42:L42"/>
    <mergeCell ref="M39:N39"/>
    <mergeCell ref="M40:N40"/>
    <mergeCell ref="M41:N41"/>
    <mergeCell ref="M42:N42"/>
    <mergeCell ref="C45:L45"/>
    <mergeCell ref="C46:L46"/>
    <mergeCell ref="C47:L47"/>
    <mergeCell ref="M45:N45"/>
    <mergeCell ref="M46:N46"/>
    <mergeCell ref="M47:N47"/>
    <mergeCell ref="M54:N54"/>
    <mergeCell ref="M55:N55"/>
    <mergeCell ref="M56:N56"/>
    <mergeCell ref="C54:L54"/>
    <mergeCell ref="C55:L55"/>
    <mergeCell ref="C56:L56"/>
    <mergeCell ref="M58:N58"/>
    <mergeCell ref="C58:L58"/>
    <mergeCell ref="M63:N63"/>
    <mergeCell ref="M62:N62"/>
    <mergeCell ref="M60:N60"/>
    <mergeCell ref="C60:L60"/>
    <mergeCell ref="C62:L62"/>
    <mergeCell ref="C63:L63"/>
    <mergeCell ref="D74:N74"/>
    <mergeCell ref="D70:N70"/>
    <mergeCell ref="D71:N71"/>
    <mergeCell ref="D72:N72"/>
    <mergeCell ref="D73:N73"/>
  </mergeCells>
  <conditionalFormatting sqref="M62">
    <cfRule type="expression" dxfId="229" priority="2">
      <formula>"&gt;$G$47"</formula>
    </cfRule>
    <cfRule type="expression" dxfId="228" priority="3">
      <formula>"&lt;=$G$47"</formula>
    </cfRule>
  </conditionalFormatting>
  <conditionalFormatting sqref="M63">
    <cfRule type="expression" dxfId="227" priority="1">
      <formula>$M$63&gt;$M$62</formula>
    </cfRule>
    <cfRule type="expression" dxfId="226" priority="4">
      <formula>$M$63&lt;=$M$62</formula>
    </cfRule>
  </conditionalFormatting>
  <dataValidations count="2">
    <dataValidation type="custom" allowBlank="1" showInputMessage="1" showErrorMessage="1" sqref="M1 A7 C7:D7" xr:uid="{6F45AE5E-BF06-4B8E-A6F2-9EC217242422}">
      <formula1>"&lt;0&gt;0"</formula1>
    </dataValidation>
    <dataValidation type="list" allowBlank="1" showInputMessage="1" showErrorMessage="1" sqref="M23:M27" xr:uid="{0D8B3DEE-7F23-44E6-B9A7-6380869A98F8}">
      <formula1>YesNo</formula1>
    </dataValidation>
  </dataValidations>
  <pageMargins left="0.7" right="0.7" top="0.75" bottom="0.75" header="0.3" footer="0.3"/>
  <pageSetup scale="67" fitToHeight="0" orientation="portrait" r:id="rId1"/>
  <headerFooter>
    <oddHeader>&amp;L&amp;G</oddHeader>
    <oddFooter>&amp;CWHEDA MULTIFAMILY APPLICATION&amp;R&amp;P of &amp;N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9390-22DD-4D78-9318-3D8511782D12}">
  <sheetPr codeName="Sheet20">
    <pageSetUpPr fitToPage="1"/>
  </sheetPr>
  <dimension ref="A1:CH766"/>
  <sheetViews>
    <sheetView workbookViewId="0">
      <selection activeCell="G15" sqref="G15"/>
    </sheetView>
  </sheetViews>
  <sheetFormatPr defaultColWidth="9.140625" defaultRowHeight="15"/>
  <cols>
    <col min="1" max="1" width="4.28515625" style="64" customWidth="1"/>
    <col min="2" max="2" width="5.42578125" style="26" customWidth="1"/>
    <col min="3" max="3" width="47.140625" style="26" customWidth="1"/>
    <col min="4" max="4" width="23.5703125" style="26" bestFit="1" customWidth="1"/>
    <col min="5" max="5" width="20.42578125" style="26" customWidth="1"/>
    <col min="6" max="6" width="19.85546875" style="26" bestFit="1" customWidth="1"/>
    <col min="7" max="7" width="15.5703125" style="26" customWidth="1"/>
    <col min="8" max="8" width="16.28515625" style="26" bestFit="1" customWidth="1"/>
    <col min="9" max="9" width="20.42578125" style="26" bestFit="1" customWidth="1"/>
    <col min="10" max="36" width="15.5703125" style="26" customWidth="1"/>
    <col min="37" max="37" width="6.7109375" style="26" customWidth="1"/>
    <col min="38" max="40" width="0" style="26" hidden="1" customWidth="1"/>
    <col min="41" max="41" width="0" style="585" hidden="1" customWidth="1"/>
    <col min="42" max="45" width="0" style="26" hidden="1" customWidth="1"/>
    <col min="46" max="16384" width="9.140625" style="26"/>
  </cols>
  <sheetData>
    <row r="1" spans="1:86" ht="28.5">
      <c r="A1" s="1477"/>
      <c r="B1" s="835" t="str">
        <f>'1. TOC'!B1</f>
        <v>WHEDA 2025 Multifamily Application</v>
      </c>
      <c r="C1" s="1477"/>
      <c r="D1" s="836"/>
      <c r="E1" s="450" t="str">
        <f>'1. TOC'!L1</f>
        <v>v25.1.12</v>
      </c>
      <c r="F1" s="947" t="str">
        <f>HYPERLINK("#Table_of_Contents", Table_of_Contents)</f>
        <v>Table of Contents</v>
      </c>
      <c r="G1" s="1475"/>
      <c r="H1" s="1475"/>
      <c r="I1" s="1475"/>
      <c r="J1" s="1475"/>
      <c r="K1" s="1475"/>
      <c r="L1" s="1475"/>
      <c r="M1" s="1475"/>
      <c r="N1" s="1476"/>
      <c r="O1" s="1476"/>
      <c r="P1" s="1476"/>
      <c r="Q1" s="1477"/>
      <c r="R1" s="1477"/>
      <c r="S1" s="1477"/>
      <c r="T1" s="1477"/>
      <c r="U1" s="1477"/>
      <c r="V1" s="1477"/>
      <c r="W1" s="1477"/>
      <c r="X1" s="1477"/>
      <c r="Y1" s="1477"/>
      <c r="Z1" s="1477"/>
      <c r="AA1" s="1477"/>
      <c r="AB1" s="1477"/>
      <c r="AC1" s="1477"/>
      <c r="AD1" s="1477"/>
      <c r="AE1" s="1477"/>
      <c r="AF1" s="1477"/>
      <c r="AG1" s="1477"/>
      <c r="AH1" s="1477"/>
      <c r="AI1" s="1477"/>
      <c r="AJ1" s="1477"/>
      <c r="AK1" s="1477"/>
      <c r="AL1" s="1477"/>
      <c r="AM1" s="1477"/>
      <c r="AN1" s="1477"/>
      <c r="AO1" s="284"/>
      <c r="AP1" s="1477"/>
      <c r="AQ1" s="1477"/>
      <c r="AR1" s="1477"/>
      <c r="AS1" s="1477"/>
      <c r="AT1" s="1477"/>
      <c r="AU1" s="1477"/>
      <c r="AV1" s="1477"/>
      <c r="AW1" s="1477"/>
      <c r="AX1" s="1477"/>
      <c r="AY1" s="1477"/>
      <c r="AZ1" s="1477"/>
      <c r="BA1" s="1477"/>
      <c r="BB1" s="1477"/>
      <c r="BC1" s="1477"/>
      <c r="BD1" s="1477"/>
      <c r="BE1" s="1477"/>
      <c r="BF1" s="1477"/>
      <c r="BG1" s="1477"/>
      <c r="BH1" s="1477"/>
      <c r="BI1" s="1477"/>
      <c r="BJ1" s="1477"/>
      <c r="BK1" s="1477"/>
      <c r="BL1" s="1477"/>
      <c r="BM1" s="1477"/>
      <c r="BN1" s="1477"/>
      <c r="BO1" s="1477"/>
      <c r="BP1" s="1477"/>
      <c r="BQ1" s="1477"/>
      <c r="BR1" s="1477"/>
      <c r="BS1" s="1477"/>
      <c r="BT1" s="1477"/>
      <c r="BU1" s="1477"/>
      <c r="BV1" s="1477"/>
      <c r="BW1" s="1477"/>
      <c r="BX1" s="1477"/>
      <c r="BY1" s="1477"/>
      <c r="BZ1" s="1477"/>
      <c r="CA1" s="1477"/>
      <c r="CB1" s="1477"/>
      <c r="CC1" s="1477"/>
      <c r="CD1" s="1477"/>
      <c r="CE1" s="1477"/>
      <c r="CF1" s="1477"/>
      <c r="CG1" s="1477"/>
      <c r="CH1" s="1477"/>
    </row>
    <row r="2" spans="1:86" ht="18.75">
      <c r="A2" s="1477"/>
      <c r="B2" s="811" t="str">
        <f>_xlfn.CONCAT(IF(ISBLANK(WHEDA_Project_Number),"",_xlfn.CONCAT(WHEDA_Project_Number," - ")), Project_Name, IF(ISBLANK(Credit_percentage_applied_for),"",_xlfn.CONCAT(" - ", Credit_percentage_applied_for," HTC")))</f>
        <v/>
      </c>
      <c r="C2" s="1559"/>
      <c r="D2" s="837"/>
      <c r="E2" s="1560"/>
      <c r="F2" s="1560"/>
      <c r="G2" s="1566"/>
      <c r="H2" s="1566"/>
      <c r="I2" s="1566"/>
      <c r="J2" s="1566"/>
      <c r="K2" s="1566"/>
      <c r="L2" s="1566"/>
      <c r="M2" s="1566"/>
      <c r="N2" s="1560"/>
      <c r="O2" s="1560"/>
      <c r="P2" s="1560"/>
      <c r="Q2" s="1559"/>
      <c r="R2" s="1559"/>
      <c r="S2" s="1559"/>
      <c r="T2" s="1559"/>
      <c r="U2" s="1559"/>
      <c r="V2" s="1559"/>
      <c r="W2" s="1559"/>
      <c r="X2" s="1559"/>
      <c r="Y2" s="1559"/>
      <c r="Z2" s="1559"/>
      <c r="AA2" s="1559"/>
      <c r="AB2" s="1559"/>
      <c r="AC2" s="1559"/>
      <c r="AD2" s="1559"/>
      <c r="AE2" s="1559"/>
      <c r="AF2" s="1559"/>
      <c r="AG2" s="1559"/>
      <c r="AH2" s="1559"/>
      <c r="AI2" s="1559"/>
      <c r="AJ2" s="1559"/>
      <c r="AK2" s="1559"/>
      <c r="AL2" s="1477"/>
      <c r="AM2" s="1477"/>
      <c r="AN2" s="1477"/>
      <c r="AO2" s="284"/>
      <c r="AP2" s="1477"/>
      <c r="AQ2" s="1477"/>
      <c r="AR2" s="1477"/>
      <c r="AS2" s="1477"/>
      <c r="AT2" s="1477"/>
      <c r="AU2" s="1477"/>
      <c r="AV2" s="1477"/>
      <c r="AW2" s="1477"/>
      <c r="AX2" s="1477"/>
      <c r="AY2" s="1477"/>
      <c r="AZ2" s="1477"/>
      <c r="BA2" s="1477"/>
      <c r="BB2" s="1477"/>
      <c r="BC2" s="1477"/>
      <c r="BD2" s="1477"/>
      <c r="BE2" s="1477"/>
      <c r="BF2" s="1477"/>
      <c r="BG2" s="1477"/>
      <c r="BH2" s="1477"/>
      <c r="BI2" s="1477"/>
      <c r="BJ2" s="1477"/>
      <c r="BK2" s="1477"/>
      <c r="BL2" s="1477"/>
      <c r="BM2" s="1477"/>
      <c r="BN2" s="1477"/>
      <c r="BO2" s="1477"/>
      <c r="BP2" s="1477"/>
      <c r="BQ2" s="1477"/>
      <c r="BR2" s="1477"/>
      <c r="BS2" s="1477"/>
      <c r="BT2" s="1477"/>
      <c r="BU2" s="1477"/>
      <c r="BV2" s="1477"/>
      <c r="BW2" s="1477"/>
      <c r="BX2" s="1477"/>
      <c r="BY2" s="1477"/>
      <c r="BZ2" s="1477"/>
      <c r="CA2" s="1477"/>
      <c r="CB2" s="1477"/>
      <c r="CC2" s="1477"/>
      <c r="CD2" s="1477"/>
      <c r="CE2" s="1477"/>
      <c r="CF2" s="1477"/>
      <c r="CG2" s="1477"/>
      <c r="CH2" s="1477"/>
    </row>
    <row r="3" spans="1:86" s="585" customForma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row>
    <row r="4" spans="1:86" ht="28.5">
      <c r="A4" s="1477"/>
      <c r="B4" s="4" t="s">
        <v>135</v>
      </c>
      <c r="C4" s="119"/>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c r="AE4" s="1477"/>
      <c r="AF4" s="1477"/>
      <c r="AG4" s="1477"/>
      <c r="AH4" s="1477"/>
      <c r="AI4" s="1477"/>
      <c r="AJ4" s="1477"/>
      <c r="AK4" s="121"/>
      <c r="AL4" s="1477"/>
      <c r="AM4" s="1477"/>
      <c r="AN4" s="1477"/>
      <c r="AO4" s="284"/>
      <c r="AP4" s="1477"/>
      <c r="AQ4" s="1477"/>
      <c r="AR4" s="1477"/>
      <c r="AS4" s="1477"/>
      <c r="AT4" s="1477"/>
      <c r="AU4" s="1477"/>
      <c r="AV4" s="1477"/>
      <c r="AW4" s="1477"/>
      <c r="AX4" s="1477"/>
      <c r="AY4" s="1477"/>
      <c r="AZ4" s="1477"/>
      <c r="BA4" s="1477"/>
      <c r="BB4" s="1477"/>
      <c r="BC4" s="1477"/>
      <c r="BD4" s="1477"/>
      <c r="BE4" s="1477"/>
      <c r="BF4" s="1477"/>
      <c r="BG4" s="1477"/>
      <c r="BH4" s="1477"/>
      <c r="BI4" s="1477"/>
      <c r="BJ4" s="1477"/>
      <c r="BK4" s="1477"/>
      <c r="BL4" s="1477"/>
      <c r="BM4" s="1477"/>
      <c r="BN4" s="1477"/>
      <c r="BO4" s="1477"/>
      <c r="BP4" s="1477"/>
      <c r="BQ4" s="1477"/>
      <c r="BR4" s="1477"/>
      <c r="BS4" s="1477"/>
      <c r="BT4" s="1477"/>
      <c r="BU4" s="1477"/>
      <c r="BV4" s="1477"/>
      <c r="BW4" s="1477"/>
      <c r="BX4" s="1477"/>
      <c r="BY4" s="1477"/>
      <c r="BZ4" s="1477"/>
      <c r="CA4" s="1477"/>
      <c r="CB4" s="1477"/>
      <c r="CC4" s="1477"/>
      <c r="CD4" s="1477"/>
      <c r="CE4" s="1477"/>
      <c r="CF4" s="1477"/>
      <c r="CG4" s="1477"/>
      <c r="CH4" s="1477"/>
    </row>
    <row r="5" spans="1:86">
      <c r="A5" s="1477"/>
      <c r="B5" s="1714"/>
      <c r="C5" s="1791" t="s">
        <v>4875</v>
      </c>
      <c r="D5" s="1714"/>
      <c r="E5" s="1714"/>
      <c r="F5" s="1714"/>
      <c r="G5" s="1714"/>
      <c r="H5" s="1714"/>
      <c r="I5" s="1714"/>
      <c r="J5" s="1714"/>
      <c r="K5" s="1714"/>
      <c r="L5" s="1714"/>
      <c r="M5" s="1714"/>
      <c r="N5" s="1714"/>
      <c r="O5" s="1714"/>
      <c r="P5" s="1714"/>
      <c r="Q5" s="1714"/>
      <c r="R5" s="1714"/>
      <c r="S5" s="1714"/>
      <c r="T5" s="1714"/>
      <c r="U5" s="1714"/>
      <c r="V5" s="1714"/>
      <c r="W5" s="1714"/>
      <c r="X5" s="1714"/>
      <c r="Y5" s="1714"/>
      <c r="Z5" s="1714"/>
      <c r="AA5" s="1714"/>
      <c r="AB5" s="1714"/>
      <c r="AC5" s="1714"/>
      <c r="AD5" s="1714"/>
      <c r="AE5" s="1714"/>
      <c r="AF5" s="1714"/>
      <c r="AG5" s="1714"/>
      <c r="AH5" s="1714"/>
      <c r="AI5" s="1714"/>
      <c r="AJ5" s="1714"/>
      <c r="AK5" s="1714"/>
      <c r="AL5" s="1477"/>
      <c r="AM5" s="1477"/>
      <c r="AN5" s="1477"/>
      <c r="AO5" s="284"/>
      <c r="AP5" s="1477"/>
      <c r="AQ5" s="1477"/>
      <c r="AR5" s="1477"/>
      <c r="AS5" s="1477"/>
      <c r="AT5" s="1477"/>
      <c r="AU5" s="1477"/>
      <c r="AV5" s="1477"/>
      <c r="AW5" s="1477"/>
      <c r="AX5" s="1477"/>
      <c r="AY5" s="1477"/>
      <c r="AZ5" s="1477"/>
      <c r="BA5" s="1477"/>
      <c r="BB5" s="1477"/>
      <c r="BC5" s="1477"/>
      <c r="BD5" s="1477"/>
      <c r="BE5" s="1477"/>
      <c r="BF5" s="1477"/>
      <c r="BG5" s="1477"/>
      <c r="BH5" s="1477"/>
      <c r="BI5" s="1477"/>
      <c r="BJ5" s="1477"/>
      <c r="BK5" s="1477"/>
      <c r="BL5" s="1477"/>
      <c r="BM5" s="1477"/>
      <c r="BN5" s="1477"/>
      <c r="BO5" s="1477"/>
      <c r="BP5" s="1477"/>
      <c r="BQ5" s="1477"/>
      <c r="BR5" s="1477"/>
      <c r="BS5" s="1477"/>
      <c r="BT5" s="1477"/>
      <c r="BU5" s="1477"/>
      <c r="BV5" s="1477"/>
      <c r="BW5" s="1477"/>
      <c r="BX5" s="1477"/>
      <c r="BY5" s="1477"/>
      <c r="BZ5" s="1477"/>
      <c r="CA5" s="1477"/>
      <c r="CB5" s="1477"/>
      <c r="CC5" s="1477"/>
      <c r="CD5" s="1477"/>
      <c r="CE5" s="1477"/>
      <c r="CF5" s="1477"/>
      <c r="CG5" s="1477"/>
      <c r="CH5" s="1477"/>
    </row>
    <row r="6" spans="1:86" ht="30">
      <c r="A6" s="1477"/>
      <c r="B6" s="1714"/>
      <c r="C6" s="1768" t="s">
        <v>7458</v>
      </c>
      <c r="D6" s="1714"/>
      <c r="E6" s="1714"/>
      <c r="F6" s="1714"/>
      <c r="G6" s="122" t="s">
        <v>4876</v>
      </c>
      <c r="H6" s="122" t="s">
        <v>4877</v>
      </c>
      <c r="I6" s="122" t="s">
        <v>4878</v>
      </c>
      <c r="J6" s="1714"/>
      <c r="K6" s="1714"/>
      <c r="L6" s="1714"/>
      <c r="M6" s="1714"/>
      <c r="N6" s="1714"/>
      <c r="O6" s="1714"/>
      <c r="P6" s="1714"/>
      <c r="Q6" s="1714"/>
      <c r="R6" s="1714"/>
      <c r="S6" s="1714"/>
      <c r="T6" s="1714"/>
      <c r="U6" s="1714"/>
      <c r="V6" s="1714"/>
      <c r="W6" s="1714"/>
      <c r="X6" s="1714"/>
      <c r="Y6" s="1714"/>
      <c r="Z6" s="1714"/>
      <c r="AA6" s="1714"/>
      <c r="AB6" s="1714"/>
      <c r="AC6" s="1714"/>
      <c r="AD6" s="1714"/>
      <c r="AE6" s="1714"/>
      <c r="AF6" s="1714"/>
      <c r="AG6" s="1714"/>
      <c r="AH6" s="1714"/>
      <c r="AI6" s="1714"/>
      <c r="AJ6" s="1714"/>
      <c r="AK6" s="1714"/>
      <c r="AL6" s="1477"/>
      <c r="AM6" s="1477"/>
      <c r="AN6" s="1477"/>
      <c r="AO6" s="284"/>
      <c r="AP6" s="1477"/>
      <c r="AQ6" s="1477"/>
      <c r="AR6" s="1477"/>
      <c r="AS6" s="1477"/>
      <c r="AT6" s="1477"/>
      <c r="AU6" s="1477"/>
      <c r="AV6" s="1477"/>
      <c r="AW6" s="1477"/>
      <c r="AX6" s="1477"/>
      <c r="AY6" s="1477"/>
      <c r="AZ6" s="1477"/>
      <c r="BA6" s="1477"/>
      <c r="BB6" s="1477"/>
      <c r="BC6" s="1477"/>
      <c r="BD6" s="1477"/>
      <c r="BE6" s="1477"/>
      <c r="BF6" s="1477"/>
      <c r="BG6" s="1477"/>
      <c r="BH6" s="1477"/>
      <c r="BI6" s="1477"/>
      <c r="BJ6" s="1477"/>
      <c r="BK6" s="1477"/>
      <c r="BL6" s="1477"/>
      <c r="BM6" s="1477"/>
      <c r="BN6" s="1477"/>
      <c r="BO6" s="1477"/>
      <c r="BP6" s="1477"/>
      <c r="BQ6" s="1477"/>
      <c r="BR6" s="1477"/>
      <c r="BS6" s="1477"/>
      <c r="BT6" s="1477"/>
      <c r="BU6" s="1477"/>
      <c r="BV6" s="1477"/>
      <c r="BW6" s="1477"/>
      <c r="BX6" s="1477"/>
      <c r="BY6" s="1477"/>
      <c r="BZ6" s="1477"/>
      <c r="CA6" s="1477"/>
      <c r="CB6" s="1477"/>
      <c r="CC6" s="1477"/>
      <c r="CD6" s="1477"/>
      <c r="CE6" s="1477"/>
      <c r="CF6" s="1477"/>
      <c r="CG6" s="1477"/>
      <c r="CH6" s="1477"/>
    </row>
    <row r="7" spans="1:86">
      <c r="A7" s="1477"/>
      <c r="B7" s="1714"/>
      <c r="C7" s="1714"/>
      <c r="D7" s="1714"/>
      <c r="E7" s="1714"/>
      <c r="F7" s="1714"/>
      <c r="G7" s="574">
        <f>+Construction_Start_Date</f>
        <v>0</v>
      </c>
      <c r="H7" s="575">
        <f>+DATEDIF(Construction_Start_Date,Construction_Complete,"M")</f>
        <v>0</v>
      </c>
      <c r="I7" s="575">
        <f>+DATEDIF(Construction_Start_Date,'4. Project Description'!F89,"M")</f>
        <v>0</v>
      </c>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477"/>
      <c r="AM7" s="1477"/>
      <c r="AN7" s="1477"/>
      <c r="AO7" s="284"/>
      <c r="AP7" s="1477"/>
      <c r="AQ7" s="1477"/>
      <c r="AR7" s="1477"/>
      <c r="AS7" s="1477"/>
      <c r="AT7" s="1477"/>
      <c r="AU7" s="1477"/>
      <c r="AV7" s="1477"/>
      <c r="AW7" s="1477"/>
      <c r="AX7" s="1477"/>
      <c r="AY7" s="1477"/>
      <c r="AZ7" s="1477"/>
      <c r="BA7" s="1477"/>
      <c r="BB7" s="1477"/>
      <c r="BC7" s="1477"/>
      <c r="BD7" s="1477"/>
      <c r="BE7" s="1477"/>
      <c r="BF7" s="1477"/>
      <c r="BG7" s="1477"/>
      <c r="BH7" s="1477"/>
      <c r="BI7" s="1477"/>
      <c r="BJ7" s="1477"/>
      <c r="BK7" s="1477"/>
      <c r="BL7" s="1477"/>
      <c r="BM7" s="1477"/>
      <c r="BN7" s="1477"/>
      <c r="BO7" s="1477"/>
      <c r="BP7" s="1477"/>
      <c r="BQ7" s="1477"/>
      <c r="BR7" s="1477"/>
      <c r="BS7" s="1477"/>
      <c r="BT7" s="1477"/>
      <c r="BU7" s="1477"/>
      <c r="BV7" s="1477"/>
      <c r="BW7" s="1477"/>
      <c r="BX7" s="1477"/>
      <c r="BY7" s="1477"/>
      <c r="BZ7" s="1477"/>
      <c r="CA7" s="1477"/>
      <c r="CB7" s="1477"/>
      <c r="CC7" s="1477"/>
      <c r="CD7" s="1477"/>
      <c r="CE7" s="1477"/>
      <c r="CF7" s="1477"/>
      <c r="CG7" s="1477"/>
      <c r="CH7" s="1477"/>
    </row>
    <row r="8" spans="1:86">
      <c r="A8" s="1477"/>
      <c r="B8" s="1714"/>
      <c r="C8" s="1714"/>
      <c r="D8" s="1714"/>
      <c r="E8" s="2446" t="s">
        <v>4879</v>
      </c>
      <c r="F8" s="2447"/>
      <c r="G8" s="1568">
        <v>1</v>
      </c>
      <c r="H8" s="1568">
        <v>2</v>
      </c>
      <c r="I8" s="1568">
        <v>3</v>
      </c>
      <c r="J8" s="1568">
        <v>4</v>
      </c>
      <c r="K8" s="1568">
        <v>5</v>
      </c>
      <c r="L8" s="1568">
        <v>6</v>
      </c>
      <c r="M8" s="1568">
        <v>7</v>
      </c>
      <c r="N8" s="1568">
        <v>8</v>
      </c>
      <c r="O8" s="1568">
        <v>9</v>
      </c>
      <c r="P8" s="1568">
        <v>10</v>
      </c>
      <c r="Q8" s="1568">
        <v>11</v>
      </c>
      <c r="R8" s="1568">
        <v>12</v>
      </c>
      <c r="S8" s="1568">
        <v>13</v>
      </c>
      <c r="T8" s="1568">
        <v>14</v>
      </c>
      <c r="U8" s="1568">
        <v>15</v>
      </c>
      <c r="V8" s="1568">
        <v>16</v>
      </c>
      <c r="W8" s="1568">
        <v>17</v>
      </c>
      <c r="X8" s="1568">
        <v>18</v>
      </c>
      <c r="Y8" s="1568">
        <v>19</v>
      </c>
      <c r="Z8" s="1568">
        <v>20</v>
      </c>
      <c r="AA8" s="1568">
        <v>21</v>
      </c>
      <c r="AB8" s="1568">
        <v>22</v>
      </c>
      <c r="AC8" s="1568">
        <v>23</v>
      </c>
      <c r="AD8" s="1568">
        <v>24</v>
      </c>
      <c r="AE8" s="1568">
        <v>25</v>
      </c>
      <c r="AF8" s="1568">
        <v>26</v>
      </c>
      <c r="AG8" s="1568">
        <v>27</v>
      </c>
      <c r="AH8" s="1568">
        <v>28</v>
      </c>
      <c r="AI8" s="1568">
        <v>29</v>
      </c>
      <c r="AJ8" s="1568">
        <v>30</v>
      </c>
      <c r="AK8" s="1714"/>
      <c r="AL8" s="1477"/>
      <c r="AM8" s="1477"/>
      <c r="AN8" s="1477"/>
      <c r="AO8" s="284"/>
      <c r="AP8" s="1477"/>
      <c r="AQ8" s="1477"/>
      <c r="AR8" s="1477"/>
      <c r="AS8" s="1477"/>
      <c r="AT8" s="1477"/>
      <c r="AU8" s="1477"/>
      <c r="AV8" s="1477"/>
      <c r="AW8" s="1477"/>
      <c r="AX8" s="1477"/>
      <c r="AY8" s="1477"/>
      <c r="AZ8" s="1477"/>
      <c r="BA8" s="1477"/>
      <c r="BB8" s="1477"/>
      <c r="BC8" s="1477"/>
      <c r="BD8" s="1477"/>
      <c r="BE8" s="1477"/>
      <c r="BF8" s="1477"/>
      <c r="BG8" s="1477"/>
      <c r="BH8" s="1477"/>
      <c r="BI8" s="1477"/>
      <c r="BJ8" s="1477"/>
      <c r="BK8" s="1477"/>
      <c r="BL8" s="1477"/>
      <c r="BM8" s="1477"/>
      <c r="BN8" s="1477"/>
      <c r="BO8" s="1477"/>
      <c r="BP8" s="1477"/>
      <c r="BQ8" s="1477"/>
      <c r="BR8" s="1477"/>
      <c r="BS8" s="1477"/>
      <c r="BT8" s="1477"/>
      <c r="BU8" s="1477"/>
      <c r="BV8" s="1477"/>
      <c r="BW8" s="1477"/>
      <c r="BX8" s="1477"/>
      <c r="BY8" s="1477"/>
      <c r="BZ8" s="1477"/>
      <c r="CA8" s="1477"/>
      <c r="CB8" s="1477"/>
      <c r="CC8" s="1477"/>
      <c r="CD8" s="1477"/>
      <c r="CE8" s="1477"/>
      <c r="CF8" s="1477"/>
      <c r="CG8" s="1477"/>
      <c r="CH8" s="1477"/>
    </row>
    <row r="9" spans="1:86">
      <c r="A9" s="1477"/>
      <c r="B9" s="1714"/>
      <c r="C9" s="1714"/>
      <c r="D9" s="1714"/>
      <c r="E9" s="2446" t="s">
        <v>4880</v>
      </c>
      <c r="F9" s="2447"/>
      <c r="G9" s="1568" t="s">
        <v>4881</v>
      </c>
      <c r="H9" s="1568" t="s">
        <v>4882</v>
      </c>
      <c r="I9" s="1568" t="s">
        <v>4883</v>
      </c>
      <c r="J9" s="1568" t="s">
        <v>4884</v>
      </c>
      <c r="K9" s="1568" t="s">
        <v>4885</v>
      </c>
      <c r="L9" s="1568" t="s">
        <v>4886</v>
      </c>
      <c r="M9" s="1568" t="s">
        <v>4887</v>
      </c>
      <c r="N9" s="1568" t="s">
        <v>4888</v>
      </c>
      <c r="O9" s="1568" t="s">
        <v>4889</v>
      </c>
      <c r="P9" s="1568" t="s">
        <v>4890</v>
      </c>
      <c r="Q9" s="1568" t="s">
        <v>4891</v>
      </c>
      <c r="R9" s="1568" t="s">
        <v>4892</v>
      </c>
      <c r="S9" s="1568" t="s">
        <v>4893</v>
      </c>
      <c r="T9" s="1568" t="s">
        <v>4894</v>
      </c>
      <c r="U9" s="1568" t="s">
        <v>4895</v>
      </c>
      <c r="V9" s="1568" t="s">
        <v>4896</v>
      </c>
      <c r="W9" s="1568" t="s">
        <v>4897</v>
      </c>
      <c r="X9" s="1568" t="s">
        <v>4898</v>
      </c>
      <c r="Y9" s="1568" t="s">
        <v>4899</v>
      </c>
      <c r="Z9" s="1568" t="s">
        <v>4900</v>
      </c>
      <c r="AA9" s="1568" t="s">
        <v>4901</v>
      </c>
      <c r="AB9" s="1568" t="s">
        <v>4902</v>
      </c>
      <c r="AC9" s="1568" t="s">
        <v>4903</v>
      </c>
      <c r="AD9" s="1568" t="s">
        <v>4904</v>
      </c>
      <c r="AE9" s="1568" t="s">
        <v>4905</v>
      </c>
      <c r="AF9" s="1568" t="s">
        <v>4906</v>
      </c>
      <c r="AG9" s="1568" t="s">
        <v>4906</v>
      </c>
      <c r="AH9" s="1568" t="s">
        <v>4907</v>
      </c>
      <c r="AI9" s="1568" t="s">
        <v>4908</v>
      </c>
      <c r="AJ9" s="1568" t="s">
        <v>4909</v>
      </c>
      <c r="AK9" s="1714"/>
      <c r="AL9" s="1477"/>
      <c r="AM9" s="1477"/>
      <c r="AN9" s="1477"/>
      <c r="AO9" s="284"/>
      <c r="AP9" s="1477"/>
      <c r="AQ9" s="1477"/>
      <c r="AR9" s="1477"/>
      <c r="AS9" s="1477"/>
      <c r="AT9" s="1477"/>
      <c r="AU9" s="1477"/>
      <c r="AV9" s="1477"/>
      <c r="AW9" s="1477"/>
      <c r="AX9" s="1477"/>
      <c r="AY9" s="1477"/>
      <c r="AZ9" s="1477"/>
      <c r="BA9" s="1477"/>
      <c r="BB9" s="1477"/>
      <c r="BC9" s="1477"/>
      <c r="BD9" s="1477"/>
      <c r="BE9" s="1477"/>
      <c r="BF9" s="1477"/>
      <c r="BG9" s="1477"/>
      <c r="BH9" s="1477"/>
      <c r="BI9" s="1477"/>
      <c r="BJ9" s="1477"/>
      <c r="BK9" s="1477"/>
      <c r="BL9" s="1477"/>
      <c r="BM9" s="1477"/>
      <c r="BN9" s="1477"/>
      <c r="BO9" s="1477"/>
      <c r="BP9" s="1477"/>
      <c r="BQ9" s="1477"/>
      <c r="BR9" s="1477"/>
      <c r="BS9" s="1477"/>
      <c r="BT9" s="1477"/>
      <c r="BU9" s="1477"/>
      <c r="BV9" s="1477"/>
      <c r="BW9" s="1477"/>
      <c r="BX9" s="1477"/>
      <c r="BY9" s="1477"/>
      <c r="BZ9" s="1477"/>
      <c r="CA9" s="1477"/>
      <c r="CB9" s="1477"/>
      <c r="CC9" s="1477"/>
      <c r="CD9" s="1477"/>
      <c r="CE9" s="1477"/>
      <c r="CF9" s="1477"/>
      <c r="CG9" s="1477"/>
      <c r="CH9" s="1477"/>
    </row>
    <row r="10" spans="1:86">
      <c r="A10" s="1477"/>
      <c r="B10" s="1714"/>
      <c r="C10" s="1714"/>
      <c r="D10" s="1714"/>
      <c r="E10" s="2446" t="s">
        <v>4910</v>
      </c>
      <c r="F10" s="2447"/>
      <c r="G10" s="1569">
        <f>+EDATE($G$7,G8)</f>
        <v>31</v>
      </c>
      <c r="H10" s="1569">
        <f t="shared" ref="H10:AJ10" si="0">+EDATE($G$7,H8)</f>
        <v>60</v>
      </c>
      <c r="I10" s="1569">
        <f t="shared" si="0"/>
        <v>91</v>
      </c>
      <c r="J10" s="1569">
        <f t="shared" si="0"/>
        <v>121</v>
      </c>
      <c r="K10" s="1569">
        <f t="shared" si="0"/>
        <v>152</v>
      </c>
      <c r="L10" s="1569">
        <f t="shared" si="0"/>
        <v>182</v>
      </c>
      <c r="M10" s="1569">
        <f t="shared" si="0"/>
        <v>213</v>
      </c>
      <c r="N10" s="1569">
        <f t="shared" si="0"/>
        <v>244</v>
      </c>
      <c r="O10" s="1569">
        <f t="shared" si="0"/>
        <v>274</v>
      </c>
      <c r="P10" s="1569">
        <f t="shared" si="0"/>
        <v>305</v>
      </c>
      <c r="Q10" s="1569">
        <f t="shared" si="0"/>
        <v>335</v>
      </c>
      <c r="R10" s="1569">
        <f t="shared" si="0"/>
        <v>366</v>
      </c>
      <c r="S10" s="1569">
        <f t="shared" si="0"/>
        <v>397</v>
      </c>
      <c r="T10" s="1569">
        <f t="shared" si="0"/>
        <v>425</v>
      </c>
      <c r="U10" s="1569">
        <f t="shared" si="0"/>
        <v>456</v>
      </c>
      <c r="V10" s="1569">
        <f t="shared" si="0"/>
        <v>486</v>
      </c>
      <c r="W10" s="1569">
        <f t="shared" si="0"/>
        <v>517</v>
      </c>
      <c r="X10" s="1569">
        <f t="shared" si="0"/>
        <v>547</v>
      </c>
      <c r="Y10" s="1569">
        <f t="shared" si="0"/>
        <v>578</v>
      </c>
      <c r="Z10" s="1569">
        <f t="shared" si="0"/>
        <v>609</v>
      </c>
      <c r="AA10" s="1569">
        <f t="shared" si="0"/>
        <v>639</v>
      </c>
      <c r="AB10" s="1569">
        <f t="shared" si="0"/>
        <v>670</v>
      </c>
      <c r="AC10" s="1569">
        <f t="shared" si="0"/>
        <v>700</v>
      </c>
      <c r="AD10" s="1569">
        <f t="shared" si="0"/>
        <v>731</v>
      </c>
      <c r="AE10" s="1569">
        <f t="shared" si="0"/>
        <v>762</v>
      </c>
      <c r="AF10" s="1569">
        <f t="shared" si="0"/>
        <v>790</v>
      </c>
      <c r="AG10" s="1569">
        <f t="shared" si="0"/>
        <v>821</v>
      </c>
      <c r="AH10" s="1569">
        <f t="shared" si="0"/>
        <v>851</v>
      </c>
      <c r="AI10" s="1569">
        <f t="shared" si="0"/>
        <v>882</v>
      </c>
      <c r="AJ10" s="1569">
        <f t="shared" si="0"/>
        <v>912</v>
      </c>
      <c r="AK10" s="1714"/>
      <c r="AL10" s="1477"/>
      <c r="AM10" s="1477"/>
      <c r="AN10" s="1477"/>
      <c r="AO10" s="284"/>
      <c r="AP10" s="1477"/>
      <c r="AQ10" s="1477"/>
      <c r="AR10" s="1477"/>
      <c r="AS10" s="1477"/>
      <c r="AT10" s="1477"/>
      <c r="AU10" s="1477"/>
      <c r="AV10" s="1477"/>
      <c r="AW10" s="1477"/>
      <c r="AX10" s="1477"/>
      <c r="AY10" s="1477"/>
      <c r="AZ10" s="1477"/>
      <c r="BA10" s="1477"/>
      <c r="BB10" s="1477"/>
      <c r="BC10" s="1477"/>
      <c r="BD10" s="1477"/>
      <c r="BE10" s="1477"/>
      <c r="BF10" s="1477"/>
      <c r="BG10" s="1477"/>
      <c r="BH10" s="1477"/>
      <c r="BI10" s="1477"/>
      <c r="BJ10" s="1477"/>
      <c r="BK10" s="1477"/>
      <c r="BL10" s="1477"/>
      <c r="BM10" s="1477"/>
      <c r="BN10" s="1477"/>
      <c r="BO10" s="1477"/>
      <c r="BP10" s="1477"/>
      <c r="BQ10" s="1477"/>
      <c r="BR10" s="1477"/>
      <c r="BS10" s="1477"/>
      <c r="BT10" s="1477"/>
      <c r="BU10" s="1477"/>
      <c r="BV10" s="1477"/>
      <c r="BW10" s="1477"/>
      <c r="BX10" s="1477"/>
      <c r="BY10" s="1477"/>
      <c r="BZ10" s="1477"/>
      <c r="CA10" s="1477"/>
      <c r="CB10" s="1477"/>
      <c r="CC10" s="1477"/>
      <c r="CD10" s="1477"/>
      <c r="CE10" s="1477"/>
      <c r="CF10" s="1477"/>
      <c r="CG10" s="1477"/>
      <c r="CH10" s="1477"/>
    </row>
    <row r="11" spans="1:86">
      <c r="A11" s="1477"/>
      <c r="B11" s="1714"/>
      <c r="C11" s="1714"/>
      <c r="D11" s="1714"/>
      <c r="E11" s="2445" t="s">
        <v>4911</v>
      </c>
      <c r="F11" s="2445"/>
      <c r="G11" s="1570">
        <f>+IFERROR(G8/H7,0)</f>
        <v>0</v>
      </c>
      <c r="H11" s="1570">
        <f>+G11</f>
        <v>0</v>
      </c>
      <c r="I11" s="1570">
        <f>+IF(I8&lt;=$H$7,H11,0)</f>
        <v>0</v>
      </c>
      <c r="J11" s="1570">
        <f t="shared" ref="J11:AJ11" si="1">+IF(J8&lt;=$H$7,I11,0)</f>
        <v>0</v>
      </c>
      <c r="K11" s="1570">
        <f t="shared" si="1"/>
        <v>0</v>
      </c>
      <c r="L11" s="1570">
        <f t="shared" si="1"/>
        <v>0</v>
      </c>
      <c r="M11" s="1570">
        <f t="shared" si="1"/>
        <v>0</v>
      </c>
      <c r="N11" s="1570">
        <f t="shared" si="1"/>
        <v>0</v>
      </c>
      <c r="O11" s="1570">
        <f t="shared" si="1"/>
        <v>0</v>
      </c>
      <c r="P11" s="1570">
        <f t="shared" si="1"/>
        <v>0</v>
      </c>
      <c r="Q11" s="1570">
        <f t="shared" si="1"/>
        <v>0</v>
      </c>
      <c r="R11" s="1570">
        <f t="shared" si="1"/>
        <v>0</v>
      </c>
      <c r="S11" s="1570">
        <f t="shared" si="1"/>
        <v>0</v>
      </c>
      <c r="T11" s="1570">
        <f t="shared" si="1"/>
        <v>0</v>
      </c>
      <c r="U11" s="1570">
        <f t="shared" si="1"/>
        <v>0</v>
      </c>
      <c r="V11" s="1570">
        <f t="shared" si="1"/>
        <v>0</v>
      </c>
      <c r="W11" s="1570">
        <f t="shared" si="1"/>
        <v>0</v>
      </c>
      <c r="X11" s="1570">
        <f t="shared" si="1"/>
        <v>0</v>
      </c>
      <c r="Y11" s="1570">
        <f t="shared" si="1"/>
        <v>0</v>
      </c>
      <c r="Z11" s="1570">
        <f t="shared" si="1"/>
        <v>0</v>
      </c>
      <c r="AA11" s="1570">
        <f t="shared" si="1"/>
        <v>0</v>
      </c>
      <c r="AB11" s="1570">
        <f t="shared" si="1"/>
        <v>0</v>
      </c>
      <c r="AC11" s="1570">
        <f t="shared" si="1"/>
        <v>0</v>
      </c>
      <c r="AD11" s="1570">
        <f t="shared" si="1"/>
        <v>0</v>
      </c>
      <c r="AE11" s="1570">
        <f t="shared" si="1"/>
        <v>0</v>
      </c>
      <c r="AF11" s="1570">
        <f t="shared" si="1"/>
        <v>0</v>
      </c>
      <c r="AG11" s="1570">
        <f t="shared" si="1"/>
        <v>0</v>
      </c>
      <c r="AH11" s="1570">
        <f t="shared" si="1"/>
        <v>0</v>
      </c>
      <c r="AI11" s="1570">
        <f t="shared" si="1"/>
        <v>0</v>
      </c>
      <c r="AJ11" s="1570">
        <f t="shared" si="1"/>
        <v>0</v>
      </c>
      <c r="AK11" s="1714"/>
      <c r="AL11" s="1477"/>
      <c r="AM11" s="1477"/>
      <c r="AN11" s="1477"/>
      <c r="AO11" s="284"/>
      <c r="AP11" s="1477"/>
      <c r="AQ11" s="1477"/>
      <c r="AR11" s="1477"/>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c r="BP11" s="1477"/>
      <c r="BQ11" s="1477"/>
      <c r="BR11" s="1477"/>
      <c r="BS11" s="1477"/>
      <c r="BT11" s="1477"/>
      <c r="BU11" s="1477"/>
      <c r="BV11" s="1477"/>
      <c r="BW11" s="1477"/>
      <c r="BX11" s="1477"/>
      <c r="BY11" s="1477"/>
      <c r="BZ11" s="1477"/>
      <c r="CA11" s="1477"/>
      <c r="CB11" s="1477"/>
      <c r="CC11" s="1477"/>
      <c r="CD11" s="1477"/>
      <c r="CE11" s="1477"/>
      <c r="CF11" s="1477"/>
      <c r="CG11" s="1477"/>
      <c r="CH11" s="1477"/>
    </row>
    <row r="12" spans="1:86">
      <c r="A12" s="1477"/>
      <c r="B12" s="1714"/>
      <c r="C12" s="1714"/>
      <c r="D12" s="1714"/>
      <c r="E12" s="2445" t="s">
        <v>4912</v>
      </c>
      <c r="F12" s="2445"/>
      <c r="G12" s="1571">
        <f>G11</f>
        <v>0</v>
      </c>
      <c r="H12" s="1571">
        <f t="shared" ref="H12:AJ12" si="2">+G12+H11</f>
        <v>0</v>
      </c>
      <c r="I12" s="1571">
        <f t="shared" si="2"/>
        <v>0</v>
      </c>
      <c r="J12" s="1571">
        <f t="shared" si="2"/>
        <v>0</v>
      </c>
      <c r="K12" s="1571">
        <f t="shared" si="2"/>
        <v>0</v>
      </c>
      <c r="L12" s="1571">
        <f t="shared" si="2"/>
        <v>0</v>
      </c>
      <c r="M12" s="1571">
        <f t="shared" si="2"/>
        <v>0</v>
      </c>
      <c r="N12" s="1571">
        <f t="shared" si="2"/>
        <v>0</v>
      </c>
      <c r="O12" s="1571">
        <f t="shared" si="2"/>
        <v>0</v>
      </c>
      <c r="P12" s="1571">
        <f t="shared" si="2"/>
        <v>0</v>
      </c>
      <c r="Q12" s="1571">
        <f t="shared" si="2"/>
        <v>0</v>
      </c>
      <c r="R12" s="1571">
        <f t="shared" si="2"/>
        <v>0</v>
      </c>
      <c r="S12" s="1571">
        <f t="shared" si="2"/>
        <v>0</v>
      </c>
      <c r="T12" s="1571">
        <f t="shared" si="2"/>
        <v>0</v>
      </c>
      <c r="U12" s="1571">
        <f t="shared" si="2"/>
        <v>0</v>
      </c>
      <c r="V12" s="1571">
        <f t="shared" si="2"/>
        <v>0</v>
      </c>
      <c r="W12" s="1571">
        <f t="shared" si="2"/>
        <v>0</v>
      </c>
      <c r="X12" s="1571">
        <f t="shared" si="2"/>
        <v>0</v>
      </c>
      <c r="Y12" s="1571">
        <f t="shared" si="2"/>
        <v>0</v>
      </c>
      <c r="Z12" s="1571">
        <f t="shared" si="2"/>
        <v>0</v>
      </c>
      <c r="AA12" s="1571">
        <f t="shared" si="2"/>
        <v>0</v>
      </c>
      <c r="AB12" s="1571">
        <f t="shared" si="2"/>
        <v>0</v>
      </c>
      <c r="AC12" s="1571">
        <f t="shared" si="2"/>
        <v>0</v>
      </c>
      <c r="AD12" s="1571">
        <f t="shared" si="2"/>
        <v>0</v>
      </c>
      <c r="AE12" s="1571">
        <f t="shared" si="2"/>
        <v>0</v>
      </c>
      <c r="AF12" s="1571">
        <f t="shared" si="2"/>
        <v>0</v>
      </c>
      <c r="AG12" s="1571">
        <f t="shared" si="2"/>
        <v>0</v>
      </c>
      <c r="AH12" s="1571">
        <f t="shared" si="2"/>
        <v>0</v>
      </c>
      <c r="AI12" s="1571">
        <f t="shared" si="2"/>
        <v>0</v>
      </c>
      <c r="AJ12" s="1571">
        <f t="shared" si="2"/>
        <v>0</v>
      </c>
      <c r="AK12" s="1714"/>
      <c r="AL12" s="1477"/>
      <c r="AM12" s="1477"/>
      <c r="AN12" s="1477"/>
      <c r="AO12" s="284"/>
      <c r="AP12" s="1477"/>
      <c r="AQ12" s="1477"/>
      <c r="AR12" s="1477"/>
      <c r="AS12" s="1477"/>
      <c r="AT12" s="1477"/>
      <c r="AU12" s="1477"/>
      <c r="AV12" s="1477"/>
      <c r="AW12" s="1477"/>
      <c r="AX12" s="1477"/>
      <c r="AY12" s="1477"/>
      <c r="AZ12" s="1477"/>
      <c r="BA12" s="1477"/>
      <c r="BB12" s="1477"/>
      <c r="BC12" s="1477"/>
      <c r="BD12" s="1477"/>
      <c r="BE12" s="1477"/>
      <c r="BF12" s="1477"/>
      <c r="BG12" s="1477"/>
      <c r="BH12" s="1477"/>
      <c r="BI12" s="1477"/>
      <c r="BJ12" s="1477"/>
      <c r="BK12" s="1477"/>
      <c r="BL12" s="1477"/>
      <c r="BM12" s="1477"/>
      <c r="BN12" s="1477"/>
      <c r="BO12" s="1477"/>
      <c r="BP12" s="1477"/>
      <c r="BQ12" s="1477"/>
      <c r="BR12" s="1477"/>
      <c r="BS12" s="1477"/>
      <c r="BT12" s="1477"/>
      <c r="BU12" s="1477"/>
      <c r="BV12" s="1477"/>
      <c r="BW12" s="1477"/>
      <c r="BX12" s="1477"/>
      <c r="BY12" s="1477"/>
      <c r="BZ12" s="1477"/>
      <c r="CA12" s="1477"/>
      <c r="CB12" s="1477"/>
      <c r="CC12" s="1477"/>
      <c r="CD12" s="1477"/>
      <c r="CE12" s="1477"/>
      <c r="CF12" s="1477"/>
      <c r="CG12" s="1477"/>
      <c r="CH12" s="1477"/>
    </row>
    <row r="13" spans="1:86" ht="30">
      <c r="A13" s="1477"/>
      <c r="B13" s="1714"/>
      <c r="C13" s="1714"/>
      <c r="D13" s="1714"/>
      <c r="E13" s="122" t="s">
        <v>4913</v>
      </c>
      <c r="F13" s="122" t="s">
        <v>4914</v>
      </c>
      <c r="G13" s="122" t="str">
        <f t="shared" ref="G13:AJ13" si="3">G9</f>
        <v>Draw #1</v>
      </c>
      <c r="H13" s="122" t="str">
        <f t="shared" si="3"/>
        <v>Draw #2</v>
      </c>
      <c r="I13" s="122" t="str">
        <f t="shared" si="3"/>
        <v>Draw #3</v>
      </c>
      <c r="J13" s="122" t="str">
        <f t="shared" si="3"/>
        <v>Draw #4</v>
      </c>
      <c r="K13" s="122" t="str">
        <f t="shared" si="3"/>
        <v>Draw #5</v>
      </c>
      <c r="L13" s="122" t="str">
        <f t="shared" si="3"/>
        <v>Draw #6</v>
      </c>
      <c r="M13" s="122" t="str">
        <f t="shared" si="3"/>
        <v>Draw #7</v>
      </c>
      <c r="N13" s="122" t="str">
        <f t="shared" si="3"/>
        <v>Draw #8</v>
      </c>
      <c r="O13" s="122" t="str">
        <f t="shared" si="3"/>
        <v>Draw #9</v>
      </c>
      <c r="P13" s="122" t="str">
        <f t="shared" si="3"/>
        <v>Draw #10</v>
      </c>
      <c r="Q13" s="122" t="str">
        <f t="shared" si="3"/>
        <v>Draw #11</v>
      </c>
      <c r="R13" s="122" t="str">
        <f t="shared" si="3"/>
        <v>Draw #12</v>
      </c>
      <c r="S13" s="122" t="str">
        <f t="shared" si="3"/>
        <v>Draw #13</v>
      </c>
      <c r="T13" s="122" t="str">
        <f t="shared" si="3"/>
        <v>Draw #14</v>
      </c>
      <c r="U13" s="122" t="str">
        <f t="shared" si="3"/>
        <v>Draw #15</v>
      </c>
      <c r="V13" s="122" t="str">
        <f t="shared" si="3"/>
        <v>Draw #16</v>
      </c>
      <c r="W13" s="122" t="str">
        <f t="shared" si="3"/>
        <v>Draw #17</v>
      </c>
      <c r="X13" s="122" t="str">
        <f t="shared" si="3"/>
        <v>Draw #18</v>
      </c>
      <c r="Y13" s="122" t="str">
        <f t="shared" si="3"/>
        <v>Draw $19</v>
      </c>
      <c r="Z13" s="122" t="str">
        <f t="shared" si="3"/>
        <v>Draw #20</v>
      </c>
      <c r="AA13" s="122" t="str">
        <f t="shared" si="3"/>
        <v>Draw #21</v>
      </c>
      <c r="AB13" s="122" t="str">
        <f t="shared" si="3"/>
        <v>Draw #22</v>
      </c>
      <c r="AC13" s="122" t="str">
        <f t="shared" si="3"/>
        <v>Draw #23</v>
      </c>
      <c r="AD13" s="122" t="str">
        <f t="shared" si="3"/>
        <v>Draw #24</v>
      </c>
      <c r="AE13" s="122" t="str">
        <f t="shared" si="3"/>
        <v>Draw #25</v>
      </c>
      <c r="AF13" s="122" t="str">
        <f t="shared" si="3"/>
        <v>Draw #26</v>
      </c>
      <c r="AG13" s="122" t="str">
        <f t="shared" si="3"/>
        <v>Draw #26</v>
      </c>
      <c r="AH13" s="122" t="str">
        <f t="shared" si="3"/>
        <v>Draw #28</v>
      </c>
      <c r="AI13" s="122" t="str">
        <f t="shared" si="3"/>
        <v>Draw #29</v>
      </c>
      <c r="AJ13" s="122" t="str">
        <f t="shared" si="3"/>
        <v>Draw #30</v>
      </c>
      <c r="AK13" s="1714"/>
      <c r="AL13" s="1477"/>
      <c r="AM13" s="1477"/>
      <c r="AN13" s="1477"/>
      <c r="AO13" s="284"/>
      <c r="AP13" s="1477"/>
      <c r="AQ13" s="1477"/>
      <c r="AR13" s="1477"/>
      <c r="AS13" s="1477"/>
      <c r="AT13" s="1477"/>
      <c r="AU13" s="1477"/>
      <c r="AV13" s="1477"/>
      <c r="AW13" s="1477"/>
      <c r="AX13" s="1477"/>
      <c r="AY13" s="1477"/>
      <c r="AZ13" s="1477"/>
      <c r="BA13" s="1477"/>
      <c r="BB13" s="1477"/>
      <c r="BC13" s="1477"/>
      <c r="BD13" s="1477"/>
      <c r="BE13" s="1477"/>
      <c r="BF13" s="1477"/>
      <c r="BG13" s="1477"/>
      <c r="BH13" s="1477"/>
      <c r="BI13" s="1477"/>
      <c r="BJ13" s="1477"/>
      <c r="BK13" s="1477"/>
      <c r="BL13" s="1477"/>
      <c r="BM13" s="1477"/>
      <c r="BN13" s="1477"/>
      <c r="BO13" s="1477"/>
      <c r="BP13" s="1477"/>
      <c r="BQ13" s="1477"/>
      <c r="BR13" s="1477"/>
      <c r="BS13" s="1477"/>
      <c r="BT13" s="1477"/>
      <c r="BU13" s="1477"/>
      <c r="BV13" s="1477"/>
      <c r="BW13" s="1477"/>
      <c r="BX13" s="1477"/>
      <c r="BY13" s="1477"/>
      <c r="BZ13" s="1477"/>
      <c r="CA13" s="1477"/>
      <c r="CB13" s="1477"/>
      <c r="CC13" s="1477"/>
      <c r="CD13" s="1477"/>
      <c r="CE13" s="1477"/>
      <c r="CF13" s="1477"/>
      <c r="CG13" s="1477"/>
      <c r="CH13" s="1477"/>
    </row>
    <row r="14" spans="1:86" ht="15.75">
      <c r="A14" s="1477"/>
      <c r="B14" s="1714"/>
      <c r="C14" s="123" t="s">
        <v>4578</v>
      </c>
      <c r="D14" s="123"/>
      <c r="E14" s="123"/>
      <c r="F14" s="1572"/>
      <c r="G14" s="1572"/>
      <c r="H14" s="1572"/>
      <c r="I14" s="1572"/>
      <c r="J14" s="1572"/>
      <c r="K14" s="1572"/>
      <c r="L14" s="1572"/>
      <c r="M14" s="1572"/>
      <c r="N14" s="1572"/>
      <c r="O14" s="1572"/>
      <c r="P14" s="1572"/>
      <c r="Q14" s="1572"/>
      <c r="R14" s="1572"/>
      <c r="S14" s="1572"/>
      <c r="T14" s="1572"/>
      <c r="U14" s="1572"/>
      <c r="V14" s="1572"/>
      <c r="W14" s="1572"/>
      <c r="X14" s="1572"/>
      <c r="Y14" s="1572"/>
      <c r="Z14" s="1572"/>
      <c r="AA14" s="1572"/>
      <c r="AB14" s="1572"/>
      <c r="AC14" s="1572"/>
      <c r="AD14" s="1572"/>
      <c r="AE14" s="1572"/>
      <c r="AF14" s="1572"/>
      <c r="AG14" s="1572"/>
      <c r="AH14" s="1572"/>
      <c r="AI14" s="1572"/>
      <c r="AJ14" s="1572"/>
      <c r="AK14" s="1714"/>
      <c r="AL14" s="1477"/>
      <c r="AM14" s="1477"/>
      <c r="AN14" s="1477"/>
      <c r="AO14" s="284"/>
      <c r="AP14" s="1477"/>
      <c r="AQ14" s="1477"/>
      <c r="AR14" s="1477"/>
      <c r="AS14" s="1477"/>
      <c r="AT14" s="1477"/>
      <c r="AU14" s="1477"/>
      <c r="AV14" s="1477"/>
      <c r="AW14" s="1477"/>
      <c r="AX14" s="1477"/>
      <c r="AY14" s="1477"/>
      <c r="AZ14" s="1477"/>
      <c r="BA14" s="1477"/>
      <c r="BB14" s="1477"/>
      <c r="BC14" s="1477"/>
      <c r="BD14" s="1477"/>
      <c r="BE14" s="1477"/>
      <c r="BF14" s="1477"/>
      <c r="BG14" s="1477"/>
      <c r="BH14" s="1477"/>
      <c r="BI14" s="1477"/>
      <c r="BJ14" s="1477"/>
      <c r="BK14" s="1477"/>
      <c r="BL14" s="1477"/>
      <c r="BM14" s="1477"/>
      <c r="BN14" s="1477"/>
      <c r="BO14" s="1477"/>
      <c r="BP14" s="1477"/>
      <c r="BQ14" s="1477"/>
      <c r="BR14" s="1477"/>
      <c r="BS14" s="1477"/>
      <c r="BT14" s="1477"/>
      <c r="BU14" s="1477"/>
      <c r="BV14" s="1477"/>
      <c r="BW14" s="1477"/>
      <c r="BX14" s="1477"/>
      <c r="BY14" s="1477"/>
      <c r="BZ14" s="1477"/>
      <c r="CA14" s="1477"/>
      <c r="CB14" s="1477"/>
      <c r="CC14" s="1477"/>
      <c r="CD14" s="1477"/>
      <c r="CE14" s="1477"/>
      <c r="CF14" s="1477"/>
      <c r="CG14" s="1477"/>
      <c r="CH14" s="1477"/>
    </row>
    <row r="15" spans="1:86">
      <c r="A15" s="1477"/>
      <c r="B15" s="1714"/>
      <c r="C15" s="673" t="str" cm="1">
        <f t="array" ref="C15:D15">'14. Project Costs'!C12:D12</f>
        <v>Land</v>
      </c>
      <c r="D15" s="674">
        <v>0</v>
      </c>
      <c r="E15" s="184">
        <f>PC_ACQ_Land_Acq_Total</f>
        <v>0</v>
      </c>
      <c r="F15" s="1573">
        <f>+E15-SUM(G15:AJ15)</f>
        <v>0</v>
      </c>
      <c r="G15" s="1574">
        <f>+E15</f>
        <v>0</v>
      </c>
      <c r="H15" s="1574">
        <v>0</v>
      </c>
      <c r="I15" s="1574">
        <v>0</v>
      </c>
      <c r="J15" s="1574">
        <v>0</v>
      </c>
      <c r="K15" s="1574">
        <v>0</v>
      </c>
      <c r="L15" s="1574">
        <v>0</v>
      </c>
      <c r="M15" s="1574">
        <v>0</v>
      </c>
      <c r="N15" s="1574">
        <v>0</v>
      </c>
      <c r="O15" s="1574">
        <v>0</v>
      </c>
      <c r="P15" s="1574">
        <v>0</v>
      </c>
      <c r="Q15" s="1574">
        <v>0</v>
      </c>
      <c r="R15" s="1574">
        <v>0</v>
      </c>
      <c r="S15" s="1574">
        <v>0</v>
      </c>
      <c r="T15" s="1574">
        <v>0</v>
      </c>
      <c r="U15" s="1574">
        <v>0</v>
      </c>
      <c r="V15" s="1574">
        <v>0</v>
      </c>
      <c r="W15" s="1574">
        <v>0</v>
      </c>
      <c r="X15" s="1574">
        <v>0</v>
      </c>
      <c r="Y15" s="1574">
        <v>0</v>
      </c>
      <c r="Z15" s="1574">
        <v>0</v>
      </c>
      <c r="AA15" s="1574">
        <v>0</v>
      </c>
      <c r="AB15" s="1574">
        <v>0</v>
      </c>
      <c r="AC15" s="1574">
        <v>0</v>
      </c>
      <c r="AD15" s="1574">
        <v>0</v>
      </c>
      <c r="AE15" s="1574">
        <v>0</v>
      </c>
      <c r="AF15" s="1574">
        <v>0</v>
      </c>
      <c r="AG15" s="1574">
        <v>0</v>
      </c>
      <c r="AH15" s="1574">
        <v>0</v>
      </c>
      <c r="AI15" s="1574">
        <v>0</v>
      </c>
      <c r="AJ15" s="1574">
        <v>0</v>
      </c>
      <c r="AK15" s="1714"/>
      <c r="AL15" s="1477"/>
      <c r="AM15" s="1477"/>
      <c r="AN15" s="1477"/>
      <c r="AO15" s="284"/>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7"/>
      <c r="BU15" s="1477"/>
      <c r="BV15" s="1477"/>
      <c r="BW15" s="1477"/>
      <c r="BX15" s="1477"/>
      <c r="BY15" s="1477"/>
      <c r="BZ15" s="1477"/>
      <c r="CA15" s="1477"/>
      <c r="CB15" s="1477"/>
      <c r="CC15" s="1477"/>
      <c r="CD15" s="1477"/>
      <c r="CE15" s="1477"/>
      <c r="CF15" s="1477"/>
      <c r="CG15" s="1477"/>
      <c r="CH15" s="1477"/>
    </row>
    <row r="16" spans="1:86">
      <c r="A16" s="1477"/>
      <c r="B16" s="1714"/>
      <c r="C16" s="673" t="str" cm="1">
        <f t="array" ref="C16:D16">'14. Project Costs'!C13:D13</f>
        <v>Purchase of Buildings</v>
      </c>
      <c r="D16" s="674">
        <v>0</v>
      </c>
      <c r="E16" s="184">
        <f>PC_ACQ_Building_Acq_Total</f>
        <v>0</v>
      </c>
      <c r="F16" s="1573">
        <f>+E16-SUM(G16:AJ16)</f>
        <v>0</v>
      </c>
      <c r="G16" s="1574">
        <f>+E16</f>
        <v>0</v>
      </c>
      <c r="H16" s="1574">
        <v>0</v>
      </c>
      <c r="I16" s="1574">
        <v>0</v>
      </c>
      <c r="J16" s="1574">
        <v>0</v>
      </c>
      <c r="K16" s="1574">
        <v>0</v>
      </c>
      <c r="L16" s="1574">
        <v>0</v>
      </c>
      <c r="M16" s="1574">
        <v>0</v>
      </c>
      <c r="N16" s="1574">
        <v>0</v>
      </c>
      <c r="O16" s="1574">
        <v>0</v>
      </c>
      <c r="P16" s="1574">
        <v>0</v>
      </c>
      <c r="Q16" s="1574">
        <v>0</v>
      </c>
      <c r="R16" s="1574">
        <v>0</v>
      </c>
      <c r="S16" s="1574">
        <v>0</v>
      </c>
      <c r="T16" s="1574">
        <v>0</v>
      </c>
      <c r="U16" s="1574">
        <v>0</v>
      </c>
      <c r="V16" s="1574">
        <v>0</v>
      </c>
      <c r="W16" s="1574">
        <v>0</v>
      </c>
      <c r="X16" s="1574">
        <v>0</v>
      </c>
      <c r="Y16" s="1574">
        <v>0</v>
      </c>
      <c r="Z16" s="1574">
        <v>0</v>
      </c>
      <c r="AA16" s="1574">
        <v>0</v>
      </c>
      <c r="AB16" s="1574">
        <v>0</v>
      </c>
      <c r="AC16" s="1574">
        <v>0</v>
      </c>
      <c r="AD16" s="1574">
        <v>0</v>
      </c>
      <c r="AE16" s="1574">
        <v>0</v>
      </c>
      <c r="AF16" s="1574">
        <v>0</v>
      </c>
      <c r="AG16" s="1574">
        <v>0</v>
      </c>
      <c r="AH16" s="1574">
        <v>0</v>
      </c>
      <c r="AI16" s="1574">
        <v>0</v>
      </c>
      <c r="AJ16" s="1574">
        <v>0</v>
      </c>
      <c r="AK16" s="1714"/>
      <c r="AL16" s="1477"/>
      <c r="AM16" s="1477"/>
      <c r="AN16" s="1477"/>
      <c r="AO16" s="284"/>
      <c r="AP16" s="1477"/>
      <c r="AQ16" s="1477"/>
      <c r="AR16" s="1477"/>
      <c r="AS16" s="1477"/>
      <c r="AT16" s="1477"/>
      <c r="AU16" s="1477"/>
      <c r="AV16" s="1477"/>
      <c r="AW16" s="1477"/>
      <c r="AX16" s="1477"/>
      <c r="AY16" s="1477"/>
      <c r="AZ16" s="1477"/>
      <c r="BA16" s="1477"/>
      <c r="BB16" s="1477"/>
      <c r="BC16" s="1477"/>
      <c r="BD16" s="1477"/>
      <c r="BE16" s="1477"/>
      <c r="BF16" s="1477"/>
      <c r="BG16" s="1477"/>
      <c r="BH16" s="1477"/>
      <c r="BI16" s="1477"/>
      <c r="BJ16" s="1477"/>
      <c r="BK16" s="1477"/>
      <c r="BL16" s="1477"/>
      <c r="BM16" s="1477"/>
      <c r="BN16" s="1477"/>
      <c r="BO16" s="1477"/>
      <c r="BP16" s="1477"/>
      <c r="BQ16" s="1477"/>
      <c r="BR16" s="1477"/>
      <c r="BS16" s="1477"/>
      <c r="BT16" s="1477"/>
      <c r="BU16" s="1477"/>
      <c r="BV16" s="1477"/>
      <c r="BW16" s="1477"/>
      <c r="BX16" s="1477"/>
      <c r="BY16" s="1477"/>
      <c r="BZ16" s="1477"/>
      <c r="CA16" s="1477"/>
      <c r="CB16" s="1477"/>
      <c r="CC16" s="1477"/>
      <c r="CD16" s="1477"/>
      <c r="CE16" s="1477"/>
      <c r="CF16" s="1477"/>
      <c r="CG16" s="1477"/>
      <c r="CH16" s="1477"/>
    </row>
    <row r="17" spans="2:86">
      <c r="B17" s="1714"/>
      <c r="C17" s="673" t="str" cm="1">
        <f t="array" ref="C17:D17">'14. Project Costs'!C14:D14</f>
        <v>Other Purchase Bldgs &amp; Land</v>
      </c>
      <c r="D17" s="674">
        <v>0</v>
      </c>
      <c r="E17" s="184">
        <f>PC_ACQ_Other_Purchase_Total</f>
        <v>0</v>
      </c>
      <c r="F17" s="1573">
        <f t="shared" ref="F17:F18" si="4">+E17-SUM(G17:AJ17)</f>
        <v>0</v>
      </c>
      <c r="G17" s="1574">
        <f>+E17</f>
        <v>0</v>
      </c>
      <c r="H17" s="1574">
        <v>0</v>
      </c>
      <c r="I17" s="1574">
        <v>0</v>
      </c>
      <c r="J17" s="1574">
        <v>0</v>
      </c>
      <c r="K17" s="1574">
        <v>0</v>
      </c>
      <c r="L17" s="1574">
        <v>0</v>
      </c>
      <c r="M17" s="1574">
        <v>0</v>
      </c>
      <c r="N17" s="1574">
        <v>0</v>
      </c>
      <c r="O17" s="1574">
        <v>0</v>
      </c>
      <c r="P17" s="1574">
        <v>0</v>
      </c>
      <c r="Q17" s="1574">
        <v>0</v>
      </c>
      <c r="R17" s="1574">
        <v>0</v>
      </c>
      <c r="S17" s="1574">
        <v>0</v>
      </c>
      <c r="T17" s="1574">
        <v>0</v>
      </c>
      <c r="U17" s="1574">
        <v>0</v>
      </c>
      <c r="V17" s="1574">
        <v>0</v>
      </c>
      <c r="W17" s="1574">
        <v>0</v>
      </c>
      <c r="X17" s="1574">
        <v>0</v>
      </c>
      <c r="Y17" s="1574">
        <v>0</v>
      </c>
      <c r="Z17" s="1574">
        <v>0</v>
      </c>
      <c r="AA17" s="1574">
        <v>0</v>
      </c>
      <c r="AB17" s="1574">
        <v>0</v>
      </c>
      <c r="AC17" s="1574">
        <v>0</v>
      </c>
      <c r="AD17" s="1574">
        <v>0</v>
      </c>
      <c r="AE17" s="1574">
        <v>0</v>
      </c>
      <c r="AF17" s="1574">
        <v>0</v>
      </c>
      <c r="AG17" s="1574">
        <v>0</v>
      </c>
      <c r="AH17" s="1574">
        <v>0</v>
      </c>
      <c r="AI17" s="1574">
        <v>0</v>
      </c>
      <c r="AJ17" s="1574">
        <v>0</v>
      </c>
      <c r="AK17" s="1714"/>
      <c r="AL17" s="1477"/>
      <c r="AM17" s="1477"/>
      <c r="AN17" s="1477"/>
      <c r="AO17" s="284"/>
      <c r="AP17" s="1477"/>
      <c r="AQ17" s="1477"/>
      <c r="AR17" s="1477"/>
      <c r="AS17" s="1477"/>
      <c r="AT17" s="1477"/>
      <c r="AU17" s="1477"/>
      <c r="AV17" s="1477"/>
      <c r="AW17" s="1477"/>
      <c r="AX17" s="1477"/>
      <c r="AY17" s="1477"/>
      <c r="AZ17" s="1477"/>
      <c r="BA17" s="1477"/>
      <c r="BB17" s="1477"/>
      <c r="BC17" s="1477"/>
      <c r="BD17" s="1477"/>
      <c r="BE17" s="1477"/>
      <c r="BF17" s="1477"/>
      <c r="BG17" s="1477"/>
      <c r="BH17" s="1477"/>
      <c r="BI17" s="1477"/>
      <c r="BJ17" s="1477"/>
      <c r="BK17" s="1477"/>
      <c r="BL17" s="1477"/>
      <c r="BM17" s="1477"/>
      <c r="BN17" s="1477"/>
      <c r="BO17" s="1477"/>
      <c r="BP17" s="1477"/>
      <c r="BQ17" s="1477"/>
      <c r="BR17" s="1477"/>
      <c r="BS17" s="1477"/>
      <c r="BT17" s="1477"/>
      <c r="BU17" s="1477"/>
      <c r="BV17" s="1477"/>
      <c r="BW17" s="1477"/>
      <c r="BX17" s="1477"/>
      <c r="BY17" s="1477"/>
      <c r="BZ17" s="1477"/>
      <c r="CA17" s="1477"/>
      <c r="CB17" s="1477"/>
      <c r="CC17" s="1477"/>
      <c r="CD17" s="1477"/>
      <c r="CE17" s="1477"/>
      <c r="CF17" s="1477"/>
      <c r="CG17" s="1477"/>
      <c r="CH17" s="1477"/>
    </row>
    <row r="18" spans="2:86">
      <c r="B18" s="1714"/>
      <c r="C18" s="675" t="str" cm="1">
        <f t="array" ref="C18:D18">'14. Project Costs'!C15:D15</f>
        <v>Other Acquisition</v>
      </c>
      <c r="D18" s="676">
        <v>0</v>
      </c>
      <c r="E18" s="677">
        <f>PC_ACQ_Other_Acq_Total</f>
        <v>0</v>
      </c>
      <c r="F18" s="1575">
        <f t="shared" si="4"/>
        <v>0</v>
      </c>
      <c r="G18" s="1575"/>
      <c r="H18" s="1575"/>
      <c r="I18" s="1575"/>
      <c r="J18" s="1575"/>
      <c r="K18" s="1575"/>
      <c r="L18" s="157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714"/>
      <c r="AL18" s="1477"/>
      <c r="AM18" s="1477"/>
      <c r="AN18" s="1477"/>
      <c r="AO18" s="284"/>
      <c r="AP18" s="1477"/>
      <c r="AQ18" s="1477"/>
      <c r="AR18" s="1477"/>
      <c r="AS18" s="1477"/>
      <c r="AT18" s="1477"/>
      <c r="AU18" s="1477"/>
      <c r="AV18" s="1477"/>
      <c r="AW18" s="1477"/>
      <c r="AX18" s="1477"/>
      <c r="AY18" s="1477"/>
      <c r="AZ18" s="1477"/>
      <c r="BA18" s="1477"/>
      <c r="BB18" s="1477"/>
      <c r="BC18" s="1477"/>
      <c r="BD18" s="1477"/>
      <c r="BE18" s="1477"/>
      <c r="BF18" s="1477"/>
      <c r="BG18" s="1477"/>
      <c r="BH18" s="1477"/>
      <c r="BI18" s="1477"/>
      <c r="BJ18" s="1477"/>
      <c r="BK18" s="1477"/>
      <c r="BL18" s="1477"/>
      <c r="BM18" s="1477"/>
      <c r="BN18" s="1477"/>
      <c r="BO18" s="1477"/>
      <c r="BP18" s="1477"/>
      <c r="BQ18" s="1477"/>
      <c r="BR18" s="1477"/>
      <c r="BS18" s="1477"/>
      <c r="BT18" s="1477"/>
      <c r="BU18" s="1477"/>
      <c r="BV18" s="1477"/>
      <c r="BW18" s="1477"/>
      <c r="BX18" s="1477"/>
      <c r="BY18" s="1477"/>
      <c r="BZ18" s="1477"/>
      <c r="CA18" s="1477"/>
      <c r="CB18" s="1477"/>
      <c r="CC18" s="1477"/>
      <c r="CD18" s="1477"/>
      <c r="CE18" s="1477"/>
      <c r="CF18" s="1477"/>
      <c r="CG18" s="1477"/>
      <c r="CH18" s="1477"/>
    </row>
    <row r="19" spans="2:86">
      <c r="B19" s="1714"/>
      <c r="C19" s="126" t="s">
        <v>2986</v>
      </c>
      <c r="D19" s="126"/>
      <c r="E19" s="185">
        <f>SUM(E15:E18)</f>
        <v>0</v>
      </c>
      <c r="F19" s="186">
        <f>SUM(F15:F18)</f>
        <v>0</v>
      </c>
      <c r="G19" s="186">
        <f t="shared" ref="G19:AJ19" si="5">SUM(G14:G18)</f>
        <v>0</v>
      </c>
      <c r="H19" s="186">
        <f t="shared" si="5"/>
        <v>0</v>
      </c>
      <c r="I19" s="186">
        <f t="shared" si="5"/>
        <v>0</v>
      </c>
      <c r="J19" s="186">
        <f t="shared" si="5"/>
        <v>0</v>
      </c>
      <c r="K19" s="186">
        <f t="shared" si="5"/>
        <v>0</v>
      </c>
      <c r="L19" s="186">
        <f t="shared" si="5"/>
        <v>0</v>
      </c>
      <c r="M19" s="186">
        <f t="shared" si="5"/>
        <v>0</v>
      </c>
      <c r="N19" s="186">
        <f t="shared" si="5"/>
        <v>0</v>
      </c>
      <c r="O19" s="186">
        <f t="shared" si="5"/>
        <v>0</v>
      </c>
      <c r="P19" s="186">
        <f t="shared" si="5"/>
        <v>0</v>
      </c>
      <c r="Q19" s="186">
        <f t="shared" si="5"/>
        <v>0</v>
      </c>
      <c r="R19" s="186">
        <f t="shared" si="5"/>
        <v>0</v>
      </c>
      <c r="S19" s="186">
        <f t="shared" si="5"/>
        <v>0</v>
      </c>
      <c r="T19" s="186">
        <f t="shared" si="5"/>
        <v>0</v>
      </c>
      <c r="U19" s="186">
        <f t="shared" si="5"/>
        <v>0</v>
      </c>
      <c r="V19" s="186">
        <f t="shared" si="5"/>
        <v>0</v>
      </c>
      <c r="W19" s="186">
        <f t="shared" si="5"/>
        <v>0</v>
      </c>
      <c r="X19" s="186">
        <f t="shared" si="5"/>
        <v>0</v>
      </c>
      <c r="Y19" s="186">
        <f t="shared" si="5"/>
        <v>0</v>
      </c>
      <c r="Z19" s="186">
        <f t="shared" si="5"/>
        <v>0</v>
      </c>
      <c r="AA19" s="186">
        <f t="shared" si="5"/>
        <v>0</v>
      </c>
      <c r="AB19" s="186">
        <f t="shared" si="5"/>
        <v>0</v>
      </c>
      <c r="AC19" s="186">
        <f t="shared" si="5"/>
        <v>0</v>
      </c>
      <c r="AD19" s="186">
        <f t="shared" si="5"/>
        <v>0</v>
      </c>
      <c r="AE19" s="186">
        <f t="shared" si="5"/>
        <v>0</v>
      </c>
      <c r="AF19" s="186">
        <f t="shared" si="5"/>
        <v>0</v>
      </c>
      <c r="AG19" s="186">
        <f t="shared" si="5"/>
        <v>0</v>
      </c>
      <c r="AH19" s="186">
        <f t="shared" si="5"/>
        <v>0</v>
      </c>
      <c r="AI19" s="186">
        <f t="shared" si="5"/>
        <v>0</v>
      </c>
      <c r="AJ19" s="186">
        <f t="shared" si="5"/>
        <v>0</v>
      </c>
      <c r="AK19" s="1714"/>
      <c r="AL19" s="1477"/>
      <c r="AM19" s="1477"/>
      <c r="AN19" s="1477"/>
      <c r="AO19" s="284"/>
      <c r="AP19" s="1477"/>
      <c r="AQ19" s="1477"/>
      <c r="AR19" s="1477"/>
      <c r="AS19" s="1477"/>
      <c r="AT19" s="1477"/>
      <c r="AU19" s="1477"/>
      <c r="AV19" s="1477"/>
      <c r="AW19" s="1477"/>
      <c r="AX19" s="1477"/>
      <c r="AY19" s="1477"/>
      <c r="AZ19" s="1477"/>
      <c r="BA19" s="1477"/>
      <c r="BB19" s="1477"/>
      <c r="BC19" s="1477"/>
      <c r="BD19" s="1477"/>
      <c r="BE19" s="1477"/>
      <c r="BF19" s="1477"/>
      <c r="BG19" s="1477"/>
      <c r="BH19" s="1477"/>
      <c r="BI19" s="1477"/>
      <c r="BJ19" s="1477"/>
      <c r="BK19" s="1477"/>
      <c r="BL19" s="1477"/>
      <c r="BM19" s="1477"/>
      <c r="BN19" s="1477"/>
      <c r="BO19" s="1477"/>
      <c r="BP19" s="1477"/>
      <c r="BQ19" s="1477"/>
      <c r="BR19" s="1477"/>
      <c r="BS19" s="1477"/>
      <c r="BT19" s="1477"/>
      <c r="BU19" s="1477"/>
      <c r="BV19" s="1477"/>
      <c r="BW19" s="1477"/>
      <c r="BX19" s="1477"/>
      <c r="BY19" s="1477"/>
      <c r="BZ19" s="1477"/>
      <c r="CA19" s="1477"/>
      <c r="CB19" s="1477"/>
      <c r="CC19" s="1477"/>
      <c r="CD19" s="1477"/>
      <c r="CE19" s="1477"/>
      <c r="CF19" s="1477"/>
      <c r="CG19" s="1477"/>
      <c r="CH19" s="1477"/>
    </row>
    <row r="20" spans="2:86" ht="15.75">
      <c r="B20" s="1714"/>
      <c r="C20" s="127" t="s">
        <v>2989</v>
      </c>
      <c r="D20" s="127"/>
      <c r="E20" s="200"/>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714"/>
      <c r="AL20" s="1477"/>
      <c r="AM20" s="1477"/>
      <c r="AN20" s="1477"/>
      <c r="AO20" s="284"/>
      <c r="AP20" s="1477"/>
      <c r="AQ20" s="1477"/>
      <c r="AR20" s="1477"/>
      <c r="AS20" s="1477"/>
      <c r="AT20" s="1477"/>
      <c r="AU20" s="1477"/>
      <c r="AV20" s="1477"/>
      <c r="AW20" s="1477"/>
      <c r="AX20" s="1477"/>
      <c r="AY20" s="1477"/>
      <c r="AZ20" s="1477"/>
      <c r="BA20" s="1477"/>
      <c r="BB20" s="1477"/>
      <c r="BC20" s="1477"/>
      <c r="BD20" s="1477"/>
      <c r="BE20" s="1477"/>
      <c r="BF20" s="1477"/>
      <c r="BG20" s="1477"/>
      <c r="BH20" s="1477"/>
      <c r="BI20" s="1477"/>
      <c r="BJ20" s="1477"/>
      <c r="BK20" s="1477"/>
      <c r="BL20" s="1477"/>
      <c r="BM20" s="1477"/>
      <c r="BN20" s="1477"/>
      <c r="BO20" s="1477"/>
      <c r="BP20" s="1477"/>
      <c r="BQ20" s="1477"/>
      <c r="BR20" s="1477"/>
      <c r="BS20" s="1477"/>
      <c r="BT20" s="1477"/>
      <c r="BU20" s="1477"/>
      <c r="BV20" s="1477"/>
      <c r="BW20" s="1477"/>
      <c r="BX20" s="1477"/>
      <c r="BY20" s="1477"/>
      <c r="BZ20" s="1477"/>
      <c r="CA20" s="1477"/>
      <c r="CB20" s="1477"/>
      <c r="CC20" s="1477"/>
      <c r="CD20" s="1477"/>
      <c r="CE20" s="1477"/>
      <c r="CF20" s="1477"/>
      <c r="CG20" s="1477"/>
      <c r="CH20" s="1477"/>
    </row>
    <row r="21" spans="2:86">
      <c r="B21" s="1714"/>
      <c r="C21" s="129" t="s">
        <v>2991</v>
      </c>
      <c r="D21" s="129"/>
      <c r="E21" s="197"/>
      <c r="F21" s="1577"/>
      <c r="G21" s="1577"/>
      <c r="H21" s="1577"/>
      <c r="I21" s="1577"/>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714"/>
      <c r="AL21" s="1477"/>
      <c r="AM21" s="1477"/>
      <c r="AN21" s="1477"/>
      <c r="AO21" s="284"/>
      <c r="AP21" s="1477"/>
      <c r="AQ21" s="1477"/>
      <c r="AR21" s="1477"/>
      <c r="AS21" s="1477"/>
      <c r="AT21" s="1477"/>
      <c r="AU21" s="1477"/>
      <c r="AV21" s="1477"/>
      <c r="AW21" s="1477"/>
      <c r="AX21" s="1477"/>
      <c r="AY21" s="1477"/>
      <c r="AZ21" s="1477"/>
      <c r="BA21" s="1477"/>
      <c r="BB21" s="1477"/>
      <c r="BC21" s="1477"/>
      <c r="BD21" s="1477"/>
      <c r="BE21" s="1477"/>
      <c r="BF21" s="1477"/>
      <c r="BG21" s="1477"/>
      <c r="BH21" s="1477"/>
      <c r="BI21" s="1477"/>
      <c r="BJ21" s="1477"/>
      <c r="BK21" s="1477"/>
      <c r="BL21" s="1477"/>
      <c r="BM21" s="1477"/>
      <c r="BN21" s="1477"/>
      <c r="BO21" s="1477"/>
      <c r="BP21" s="1477"/>
      <c r="BQ21" s="1477"/>
      <c r="BR21" s="1477"/>
      <c r="BS21" s="1477"/>
      <c r="BT21" s="1477"/>
      <c r="BU21" s="1477"/>
      <c r="BV21" s="1477"/>
      <c r="BW21" s="1477"/>
      <c r="BX21" s="1477"/>
      <c r="BY21" s="1477"/>
      <c r="BZ21" s="1477"/>
      <c r="CA21" s="1477"/>
      <c r="CB21" s="1477"/>
      <c r="CC21" s="1477"/>
      <c r="CD21" s="1477"/>
      <c r="CE21" s="1477"/>
      <c r="CF21" s="1477"/>
      <c r="CG21" s="1477"/>
      <c r="CH21" s="1477"/>
    </row>
    <row r="22" spans="2:86">
      <c r="B22" s="1714"/>
      <c r="C22" s="673" t="str" cm="1">
        <f t="array" ref="C22:D22">'14. Project Costs'!C19:D19</f>
        <v>Hard/Construction Costs</v>
      </c>
      <c r="D22" s="674">
        <v>0</v>
      </c>
      <c r="E22" s="184">
        <f>PC_CST_Building_Total</f>
        <v>0</v>
      </c>
      <c r="F22" s="1573">
        <f t="shared" ref="F22:F28" si="6">+E22-SUM(G22:AJ22)</f>
        <v>0</v>
      </c>
      <c r="G22" s="1574">
        <f t="shared" ref="G22:AJ28" si="7">+$E22*G$11</f>
        <v>0</v>
      </c>
      <c r="H22" s="1574">
        <f t="shared" si="7"/>
        <v>0</v>
      </c>
      <c r="I22" s="1574">
        <f t="shared" si="7"/>
        <v>0</v>
      </c>
      <c r="J22" s="1574">
        <f t="shared" si="7"/>
        <v>0</v>
      </c>
      <c r="K22" s="1574">
        <f t="shared" si="7"/>
        <v>0</v>
      </c>
      <c r="L22" s="1574">
        <f t="shared" si="7"/>
        <v>0</v>
      </c>
      <c r="M22" s="1574">
        <f t="shared" si="7"/>
        <v>0</v>
      </c>
      <c r="N22" s="1574">
        <f t="shared" si="7"/>
        <v>0</v>
      </c>
      <c r="O22" s="1574">
        <f t="shared" si="7"/>
        <v>0</v>
      </c>
      <c r="P22" s="1574">
        <f t="shared" si="7"/>
        <v>0</v>
      </c>
      <c r="Q22" s="1574">
        <f t="shared" si="7"/>
        <v>0</v>
      </c>
      <c r="R22" s="1574">
        <f t="shared" si="7"/>
        <v>0</v>
      </c>
      <c r="S22" s="1574">
        <f t="shared" si="7"/>
        <v>0</v>
      </c>
      <c r="T22" s="1574">
        <f t="shared" si="7"/>
        <v>0</v>
      </c>
      <c r="U22" s="1574">
        <f t="shared" si="7"/>
        <v>0</v>
      </c>
      <c r="V22" s="1574">
        <f t="shared" si="7"/>
        <v>0</v>
      </c>
      <c r="W22" s="1574">
        <f t="shared" si="7"/>
        <v>0</v>
      </c>
      <c r="X22" s="1574">
        <f t="shared" si="7"/>
        <v>0</v>
      </c>
      <c r="Y22" s="1574">
        <f t="shared" si="7"/>
        <v>0</v>
      </c>
      <c r="Z22" s="1574">
        <f t="shared" si="7"/>
        <v>0</v>
      </c>
      <c r="AA22" s="1574">
        <f t="shared" si="7"/>
        <v>0</v>
      </c>
      <c r="AB22" s="1574">
        <f t="shared" si="7"/>
        <v>0</v>
      </c>
      <c r="AC22" s="1574">
        <f t="shared" si="7"/>
        <v>0</v>
      </c>
      <c r="AD22" s="1574">
        <f t="shared" si="7"/>
        <v>0</v>
      </c>
      <c r="AE22" s="1574">
        <f t="shared" si="7"/>
        <v>0</v>
      </c>
      <c r="AF22" s="1574">
        <f t="shared" si="7"/>
        <v>0</v>
      </c>
      <c r="AG22" s="1574">
        <f t="shared" si="7"/>
        <v>0</v>
      </c>
      <c r="AH22" s="1574">
        <f t="shared" si="7"/>
        <v>0</v>
      </c>
      <c r="AI22" s="1574">
        <f t="shared" si="7"/>
        <v>0</v>
      </c>
      <c r="AJ22" s="1574">
        <f t="shared" si="7"/>
        <v>0</v>
      </c>
      <c r="AK22" s="1714"/>
      <c r="AL22" s="1477"/>
      <c r="AM22" s="1477"/>
      <c r="AN22" s="1477"/>
      <c r="AO22" s="284"/>
      <c r="AP22" s="1477"/>
      <c r="AQ22" s="1477"/>
      <c r="AR22" s="1477"/>
      <c r="AS22" s="1477"/>
      <c r="AT22" s="1477"/>
      <c r="AU22" s="1477"/>
      <c r="AV22" s="1477"/>
      <c r="AW22" s="1477"/>
      <c r="AX22" s="1477"/>
      <c r="AY22" s="1477"/>
      <c r="AZ22" s="1477"/>
      <c r="BA22" s="1477"/>
      <c r="BB22" s="1477"/>
      <c r="BC22" s="1477"/>
      <c r="BD22" s="1477"/>
      <c r="BE22" s="1477"/>
      <c r="BF22" s="1477"/>
      <c r="BG22" s="1477"/>
      <c r="BH22" s="1477"/>
      <c r="BI22" s="1477"/>
      <c r="BJ22" s="1477"/>
      <c r="BK22" s="1477"/>
      <c r="BL22" s="1477"/>
      <c r="BM22" s="1477"/>
      <c r="BN22" s="1477"/>
      <c r="BO22" s="1477"/>
      <c r="BP22" s="1477"/>
      <c r="BQ22" s="1477"/>
      <c r="BR22" s="1477"/>
      <c r="BS22" s="1477"/>
      <c r="BT22" s="1477"/>
      <c r="BU22" s="1477"/>
      <c r="BV22" s="1477"/>
      <c r="BW22" s="1477"/>
      <c r="BX22" s="1477"/>
      <c r="BY22" s="1477"/>
      <c r="BZ22" s="1477"/>
      <c r="CA22" s="1477"/>
      <c r="CB22" s="1477"/>
      <c r="CC22" s="1477"/>
      <c r="CD22" s="1477"/>
      <c r="CE22" s="1477"/>
      <c r="CF22" s="1477"/>
      <c r="CG22" s="1477"/>
      <c r="CH22" s="1477"/>
    </row>
    <row r="23" spans="2:86">
      <c r="B23" s="1714"/>
      <c r="C23" s="673" t="str" cm="1">
        <f t="array" ref="C23:D23">+'14. Project Costs'!C24:D24</f>
        <v>E - Equipment &amp; Furnishings</v>
      </c>
      <c r="D23" s="674">
        <v>0</v>
      </c>
      <c r="E23" s="184">
        <f>+'14. Project Costs'!F24</f>
        <v>0</v>
      </c>
      <c r="F23" s="1573">
        <f t="shared" si="6"/>
        <v>0</v>
      </c>
      <c r="G23" s="1574">
        <f t="shared" si="7"/>
        <v>0</v>
      </c>
      <c r="H23" s="1574">
        <f t="shared" si="7"/>
        <v>0</v>
      </c>
      <c r="I23" s="1574">
        <f t="shared" si="7"/>
        <v>0</v>
      </c>
      <c r="J23" s="1574">
        <f t="shared" si="7"/>
        <v>0</v>
      </c>
      <c r="K23" s="1574">
        <f t="shared" si="7"/>
        <v>0</v>
      </c>
      <c r="L23" s="1574">
        <f t="shared" si="7"/>
        <v>0</v>
      </c>
      <c r="M23" s="1574">
        <f t="shared" si="7"/>
        <v>0</v>
      </c>
      <c r="N23" s="1574">
        <f t="shared" si="7"/>
        <v>0</v>
      </c>
      <c r="O23" s="1574">
        <f t="shared" si="7"/>
        <v>0</v>
      </c>
      <c r="P23" s="1574">
        <f t="shared" si="7"/>
        <v>0</v>
      </c>
      <c r="Q23" s="1574">
        <f t="shared" si="7"/>
        <v>0</v>
      </c>
      <c r="R23" s="1574">
        <f t="shared" si="7"/>
        <v>0</v>
      </c>
      <c r="S23" s="1574">
        <f t="shared" si="7"/>
        <v>0</v>
      </c>
      <c r="T23" s="1574">
        <f t="shared" si="7"/>
        <v>0</v>
      </c>
      <c r="U23" s="1574">
        <f t="shared" si="7"/>
        <v>0</v>
      </c>
      <c r="V23" s="1574">
        <f t="shared" si="7"/>
        <v>0</v>
      </c>
      <c r="W23" s="1574">
        <f t="shared" si="7"/>
        <v>0</v>
      </c>
      <c r="X23" s="1574">
        <f t="shared" si="7"/>
        <v>0</v>
      </c>
      <c r="Y23" s="1574">
        <f t="shared" si="7"/>
        <v>0</v>
      </c>
      <c r="Z23" s="1574">
        <f t="shared" si="7"/>
        <v>0</v>
      </c>
      <c r="AA23" s="1574">
        <f t="shared" si="7"/>
        <v>0</v>
      </c>
      <c r="AB23" s="1574">
        <f t="shared" si="7"/>
        <v>0</v>
      </c>
      <c r="AC23" s="1574">
        <f t="shared" si="7"/>
        <v>0</v>
      </c>
      <c r="AD23" s="1574">
        <f t="shared" si="7"/>
        <v>0</v>
      </c>
      <c r="AE23" s="1574">
        <f t="shared" si="7"/>
        <v>0</v>
      </c>
      <c r="AF23" s="1574">
        <f t="shared" si="7"/>
        <v>0</v>
      </c>
      <c r="AG23" s="1574">
        <f t="shared" si="7"/>
        <v>0</v>
      </c>
      <c r="AH23" s="1574">
        <f t="shared" si="7"/>
        <v>0</v>
      </c>
      <c r="AI23" s="1574">
        <f t="shared" si="7"/>
        <v>0</v>
      </c>
      <c r="AJ23" s="1574">
        <f t="shared" si="7"/>
        <v>0</v>
      </c>
      <c r="AK23" s="1714"/>
      <c r="AL23" s="1477"/>
      <c r="AM23" s="1477"/>
      <c r="AN23" s="1477"/>
      <c r="AO23" s="284"/>
      <c r="AP23" s="1477"/>
      <c r="AQ23" s="1477"/>
      <c r="AR23" s="1477"/>
      <c r="AS23" s="1477"/>
      <c r="AT23" s="1477"/>
      <c r="AU23" s="1477"/>
      <c r="AV23" s="1477"/>
      <c r="AW23" s="1477"/>
      <c r="AX23" s="1477"/>
      <c r="AY23" s="1477"/>
      <c r="AZ23" s="1477"/>
      <c r="BA23" s="1477"/>
      <c r="BB23" s="1477"/>
      <c r="BC23" s="1477"/>
      <c r="BD23" s="1477"/>
      <c r="BE23" s="1477"/>
      <c r="BF23" s="1477"/>
      <c r="BG23" s="1477"/>
      <c r="BH23" s="1477"/>
      <c r="BI23" s="1477"/>
      <c r="BJ23" s="1477"/>
      <c r="BK23" s="1477"/>
      <c r="BL23" s="1477"/>
      <c r="BM23" s="1477"/>
      <c r="BN23" s="1477"/>
      <c r="BO23" s="1477"/>
      <c r="BP23" s="1477"/>
      <c r="BQ23" s="1477"/>
      <c r="BR23" s="1477"/>
      <c r="BS23" s="1477"/>
      <c r="BT23" s="1477"/>
      <c r="BU23" s="1477"/>
      <c r="BV23" s="1477"/>
      <c r="BW23" s="1477"/>
      <c r="BX23" s="1477"/>
      <c r="BY23" s="1477"/>
      <c r="BZ23" s="1477"/>
      <c r="CA23" s="1477"/>
      <c r="CB23" s="1477"/>
      <c r="CC23" s="1477"/>
      <c r="CD23" s="1477"/>
      <c r="CE23" s="1477"/>
      <c r="CF23" s="1477"/>
      <c r="CG23" s="1477"/>
      <c r="CH23" s="1477"/>
    </row>
    <row r="24" spans="2:86">
      <c r="B24" s="1714"/>
      <c r="C24" s="673" t="str" cm="1">
        <f t="array" ref="C24:D24">+'14. Project Costs'!C25:D25</f>
        <v>F - Special Construction &amp; Demolition</v>
      </c>
      <c r="D24" s="674">
        <v>0</v>
      </c>
      <c r="E24" s="184">
        <f>+'14. Project Costs'!F25</f>
        <v>0</v>
      </c>
      <c r="F24" s="1573">
        <f t="shared" si="6"/>
        <v>0</v>
      </c>
      <c r="G24" s="1574">
        <f t="shared" si="7"/>
        <v>0</v>
      </c>
      <c r="H24" s="1574">
        <f t="shared" si="7"/>
        <v>0</v>
      </c>
      <c r="I24" s="1574">
        <f t="shared" si="7"/>
        <v>0</v>
      </c>
      <c r="J24" s="1574">
        <f t="shared" si="7"/>
        <v>0</v>
      </c>
      <c r="K24" s="1574">
        <f t="shared" si="7"/>
        <v>0</v>
      </c>
      <c r="L24" s="1574">
        <f t="shared" si="7"/>
        <v>0</v>
      </c>
      <c r="M24" s="1574">
        <f t="shared" si="7"/>
        <v>0</v>
      </c>
      <c r="N24" s="1574">
        <f t="shared" si="7"/>
        <v>0</v>
      </c>
      <c r="O24" s="1574">
        <f t="shared" si="7"/>
        <v>0</v>
      </c>
      <c r="P24" s="1574">
        <f t="shared" si="7"/>
        <v>0</v>
      </c>
      <c r="Q24" s="1574">
        <f t="shared" si="7"/>
        <v>0</v>
      </c>
      <c r="R24" s="1574">
        <f t="shared" si="7"/>
        <v>0</v>
      </c>
      <c r="S24" s="1574">
        <f t="shared" si="7"/>
        <v>0</v>
      </c>
      <c r="T24" s="1574">
        <f t="shared" si="7"/>
        <v>0</v>
      </c>
      <c r="U24" s="1574">
        <f t="shared" si="7"/>
        <v>0</v>
      </c>
      <c r="V24" s="1574">
        <f t="shared" si="7"/>
        <v>0</v>
      </c>
      <c r="W24" s="1574">
        <f t="shared" si="7"/>
        <v>0</v>
      </c>
      <c r="X24" s="1574">
        <f t="shared" si="7"/>
        <v>0</v>
      </c>
      <c r="Y24" s="1574">
        <f t="shared" si="7"/>
        <v>0</v>
      </c>
      <c r="Z24" s="1574">
        <f t="shared" si="7"/>
        <v>0</v>
      </c>
      <c r="AA24" s="1574">
        <f t="shared" si="7"/>
        <v>0</v>
      </c>
      <c r="AB24" s="1574">
        <f t="shared" si="7"/>
        <v>0</v>
      </c>
      <c r="AC24" s="1574">
        <f t="shared" si="7"/>
        <v>0</v>
      </c>
      <c r="AD24" s="1574">
        <f t="shared" si="7"/>
        <v>0</v>
      </c>
      <c r="AE24" s="1574">
        <f t="shared" si="7"/>
        <v>0</v>
      </c>
      <c r="AF24" s="1574">
        <f t="shared" si="7"/>
        <v>0</v>
      </c>
      <c r="AG24" s="1574">
        <f t="shared" si="7"/>
        <v>0</v>
      </c>
      <c r="AH24" s="1574">
        <f t="shared" si="7"/>
        <v>0</v>
      </c>
      <c r="AI24" s="1574">
        <f t="shared" si="7"/>
        <v>0</v>
      </c>
      <c r="AJ24" s="1574">
        <f t="shared" si="7"/>
        <v>0</v>
      </c>
      <c r="AK24" s="1714"/>
      <c r="AL24" s="1477"/>
      <c r="AM24" s="1477"/>
      <c r="AN24" s="1477"/>
      <c r="AO24" s="284"/>
      <c r="AP24" s="1477"/>
      <c r="AQ24" s="1477"/>
      <c r="AR24" s="1477"/>
      <c r="AS24" s="1477"/>
      <c r="AT24" s="1477"/>
      <c r="AU24" s="1477"/>
      <c r="AV24" s="1477"/>
      <c r="AW24" s="1477"/>
      <c r="AX24" s="1477"/>
      <c r="AY24" s="1477"/>
      <c r="AZ24" s="1477"/>
      <c r="BA24" s="1477"/>
      <c r="BB24" s="1477"/>
      <c r="BC24" s="1477"/>
      <c r="BD24" s="1477"/>
      <c r="BE24" s="1477"/>
      <c r="BF24" s="1477"/>
      <c r="BG24" s="1477"/>
      <c r="BH24" s="1477"/>
      <c r="BI24" s="1477"/>
      <c r="BJ24" s="1477"/>
      <c r="BK24" s="1477"/>
      <c r="BL24" s="1477"/>
      <c r="BM24" s="1477"/>
      <c r="BN24" s="1477"/>
      <c r="BO24" s="1477"/>
      <c r="BP24" s="1477"/>
      <c r="BQ24" s="1477"/>
      <c r="BR24" s="1477"/>
      <c r="BS24" s="1477"/>
      <c r="BT24" s="1477"/>
      <c r="BU24" s="1477"/>
      <c r="BV24" s="1477"/>
      <c r="BW24" s="1477"/>
      <c r="BX24" s="1477"/>
      <c r="BY24" s="1477"/>
      <c r="BZ24" s="1477"/>
      <c r="CA24" s="1477"/>
      <c r="CB24" s="1477"/>
      <c r="CC24" s="1477"/>
      <c r="CD24" s="1477"/>
      <c r="CE24" s="1477"/>
      <c r="CF24" s="1477"/>
      <c r="CG24" s="1477"/>
      <c r="CH24" s="1477"/>
    </row>
    <row r="25" spans="2:86">
      <c r="B25" s="1714"/>
      <c r="C25" s="673" t="str" cm="1">
        <f t="array" ref="C25:D25">+'14. Project Costs'!C27:D27</f>
        <v>Escalation</v>
      </c>
      <c r="D25" s="674">
        <v>0</v>
      </c>
      <c r="E25" s="184">
        <f>+'14. Project Costs'!F27</f>
        <v>0</v>
      </c>
      <c r="F25" s="1573">
        <f t="shared" si="6"/>
        <v>0</v>
      </c>
      <c r="G25" s="1574">
        <f t="shared" si="7"/>
        <v>0</v>
      </c>
      <c r="H25" s="1574">
        <f t="shared" si="7"/>
        <v>0</v>
      </c>
      <c r="I25" s="1574">
        <f t="shared" si="7"/>
        <v>0</v>
      </c>
      <c r="J25" s="1574">
        <f t="shared" si="7"/>
        <v>0</v>
      </c>
      <c r="K25" s="1574">
        <f t="shared" si="7"/>
        <v>0</v>
      </c>
      <c r="L25" s="1574">
        <f t="shared" si="7"/>
        <v>0</v>
      </c>
      <c r="M25" s="1574">
        <f t="shared" si="7"/>
        <v>0</v>
      </c>
      <c r="N25" s="1574">
        <f t="shared" si="7"/>
        <v>0</v>
      </c>
      <c r="O25" s="1574">
        <f t="shared" si="7"/>
        <v>0</v>
      </c>
      <c r="P25" s="1574">
        <f t="shared" si="7"/>
        <v>0</v>
      </c>
      <c r="Q25" s="1574">
        <f t="shared" si="7"/>
        <v>0</v>
      </c>
      <c r="R25" s="1574">
        <f t="shared" si="7"/>
        <v>0</v>
      </c>
      <c r="S25" s="1574">
        <f t="shared" si="7"/>
        <v>0</v>
      </c>
      <c r="T25" s="1574">
        <f t="shared" si="7"/>
        <v>0</v>
      </c>
      <c r="U25" s="1574">
        <f t="shared" si="7"/>
        <v>0</v>
      </c>
      <c r="V25" s="1574">
        <f t="shared" si="7"/>
        <v>0</v>
      </c>
      <c r="W25" s="1574">
        <f t="shared" si="7"/>
        <v>0</v>
      </c>
      <c r="X25" s="1574">
        <f t="shared" si="7"/>
        <v>0</v>
      </c>
      <c r="Y25" s="1574">
        <f t="shared" si="7"/>
        <v>0</v>
      </c>
      <c r="Z25" s="1574">
        <f t="shared" si="7"/>
        <v>0</v>
      </c>
      <c r="AA25" s="1574">
        <f t="shared" si="7"/>
        <v>0</v>
      </c>
      <c r="AB25" s="1574">
        <f t="shared" si="7"/>
        <v>0</v>
      </c>
      <c r="AC25" s="1574">
        <f t="shared" si="7"/>
        <v>0</v>
      </c>
      <c r="AD25" s="1574">
        <f t="shared" si="7"/>
        <v>0</v>
      </c>
      <c r="AE25" s="1574">
        <f t="shared" si="7"/>
        <v>0</v>
      </c>
      <c r="AF25" s="1574">
        <f t="shared" si="7"/>
        <v>0</v>
      </c>
      <c r="AG25" s="1574">
        <f t="shared" si="7"/>
        <v>0</v>
      </c>
      <c r="AH25" s="1574">
        <f t="shared" si="7"/>
        <v>0</v>
      </c>
      <c r="AI25" s="1574">
        <f t="shared" si="7"/>
        <v>0</v>
      </c>
      <c r="AJ25" s="1574">
        <f t="shared" si="7"/>
        <v>0</v>
      </c>
      <c r="AK25" s="1714"/>
      <c r="AL25" s="1477"/>
      <c r="AM25" s="1477"/>
      <c r="AN25" s="1477"/>
      <c r="AO25" s="284"/>
      <c r="AP25" s="1477"/>
      <c r="AQ25" s="1477"/>
      <c r="AR25" s="1477"/>
      <c r="AS25" s="1477"/>
      <c r="AT25" s="1477"/>
      <c r="AU25" s="1477"/>
      <c r="AV25" s="1477"/>
      <c r="AW25" s="1477"/>
      <c r="AX25" s="1477"/>
      <c r="AY25" s="1477"/>
      <c r="AZ25" s="1477"/>
      <c r="BA25" s="1477"/>
      <c r="BB25" s="1477"/>
      <c r="BC25" s="1477"/>
      <c r="BD25" s="1477"/>
      <c r="BE25" s="1477"/>
      <c r="BF25" s="1477"/>
      <c r="BG25" s="1477"/>
      <c r="BH25" s="1477"/>
      <c r="BI25" s="1477"/>
      <c r="BJ25" s="1477"/>
      <c r="BK25" s="1477"/>
      <c r="BL25" s="1477"/>
      <c r="BM25" s="1477"/>
      <c r="BN25" s="1477"/>
      <c r="BO25" s="1477"/>
      <c r="BP25" s="1477"/>
      <c r="BQ25" s="1477"/>
      <c r="BR25" s="1477"/>
      <c r="BS25" s="1477"/>
      <c r="BT25" s="1477"/>
      <c r="BU25" s="1477"/>
      <c r="BV25" s="1477"/>
      <c r="BW25" s="1477"/>
      <c r="BX25" s="1477"/>
      <c r="BY25" s="1477"/>
      <c r="BZ25" s="1477"/>
      <c r="CA25" s="1477"/>
      <c r="CB25" s="1477"/>
      <c r="CC25" s="1477"/>
      <c r="CD25" s="1477"/>
      <c r="CE25" s="1477"/>
      <c r="CF25" s="1477"/>
      <c r="CG25" s="1477"/>
      <c r="CH25" s="1477"/>
    </row>
    <row r="26" spans="2:86">
      <c r="B26" s="1714"/>
      <c r="C26" s="673" t="str" cm="1">
        <f t="array" ref="C26:D26">'14. Project Costs'!C28:D28</f>
        <v>Accessory Buildings (Garage, storage, etc.)</v>
      </c>
      <c r="D26" s="674">
        <v>0</v>
      </c>
      <c r="E26" s="184">
        <f>PC_CST_Accessory_Building_Total</f>
        <v>0</v>
      </c>
      <c r="F26" s="1573">
        <f t="shared" si="6"/>
        <v>0</v>
      </c>
      <c r="G26" s="1574">
        <f t="shared" si="7"/>
        <v>0</v>
      </c>
      <c r="H26" s="1574">
        <f t="shared" si="7"/>
        <v>0</v>
      </c>
      <c r="I26" s="1574">
        <f t="shared" si="7"/>
        <v>0</v>
      </c>
      <c r="J26" s="1574">
        <f t="shared" si="7"/>
        <v>0</v>
      </c>
      <c r="K26" s="1574">
        <f t="shared" si="7"/>
        <v>0</v>
      </c>
      <c r="L26" s="1574">
        <f t="shared" si="7"/>
        <v>0</v>
      </c>
      <c r="M26" s="1574">
        <f t="shared" si="7"/>
        <v>0</v>
      </c>
      <c r="N26" s="1574">
        <f t="shared" si="7"/>
        <v>0</v>
      </c>
      <c r="O26" s="1574">
        <f t="shared" si="7"/>
        <v>0</v>
      </c>
      <c r="P26" s="1574">
        <f t="shared" si="7"/>
        <v>0</v>
      </c>
      <c r="Q26" s="1574">
        <f t="shared" si="7"/>
        <v>0</v>
      </c>
      <c r="R26" s="1574">
        <f t="shared" si="7"/>
        <v>0</v>
      </c>
      <c r="S26" s="1574">
        <f t="shared" si="7"/>
        <v>0</v>
      </c>
      <c r="T26" s="1574">
        <f t="shared" si="7"/>
        <v>0</v>
      </c>
      <c r="U26" s="1574">
        <f t="shared" si="7"/>
        <v>0</v>
      </c>
      <c r="V26" s="1574">
        <f t="shared" si="7"/>
        <v>0</v>
      </c>
      <c r="W26" s="1574">
        <f t="shared" si="7"/>
        <v>0</v>
      </c>
      <c r="X26" s="1574">
        <f t="shared" si="7"/>
        <v>0</v>
      </c>
      <c r="Y26" s="1574">
        <f t="shared" si="7"/>
        <v>0</v>
      </c>
      <c r="Z26" s="1574">
        <f t="shared" si="7"/>
        <v>0</v>
      </c>
      <c r="AA26" s="1574">
        <f t="shared" si="7"/>
        <v>0</v>
      </c>
      <c r="AB26" s="1574">
        <f t="shared" si="7"/>
        <v>0</v>
      </c>
      <c r="AC26" s="1574">
        <f t="shared" si="7"/>
        <v>0</v>
      </c>
      <c r="AD26" s="1574">
        <f t="shared" si="7"/>
        <v>0</v>
      </c>
      <c r="AE26" s="1574">
        <f t="shared" si="7"/>
        <v>0</v>
      </c>
      <c r="AF26" s="1574">
        <f t="shared" si="7"/>
        <v>0</v>
      </c>
      <c r="AG26" s="1574">
        <f t="shared" si="7"/>
        <v>0</v>
      </c>
      <c r="AH26" s="1574">
        <f t="shared" si="7"/>
        <v>0</v>
      </c>
      <c r="AI26" s="1574">
        <f t="shared" si="7"/>
        <v>0</v>
      </c>
      <c r="AJ26" s="1574">
        <f t="shared" si="7"/>
        <v>0</v>
      </c>
      <c r="AK26" s="1714"/>
      <c r="AL26" s="1477"/>
      <c r="AM26" s="1477"/>
      <c r="AN26" s="1477"/>
      <c r="AO26" s="284"/>
      <c r="AP26" s="1477"/>
      <c r="AQ26" s="1477"/>
      <c r="AR26" s="1477"/>
      <c r="AS26" s="1477"/>
      <c r="AT26" s="1477"/>
      <c r="AU26" s="1477"/>
      <c r="AV26" s="1477"/>
      <c r="AW26" s="1477"/>
      <c r="AX26" s="1477"/>
      <c r="AY26" s="1477"/>
      <c r="AZ26" s="1477"/>
      <c r="BA26" s="1477"/>
      <c r="BB26" s="1477"/>
      <c r="BC26" s="1477"/>
      <c r="BD26" s="1477"/>
      <c r="BE26" s="1477"/>
      <c r="BF26" s="1477"/>
      <c r="BG26" s="1477"/>
      <c r="BH26" s="1477"/>
      <c r="BI26" s="1477"/>
      <c r="BJ26" s="1477"/>
      <c r="BK26" s="1477"/>
      <c r="BL26" s="1477"/>
      <c r="BM26" s="1477"/>
      <c r="BN26" s="1477"/>
      <c r="BO26" s="1477"/>
      <c r="BP26" s="1477"/>
      <c r="BQ26" s="1477"/>
      <c r="BR26" s="1477"/>
      <c r="BS26" s="1477"/>
      <c r="BT26" s="1477"/>
      <c r="BU26" s="1477"/>
      <c r="BV26" s="1477"/>
      <c r="BW26" s="1477"/>
      <c r="BX26" s="1477"/>
      <c r="BY26" s="1477"/>
      <c r="BZ26" s="1477"/>
      <c r="CA26" s="1477"/>
      <c r="CB26" s="1477"/>
      <c r="CC26" s="1477"/>
      <c r="CD26" s="1477"/>
      <c r="CE26" s="1477"/>
      <c r="CF26" s="1477"/>
      <c r="CG26" s="1477"/>
      <c r="CH26" s="1477"/>
    </row>
    <row r="27" spans="2:86">
      <c r="B27" s="1714"/>
      <c r="C27" s="673" t="str" cm="1">
        <f t="array" ref="C27:D27">'14. Project Costs'!C29:D29</f>
        <v>Personal Property / Furniture, Fixtures, &amp; Equipment</v>
      </c>
      <c r="D27" s="674">
        <v>0</v>
      </c>
      <c r="E27" s="184">
        <f>PC_CST_Personal_Property_Total</f>
        <v>0</v>
      </c>
      <c r="F27" s="1573">
        <f t="shared" si="6"/>
        <v>0</v>
      </c>
      <c r="G27" s="1574">
        <f t="shared" si="7"/>
        <v>0</v>
      </c>
      <c r="H27" s="1574">
        <f t="shared" si="7"/>
        <v>0</v>
      </c>
      <c r="I27" s="1574">
        <f t="shared" si="7"/>
        <v>0</v>
      </c>
      <c r="J27" s="1574">
        <f t="shared" si="7"/>
        <v>0</v>
      </c>
      <c r="K27" s="1574">
        <f t="shared" si="7"/>
        <v>0</v>
      </c>
      <c r="L27" s="1574">
        <f t="shared" si="7"/>
        <v>0</v>
      </c>
      <c r="M27" s="1574">
        <f t="shared" si="7"/>
        <v>0</v>
      </c>
      <c r="N27" s="1574">
        <f t="shared" si="7"/>
        <v>0</v>
      </c>
      <c r="O27" s="1574">
        <f t="shared" si="7"/>
        <v>0</v>
      </c>
      <c r="P27" s="1574">
        <f t="shared" si="7"/>
        <v>0</v>
      </c>
      <c r="Q27" s="1574">
        <f t="shared" si="7"/>
        <v>0</v>
      </c>
      <c r="R27" s="1574">
        <f t="shared" si="7"/>
        <v>0</v>
      </c>
      <c r="S27" s="1574">
        <f t="shared" si="7"/>
        <v>0</v>
      </c>
      <c r="T27" s="1574">
        <f t="shared" si="7"/>
        <v>0</v>
      </c>
      <c r="U27" s="1574">
        <f t="shared" si="7"/>
        <v>0</v>
      </c>
      <c r="V27" s="1574">
        <f t="shared" si="7"/>
        <v>0</v>
      </c>
      <c r="W27" s="1574">
        <f t="shared" si="7"/>
        <v>0</v>
      </c>
      <c r="X27" s="1574">
        <f t="shared" si="7"/>
        <v>0</v>
      </c>
      <c r="Y27" s="1574">
        <f t="shared" si="7"/>
        <v>0</v>
      </c>
      <c r="Z27" s="1574">
        <f t="shared" si="7"/>
        <v>0</v>
      </c>
      <c r="AA27" s="1574">
        <f t="shared" si="7"/>
        <v>0</v>
      </c>
      <c r="AB27" s="1574">
        <f t="shared" si="7"/>
        <v>0</v>
      </c>
      <c r="AC27" s="1574">
        <f t="shared" si="7"/>
        <v>0</v>
      </c>
      <c r="AD27" s="1574">
        <f t="shared" si="7"/>
        <v>0</v>
      </c>
      <c r="AE27" s="1574">
        <f t="shared" si="7"/>
        <v>0</v>
      </c>
      <c r="AF27" s="1574">
        <f t="shared" si="7"/>
        <v>0</v>
      </c>
      <c r="AG27" s="1574">
        <f t="shared" si="7"/>
        <v>0</v>
      </c>
      <c r="AH27" s="1574">
        <f t="shared" si="7"/>
        <v>0</v>
      </c>
      <c r="AI27" s="1574">
        <f t="shared" si="7"/>
        <v>0</v>
      </c>
      <c r="AJ27" s="1574">
        <f t="shared" si="7"/>
        <v>0</v>
      </c>
      <c r="AK27" s="1714"/>
      <c r="AL27" s="1477"/>
      <c r="AM27" s="1477"/>
      <c r="AN27" s="1477"/>
      <c r="AO27" s="284"/>
      <c r="AP27" s="1477"/>
      <c r="AQ27" s="1477"/>
      <c r="AR27" s="1477"/>
      <c r="AS27" s="1477"/>
      <c r="AT27" s="1477"/>
      <c r="AU27" s="1477"/>
      <c r="AV27" s="1477"/>
      <c r="AW27" s="1477"/>
      <c r="AX27" s="1477"/>
      <c r="AY27" s="1477"/>
      <c r="AZ27" s="1477"/>
      <c r="BA27" s="1477"/>
      <c r="BB27" s="1477"/>
      <c r="BC27" s="1477"/>
      <c r="BD27" s="1477"/>
      <c r="BE27" s="1477"/>
      <c r="BF27" s="1477"/>
      <c r="BG27" s="1477"/>
      <c r="BH27" s="1477"/>
      <c r="BI27" s="1477"/>
      <c r="BJ27" s="1477"/>
      <c r="BK27" s="1477"/>
      <c r="BL27" s="1477"/>
      <c r="BM27" s="1477"/>
      <c r="BN27" s="1477"/>
      <c r="BO27" s="1477"/>
      <c r="BP27" s="1477"/>
      <c r="BQ27" s="1477"/>
      <c r="BR27" s="1477"/>
      <c r="BS27" s="1477"/>
      <c r="BT27" s="1477"/>
      <c r="BU27" s="1477"/>
      <c r="BV27" s="1477"/>
      <c r="BW27" s="1477"/>
      <c r="BX27" s="1477"/>
      <c r="BY27" s="1477"/>
      <c r="BZ27" s="1477"/>
      <c r="CA27" s="1477"/>
      <c r="CB27" s="1477"/>
      <c r="CC27" s="1477"/>
      <c r="CD27" s="1477"/>
      <c r="CE27" s="1477"/>
      <c r="CF27" s="1477"/>
      <c r="CG27" s="1477"/>
      <c r="CH27" s="1477"/>
    </row>
    <row r="28" spans="2:86">
      <c r="B28" s="1714"/>
      <c r="C28" s="675" t="str" cm="1">
        <f t="array" ref="C28:D28">'14. Project Costs'!C30:D30</f>
        <v>Other New Construction/Rehabilitation</v>
      </c>
      <c r="D28" s="676">
        <v>0</v>
      </c>
      <c r="E28" s="184">
        <f>PC_CST_Other_New_Construction_Total</f>
        <v>0</v>
      </c>
      <c r="F28" s="1573">
        <f t="shared" si="6"/>
        <v>0</v>
      </c>
      <c r="G28" s="1574">
        <f t="shared" si="7"/>
        <v>0</v>
      </c>
      <c r="H28" s="1574">
        <f t="shared" si="7"/>
        <v>0</v>
      </c>
      <c r="I28" s="1574">
        <f t="shared" si="7"/>
        <v>0</v>
      </c>
      <c r="J28" s="1574">
        <f t="shared" si="7"/>
        <v>0</v>
      </c>
      <c r="K28" s="1574">
        <f t="shared" si="7"/>
        <v>0</v>
      </c>
      <c r="L28" s="1574">
        <f t="shared" si="7"/>
        <v>0</v>
      </c>
      <c r="M28" s="1574">
        <f t="shared" si="7"/>
        <v>0</v>
      </c>
      <c r="N28" s="1574">
        <f t="shared" si="7"/>
        <v>0</v>
      </c>
      <c r="O28" s="1574">
        <f t="shared" si="7"/>
        <v>0</v>
      </c>
      <c r="P28" s="1574">
        <f t="shared" si="7"/>
        <v>0</v>
      </c>
      <c r="Q28" s="1574">
        <f t="shared" si="7"/>
        <v>0</v>
      </c>
      <c r="R28" s="1574">
        <f t="shared" si="7"/>
        <v>0</v>
      </c>
      <c r="S28" s="1574">
        <f t="shared" si="7"/>
        <v>0</v>
      </c>
      <c r="T28" s="1574">
        <f t="shared" si="7"/>
        <v>0</v>
      </c>
      <c r="U28" s="1574">
        <f t="shared" si="7"/>
        <v>0</v>
      </c>
      <c r="V28" s="1574">
        <f t="shared" si="7"/>
        <v>0</v>
      </c>
      <c r="W28" s="1574">
        <f t="shared" si="7"/>
        <v>0</v>
      </c>
      <c r="X28" s="1574">
        <f t="shared" si="7"/>
        <v>0</v>
      </c>
      <c r="Y28" s="1574">
        <f t="shared" si="7"/>
        <v>0</v>
      </c>
      <c r="Z28" s="1574">
        <f t="shared" si="7"/>
        <v>0</v>
      </c>
      <c r="AA28" s="1574">
        <f t="shared" si="7"/>
        <v>0</v>
      </c>
      <c r="AB28" s="1574">
        <f t="shared" si="7"/>
        <v>0</v>
      </c>
      <c r="AC28" s="1574">
        <f t="shared" si="7"/>
        <v>0</v>
      </c>
      <c r="AD28" s="1574">
        <f t="shared" si="7"/>
        <v>0</v>
      </c>
      <c r="AE28" s="1574">
        <f t="shared" si="7"/>
        <v>0</v>
      </c>
      <c r="AF28" s="1574">
        <f t="shared" si="7"/>
        <v>0</v>
      </c>
      <c r="AG28" s="1574">
        <f t="shared" si="7"/>
        <v>0</v>
      </c>
      <c r="AH28" s="1574">
        <f t="shared" si="7"/>
        <v>0</v>
      </c>
      <c r="AI28" s="1574">
        <f t="shared" si="7"/>
        <v>0</v>
      </c>
      <c r="AJ28" s="1574">
        <f t="shared" si="7"/>
        <v>0</v>
      </c>
      <c r="AK28" s="1714"/>
      <c r="AL28" s="1477"/>
      <c r="AM28" s="1477"/>
      <c r="AN28" s="1477"/>
      <c r="AO28" s="284"/>
      <c r="AP28" s="1477"/>
      <c r="AQ28" s="1477"/>
      <c r="AR28" s="1477"/>
      <c r="AS28" s="1477"/>
      <c r="AT28" s="1477"/>
      <c r="AU28" s="1477"/>
      <c r="AV28" s="1477"/>
      <c r="AW28" s="1477"/>
      <c r="AX28" s="1477"/>
      <c r="AY28" s="1477"/>
      <c r="AZ28" s="1477"/>
      <c r="BA28" s="1477"/>
      <c r="BB28" s="1477"/>
      <c r="BC28" s="1477"/>
      <c r="BD28" s="1477"/>
      <c r="BE28" s="1477"/>
      <c r="BF28" s="1477"/>
      <c r="BG28" s="1477"/>
      <c r="BH28" s="1477"/>
      <c r="BI28" s="1477"/>
      <c r="BJ28" s="1477"/>
      <c r="BK28" s="1477"/>
      <c r="BL28" s="1477"/>
      <c r="BM28" s="1477"/>
      <c r="BN28" s="1477"/>
      <c r="BO28" s="1477"/>
      <c r="BP28" s="1477"/>
      <c r="BQ28" s="1477"/>
      <c r="BR28" s="1477"/>
      <c r="BS28" s="1477"/>
      <c r="BT28" s="1477"/>
      <c r="BU28" s="1477"/>
      <c r="BV28" s="1477"/>
      <c r="BW28" s="1477"/>
      <c r="BX28" s="1477"/>
      <c r="BY28" s="1477"/>
      <c r="BZ28" s="1477"/>
      <c r="CA28" s="1477"/>
      <c r="CB28" s="1477"/>
      <c r="CC28" s="1477"/>
      <c r="CD28" s="1477"/>
      <c r="CE28" s="1477"/>
      <c r="CF28" s="1477"/>
      <c r="CG28" s="1477"/>
      <c r="CH28" s="1477"/>
    </row>
    <row r="29" spans="2:86">
      <c r="B29" s="1714"/>
      <c r="C29" s="131" t="s">
        <v>3017</v>
      </c>
      <c r="D29" s="131"/>
      <c r="E29" s="188">
        <f>SUM(E22:E28)</f>
        <v>0</v>
      </c>
      <c r="F29" s="1578">
        <f>SUM(F22:F28)</f>
        <v>0</v>
      </c>
      <c r="G29" s="1578">
        <f t="shared" ref="G29:AJ29" si="8">SUM(G21:G28)</f>
        <v>0</v>
      </c>
      <c r="H29" s="1578">
        <f t="shared" si="8"/>
        <v>0</v>
      </c>
      <c r="I29" s="1578">
        <f t="shared" si="8"/>
        <v>0</v>
      </c>
      <c r="J29" s="1578">
        <f t="shared" si="8"/>
        <v>0</v>
      </c>
      <c r="K29" s="1578">
        <f t="shared" si="8"/>
        <v>0</v>
      </c>
      <c r="L29" s="1578">
        <f t="shared" si="8"/>
        <v>0</v>
      </c>
      <c r="M29" s="1578">
        <f t="shared" si="8"/>
        <v>0</v>
      </c>
      <c r="N29" s="1578">
        <f t="shared" si="8"/>
        <v>0</v>
      </c>
      <c r="O29" s="1578">
        <f t="shared" si="8"/>
        <v>0</v>
      </c>
      <c r="P29" s="1578">
        <f t="shared" si="8"/>
        <v>0</v>
      </c>
      <c r="Q29" s="1578">
        <f t="shared" si="8"/>
        <v>0</v>
      </c>
      <c r="R29" s="1578">
        <f t="shared" si="8"/>
        <v>0</v>
      </c>
      <c r="S29" s="1578">
        <f t="shared" si="8"/>
        <v>0</v>
      </c>
      <c r="T29" s="1578">
        <f t="shared" si="8"/>
        <v>0</v>
      </c>
      <c r="U29" s="1578">
        <f t="shared" si="8"/>
        <v>0</v>
      </c>
      <c r="V29" s="1578">
        <f t="shared" si="8"/>
        <v>0</v>
      </c>
      <c r="W29" s="1578">
        <f t="shared" si="8"/>
        <v>0</v>
      </c>
      <c r="X29" s="1578">
        <f t="shared" si="8"/>
        <v>0</v>
      </c>
      <c r="Y29" s="1578">
        <f t="shared" si="8"/>
        <v>0</v>
      </c>
      <c r="Z29" s="1578">
        <f t="shared" si="8"/>
        <v>0</v>
      </c>
      <c r="AA29" s="1578">
        <f t="shared" si="8"/>
        <v>0</v>
      </c>
      <c r="AB29" s="1578">
        <f t="shared" si="8"/>
        <v>0</v>
      </c>
      <c r="AC29" s="1578">
        <f t="shared" si="8"/>
        <v>0</v>
      </c>
      <c r="AD29" s="1578">
        <f t="shared" si="8"/>
        <v>0</v>
      </c>
      <c r="AE29" s="1578">
        <f t="shared" si="8"/>
        <v>0</v>
      </c>
      <c r="AF29" s="1578">
        <f t="shared" si="8"/>
        <v>0</v>
      </c>
      <c r="AG29" s="1578">
        <f t="shared" si="8"/>
        <v>0</v>
      </c>
      <c r="AH29" s="1578">
        <f t="shared" si="8"/>
        <v>0</v>
      </c>
      <c r="AI29" s="1578">
        <f t="shared" si="8"/>
        <v>0</v>
      </c>
      <c r="AJ29" s="1578">
        <f t="shared" si="8"/>
        <v>0</v>
      </c>
      <c r="AK29" s="1714"/>
      <c r="AL29" s="1477"/>
      <c r="AM29" s="1477"/>
      <c r="AN29" s="1477"/>
      <c r="AO29" s="284"/>
      <c r="AP29" s="1477"/>
      <c r="AQ29" s="1477"/>
      <c r="AR29" s="1477"/>
      <c r="AS29" s="1477"/>
      <c r="AT29" s="1477"/>
      <c r="AU29" s="1477"/>
      <c r="AV29" s="1477"/>
      <c r="AW29" s="1477"/>
      <c r="AX29" s="1477"/>
      <c r="AY29" s="1477"/>
      <c r="AZ29" s="1477"/>
      <c r="BA29" s="1477"/>
      <c r="BB29" s="1477"/>
      <c r="BC29" s="1477"/>
      <c r="BD29" s="1477"/>
      <c r="BE29" s="1477"/>
      <c r="BF29" s="1477"/>
      <c r="BG29" s="1477"/>
      <c r="BH29" s="1477"/>
      <c r="BI29" s="1477"/>
      <c r="BJ29" s="1477"/>
      <c r="BK29" s="1477"/>
      <c r="BL29" s="1477"/>
      <c r="BM29" s="1477"/>
      <c r="BN29" s="1477"/>
      <c r="BO29" s="1477"/>
      <c r="BP29" s="1477"/>
      <c r="BQ29" s="1477"/>
      <c r="BR29" s="1477"/>
      <c r="BS29" s="1477"/>
      <c r="BT29" s="1477"/>
      <c r="BU29" s="1477"/>
      <c r="BV29" s="1477"/>
      <c r="BW29" s="1477"/>
      <c r="BX29" s="1477"/>
      <c r="BY29" s="1477"/>
      <c r="BZ29" s="1477"/>
      <c r="CA29" s="1477"/>
      <c r="CB29" s="1477"/>
      <c r="CC29" s="1477"/>
      <c r="CD29" s="1477"/>
      <c r="CE29" s="1477"/>
      <c r="CF29" s="1477"/>
      <c r="CG29" s="1477"/>
      <c r="CH29" s="1477"/>
    </row>
    <row r="30" spans="2:86">
      <c r="B30" s="1714"/>
      <c r="C30" s="132" t="s">
        <v>3019</v>
      </c>
      <c r="D30" s="132"/>
      <c r="E30" s="201"/>
      <c r="F30" s="1577"/>
      <c r="G30" s="1577"/>
      <c r="H30" s="1577"/>
      <c r="I30" s="1577"/>
      <c r="J30" s="1577"/>
      <c r="K30" s="1577"/>
      <c r="L30" s="157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714"/>
      <c r="AL30" s="1477"/>
      <c r="AM30" s="1477"/>
      <c r="AN30" s="1477"/>
      <c r="AO30" s="284"/>
      <c r="AP30" s="1477"/>
      <c r="AQ30" s="1477"/>
      <c r="AR30" s="1477"/>
      <c r="AS30" s="1477"/>
      <c r="AT30" s="1477"/>
      <c r="AU30" s="1477"/>
      <c r="AV30" s="1477"/>
      <c r="AW30" s="1477"/>
      <c r="AX30" s="1477"/>
      <c r="AY30" s="1477"/>
      <c r="AZ30" s="1477"/>
      <c r="BA30" s="1477"/>
      <c r="BB30" s="1477"/>
      <c r="BC30" s="1477"/>
      <c r="BD30" s="1477"/>
      <c r="BE30" s="1477"/>
      <c r="BF30" s="1477"/>
      <c r="BG30" s="1477"/>
      <c r="BH30" s="1477"/>
      <c r="BI30" s="1477"/>
      <c r="BJ30" s="1477"/>
      <c r="BK30" s="1477"/>
      <c r="BL30" s="1477"/>
      <c r="BM30" s="1477"/>
      <c r="BN30" s="1477"/>
      <c r="BO30" s="1477"/>
      <c r="BP30" s="1477"/>
      <c r="BQ30" s="1477"/>
      <c r="BR30" s="1477"/>
      <c r="BS30" s="1477"/>
      <c r="BT30" s="1477"/>
      <c r="BU30" s="1477"/>
      <c r="BV30" s="1477"/>
      <c r="BW30" s="1477"/>
      <c r="BX30" s="1477"/>
      <c r="BY30" s="1477"/>
      <c r="BZ30" s="1477"/>
      <c r="CA30" s="1477"/>
      <c r="CB30" s="1477"/>
      <c r="CC30" s="1477"/>
      <c r="CD30" s="1477"/>
      <c r="CE30" s="1477"/>
      <c r="CF30" s="1477"/>
      <c r="CG30" s="1477"/>
      <c r="CH30" s="1477"/>
    </row>
    <row r="31" spans="2:86">
      <c r="B31" s="1714"/>
      <c r="C31" s="678" t="str" cm="1">
        <f t="array" ref="C31:D31">'14. Project Costs'!C33:D33</f>
        <v>Off Site Work</v>
      </c>
      <c r="D31" s="674">
        <v>0</v>
      </c>
      <c r="E31" s="184">
        <f>PC_CST_Earthwork_Other_Total</f>
        <v>0</v>
      </c>
      <c r="F31" s="1573">
        <f t="shared" ref="F31:F36" si="9">+E31-SUM(G31:AJ31)</f>
        <v>0</v>
      </c>
      <c r="G31" s="1574">
        <f t="shared" ref="G31:AJ31" si="10">+$E31*G$11</f>
        <v>0</v>
      </c>
      <c r="H31" s="1574">
        <f t="shared" si="10"/>
        <v>0</v>
      </c>
      <c r="I31" s="1574">
        <f t="shared" si="10"/>
        <v>0</v>
      </c>
      <c r="J31" s="1574">
        <f t="shared" si="10"/>
        <v>0</v>
      </c>
      <c r="K31" s="1574">
        <f t="shared" si="10"/>
        <v>0</v>
      </c>
      <c r="L31" s="1574">
        <f t="shared" si="10"/>
        <v>0</v>
      </c>
      <c r="M31" s="1574">
        <f t="shared" si="10"/>
        <v>0</v>
      </c>
      <c r="N31" s="1574">
        <f t="shared" si="10"/>
        <v>0</v>
      </c>
      <c r="O31" s="1574">
        <f t="shared" si="10"/>
        <v>0</v>
      </c>
      <c r="P31" s="1574">
        <f t="shared" si="10"/>
        <v>0</v>
      </c>
      <c r="Q31" s="1574">
        <f t="shared" si="10"/>
        <v>0</v>
      </c>
      <c r="R31" s="1574">
        <f t="shared" si="10"/>
        <v>0</v>
      </c>
      <c r="S31" s="1574">
        <f t="shared" si="10"/>
        <v>0</v>
      </c>
      <c r="T31" s="1574">
        <f t="shared" si="10"/>
        <v>0</v>
      </c>
      <c r="U31" s="1574">
        <f t="shared" si="10"/>
        <v>0</v>
      </c>
      <c r="V31" s="1574">
        <f t="shared" si="10"/>
        <v>0</v>
      </c>
      <c r="W31" s="1574">
        <f t="shared" si="10"/>
        <v>0</v>
      </c>
      <c r="X31" s="1574">
        <f t="shared" si="10"/>
        <v>0</v>
      </c>
      <c r="Y31" s="1574">
        <f t="shared" si="10"/>
        <v>0</v>
      </c>
      <c r="Z31" s="1574">
        <f t="shared" si="10"/>
        <v>0</v>
      </c>
      <c r="AA31" s="1574">
        <f t="shared" si="10"/>
        <v>0</v>
      </c>
      <c r="AB31" s="1574">
        <f t="shared" si="10"/>
        <v>0</v>
      </c>
      <c r="AC31" s="1574">
        <f t="shared" si="10"/>
        <v>0</v>
      </c>
      <c r="AD31" s="1574">
        <f t="shared" si="10"/>
        <v>0</v>
      </c>
      <c r="AE31" s="1574">
        <f t="shared" si="10"/>
        <v>0</v>
      </c>
      <c r="AF31" s="1574">
        <f t="shared" si="10"/>
        <v>0</v>
      </c>
      <c r="AG31" s="1574">
        <f t="shared" si="10"/>
        <v>0</v>
      </c>
      <c r="AH31" s="1574">
        <f t="shared" si="10"/>
        <v>0</v>
      </c>
      <c r="AI31" s="1574">
        <f t="shared" si="10"/>
        <v>0</v>
      </c>
      <c r="AJ31" s="1574">
        <f t="shared" si="10"/>
        <v>0</v>
      </c>
      <c r="AK31" s="1714"/>
      <c r="AL31" s="1477"/>
      <c r="AM31" s="1477"/>
      <c r="AN31" s="1477"/>
      <c r="AO31" s="284"/>
      <c r="AP31" s="1477"/>
      <c r="AQ31" s="1477"/>
      <c r="AR31" s="1477"/>
      <c r="AS31" s="1477"/>
      <c r="AT31" s="1477"/>
      <c r="AU31" s="1477"/>
      <c r="AV31" s="1477"/>
      <c r="AW31" s="1477"/>
      <c r="AX31" s="1477"/>
      <c r="AY31" s="1477"/>
      <c r="AZ31" s="1477"/>
      <c r="BA31" s="1477"/>
      <c r="BB31" s="1477"/>
      <c r="BC31" s="1477"/>
      <c r="BD31" s="1477"/>
      <c r="BE31" s="1477"/>
      <c r="BF31" s="1477"/>
      <c r="BG31" s="1477"/>
      <c r="BH31" s="1477"/>
      <c r="BI31" s="1477"/>
      <c r="BJ31" s="1477"/>
      <c r="BK31" s="1477"/>
      <c r="BL31" s="1477"/>
      <c r="BM31" s="1477"/>
      <c r="BN31" s="1477"/>
      <c r="BO31" s="1477"/>
      <c r="BP31" s="1477"/>
      <c r="BQ31" s="1477"/>
      <c r="BR31" s="1477"/>
      <c r="BS31" s="1477"/>
      <c r="BT31" s="1477"/>
      <c r="BU31" s="1477"/>
      <c r="BV31" s="1477"/>
      <c r="BW31" s="1477"/>
      <c r="BX31" s="1477"/>
      <c r="BY31" s="1477"/>
      <c r="BZ31" s="1477"/>
      <c r="CA31" s="1477"/>
      <c r="CB31" s="1477"/>
      <c r="CC31" s="1477"/>
      <c r="CD31" s="1477"/>
      <c r="CE31" s="1477"/>
      <c r="CF31" s="1477"/>
      <c r="CG31" s="1477"/>
      <c r="CH31" s="1477"/>
    </row>
    <row r="32" spans="2:86" hidden="1">
      <c r="B32" s="1714"/>
      <c r="C32" s="248" t="str" cm="1">
        <f t="array" ref="C32:D32">'14. Project Costs'!C34:D34</f>
        <v>Utilities</v>
      </c>
      <c r="D32" s="248">
        <v>0</v>
      </c>
      <c r="E32" s="249">
        <f>PC_CST_Utilities_Total</f>
        <v>0</v>
      </c>
      <c r="F32" s="250">
        <f t="shared" si="9"/>
        <v>0</v>
      </c>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1714"/>
      <c r="AL32" s="1477"/>
      <c r="AM32" s="1477"/>
      <c r="AN32" s="1477"/>
      <c r="AO32" s="284"/>
      <c r="AP32" s="1477"/>
      <c r="AQ32" s="1477"/>
      <c r="AR32" s="1477"/>
      <c r="AS32" s="1477"/>
      <c r="AT32" s="1477"/>
      <c r="AU32" s="1477"/>
      <c r="AV32" s="1477"/>
      <c r="AW32" s="1477"/>
      <c r="AX32" s="1477"/>
      <c r="AY32" s="1477"/>
      <c r="AZ32" s="1477"/>
      <c r="BA32" s="1477"/>
      <c r="BB32" s="1477"/>
      <c r="BC32" s="1477"/>
      <c r="BD32" s="1477"/>
      <c r="BE32" s="1477"/>
      <c r="BF32" s="1477"/>
      <c r="BG32" s="1477"/>
      <c r="BH32" s="1477"/>
      <c r="BI32" s="1477"/>
      <c r="BJ32" s="1477"/>
      <c r="BK32" s="1477"/>
      <c r="BL32" s="1477"/>
      <c r="BM32" s="1477"/>
      <c r="BN32" s="1477"/>
      <c r="BO32" s="1477"/>
      <c r="BP32" s="1477"/>
      <c r="BQ32" s="1477"/>
      <c r="BR32" s="1477"/>
      <c r="BS32" s="1477"/>
      <c r="BT32" s="1477"/>
      <c r="BU32" s="1477"/>
      <c r="BV32" s="1477"/>
      <c r="BW32" s="1477"/>
      <c r="BX32" s="1477"/>
      <c r="BY32" s="1477"/>
      <c r="BZ32" s="1477"/>
      <c r="CA32" s="1477"/>
      <c r="CB32" s="1477"/>
      <c r="CC32" s="1477"/>
      <c r="CD32" s="1477"/>
      <c r="CE32" s="1477"/>
      <c r="CF32" s="1477"/>
      <c r="CG32" s="1477"/>
      <c r="CH32" s="1477"/>
    </row>
    <row r="33" spans="2:86" hidden="1">
      <c r="B33" s="1714"/>
      <c r="C33" s="248" t="str" cm="1">
        <f t="array" ref="C33:D33">'14. Project Costs'!C35:D35</f>
        <v>Lawns and Plantings</v>
      </c>
      <c r="D33" s="248">
        <v>0</v>
      </c>
      <c r="E33" s="249">
        <f>PC_CST_Lawn_Total</f>
        <v>0</v>
      </c>
      <c r="F33" s="250">
        <f t="shared" si="9"/>
        <v>0</v>
      </c>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1714"/>
      <c r="AL33" s="1477"/>
      <c r="AM33" s="1477"/>
      <c r="AN33" s="1477"/>
      <c r="AO33" s="284"/>
      <c r="AP33" s="1477"/>
      <c r="AQ33" s="1477"/>
      <c r="AR33" s="1477"/>
      <c r="AS33" s="1477"/>
      <c r="AT33" s="1477"/>
      <c r="AU33" s="1477"/>
      <c r="AV33" s="1477"/>
      <c r="AW33" s="1477"/>
      <c r="AX33" s="1477"/>
      <c r="AY33" s="1477"/>
      <c r="AZ33" s="1477"/>
      <c r="BA33" s="1477"/>
      <c r="BB33" s="1477"/>
      <c r="BC33" s="1477"/>
      <c r="BD33" s="1477"/>
      <c r="BE33" s="1477"/>
      <c r="BF33" s="1477"/>
      <c r="BG33" s="1477"/>
      <c r="BH33" s="1477"/>
      <c r="BI33" s="1477"/>
      <c r="BJ33" s="1477"/>
      <c r="BK33" s="1477"/>
      <c r="BL33" s="1477"/>
      <c r="BM33" s="1477"/>
      <c r="BN33" s="1477"/>
      <c r="BO33" s="1477"/>
      <c r="BP33" s="1477"/>
      <c r="BQ33" s="1477"/>
      <c r="BR33" s="1477"/>
      <c r="BS33" s="1477"/>
      <c r="BT33" s="1477"/>
      <c r="BU33" s="1477"/>
      <c r="BV33" s="1477"/>
      <c r="BW33" s="1477"/>
      <c r="BX33" s="1477"/>
      <c r="BY33" s="1477"/>
      <c r="BZ33" s="1477"/>
      <c r="CA33" s="1477"/>
      <c r="CB33" s="1477"/>
      <c r="CC33" s="1477"/>
      <c r="CD33" s="1477"/>
      <c r="CE33" s="1477"/>
      <c r="CF33" s="1477"/>
      <c r="CG33" s="1477"/>
      <c r="CH33" s="1477"/>
    </row>
    <row r="34" spans="2:86" hidden="1">
      <c r="B34" s="1714"/>
      <c r="C34" s="248" t="str" cm="1">
        <f t="array" ref="C34:D34">'14. Project Costs'!C36:D36</f>
        <v>Unusual Site Conditions</v>
      </c>
      <c r="D34" s="248">
        <v>0</v>
      </c>
      <c r="E34" s="249">
        <f>PC_CST_Unusual_Site_Total</f>
        <v>0</v>
      </c>
      <c r="F34" s="250">
        <f t="shared" si="9"/>
        <v>0</v>
      </c>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1714"/>
      <c r="AL34" s="1477"/>
      <c r="AM34" s="1477"/>
      <c r="AN34" s="1477"/>
      <c r="AO34" s="284"/>
      <c r="AP34" s="1477"/>
      <c r="AQ34" s="1477"/>
      <c r="AR34" s="1477"/>
      <c r="AS34" s="1477"/>
      <c r="AT34" s="1477"/>
      <c r="AU34" s="1477"/>
      <c r="AV34" s="1477"/>
      <c r="AW34" s="1477"/>
      <c r="AX34" s="1477"/>
      <c r="AY34" s="1477"/>
      <c r="AZ34" s="1477"/>
      <c r="BA34" s="1477"/>
      <c r="BB34" s="1477"/>
      <c r="BC34" s="1477"/>
      <c r="BD34" s="1477"/>
      <c r="BE34" s="1477"/>
      <c r="BF34" s="1477"/>
      <c r="BG34" s="1477"/>
      <c r="BH34" s="1477"/>
      <c r="BI34" s="1477"/>
      <c r="BJ34" s="1477"/>
      <c r="BK34" s="1477"/>
      <c r="BL34" s="1477"/>
      <c r="BM34" s="1477"/>
      <c r="BN34" s="1477"/>
      <c r="BO34" s="1477"/>
      <c r="BP34" s="1477"/>
      <c r="BQ34" s="1477"/>
      <c r="BR34" s="1477"/>
      <c r="BS34" s="1477"/>
      <c r="BT34" s="1477"/>
      <c r="BU34" s="1477"/>
      <c r="BV34" s="1477"/>
      <c r="BW34" s="1477"/>
      <c r="BX34" s="1477"/>
      <c r="BY34" s="1477"/>
      <c r="BZ34" s="1477"/>
      <c r="CA34" s="1477"/>
      <c r="CB34" s="1477"/>
      <c r="CC34" s="1477"/>
      <c r="CD34" s="1477"/>
      <c r="CE34" s="1477"/>
      <c r="CF34" s="1477"/>
      <c r="CG34" s="1477"/>
      <c r="CH34" s="1477"/>
    </row>
    <row r="35" spans="2:86" hidden="1">
      <c r="B35" s="1714"/>
      <c r="C35" s="248" t="str" cm="1">
        <f t="array" ref="C35:D35">'14. Project Costs'!C37:D37</f>
        <v xml:space="preserve">Roads , Walks &amp; Paving </v>
      </c>
      <c r="D35" s="248">
        <v>0</v>
      </c>
      <c r="E35" s="249">
        <f>PC_CST_Roads_Walks_Total</f>
        <v>0</v>
      </c>
      <c r="F35" s="250">
        <f t="shared" si="9"/>
        <v>0</v>
      </c>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1714"/>
      <c r="AL35" s="1477"/>
      <c r="AM35" s="1477"/>
      <c r="AN35" s="1477"/>
      <c r="AO35" s="284"/>
      <c r="AP35" s="1477"/>
      <c r="AQ35" s="1477"/>
      <c r="AR35" s="1477"/>
      <c r="AS35" s="1477"/>
      <c r="AT35" s="1477"/>
      <c r="AU35" s="1477"/>
      <c r="AV35" s="1477"/>
      <c r="AW35" s="1477"/>
      <c r="AX35" s="1477"/>
      <c r="AY35" s="1477"/>
      <c r="AZ35" s="1477"/>
      <c r="BA35" s="1477"/>
      <c r="BB35" s="1477"/>
      <c r="BC35" s="1477"/>
      <c r="BD35" s="1477"/>
      <c r="BE35" s="1477"/>
      <c r="BF35" s="1477"/>
      <c r="BG35" s="1477"/>
      <c r="BH35" s="1477"/>
      <c r="BI35" s="1477"/>
      <c r="BJ35" s="1477"/>
      <c r="BK35" s="1477"/>
      <c r="BL35" s="1477"/>
      <c r="BM35" s="1477"/>
      <c r="BN35" s="1477"/>
      <c r="BO35" s="1477"/>
      <c r="BP35" s="1477"/>
      <c r="BQ35" s="1477"/>
      <c r="BR35" s="1477"/>
      <c r="BS35" s="1477"/>
      <c r="BT35" s="1477"/>
      <c r="BU35" s="1477"/>
      <c r="BV35" s="1477"/>
      <c r="BW35" s="1477"/>
      <c r="BX35" s="1477"/>
      <c r="BY35" s="1477"/>
      <c r="BZ35" s="1477"/>
      <c r="CA35" s="1477"/>
      <c r="CB35" s="1477"/>
      <c r="CC35" s="1477"/>
      <c r="CD35" s="1477"/>
      <c r="CE35" s="1477"/>
      <c r="CF35" s="1477"/>
      <c r="CG35" s="1477"/>
      <c r="CH35" s="1477"/>
    </row>
    <row r="36" spans="2:86" hidden="1">
      <c r="B36" s="1714"/>
      <c r="C36" s="251" t="str" cm="1">
        <f t="array" ref="C36:D36">'14. Project Costs'!C38:D38</f>
        <v>Other Off Site Work</v>
      </c>
      <c r="D36" s="251">
        <v>0</v>
      </c>
      <c r="E36" s="249">
        <f>PC_CST_Off_Site_Work_Total</f>
        <v>0</v>
      </c>
      <c r="F36" s="250">
        <f t="shared" si="9"/>
        <v>0</v>
      </c>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1714"/>
      <c r="AL36" s="1477"/>
      <c r="AM36" s="1477"/>
      <c r="AN36" s="1477"/>
      <c r="AO36" s="284"/>
      <c r="AP36" s="1477"/>
      <c r="AQ36" s="1477"/>
      <c r="AR36" s="1477"/>
      <c r="AS36" s="1477"/>
      <c r="AT36" s="1477"/>
      <c r="AU36" s="1477"/>
      <c r="AV36" s="1477"/>
      <c r="AW36" s="1477"/>
      <c r="AX36" s="1477"/>
      <c r="AY36" s="1477"/>
      <c r="AZ36" s="1477"/>
      <c r="BA36" s="1477"/>
      <c r="BB36" s="1477"/>
      <c r="BC36" s="1477"/>
      <c r="BD36" s="1477"/>
      <c r="BE36" s="1477"/>
      <c r="BF36" s="1477"/>
      <c r="BG36" s="1477"/>
      <c r="BH36" s="1477"/>
      <c r="BI36" s="1477"/>
      <c r="BJ36" s="1477"/>
      <c r="BK36" s="1477"/>
      <c r="BL36" s="1477"/>
      <c r="BM36" s="1477"/>
      <c r="BN36" s="1477"/>
      <c r="BO36" s="1477"/>
      <c r="BP36" s="1477"/>
      <c r="BQ36" s="1477"/>
      <c r="BR36" s="1477"/>
      <c r="BS36" s="1477"/>
      <c r="BT36" s="1477"/>
      <c r="BU36" s="1477"/>
      <c r="BV36" s="1477"/>
      <c r="BW36" s="1477"/>
      <c r="BX36" s="1477"/>
      <c r="BY36" s="1477"/>
      <c r="BZ36" s="1477"/>
      <c r="CA36" s="1477"/>
      <c r="CB36" s="1477"/>
      <c r="CC36" s="1477"/>
      <c r="CD36" s="1477"/>
      <c r="CE36" s="1477"/>
      <c r="CF36" s="1477"/>
      <c r="CG36" s="1477"/>
      <c r="CH36" s="1477"/>
    </row>
    <row r="37" spans="2:86">
      <c r="B37" s="1714"/>
      <c r="C37" s="131" t="s">
        <v>3032</v>
      </c>
      <c r="D37" s="131"/>
      <c r="E37" s="188">
        <f>SUM(E31:E36)</f>
        <v>0</v>
      </c>
      <c r="F37" s="1578">
        <f>SUM(F31:F36)</f>
        <v>0</v>
      </c>
      <c r="G37" s="1578">
        <f t="shared" ref="G37:AJ37" si="11">SUM(G30:G36)</f>
        <v>0</v>
      </c>
      <c r="H37" s="1578">
        <f t="shared" si="11"/>
        <v>0</v>
      </c>
      <c r="I37" s="1578">
        <f t="shared" si="11"/>
        <v>0</v>
      </c>
      <c r="J37" s="1578">
        <f t="shared" si="11"/>
        <v>0</v>
      </c>
      <c r="K37" s="1578">
        <f t="shared" si="11"/>
        <v>0</v>
      </c>
      <c r="L37" s="1578">
        <f t="shared" si="11"/>
        <v>0</v>
      </c>
      <c r="M37" s="1578">
        <f t="shared" si="11"/>
        <v>0</v>
      </c>
      <c r="N37" s="1578">
        <f t="shared" si="11"/>
        <v>0</v>
      </c>
      <c r="O37" s="1578">
        <f t="shared" si="11"/>
        <v>0</v>
      </c>
      <c r="P37" s="1578">
        <f t="shared" si="11"/>
        <v>0</v>
      </c>
      <c r="Q37" s="1578">
        <f t="shared" si="11"/>
        <v>0</v>
      </c>
      <c r="R37" s="1578">
        <f t="shared" si="11"/>
        <v>0</v>
      </c>
      <c r="S37" s="1578">
        <f t="shared" si="11"/>
        <v>0</v>
      </c>
      <c r="T37" s="1578">
        <f t="shared" si="11"/>
        <v>0</v>
      </c>
      <c r="U37" s="1578">
        <f t="shared" si="11"/>
        <v>0</v>
      </c>
      <c r="V37" s="1578">
        <f t="shared" si="11"/>
        <v>0</v>
      </c>
      <c r="W37" s="1578">
        <f t="shared" si="11"/>
        <v>0</v>
      </c>
      <c r="X37" s="1578">
        <f t="shared" si="11"/>
        <v>0</v>
      </c>
      <c r="Y37" s="1578">
        <f t="shared" si="11"/>
        <v>0</v>
      </c>
      <c r="Z37" s="1578">
        <f t="shared" si="11"/>
        <v>0</v>
      </c>
      <c r="AA37" s="1578">
        <f t="shared" si="11"/>
        <v>0</v>
      </c>
      <c r="AB37" s="1578">
        <f t="shared" si="11"/>
        <v>0</v>
      </c>
      <c r="AC37" s="1578">
        <f t="shared" si="11"/>
        <v>0</v>
      </c>
      <c r="AD37" s="1578">
        <f t="shared" si="11"/>
        <v>0</v>
      </c>
      <c r="AE37" s="1578">
        <f t="shared" si="11"/>
        <v>0</v>
      </c>
      <c r="AF37" s="1578">
        <f t="shared" si="11"/>
        <v>0</v>
      </c>
      <c r="AG37" s="1578">
        <f t="shared" si="11"/>
        <v>0</v>
      </c>
      <c r="AH37" s="1578">
        <f t="shared" si="11"/>
        <v>0</v>
      </c>
      <c r="AI37" s="1578">
        <f t="shared" si="11"/>
        <v>0</v>
      </c>
      <c r="AJ37" s="1578">
        <f t="shared" si="11"/>
        <v>0</v>
      </c>
      <c r="AK37" s="1714"/>
      <c r="AL37" s="1477"/>
      <c r="AM37" s="1477"/>
      <c r="AN37" s="1477"/>
      <c r="AO37" s="284"/>
      <c r="AP37" s="1477"/>
      <c r="AQ37" s="1477"/>
      <c r="AR37" s="1477"/>
      <c r="AS37" s="1477"/>
      <c r="AT37" s="1477"/>
      <c r="AU37" s="1477"/>
      <c r="AV37" s="1477"/>
      <c r="AW37" s="1477"/>
      <c r="AX37" s="1477"/>
      <c r="AY37" s="1477"/>
      <c r="AZ37" s="1477"/>
      <c r="BA37" s="1477"/>
      <c r="BB37" s="1477"/>
      <c r="BC37" s="1477"/>
      <c r="BD37" s="1477"/>
      <c r="BE37" s="1477"/>
      <c r="BF37" s="1477"/>
      <c r="BG37" s="1477"/>
      <c r="BH37" s="1477"/>
      <c r="BI37" s="1477"/>
      <c r="BJ37" s="1477"/>
      <c r="BK37" s="1477"/>
      <c r="BL37" s="1477"/>
      <c r="BM37" s="1477"/>
      <c r="BN37" s="1477"/>
      <c r="BO37" s="1477"/>
      <c r="BP37" s="1477"/>
      <c r="BQ37" s="1477"/>
      <c r="BR37" s="1477"/>
      <c r="BS37" s="1477"/>
      <c r="BT37" s="1477"/>
      <c r="BU37" s="1477"/>
      <c r="BV37" s="1477"/>
      <c r="BW37" s="1477"/>
      <c r="BX37" s="1477"/>
      <c r="BY37" s="1477"/>
      <c r="BZ37" s="1477"/>
      <c r="CA37" s="1477"/>
      <c r="CB37" s="1477"/>
      <c r="CC37" s="1477"/>
      <c r="CD37" s="1477"/>
      <c r="CE37" s="1477"/>
      <c r="CF37" s="1477"/>
      <c r="CG37" s="1477"/>
      <c r="CH37" s="1477"/>
    </row>
    <row r="38" spans="2:86">
      <c r="B38" s="1714"/>
      <c r="C38" s="132" t="s">
        <v>3038</v>
      </c>
      <c r="D38" s="132"/>
      <c r="E38" s="201"/>
      <c r="F38" s="1577"/>
      <c r="G38" s="1577"/>
      <c r="H38" s="1577"/>
      <c r="I38" s="1577"/>
      <c r="J38" s="1577"/>
      <c r="K38" s="1577"/>
      <c r="L38" s="157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714"/>
      <c r="AL38" s="1477"/>
      <c r="AM38" s="1477"/>
      <c r="AN38" s="1477"/>
      <c r="AO38" s="284"/>
      <c r="AP38" s="1477"/>
      <c r="AQ38" s="1477"/>
      <c r="AR38" s="1477"/>
      <c r="AS38" s="1477"/>
      <c r="AT38" s="1477"/>
      <c r="AU38" s="1477"/>
      <c r="AV38" s="1477"/>
      <c r="AW38" s="1477"/>
      <c r="AX38" s="1477"/>
      <c r="AY38" s="1477"/>
      <c r="AZ38" s="1477"/>
      <c r="BA38" s="1477"/>
      <c r="BB38" s="1477"/>
      <c r="BC38" s="1477"/>
      <c r="BD38" s="1477"/>
      <c r="BE38" s="1477"/>
      <c r="BF38" s="1477"/>
      <c r="BG38" s="1477"/>
      <c r="BH38" s="1477"/>
      <c r="BI38" s="1477"/>
      <c r="BJ38" s="1477"/>
      <c r="BK38" s="1477"/>
      <c r="BL38" s="1477"/>
      <c r="BM38" s="1477"/>
      <c r="BN38" s="1477"/>
      <c r="BO38" s="1477"/>
      <c r="BP38" s="1477"/>
      <c r="BQ38" s="1477"/>
      <c r="BR38" s="1477"/>
      <c r="BS38" s="1477"/>
      <c r="BT38" s="1477"/>
      <c r="BU38" s="1477"/>
      <c r="BV38" s="1477"/>
      <c r="BW38" s="1477"/>
      <c r="BX38" s="1477"/>
      <c r="BY38" s="1477"/>
      <c r="BZ38" s="1477"/>
      <c r="CA38" s="1477"/>
      <c r="CB38" s="1477"/>
      <c r="CC38" s="1477"/>
      <c r="CD38" s="1477"/>
      <c r="CE38" s="1477"/>
      <c r="CF38" s="1477"/>
      <c r="CG38" s="1477"/>
      <c r="CH38" s="1477"/>
    </row>
    <row r="39" spans="2:86">
      <c r="B39" s="1714"/>
      <c r="C39" s="673" t="str" cm="1">
        <f t="array" ref="C39:D39">'14. Project Costs'!C41:D41</f>
        <v>Off-Site - Site Work</v>
      </c>
      <c r="D39" s="674">
        <v>0</v>
      </c>
      <c r="E39" s="184">
        <f>PC_CST_Demolition_Total</f>
        <v>0</v>
      </c>
      <c r="F39" s="1573">
        <f t="shared" ref="F39:F45" si="12">+E39-SUM(G39:AJ39)</f>
        <v>0</v>
      </c>
      <c r="G39" s="1574"/>
      <c r="H39" s="1574"/>
      <c r="I39" s="1574"/>
      <c r="J39" s="1574"/>
      <c r="K39" s="1574"/>
      <c r="L39" s="1574"/>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714"/>
      <c r="AL39" s="1477"/>
      <c r="AM39" s="1477"/>
      <c r="AN39" s="1477"/>
      <c r="AO39" s="284"/>
      <c r="AP39" s="1477"/>
      <c r="AQ39" s="1477"/>
      <c r="AR39" s="1477"/>
      <c r="AS39" s="1477"/>
      <c r="AT39" s="1477"/>
      <c r="AU39" s="1477"/>
      <c r="AV39" s="1477"/>
      <c r="AW39" s="1477"/>
      <c r="AX39" s="1477"/>
      <c r="AY39" s="1477"/>
      <c r="AZ39" s="1477"/>
      <c r="BA39" s="1477"/>
      <c r="BB39" s="1477"/>
      <c r="BC39" s="1477"/>
      <c r="BD39" s="1477"/>
      <c r="BE39" s="1477"/>
      <c r="BF39" s="1477"/>
      <c r="BG39" s="1477"/>
      <c r="BH39" s="1477"/>
      <c r="BI39" s="1477"/>
      <c r="BJ39" s="1477"/>
      <c r="BK39" s="1477"/>
      <c r="BL39" s="1477"/>
      <c r="BM39" s="1477"/>
      <c r="BN39" s="1477"/>
      <c r="BO39" s="1477"/>
      <c r="BP39" s="1477"/>
      <c r="BQ39" s="1477"/>
      <c r="BR39" s="1477"/>
      <c r="BS39" s="1477"/>
      <c r="BT39" s="1477"/>
      <c r="BU39" s="1477"/>
      <c r="BV39" s="1477"/>
      <c r="BW39" s="1477"/>
      <c r="BX39" s="1477"/>
      <c r="BY39" s="1477"/>
      <c r="BZ39" s="1477"/>
      <c r="CA39" s="1477"/>
      <c r="CB39" s="1477"/>
      <c r="CC39" s="1477"/>
      <c r="CD39" s="1477"/>
      <c r="CE39" s="1477"/>
      <c r="CF39" s="1477"/>
      <c r="CG39" s="1477"/>
      <c r="CH39" s="1477"/>
    </row>
    <row r="40" spans="2:86">
      <c r="B40" s="1714"/>
      <c r="C40" s="673" t="str" cm="1">
        <f t="array" ref="C40:D40">'14. Project Costs'!C42:D42</f>
        <v>On-Site - Site Work</v>
      </c>
      <c r="D40" s="674">
        <v>0</v>
      </c>
      <c r="E40" s="184">
        <f>PC_CST_Earthwork_Total</f>
        <v>0</v>
      </c>
      <c r="F40" s="1573">
        <f t="shared" si="12"/>
        <v>0</v>
      </c>
      <c r="G40" s="1574"/>
      <c r="H40" s="1574"/>
      <c r="I40" s="1574"/>
      <c r="J40" s="1574"/>
      <c r="K40" s="1574"/>
      <c r="L40" s="1574"/>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714"/>
      <c r="AL40" s="1477"/>
      <c r="AM40" s="1477"/>
      <c r="AN40" s="1477"/>
      <c r="AO40" s="284"/>
      <c r="AP40" s="1477"/>
      <c r="AQ40" s="1477"/>
      <c r="AR40" s="1477"/>
      <c r="AS40" s="1477"/>
      <c r="AT40" s="1477"/>
      <c r="AU40" s="1477"/>
      <c r="AV40" s="1477"/>
      <c r="AW40" s="1477"/>
      <c r="AX40" s="1477"/>
      <c r="AY40" s="1477"/>
      <c r="AZ40" s="1477"/>
      <c r="BA40" s="1477"/>
      <c r="BB40" s="1477"/>
      <c r="BC40" s="1477"/>
      <c r="BD40" s="1477"/>
      <c r="BE40" s="1477"/>
      <c r="BF40" s="1477"/>
      <c r="BG40" s="1477"/>
      <c r="BH40" s="1477"/>
      <c r="BI40" s="1477"/>
      <c r="BJ40" s="1477"/>
      <c r="BK40" s="1477"/>
      <c r="BL40" s="1477"/>
      <c r="BM40" s="1477"/>
      <c r="BN40" s="1477"/>
      <c r="BO40" s="1477"/>
      <c r="BP40" s="1477"/>
      <c r="BQ40" s="1477"/>
      <c r="BR40" s="1477"/>
      <c r="BS40" s="1477"/>
      <c r="BT40" s="1477"/>
      <c r="BU40" s="1477"/>
      <c r="BV40" s="1477"/>
      <c r="BW40" s="1477"/>
      <c r="BX40" s="1477"/>
      <c r="BY40" s="1477"/>
      <c r="BZ40" s="1477"/>
      <c r="CA40" s="1477"/>
      <c r="CB40" s="1477"/>
      <c r="CC40" s="1477"/>
      <c r="CD40" s="1477"/>
      <c r="CE40" s="1477"/>
      <c r="CF40" s="1477"/>
      <c r="CG40" s="1477"/>
      <c r="CH40" s="1477"/>
    </row>
    <row r="41" spans="2:86" hidden="1">
      <c r="B41" s="1714"/>
      <c r="C41" s="678" t="str" cm="1">
        <f t="array" ref="C41:D41">'14. Project Costs'!C43:D43</f>
        <v>Demolition</v>
      </c>
      <c r="D41" s="674">
        <v>0</v>
      </c>
      <c r="E41" s="184">
        <f>PC_CST_Roads_Total</f>
        <v>0</v>
      </c>
      <c r="F41" s="1573">
        <f t="shared" si="12"/>
        <v>0</v>
      </c>
      <c r="G41" s="1574"/>
      <c r="H41" s="1574"/>
      <c r="I41" s="1574"/>
      <c r="J41" s="1574"/>
      <c r="K41" s="1574"/>
      <c r="L41" s="1574"/>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714"/>
      <c r="AL41" s="1477"/>
      <c r="AM41" s="1477"/>
      <c r="AN41" s="1477"/>
      <c r="AO41" s="284"/>
      <c r="AP41" s="1477"/>
      <c r="AQ41" s="1477"/>
      <c r="AR41" s="1477"/>
      <c r="AS41" s="1477"/>
      <c r="AT41" s="1477"/>
      <c r="AU41" s="1477"/>
      <c r="AV41" s="1477"/>
      <c r="AW41" s="1477"/>
      <c r="AX41" s="1477"/>
      <c r="AY41" s="1477"/>
      <c r="AZ41" s="1477"/>
      <c r="BA41" s="1477"/>
      <c r="BB41" s="1477"/>
      <c r="BC41" s="1477"/>
      <c r="BD41" s="1477"/>
      <c r="BE41" s="1477"/>
      <c r="BF41" s="1477"/>
      <c r="BG41" s="1477"/>
      <c r="BH41" s="1477"/>
      <c r="BI41" s="1477"/>
      <c r="BJ41" s="1477"/>
      <c r="BK41" s="1477"/>
      <c r="BL41" s="1477"/>
      <c r="BM41" s="1477"/>
      <c r="BN41" s="1477"/>
      <c r="BO41" s="1477"/>
      <c r="BP41" s="1477"/>
      <c r="BQ41" s="1477"/>
      <c r="BR41" s="1477"/>
      <c r="BS41" s="1477"/>
      <c r="BT41" s="1477"/>
      <c r="BU41" s="1477"/>
      <c r="BV41" s="1477"/>
      <c r="BW41" s="1477"/>
      <c r="BX41" s="1477"/>
      <c r="BY41" s="1477"/>
      <c r="BZ41" s="1477"/>
      <c r="CA41" s="1477"/>
      <c r="CB41" s="1477"/>
      <c r="CC41" s="1477"/>
      <c r="CD41" s="1477"/>
      <c r="CE41" s="1477"/>
      <c r="CF41" s="1477"/>
      <c r="CG41" s="1477"/>
      <c r="CH41" s="1477"/>
    </row>
    <row r="42" spans="2:86" hidden="1">
      <c r="B42" s="1714"/>
      <c r="C42" s="678" t="str" cm="1">
        <f t="array" ref="C42:D42">'14. Project Costs'!C44:D44</f>
        <v>Site Utilities</v>
      </c>
      <c r="D42" s="674">
        <v>0</v>
      </c>
      <c r="E42" s="184">
        <f>PC_CST_Site_Utilities_Total</f>
        <v>0</v>
      </c>
      <c r="F42" s="1573">
        <f t="shared" si="12"/>
        <v>0</v>
      </c>
      <c r="G42" s="1574"/>
      <c r="H42" s="1574"/>
      <c r="I42" s="1574"/>
      <c r="J42" s="1574"/>
      <c r="K42" s="1574"/>
      <c r="L42" s="1574"/>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714"/>
      <c r="AL42" s="1477"/>
      <c r="AM42" s="1477"/>
      <c r="AN42" s="1477"/>
      <c r="AO42" s="284"/>
      <c r="AP42" s="1477"/>
      <c r="AQ42" s="1477"/>
      <c r="AR42" s="1477"/>
      <c r="AS42" s="1477"/>
      <c r="AT42" s="1477"/>
      <c r="AU42" s="1477"/>
      <c r="AV42" s="1477"/>
      <c r="AW42" s="1477"/>
      <c r="AX42" s="1477"/>
      <c r="AY42" s="1477"/>
      <c r="AZ42" s="1477"/>
      <c r="BA42" s="1477"/>
      <c r="BB42" s="1477"/>
      <c r="BC42" s="1477"/>
      <c r="BD42" s="1477"/>
      <c r="BE42" s="1477"/>
      <c r="BF42" s="1477"/>
      <c r="BG42" s="1477"/>
      <c r="BH42" s="1477"/>
      <c r="BI42" s="1477"/>
      <c r="BJ42" s="1477"/>
      <c r="BK42" s="1477"/>
      <c r="BL42" s="1477"/>
      <c r="BM42" s="1477"/>
      <c r="BN42" s="1477"/>
      <c r="BO42" s="1477"/>
      <c r="BP42" s="1477"/>
      <c r="BQ42" s="1477"/>
      <c r="BR42" s="1477"/>
      <c r="BS42" s="1477"/>
      <c r="BT42" s="1477"/>
      <c r="BU42" s="1477"/>
      <c r="BV42" s="1477"/>
      <c r="BW42" s="1477"/>
      <c r="BX42" s="1477"/>
      <c r="BY42" s="1477"/>
      <c r="BZ42" s="1477"/>
      <c r="CA42" s="1477"/>
      <c r="CB42" s="1477"/>
      <c r="CC42" s="1477"/>
      <c r="CD42" s="1477"/>
      <c r="CE42" s="1477"/>
      <c r="CF42" s="1477"/>
      <c r="CG42" s="1477"/>
      <c r="CH42" s="1477"/>
    </row>
    <row r="43" spans="2:86">
      <c r="B43" s="1714"/>
      <c r="C43" s="673" t="str" cm="1">
        <f t="array" ref="C43:D43">'14. Project Costs'!C45:D45</f>
        <v>Landscaping</v>
      </c>
      <c r="D43" s="674">
        <v>0</v>
      </c>
      <c r="E43" s="184">
        <f>PC_CST_Lawn_Planting_Total</f>
        <v>0</v>
      </c>
      <c r="F43" s="1573">
        <f t="shared" si="12"/>
        <v>0</v>
      </c>
      <c r="G43" s="1574"/>
      <c r="H43" s="1574"/>
      <c r="I43" s="1574"/>
      <c r="J43" s="1574"/>
      <c r="K43" s="1574"/>
      <c r="L43" s="1574"/>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714"/>
      <c r="AL43" s="1477"/>
      <c r="AM43" s="1477"/>
      <c r="AN43" s="1477"/>
      <c r="AO43" s="284"/>
      <c r="AP43" s="1477"/>
      <c r="AQ43" s="1477"/>
      <c r="AR43" s="1477"/>
      <c r="AS43" s="1477"/>
      <c r="AT43" s="1477"/>
      <c r="AU43" s="1477"/>
      <c r="AV43" s="1477"/>
      <c r="AW43" s="1477"/>
      <c r="AX43" s="1477"/>
      <c r="AY43" s="1477"/>
      <c r="AZ43" s="1477"/>
      <c r="BA43" s="1477"/>
      <c r="BB43" s="1477"/>
      <c r="BC43" s="1477"/>
      <c r="BD43" s="1477"/>
      <c r="BE43" s="1477"/>
      <c r="BF43" s="1477"/>
      <c r="BG43" s="1477"/>
      <c r="BH43" s="1477"/>
      <c r="BI43" s="1477"/>
      <c r="BJ43" s="1477"/>
      <c r="BK43" s="1477"/>
      <c r="BL43" s="1477"/>
      <c r="BM43" s="1477"/>
      <c r="BN43" s="1477"/>
      <c r="BO43" s="1477"/>
      <c r="BP43" s="1477"/>
      <c r="BQ43" s="1477"/>
      <c r="BR43" s="1477"/>
      <c r="BS43" s="1477"/>
      <c r="BT43" s="1477"/>
      <c r="BU43" s="1477"/>
      <c r="BV43" s="1477"/>
      <c r="BW43" s="1477"/>
      <c r="BX43" s="1477"/>
      <c r="BY43" s="1477"/>
      <c r="BZ43" s="1477"/>
      <c r="CA43" s="1477"/>
      <c r="CB43" s="1477"/>
      <c r="CC43" s="1477"/>
      <c r="CD43" s="1477"/>
      <c r="CE43" s="1477"/>
      <c r="CF43" s="1477"/>
      <c r="CG43" s="1477"/>
      <c r="CH43" s="1477"/>
    </row>
    <row r="44" spans="2:86" hidden="1">
      <c r="B44" s="1714"/>
      <c r="C44" s="125" t="str" cm="1">
        <f t="array" ref="C44:D44">'14. Project Costs'!C46:D46</f>
        <v>Furnishing and Equipment</v>
      </c>
      <c r="D44" s="251">
        <v>0</v>
      </c>
      <c r="E44" s="184">
        <f>PC_CST_Fixtures_Furn_Total</f>
        <v>0</v>
      </c>
      <c r="F44" s="1573">
        <f t="shared" si="12"/>
        <v>0</v>
      </c>
      <c r="G44" s="1574"/>
      <c r="H44" s="1574"/>
      <c r="I44" s="1574"/>
      <c r="J44" s="1574"/>
      <c r="K44" s="1574"/>
      <c r="L44" s="1574"/>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714"/>
      <c r="AL44" s="1477"/>
      <c r="AM44" s="1477"/>
      <c r="AN44" s="1477"/>
      <c r="AO44" s="284"/>
      <c r="AP44" s="1477"/>
      <c r="AQ44" s="1477"/>
      <c r="AR44" s="1477"/>
      <c r="AS44" s="1477"/>
      <c r="AT44" s="1477"/>
      <c r="AU44" s="1477"/>
      <c r="AV44" s="1477"/>
      <c r="AW44" s="1477"/>
      <c r="AX44" s="1477"/>
      <c r="AY44" s="1477"/>
      <c r="AZ44" s="1477"/>
      <c r="BA44" s="1477"/>
      <c r="BB44" s="1477"/>
      <c r="BC44" s="1477"/>
      <c r="BD44" s="1477"/>
      <c r="BE44" s="1477"/>
      <c r="BF44" s="1477"/>
      <c r="BG44" s="1477"/>
      <c r="BH44" s="1477"/>
      <c r="BI44" s="1477"/>
      <c r="BJ44" s="1477"/>
      <c r="BK44" s="1477"/>
      <c r="BL44" s="1477"/>
      <c r="BM44" s="1477"/>
      <c r="BN44" s="1477"/>
      <c r="BO44" s="1477"/>
      <c r="BP44" s="1477"/>
      <c r="BQ44" s="1477"/>
      <c r="BR44" s="1477"/>
      <c r="BS44" s="1477"/>
      <c r="BT44" s="1477"/>
      <c r="BU44" s="1477"/>
      <c r="BV44" s="1477"/>
      <c r="BW44" s="1477"/>
      <c r="BX44" s="1477"/>
      <c r="BY44" s="1477"/>
      <c r="BZ44" s="1477"/>
      <c r="CA44" s="1477"/>
      <c r="CB44" s="1477"/>
      <c r="CC44" s="1477"/>
      <c r="CD44" s="1477"/>
      <c r="CE44" s="1477"/>
      <c r="CF44" s="1477"/>
      <c r="CG44" s="1477"/>
      <c r="CH44" s="1477"/>
    </row>
    <row r="45" spans="2:86" hidden="1">
      <c r="B45" s="1714"/>
      <c r="C45" s="125" t="str" cm="1">
        <f t="array" ref="C45:D45">'14. Project Costs'!C47:D47</f>
        <v>Unusual Site Conditions</v>
      </c>
      <c r="D45" s="251">
        <v>0</v>
      </c>
      <c r="E45" s="184">
        <f>PC_CST_Unusual_SC_Total</f>
        <v>0</v>
      </c>
      <c r="F45" s="1573">
        <f t="shared" si="12"/>
        <v>0</v>
      </c>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714"/>
      <c r="AL45" s="1477"/>
      <c r="AM45" s="1477"/>
      <c r="AN45" s="1477"/>
      <c r="AO45" s="284"/>
      <c r="AP45" s="1477"/>
      <c r="AQ45" s="1477"/>
      <c r="AR45" s="1477"/>
      <c r="AS45" s="1477"/>
      <c r="AT45" s="1477"/>
      <c r="AU45" s="1477"/>
      <c r="AV45" s="1477"/>
      <c r="AW45" s="1477"/>
      <c r="AX45" s="1477"/>
      <c r="AY45" s="1477"/>
      <c r="AZ45" s="1477"/>
      <c r="BA45" s="1477"/>
      <c r="BB45" s="1477"/>
      <c r="BC45" s="1477"/>
      <c r="BD45" s="1477"/>
      <c r="BE45" s="1477"/>
      <c r="BF45" s="1477"/>
      <c r="BG45" s="1477"/>
      <c r="BH45" s="1477"/>
      <c r="BI45" s="1477"/>
      <c r="BJ45" s="1477"/>
      <c r="BK45" s="1477"/>
      <c r="BL45" s="1477"/>
      <c r="BM45" s="1477"/>
      <c r="BN45" s="1477"/>
      <c r="BO45" s="1477"/>
      <c r="BP45" s="1477"/>
      <c r="BQ45" s="1477"/>
      <c r="BR45" s="1477"/>
      <c r="BS45" s="1477"/>
      <c r="BT45" s="1477"/>
      <c r="BU45" s="1477"/>
      <c r="BV45" s="1477"/>
      <c r="BW45" s="1477"/>
      <c r="BX45" s="1477"/>
      <c r="BY45" s="1477"/>
      <c r="BZ45" s="1477"/>
      <c r="CA45" s="1477"/>
      <c r="CB45" s="1477"/>
      <c r="CC45" s="1477"/>
      <c r="CD45" s="1477"/>
      <c r="CE45" s="1477"/>
      <c r="CF45" s="1477"/>
      <c r="CG45" s="1477"/>
      <c r="CH45" s="1477"/>
    </row>
    <row r="46" spans="2:86" hidden="1">
      <c r="B46" s="1714"/>
      <c r="C46" s="125" t="str" cm="1">
        <f t="array" ref="C46:D46">'14. Project Costs'!C48:D48</f>
        <v>Other Site Work</v>
      </c>
      <c r="D46" s="251">
        <v>0</v>
      </c>
      <c r="E46" s="184">
        <f>PC_CST_Other_Site_Work_Total</f>
        <v>0</v>
      </c>
      <c r="F46" s="1573"/>
      <c r="G46" s="1574"/>
      <c r="H46" s="1574"/>
      <c r="I46" s="1574"/>
      <c r="J46" s="1574"/>
      <c r="K46" s="1574"/>
      <c r="L46" s="1574"/>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714"/>
      <c r="AL46" s="1477"/>
      <c r="AM46" s="1477"/>
      <c r="AN46" s="1477"/>
      <c r="AO46" s="284"/>
      <c r="AP46" s="1477"/>
      <c r="AQ46" s="1477"/>
      <c r="AR46" s="1477"/>
      <c r="AS46" s="1477"/>
      <c r="AT46" s="1477"/>
      <c r="AU46" s="1477"/>
      <c r="AV46" s="1477"/>
      <c r="AW46" s="1477"/>
      <c r="AX46" s="1477"/>
      <c r="AY46" s="1477"/>
      <c r="AZ46" s="1477"/>
      <c r="BA46" s="1477"/>
      <c r="BB46" s="1477"/>
      <c r="BC46" s="1477"/>
      <c r="BD46" s="1477"/>
      <c r="BE46" s="1477"/>
      <c r="BF46" s="1477"/>
      <c r="BG46" s="1477"/>
      <c r="BH46" s="1477"/>
      <c r="BI46" s="1477"/>
      <c r="BJ46" s="1477"/>
      <c r="BK46" s="1477"/>
      <c r="BL46" s="1477"/>
      <c r="BM46" s="1477"/>
      <c r="BN46" s="1477"/>
      <c r="BO46" s="1477"/>
      <c r="BP46" s="1477"/>
      <c r="BQ46" s="1477"/>
      <c r="BR46" s="1477"/>
      <c r="BS46" s="1477"/>
      <c r="BT46" s="1477"/>
      <c r="BU46" s="1477"/>
      <c r="BV46" s="1477"/>
      <c r="BW46" s="1477"/>
      <c r="BX46" s="1477"/>
      <c r="BY46" s="1477"/>
      <c r="BZ46" s="1477"/>
      <c r="CA46" s="1477"/>
      <c r="CB46" s="1477"/>
      <c r="CC46" s="1477"/>
      <c r="CD46" s="1477"/>
      <c r="CE46" s="1477"/>
      <c r="CF46" s="1477"/>
      <c r="CG46" s="1477"/>
      <c r="CH46" s="1477"/>
    </row>
    <row r="47" spans="2:86">
      <c r="B47" s="1714"/>
      <c r="C47" s="131" t="s">
        <v>4915</v>
      </c>
      <c r="D47" s="131"/>
      <c r="E47" s="188">
        <f>SUM(E39:E46)</f>
        <v>0</v>
      </c>
      <c r="F47" s="1578">
        <f>SUM(F39:F46)</f>
        <v>0</v>
      </c>
      <c r="G47" s="1578">
        <f t="shared" ref="G47:AJ47" si="13">SUM(G38:G46)</f>
        <v>0</v>
      </c>
      <c r="H47" s="1578">
        <f t="shared" si="13"/>
        <v>0</v>
      </c>
      <c r="I47" s="1578">
        <f t="shared" si="13"/>
        <v>0</v>
      </c>
      <c r="J47" s="1578">
        <f t="shared" si="13"/>
        <v>0</v>
      </c>
      <c r="K47" s="1578">
        <f t="shared" si="13"/>
        <v>0</v>
      </c>
      <c r="L47" s="1578">
        <f t="shared" si="13"/>
        <v>0</v>
      </c>
      <c r="M47" s="1578">
        <f t="shared" si="13"/>
        <v>0</v>
      </c>
      <c r="N47" s="1578">
        <f t="shared" si="13"/>
        <v>0</v>
      </c>
      <c r="O47" s="1578">
        <f t="shared" si="13"/>
        <v>0</v>
      </c>
      <c r="P47" s="1578">
        <f t="shared" si="13"/>
        <v>0</v>
      </c>
      <c r="Q47" s="1578">
        <f t="shared" si="13"/>
        <v>0</v>
      </c>
      <c r="R47" s="1578">
        <f t="shared" si="13"/>
        <v>0</v>
      </c>
      <c r="S47" s="1578">
        <f t="shared" si="13"/>
        <v>0</v>
      </c>
      <c r="T47" s="1578">
        <f t="shared" si="13"/>
        <v>0</v>
      </c>
      <c r="U47" s="1578">
        <f t="shared" si="13"/>
        <v>0</v>
      </c>
      <c r="V47" s="1578">
        <f t="shared" si="13"/>
        <v>0</v>
      </c>
      <c r="W47" s="1578">
        <f t="shared" si="13"/>
        <v>0</v>
      </c>
      <c r="X47" s="1578">
        <f t="shared" si="13"/>
        <v>0</v>
      </c>
      <c r="Y47" s="1578">
        <f t="shared" si="13"/>
        <v>0</v>
      </c>
      <c r="Z47" s="1578">
        <f t="shared" si="13"/>
        <v>0</v>
      </c>
      <c r="AA47" s="1578">
        <f t="shared" si="13"/>
        <v>0</v>
      </c>
      <c r="AB47" s="1578">
        <f t="shared" si="13"/>
        <v>0</v>
      </c>
      <c r="AC47" s="1578">
        <f t="shared" si="13"/>
        <v>0</v>
      </c>
      <c r="AD47" s="1578">
        <f t="shared" si="13"/>
        <v>0</v>
      </c>
      <c r="AE47" s="1578">
        <f t="shared" si="13"/>
        <v>0</v>
      </c>
      <c r="AF47" s="1578">
        <f t="shared" si="13"/>
        <v>0</v>
      </c>
      <c r="AG47" s="1578">
        <f t="shared" si="13"/>
        <v>0</v>
      </c>
      <c r="AH47" s="1578">
        <f t="shared" si="13"/>
        <v>0</v>
      </c>
      <c r="AI47" s="1578">
        <f t="shared" si="13"/>
        <v>0</v>
      </c>
      <c r="AJ47" s="1578">
        <f t="shared" si="13"/>
        <v>0</v>
      </c>
      <c r="AK47" s="1714"/>
      <c r="AL47" s="1477"/>
      <c r="AM47" s="1477"/>
      <c r="AN47" s="1477"/>
      <c r="AO47" s="284"/>
      <c r="AP47" s="1477"/>
      <c r="AQ47" s="1477"/>
      <c r="AR47" s="1477"/>
      <c r="AS47" s="1477"/>
      <c r="AT47" s="1477"/>
      <c r="AU47" s="1477"/>
      <c r="AV47" s="1477"/>
      <c r="AW47" s="1477"/>
      <c r="AX47" s="1477"/>
      <c r="AY47" s="1477"/>
      <c r="AZ47" s="1477"/>
      <c r="BA47" s="1477"/>
      <c r="BB47" s="1477"/>
      <c r="BC47" s="1477"/>
      <c r="BD47" s="1477"/>
      <c r="BE47" s="1477"/>
      <c r="BF47" s="1477"/>
      <c r="BG47" s="1477"/>
      <c r="BH47" s="1477"/>
      <c r="BI47" s="1477"/>
      <c r="BJ47" s="1477"/>
      <c r="BK47" s="1477"/>
      <c r="BL47" s="1477"/>
      <c r="BM47" s="1477"/>
      <c r="BN47" s="1477"/>
      <c r="BO47" s="1477"/>
      <c r="BP47" s="1477"/>
      <c r="BQ47" s="1477"/>
      <c r="BR47" s="1477"/>
      <c r="BS47" s="1477"/>
      <c r="BT47" s="1477"/>
      <c r="BU47" s="1477"/>
      <c r="BV47" s="1477"/>
      <c r="BW47" s="1477"/>
      <c r="BX47" s="1477"/>
      <c r="BY47" s="1477"/>
      <c r="BZ47" s="1477"/>
      <c r="CA47" s="1477"/>
      <c r="CB47" s="1477"/>
      <c r="CC47" s="1477"/>
      <c r="CD47" s="1477"/>
      <c r="CE47" s="1477"/>
      <c r="CF47" s="1477"/>
      <c r="CG47" s="1477"/>
      <c r="CH47" s="1477"/>
    </row>
    <row r="48" spans="2:86">
      <c r="B48" s="1714"/>
      <c r="C48" s="134" t="s">
        <v>3065</v>
      </c>
      <c r="D48" s="134"/>
      <c r="E48" s="201"/>
      <c r="F48" s="1577"/>
      <c r="G48" s="1577"/>
      <c r="H48" s="1577"/>
      <c r="I48" s="1577"/>
      <c r="J48" s="1577"/>
      <c r="K48" s="1577"/>
      <c r="L48" s="157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714"/>
      <c r="AL48" s="1477"/>
      <c r="AM48" s="1477"/>
      <c r="AN48" s="1477"/>
      <c r="AO48" s="284"/>
      <c r="AP48" s="1477"/>
      <c r="AQ48" s="1477"/>
      <c r="AR48" s="1477"/>
      <c r="AS48" s="1477"/>
      <c r="AT48" s="1477"/>
      <c r="AU48" s="1477"/>
      <c r="AV48" s="1477"/>
      <c r="AW48" s="1477"/>
      <c r="AX48" s="1477"/>
      <c r="AY48" s="1477"/>
      <c r="AZ48" s="1477"/>
      <c r="BA48" s="1477"/>
      <c r="BB48" s="1477"/>
      <c r="BC48" s="1477"/>
      <c r="BD48" s="1477"/>
      <c r="BE48" s="1477"/>
      <c r="BF48" s="1477"/>
      <c r="BG48" s="1477"/>
      <c r="BH48" s="1477"/>
      <c r="BI48" s="1477"/>
      <c r="BJ48" s="1477"/>
      <c r="BK48" s="1477"/>
      <c r="BL48" s="1477"/>
      <c r="BM48" s="1477"/>
      <c r="BN48" s="1477"/>
      <c r="BO48" s="1477"/>
      <c r="BP48" s="1477"/>
      <c r="BQ48" s="1477"/>
      <c r="BR48" s="1477"/>
      <c r="BS48" s="1477"/>
      <c r="BT48" s="1477"/>
      <c r="BU48" s="1477"/>
      <c r="BV48" s="1477"/>
      <c r="BW48" s="1477"/>
      <c r="BX48" s="1477"/>
      <c r="BY48" s="1477"/>
      <c r="BZ48" s="1477"/>
      <c r="CA48" s="1477"/>
      <c r="CB48" s="1477"/>
      <c r="CC48" s="1477"/>
      <c r="CD48" s="1477"/>
      <c r="CE48" s="1477"/>
      <c r="CF48" s="1477"/>
      <c r="CG48" s="1477"/>
      <c r="CH48" s="1477"/>
    </row>
    <row r="49" spans="2:86">
      <c r="B49" s="1714"/>
      <c r="C49" s="673" t="str" cm="1">
        <f t="array" ref="C49:D49">'14. Project Costs'!C51:D51</f>
        <v>General Requirements</v>
      </c>
      <c r="D49" s="674">
        <v>0</v>
      </c>
      <c r="E49" s="184">
        <f>PC_CST_General_Requirements_Total</f>
        <v>0</v>
      </c>
      <c r="F49" s="1573">
        <f>+E49-SUM(G49:AJ49)</f>
        <v>0</v>
      </c>
      <c r="G49" s="1574">
        <f>+G$11*$E49</f>
        <v>0</v>
      </c>
      <c r="H49" s="1574">
        <f t="shared" ref="H49:W51" si="14">+H$11*$E49</f>
        <v>0</v>
      </c>
      <c r="I49" s="1574">
        <f t="shared" si="14"/>
        <v>0</v>
      </c>
      <c r="J49" s="1574">
        <f t="shared" si="14"/>
        <v>0</v>
      </c>
      <c r="K49" s="1574">
        <f t="shared" si="14"/>
        <v>0</v>
      </c>
      <c r="L49" s="1574">
        <f t="shared" si="14"/>
        <v>0</v>
      </c>
      <c r="M49" s="1574">
        <f t="shared" si="14"/>
        <v>0</v>
      </c>
      <c r="N49" s="1574">
        <f t="shared" si="14"/>
        <v>0</v>
      </c>
      <c r="O49" s="1574">
        <f t="shared" si="14"/>
        <v>0</v>
      </c>
      <c r="P49" s="1574">
        <f t="shared" si="14"/>
        <v>0</v>
      </c>
      <c r="Q49" s="1574">
        <f t="shared" si="14"/>
        <v>0</v>
      </c>
      <c r="R49" s="1574">
        <f t="shared" si="14"/>
        <v>0</v>
      </c>
      <c r="S49" s="1574">
        <f t="shared" si="14"/>
        <v>0</v>
      </c>
      <c r="T49" s="1574">
        <f t="shared" si="14"/>
        <v>0</v>
      </c>
      <c r="U49" s="1574">
        <f t="shared" si="14"/>
        <v>0</v>
      </c>
      <c r="V49" s="1574">
        <f t="shared" si="14"/>
        <v>0</v>
      </c>
      <c r="W49" s="1574"/>
      <c r="X49" s="1574"/>
      <c r="Y49" s="1574"/>
      <c r="Z49" s="1574"/>
      <c r="AA49" s="1574"/>
      <c r="AB49" s="1574"/>
      <c r="AC49" s="1574"/>
      <c r="AD49" s="1574"/>
      <c r="AE49" s="1574"/>
      <c r="AF49" s="1574"/>
      <c r="AG49" s="1574"/>
      <c r="AH49" s="1574"/>
      <c r="AI49" s="1574"/>
      <c r="AJ49" s="1574"/>
      <c r="AK49" s="1714"/>
      <c r="AL49" s="1477"/>
      <c r="AM49" s="1477"/>
      <c r="AN49" s="1477"/>
      <c r="AO49" s="284"/>
      <c r="AP49" s="1477"/>
      <c r="AQ49" s="1477"/>
      <c r="AR49" s="1477"/>
      <c r="AS49" s="1477"/>
      <c r="AT49" s="1477"/>
      <c r="AU49" s="1477"/>
      <c r="AV49" s="1477"/>
      <c r="AW49" s="1477"/>
      <c r="AX49" s="1477"/>
      <c r="AY49" s="1477"/>
      <c r="AZ49" s="1477"/>
      <c r="BA49" s="1477"/>
      <c r="BB49" s="1477"/>
      <c r="BC49" s="1477"/>
      <c r="BD49" s="1477"/>
      <c r="BE49" s="1477"/>
      <c r="BF49" s="1477"/>
      <c r="BG49" s="1477"/>
      <c r="BH49" s="1477"/>
      <c r="BI49" s="1477"/>
      <c r="BJ49" s="1477"/>
      <c r="BK49" s="1477"/>
      <c r="BL49" s="1477"/>
      <c r="BM49" s="1477"/>
      <c r="BN49" s="1477"/>
      <c r="BO49" s="1477"/>
      <c r="BP49" s="1477"/>
      <c r="BQ49" s="1477"/>
      <c r="BR49" s="1477"/>
      <c r="BS49" s="1477"/>
      <c r="BT49" s="1477"/>
      <c r="BU49" s="1477"/>
      <c r="BV49" s="1477"/>
      <c r="BW49" s="1477"/>
      <c r="BX49" s="1477"/>
      <c r="BY49" s="1477"/>
      <c r="BZ49" s="1477"/>
      <c r="CA49" s="1477"/>
      <c r="CB49" s="1477"/>
      <c r="CC49" s="1477"/>
      <c r="CD49" s="1477"/>
      <c r="CE49" s="1477"/>
      <c r="CF49" s="1477"/>
      <c r="CG49" s="1477"/>
      <c r="CH49" s="1477"/>
    </row>
    <row r="50" spans="2:86">
      <c r="B50" s="1714"/>
      <c r="C50" s="673" t="str" cm="1">
        <f t="array" ref="C50:D50">'14. Project Costs'!C52:D52</f>
        <v>Contractor Overhead</v>
      </c>
      <c r="D50" s="674">
        <v>0</v>
      </c>
      <c r="E50" s="184">
        <f>PC_CST_Builders_Overhead_Total</f>
        <v>0</v>
      </c>
      <c r="F50" s="1573">
        <f t="shared" ref="F50:F54" si="15">+E50-SUM(G50:AJ50)</f>
        <v>0</v>
      </c>
      <c r="G50" s="1574">
        <f t="shared" ref="G50:V54" si="16">+G$11*$E50</f>
        <v>0</v>
      </c>
      <c r="H50" s="1574">
        <f t="shared" si="14"/>
        <v>0</v>
      </c>
      <c r="I50" s="1574">
        <f t="shared" si="14"/>
        <v>0</v>
      </c>
      <c r="J50" s="1574">
        <f t="shared" si="14"/>
        <v>0</v>
      </c>
      <c r="K50" s="1574">
        <f t="shared" si="14"/>
        <v>0</v>
      </c>
      <c r="L50" s="1574">
        <f t="shared" si="14"/>
        <v>0</v>
      </c>
      <c r="M50" s="1574">
        <f t="shared" si="14"/>
        <v>0</v>
      </c>
      <c r="N50" s="1574">
        <f t="shared" si="14"/>
        <v>0</v>
      </c>
      <c r="O50" s="1574">
        <f t="shared" si="14"/>
        <v>0</v>
      </c>
      <c r="P50" s="1574">
        <f t="shared" si="14"/>
        <v>0</v>
      </c>
      <c r="Q50" s="1574">
        <f t="shared" si="14"/>
        <v>0</v>
      </c>
      <c r="R50" s="1574">
        <f t="shared" si="14"/>
        <v>0</v>
      </c>
      <c r="S50" s="1574">
        <f t="shared" si="14"/>
        <v>0</v>
      </c>
      <c r="T50" s="1574">
        <f t="shared" si="14"/>
        <v>0</v>
      </c>
      <c r="U50" s="1574">
        <f t="shared" si="14"/>
        <v>0</v>
      </c>
      <c r="V50" s="1574">
        <f t="shared" si="14"/>
        <v>0</v>
      </c>
      <c r="W50" s="1574">
        <f t="shared" si="14"/>
        <v>0</v>
      </c>
      <c r="X50" s="1574"/>
      <c r="Y50" s="1574"/>
      <c r="Z50" s="1574"/>
      <c r="AA50" s="1574"/>
      <c r="AB50" s="1574"/>
      <c r="AC50" s="1574"/>
      <c r="AD50" s="1574"/>
      <c r="AE50" s="1574"/>
      <c r="AF50" s="1574"/>
      <c r="AG50" s="1574"/>
      <c r="AH50" s="1574"/>
      <c r="AI50" s="1574"/>
      <c r="AJ50" s="1574"/>
      <c r="AK50" s="1714"/>
      <c r="AL50" s="1477"/>
      <c r="AM50" s="1477"/>
      <c r="AN50" s="1477"/>
      <c r="AO50" s="284"/>
      <c r="AP50" s="1477"/>
      <c r="AQ50" s="1477"/>
      <c r="AR50" s="1477"/>
      <c r="AS50" s="1477"/>
      <c r="AT50" s="1477"/>
      <c r="AU50" s="1477"/>
      <c r="AV50" s="1477"/>
      <c r="AW50" s="1477"/>
      <c r="AX50" s="1477"/>
      <c r="AY50" s="1477"/>
      <c r="AZ50" s="1477"/>
      <c r="BA50" s="1477"/>
      <c r="BB50" s="1477"/>
      <c r="BC50" s="1477"/>
      <c r="BD50" s="1477"/>
      <c r="BE50" s="1477"/>
      <c r="BF50" s="1477"/>
      <c r="BG50" s="1477"/>
      <c r="BH50" s="1477"/>
      <c r="BI50" s="1477"/>
      <c r="BJ50" s="1477"/>
      <c r="BK50" s="1477"/>
      <c r="BL50" s="1477"/>
      <c r="BM50" s="1477"/>
      <c r="BN50" s="1477"/>
      <c r="BO50" s="1477"/>
      <c r="BP50" s="1477"/>
      <c r="BQ50" s="1477"/>
      <c r="BR50" s="1477"/>
      <c r="BS50" s="1477"/>
      <c r="BT50" s="1477"/>
      <c r="BU50" s="1477"/>
      <c r="BV50" s="1477"/>
      <c r="BW50" s="1477"/>
      <c r="BX50" s="1477"/>
      <c r="BY50" s="1477"/>
      <c r="BZ50" s="1477"/>
      <c r="CA50" s="1477"/>
      <c r="CB50" s="1477"/>
      <c r="CC50" s="1477"/>
      <c r="CD50" s="1477"/>
      <c r="CE50" s="1477"/>
      <c r="CF50" s="1477"/>
      <c r="CG50" s="1477"/>
      <c r="CH50" s="1477"/>
    </row>
    <row r="51" spans="2:86">
      <c r="B51" s="1714"/>
      <c r="C51" s="673" t="str" cm="1">
        <f t="array" ref="C51:D51">'14. Project Costs'!C53:D53</f>
        <v>Contractor Profit</v>
      </c>
      <c r="D51" s="674">
        <v>0</v>
      </c>
      <c r="E51" s="184">
        <f>PC_CST_Builders_Profit_Total</f>
        <v>0</v>
      </c>
      <c r="F51" s="1573">
        <f t="shared" si="15"/>
        <v>0</v>
      </c>
      <c r="G51" s="1574">
        <f t="shared" si="16"/>
        <v>0</v>
      </c>
      <c r="H51" s="1574">
        <f t="shared" si="14"/>
        <v>0</v>
      </c>
      <c r="I51" s="1574">
        <f t="shared" si="14"/>
        <v>0</v>
      </c>
      <c r="J51" s="1574">
        <f t="shared" si="14"/>
        <v>0</v>
      </c>
      <c r="K51" s="1574">
        <f t="shared" si="14"/>
        <v>0</v>
      </c>
      <c r="L51" s="1574">
        <f t="shared" si="14"/>
        <v>0</v>
      </c>
      <c r="M51" s="1574">
        <f t="shared" si="14"/>
        <v>0</v>
      </c>
      <c r="N51" s="1574">
        <f t="shared" si="14"/>
        <v>0</v>
      </c>
      <c r="O51" s="1574">
        <f t="shared" si="14"/>
        <v>0</v>
      </c>
      <c r="P51" s="1574">
        <f t="shared" si="14"/>
        <v>0</v>
      </c>
      <c r="Q51" s="1574">
        <f t="shared" si="14"/>
        <v>0</v>
      </c>
      <c r="R51" s="1574">
        <f t="shared" si="14"/>
        <v>0</v>
      </c>
      <c r="S51" s="1574">
        <f t="shared" si="14"/>
        <v>0</v>
      </c>
      <c r="T51" s="1574">
        <f t="shared" si="14"/>
        <v>0</v>
      </c>
      <c r="U51" s="1574">
        <f t="shared" si="14"/>
        <v>0</v>
      </c>
      <c r="V51" s="1574">
        <f t="shared" si="14"/>
        <v>0</v>
      </c>
      <c r="W51" s="1574">
        <f t="shared" si="14"/>
        <v>0</v>
      </c>
      <c r="X51" s="1574"/>
      <c r="Y51" s="1574"/>
      <c r="Z51" s="1574"/>
      <c r="AA51" s="1574"/>
      <c r="AB51" s="1574"/>
      <c r="AC51" s="1574"/>
      <c r="AD51" s="1574"/>
      <c r="AE51" s="1574"/>
      <c r="AF51" s="1574"/>
      <c r="AG51" s="1574"/>
      <c r="AH51" s="1574"/>
      <c r="AI51" s="1574"/>
      <c r="AJ51" s="1574"/>
      <c r="AK51" s="1714"/>
      <c r="AL51" s="1477"/>
      <c r="AM51" s="1477"/>
      <c r="AN51" s="1477"/>
      <c r="AO51" s="284"/>
      <c r="AP51" s="1477"/>
      <c r="AQ51" s="1477"/>
      <c r="AR51" s="1477"/>
      <c r="AS51" s="1477"/>
      <c r="AT51" s="1477"/>
      <c r="AU51" s="1477"/>
      <c r="AV51" s="1477"/>
      <c r="AW51" s="1477"/>
      <c r="AX51" s="1477"/>
      <c r="AY51" s="1477"/>
      <c r="AZ51" s="1477"/>
      <c r="BA51" s="1477"/>
      <c r="BB51" s="1477"/>
      <c r="BC51" s="1477"/>
      <c r="BD51" s="1477"/>
      <c r="BE51" s="1477"/>
      <c r="BF51" s="1477"/>
      <c r="BG51" s="1477"/>
      <c r="BH51" s="1477"/>
      <c r="BI51" s="1477"/>
      <c r="BJ51" s="1477"/>
      <c r="BK51" s="1477"/>
      <c r="BL51" s="1477"/>
      <c r="BM51" s="1477"/>
      <c r="BN51" s="1477"/>
      <c r="BO51" s="1477"/>
      <c r="BP51" s="1477"/>
      <c r="BQ51" s="1477"/>
      <c r="BR51" s="1477"/>
      <c r="BS51" s="1477"/>
      <c r="BT51" s="1477"/>
      <c r="BU51" s="1477"/>
      <c r="BV51" s="1477"/>
      <c r="BW51" s="1477"/>
      <c r="BX51" s="1477"/>
      <c r="BY51" s="1477"/>
      <c r="BZ51" s="1477"/>
      <c r="CA51" s="1477"/>
      <c r="CB51" s="1477"/>
      <c r="CC51" s="1477"/>
      <c r="CD51" s="1477"/>
      <c r="CE51" s="1477"/>
      <c r="CF51" s="1477"/>
      <c r="CG51" s="1477"/>
      <c r="CH51" s="1477"/>
    </row>
    <row r="52" spans="2:86">
      <c r="B52" s="1714"/>
      <c r="C52" s="673" t="str" cm="1">
        <f t="array" ref="C52:D52">'14. Project Costs'!C54:D54</f>
        <v>Construction Supervision</v>
      </c>
      <c r="D52" s="674">
        <v>0</v>
      </c>
      <c r="E52" s="184">
        <f>PC_CST_Constr_Mgmt_Fee_Total</f>
        <v>0</v>
      </c>
      <c r="F52" s="1573">
        <f t="shared" si="15"/>
        <v>0</v>
      </c>
      <c r="G52" s="1574">
        <f t="shared" si="16"/>
        <v>0</v>
      </c>
      <c r="H52" s="1574">
        <f t="shared" si="16"/>
        <v>0</v>
      </c>
      <c r="I52" s="1574">
        <f t="shared" si="16"/>
        <v>0</v>
      </c>
      <c r="J52" s="1574">
        <f t="shared" si="16"/>
        <v>0</v>
      </c>
      <c r="K52" s="1574">
        <f t="shared" si="16"/>
        <v>0</v>
      </c>
      <c r="L52" s="1574">
        <f t="shared" si="16"/>
        <v>0</v>
      </c>
      <c r="M52" s="1574">
        <f t="shared" si="16"/>
        <v>0</v>
      </c>
      <c r="N52" s="1574">
        <f t="shared" si="16"/>
        <v>0</v>
      </c>
      <c r="O52" s="1574">
        <f t="shared" si="16"/>
        <v>0</v>
      </c>
      <c r="P52" s="1574">
        <f t="shared" si="16"/>
        <v>0</v>
      </c>
      <c r="Q52" s="1574">
        <f t="shared" si="16"/>
        <v>0</v>
      </c>
      <c r="R52" s="1574">
        <f t="shared" si="16"/>
        <v>0</v>
      </c>
      <c r="S52" s="1574">
        <f t="shared" si="16"/>
        <v>0</v>
      </c>
      <c r="T52" s="1574">
        <f t="shared" si="16"/>
        <v>0</v>
      </c>
      <c r="U52" s="1574">
        <f t="shared" si="16"/>
        <v>0</v>
      </c>
      <c r="V52" s="1574">
        <f t="shared" si="16"/>
        <v>0</v>
      </c>
      <c r="W52" s="1574"/>
      <c r="X52" s="1574"/>
      <c r="Y52" s="1574"/>
      <c r="Z52" s="1574"/>
      <c r="AA52" s="1574"/>
      <c r="AB52" s="1574"/>
      <c r="AC52" s="1574"/>
      <c r="AD52" s="1574"/>
      <c r="AE52" s="1574"/>
      <c r="AF52" s="1574"/>
      <c r="AG52" s="1574"/>
      <c r="AH52" s="1574"/>
      <c r="AI52" s="1574"/>
      <c r="AJ52" s="1574"/>
      <c r="AK52" s="1714"/>
      <c r="AL52" s="1477"/>
      <c r="AM52" s="1477"/>
      <c r="AN52" s="1477"/>
      <c r="AO52" s="284"/>
      <c r="AP52" s="1477"/>
      <c r="AQ52" s="1477"/>
      <c r="AR52" s="1477"/>
      <c r="AS52" s="1477"/>
      <c r="AT52" s="1477"/>
      <c r="AU52" s="1477"/>
      <c r="AV52" s="1477"/>
      <c r="AW52" s="1477"/>
      <c r="AX52" s="1477"/>
      <c r="AY52" s="1477"/>
      <c r="AZ52" s="1477"/>
      <c r="BA52" s="1477"/>
      <c r="BB52" s="1477"/>
      <c r="BC52" s="1477"/>
      <c r="BD52" s="1477"/>
      <c r="BE52" s="1477"/>
      <c r="BF52" s="1477"/>
      <c r="BG52" s="1477"/>
      <c r="BH52" s="1477"/>
      <c r="BI52" s="1477"/>
      <c r="BJ52" s="1477"/>
      <c r="BK52" s="1477"/>
      <c r="BL52" s="1477"/>
      <c r="BM52" s="1477"/>
      <c r="BN52" s="1477"/>
      <c r="BO52" s="1477"/>
      <c r="BP52" s="1477"/>
      <c r="BQ52" s="1477"/>
      <c r="BR52" s="1477"/>
      <c r="BS52" s="1477"/>
      <c r="BT52" s="1477"/>
      <c r="BU52" s="1477"/>
      <c r="BV52" s="1477"/>
      <c r="BW52" s="1477"/>
      <c r="BX52" s="1477"/>
      <c r="BY52" s="1477"/>
      <c r="BZ52" s="1477"/>
      <c r="CA52" s="1477"/>
      <c r="CB52" s="1477"/>
      <c r="CC52" s="1477"/>
      <c r="CD52" s="1477"/>
      <c r="CE52" s="1477"/>
      <c r="CF52" s="1477"/>
      <c r="CG52" s="1477"/>
      <c r="CH52" s="1477"/>
    </row>
    <row r="53" spans="2:86">
      <c r="B53" s="1714"/>
      <c r="C53" s="675" t="s">
        <v>3086</v>
      </c>
      <c r="D53" s="675"/>
      <c r="E53" s="184">
        <f>PC_CST_Builders_Risk_Ins_Total</f>
        <v>0</v>
      </c>
      <c r="F53" s="1573">
        <f t="shared" si="15"/>
        <v>0</v>
      </c>
      <c r="G53" s="1574"/>
      <c r="H53" s="1574"/>
      <c r="I53" s="1574"/>
      <c r="J53" s="1574"/>
      <c r="K53" s="1574"/>
      <c r="L53" s="1574"/>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714"/>
      <c r="AL53" s="1477"/>
      <c r="AM53" s="1477"/>
      <c r="AN53" s="1477"/>
      <c r="AO53" s="284"/>
      <c r="AP53" s="1477"/>
      <c r="AQ53" s="1477"/>
      <c r="AR53" s="1477"/>
      <c r="AS53" s="1477"/>
      <c r="AT53" s="1477"/>
      <c r="AU53" s="1477"/>
      <c r="AV53" s="1477"/>
      <c r="AW53" s="1477"/>
      <c r="AX53" s="1477"/>
      <c r="AY53" s="1477"/>
      <c r="AZ53" s="1477"/>
      <c r="BA53" s="1477"/>
      <c r="BB53" s="1477"/>
      <c r="BC53" s="1477"/>
      <c r="BD53" s="1477"/>
      <c r="BE53" s="1477"/>
      <c r="BF53" s="1477"/>
      <c r="BG53" s="1477"/>
      <c r="BH53" s="1477"/>
      <c r="BI53" s="1477"/>
      <c r="BJ53" s="1477"/>
      <c r="BK53" s="1477"/>
      <c r="BL53" s="1477"/>
      <c r="BM53" s="1477"/>
      <c r="BN53" s="1477"/>
      <c r="BO53" s="1477"/>
      <c r="BP53" s="1477"/>
      <c r="BQ53" s="1477"/>
      <c r="BR53" s="1477"/>
      <c r="BS53" s="1477"/>
      <c r="BT53" s="1477"/>
      <c r="BU53" s="1477"/>
      <c r="BV53" s="1477"/>
      <c r="BW53" s="1477"/>
      <c r="BX53" s="1477"/>
      <c r="BY53" s="1477"/>
      <c r="BZ53" s="1477"/>
      <c r="CA53" s="1477"/>
      <c r="CB53" s="1477"/>
      <c r="CC53" s="1477"/>
      <c r="CD53" s="1477"/>
      <c r="CE53" s="1477"/>
      <c r="CF53" s="1477"/>
      <c r="CG53" s="1477"/>
      <c r="CH53" s="1477"/>
    </row>
    <row r="54" spans="2:86">
      <c r="B54" s="1714"/>
      <c r="C54" s="675" t="s">
        <v>3088</v>
      </c>
      <c r="D54" s="675"/>
      <c r="E54" s="184">
        <f>PC_CST_Other_Contractor_Fee_Total</f>
        <v>0</v>
      </c>
      <c r="F54" s="1573">
        <f t="shared" si="15"/>
        <v>0</v>
      </c>
      <c r="G54" s="1574">
        <f t="shared" si="16"/>
        <v>0</v>
      </c>
      <c r="H54" s="1574">
        <f t="shared" si="16"/>
        <v>0</v>
      </c>
      <c r="I54" s="1574">
        <f t="shared" si="16"/>
        <v>0</v>
      </c>
      <c r="J54" s="1574">
        <f t="shared" si="16"/>
        <v>0</v>
      </c>
      <c r="K54" s="1574">
        <f t="shared" si="16"/>
        <v>0</v>
      </c>
      <c r="L54" s="1574">
        <f t="shared" si="16"/>
        <v>0</v>
      </c>
      <c r="M54" s="1574">
        <f t="shared" si="16"/>
        <v>0</v>
      </c>
      <c r="N54" s="1574">
        <f t="shared" si="16"/>
        <v>0</v>
      </c>
      <c r="O54" s="1574">
        <f t="shared" si="16"/>
        <v>0</v>
      </c>
      <c r="P54" s="1574">
        <f t="shared" si="16"/>
        <v>0</v>
      </c>
      <c r="Q54" s="1574">
        <f t="shared" si="16"/>
        <v>0</v>
      </c>
      <c r="R54" s="1574">
        <f t="shared" si="16"/>
        <v>0</v>
      </c>
      <c r="S54" s="1574">
        <f t="shared" si="16"/>
        <v>0</v>
      </c>
      <c r="T54" s="1574">
        <f t="shared" si="16"/>
        <v>0</v>
      </c>
      <c r="U54" s="1574">
        <f t="shared" si="16"/>
        <v>0</v>
      </c>
      <c r="V54" s="1574">
        <f t="shared" si="16"/>
        <v>0</v>
      </c>
      <c r="W54" s="1574">
        <f t="shared" ref="W54:Y54" si="17">+W$11*$E54</f>
        <v>0</v>
      </c>
      <c r="X54" s="1574">
        <f t="shared" si="17"/>
        <v>0</v>
      </c>
      <c r="Y54" s="1574">
        <f t="shared" si="17"/>
        <v>0</v>
      </c>
      <c r="Z54" s="1574"/>
      <c r="AA54" s="1574"/>
      <c r="AB54" s="1574"/>
      <c r="AC54" s="1574"/>
      <c r="AD54" s="1574"/>
      <c r="AE54" s="1574"/>
      <c r="AF54" s="1574"/>
      <c r="AG54" s="1574"/>
      <c r="AH54" s="1574"/>
      <c r="AI54" s="1574"/>
      <c r="AJ54" s="1574"/>
      <c r="AK54" s="1714"/>
      <c r="AL54" s="1477"/>
      <c r="AM54" s="1477"/>
      <c r="AN54" s="1477"/>
      <c r="AO54" s="284"/>
      <c r="AP54" s="1477"/>
      <c r="AQ54" s="1477"/>
      <c r="AR54" s="1477"/>
      <c r="AS54" s="1477"/>
      <c r="AT54" s="1477"/>
      <c r="AU54" s="1477"/>
      <c r="AV54" s="1477"/>
      <c r="AW54" s="1477"/>
      <c r="AX54" s="1477"/>
      <c r="AY54" s="1477"/>
      <c r="AZ54" s="1477"/>
      <c r="BA54" s="1477"/>
      <c r="BB54" s="1477"/>
      <c r="BC54" s="1477"/>
      <c r="BD54" s="1477"/>
      <c r="BE54" s="1477"/>
      <c r="BF54" s="1477"/>
      <c r="BG54" s="1477"/>
      <c r="BH54" s="1477"/>
      <c r="BI54" s="1477"/>
      <c r="BJ54" s="1477"/>
      <c r="BK54" s="1477"/>
      <c r="BL54" s="1477"/>
      <c r="BM54" s="1477"/>
      <c r="BN54" s="1477"/>
      <c r="BO54" s="1477"/>
      <c r="BP54" s="1477"/>
      <c r="BQ54" s="1477"/>
      <c r="BR54" s="1477"/>
      <c r="BS54" s="1477"/>
      <c r="BT54" s="1477"/>
      <c r="BU54" s="1477"/>
      <c r="BV54" s="1477"/>
      <c r="BW54" s="1477"/>
      <c r="BX54" s="1477"/>
      <c r="BY54" s="1477"/>
      <c r="BZ54" s="1477"/>
      <c r="CA54" s="1477"/>
      <c r="CB54" s="1477"/>
      <c r="CC54" s="1477"/>
      <c r="CD54" s="1477"/>
      <c r="CE54" s="1477"/>
      <c r="CF54" s="1477"/>
      <c r="CG54" s="1477"/>
      <c r="CH54" s="1477"/>
    </row>
    <row r="55" spans="2:86">
      <c r="B55" s="1714"/>
      <c r="C55" s="131" t="s">
        <v>3090</v>
      </c>
      <c r="D55" s="131"/>
      <c r="E55" s="188">
        <f>SUM(E49:E54)</f>
        <v>0</v>
      </c>
      <c r="F55" s="1578">
        <f>SUM(F49:F54)</f>
        <v>0</v>
      </c>
      <c r="G55" s="1578">
        <f t="shared" ref="G55:AJ55" si="18">SUM(G48:G54)</f>
        <v>0</v>
      </c>
      <c r="H55" s="1578">
        <f t="shared" si="18"/>
        <v>0</v>
      </c>
      <c r="I55" s="1578">
        <f t="shared" si="18"/>
        <v>0</v>
      </c>
      <c r="J55" s="1578">
        <f t="shared" si="18"/>
        <v>0</v>
      </c>
      <c r="K55" s="1578">
        <f t="shared" si="18"/>
        <v>0</v>
      </c>
      <c r="L55" s="1578">
        <f t="shared" si="18"/>
        <v>0</v>
      </c>
      <c r="M55" s="1578">
        <f t="shared" si="18"/>
        <v>0</v>
      </c>
      <c r="N55" s="1578">
        <f t="shared" si="18"/>
        <v>0</v>
      </c>
      <c r="O55" s="1578">
        <f t="shared" si="18"/>
        <v>0</v>
      </c>
      <c r="P55" s="1578">
        <f t="shared" si="18"/>
        <v>0</v>
      </c>
      <c r="Q55" s="1578">
        <f t="shared" si="18"/>
        <v>0</v>
      </c>
      <c r="R55" s="1578">
        <f t="shared" si="18"/>
        <v>0</v>
      </c>
      <c r="S55" s="1578">
        <f t="shared" si="18"/>
        <v>0</v>
      </c>
      <c r="T55" s="1578">
        <f t="shared" si="18"/>
        <v>0</v>
      </c>
      <c r="U55" s="1578">
        <f t="shared" si="18"/>
        <v>0</v>
      </c>
      <c r="V55" s="1578">
        <f t="shared" si="18"/>
        <v>0</v>
      </c>
      <c r="W55" s="1578">
        <f t="shared" si="18"/>
        <v>0</v>
      </c>
      <c r="X55" s="1578">
        <f t="shared" si="18"/>
        <v>0</v>
      </c>
      <c r="Y55" s="1578">
        <f t="shared" si="18"/>
        <v>0</v>
      </c>
      <c r="Z55" s="1578">
        <f t="shared" si="18"/>
        <v>0</v>
      </c>
      <c r="AA55" s="1578">
        <f t="shared" si="18"/>
        <v>0</v>
      </c>
      <c r="AB55" s="1578">
        <f t="shared" si="18"/>
        <v>0</v>
      </c>
      <c r="AC55" s="1578">
        <f t="shared" si="18"/>
        <v>0</v>
      </c>
      <c r="AD55" s="1578">
        <f t="shared" si="18"/>
        <v>0</v>
      </c>
      <c r="AE55" s="1578">
        <f t="shared" si="18"/>
        <v>0</v>
      </c>
      <c r="AF55" s="1578">
        <f t="shared" si="18"/>
        <v>0</v>
      </c>
      <c r="AG55" s="1578">
        <f t="shared" si="18"/>
        <v>0</v>
      </c>
      <c r="AH55" s="1578">
        <f t="shared" si="18"/>
        <v>0</v>
      </c>
      <c r="AI55" s="1578">
        <f t="shared" si="18"/>
        <v>0</v>
      </c>
      <c r="AJ55" s="1578">
        <f t="shared" si="18"/>
        <v>0</v>
      </c>
      <c r="AK55" s="1714"/>
      <c r="AL55" s="1477"/>
      <c r="AM55" s="1477"/>
      <c r="AN55" s="1477"/>
      <c r="AO55" s="284"/>
      <c r="AP55" s="1477"/>
      <c r="AQ55" s="1477"/>
      <c r="AR55" s="1477"/>
      <c r="AS55" s="1477"/>
      <c r="AT55" s="1477"/>
      <c r="AU55" s="1477"/>
      <c r="AV55" s="1477"/>
      <c r="AW55" s="1477"/>
      <c r="AX55" s="1477"/>
      <c r="AY55" s="1477"/>
      <c r="AZ55" s="1477"/>
      <c r="BA55" s="1477"/>
      <c r="BB55" s="1477"/>
      <c r="BC55" s="1477"/>
      <c r="BD55" s="1477"/>
      <c r="BE55" s="1477"/>
      <c r="BF55" s="1477"/>
      <c r="BG55" s="1477"/>
      <c r="BH55" s="1477"/>
      <c r="BI55" s="1477"/>
      <c r="BJ55" s="1477"/>
      <c r="BK55" s="1477"/>
      <c r="BL55" s="1477"/>
      <c r="BM55" s="1477"/>
      <c r="BN55" s="1477"/>
      <c r="BO55" s="1477"/>
      <c r="BP55" s="1477"/>
      <c r="BQ55" s="1477"/>
      <c r="BR55" s="1477"/>
      <c r="BS55" s="1477"/>
      <c r="BT55" s="1477"/>
      <c r="BU55" s="1477"/>
      <c r="BV55" s="1477"/>
      <c r="BW55" s="1477"/>
      <c r="BX55" s="1477"/>
      <c r="BY55" s="1477"/>
      <c r="BZ55" s="1477"/>
      <c r="CA55" s="1477"/>
      <c r="CB55" s="1477"/>
      <c r="CC55" s="1477"/>
      <c r="CD55" s="1477"/>
      <c r="CE55" s="1477"/>
      <c r="CF55" s="1477"/>
      <c r="CG55" s="1477"/>
      <c r="CH55" s="1477"/>
    </row>
    <row r="56" spans="2:86">
      <c r="B56" s="1714"/>
      <c r="C56" s="126" t="s">
        <v>3092</v>
      </c>
      <c r="D56" s="126"/>
      <c r="E56" s="199">
        <f>E29+E37+E47+E55</f>
        <v>0</v>
      </c>
      <c r="F56" s="186">
        <f t="shared" ref="F56:AJ56" si="19">+F55+F47+F37+F29</f>
        <v>0</v>
      </c>
      <c r="G56" s="186">
        <f t="shared" si="19"/>
        <v>0</v>
      </c>
      <c r="H56" s="186">
        <f t="shared" si="19"/>
        <v>0</v>
      </c>
      <c r="I56" s="186">
        <f t="shared" si="19"/>
        <v>0</v>
      </c>
      <c r="J56" s="186">
        <f t="shared" si="19"/>
        <v>0</v>
      </c>
      <c r="K56" s="186">
        <f t="shared" si="19"/>
        <v>0</v>
      </c>
      <c r="L56" s="186">
        <f t="shared" si="19"/>
        <v>0</v>
      </c>
      <c r="M56" s="186">
        <f t="shared" si="19"/>
        <v>0</v>
      </c>
      <c r="N56" s="186">
        <f t="shared" si="19"/>
        <v>0</v>
      </c>
      <c r="O56" s="186">
        <f t="shared" si="19"/>
        <v>0</v>
      </c>
      <c r="P56" s="186">
        <f t="shared" si="19"/>
        <v>0</v>
      </c>
      <c r="Q56" s="186">
        <f t="shared" si="19"/>
        <v>0</v>
      </c>
      <c r="R56" s="186">
        <f t="shared" si="19"/>
        <v>0</v>
      </c>
      <c r="S56" s="186">
        <f t="shared" si="19"/>
        <v>0</v>
      </c>
      <c r="T56" s="186">
        <f t="shared" si="19"/>
        <v>0</v>
      </c>
      <c r="U56" s="186">
        <f t="shared" si="19"/>
        <v>0</v>
      </c>
      <c r="V56" s="186">
        <f t="shared" si="19"/>
        <v>0</v>
      </c>
      <c r="W56" s="186">
        <f t="shared" si="19"/>
        <v>0</v>
      </c>
      <c r="X56" s="186">
        <f t="shared" si="19"/>
        <v>0</v>
      </c>
      <c r="Y56" s="186">
        <f t="shared" si="19"/>
        <v>0</v>
      </c>
      <c r="Z56" s="186">
        <f t="shared" si="19"/>
        <v>0</v>
      </c>
      <c r="AA56" s="186">
        <f t="shared" si="19"/>
        <v>0</v>
      </c>
      <c r="AB56" s="186">
        <f t="shared" si="19"/>
        <v>0</v>
      </c>
      <c r="AC56" s="186">
        <f t="shared" si="19"/>
        <v>0</v>
      </c>
      <c r="AD56" s="186">
        <f t="shared" si="19"/>
        <v>0</v>
      </c>
      <c r="AE56" s="186">
        <f t="shared" si="19"/>
        <v>0</v>
      </c>
      <c r="AF56" s="186">
        <f t="shared" si="19"/>
        <v>0</v>
      </c>
      <c r="AG56" s="186">
        <f t="shared" si="19"/>
        <v>0</v>
      </c>
      <c r="AH56" s="186">
        <f t="shared" si="19"/>
        <v>0</v>
      </c>
      <c r="AI56" s="186">
        <f t="shared" si="19"/>
        <v>0</v>
      </c>
      <c r="AJ56" s="186">
        <f t="shared" si="19"/>
        <v>0</v>
      </c>
      <c r="AK56" s="1714"/>
      <c r="AL56" s="1477"/>
      <c r="AM56" s="1477"/>
      <c r="AN56" s="1477"/>
      <c r="AO56" s="284"/>
      <c r="AP56" s="1477"/>
      <c r="AQ56" s="1477"/>
      <c r="AR56" s="1477"/>
      <c r="AS56" s="1477"/>
      <c r="AT56" s="1477"/>
      <c r="AU56" s="1477"/>
      <c r="AV56" s="1477"/>
      <c r="AW56" s="1477"/>
      <c r="AX56" s="1477"/>
      <c r="AY56" s="1477"/>
      <c r="AZ56" s="1477"/>
      <c r="BA56" s="1477"/>
      <c r="BB56" s="1477"/>
      <c r="BC56" s="1477"/>
      <c r="BD56" s="1477"/>
      <c r="BE56" s="1477"/>
      <c r="BF56" s="1477"/>
      <c r="BG56" s="1477"/>
      <c r="BH56" s="1477"/>
      <c r="BI56" s="1477"/>
      <c r="BJ56" s="1477"/>
      <c r="BK56" s="1477"/>
      <c r="BL56" s="1477"/>
      <c r="BM56" s="1477"/>
      <c r="BN56" s="1477"/>
      <c r="BO56" s="1477"/>
      <c r="BP56" s="1477"/>
      <c r="BQ56" s="1477"/>
      <c r="BR56" s="1477"/>
      <c r="BS56" s="1477"/>
      <c r="BT56" s="1477"/>
      <c r="BU56" s="1477"/>
      <c r="BV56" s="1477"/>
      <c r="BW56" s="1477"/>
      <c r="BX56" s="1477"/>
      <c r="BY56" s="1477"/>
      <c r="BZ56" s="1477"/>
      <c r="CA56" s="1477"/>
      <c r="CB56" s="1477"/>
      <c r="CC56" s="1477"/>
      <c r="CD56" s="1477"/>
      <c r="CE56" s="1477"/>
      <c r="CF56" s="1477"/>
      <c r="CG56" s="1477"/>
      <c r="CH56" s="1477"/>
    </row>
    <row r="57" spans="2:86" ht="15.75">
      <c r="B57" s="1714"/>
      <c r="C57" s="127" t="s">
        <v>3094</v>
      </c>
      <c r="D57" s="127"/>
      <c r="E57" s="202"/>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714"/>
      <c r="AL57" s="1477"/>
      <c r="AM57" s="1477"/>
      <c r="AN57" s="1477"/>
      <c r="AO57" s="284"/>
      <c r="AP57" s="1477"/>
      <c r="AQ57" s="1477"/>
      <c r="AR57" s="1477"/>
      <c r="AS57" s="1477"/>
      <c r="AT57" s="1477"/>
      <c r="AU57" s="1477"/>
      <c r="AV57" s="1477"/>
      <c r="AW57" s="1477"/>
      <c r="AX57" s="1477"/>
      <c r="AY57" s="1477"/>
      <c r="AZ57" s="1477"/>
      <c r="BA57" s="1477"/>
      <c r="BB57" s="1477"/>
      <c r="BC57" s="1477"/>
      <c r="BD57" s="1477"/>
      <c r="BE57" s="1477"/>
      <c r="BF57" s="1477"/>
      <c r="BG57" s="1477"/>
      <c r="BH57" s="1477"/>
      <c r="BI57" s="1477"/>
      <c r="BJ57" s="1477"/>
      <c r="BK57" s="1477"/>
      <c r="BL57" s="1477"/>
      <c r="BM57" s="1477"/>
      <c r="BN57" s="1477"/>
      <c r="BO57" s="1477"/>
      <c r="BP57" s="1477"/>
      <c r="BQ57" s="1477"/>
      <c r="BR57" s="1477"/>
      <c r="BS57" s="1477"/>
      <c r="BT57" s="1477"/>
      <c r="BU57" s="1477"/>
      <c r="BV57" s="1477"/>
      <c r="BW57" s="1477"/>
      <c r="BX57" s="1477"/>
      <c r="BY57" s="1477"/>
      <c r="BZ57" s="1477"/>
      <c r="CA57" s="1477"/>
      <c r="CB57" s="1477"/>
      <c r="CC57" s="1477"/>
      <c r="CD57" s="1477"/>
      <c r="CE57" s="1477"/>
      <c r="CF57" s="1477"/>
      <c r="CG57" s="1477"/>
      <c r="CH57" s="1477"/>
    </row>
    <row r="58" spans="2:86">
      <c r="B58" s="1714"/>
      <c r="C58" s="678" t="str" cm="1">
        <f t="array" ref="C58:D58">'14. Project Costs'!C60:D60</f>
        <v>Construction Contingency</v>
      </c>
      <c r="D58" s="674">
        <v>0</v>
      </c>
      <c r="E58" s="184">
        <f>PC_CNT_Res_HC_Contingency_Total</f>
        <v>0</v>
      </c>
      <c r="F58" s="1573">
        <f t="shared" ref="F58:F59" si="20">+E58-SUM(G58:AJ58)</f>
        <v>0</v>
      </c>
      <c r="G58" s="1574">
        <f t="shared" ref="G58:V59" si="21">+G$11*$E58</f>
        <v>0</v>
      </c>
      <c r="H58" s="1574">
        <f t="shared" si="21"/>
        <v>0</v>
      </c>
      <c r="I58" s="1574">
        <f t="shared" si="21"/>
        <v>0</v>
      </c>
      <c r="J58" s="1574">
        <f t="shared" si="21"/>
        <v>0</v>
      </c>
      <c r="K58" s="1574">
        <f t="shared" si="21"/>
        <v>0</v>
      </c>
      <c r="L58" s="1574">
        <f t="shared" si="21"/>
        <v>0</v>
      </c>
      <c r="M58" s="1574">
        <f t="shared" si="21"/>
        <v>0</v>
      </c>
      <c r="N58" s="1574">
        <f t="shared" si="21"/>
        <v>0</v>
      </c>
      <c r="O58" s="1574">
        <f t="shared" si="21"/>
        <v>0</v>
      </c>
      <c r="P58" s="1574">
        <f t="shared" si="21"/>
        <v>0</v>
      </c>
      <c r="Q58" s="1574">
        <f t="shared" si="21"/>
        <v>0</v>
      </c>
      <c r="R58" s="1574">
        <f t="shared" si="21"/>
        <v>0</v>
      </c>
      <c r="S58" s="1574">
        <f t="shared" si="21"/>
        <v>0</v>
      </c>
      <c r="T58" s="1574">
        <f t="shared" si="21"/>
        <v>0</v>
      </c>
      <c r="U58" s="1574">
        <f t="shared" si="21"/>
        <v>0</v>
      </c>
      <c r="V58" s="1574">
        <f t="shared" si="21"/>
        <v>0</v>
      </c>
      <c r="W58" s="1574"/>
      <c r="X58" s="1574"/>
      <c r="Y58" s="1574"/>
      <c r="Z58" s="1574"/>
      <c r="AA58" s="1574"/>
      <c r="AB58" s="1574"/>
      <c r="AC58" s="1574"/>
      <c r="AD58" s="1574"/>
      <c r="AE58" s="1574"/>
      <c r="AF58" s="1574"/>
      <c r="AG58" s="1574"/>
      <c r="AH58" s="1574"/>
      <c r="AI58" s="1574"/>
      <c r="AJ58" s="1574"/>
      <c r="AK58" s="1714"/>
      <c r="AL58" s="1477"/>
      <c r="AM58" s="1477"/>
      <c r="AN58" s="1477"/>
      <c r="AO58" s="284"/>
      <c r="AP58" s="1477"/>
      <c r="AQ58" s="1477"/>
      <c r="AR58" s="1477"/>
      <c r="AS58" s="1477"/>
      <c r="AT58" s="1477"/>
      <c r="AU58" s="1477"/>
      <c r="AV58" s="1477"/>
      <c r="AW58" s="1477"/>
      <c r="AX58" s="1477"/>
      <c r="AY58" s="1477"/>
      <c r="AZ58" s="1477"/>
      <c r="BA58" s="1477"/>
      <c r="BB58" s="1477"/>
      <c r="BC58" s="1477"/>
      <c r="BD58" s="1477"/>
      <c r="BE58" s="1477"/>
      <c r="BF58" s="1477"/>
      <c r="BG58" s="1477"/>
      <c r="BH58" s="1477"/>
      <c r="BI58" s="1477"/>
      <c r="BJ58" s="1477"/>
      <c r="BK58" s="1477"/>
      <c r="BL58" s="1477"/>
      <c r="BM58" s="1477"/>
      <c r="BN58" s="1477"/>
      <c r="BO58" s="1477"/>
      <c r="BP58" s="1477"/>
      <c r="BQ58" s="1477"/>
      <c r="BR58" s="1477"/>
      <c r="BS58" s="1477"/>
      <c r="BT58" s="1477"/>
      <c r="BU58" s="1477"/>
      <c r="BV58" s="1477"/>
      <c r="BW58" s="1477"/>
      <c r="BX58" s="1477"/>
      <c r="BY58" s="1477"/>
      <c r="BZ58" s="1477"/>
      <c r="CA58" s="1477"/>
      <c r="CB58" s="1477"/>
      <c r="CC58" s="1477"/>
      <c r="CD58" s="1477"/>
      <c r="CE58" s="1477"/>
      <c r="CF58" s="1477"/>
      <c r="CG58" s="1477"/>
      <c r="CH58" s="1477"/>
    </row>
    <row r="59" spans="2:86">
      <c r="B59" s="1714"/>
      <c r="C59" s="675" t="str" cm="1">
        <f t="array" ref="C59:D59">'14. Project Costs'!C61:D61</f>
        <v>Other Contingency</v>
      </c>
      <c r="D59" s="676">
        <v>0</v>
      </c>
      <c r="E59" s="203">
        <f>PC_CNT_Res_SC_Contingency_Total</f>
        <v>0</v>
      </c>
      <c r="F59" s="1573">
        <f t="shared" si="20"/>
        <v>0</v>
      </c>
      <c r="G59" s="1574">
        <f t="shared" si="21"/>
        <v>0</v>
      </c>
      <c r="H59" s="1574">
        <f t="shared" si="21"/>
        <v>0</v>
      </c>
      <c r="I59" s="1574">
        <f t="shared" si="21"/>
        <v>0</v>
      </c>
      <c r="J59" s="1574">
        <f t="shared" si="21"/>
        <v>0</v>
      </c>
      <c r="K59" s="1574">
        <f t="shared" si="21"/>
        <v>0</v>
      </c>
      <c r="L59" s="1574">
        <f t="shared" si="21"/>
        <v>0</v>
      </c>
      <c r="M59" s="1574">
        <f t="shared" si="21"/>
        <v>0</v>
      </c>
      <c r="N59" s="1574">
        <f t="shared" si="21"/>
        <v>0</v>
      </c>
      <c r="O59" s="1574">
        <f t="shared" si="21"/>
        <v>0</v>
      </c>
      <c r="P59" s="1574">
        <f t="shared" si="21"/>
        <v>0</v>
      </c>
      <c r="Q59" s="1574">
        <f t="shared" si="21"/>
        <v>0</v>
      </c>
      <c r="R59" s="1574">
        <f t="shared" si="21"/>
        <v>0</v>
      </c>
      <c r="S59" s="1574">
        <f t="shared" si="21"/>
        <v>0</v>
      </c>
      <c r="T59" s="1574">
        <f t="shared" si="21"/>
        <v>0</v>
      </c>
      <c r="U59" s="1574">
        <f t="shared" si="21"/>
        <v>0</v>
      </c>
      <c r="V59" s="1574">
        <f t="shared" si="21"/>
        <v>0</v>
      </c>
      <c r="W59" s="1574">
        <f t="shared" ref="W59" si="22">+W$11*$E59</f>
        <v>0</v>
      </c>
      <c r="X59" s="1574"/>
      <c r="Y59" s="1574"/>
      <c r="Z59" s="1574"/>
      <c r="AA59" s="1574"/>
      <c r="AB59" s="1574"/>
      <c r="AC59" s="1574"/>
      <c r="AD59" s="1574"/>
      <c r="AE59" s="1574"/>
      <c r="AF59" s="1574"/>
      <c r="AG59" s="1574"/>
      <c r="AH59" s="1574"/>
      <c r="AI59" s="1574"/>
      <c r="AJ59" s="1574"/>
      <c r="AK59" s="1714"/>
      <c r="AL59" s="1477"/>
      <c r="AM59" s="1477"/>
      <c r="AN59" s="1477"/>
      <c r="AO59" s="284"/>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7"/>
      <c r="BM59" s="1477"/>
      <c r="BN59" s="1477"/>
      <c r="BO59" s="1477"/>
      <c r="BP59" s="1477"/>
      <c r="BQ59" s="1477"/>
      <c r="BR59" s="1477"/>
      <c r="BS59" s="1477"/>
      <c r="BT59" s="1477"/>
      <c r="BU59" s="1477"/>
      <c r="BV59" s="1477"/>
      <c r="BW59" s="1477"/>
      <c r="BX59" s="1477"/>
      <c r="BY59" s="1477"/>
      <c r="BZ59" s="1477"/>
      <c r="CA59" s="1477"/>
      <c r="CB59" s="1477"/>
      <c r="CC59" s="1477"/>
      <c r="CD59" s="1477"/>
      <c r="CE59" s="1477"/>
      <c r="CF59" s="1477"/>
      <c r="CG59" s="1477"/>
      <c r="CH59" s="1477"/>
    </row>
    <row r="60" spans="2:86">
      <c r="B60" s="1714"/>
      <c r="C60" s="126" t="s">
        <v>3106</v>
      </c>
      <c r="D60" s="126"/>
      <c r="E60" s="185">
        <f>+E59+E58</f>
        <v>0</v>
      </c>
      <c r="F60" s="186">
        <f>+F59+F58</f>
        <v>0</v>
      </c>
      <c r="G60" s="186">
        <f t="shared" ref="G60:AJ60" si="23">+G59+G58</f>
        <v>0</v>
      </c>
      <c r="H60" s="186">
        <f t="shared" si="23"/>
        <v>0</v>
      </c>
      <c r="I60" s="186">
        <f t="shared" si="23"/>
        <v>0</v>
      </c>
      <c r="J60" s="186">
        <f t="shared" si="23"/>
        <v>0</v>
      </c>
      <c r="K60" s="186">
        <f t="shared" si="23"/>
        <v>0</v>
      </c>
      <c r="L60" s="186">
        <f t="shared" si="23"/>
        <v>0</v>
      </c>
      <c r="M60" s="186">
        <f t="shared" si="23"/>
        <v>0</v>
      </c>
      <c r="N60" s="186">
        <f t="shared" si="23"/>
        <v>0</v>
      </c>
      <c r="O60" s="186">
        <f t="shared" si="23"/>
        <v>0</v>
      </c>
      <c r="P60" s="186">
        <f t="shared" si="23"/>
        <v>0</v>
      </c>
      <c r="Q60" s="186">
        <f t="shared" si="23"/>
        <v>0</v>
      </c>
      <c r="R60" s="186">
        <f t="shared" si="23"/>
        <v>0</v>
      </c>
      <c r="S60" s="186">
        <f t="shared" si="23"/>
        <v>0</v>
      </c>
      <c r="T60" s="186">
        <f t="shared" si="23"/>
        <v>0</v>
      </c>
      <c r="U60" s="186">
        <f t="shared" si="23"/>
        <v>0</v>
      </c>
      <c r="V60" s="186">
        <f t="shared" si="23"/>
        <v>0</v>
      </c>
      <c r="W60" s="186">
        <f t="shared" si="23"/>
        <v>0</v>
      </c>
      <c r="X60" s="186">
        <f t="shared" si="23"/>
        <v>0</v>
      </c>
      <c r="Y60" s="186">
        <f t="shared" si="23"/>
        <v>0</v>
      </c>
      <c r="Z60" s="186">
        <f t="shared" si="23"/>
        <v>0</v>
      </c>
      <c r="AA60" s="186">
        <f t="shared" si="23"/>
        <v>0</v>
      </c>
      <c r="AB60" s="186">
        <f t="shared" si="23"/>
        <v>0</v>
      </c>
      <c r="AC60" s="186">
        <f t="shared" si="23"/>
        <v>0</v>
      </c>
      <c r="AD60" s="186">
        <f t="shared" si="23"/>
        <v>0</v>
      </c>
      <c r="AE60" s="186">
        <f t="shared" si="23"/>
        <v>0</v>
      </c>
      <c r="AF60" s="186">
        <f t="shared" si="23"/>
        <v>0</v>
      </c>
      <c r="AG60" s="186">
        <f t="shared" si="23"/>
        <v>0</v>
      </c>
      <c r="AH60" s="186">
        <f t="shared" si="23"/>
        <v>0</v>
      </c>
      <c r="AI60" s="186">
        <f t="shared" si="23"/>
        <v>0</v>
      </c>
      <c r="AJ60" s="186">
        <f t="shared" si="23"/>
        <v>0</v>
      </c>
      <c r="AK60" s="1714"/>
      <c r="AL60" s="1477"/>
      <c r="AM60" s="1477"/>
      <c r="AN60" s="1477"/>
      <c r="AO60" s="284"/>
      <c r="AP60" s="1477"/>
      <c r="AQ60" s="1477"/>
      <c r="AR60" s="1477"/>
      <c r="AS60" s="1477"/>
      <c r="AT60" s="1477"/>
      <c r="AU60" s="1477"/>
      <c r="AV60" s="1477"/>
      <c r="AW60" s="1477"/>
      <c r="AX60" s="1477"/>
      <c r="AY60" s="1477"/>
      <c r="AZ60" s="1477"/>
      <c r="BA60" s="1477"/>
      <c r="BB60" s="1477"/>
      <c r="BC60" s="1477"/>
      <c r="BD60" s="1477"/>
      <c r="BE60" s="1477"/>
      <c r="BF60" s="1477"/>
      <c r="BG60" s="1477"/>
      <c r="BH60" s="1477"/>
      <c r="BI60" s="1477"/>
      <c r="BJ60" s="1477"/>
      <c r="BK60" s="1477"/>
      <c r="BL60" s="1477"/>
      <c r="BM60" s="1477"/>
      <c r="BN60" s="1477"/>
      <c r="BO60" s="1477"/>
      <c r="BP60" s="1477"/>
      <c r="BQ60" s="1477"/>
      <c r="BR60" s="1477"/>
      <c r="BS60" s="1477"/>
      <c r="BT60" s="1477"/>
      <c r="BU60" s="1477"/>
      <c r="BV60" s="1477"/>
      <c r="BW60" s="1477"/>
      <c r="BX60" s="1477"/>
      <c r="BY60" s="1477"/>
      <c r="BZ60" s="1477"/>
      <c r="CA60" s="1477"/>
      <c r="CB60" s="1477"/>
      <c r="CC60" s="1477"/>
      <c r="CD60" s="1477"/>
      <c r="CE60" s="1477"/>
      <c r="CF60" s="1477"/>
      <c r="CG60" s="1477"/>
      <c r="CH60" s="1477"/>
    </row>
    <row r="61" spans="2:86" ht="15.75">
      <c r="B61" s="1714"/>
      <c r="C61" s="127" t="s">
        <v>3109</v>
      </c>
      <c r="D61" s="127"/>
      <c r="E61" s="128"/>
      <c r="F61" s="1572"/>
      <c r="G61" s="1572"/>
      <c r="H61" s="1572"/>
      <c r="I61" s="1572"/>
      <c r="J61" s="1572"/>
      <c r="K61" s="1572"/>
      <c r="L61" s="1572"/>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714"/>
      <c r="AL61" s="1477"/>
      <c r="AM61" s="1477"/>
      <c r="AN61" s="1477"/>
      <c r="AO61" s="284"/>
      <c r="AP61" s="1477"/>
      <c r="AQ61" s="1477"/>
      <c r="AR61" s="1477"/>
      <c r="AS61" s="1477"/>
      <c r="AT61" s="1477"/>
      <c r="AU61" s="1477"/>
      <c r="AV61" s="1477"/>
      <c r="AW61" s="1477"/>
      <c r="AX61" s="1477"/>
      <c r="AY61" s="1477"/>
      <c r="AZ61" s="1477"/>
      <c r="BA61" s="1477"/>
      <c r="BB61" s="1477"/>
      <c r="BC61" s="1477"/>
      <c r="BD61" s="1477"/>
      <c r="BE61" s="1477"/>
      <c r="BF61" s="1477"/>
      <c r="BG61" s="1477"/>
      <c r="BH61" s="1477"/>
      <c r="BI61" s="1477"/>
      <c r="BJ61" s="1477"/>
      <c r="BK61" s="1477"/>
      <c r="BL61" s="1477"/>
      <c r="BM61" s="1477"/>
      <c r="BN61" s="1477"/>
      <c r="BO61" s="1477"/>
      <c r="BP61" s="1477"/>
      <c r="BQ61" s="1477"/>
      <c r="BR61" s="1477"/>
      <c r="BS61" s="1477"/>
      <c r="BT61" s="1477"/>
      <c r="BU61" s="1477"/>
      <c r="BV61" s="1477"/>
      <c r="BW61" s="1477"/>
      <c r="BX61" s="1477"/>
      <c r="BY61" s="1477"/>
      <c r="BZ61" s="1477"/>
      <c r="CA61" s="1477"/>
      <c r="CB61" s="1477"/>
      <c r="CC61" s="1477"/>
      <c r="CD61" s="1477"/>
      <c r="CE61" s="1477"/>
      <c r="CF61" s="1477"/>
      <c r="CG61" s="1477"/>
      <c r="CH61" s="1477"/>
    </row>
    <row r="62" spans="2:86">
      <c r="B62" s="1714"/>
      <c r="C62" s="129" t="s">
        <v>3110</v>
      </c>
      <c r="D62" s="129"/>
      <c r="E62" s="130"/>
      <c r="F62" s="1579"/>
      <c r="G62" s="1579"/>
      <c r="H62" s="1579"/>
      <c r="I62" s="1579"/>
      <c r="J62" s="1579"/>
      <c r="K62" s="1579"/>
      <c r="L62" s="1579"/>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714"/>
      <c r="AL62" s="1477"/>
      <c r="AM62" s="1477"/>
      <c r="AN62" s="1477"/>
      <c r="AO62" s="284"/>
      <c r="AP62" s="1477"/>
      <c r="AQ62" s="1477"/>
      <c r="AR62" s="1477"/>
      <c r="AS62" s="1477"/>
      <c r="AT62" s="1477"/>
      <c r="AU62" s="1477"/>
      <c r="AV62" s="1477"/>
      <c r="AW62" s="1477"/>
      <c r="AX62" s="1477"/>
      <c r="AY62" s="1477"/>
      <c r="AZ62" s="1477"/>
      <c r="BA62" s="1477"/>
      <c r="BB62" s="1477"/>
      <c r="BC62" s="1477"/>
      <c r="BD62" s="1477"/>
      <c r="BE62" s="1477"/>
      <c r="BF62" s="1477"/>
      <c r="BG62" s="1477"/>
      <c r="BH62" s="1477"/>
      <c r="BI62" s="1477"/>
      <c r="BJ62" s="1477"/>
      <c r="BK62" s="1477"/>
      <c r="BL62" s="1477"/>
      <c r="BM62" s="1477"/>
      <c r="BN62" s="1477"/>
      <c r="BO62" s="1477"/>
      <c r="BP62" s="1477"/>
      <c r="BQ62" s="1477"/>
      <c r="BR62" s="1477"/>
      <c r="BS62" s="1477"/>
      <c r="BT62" s="1477"/>
      <c r="BU62" s="1477"/>
      <c r="BV62" s="1477"/>
      <c r="BW62" s="1477"/>
      <c r="BX62" s="1477"/>
      <c r="BY62" s="1477"/>
      <c r="BZ62" s="1477"/>
      <c r="CA62" s="1477"/>
      <c r="CB62" s="1477"/>
      <c r="CC62" s="1477"/>
      <c r="CD62" s="1477"/>
      <c r="CE62" s="1477"/>
      <c r="CF62" s="1477"/>
      <c r="CG62" s="1477"/>
      <c r="CH62" s="1477"/>
    </row>
    <row r="63" spans="2:86" hidden="1">
      <c r="B63" s="1714"/>
      <c r="C63" s="124" t="str" cm="1">
        <f t="array" ref="C63:D63">'14. Project Costs'!C65:D65</f>
        <v>WHEDA Application Fees (incl. T/E Ap Fee)</v>
      </c>
      <c r="D63" s="124">
        <v>0</v>
      </c>
      <c r="E63" s="184">
        <f>PC_CSP_WHEDA_App_Fees_Total</f>
        <v>0</v>
      </c>
      <c r="F63" s="1573">
        <f t="shared" ref="F63:F69" si="24">+E63-SUM(G63:AJ63)</f>
        <v>0</v>
      </c>
      <c r="G63" s="1574"/>
      <c r="H63" s="1574"/>
      <c r="I63" s="1574"/>
      <c r="J63" s="1574"/>
      <c r="K63" s="1574"/>
      <c r="L63" s="1574"/>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714"/>
      <c r="AL63" s="1477"/>
      <c r="AM63" s="1477"/>
      <c r="AN63" s="1477"/>
      <c r="AO63" s="284"/>
      <c r="AP63" s="1477"/>
      <c r="AQ63" s="1477"/>
      <c r="AR63" s="1477"/>
      <c r="AS63" s="1477"/>
      <c r="AT63" s="1477"/>
      <c r="AU63" s="1477"/>
      <c r="AV63" s="1477"/>
      <c r="AW63" s="1477"/>
      <c r="AX63" s="1477"/>
      <c r="AY63" s="1477"/>
      <c r="AZ63" s="1477"/>
      <c r="BA63" s="1477"/>
      <c r="BB63" s="1477"/>
      <c r="BC63" s="1477"/>
      <c r="BD63" s="1477"/>
      <c r="BE63" s="1477"/>
      <c r="BF63" s="1477"/>
      <c r="BG63" s="1477"/>
      <c r="BH63" s="1477"/>
      <c r="BI63" s="1477"/>
      <c r="BJ63" s="1477"/>
      <c r="BK63" s="1477"/>
      <c r="BL63" s="1477"/>
      <c r="BM63" s="1477"/>
      <c r="BN63" s="1477"/>
      <c r="BO63" s="1477"/>
      <c r="BP63" s="1477"/>
      <c r="BQ63" s="1477"/>
      <c r="BR63" s="1477"/>
      <c r="BS63" s="1477"/>
      <c r="BT63" s="1477"/>
      <c r="BU63" s="1477"/>
      <c r="BV63" s="1477"/>
      <c r="BW63" s="1477"/>
      <c r="BX63" s="1477"/>
      <c r="BY63" s="1477"/>
      <c r="BZ63" s="1477"/>
      <c r="CA63" s="1477"/>
      <c r="CB63" s="1477"/>
      <c r="CC63" s="1477"/>
      <c r="CD63" s="1477"/>
      <c r="CE63" s="1477"/>
      <c r="CF63" s="1477"/>
      <c r="CG63" s="1477"/>
      <c r="CH63" s="1477"/>
    </row>
    <row r="64" spans="2:86" hidden="1">
      <c r="B64" s="1714"/>
      <c r="C64" s="124" t="str" cm="1">
        <f t="array" ref="C64:D64">'14. Project Costs'!C66:D66</f>
        <v>T/E Bond Allocation/Reservation Fees</v>
      </c>
      <c r="D64" s="124">
        <v>0</v>
      </c>
      <c r="E64" s="184">
        <f>PC_CSP_TE_Bond_Alloc_Total</f>
        <v>0</v>
      </c>
      <c r="F64" s="1573">
        <f t="shared" si="24"/>
        <v>0</v>
      </c>
      <c r="G64" s="1574"/>
      <c r="H64" s="1574"/>
      <c r="I64" s="1574"/>
      <c r="J64" s="1574"/>
      <c r="K64" s="1574"/>
      <c r="L64" s="1574"/>
      <c r="M64" s="1574"/>
      <c r="N64" s="1574"/>
      <c r="O64" s="1574"/>
      <c r="P64" s="1574"/>
      <c r="Q64" s="1574"/>
      <c r="R64" s="1574"/>
      <c r="S64" s="1574"/>
      <c r="T64" s="1574"/>
      <c r="U64" s="1574"/>
      <c r="V64" s="1574"/>
      <c r="W64" s="1574"/>
      <c r="X64" s="1574"/>
      <c r="Y64" s="1574"/>
      <c r="Z64" s="1574"/>
      <c r="AA64" s="1574"/>
      <c r="AB64" s="1574"/>
      <c r="AC64" s="1574"/>
      <c r="AD64" s="1574"/>
      <c r="AE64" s="1574"/>
      <c r="AF64" s="1574"/>
      <c r="AG64" s="1574"/>
      <c r="AH64" s="1574"/>
      <c r="AI64" s="1574"/>
      <c r="AJ64" s="1574"/>
      <c r="AK64" s="1714"/>
      <c r="AL64" s="1477"/>
      <c r="AM64" s="1477"/>
      <c r="AN64" s="1477"/>
      <c r="AO64" s="284"/>
      <c r="AP64" s="1477"/>
      <c r="AQ64" s="1477"/>
      <c r="AR64" s="1477"/>
      <c r="AS64" s="1477"/>
      <c r="AT64" s="1477"/>
      <c r="AU64" s="1477"/>
      <c r="AV64" s="1477"/>
      <c r="AW64" s="1477"/>
      <c r="AX64" s="1477"/>
      <c r="AY64" s="1477"/>
      <c r="AZ64" s="1477"/>
      <c r="BA64" s="1477"/>
      <c r="BB64" s="1477"/>
      <c r="BC64" s="1477"/>
      <c r="BD64" s="1477"/>
      <c r="BE64" s="1477"/>
      <c r="BF64" s="1477"/>
      <c r="BG64" s="1477"/>
      <c r="BH64" s="1477"/>
      <c r="BI64" s="1477"/>
      <c r="BJ64" s="1477"/>
      <c r="BK64" s="1477"/>
      <c r="BL64" s="1477"/>
      <c r="BM64" s="1477"/>
      <c r="BN64" s="1477"/>
      <c r="BO64" s="1477"/>
      <c r="BP64" s="1477"/>
      <c r="BQ64" s="1477"/>
      <c r="BR64" s="1477"/>
      <c r="BS64" s="1477"/>
      <c r="BT64" s="1477"/>
      <c r="BU64" s="1477"/>
      <c r="BV64" s="1477"/>
      <c r="BW64" s="1477"/>
      <c r="BX64" s="1477"/>
      <c r="BY64" s="1477"/>
      <c r="BZ64" s="1477"/>
      <c r="CA64" s="1477"/>
      <c r="CB64" s="1477"/>
      <c r="CC64" s="1477"/>
      <c r="CD64" s="1477"/>
      <c r="CE64" s="1477"/>
      <c r="CF64" s="1477"/>
      <c r="CG64" s="1477"/>
      <c r="CH64" s="1477"/>
    </row>
    <row r="65" spans="2:86">
      <c r="B65" s="1714"/>
      <c r="C65" s="673" t="str" cm="1">
        <f t="array" ref="C65:D65">'14. Project Costs'!C67:D67</f>
        <v>Construction Loan Origination Fee - WHEDA</v>
      </c>
      <c r="D65" s="674">
        <v>0</v>
      </c>
      <c r="E65" s="184">
        <f>PC_CSP_WHEDA_Constr_Loan_Total</f>
        <v>0</v>
      </c>
      <c r="F65" s="1573">
        <f t="shared" si="24"/>
        <v>0</v>
      </c>
      <c r="G65" s="1574">
        <f>+E65</f>
        <v>0</v>
      </c>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714"/>
      <c r="AL65" s="1477"/>
      <c r="AM65" s="1477"/>
      <c r="AN65" s="1477"/>
      <c r="AO65" s="284"/>
      <c r="AP65" s="1477"/>
      <c r="AQ65" s="1477"/>
      <c r="AR65" s="1477"/>
      <c r="AS65" s="1477"/>
      <c r="AT65" s="1477"/>
      <c r="AU65" s="1477"/>
      <c r="AV65" s="1477"/>
      <c r="AW65" s="1477"/>
      <c r="AX65" s="1477"/>
      <c r="AY65" s="1477"/>
      <c r="AZ65" s="1477"/>
      <c r="BA65" s="1477"/>
      <c r="BB65" s="1477"/>
      <c r="BC65" s="1477"/>
      <c r="BD65" s="1477"/>
      <c r="BE65" s="1477"/>
      <c r="BF65" s="1477"/>
      <c r="BG65" s="1477"/>
      <c r="BH65" s="1477"/>
      <c r="BI65" s="1477"/>
      <c r="BJ65" s="1477"/>
      <c r="BK65" s="1477"/>
      <c r="BL65" s="1477"/>
      <c r="BM65" s="1477"/>
      <c r="BN65" s="1477"/>
      <c r="BO65" s="1477"/>
      <c r="BP65" s="1477"/>
      <c r="BQ65" s="1477"/>
      <c r="BR65" s="1477"/>
      <c r="BS65" s="1477"/>
      <c r="BT65" s="1477"/>
      <c r="BU65" s="1477"/>
      <c r="BV65" s="1477"/>
      <c r="BW65" s="1477"/>
      <c r="BX65" s="1477"/>
      <c r="BY65" s="1477"/>
      <c r="BZ65" s="1477"/>
      <c r="CA65" s="1477"/>
      <c r="CB65" s="1477"/>
      <c r="CC65" s="1477"/>
      <c r="CD65" s="1477"/>
      <c r="CE65" s="1477"/>
      <c r="CF65" s="1477"/>
      <c r="CG65" s="1477"/>
      <c r="CH65" s="1477"/>
    </row>
    <row r="66" spans="2:86">
      <c r="B66" s="1714"/>
      <c r="C66" s="673" t="str" cm="1">
        <f t="array" ref="C66:D66">'14. Project Costs'!C68:D68</f>
        <v>Construction Loan Origination Fee - Non WHEDA</v>
      </c>
      <c r="D66" s="674">
        <v>0</v>
      </c>
      <c r="E66" s="184">
        <f>PC_CSP_WHEDA_Other_Finan_Total</f>
        <v>0</v>
      </c>
      <c r="F66" s="1573">
        <f t="shared" si="24"/>
        <v>0</v>
      </c>
      <c r="G66" s="1574">
        <f>+E66</f>
        <v>0</v>
      </c>
      <c r="H66" s="1574"/>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714"/>
      <c r="AL66" s="1477"/>
      <c r="AM66" s="1477"/>
      <c r="AN66" s="1477"/>
      <c r="AO66" s="284"/>
      <c r="AP66" s="1477"/>
      <c r="AQ66" s="1477"/>
      <c r="AR66" s="1477"/>
      <c r="AS66" s="1477"/>
      <c r="AT66" s="1477"/>
      <c r="AU66" s="1477"/>
      <c r="AV66" s="1477"/>
      <c r="AW66" s="1477"/>
      <c r="AX66" s="1477"/>
      <c r="AY66" s="1477"/>
      <c r="AZ66" s="1477"/>
      <c r="BA66" s="1477"/>
      <c r="BB66" s="1477"/>
      <c r="BC66" s="1477"/>
      <c r="BD66" s="1477"/>
      <c r="BE66" s="1477"/>
      <c r="BF66" s="1477"/>
      <c r="BG66" s="1477"/>
      <c r="BH66" s="1477"/>
      <c r="BI66" s="1477"/>
      <c r="BJ66" s="1477"/>
      <c r="BK66" s="1477"/>
      <c r="BL66" s="1477"/>
      <c r="BM66" s="1477"/>
      <c r="BN66" s="1477"/>
      <c r="BO66" s="1477"/>
      <c r="BP66" s="1477"/>
      <c r="BQ66" s="1477"/>
      <c r="BR66" s="1477"/>
      <c r="BS66" s="1477"/>
      <c r="BT66" s="1477"/>
      <c r="BU66" s="1477"/>
      <c r="BV66" s="1477"/>
      <c r="BW66" s="1477"/>
      <c r="BX66" s="1477"/>
      <c r="BY66" s="1477"/>
      <c r="BZ66" s="1477"/>
      <c r="CA66" s="1477"/>
      <c r="CB66" s="1477"/>
      <c r="CC66" s="1477"/>
      <c r="CD66" s="1477"/>
      <c r="CE66" s="1477"/>
      <c r="CF66" s="1477"/>
      <c r="CG66" s="1477"/>
      <c r="CH66" s="1477"/>
    </row>
    <row r="67" spans="2:86" hidden="1">
      <c r="B67" s="1714"/>
      <c r="C67" s="124" t="str" cm="1">
        <f t="array" ref="C67:D67">'14. Project Costs'!C69:D69</f>
        <v>WHEDA Legal/Structuring Fees</v>
      </c>
      <c r="D67" s="124">
        <v>0</v>
      </c>
      <c r="E67" s="184">
        <f>PC_CSP_WHEDA_Legal_Total</f>
        <v>0</v>
      </c>
      <c r="F67" s="1573">
        <f t="shared" si="24"/>
        <v>0</v>
      </c>
      <c r="G67" s="1574"/>
      <c r="H67" s="1574"/>
      <c r="I67" s="1574"/>
      <c r="J67" s="1574"/>
      <c r="K67" s="1574"/>
      <c r="L67" s="1574"/>
      <c r="M67" s="1574"/>
      <c r="N67" s="1574"/>
      <c r="O67" s="1574"/>
      <c r="P67" s="1574"/>
      <c r="Q67" s="1574"/>
      <c r="R67" s="1574"/>
      <c r="S67" s="1574"/>
      <c r="T67" s="1574"/>
      <c r="U67" s="1574"/>
      <c r="V67" s="1574"/>
      <c r="W67" s="1574"/>
      <c r="X67" s="1574"/>
      <c r="Y67" s="1574"/>
      <c r="Z67" s="1574"/>
      <c r="AA67" s="1574"/>
      <c r="AB67" s="1574"/>
      <c r="AC67" s="1574"/>
      <c r="AD67" s="1574"/>
      <c r="AE67" s="1574"/>
      <c r="AF67" s="1574"/>
      <c r="AG67" s="1574"/>
      <c r="AH67" s="1574"/>
      <c r="AI67" s="1574"/>
      <c r="AJ67" s="1574"/>
      <c r="AK67" s="1714"/>
      <c r="AL67" s="1477"/>
      <c r="AM67" s="1477"/>
      <c r="AN67" s="1477"/>
      <c r="AO67" s="284"/>
      <c r="AP67" s="1477"/>
      <c r="AQ67" s="1477"/>
      <c r="AR67" s="1477"/>
      <c r="AS67" s="1477"/>
      <c r="AT67" s="1477"/>
      <c r="AU67" s="1477"/>
      <c r="AV67" s="1477"/>
      <c r="AW67" s="1477"/>
      <c r="AX67" s="1477"/>
      <c r="AY67" s="1477"/>
      <c r="AZ67" s="1477"/>
      <c r="BA67" s="1477"/>
      <c r="BB67" s="1477"/>
      <c r="BC67" s="1477"/>
      <c r="BD67" s="1477"/>
      <c r="BE67" s="1477"/>
      <c r="BF67" s="1477"/>
      <c r="BG67" s="1477"/>
      <c r="BH67" s="1477"/>
      <c r="BI67" s="1477"/>
      <c r="BJ67" s="1477"/>
      <c r="BK67" s="1477"/>
      <c r="BL67" s="1477"/>
      <c r="BM67" s="1477"/>
      <c r="BN67" s="1477"/>
      <c r="BO67" s="1477"/>
      <c r="BP67" s="1477"/>
      <c r="BQ67" s="1477"/>
      <c r="BR67" s="1477"/>
      <c r="BS67" s="1477"/>
      <c r="BT67" s="1477"/>
      <c r="BU67" s="1477"/>
      <c r="BV67" s="1477"/>
      <c r="BW67" s="1477"/>
      <c r="BX67" s="1477"/>
      <c r="BY67" s="1477"/>
      <c r="BZ67" s="1477"/>
      <c r="CA67" s="1477"/>
      <c r="CB67" s="1477"/>
      <c r="CC67" s="1477"/>
      <c r="CD67" s="1477"/>
      <c r="CE67" s="1477"/>
      <c r="CF67" s="1477"/>
      <c r="CG67" s="1477"/>
      <c r="CH67" s="1477"/>
    </row>
    <row r="68" spans="2:86" hidden="1">
      <c r="B68" s="1714"/>
      <c r="C68" s="124" t="str" cm="1">
        <f t="array" ref="C68:D68">'14. Project Costs'!C70:D70</f>
        <v>WHEDA Construction Inspection Fees</v>
      </c>
      <c r="D68" s="124">
        <v>0</v>
      </c>
      <c r="E68" s="184">
        <f>PC_CSP_WHEDA_Constr_Inspect_Total</f>
        <v>0</v>
      </c>
      <c r="F68" s="1573">
        <f t="shared" si="24"/>
        <v>0</v>
      </c>
      <c r="G68" s="1574"/>
      <c r="H68" s="1574"/>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714"/>
      <c r="AL68" s="1477"/>
      <c r="AM68" s="1477"/>
      <c r="AN68" s="1477"/>
      <c r="AO68" s="284"/>
      <c r="AP68" s="1477"/>
      <c r="AQ68" s="1477"/>
      <c r="AR68" s="1477"/>
      <c r="AS68" s="1477"/>
      <c r="AT68" s="1477"/>
      <c r="AU68" s="1477"/>
      <c r="AV68" s="1477"/>
      <c r="AW68" s="1477"/>
      <c r="AX68" s="1477"/>
      <c r="AY68" s="1477"/>
      <c r="AZ68" s="1477"/>
      <c r="BA68" s="1477"/>
      <c r="BB68" s="1477"/>
      <c r="BC68" s="1477"/>
      <c r="BD68" s="1477"/>
      <c r="BE68" s="1477"/>
      <c r="BF68" s="1477"/>
      <c r="BG68" s="1477"/>
      <c r="BH68" s="1477"/>
      <c r="BI68" s="1477"/>
      <c r="BJ68" s="1477"/>
      <c r="BK68" s="1477"/>
      <c r="BL68" s="1477"/>
      <c r="BM68" s="1477"/>
      <c r="BN68" s="1477"/>
      <c r="BO68" s="1477"/>
      <c r="BP68" s="1477"/>
      <c r="BQ68" s="1477"/>
      <c r="BR68" s="1477"/>
      <c r="BS68" s="1477"/>
      <c r="BT68" s="1477"/>
      <c r="BU68" s="1477"/>
      <c r="BV68" s="1477"/>
      <c r="BW68" s="1477"/>
      <c r="BX68" s="1477"/>
      <c r="BY68" s="1477"/>
      <c r="BZ68" s="1477"/>
      <c r="CA68" s="1477"/>
      <c r="CB68" s="1477"/>
      <c r="CC68" s="1477"/>
      <c r="CD68" s="1477"/>
      <c r="CE68" s="1477"/>
      <c r="CF68" s="1477"/>
      <c r="CG68" s="1477"/>
      <c r="CH68" s="1477"/>
    </row>
    <row r="69" spans="2:86" hidden="1">
      <c r="B69" s="1714"/>
      <c r="C69" s="125" t="str" cm="1">
        <f t="array" ref="C69:D69">'14. Project Costs'!C71:D71</f>
        <v>Other Fees and Expenses</v>
      </c>
      <c r="D69" s="125">
        <v>0</v>
      </c>
      <c r="E69" s="184">
        <f>PC_CSP_Other_Fees_Total</f>
        <v>0</v>
      </c>
      <c r="F69" s="1573">
        <f t="shared" si="24"/>
        <v>0</v>
      </c>
      <c r="G69" s="1574"/>
      <c r="H69" s="1574"/>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714"/>
      <c r="AL69" s="1477"/>
      <c r="AM69" s="1477"/>
      <c r="AN69" s="1477"/>
      <c r="AO69" s="284"/>
      <c r="AP69" s="1477"/>
      <c r="AQ69" s="1477"/>
      <c r="AR69" s="1477"/>
      <c r="AS69" s="1477"/>
      <c r="AT69" s="1477"/>
      <c r="AU69" s="1477"/>
      <c r="AV69" s="1477"/>
      <c r="AW69" s="1477"/>
      <c r="AX69" s="1477"/>
      <c r="AY69" s="1477"/>
      <c r="AZ69" s="1477"/>
      <c r="BA69" s="1477"/>
      <c r="BB69" s="1477"/>
      <c r="BC69" s="1477"/>
      <c r="BD69" s="1477"/>
      <c r="BE69" s="1477"/>
      <c r="BF69" s="1477"/>
      <c r="BG69" s="1477"/>
      <c r="BH69" s="1477"/>
      <c r="BI69" s="1477"/>
      <c r="BJ69" s="1477"/>
      <c r="BK69" s="1477"/>
      <c r="BL69" s="1477"/>
      <c r="BM69" s="1477"/>
      <c r="BN69" s="1477"/>
      <c r="BO69" s="1477"/>
      <c r="BP69" s="1477"/>
      <c r="BQ69" s="1477"/>
      <c r="BR69" s="1477"/>
      <c r="BS69" s="1477"/>
      <c r="BT69" s="1477"/>
      <c r="BU69" s="1477"/>
      <c r="BV69" s="1477"/>
      <c r="BW69" s="1477"/>
      <c r="BX69" s="1477"/>
      <c r="BY69" s="1477"/>
      <c r="BZ69" s="1477"/>
      <c r="CA69" s="1477"/>
      <c r="CB69" s="1477"/>
      <c r="CC69" s="1477"/>
      <c r="CD69" s="1477"/>
      <c r="CE69" s="1477"/>
      <c r="CF69" s="1477"/>
      <c r="CG69" s="1477"/>
      <c r="CH69" s="1477"/>
    </row>
    <row r="70" spans="2:86">
      <c r="B70" s="1714"/>
      <c r="C70" s="131" t="s">
        <v>3133</v>
      </c>
      <c r="D70" s="131"/>
      <c r="E70" s="188">
        <f>SUM(E63:E69)</f>
        <v>0</v>
      </c>
      <c r="F70" s="189">
        <f>SUM(F63:F69)</f>
        <v>0</v>
      </c>
      <c r="G70" s="189">
        <f t="shared" ref="G70:AJ70" si="25">SUM(G63:G69)</f>
        <v>0</v>
      </c>
      <c r="H70" s="189">
        <f t="shared" si="25"/>
        <v>0</v>
      </c>
      <c r="I70" s="189">
        <f t="shared" si="25"/>
        <v>0</v>
      </c>
      <c r="J70" s="189">
        <f t="shared" si="25"/>
        <v>0</v>
      </c>
      <c r="K70" s="189">
        <f t="shared" si="25"/>
        <v>0</v>
      </c>
      <c r="L70" s="189">
        <f t="shared" si="25"/>
        <v>0</v>
      </c>
      <c r="M70" s="189">
        <f t="shared" si="25"/>
        <v>0</v>
      </c>
      <c r="N70" s="189">
        <f t="shared" si="25"/>
        <v>0</v>
      </c>
      <c r="O70" s="189">
        <f t="shared" si="25"/>
        <v>0</v>
      </c>
      <c r="P70" s="189">
        <f t="shared" si="25"/>
        <v>0</v>
      </c>
      <c r="Q70" s="189">
        <f t="shared" si="25"/>
        <v>0</v>
      </c>
      <c r="R70" s="189">
        <f t="shared" si="25"/>
        <v>0</v>
      </c>
      <c r="S70" s="189">
        <f t="shared" si="25"/>
        <v>0</v>
      </c>
      <c r="T70" s="189">
        <f t="shared" si="25"/>
        <v>0</v>
      </c>
      <c r="U70" s="189">
        <f t="shared" si="25"/>
        <v>0</v>
      </c>
      <c r="V70" s="189">
        <f t="shared" si="25"/>
        <v>0</v>
      </c>
      <c r="W70" s="189">
        <f t="shared" si="25"/>
        <v>0</v>
      </c>
      <c r="X70" s="189">
        <f t="shared" si="25"/>
        <v>0</v>
      </c>
      <c r="Y70" s="189">
        <f t="shared" si="25"/>
        <v>0</v>
      </c>
      <c r="Z70" s="189">
        <f t="shared" si="25"/>
        <v>0</v>
      </c>
      <c r="AA70" s="189">
        <f t="shared" si="25"/>
        <v>0</v>
      </c>
      <c r="AB70" s="189">
        <f t="shared" si="25"/>
        <v>0</v>
      </c>
      <c r="AC70" s="189">
        <f t="shared" si="25"/>
        <v>0</v>
      </c>
      <c r="AD70" s="189">
        <f t="shared" si="25"/>
        <v>0</v>
      </c>
      <c r="AE70" s="189">
        <f t="shared" si="25"/>
        <v>0</v>
      </c>
      <c r="AF70" s="189">
        <f t="shared" si="25"/>
        <v>0</v>
      </c>
      <c r="AG70" s="189">
        <f t="shared" si="25"/>
        <v>0</v>
      </c>
      <c r="AH70" s="189">
        <f t="shared" si="25"/>
        <v>0</v>
      </c>
      <c r="AI70" s="189">
        <f t="shared" si="25"/>
        <v>0</v>
      </c>
      <c r="AJ70" s="189">
        <f t="shared" si="25"/>
        <v>0</v>
      </c>
      <c r="AK70" s="1714"/>
      <c r="AL70" s="1477"/>
      <c r="AM70" s="1477"/>
      <c r="AN70" s="1477"/>
      <c r="AO70" s="284"/>
      <c r="AP70" s="1477"/>
      <c r="AQ70" s="1477"/>
      <c r="AR70" s="1477"/>
      <c r="AS70" s="1477"/>
      <c r="AT70" s="1477"/>
      <c r="AU70" s="1477"/>
      <c r="AV70" s="1477"/>
      <c r="AW70" s="1477"/>
      <c r="AX70" s="1477"/>
      <c r="AY70" s="1477"/>
      <c r="AZ70" s="1477"/>
      <c r="BA70" s="1477"/>
      <c r="BB70" s="1477"/>
      <c r="BC70" s="1477"/>
      <c r="BD70" s="1477"/>
      <c r="BE70" s="1477"/>
      <c r="BF70" s="1477"/>
      <c r="BG70" s="1477"/>
      <c r="BH70" s="1477"/>
      <c r="BI70" s="1477"/>
      <c r="BJ70" s="1477"/>
      <c r="BK70" s="1477"/>
      <c r="BL70" s="1477"/>
      <c r="BM70" s="1477"/>
      <c r="BN70" s="1477"/>
      <c r="BO70" s="1477"/>
      <c r="BP70" s="1477"/>
      <c r="BQ70" s="1477"/>
      <c r="BR70" s="1477"/>
      <c r="BS70" s="1477"/>
      <c r="BT70" s="1477"/>
      <c r="BU70" s="1477"/>
      <c r="BV70" s="1477"/>
      <c r="BW70" s="1477"/>
      <c r="BX70" s="1477"/>
      <c r="BY70" s="1477"/>
      <c r="BZ70" s="1477"/>
      <c r="CA70" s="1477"/>
      <c r="CB70" s="1477"/>
      <c r="CC70" s="1477"/>
      <c r="CD70" s="1477"/>
      <c r="CE70" s="1477"/>
      <c r="CF70" s="1477"/>
      <c r="CG70" s="1477"/>
      <c r="CH70" s="1477"/>
    </row>
    <row r="71" spans="2:86">
      <c r="B71" s="1714"/>
      <c r="C71" s="135" t="s">
        <v>3136</v>
      </c>
      <c r="D71" s="135"/>
      <c r="E71" s="190"/>
      <c r="F71" s="1574"/>
      <c r="G71" s="1574"/>
      <c r="H71" s="1574"/>
      <c r="I71" s="1574"/>
      <c r="J71" s="1574"/>
      <c r="K71" s="1574"/>
      <c r="L71" s="1574"/>
      <c r="M71" s="1574"/>
      <c r="N71" s="1574"/>
      <c r="O71" s="1574"/>
      <c r="P71" s="1574"/>
      <c r="Q71" s="1574"/>
      <c r="R71" s="1574"/>
      <c r="S71" s="1574"/>
      <c r="T71" s="1574"/>
      <c r="U71" s="1574"/>
      <c r="V71" s="1574"/>
      <c r="W71" s="1574"/>
      <c r="X71" s="1574"/>
      <c r="Y71" s="1574"/>
      <c r="Z71" s="1574"/>
      <c r="AA71" s="1574"/>
      <c r="AB71" s="1574"/>
      <c r="AC71" s="1574"/>
      <c r="AD71" s="1574"/>
      <c r="AE71" s="1574"/>
      <c r="AF71" s="1574"/>
      <c r="AG71" s="1574"/>
      <c r="AH71" s="1574"/>
      <c r="AI71" s="1574"/>
      <c r="AJ71" s="1574"/>
      <c r="AK71" s="1714"/>
      <c r="AL71" s="1477"/>
      <c r="AM71" s="1477"/>
      <c r="AN71" s="1477"/>
      <c r="AO71" s="284"/>
      <c r="AP71" s="1477"/>
      <c r="AQ71" s="1477"/>
      <c r="AR71" s="1477"/>
      <c r="AS71" s="1477"/>
      <c r="AT71" s="1477"/>
      <c r="AU71" s="1477"/>
      <c r="AV71" s="1477"/>
      <c r="AW71" s="1477"/>
      <c r="AX71" s="1477"/>
      <c r="AY71" s="1477"/>
      <c r="AZ71" s="1477"/>
      <c r="BA71" s="1477"/>
      <c r="BB71" s="1477"/>
      <c r="BC71" s="1477"/>
      <c r="BD71" s="1477"/>
      <c r="BE71" s="1477"/>
      <c r="BF71" s="1477"/>
      <c r="BG71" s="1477"/>
      <c r="BH71" s="1477"/>
      <c r="BI71" s="1477"/>
      <c r="BJ71" s="1477"/>
      <c r="BK71" s="1477"/>
      <c r="BL71" s="1477"/>
      <c r="BM71" s="1477"/>
      <c r="BN71" s="1477"/>
      <c r="BO71" s="1477"/>
      <c r="BP71" s="1477"/>
      <c r="BQ71" s="1477"/>
      <c r="BR71" s="1477"/>
      <c r="BS71" s="1477"/>
      <c r="BT71" s="1477"/>
      <c r="BU71" s="1477"/>
      <c r="BV71" s="1477"/>
      <c r="BW71" s="1477"/>
      <c r="BX71" s="1477"/>
      <c r="BY71" s="1477"/>
      <c r="BZ71" s="1477"/>
      <c r="CA71" s="1477"/>
      <c r="CB71" s="1477"/>
      <c r="CC71" s="1477"/>
      <c r="CD71" s="1477"/>
      <c r="CE71" s="1477"/>
      <c r="CF71" s="1477"/>
      <c r="CG71" s="1477"/>
      <c r="CH71" s="1477"/>
    </row>
    <row r="72" spans="2:86">
      <c r="B72" s="1714"/>
      <c r="C72" s="675" t="str" cm="1">
        <f t="array" ref="C72:D72">'14. Project Costs'!C74:D74</f>
        <v>Cost of Bond Issuance</v>
      </c>
      <c r="D72" s="676">
        <v>0</v>
      </c>
      <c r="E72" s="184">
        <f>PC_CSP_Bond_Issuance_Fee_Total</f>
        <v>0</v>
      </c>
      <c r="F72" s="1573">
        <f t="shared" ref="F72" si="26">+E72-SUM(G72:AJ72)</f>
        <v>0</v>
      </c>
      <c r="G72" s="1574">
        <f>+E72</f>
        <v>0</v>
      </c>
      <c r="H72" s="1574"/>
      <c r="I72" s="1574"/>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714"/>
      <c r="AL72" s="1477"/>
      <c r="AM72" s="1477"/>
      <c r="AN72" s="1477"/>
      <c r="AO72" s="284"/>
      <c r="AP72" s="1477"/>
      <c r="AQ72" s="1477"/>
      <c r="AR72" s="1477"/>
      <c r="AS72" s="1477"/>
      <c r="AT72" s="1477"/>
      <c r="AU72" s="1477"/>
      <c r="AV72" s="1477"/>
      <c r="AW72" s="1477"/>
      <c r="AX72" s="1477"/>
      <c r="AY72" s="1477"/>
      <c r="AZ72" s="1477"/>
      <c r="BA72" s="1477"/>
      <c r="BB72" s="1477"/>
      <c r="BC72" s="1477"/>
      <c r="BD72" s="1477"/>
      <c r="BE72" s="1477"/>
      <c r="BF72" s="1477"/>
      <c r="BG72" s="1477"/>
      <c r="BH72" s="1477"/>
      <c r="BI72" s="1477"/>
      <c r="BJ72" s="1477"/>
      <c r="BK72" s="1477"/>
      <c r="BL72" s="1477"/>
      <c r="BM72" s="1477"/>
      <c r="BN72" s="1477"/>
      <c r="BO72" s="1477"/>
      <c r="BP72" s="1477"/>
      <c r="BQ72" s="1477"/>
      <c r="BR72" s="1477"/>
      <c r="BS72" s="1477"/>
      <c r="BT72" s="1477"/>
      <c r="BU72" s="1477"/>
      <c r="BV72" s="1477"/>
      <c r="BW72" s="1477"/>
      <c r="BX72" s="1477"/>
      <c r="BY72" s="1477"/>
      <c r="BZ72" s="1477"/>
      <c r="CA72" s="1477"/>
      <c r="CB72" s="1477"/>
      <c r="CC72" s="1477"/>
      <c r="CD72" s="1477"/>
      <c r="CE72" s="1477"/>
      <c r="CF72" s="1477"/>
      <c r="CG72" s="1477"/>
      <c r="CH72" s="1477"/>
    </row>
    <row r="73" spans="2:86">
      <c r="B73" s="1714"/>
      <c r="C73" s="131" t="s">
        <v>3140</v>
      </c>
      <c r="D73" s="131"/>
      <c r="E73" s="188">
        <f>E72</f>
        <v>0</v>
      </c>
      <c r="F73" s="1578">
        <f>+F72</f>
        <v>0</v>
      </c>
      <c r="G73" s="1578">
        <f t="shared" ref="G73:AJ73" si="27">+G72</f>
        <v>0</v>
      </c>
      <c r="H73" s="1578">
        <f t="shared" si="27"/>
        <v>0</v>
      </c>
      <c r="I73" s="1578">
        <f t="shared" si="27"/>
        <v>0</v>
      </c>
      <c r="J73" s="1578">
        <f t="shared" si="27"/>
        <v>0</v>
      </c>
      <c r="K73" s="1578">
        <f t="shared" si="27"/>
        <v>0</v>
      </c>
      <c r="L73" s="1578">
        <f t="shared" si="27"/>
        <v>0</v>
      </c>
      <c r="M73" s="1578">
        <f t="shared" si="27"/>
        <v>0</v>
      </c>
      <c r="N73" s="1578">
        <f t="shared" si="27"/>
        <v>0</v>
      </c>
      <c r="O73" s="1578">
        <f t="shared" si="27"/>
        <v>0</v>
      </c>
      <c r="P73" s="1578">
        <f t="shared" si="27"/>
        <v>0</v>
      </c>
      <c r="Q73" s="1578">
        <f t="shared" si="27"/>
        <v>0</v>
      </c>
      <c r="R73" s="1578">
        <f t="shared" si="27"/>
        <v>0</v>
      </c>
      <c r="S73" s="1578">
        <f t="shared" si="27"/>
        <v>0</v>
      </c>
      <c r="T73" s="1578">
        <f t="shared" si="27"/>
        <v>0</v>
      </c>
      <c r="U73" s="1578">
        <f t="shared" si="27"/>
        <v>0</v>
      </c>
      <c r="V73" s="1578">
        <f t="shared" si="27"/>
        <v>0</v>
      </c>
      <c r="W73" s="1578">
        <f t="shared" si="27"/>
        <v>0</v>
      </c>
      <c r="X73" s="1578">
        <f t="shared" si="27"/>
        <v>0</v>
      </c>
      <c r="Y73" s="1578">
        <f t="shared" si="27"/>
        <v>0</v>
      </c>
      <c r="Z73" s="1578">
        <f t="shared" si="27"/>
        <v>0</v>
      </c>
      <c r="AA73" s="1578">
        <f t="shared" si="27"/>
        <v>0</v>
      </c>
      <c r="AB73" s="1578">
        <f t="shared" si="27"/>
        <v>0</v>
      </c>
      <c r="AC73" s="1578">
        <f t="shared" si="27"/>
        <v>0</v>
      </c>
      <c r="AD73" s="1578">
        <f t="shared" si="27"/>
        <v>0</v>
      </c>
      <c r="AE73" s="1578">
        <f t="shared" si="27"/>
        <v>0</v>
      </c>
      <c r="AF73" s="1578">
        <f t="shared" si="27"/>
        <v>0</v>
      </c>
      <c r="AG73" s="1578">
        <f t="shared" si="27"/>
        <v>0</v>
      </c>
      <c r="AH73" s="1578">
        <f t="shared" si="27"/>
        <v>0</v>
      </c>
      <c r="AI73" s="1578">
        <f t="shared" si="27"/>
        <v>0</v>
      </c>
      <c r="AJ73" s="1578">
        <f t="shared" si="27"/>
        <v>0</v>
      </c>
      <c r="AK73" s="1714"/>
      <c r="AL73" s="1477"/>
      <c r="AM73" s="1477"/>
      <c r="AN73" s="1477"/>
      <c r="AO73" s="284"/>
      <c r="AP73" s="1477"/>
      <c r="AQ73" s="1477"/>
      <c r="AR73" s="1477"/>
      <c r="AS73" s="1477"/>
      <c r="AT73" s="1477"/>
      <c r="AU73" s="1477"/>
      <c r="AV73" s="1477"/>
      <c r="AW73" s="1477"/>
      <c r="AX73" s="1477"/>
      <c r="AY73" s="1477"/>
      <c r="AZ73" s="1477"/>
      <c r="BA73" s="1477"/>
      <c r="BB73" s="1477"/>
      <c r="BC73" s="1477"/>
      <c r="BD73" s="1477"/>
      <c r="BE73" s="1477"/>
      <c r="BF73" s="1477"/>
      <c r="BG73" s="1477"/>
      <c r="BH73" s="1477"/>
      <c r="BI73" s="1477"/>
      <c r="BJ73" s="1477"/>
      <c r="BK73" s="1477"/>
      <c r="BL73" s="1477"/>
      <c r="BM73" s="1477"/>
      <c r="BN73" s="1477"/>
      <c r="BO73" s="1477"/>
      <c r="BP73" s="1477"/>
      <c r="BQ73" s="1477"/>
      <c r="BR73" s="1477"/>
      <c r="BS73" s="1477"/>
      <c r="BT73" s="1477"/>
      <c r="BU73" s="1477"/>
      <c r="BV73" s="1477"/>
      <c r="BW73" s="1477"/>
      <c r="BX73" s="1477"/>
      <c r="BY73" s="1477"/>
      <c r="BZ73" s="1477"/>
      <c r="CA73" s="1477"/>
      <c r="CB73" s="1477"/>
      <c r="CC73" s="1477"/>
      <c r="CD73" s="1477"/>
      <c r="CE73" s="1477"/>
      <c r="CF73" s="1477"/>
      <c r="CG73" s="1477"/>
      <c r="CH73" s="1477"/>
    </row>
    <row r="74" spans="2:86">
      <c r="B74" s="1714"/>
      <c r="C74" s="129" t="s">
        <v>3142</v>
      </c>
      <c r="D74" s="129"/>
      <c r="E74" s="190"/>
      <c r="F74" s="1577"/>
      <c r="G74" s="1577"/>
      <c r="H74" s="1577"/>
      <c r="I74" s="1577"/>
      <c r="J74" s="1577"/>
      <c r="K74" s="1577"/>
      <c r="L74" s="1577"/>
      <c r="M74" s="1577"/>
      <c r="N74" s="1577"/>
      <c r="O74" s="1577"/>
      <c r="P74" s="1577"/>
      <c r="Q74" s="1577"/>
      <c r="R74" s="1577"/>
      <c r="S74" s="1577"/>
      <c r="T74" s="1577"/>
      <c r="U74" s="1577"/>
      <c r="V74" s="1577"/>
      <c r="W74" s="1577"/>
      <c r="X74" s="1577"/>
      <c r="Y74" s="1577"/>
      <c r="Z74" s="1577"/>
      <c r="AA74" s="1577"/>
      <c r="AB74" s="1577"/>
      <c r="AC74" s="1577"/>
      <c r="AD74" s="1577"/>
      <c r="AE74" s="1577"/>
      <c r="AF74" s="1577"/>
      <c r="AG74" s="1577"/>
      <c r="AH74" s="1577"/>
      <c r="AI74" s="1577"/>
      <c r="AJ74" s="1577"/>
      <c r="AK74" s="1714"/>
      <c r="AL74" s="1477"/>
      <c r="AM74" s="1477"/>
      <c r="AN74" s="1477"/>
      <c r="AO74" s="284"/>
      <c r="AP74" s="1477"/>
      <c r="AQ74" s="1477"/>
      <c r="AR74" s="1477"/>
      <c r="AS74" s="1477"/>
      <c r="AT74" s="1477"/>
      <c r="AU74" s="1477"/>
      <c r="AV74" s="1477"/>
      <c r="AW74" s="1477"/>
      <c r="AX74" s="1477"/>
      <c r="AY74" s="1477"/>
      <c r="AZ74" s="1477"/>
      <c r="BA74" s="1477"/>
      <c r="BB74" s="1477"/>
      <c r="BC74" s="1477"/>
      <c r="BD74" s="1477"/>
      <c r="BE74" s="1477"/>
      <c r="BF74" s="1477"/>
      <c r="BG74" s="1477"/>
      <c r="BH74" s="1477"/>
      <c r="BI74" s="1477"/>
      <c r="BJ74" s="1477"/>
      <c r="BK74" s="1477"/>
      <c r="BL74" s="1477"/>
      <c r="BM74" s="1477"/>
      <c r="BN74" s="1477"/>
      <c r="BO74" s="1477"/>
      <c r="BP74" s="1477"/>
      <c r="BQ74" s="1477"/>
      <c r="BR74" s="1477"/>
      <c r="BS74" s="1477"/>
      <c r="BT74" s="1477"/>
      <c r="BU74" s="1477"/>
      <c r="BV74" s="1477"/>
      <c r="BW74" s="1477"/>
      <c r="BX74" s="1477"/>
      <c r="BY74" s="1477"/>
      <c r="BZ74" s="1477"/>
      <c r="CA74" s="1477"/>
      <c r="CB74" s="1477"/>
      <c r="CC74" s="1477"/>
      <c r="CD74" s="1477"/>
      <c r="CE74" s="1477"/>
      <c r="CF74" s="1477"/>
      <c r="CG74" s="1477"/>
      <c r="CH74" s="1477"/>
    </row>
    <row r="75" spans="2:86">
      <c r="B75" s="1714"/>
      <c r="C75" s="673" t="str" cm="1">
        <f t="array" ref="C75:D75">'14. Project Costs'!C77:D77</f>
        <v>Bridge Loan Fees and Expenses</v>
      </c>
      <c r="D75" s="674">
        <v>0</v>
      </c>
      <c r="E75" s="184">
        <f>PC_CSP_Predev_Bridge_Loan_Int_Total</f>
        <v>0</v>
      </c>
      <c r="F75" s="1573">
        <f t="shared" ref="F75:F82" si="28">+E75-SUM(G75:AJ75)</f>
        <v>0</v>
      </c>
      <c r="G75" s="1574">
        <f>+E75</f>
        <v>0</v>
      </c>
      <c r="H75" s="1574"/>
      <c r="I75" s="1574"/>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714"/>
      <c r="AL75" s="1477"/>
      <c r="AM75" s="1477"/>
      <c r="AN75" s="1477"/>
      <c r="AO75" s="284"/>
      <c r="AP75" s="1477"/>
      <c r="AQ75" s="1477"/>
      <c r="AR75" s="1477"/>
      <c r="AS75" s="1477"/>
      <c r="AT75" s="1477"/>
      <c r="AU75" s="1477"/>
      <c r="AV75" s="1477"/>
      <c r="AW75" s="1477"/>
      <c r="AX75" s="1477"/>
      <c r="AY75" s="1477"/>
      <c r="AZ75" s="1477"/>
      <c r="BA75" s="1477"/>
      <c r="BB75" s="1477"/>
      <c r="BC75" s="1477"/>
      <c r="BD75" s="1477"/>
      <c r="BE75" s="1477"/>
      <c r="BF75" s="1477"/>
      <c r="BG75" s="1477"/>
      <c r="BH75" s="1477"/>
      <c r="BI75" s="1477"/>
      <c r="BJ75" s="1477"/>
      <c r="BK75" s="1477"/>
      <c r="BL75" s="1477"/>
      <c r="BM75" s="1477"/>
      <c r="BN75" s="1477"/>
      <c r="BO75" s="1477"/>
      <c r="BP75" s="1477"/>
      <c r="BQ75" s="1477"/>
      <c r="BR75" s="1477"/>
      <c r="BS75" s="1477"/>
      <c r="BT75" s="1477"/>
      <c r="BU75" s="1477"/>
      <c r="BV75" s="1477"/>
      <c r="BW75" s="1477"/>
      <c r="BX75" s="1477"/>
      <c r="BY75" s="1477"/>
      <c r="BZ75" s="1477"/>
      <c r="CA75" s="1477"/>
      <c r="CB75" s="1477"/>
      <c r="CC75" s="1477"/>
      <c r="CD75" s="1477"/>
      <c r="CE75" s="1477"/>
      <c r="CF75" s="1477"/>
      <c r="CG75" s="1477"/>
      <c r="CH75" s="1477"/>
    </row>
    <row r="76" spans="2:86" hidden="1">
      <c r="B76" s="1714"/>
      <c r="C76" s="133" t="str" cm="1">
        <f t="array" ref="C76:D76">'14. Project Costs'!C78:D78</f>
        <v>Predev./ Bridge Financing Fees</v>
      </c>
      <c r="D76" s="133">
        <v>0</v>
      </c>
      <c r="E76" s="191">
        <f>PC_CSP_Predev_Bridge_Finan_Fees_Total</f>
        <v>0</v>
      </c>
      <c r="F76" s="192">
        <f t="shared" si="28"/>
        <v>0</v>
      </c>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714"/>
      <c r="AL76" s="1477"/>
      <c r="AM76" s="1477"/>
      <c r="AN76" s="1477"/>
      <c r="AO76" s="284"/>
      <c r="AP76" s="1477"/>
      <c r="AQ76" s="1477"/>
      <c r="AR76" s="1477"/>
      <c r="AS76" s="1477"/>
      <c r="AT76" s="1477"/>
      <c r="AU76" s="1477"/>
      <c r="AV76" s="1477"/>
      <c r="AW76" s="1477"/>
      <c r="AX76" s="1477"/>
      <c r="AY76" s="1477"/>
      <c r="AZ76" s="1477"/>
      <c r="BA76" s="1477"/>
      <c r="BB76" s="1477"/>
      <c r="BC76" s="1477"/>
      <c r="BD76" s="1477"/>
      <c r="BE76" s="1477"/>
      <c r="BF76" s="1477"/>
      <c r="BG76" s="1477"/>
      <c r="BH76" s="1477"/>
      <c r="BI76" s="1477"/>
      <c r="BJ76" s="1477"/>
      <c r="BK76" s="1477"/>
      <c r="BL76" s="1477"/>
      <c r="BM76" s="1477"/>
      <c r="BN76" s="1477"/>
      <c r="BO76" s="1477"/>
      <c r="BP76" s="1477"/>
      <c r="BQ76" s="1477"/>
      <c r="BR76" s="1477"/>
      <c r="BS76" s="1477"/>
      <c r="BT76" s="1477"/>
      <c r="BU76" s="1477"/>
      <c r="BV76" s="1477"/>
      <c r="BW76" s="1477"/>
      <c r="BX76" s="1477"/>
      <c r="BY76" s="1477"/>
      <c r="BZ76" s="1477"/>
      <c r="CA76" s="1477"/>
      <c r="CB76" s="1477"/>
      <c r="CC76" s="1477"/>
      <c r="CD76" s="1477"/>
      <c r="CE76" s="1477"/>
      <c r="CF76" s="1477"/>
      <c r="CG76" s="1477"/>
      <c r="CH76" s="1477"/>
    </row>
    <row r="77" spans="2:86" hidden="1">
      <c r="B77" s="1714"/>
      <c r="C77" s="124" t="str" cm="1">
        <f t="array" ref="C77:D77">'14. Project Costs'!C79:D79</f>
        <v>Predev / Bridge Origination Fees</v>
      </c>
      <c r="D77" s="124">
        <v>0</v>
      </c>
      <c r="E77" s="184">
        <f>PC_CSP_Predev_Bridge_Orig_Fees_Total</f>
        <v>0</v>
      </c>
      <c r="F77" s="1573">
        <f t="shared" si="28"/>
        <v>0</v>
      </c>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574"/>
      <c r="AH77" s="1574"/>
      <c r="AI77" s="1574"/>
      <c r="AJ77" s="1574"/>
      <c r="AK77" s="1714"/>
      <c r="AL77" s="1477"/>
      <c r="AM77" s="1477"/>
      <c r="AN77" s="1477"/>
      <c r="AO77" s="284"/>
      <c r="AP77" s="1477"/>
      <c r="AQ77" s="1477"/>
      <c r="AR77" s="1477"/>
      <c r="AS77" s="1477"/>
      <c r="AT77" s="1477"/>
      <c r="AU77" s="1477"/>
      <c r="AV77" s="1477"/>
      <c r="AW77" s="1477"/>
      <c r="AX77" s="1477"/>
      <c r="AY77" s="1477"/>
      <c r="AZ77" s="1477"/>
      <c r="BA77" s="1477"/>
      <c r="BB77" s="1477"/>
      <c r="BC77" s="1477"/>
      <c r="BD77" s="1477"/>
      <c r="BE77" s="1477"/>
      <c r="BF77" s="1477"/>
      <c r="BG77" s="1477"/>
      <c r="BH77" s="1477"/>
      <c r="BI77" s="1477"/>
      <c r="BJ77" s="1477"/>
      <c r="BK77" s="1477"/>
      <c r="BL77" s="1477"/>
      <c r="BM77" s="1477"/>
      <c r="BN77" s="1477"/>
      <c r="BO77" s="1477"/>
      <c r="BP77" s="1477"/>
      <c r="BQ77" s="1477"/>
      <c r="BR77" s="1477"/>
      <c r="BS77" s="1477"/>
      <c r="BT77" s="1477"/>
      <c r="BU77" s="1477"/>
      <c r="BV77" s="1477"/>
      <c r="BW77" s="1477"/>
      <c r="BX77" s="1477"/>
      <c r="BY77" s="1477"/>
      <c r="BZ77" s="1477"/>
      <c r="CA77" s="1477"/>
      <c r="CB77" s="1477"/>
      <c r="CC77" s="1477"/>
      <c r="CD77" s="1477"/>
      <c r="CE77" s="1477"/>
      <c r="CF77" s="1477"/>
      <c r="CG77" s="1477"/>
      <c r="CH77" s="1477"/>
    </row>
    <row r="78" spans="2:86">
      <c r="B78" s="1714"/>
      <c r="C78" s="673" t="str">
        <f>'14. Project Costs'!C80</f>
        <v>WHEDA Construction Loan Interest</v>
      </c>
      <c r="D78" s="136" t="s">
        <v>4916</v>
      </c>
      <c r="E78" s="1580">
        <f>PC_CSP_Constr_Period_Int_Total</f>
        <v>0</v>
      </c>
      <c r="F78" s="195">
        <f>+E78-SUM(G78:AJ78)</f>
        <v>0</v>
      </c>
      <c r="G78" s="544">
        <f>SUM(G188,G193)</f>
        <v>0</v>
      </c>
      <c r="H78" s="196">
        <f t="shared" ref="H78:AJ78" si="29">SUM(H188,H193)</f>
        <v>0</v>
      </c>
      <c r="I78" s="196">
        <f t="shared" si="29"/>
        <v>0</v>
      </c>
      <c r="J78" s="196">
        <f t="shared" si="29"/>
        <v>0</v>
      </c>
      <c r="K78" s="196">
        <f t="shared" si="29"/>
        <v>0</v>
      </c>
      <c r="L78" s="196">
        <f t="shared" si="29"/>
        <v>0</v>
      </c>
      <c r="M78" s="196">
        <f t="shared" si="29"/>
        <v>0</v>
      </c>
      <c r="N78" s="196">
        <f t="shared" si="29"/>
        <v>0</v>
      </c>
      <c r="O78" s="196">
        <f t="shared" si="29"/>
        <v>0</v>
      </c>
      <c r="P78" s="196">
        <f t="shared" si="29"/>
        <v>0</v>
      </c>
      <c r="Q78" s="196">
        <f t="shared" si="29"/>
        <v>0</v>
      </c>
      <c r="R78" s="196">
        <f t="shared" si="29"/>
        <v>0</v>
      </c>
      <c r="S78" s="196">
        <f t="shared" si="29"/>
        <v>0</v>
      </c>
      <c r="T78" s="196">
        <f t="shared" si="29"/>
        <v>0</v>
      </c>
      <c r="U78" s="196">
        <f t="shared" si="29"/>
        <v>0</v>
      </c>
      <c r="V78" s="196">
        <f t="shared" si="29"/>
        <v>0</v>
      </c>
      <c r="W78" s="196">
        <f t="shared" si="29"/>
        <v>0</v>
      </c>
      <c r="X78" s="196">
        <f t="shared" si="29"/>
        <v>0</v>
      </c>
      <c r="Y78" s="196">
        <f t="shared" si="29"/>
        <v>0</v>
      </c>
      <c r="Z78" s="196">
        <f t="shared" si="29"/>
        <v>0</v>
      </c>
      <c r="AA78" s="196">
        <f t="shared" si="29"/>
        <v>0</v>
      </c>
      <c r="AB78" s="196">
        <f t="shared" si="29"/>
        <v>0</v>
      </c>
      <c r="AC78" s="196">
        <f t="shared" si="29"/>
        <v>0</v>
      </c>
      <c r="AD78" s="196">
        <f t="shared" si="29"/>
        <v>0</v>
      </c>
      <c r="AE78" s="196">
        <f t="shared" si="29"/>
        <v>0</v>
      </c>
      <c r="AF78" s="196">
        <f t="shared" si="29"/>
        <v>0</v>
      </c>
      <c r="AG78" s="196">
        <f t="shared" si="29"/>
        <v>0</v>
      </c>
      <c r="AH78" s="196">
        <f t="shared" si="29"/>
        <v>0</v>
      </c>
      <c r="AI78" s="196">
        <f t="shared" si="29"/>
        <v>0</v>
      </c>
      <c r="AJ78" s="196">
        <f t="shared" si="29"/>
        <v>0</v>
      </c>
      <c r="AK78" s="1714"/>
      <c r="AL78" s="1477"/>
      <c r="AM78" s="1477"/>
      <c r="AN78" s="1477"/>
      <c r="AO78" s="284"/>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7"/>
      <c r="BU78" s="1477"/>
      <c r="BV78" s="1477"/>
      <c r="BW78" s="1477"/>
      <c r="BX78" s="1477"/>
      <c r="BY78" s="1477"/>
      <c r="BZ78" s="1477"/>
      <c r="CA78" s="1477"/>
      <c r="CB78" s="1477"/>
      <c r="CC78" s="1477"/>
      <c r="CD78" s="1477"/>
      <c r="CE78" s="1477"/>
      <c r="CF78" s="1477"/>
      <c r="CG78" s="1477"/>
      <c r="CH78" s="1477"/>
    </row>
    <row r="79" spans="2:86">
      <c r="B79" s="1714"/>
      <c r="C79" s="673" t="str" cm="1">
        <f t="array" ref="C79:D79">'14. Project Costs'!C81:D81</f>
        <v>Other Construction Loan Interest</v>
      </c>
      <c r="D79" s="674">
        <v>0</v>
      </c>
      <c r="E79" s="1580">
        <f>PC_CSP_LU_Period_Constr_Total</f>
        <v>0</v>
      </c>
      <c r="F79" s="1573">
        <f t="shared" si="28"/>
        <v>0</v>
      </c>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574"/>
      <c r="AH79" s="1574"/>
      <c r="AI79" s="1574"/>
      <c r="AJ79" s="1574"/>
      <c r="AK79" s="1714"/>
      <c r="AL79" s="1477"/>
      <c r="AM79" s="1477"/>
      <c r="AN79" s="1477"/>
      <c r="AO79" s="284"/>
      <c r="AP79" s="1477"/>
      <c r="AQ79" s="1477"/>
      <c r="AR79" s="1477"/>
      <c r="AS79" s="1477"/>
      <c r="AT79" s="1477"/>
      <c r="AU79" s="1477"/>
      <c r="AV79" s="1477"/>
      <c r="AW79" s="1477"/>
      <c r="AX79" s="1477"/>
      <c r="AY79" s="1477"/>
      <c r="AZ79" s="1477"/>
      <c r="BA79" s="1477"/>
      <c r="BB79" s="1477"/>
      <c r="BC79" s="1477"/>
      <c r="BD79" s="1477"/>
      <c r="BE79" s="1477"/>
      <c r="BF79" s="1477"/>
      <c r="BG79" s="1477"/>
      <c r="BH79" s="1477"/>
      <c r="BI79" s="1477"/>
      <c r="BJ79" s="1477"/>
      <c r="BK79" s="1477"/>
      <c r="BL79" s="1477"/>
      <c r="BM79" s="1477"/>
      <c r="BN79" s="1477"/>
      <c r="BO79" s="1477"/>
      <c r="BP79" s="1477"/>
      <c r="BQ79" s="1477"/>
      <c r="BR79" s="1477"/>
      <c r="BS79" s="1477"/>
      <c r="BT79" s="1477"/>
      <c r="BU79" s="1477"/>
      <c r="BV79" s="1477"/>
      <c r="BW79" s="1477"/>
      <c r="BX79" s="1477"/>
      <c r="BY79" s="1477"/>
      <c r="BZ79" s="1477"/>
      <c r="CA79" s="1477"/>
      <c r="CB79" s="1477"/>
      <c r="CC79" s="1477"/>
      <c r="CD79" s="1477"/>
      <c r="CE79" s="1477"/>
      <c r="CF79" s="1477"/>
      <c r="CG79" s="1477"/>
      <c r="CH79" s="1477"/>
    </row>
    <row r="80" spans="2:86" hidden="1">
      <c r="B80" s="1714"/>
      <c r="C80" s="673" t="str" cm="1">
        <f t="array" ref="C80:D80">'14. Project Costs'!C82:D82</f>
        <v>Construction Lender Legal Fees</v>
      </c>
      <c r="D80" s="674">
        <v>0</v>
      </c>
      <c r="E80" s="184">
        <f>PC_CSP_Constr_Lender_Fees_Total</f>
        <v>0</v>
      </c>
      <c r="F80" s="1573">
        <f t="shared" si="28"/>
        <v>0</v>
      </c>
      <c r="G80" s="1574"/>
      <c r="H80" s="1574"/>
      <c r="I80" s="1574"/>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714"/>
      <c r="AL80" s="1477"/>
      <c r="AM80" s="1477"/>
      <c r="AN80" s="1477"/>
      <c r="AO80" s="284"/>
      <c r="AP80" s="1477"/>
      <c r="AQ80" s="1477"/>
      <c r="AR80" s="1477"/>
      <c r="AS80" s="1477"/>
      <c r="AT80" s="1477"/>
      <c r="AU80" s="1477"/>
      <c r="AV80" s="1477"/>
      <c r="AW80" s="1477"/>
      <c r="AX80" s="1477"/>
      <c r="AY80" s="1477"/>
      <c r="AZ80" s="1477"/>
      <c r="BA80" s="1477"/>
      <c r="BB80" s="1477"/>
      <c r="BC80" s="1477"/>
      <c r="BD80" s="1477"/>
      <c r="BE80" s="1477"/>
      <c r="BF80" s="1477"/>
      <c r="BG80" s="1477"/>
      <c r="BH80" s="1477"/>
      <c r="BI80" s="1477"/>
      <c r="BJ80" s="1477"/>
      <c r="BK80" s="1477"/>
      <c r="BL80" s="1477"/>
      <c r="BM80" s="1477"/>
      <c r="BN80" s="1477"/>
      <c r="BO80" s="1477"/>
      <c r="BP80" s="1477"/>
      <c r="BQ80" s="1477"/>
      <c r="BR80" s="1477"/>
      <c r="BS80" s="1477"/>
      <c r="BT80" s="1477"/>
      <c r="BU80" s="1477"/>
      <c r="BV80" s="1477"/>
      <c r="BW80" s="1477"/>
      <c r="BX80" s="1477"/>
      <c r="BY80" s="1477"/>
      <c r="BZ80" s="1477"/>
      <c r="CA80" s="1477"/>
      <c r="CB80" s="1477"/>
      <c r="CC80" s="1477"/>
      <c r="CD80" s="1477"/>
      <c r="CE80" s="1477"/>
      <c r="CF80" s="1477"/>
      <c r="CG80" s="1477"/>
      <c r="CH80" s="1477"/>
    </row>
    <row r="81" spans="2:86" hidden="1">
      <c r="B81" s="1714"/>
      <c r="C81" s="673" t="str" cm="1">
        <f t="array" ref="C81:D81">'14. Project Costs'!C83:D83</f>
        <v>Lender Inspection Fees</v>
      </c>
      <c r="D81" s="674">
        <v>0</v>
      </c>
      <c r="E81" s="184">
        <f>PC_CSP_Lender_Insp_Fees_Total</f>
        <v>0</v>
      </c>
      <c r="F81" s="1573">
        <f t="shared" si="28"/>
        <v>0</v>
      </c>
      <c r="G81" s="1574"/>
      <c r="H81" s="1574"/>
      <c r="I81" s="1574"/>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714"/>
      <c r="AL81" s="1477"/>
      <c r="AM81" s="1477"/>
      <c r="AN81" s="1477"/>
      <c r="AO81" s="284"/>
      <c r="AP81" s="1477"/>
      <c r="AQ81" s="1477"/>
      <c r="AR81" s="1477"/>
      <c r="AS81" s="1477"/>
      <c r="AT81" s="1477"/>
      <c r="AU81" s="1477"/>
      <c r="AV81" s="1477"/>
      <c r="AW81" s="1477"/>
      <c r="AX81" s="1477"/>
      <c r="AY81" s="1477"/>
      <c r="AZ81" s="1477"/>
      <c r="BA81" s="1477"/>
      <c r="BB81" s="1477"/>
      <c r="BC81" s="1477"/>
      <c r="BD81" s="1477"/>
      <c r="BE81" s="1477"/>
      <c r="BF81" s="1477"/>
      <c r="BG81" s="1477"/>
      <c r="BH81" s="1477"/>
      <c r="BI81" s="1477"/>
      <c r="BJ81" s="1477"/>
      <c r="BK81" s="1477"/>
      <c r="BL81" s="1477"/>
      <c r="BM81" s="1477"/>
      <c r="BN81" s="1477"/>
      <c r="BO81" s="1477"/>
      <c r="BP81" s="1477"/>
      <c r="BQ81" s="1477"/>
      <c r="BR81" s="1477"/>
      <c r="BS81" s="1477"/>
      <c r="BT81" s="1477"/>
      <c r="BU81" s="1477"/>
      <c r="BV81" s="1477"/>
      <c r="BW81" s="1477"/>
      <c r="BX81" s="1477"/>
      <c r="BY81" s="1477"/>
      <c r="BZ81" s="1477"/>
      <c r="CA81" s="1477"/>
      <c r="CB81" s="1477"/>
      <c r="CC81" s="1477"/>
      <c r="CD81" s="1477"/>
      <c r="CE81" s="1477"/>
      <c r="CF81" s="1477"/>
      <c r="CG81" s="1477"/>
      <c r="CH81" s="1477"/>
    </row>
    <row r="82" spans="2:86">
      <c r="B82" s="1714"/>
      <c r="C82" s="675" t="str" cm="1">
        <f t="array" ref="C82:D82">'14. Project Costs'!C84:D84</f>
        <v>Legal Fees - Miscellaneous</v>
      </c>
      <c r="D82" s="676">
        <v>0</v>
      </c>
      <c r="E82" s="184">
        <f>PC_CSP_Other_Lender_Fees_Total</f>
        <v>0</v>
      </c>
      <c r="F82" s="1573">
        <f t="shared" si="28"/>
        <v>0</v>
      </c>
      <c r="G82" s="1574">
        <f>+E82</f>
        <v>0</v>
      </c>
      <c r="H82" s="1574"/>
      <c r="I82" s="1574"/>
      <c r="J82" s="1574"/>
      <c r="K82" s="1574"/>
      <c r="L82" s="1574"/>
      <c r="M82" s="1574"/>
      <c r="N82" s="1574"/>
      <c r="O82" s="1574"/>
      <c r="P82" s="1574"/>
      <c r="Q82" s="1574"/>
      <c r="R82" s="1574"/>
      <c r="S82" s="1574"/>
      <c r="T82" s="1574"/>
      <c r="U82" s="1574"/>
      <c r="V82" s="1574"/>
      <c r="W82" s="1574"/>
      <c r="X82" s="1574"/>
      <c r="Y82" s="1574"/>
      <c r="Z82" s="1574"/>
      <c r="AA82" s="1574"/>
      <c r="AB82" s="1574"/>
      <c r="AC82" s="1574"/>
      <c r="AD82" s="1574"/>
      <c r="AE82" s="1574"/>
      <c r="AF82" s="1574"/>
      <c r="AG82" s="1574"/>
      <c r="AH82" s="1574"/>
      <c r="AI82" s="1574"/>
      <c r="AJ82" s="1574"/>
      <c r="AK82" s="1714"/>
      <c r="AL82" s="1477"/>
      <c r="AM82" s="1477"/>
      <c r="AN82" s="1477"/>
      <c r="AO82" s="284"/>
      <c r="AP82" s="1477"/>
      <c r="AQ82" s="1477"/>
      <c r="AR82" s="1477"/>
      <c r="AS82" s="1477"/>
      <c r="AT82" s="1477"/>
      <c r="AU82" s="1477"/>
      <c r="AV82" s="1477"/>
      <c r="AW82" s="1477"/>
      <c r="AX82" s="1477"/>
      <c r="AY82" s="1477"/>
      <c r="AZ82" s="1477"/>
      <c r="BA82" s="1477"/>
      <c r="BB82" s="1477"/>
      <c r="BC82" s="1477"/>
      <c r="BD82" s="1477"/>
      <c r="BE82" s="1477"/>
      <c r="BF82" s="1477"/>
      <c r="BG82" s="1477"/>
      <c r="BH82" s="1477"/>
      <c r="BI82" s="1477"/>
      <c r="BJ82" s="1477"/>
      <c r="BK82" s="1477"/>
      <c r="BL82" s="1477"/>
      <c r="BM82" s="1477"/>
      <c r="BN82" s="1477"/>
      <c r="BO82" s="1477"/>
      <c r="BP82" s="1477"/>
      <c r="BQ82" s="1477"/>
      <c r="BR82" s="1477"/>
      <c r="BS82" s="1477"/>
      <c r="BT82" s="1477"/>
      <c r="BU82" s="1477"/>
      <c r="BV82" s="1477"/>
      <c r="BW82" s="1477"/>
      <c r="BX82" s="1477"/>
      <c r="BY82" s="1477"/>
      <c r="BZ82" s="1477"/>
      <c r="CA82" s="1477"/>
      <c r="CB82" s="1477"/>
      <c r="CC82" s="1477"/>
      <c r="CD82" s="1477"/>
      <c r="CE82" s="1477"/>
      <c r="CF82" s="1477"/>
      <c r="CG82" s="1477"/>
      <c r="CH82" s="1477"/>
    </row>
    <row r="83" spans="2:86">
      <c r="B83" s="1714"/>
      <c r="C83" s="131" t="s">
        <v>3164</v>
      </c>
      <c r="D83" s="131"/>
      <c r="E83" s="188">
        <f>SUM(E75:E82)</f>
        <v>0</v>
      </c>
      <c r="F83" s="1578">
        <f>SUM(F75:F82)</f>
        <v>0</v>
      </c>
      <c r="G83" s="1578">
        <f t="shared" ref="G83:AJ83" si="30">SUM(G74:G82)</f>
        <v>0</v>
      </c>
      <c r="H83" s="1578">
        <f t="shared" si="30"/>
        <v>0</v>
      </c>
      <c r="I83" s="1578">
        <f t="shared" si="30"/>
        <v>0</v>
      </c>
      <c r="J83" s="1578">
        <f t="shared" si="30"/>
        <v>0</v>
      </c>
      <c r="K83" s="1578">
        <f t="shared" si="30"/>
        <v>0</v>
      </c>
      <c r="L83" s="1578">
        <f t="shared" si="30"/>
        <v>0</v>
      </c>
      <c r="M83" s="1578">
        <f t="shared" si="30"/>
        <v>0</v>
      </c>
      <c r="N83" s="1578">
        <f t="shared" si="30"/>
        <v>0</v>
      </c>
      <c r="O83" s="1578">
        <f t="shared" si="30"/>
        <v>0</v>
      </c>
      <c r="P83" s="1578">
        <f t="shared" si="30"/>
        <v>0</v>
      </c>
      <c r="Q83" s="1578">
        <f t="shared" si="30"/>
        <v>0</v>
      </c>
      <c r="R83" s="1578">
        <f t="shared" si="30"/>
        <v>0</v>
      </c>
      <c r="S83" s="1578">
        <f t="shared" si="30"/>
        <v>0</v>
      </c>
      <c r="T83" s="1578">
        <f t="shared" si="30"/>
        <v>0</v>
      </c>
      <c r="U83" s="1578">
        <f t="shared" si="30"/>
        <v>0</v>
      </c>
      <c r="V83" s="1578">
        <f t="shared" si="30"/>
        <v>0</v>
      </c>
      <c r="W83" s="1578">
        <f t="shared" si="30"/>
        <v>0</v>
      </c>
      <c r="X83" s="1578">
        <f t="shared" si="30"/>
        <v>0</v>
      </c>
      <c r="Y83" s="1578">
        <f t="shared" si="30"/>
        <v>0</v>
      </c>
      <c r="Z83" s="1578">
        <f t="shared" si="30"/>
        <v>0</v>
      </c>
      <c r="AA83" s="1578">
        <f t="shared" si="30"/>
        <v>0</v>
      </c>
      <c r="AB83" s="1578">
        <f t="shared" si="30"/>
        <v>0</v>
      </c>
      <c r="AC83" s="1578">
        <f t="shared" si="30"/>
        <v>0</v>
      </c>
      <c r="AD83" s="1578">
        <f t="shared" si="30"/>
        <v>0</v>
      </c>
      <c r="AE83" s="1578">
        <f t="shared" si="30"/>
        <v>0</v>
      </c>
      <c r="AF83" s="1578">
        <f t="shared" si="30"/>
        <v>0</v>
      </c>
      <c r="AG83" s="1578">
        <f t="shared" si="30"/>
        <v>0</v>
      </c>
      <c r="AH83" s="1578">
        <f t="shared" si="30"/>
        <v>0</v>
      </c>
      <c r="AI83" s="1578">
        <f t="shared" si="30"/>
        <v>0</v>
      </c>
      <c r="AJ83" s="1578">
        <f t="shared" si="30"/>
        <v>0</v>
      </c>
      <c r="AK83" s="1714"/>
      <c r="AL83" s="1477"/>
      <c r="AM83" s="1477"/>
      <c r="AN83" s="1477"/>
      <c r="AO83" s="284"/>
      <c r="AP83" s="1477"/>
      <c r="AQ83" s="1477"/>
      <c r="AR83" s="1477"/>
      <c r="AS83" s="1477"/>
      <c r="AT83" s="1477"/>
      <c r="AU83" s="1477"/>
      <c r="AV83" s="1477"/>
      <c r="AW83" s="1477"/>
      <c r="AX83" s="1477"/>
      <c r="AY83" s="1477"/>
      <c r="AZ83" s="1477"/>
      <c r="BA83" s="1477"/>
      <c r="BB83" s="1477"/>
      <c r="BC83" s="1477"/>
      <c r="BD83" s="1477"/>
      <c r="BE83" s="1477"/>
      <c r="BF83" s="1477"/>
      <c r="BG83" s="1477"/>
      <c r="BH83" s="1477"/>
      <c r="BI83" s="1477"/>
      <c r="BJ83" s="1477"/>
      <c r="BK83" s="1477"/>
      <c r="BL83" s="1477"/>
      <c r="BM83" s="1477"/>
      <c r="BN83" s="1477"/>
      <c r="BO83" s="1477"/>
      <c r="BP83" s="1477"/>
      <c r="BQ83" s="1477"/>
      <c r="BR83" s="1477"/>
      <c r="BS83" s="1477"/>
      <c r="BT83" s="1477"/>
      <c r="BU83" s="1477"/>
      <c r="BV83" s="1477"/>
      <c r="BW83" s="1477"/>
      <c r="BX83" s="1477"/>
      <c r="BY83" s="1477"/>
      <c r="BZ83" s="1477"/>
      <c r="CA83" s="1477"/>
      <c r="CB83" s="1477"/>
      <c r="CC83" s="1477"/>
      <c r="CD83" s="1477"/>
      <c r="CE83" s="1477"/>
      <c r="CF83" s="1477"/>
      <c r="CG83" s="1477"/>
      <c r="CH83" s="1477"/>
    </row>
    <row r="84" spans="2:86">
      <c r="B84" s="1714"/>
      <c r="C84" s="129" t="s">
        <v>3165</v>
      </c>
      <c r="D84" s="129"/>
      <c r="E84" s="197"/>
      <c r="F84" s="1577"/>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577"/>
      <c r="AH84" s="1577"/>
      <c r="AI84" s="1577"/>
      <c r="AJ84" s="1577"/>
      <c r="AK84" s="1714"/>
      <c r="AL84" s="1477"/>
      <c r="AM84" s="1477"/>
      <c r="AN84" s="1477"/>
      <c r="AO84" s="284"/>
      <c r="AP84" s="1477"/>
      <c r="AQ84" s="1477"/>
      <c r="AR84" s="1477"/>
      <c r="AS84" s="1477"/>
      <c r="AT84" s="1477"/>
      <c r="AU84" s="1477"/>
      <c r="AV84" s="1477"/>
      <c r="AW84" s="1477"/>
      <c r="AX84" s="1477"/>
      <c r="AY84" s="1477"/>
      <c r="AZ84" s="1477"/>
      <c r="BA84" s="1477"/>
      <c r="BB84" s="1477"/>
      <c r="BC84" s="1477"/>
      <c r="BD84" s="1477"/>
      <c r="BE84" s="1477"/>
      <c r="BF84" s="1477"/>
      <c r="BG84" s="1477"/>
      <c r="BH84" s="1477"/>
      <c r="BI84" s="1477"/>
      <c r="BJ84" s="1477"/>
      <c r="BK84" s="1477"/>
      <c r="BL84" s="1477"/>
      <c r="BM84" s="1477"/>
      <c r="BN84" s="1477"/>
      <c r="BO84" s="1477"/>
      <c r="BP84" s="1477"/>
      <c r="BQ84" s="1477"/>
      <c r="BR84" s="1477"/>
      <c r="BS84" s="1477"/>
      <c r="BT84" s="1477"/>
      <c r="BU84" s="1477"/>
      <c r="BV84" s="1477"/>
      <c r="BW84" s="1477"/>
      <c r="BX84" s="1477"/>
      <c r="BY84" s="1477"/>
      <c r="BZ84" s="1477"/>
      <c r="CA84" s="1477"/>
      <c r="CB84" s="1477"/>
      <c r="CC84" s="1477"/>
      <c r="CD84" s="1477"/>
      <c r="CE84" s="1477"/>
      <c r="CF84" s="1477"/>
      <c r="CG84" s="1477"/>
      <c r="CH84" s="1477"/>
    </row>
    <row r="85" spans="2:86">
      <c r="B85" s="1714"/>
      <c r="C85" s="673" t="str" cm="1">
        <f t="array" ref="C85:D85">'14. Project Costs'!C87:D87</f>
        <v>Construction Loan Credit Enhancement/LOC</v>
      </c>
      <c r="D85" s="674">
        <v>0</v>
      </c>
      <c r="E85" s="184">
        <f>PC_CSP_Credit_Enhance_Fee_Total</f>
        <v>0</v>
      </c>
      <c r="F85" s="1573">
        <f t="shared" ref="F85:F94" si="31">+E85-SUM(G85:AJ85)</f>
        <v>0</v>
      </c>
      <c r="G85" s="1574">
        <f>+E85</f>
        <v>0</v>
      </c>
      <c r="H85" s="1574"/>
      <c r="I85" s="1574"/>
      <c r="J85" s="1574"/>
      <c r="K85" s="1574"/>
      <c r="L85" s="1574"/>
      <c r="M85" s="1574"/>
      <c r="N85" s="1574"/>
      <c r="O85" s="1574"/>
      <c r="P85" s="1574"/>
      <c r="Q85" s="1574"/>
      <c r="R85" s="1574"/>
      <c r="S85" s="1574"/>
      <c r="T85" s="1574"/>
      <c r="U85" s="1574"/>
      <c r="V85" s="1574"/>
      <c r="W85" s="1574"/>
      <c r="X85" s="1574"/>
      <c r="Y85" s="1574"/>
      <c r="Z85" s="1574"/>
      <c r="AA85" s="1574"/>
      <c r="AB85" s="1574"/>
      <c r="AC85" s="1574"/>
      <c r="AD85" s="1574"/>
      <c r="AE85" s="1574"/>
      <c r="AF85" s="1574"/>
      <c r="AG85" s="1574"/>
      <c r="AH85" s="1574"/>
      <c r="AI85" s="1574"/>
      <c r="AJ85" s="1574"/>
      <c r="AK85" s="1714"/>
      <c r="AL85" s="1477"/>
      <c r="AM85" s="1477"/>
      <c r="AN85" s="1477"/>
      <c r="AO85" s="284"/>
      <c r="AP85" s="1477"/>
      <c r="AQ85" s="1477"/>
      <c r="AR85" s="1477"/>
      <c r="AS85" s="1477"/>
      <c r="AT85" s="1477"/>
      <c r="AU85" s="1477"/>
      <c r="AV85" s="1477"/>
      <c r="AW85" s="1477"/>
      <c r="AX85" s="1477"/>
      <c r="AY85" s="1477"/>
      <c r="AZ85" s="1477"/>
      <c r="BA85" s="1477"/>
      <c r="BB85" s="1477"/>
      <c r="BC85" s="1477"/>
      <c r="BD85" s="1477"/>
      <c r="BE85" s="1477"/>
      <c r="BF85" s="1477"/>
      <c r="BG85" s="1477"/>
      <c r="BH85" s="1477"/>
      <c r="BI85" s="1477"/>
      <c r="BJ85" s="1477"/>
      <c r="BK85" s="1477"/>
      <c r="BL85" s="1477"/>
      <c r="BM85" s="1477"/>
      <c r="BN85" s="1477"/>
      <c r="BO85" s="1477"/>
      <c r="BP85" s="1477"/>
      <c r="BQ85" s="1477"/>
      <c r="BR85" s="1477"/>
      <c r="BS85" s="1477"/>
      <c r="BT85" s="1477"/>
      <c r="BU85" s="1477"/>
      <c r="BV85" s="1477"/>
      <c r="BW85" s="1477"/>
      <c r="BX85" s="1477"/>
      <c r="BY85" s="1477"/>
      <c r="BZ85" s="1477"/>
      <c r="CA85" s="1477"/>
      <c r="CB85" s="1477"/>
      <c r="CC85" s="1477"/>
      <c r="CD85" s="1477"/>
      <c r="CE85" s="1477"/>
      <c r="CF85" s="1477"/>
      <c r="CG85" s="1477"/>
      <c r="CH85" s="1477"/>
    </row>
    <row r="86" spans="2:86">
      <c r="B86" s="1714"/>
      <c r="C86" s="673" t="str" cm="1">
        <f t="array" ref="C86:D86">'14. Project Costs'!C88:D88</f>
        <v>Construction Period Real Estate Taxes</v>
      </c>
      <c r="D86" s="674">
        <v>0</v>
      </c>
      <c r="E86" s="184">
        <f>PC_CSP_Taxes_During_Constr_Total</f>
        <v>0</v>
      </c>
      <c r="F86" s="1573">
        <f t="shared" si="31"/>
        <v>0</v>
      </c>
      <c r="G86" s="1574"/>
      <c r="H86" s="1574"/>
      <c r="I86" s="1574"/>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714"/>
      <c r="AL86" s="1477"/>
      <c r="AM86" s="1477"/>
      <c r="AN86" s="1477"/>
      <c r="AO86" s="284"/>
      <c r="AP86" s="1477"/>
      <c r="AQ86" s="1477"/>
      <c r="AR86" s="1477"/>
      <c r="AS86" s="1477"/>
      <c r="AT86" s="1477"/>
      <c r="AU86" s="1477"/>
      <c r="AV86" s="1477"/>
      <c r="AW86" s="1477"/>
      <c r="AX86" s="1477"/>
      <c r="AY86" s="1477"/>
      <c r="AZ86" s="1477"/>
      <c r="BA86" s="1477"/>
      <c r="BB86" s="1477"/>
      <c r="BC86" s="1477"/>
      <c r="BD86" s="1477"/>
      <c r="BE86" s="1477"/>
      <c r="BF86" s="1477"/>
      <c r="BG86" s="1477"/>
      <c r="BH86" s="1477"/>
      <c r="BI86" s="1477"/>
      <c r="BJ86" s="1477"/>
      <c r="BK86" s="1477"/>
      <c r="BL86" s="1477"/>
      <c r="BM86" s="1477"/>
      <c r="BN86" s="1477"/>
      <c r="BO86" s="1477"/>
      <c r="BP86" s="1477"/>
      <c r="BQ86" s="1477"/>
      <c r="BR86" s="1477"/>
      <c r="BS86" s="1477"/>
      <c r="BT86" s="1477"/>
      <c r="BU86" s="1477"/>
      <c r="BV86" s="1477"/>
      <c r="BW86" s="1477"/>
      <c r="BX86" s="1477"/>
      <c r="BY86" s="1477"/>
      <c r="BZ86" s="1477"/>
      <c r="CA86" s="1477"/>
      <c r="CB86" s="1477"/>
      <c r="CC86" s="1477"/>
      <c r="CD86" s="1477"/>
      <c r="CE86" s="1477"/>
      <c r="CF86" s="1477"/>
      <c r="CG86" s="1477"/>
      <c r="CH86" s="1477"/>
    </row>
    <row r="87" spans="2:86">
      <c r="B87" s="1714"/>
      <c r="C87" s="673" t="str" cm="1">
        <f t="array" ref="C87:D87">'14. Project Costs'!C89:D89</f>
        <v>Title and Recording</v>
      </c>
      <c r="D87" s="674">
        <v>0</v>
      </c>
      <c r="E87" s="184">
        <f>PC_CSP_Title_Recording_Total</f>
        <v>0</v>
      </c>
      <c r="F87" s="1573">
        <f t="shared" si="31"/>
        <v>0</v>
      </c>
      <c r="G87" s="1574"/>
      <c r="H87" s="1574"/>
      <c r="I87" s="1574"/>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714"/>
      <c r="AL87" s="1477"/>
      <c r="AM87" s="1477"/>
      <c r="AN87" s="1477"/>
      <c r="AO87" s="284"/>
      <c r="AP87" s="1477"/>
      <c r="AQ87" s="1477"/>
      <c r="AR87" s="1477"/>
      <c r="AS87" s="1477"/>
      <c r="AT87" s="1477"/>
      <c r="AU87" s="1477"/>
      <c r="AV87" s="1477"/>
      <c r="AW87" s="1477"/>
      <c r="AX87" s="1477"/>
      <c r="AY87" s="1477"/>
      <c r="AZ87" s="1477"/>
      <c r="BA87" s="1477"/>
      <c r="BB87" s="1477"/>
      <c r="BC87" s="1477"/>
      <c r="BD87" s="1477"/>
      <c r="BE87" s="1477"/>
      <c r="BF87" s="1477"/>
      <c r="BG87" s="1477"/>
      <c r="BH87" s="1477"/>
      <c r="BI87" s="1477"/>
      <c r="BJ87" s="1477"/>
      <c r="BK87" s="1477"/>
      <c r="BL87" s="1477"/>
      <c r="BM87" s="1477"/>
      <c r="BN87" s="1477"/>
      <c r="BO87" s="1477"/>
      <c r="BP87" s="1477"/>
      <c r="BQ87" s="1477"/>
      <c r="BR87" s="1477"/>
      <c r="BS87" s="1477"/>
      <c r="BT87" s="1477"/>
      <c r="BU87" s="1477"/>
      <c r="BV87" s="1477"/>
      <c r="BW87" s="1477"/>
      <c r="BX87" s="1477"/>
      <c r="BY87" s="1477"/>
      <c r="BZ87" s="1477"/>
      <c r="CA87" s="1477"/>
      <c r="CB87" s="1477"/>
      <c r="CC87" s="1477"/>
      <c r="CD87" s="1477"/>
      <c r="CE87" s="1477"/>
      <c r="CF87" s="1477"/>
      <c r="CG87" s="1477"/>
      <c r="CH87" s="1477"/>
    </row>
    <row r="88" spans="2:86" hidden="1">
      <c r="B88" s="1714"/>
      <c r="C88" s="673" t="str" cm="1">
        <f t="array" ref="C88:D88">'14. Project Costs'!C90:D90</f>
        <v>Green Building Cert/ Inspections</v>
      </c>
      <c r="D88" s="674">
        <v>0</v>
      </c>
      <c r="E88" s="184">
        <f>PC_CSP_Green_Building_Total</f>
        <v>0</v>
      </c>
      <c r="F88" s="1573">
        <f t="shared" si="31"/>
        <v>0</v>
      </c>
      <c r="G88" s="1574"/>
      <c r="H88" s="1574"/>
      <c r="I88" s="1574"/>
      <c r="J88" s="1574"/>
      <c r="K88" s="1574"/>
      <c r="L88" s="1574"/>
      <c r="M88" s="1574"/>
      <c r="N88" s="1574"/>
      <c r="O88" s="1574"/>
      <c r="P88" s="1574"/>
      <c r="Q88" s="1574"/>
      <c r="R88" s="1574"/>
      <c r="S88" s="1574"/>
      <c r="T88" s="1574"/>
      <c r="U88" s="1574"/>
      <c r="V88" s="1574"/>
      <c r="W88" s="1574"/>
      <c r="X88" s="1574"/>
      <c r="Y88" s="1574"/>
      <c r="Z88" s="1574"/>
      <c r="AA88" s="1574"/>
      <c r="AB88" s="1574"/>
      <c r="AC88" s="1574"/>
      <c r="AD88" s="1574"/>
      <c r="AE88" s="1574"/>
      <c r="AF88" s="1574"/>
      <c r="AG88" s="1574"/>
      <c r="AH88" s="1574"/>
      <c r="AI88" s="1574"/>
      <c r="AJ88" s="1574"/>
      <c r="AK88" s="1714"/>
      <c r="AL88" s="1477"/>
      <c r="AM88" s="1477"/>
      <c r="AN88" s="1477"/>
      <c r="AO88" s="284"/>
      <c r="AP88" s="1477"/>
      <c r="AQ88" s="1477"/>
      <c r="AR88" s="1477"/>
      <c r="AS88" s="1477"/>
      <c r="AT88" s="1477"/>
      <c r="AU88" s="1477"/>
      <c r="AV88" s="1477"/>
      <c r="AW88" s="1477"/>
      <c r="AX88" s="1477"/>
      <c r="AY88" s="1477"/>
      <c r="AZ88" s="1477"/>
      <c r="BA88" s="1477"/>
      <c r="BB88" s="1477"/>
      <c r="BC88" s="1477"/>
      <c r="BD88" s="1477"/>
      <c r="BE88" s="1477"/>
      <c r="BF88" s="1477"/>
      <c r="BG88" s="1477"/>
      <c r="BH88" s="1477"/>
      <c r="BI88" s="1477"/>
      <c r="BJ88" s="1477"/>
      <c r="BK88" s="1477"/>
      <c r="BL88" s="1477"/>
      <c r="BM88" s="1477"/>
      <c r="BN88" s="1477"/>
      <c r="BO88" s="1477"/>
      <c r="BP88" s="1477"/>
      <c r="BQ88" s="1477"/>
      <c r="BR88" s="1477"/>
      <c r="BS88" s="1477"/>
      <c r="BT88" s="1477"/>
      <c r="BU88" s="1477"/>
      <c r="BV88" s="1477"/>
      <c r="BW88" s="1477"/>
      <c r="BX88" s="1477"/>
      <c r="BY88" s="1477"/>
      <c r="BZ88" s="1477"/>
      <c r="CA88" s="1477"/>
      <c r="CB88" s="1477"/>
      <c r="CC88" s="1477"/>
      <c r="CD88" s="1477"/>
      <c r="CE88" s="1477"/>
      <c r="CF88" s="1477"/>
      <c r="CG88" s="1477"/>
      <c r="CH88" s="1477"/>
    </row>
    <row r="89" spans="2:86">
      <c r="B89" s="1714"/>
      <c r="C89" s="673" t="str" cm="1">
        <f t="array" ref="C89:D89">'14. Project Costs'!C91:D91</f>
        <v>Construction Insurance</v>
      </c>
      <c r="D89" s="674">
        <v>0</v>
      </c>
      <c r="E89" s="184">
        <f>PC_CSP_Constr_Hazard_insur_Total</f>
        <v>0</v>
      </c>
      <c r="F89" s="1573">
        <f t="shared" si="31"/>
        <v>0</v>
      </c>
      <c r="G89" s="1574">
        <f>+E89</f>
        <v>0</v>
      </c>
      <c r="H89" s="1574"/>
      <c r="I89" s="1574"/>
      <c r="J89" s="1574"/>
      <c r="K89" s="1574"/>
      <c r="L89" s="1574"/>
      <c r="M89" s="1574"/>
      <c r="N89" s="1574"/>
      <c r="O89" s="1574"/>
      <c r="P89" s="1574"/>
      <c r="Q89" s="1574"/>
      <c r="R89" s="1574"/>
      <c r="S89" s="1574"/>
      <c r="T89" s="1574"/>
      <c r="U89" s="1574"/>
      <c r="V89" s="1574"/>
      <c r="W89" s="1574"/>
      <c r="X89" s="1574"/>
      <c r="Y89" s="1574"/>
      <c r="Z89" s="1574"/>
      <c r="AA89" s="1574"/>
      <c r="AB89" s="1574"/>
      <c r="AC89" s="1574"/>
      <c r="AD89" s="1574"/>
      <c r="AE89" s="1574"/>
      <c r="AF89" s="1574"/>
      <c r="AG89" s="1574"/>
      <c r="AH89" s="1574"/>
      <c r="AI89" s="1574"/>
      <c r="AJ89" s="1574"/>
      <c r="AK89" s="1714"/>
      <c r="AL89" s="1477"/>
      <c r="AM89" s="1477"/>
      <c r="AN89" s="1477"/>
      <c r="AO89" s="284"/>
      <c r="AP89" s="1477"/>
      <c r="AQ89" s="1477"/>
      <c r="AR89" s="1477"/>
      <c r="AS89" s="1477"/>
      <c r="AT89" s="1477"/>
      <c r="AU89" s="1477"/>
      <c r="AV89" s="1477"/>
      <c r="AW89" s="1477"/>
      <c r="AX89" s="1477"/>
      <c r="AY89" s="1477"/>
      <c r="AZ89" s="1477"/>
      <c r="BA89" s="1477"/>
      <c r="BB89" s="1477"/>
      <c r="BC89" s="1477"/>
      <c r="BD89" s="1477"/>
      <c r="BE89" s="1477"/>
      <c r="BF89" s="1477"/>
      <c r="BG89" s="1477"/>
      <c r="BH89" s="1477"/>
      <c r="BI89" s="1477"/>
      <c r="BJ89" s="1477"/>
      <c r="BK89" s="1477"/>
      <c r="BL89" s="1477"/>
      <c r="BM89" s="1477"/>
      <c r="BN89" s="1477"/>
      <c r="BO89" s="1477"/>
      <c r="BP89" s="1477"/>
      <c r="BQ89" s="1477"/>
      <c r="BR89" s="1477"/>
      <c r="BS89" s="1477"/>
      <c r="BT89" s="1477"/>
      <c r="BU89" s="1477"/>
      <c r="BV89" s="1477"/>
      <c r="BW89" s="1477"/>
      <c r="BX89" s="1477"/>
      <c r="BY89" s="1477"/>
      <c r="BZ89" s="1477"/>
      <c r="CA89" s="1477"/>
      <c r="CB89" s="1477"/>
      <c r="CC89" s="1477"/>
      <c r="CD89" s="1477"/>
      <c r="CE89" s="1477"/>
      <c r="CF89" s="1477"/>
      <c r="CG89" s="1477"/>
      <c r="CH89" s="1477"/>
    </row>
    <row r="90" spans="2:86" hidden="1">
      <c r="B90" s="1714"/>
      <c r="C90" s="673" t="str" cm="1">
        <f t="array" ref="C90:D90">'14. Project Costs'!C92:D92</f>
        <v>Construction Liability Insurance</v>
      </c>
      <c r="D90" s="674">
        <v>0</v>
      </c>
      <c r="E90" s="184">
        <f>PC_CSP_Constr_Liability_Total</f>
        <v>0</v>
      </c>
      <c r="F90" s="1573">
        <f t="shared" si="31"/>
        <v>0</v>
      </c>
      <c r="G90" s="1574"/>
      <c r="H90" s="1574"/>
      <c r="I90" s="1574"/>
      <c r="J90" s="1574"/>
      <c r="K90" s="1574"/>
      <c r="L90" s="1574"/>
      <c r="M90" s="1574"/>
      <c r="N90" s="1574"/>
      <c r="O90" s="1574"/>
      <c r="P90" s="1574"/>
      <c r="Q90" s="1574"/>
      <c r="R90" s="1574"/>
      <c r="S90" s="1574"/>
      <c r="T90" s="1574"/>
      <c r="U90" s="1574"/>
      <c r="V90" s="1574"/>
      <c r="W90" s="1574"/>
      <c r="X90" s="1574"/>
      <c r="Y90" s="1574"/>
      <c r="Z90" s="1574"/>
      <c r="AA90" s="1574"/>
      <c r="AB90" s="1574"/>
      <c r="AC90" s="1574"/>
      <c r="AD90" s="1574"/>
      <c r="AE90" s="1574"/>
      <c r="AF90" s="1574"/>
      <c r="AG90" s="1574"/>
      <c r="AH90" s="1574"/>
      <c r="AI90" s="1574"/>
      <c r="AJ90" s="1574"/>
      <c r="AK90" s="1714"/>
      <c r="AL90" s="1477"/>
      <c r="AM90" s="1477"/>
      <c r="AN90" s="1477"/>
      <c r="AO90" s="284"/>
      <c r="AP90" s="1477"/>
      <c r="AQ90" s="1477"/>
      <c r="AR90" s="1477"/>
      <c r="AS90" s="1477"/>
      <c r="AT90" s="1477"/>
      <c r="AU90" s="1477"/>
      <c r="AV90" s="1477"/>
      <c r="AW90" s="1477"/>
      <c r="AX90" s="1477"/>
      <c r="AY90" s="1477"/>
      <c r="AZ90" s="1477"/>
      <c r="BA90" s="1477"/>
      <c r="BB90" s="1477"/>
      <c r="BC90" s="1477"/>
      <c r="BD90" s="1477"/>
      <c r="BE90" s="1477"/>
      <c r="BF90" s="1477"/>
      <c r="BG90" s="1477"/>
      <c r="BH90" s="1477"/>
      <c r="BI90" s="1477"/>
      <c r="BJ90" s="1477"/>
      <c r="BK90" s="1477"/>
      <c r="BL90" s="1477"/>
      <c r="BM90" s="1477"/>
      <c r="BN90" s="1477"/>
      <c r="BO90" s="1477"/>
      <c r="BP90" s="1477"/>
      <c r="BQ90" s="1477"/>
      <c r="BR90" s="1477"/>
      <c r="BS90" s="1477"/>
      <c r="BT90" s="1477"/>
      <c r="BU90" s="1477"/>
      <c r="BV90" s="1477"/>
      <c r="BW90" s="1477"/>
      <c r="BX90" s="1477"/>
      <c r="BY90" s="1477"/>
      <c r="BZ90" s="1477"/>
      <c r="CA90" s="1477"/>
      <c r="CB90" s="1477"/>
      <c r="CC90" s="1477"/>
      <c r="CD90" s="1477"/>
      <c r="CE90" s="1477"/>
      <c r="CF90" s="1477"/>
      <c r="CG90" s="1477"/>
      <c r="CH90" s="1477"/>
    </row>
    <row r="91" spans="2:86" hidden="1">
      <c r="B91" s="1714"/>
      <c r="C91" s="675" t="str" cm="1">
        <f t="array" ref="C91:D91">'14. Project Costs'!C93:D93</f>
        <v>Other Interim/Const Costs</v>
      </c>
      <c r="D91" s="676">
        <v>0</v>
      </c>
      <c r="E91" s="184">
        <f>PC_CSP_Other_Interim_Total</f>
        <v>0</v>
      </c>
      <c r="F91" s="1573">
        <f t="shared" si="31"/>
        <v>0</v>
      </c>
      <c r="G91" s="1574"/>
      <c r="H91" s="1574"/>
      <c r="I91" s="1574"/>
      <c r="J91" s="1574"/>
      <c r="K91" s="1574"/>
      <c r="L91" s="1574"/>
      <c r="M91" s="1574"/>
      <c r="N91" s="1574"/>
      <c r="O91" s="1574"/>
      <c r="P91" s="1574"/>
      <c r="Q91" s="1574"/>
      <c r="R91" s="1574"/>
      <c r="S91" s="1574"/>
      <c r="T91" s="1574"/>
      <c r="U91" s="1574"/>
      <c r="V91" s="1574"/>
      <c r="W91" s="1574"/>
      <c r="X91" s="1574"/>
      <c r="Y91" s="1574"/>
      <c r="Z91" s="1574"/>
      <c r="AA91" s="1574"/>
      <c r="AB91" s="1574"/>
      <c r="AC91" s="1574"/>
      <c r="AD91" s="1574"/>
      <c r="AE91" s="1574"/>
      <c r="AF91" s="1574"/>
      <c r="AG91" s="1574"/>
      <c r="AH91" s="1574"/>
      <c r="AI91" s="1574"/>
      <c r="AJ91" s="1574"/>
      <c r="AK91" s="1714"/>
      <c r="AL91" s="1477"/>
      <c r="AM91" s="1477"/>
      <c r="AN91" s="1477"/>
      <c r="AO91" s="284"/>
      <c r="AP91" s="1477"/>
      <c r="AQ91" s="1477"/>
      <c r="AR91" s="1477"/>
      <c r="AS91" s="1477"/>
      <c r="AT91" s="1477"/>
      <c r="AU91" s="1477"/>
      <c r="AV91" s="1477"/>
      <c r="AW91" s="1477"/>
      <c r="AX91" s="1477"/>
      <c r="AY91" s="1477"/>
      <c r="AZ91" s="1477"/>
      <c r="BA91" s="1477"/>
      <c r="BB91" s="1477"/>
      <c r="BC91" s="1477"/>
      <c r="BD91" s="1477"/>
      <c r="BE91" s="1477"/>
      <c r="BF91" s="1477"/>
      <c r="BG91" s="1477"/>
      <c r="BH91" s="1477"/>
      <c r="BI91" s="1477"/>
      <c r="BJ91" s="1477"/>
      <c r="BK91" s="1477"/>
      <c r="BL91" s="1477"/>
      <c r="BM91" s="1477"/>
      <c r="BN91" s="1477"/>
      <c r="BO91" s="1477"/>
      <c r="BP91" s="1477"/>
      <c r="BQ91" s="1477"/>
      <c r="BR91" s="1477"/>
      <c r="BS91" s="1477"/>
      <c r="BT91" s="1477"/>
      <c r="BU91" s="1477"/>
      <c r="BV91" s="1477"/>
      <c r="BW91" s="1477"/>
      <c r="BX91" s="1477"/>
      <c r="BY91" s="1477"/>
      <c r="BZ91" s="1477"/>
      <c r="CA91" s="1477"/>
      <c r="CB91" s="1477"/>
      <c r="CC91" s="1477"/>
      <c r="CD91" s="1477"/>
      <c r="CE91" s="1477"/>
      <c r="CF91" s="1477"/>
      <c r="CG91" s="1477"/>
      <c r="CH91" s="1477"/>
    </row>
    <row r="92" spans="2:86">
      <c r="B92" s="1714"/>
      <c r="C92" s="678" t="str" cm="1">
        <f t="array" ref="C92:D92">'14. Project Costs'!C94:D94</f>
        <v>Temporary Relocation Expenses</v>
      </c>
      <c r="D92" s="674">
        <v>0</v>
      </c>
      <c r="E92" s="184">
        <f>PC_CSP_Temp_Reloocation_Total</f>
        <v>0</v>
      </c>
      <c r="F92" s="1573">
        <f t="shared" si="31"/>
        <v>0</v>
      </c>
      <c r="G92" s="1574">
        <f t="shared" ref="G92:P93" si="32">+$E92*G$11</f>
        <v>0</v>
      </c>
      <c r="H92" s="1574">
        <f t="shared" si="32"/>
        <v>0</v>
      </c>
      <c r="I92" s="1574">
        <f t="shared" si="32"/>
        <v>0</v>
      </c>
      <c r="J92" s="1574">
        <f t="shared" si="32"/>
        <v>0</v>
      </c>
      <c r="K92" s="1574">
        <f t="shared" si="32"/>
        <v>0</v>
      </c>
      <c r="L92" s="1574">
        <f t="shared" si="32"/>
        <v>0</v>
      </c>
      <c r="M92" s="1574">
        <f t="shared" si="32"/>
        <v>0</v>
      </c>
      <c r="N92" s="1574">
        <f t="shared" si="32"/>
        <v>0</v>
      </c>
      <c r="O92" s="1574">
        <f t="shared" si="32"/>
        <v>0</v>
      </c>
      <c r="P92" s="1574">
        <f t="shared" si="32"/>
        <v>0</v>
      </c>
      <c r="Q92" s="1574">
        <f t="shared" ref="Q92:Z93" si="33">+$E92*Q$11</f>
        <v>0</v>
      </c>
      <c r="R92" s="1574">
        <f t="shared" si="33"/>
        <v>0</v>
      </c>
      <c r="S92" s="1574">
        <f t="shared" si="33"/>
        <v>0</v>
      </c>
      <c r="T92" s="1574">
        <f t="shared" si="33"/>
        <v>0</v>
      </c>
      <c r="U92" s="1574">
        <f t="shared" si="33"/>
        <v>0</v>
      </c>
      <c r="V92" s="1574">
        <f t="shared" si="33"/>
        <v>0</v>
      </c>
      <c r="W92" s="1574">
        <f t="shared" si="33"/>
        <v>0</v>
      </c>
      <c r="X92" s="1574">
        <f t="shared" si="33"/>
        <v>0</v>
      </c>
      <c r="Y92" s="1574">
        <f t="shared" si="33"/>
        <v>0</v>
      </c>
      <c r="Z92" s="1574">
        <f t="shared" si="33"/>
        <v>0</v>
      </c>
      <c r="AA92" s="1574">
        <f t="shared" ref="AA92:AJ93" si="34">+$E92*AA$11</f>
        <v>0</v>
      </c>
      <c r="AB92" s="1574">
        <f t="shared" si="34"/>
        <v>0</v>
      </c>
      <c r="AC92" s="1574">
        <f t="shared" si="34"/>
        <v>0</v>
      </c>
      <c r="AD92" s="1574">
        <f t="shared" si="34"/>
        <v>0</v>
      </c>
      <c r="AE92" s="1574">
        <f t="shared" si="34"/>
        <v>0</v>
      </c>
      <c r="AF92" s="1574">
        <f t="shared" si="34"/>
        <v>0</v>
      </c>
      <c r="AG92" s="1574">
        <f t="shared" si="34"/>
        <v>0</v>
      </c>
      <c r="AH92" s="1574">
        <f t="shared" si="34"/>
        <v>0</v>
      </c>
      <c r="AI92" s="1574">
        <f t="shared" si="34"/>
        <v>0</v>
      </c>
      <c r="AJ92" s="1574">
        <f t="shared" si="34"/>
        <v>0</v>
      </c>
      <c r="AK92" s="1714"/>
      <c r="AL92" s="1477"/>
      <c r="AM92" s="1477"/>
      <c r="AN92" s="1477"/>
      <c r="AO92" s="284"/>
      <c r="AP92" s="1477"/>
      <c r="AQ92" s="1477"/>
      <c r="AR92" s="1477"/>
      <c r="AS92" s="1477"/>
      <c r="AT92" s="1477"/>
      <c r="AU92" s="1477"/>
      <c r="AV92" s="1477"/>
      <c r="AW92" s="1477"/>
      <c r="AX92" s="1477"/>
      <c r="AY92" s="1477"/>
      <c r="AZ92" s="1477"/>
      <c r="BA92" s="1477"/>
      <c r="BB92" s="1477"/>
      <c r="BC92" s="1477"/>
      <c r="BD92" s="1477"/>
      <c r="BE92" s="1477"/>
      <c r="BF92" s="1477"/>
      <c r="BG92" s="1477"/>
      <c r="BH92" s="1477"/>
      <c r="BI92" s="1477"/>
      <c r="BJ92" s="1477"/>
      <c r="BK92" s="1477"/>
      <c r="BL92" s="1477"/>
      <c r="BM92" s="1477"/>
      <c r="BN92" s="1477"/>
      <c r="BO92" s="1477"/>
      <c r="BP92" s="1477"/>
      <c r="BQ92" s="1477"/>
      <c r="BR92" s="1477"/>
      <c r="BS92" s="1477"/>
      <c r="BT92" s="1477"/>
      <c r="BU92" s="1477"/>
      <c r="BV92" s="1477"/>
      <c r="BW92" s="1477"/>
      <c r="BX92" s="1477"/>
      <c r="BY92" s="1477"/>
      <c r="BZ92" s="1477"/>
      <c r="CA92" s="1477"/>
      <c r="CB92" s="1477"/>
      <c r="CC92" s="1477"/>
      <c r="CD92" s="1477"/>
      <c r="CE92" s="1477"/>
      <c r="CF92" s="1477"/>
      <c r="CG92" s="1477"/>
      <c r="CH92" s="1477"/>
    </row>
    <row r="93" spans="2:86">
      <c r="B93" s="1714"/>
      <c r="C93" s="678" t="str" cm="1">
        <f t="array" ref="C93:D93">'14. Project Costs'!C95:D95</f>
        <v>Permanent Relocation Expenses</v>
      </c>
      <c r="D93" s="674">
        <v>0</v>
      </c>
      <c r="E93" s="184">
        <f>PC_CSP_Perm_Relocation_Total</f>
        <v>0</v>
      </c>
      <c r="F93" s="1573">
        <f t="shared" si="31"/>
        <v>0</v>
      </c>
      <c r="G93" s="1574">
        <f t="shared" si="32"/>
        <v>0</v>
      </c>
      <c r="H93" s="1574">
        <f t="shared" si="32"/>
        <v>0</v>
      </c>
      <c r="I93" s="1574">
        <f t="shared" si="32"/>
        <v>0</v>
      </c>
      <c r="J93" s="1574">
        <f t="shared" si="32"/>
        <v>0</v>
      </c>
      <c r="K93" s="1574">
        <f t="shared" si="32"/>
        <v>0</v>
      </c>
      <c r="L93" s="1574">
        <f t="shared" si="32"/>
        <v>0</v>
      </c>
      <c r="M93" s="1574">
        <f t="shared" si="32"/>
        <v>0</v>
      </c>
      <c r="N93" s="1574">
        <f t="shared" si="32"/>
        <v>0</v>
      </c>
      <c r="O93" s="1574">
        <f t="shared" si="32"/>
        <v>0</v>
      </c>
      <c r="P93" s="1574">
        <f t="shared" si="32"/>
        <v>0</v>
      </c>
      <c r="Q93" s="1574">
        <f t="shared" si="33"/>
        <v>0</v>
      </c>
      <c r="R93" s="1574">
        <f t="shared" si="33"/>
        <v>0</v>
      </c>
      <c r="S93" s="1574">
        <f t="shared" si="33"/>
        <v>0</v>
      </c>
      <c r="T93" s="1574">
        <f t="shared" si="33"/>
        <v>0</v>
      </c>
      <c r="U93" s="1574">
        <f t="shared" si="33"/>
        <v>0</v>
      </c>
      <c r="V93" s="1574">
        <f t="shared" si="33"/>
        <v>0</v>
      </c>
      <c r="W93" s="1574">
        <f t="shared" si="33"/>
        <v>0</v>
      </c>
      <c r="X93" s="1574">
        <f t="shared" si="33"/>
        <v>0</v>
      </c>
      <c r="Y93" s="1574">
        <f t="shared" si="33"/>
        <v>0</v>
      </c>
      <c r="Z93" s="1574">
        <f t="shared" si="33"/>
        <v>0</v>
      </c>
      <c r="AA93" s="1574">
        <f t="shared" si="34"/>
        <v>0</v>
      </c>
      <c r="AB93" s="1574">
        <f t="shared" si="34"/>
        <v>0</v>
      </c>
      <c r="AC93" s="1574">
        <f t="shared" si="34"/>
        <v>0</v>
      </c>
      <c r="AD93" s="1574">
        <f t="shared" si="34"/>
        <v>0</v>
      </c>
      <c r="AE93" s="1574">
        <f t="shared" si="34"/>
        <v>0</v>
      </c>
      <c r="AF93" s="1574">
        <f t="shared" si="34"/>
        <v>0</v>
      </c>
      <c r="AG93" s="1574">
        <f t="shared" si="34"/>
        <v>0</v>
      </c>
      <c r="AH93" s="1574">
        <f t="shared" si="34"/>
        <v>0</v>
      </c>
      <c r="AI93" s="1574">
        <f t="shared" si="34"/>
        <v>0</v>
      </c>
      <c r="AJ93" s="1574">
        <f t="shared" si="34"/>
        <v>0</v>
      </c>
      <c r="AK93" s="1714"/>
      <c r="AL93" s="1477"/>
      <c r="AM93" s="1477"/>
      <c r="AN93" s="1477"/>
      <c r="AO93" s="284"/>
      <c r="AP93" s="1477"/>
      <c r="AQ93" s="1477"/>
      <c r="AR93" s="1477"/>
      <c r="AS93" s="1477"/>
      <c r="AT93" s="1477"/>
      <c r="AU93" s="1477"/>
      <c r="AV93" s="1477"/>
      <c r="AW93" s="1477"/>
      <c r="AX93" s="1477"/>
      <c r="AY93" s="1477"/>
      <c r="AZ93" s="1477"/>
      <c r="BA93" s="1477"/>
      <c r="BB93" s="1477"/>
      <c r="BC93" s="1477"/>
      <c r="BD93" s="1477"/>
      <c r="BE93" s="1477"/>
      <c r="BF93" s="1477"/>
      <c r="BG93" s="1477"/>
      <c r="BH93" s="1477"/>
      <c r="BI93" s="1477"/>
      <c r="BJ93" s="1477"/>
      <c r="BK93" s="1477"/>
      <c r="BL93" s="1477"/>
      <c r="BM93" s="1477"/>
      <c r="BN93" s="1477"/>
      <c r="BO93" s="1477"/>
      <c r="BP93" s="1477"/>
      <c r="BQ93" s="1477"/>
      <c r="BR93" s="1477"/>
      <c r="BS93" s="1477"/>
      <c r="BT93" s="1477"/>
      <c r="BU93" s="1477"/>
      <c r="BV93" s="1477"/>
      <c r="BW93" s="1477"/>
      <c r="BX93" s="1477"/>
      <c r="BY93" s="1477"/>
      <c r="BZ93" s="1477"/>
      <c r="CA93" s="1477"/>
      <c r="CB93" s="1477"/>
      <c r="CC93" s="1477"/>
      <c r="CD93" s="1477"/>
      <c r="CE93" s="1477"/>
      <c r="CF93" s="1477"/>
      <c r="CG93" s="1477"/>
      <c r="CH93" s="1477"/>
    </row>
    <row r="94" spans="2:86">
      <c r="B94" s="1714"/>
      <c r="C94" s="675" t="str" cm="1">
        <f t="array" ref="C94:D94">'14. Project Costs'!C96:D96</f>
        <v>Other Interim/Construction Costs</v>
      </c>
      <c r="D94" s="676">
        <v>0</v>
      </c>
      <c r="E94" s="184">
        <f>PC_CSP_Other_Constr_Costs_Total</f>
        <v>0</v>
      </c>
      <c r="F94" s="1573">
        <f t="shared" si="31"/>
        <v>0</v>
      </c>
      <c r="G94" s="1574"/>
      <c r="H94" s="1574"/>
      <c r="I94" s="1574"/>
      <c r="J94" s="1574"/>
      <c r="K94" s="1574"/>
      <c r="L94" s="1574"/>
      <c r="M94" s="1574"/>
      <c r="N94" s="1574"/>
      <c r="O94" s="1574"/>
      <c r="P94" s="1574"/>
      <c r="Q94" s="1574"/>
      <c r="R94" s="1574"/>
      <c r="S94" s="1574"/>
      <c r="T94" s="1574"/>
      <c r="U94" s="1574"/>
      <c r="V94" s="1574"/>
      <c r="W94" s="1574"/>
      <c r="X94" s="1574"/>
      <c r="Y94" s="1574"/>
      <c r="Z94" s="1574"/>
      <c r="AA94" s="1574"/>
      <c r="AB94" s="1574"/>
      <c r="AC94" s="1574"/>
      <c r="AD94" s="1574"/>
      <c r="AE94" s="1574"/>
      <c r="AF94" s="1574"/>
      <c r="AG94" s="1574"/>
      <c r="AH94" s="1574"/>
      <c r="AI94" s="1574"/>
      <c r="AJ94" s="1574"/>
      <c r="AK94" s="1714"/>
      <c r="AL94" s="1477"/>
      <c r="AM94" s="1477"/>
      <c r="AN94" s="1477"/>
      <c r="AO94" s="284"/>
      <c r="AP94" s="1477"/>
      <c r="AQ94" s="1477"/>
      <c r="AR94" s="1477"/>
      <c r="AS94" s="1477"/>
      <c r="AT94" s="1477"/>
      <c r="AU94" s="1477"/>
      <c r="AV94" s="1477"/>
      <c r="AW94" s="1477"/>
      <c r="AX94" s="1477"/>
      <c r="AY94" s="1477"/>
      <c r="AZ94" s="1477"/>
      <c r="BA94" s="1477"/>
      <c r="BB94" s="1477"/>
      <c r="BC94" s="1477"/>
      <c r="BD94" s="1477"/>
      <c r="BE94" s="1477"/>
      <c r="BF94" s="1477"/>
      <c r="BG94" s="1477"/>
      <c r="BH94" s="1477"/>
      <c r="BI94" s="1477"/>
      <c r="BJ94" s="1477"/>
      <c r="BK94" s="1477"/>
      <c r="BL94" s="1477"/>
      <c r="BM94" s="1477"/>
      <c r="BN94" s="1477"/>
      <c r="BO94" s="1477"/>
      <c r="BP94" s="1477"/>
      <c r="BQ94" s="1477"/>
      <c r="BR94" s="1477"/>
      <c r="BS94" s="1477"/>
      <c r="BT94" s="1477"/>
      <c r="BU94" s="1477"/>
      <c r="BV94" s="1477"/>
      <c r="BW94" s="1477"/>
      <c r="BX94" s="1477"/>
      <c r="BY94" s="1477"/>
      <c r="BZ94" s="1477"/>
      <c r="CA94" s="1477"/>
      <c r="CB94" s="1477"/>
      <c r="CC94" s="1477"/>
      <c r="CD94" s="1477"/>
      <c r="CE94" s="1477"/>
      <c r="CF94" s="1477"/>
      <c r="CG94" s="1477"/>
      <c r="CH94" s="1477"/>
    </row>
    <row r="95" spans="2:86">
      <c r="B95" s="1714"/>
      <c r="C95" s="131" t="s">
        <v>4917</v>
      </c>
      <c r="D95" s="131"/>
      <c r="E95" s="188">
        <f>SUM(E85:E94)</f>
        <v>0</v>
      </c>
      <c r="F95" s="1578">
        <f>SUM(F85:F94)</f>
        <v>0</v>
      </c>
      <c r="G95" s="1578">
        <f t="shared" ref="G95:AJ95" si="35">SUM(G84:G94)</f>
        <v>0</v>
      </c>
      <c r="H95" s="1578">
        <f t="shared" si="35"/>
        <v>0</v>
      </c>
      <c r="I95" s="1578">
        <f t="shared" si="35"/>
        <v>0</v>
      </c>
      <c r="J95" s="1578">
        <f t="shared" si="35"/>
        <v>0</v>
      </c>
      <c r="K95" s="1578">
        <f t="shared" si="35"/>
        <v>0</v>
      </c>
      <c r="L95" s="1578">
        <f t="shared" si="35"/>
        <v>0</v>
      </c>
      <c r="M95" s="1578">
        <f t="shared" si="35"/>
        <v>0</v>
      </c>
      <c r="N95" s="1578">
        <f t="shared" si="35"/>
        <v>0</v>
      </c>
      <c r="O95" s="1578">
        <f t="shared" si="35"/>
        <v>0</v>
      </c>
      <c r="P95" s="1578">
        <f t="shared" si="35"/>
        <v>0</v>
      </c>
      <c r="Q95" s="1578">
        <f t="shared" si="35"/>
        <v>0</v>
      </c>
      <c r="R95" s="1578">
        <f t="shared" si="35"/>
        <v>0</v>
      </c>
      <c r="S95" s="1578">
        <f t="shared" si="35"/>
        <v>0</v>
      </c>
      <c r="T95" s="1578">
        <f t="shared" si="35"/>
        <v>0</v>
      </c>
      <c r="U95" s="1578">
        <f t="shared" si="35"/>
        <v>0</v>
      </c>
      <c r="V95" s="1578">
        <f t="shared" si="35"/>
        <v>0</v>
      </c>
      <c r="W95" s="1578">
        <f t="shared" si="35"/>
        <v>0</v>
      </c>
      <c r="X95" s="1578">
        <f t="shared" si="35"/>
        <v>0</v>
      </c>
      <c r="Y95" s="1578">
        <f t="shared" si="35"/>
        <v>0</v>
      </c>
      <c r="Z95" s="1578">
        <f t="shared" si="35"/>
        <v>0</v>
      </c>
      <c r="AA95" s="1578">
        <f t="shared" si="35"/>
        <v>0</v>
      </c>
      <c r="AB95" s="1578">
        <f t="shared" si="35"/>
        <v>0</v>
      </c>
      <c r="AC95" s="1578">
        <f t="shared" si="35"/>
        <v>0</v>
      </c>
      <c r="AD95" s="1578">
        <f t="shared" si="35"/>
        <v>0</v>
      </c>
      <c r="AE95" s="1578">
        <f t="shared" si="35"/>
        <v>0</v>
      </c>
      <c r="AF95" s="1578">
        <f t="shared" si="35"/>
        <v>0</v>
      </c>
      <c r="AG95" s="1578">
        <f t="shared" si="35"/>
        <v>0</v>
      </c>
      <c r="AH95" s="1578">
        <f t="shared" si="35"/>
        <v>0</v>
      </c>
      <c r="AI95" s="1578">
        <f t="shared" si="35"/>
        <v>0</v>
      </c>
      <c r="AJ95" s="1578">
        <f t="shared" si="35"/>
        <v>0</v>
      </c>
      <c r="AK95" s="1714"/>
      <c r="AL95" s="1477"/>
      <c r="AM95" s="1477"/>
      <c r="AN95" s="1477"/>
      <c r="AO95" s="284"/>
      <c r="AP95" s="1477"/>
      <c r="AQ95" s="1477"/>
      <c r="AR95" s="1477"/>
      <c r="AS95" s="1477"/>
      <c r="AT95" s="1477"/>
      <c r="AU95" s="1477"/>
      <c r="AV95" s="1477"/>
      <c r="AW95" s="1477"/>
      <c r="AX95" s="1477"/>
      <c r="AY95" s="1477"/>
      <c r="AZ95" s="1477"/>
      <c r="BA95" s="1477"/>
      <c r="BB95" s="1477"/>
      <c r="BC95" s="1477"/>
      <c r="BD95" s="1477"/>
      <c r="BE95" s="1477"/>
      <c r="BF95" s="1477"/>
      <c r="BG95" s="1477"/>
      <c r="BH95" s="1477"/>
      <c r="BI95" s="1477"/>
      <c r="BJ95" s="1477"/>
      <c r="BK95" s="1477"/>
      <c r="BL95" s="1477"/>
      <c r="BM95" s="1477"/>
      <c r="BN95" s="1477"/>
      <c r="BO95" s="1477"/>
      <c r="BP95" s="1477"/>
      <c r="BQ95" s="1477"/>
      <c r="BR95" s="1477"/>
      <c r="BS95" s="1477"/>
      <c r="BT95" s="1477"/>
      <c r="BU95" s="1477"/>
      <c r="BV95" s="1477"/>
      <c r="BW95" s="1477"/>
      <c r="BX95" s="1477"/>
      <c r="BY95" s="1477"/>
      <c r="BZ95" s="1477"/>
      <c r="CA95" s="1477"/>
      <c r="CB95" s="1477"/>
      <c r="CC95" s="1477"/>
      <c r="CD95" s="1477"/>
      <c r="CE95" s="1477"/>
      <c r="CF95" s="1477"/>
      <c r="CG95" s="1477"/>
      <c r="CH95" s="1477"/>
    </row>
    <row r="96" spans="2:86">
      <c r="B96" s="1714"/>
      <c r="C96" s="126" t="s">
        <v>3207</v>
      </c>
      <c r="D96" s="126"/>
      <c r="E96" s="199">
        <f t="shared" ref="E96:AJ96" si="36">+E95+E83+E73+E70</f>
        <v>0</v>
      </c>
      <c r="F96" s="186">
        <f t="shared" si="36"/>
        <v>0</v>
      </c>
      <c r="G96" s="186">
        <f t="shared" si="36"/>
        <v>0</v>
      </c>
      <c r="H96" s="186">
        <f t="shared" si="36"/>
        <v>0</v>
      </c>
      <c r="I96" s="186">
        <f t="shared" si="36"/>
        <v>0</v>
      </c>
      <c r="J96" s="186">
        <f t="shared" si="36"/>
        <v>0</v>
      </c>
      <c r="K96" s="186">
        <f t="shared" si="36"/>
        <v>0</v>
      </c>
      <c r="L96" s="186">
        <f t="shared" si="36"/>
        <v>0</v>
      </c>
      <c r="M96" s="186">
        <f t="shared" si="36"/>
        <v>0</v>
      </c>
      <c r="N96" s="186">
        <f t="shared" si="36"/>
        <v>0</v>
      </c>
      <c r="O96" s="186">
        <f t="shared" si="36"/>
        <v>0</v>
      </c>
      <c r="P96" s="186">
        <f t="shared" si="36"/>
        <v>0</v>
      </c>
      <c r="Q96" s="186">
        <f t="shared" si="36"/>
        <v>0</v>
      </c>
      <c r="R96" s="186">
        <f t="shared" si="36"/>
        <v>0</v>
      </c>
      <c r="S96" s="186">
        <f t="shared" si="36"/>
        <v>0</v>
      </c>
      <c r="T96" s="186">
        <f t="shared" si="36"/>
        <v>0</v>
      </c>
      <c r="U96" s="186">
        <f t="shared" si="36"/>
        <v>0</v>
      </c>
      <c r="V96" s="186">
        <f t="shared" si="36"/>
        <v>0</v>
      </c>
      <c r="W96" s="186">
        <f t="shared" si="36"/>
        <v>0</v>
      </c>
      <c r="X96" s="186">
        <f t="shared" si="36"/>
        <v>0</v>
      </c>
      <c r="Y96" s="186">
        <f t="shared" si="36"/>
        <v>0</v>
      </c>
      <c r="Z96" s="186">
        <f t="shared" si="36"/>
        <v>0</v>
      </c>
      <c r="AA96" s="186">
        <f t="shared" si="36"/>
        <v>0</v>
      </c>
      <c r="AB96" s="186">
        <f t="shared" si="36"/>
        <v>0</v>
      </c>
      <c r="AC96" s="186">
        <f t="shared" si="36"/>
        <v>0</v>
      </c>
      <c r="AD96" s="186">
        <f t="shared" si="36"/>
        <v>0</v>
      </c>
      <c r="AE96" s="186">
        <f t="shared" si="36"/>
        <v>0</v>
      </c>
      <c r="AF96" s="186">
        <f t="shared" si="36"/>
        <v>0</v>
      </c>
      <c r="AG96" s="186">
        <f t="shared" si="36"/>
        <v>0</v>
      </c>
      <c r="AH96" s="186">
        <f t="shared" si="36"/>
        <v>0</v>
      </c>
      <c r="AI96" s="186">
        <f t="shared" si="36"/>
        <v>0</v>
      </c>
      <c r="AJ96" s="186">
        <f t="shared" si="36"/>
        <v>0</v>
      </c>
      <c r="AK96" s="1714"/>
      <c r="AL96" s="1477"/>
      <c r="AM96" s="1477"/>
      <c r="AN96" s="1477"/>
      <c r="AO96" s="284"/>
      <c r="AP96" s="1477"/>
      <c r="AQ96" s="1477"/>
      <c r="AR96" s="1477"/>
      <c r="AS96" s="1477"/>
      <c r="AT96" s="1477"/>
      <c r="AU96" s="1477"/>
      <c r="AV96" s="1477"/>
      <c r="AW96" s="1477"/>
      <c r="AX96" s="1477"/>
      <c r="AY96" s="1477"/>
      <c r="AZ96" s="1477"/>
      <c r="BA96" s="1477"/>
      <c r="BB96" s="1477"/>
      <c r="BC96" s="1477"/>
      <c r="BD96" s="1477"/>
      <c r="BE96" s="1477"/>
      <c r="BF96" s="1477"/>
      <c r="BG96" s="1477"/>
      <c r="BH96" s="1477"/>
      <c r="BI96" s="1477"/>
      <c r="BJ96" s="1477"/>
      <c r="BK96" s="1477"/>
      <c r="BL96" s="1477"/>
      <c r="BM96" s="1477"/>
      <c r="BN96" s="1477"/>
      <c r="BO96" s="1477"/>
      <c r="BP96" s="1477"/>
      <c r="BQ96" s="1477"/>
      <c r="BR96" s="1477"/>
      <c r="BS96" s="1477"/>
      <c r="BT96" s="1477"/>
      <c r="BU96" s="1477"/>
      <c r="BV96" s="1477"/>
      <c r="BW96" s="1477"/>
      <c r="BX96" s="1477"/>
      <c r="BY96" s="1477"/>
      <c r="BZ96" s="1477"/>
      <c r="CA96" s="1477"/>
      <c r="CB96" s="1477"/>
      <c r="CC96" s="1477"/>
      <c r="CD96" s="1477"/>
      <c r="CE96" s="1477"/>
      <c r="CF96" s="1477"/>
      <c r="CG96" s="1477"/>
      <c r="CH96" s="1477"/>
    </row>
    <row r="97" spans="2:86" ht="15.75">
      <c r="B97" s="1714"/>
      <c r="C97" s="137" t="s">
        <v>3209</v>
      </c>
      <c r="D97" s="137"/>
      <c r="E97" s="128"/>
      <c r="F97" s="1572"/>
      <c r="G97" s="1572"/>
      <c r="H97" s="1572"/>
      <c r="I97" s="1572"/>
      <c r="J97" s="1572"/>
      <c r="K97" s="1572"/>
      <c r="L97" s="1572"/>
      <c r="M97" s="1572"/>
      <c r="N97" s="1572"/>
      <c r="O97" s="1572"/>
      <c r="P97" s="1572"/>
      <c r="Q97" s="1572"/>
      <c r="R97" s="1572"/>
      <c r="S97" s="1572"/>
      <c r="T97" s="1572"/>
      <c r="U97" s="1572"/>
      <c r="V97" s="1572"/>
      <c r="W97" s="1572"/>
      <c r="X97" s="1572"/>
      <c r="Y97" s="1572"/>
      <c r="Z97" s="1572"/>
      <c r="AA97" s="1572"/>
      <c r="AB97" s="1572"/>
      <c r="AC97" s="1572"/>
      <c r="AD97" s="1572"/>
      <c r="AE97" s="1572"/>
      <c r="AF97" s="1572"/>
      <c r="AG97" s="1572"/>
      <c r="AH97" s="1572"/>
      <c r="AI97" s="1572"/>
      <c r="AJ97" s="1572"/>
      <c r="AK97" s="1714"/>
      <c r="AL97" s="1477"/>
      <c r="AM97" s="1477"/>
      <c r="AN97" s="1477"/>
      <c r="AO97" s="284"/>
      <c r="AP97" s="1477"/>
      <c r="AQ97" s="1477"/>
      <c r="AR97" s="1477"/>
      <c r="AS97" s="1477"/>
      <c r="AT97" s="1477"/>
      <c r="AU97" s="1477"/>
      <c r="AV97" s="1477"/>
      <c r="AW97" s="1477"/>
      <c r="AX97" s="1477"/>
      <c r="AY97" s="1477"/>
      <c r="AZ97" s="1477"/>
      <c r="BA97" s="1477"/>
      <c r="BB97" s="1477"/>
      <c r="BC97" s="1477"/>
      <c r="BD97" s="1477"/>
      <c r="BE97" s="1477"/>
      <c r="BF97" s="1477"/>
      <c r="BG97" s="1477"/>
      <c r="BH97" s="1477"/>
      <c r="BI97" s="1477"/>
      <c r="BJ97" s="1477"/>
      <c r="BK97" s="1477"/>
      <c r="BL97" s="1477"/>
      <c r="BM97" s="1477"/>
      <c r="BN97" s="1477"/>
      <c r="BO97" s="1477"/>
      <c r="BP97" s="1477"/>
      <c r="BQ97" s="1477"/>
      <c r="BR97" s="1477"/>
      <c r="BS97" s="1477"/>
      <c r="BT97" s="1477"/>
      <c r="BU97" s="1477"/>
      <c r="BV97" s="1477"/>
      <c r="BW97" s="1477"/>
      <c r="BX97" s="1477"/>
      <c r="BY97" s="1477"/>
      <c r="BZ97" s="1477"/>
      <c r="CA97" s="1477"/>
      <c r="CB97" s="1477"/>
      <c r="CC97" s="1477"/>
      <c r="CD97" s="1477"/>
      <c r="CE97" s="1477"/>
      <c r="CF97" s="1477"/>
      <c r="CG97" s="1477"/>
      <c r="CH97" s="1477"/>
    </row>
    <row r="98" spans="2:86">
      <c r="B98" s="1714"/>
      <c r="C98" s="679" t="str" cm="1">
        <f t="array" ref="C98:D98">'14. Project Costs'!C101:D101</f>
        <v>Permanent Loan Origination Fee - Non WHEDA</v>
      </c>
      <c r="D98" s="680">
        <v>0</v>
      </c>
      <c r="E98" s="184">
        <f>PC_FIN_Perm_Lender_Finan_Total</f>
        <v>0</v>
      </c>
      <c r="F98" s="1573">
        <f t="shared" ref="F98:F106" si="37">+E98-SUM(G98:AJ98)</f>
        <v>0</v>
      </c>
      <c r="G98" s="1574">
        <f t="shared" ref="G98:G106" si="38">+E98</f>
        <v>0</v>
      </c>
      <c r="H98" s="1574"/>
      <c r="I98" s="1574"/>
      <c r="J98" s="1574"/>
      <c r="K98" s="1574"/>
      <c r="L98" s="1574"/>
      <c r="M98" s="1574"/>
      <c r="N98" s="1574"/>
      <c r="O98" s="1574"/>
      <c r="P98" s="1574"/>
      <c r="Q98" s="1574"/>
      <c r="R98" s="1574"/>
      <c r="S98" s="1574"/>
      <c r="T98" s="1574"/>
      <c r="U98" s="1574"/>
      <c r="V98" s="1574"/>
      <c r="W98" s="1574"/>
      <c r="X98" s="1574"/>
      <c r="Y98" s="1574"/>
      <c r="Z98" s="1574"/>
      <c r="AA98" s="1574"/>
      <c r="AB98" s="1574"/>
      <c r="AC98" s="1574"/>
      <c r="AD98" s="1574"/>
      <c r="AE98" s="1574"/>
      <c r="AF98" s="1574"/>
      <c r="AG98" s="1574"/>
      <c r="AH98" s="1574"/>
      <c r="AI98" s="1574"/>
      <c r="AJ98" s="1574"/>
      <c r="AK98" s="1714"/>
      <c r="AL98" s="1477"/>
      <c r="AM98" s="1477"/>
      <c r="AN98" s="1477"/>
      <c r="AO98" s="284"/>
      <c r="AP98" s="1477"/>
      <c r="AQ98" s="1477"/>
      <c r="AR98" s="1477"/>
      <c r="AS98" s="1477"/>
      <c r="AT98" s="1477"/>
      <c r="AU98" s="1477"/>
      <c r="AV98" s="1477"/>
      <c r="AW98" s="1477"/>
      <c r="AX98" s="1477"/>
      <c r="AY98" s="1477"/>
      <c r="AZ98" s="1477"/>
      <c r="BA98" s="1477"/>
      <c r="BB98" s="1477"/>
      <c r="BC98" s="1477"/>
      <c r="BD98" s="1477"/>
      <c r="BE98" s="1477"/>
      <c r="BF98" s="1477"/>
      <c r="BG98" s="1477"/>
      <c r="BH98" s="1477"/>
      <c r="BI98" s="1477"/>
      <c r="BJ98" s="1477"/>
      <c r="BK98" s="1477"/>
      <c r="BL98" s="1477"/>
      <c r="BM98" s="1477"/>
      <c r="BN98" s="1477"/>
      <c r="BO98" s="1477"/>
      <c r="BP98" s="1477"/>
      <c r="BQ98" s="1477"/>
      <c r="BR98" s="1477"/>
      <c r="BS98" s="1477"/>
      <c r="BT98" s="1477"/>
      <c r="BU98" s="1477"/>
      <c r="BV98" s="1477"/>
      <c r="BW98" s="1477"/>
      <c r="BX98" s="1477"/>
      <c r="BY98" s="1477"/>
      <c r="BZ98" s="1477"/>
      <c r="CA98" s="1477"/>
      <c r="CB98" s="1477"/>
      <c r="CC98" s="1477"/>
      <c r="CD98" s="1477"/>
      <c r="CE98" s="1477"/>
      <c r="CF98" s="1477"/>
      <c r="CG98" s="1477"/>
      <c r="CH98" s="1477"/>
    </row>
    <row r="99" spans="2:86">
      <c r="B99" s="1714"/>
      <c r="C99" s="679" t="str" cm="1">
        <f t="array" ref="C99:D99">'14. Project Costs'!C102:D102</f>
        <v>Permanent Loan Origination Fee - WHEDA</v>
      </c>
      <c r="D99" s="680">
        <v>0</v>
      </c>
      <c r="E99" s="184">
        <f>PC_FIN_WHEDA_Perm_Loan_Total</f>
        <v>0</v>
      </c>
      <c r="F99" s="1573">
        <f t="shared" si="37"/>
        <v>0</v>
      </c>
      <c r="G99" s="1574">
        <f t="shared" si="38"/>
        <v>0</v>
      </c>
      <c r="H99" s="1574"/>
      <c r="I99" s="1574"/>
      <c r="J99" s="1574"/>
      <c r="K99" s="1574"/>
      <c r="L99" s="1574"/>
      <c r="M99" s="1574"/>
      <c r="N99" s="1574"/>
      <c r="O99" s="1574"/>
      <c r="P99" s="1574"/>
      <c r="Q99" s="1574"/>
      <c r="R99" s="1574"/>
      <c r="S99" s="1574"/>
      <c r="T99" s="1574"/>
      <c r="U99" s="1574"/>
      <c r="V99" s="1574"/>
      <c r="W99" s="1574"/>
      <c r="X99" s="1574"/>
      <c r="Y99" s="1574"/>
      <c r="Z99" s="1574"/>
      <c r="AA99" s="1574"/>
      <c r="AB99" s="1574"/>
      <c r="AC99" s="1574"/>
      <c r="AD99" s="1574"/>
      <c r="AE99" s="1574"/>
      <c r="AF99" s="1574"/>
      <c r="AG99" s="1574"/>
      <c r="AH99" s="1574"/>
      <c r="AI99" s="1574"/>
      <c r="AJ99" s="1574"/>
      <c r="AK99" s="1714"/>
      <c r="AL99" s="1477"/>
      <c r="AM99" s="1477"/>
      <c r="AN99" s="1477"/>
      <c r="AO99" s="284"/>
      <c r="AP99" s="1477"/>
      <c r="AQ99" s="1477"/>
      <c r="AR99" s="1477"/>
      <c r="AS99" s="1477"/>
      <c r="AT99" s="1477"/>
      <c r="AU99" s="1477"/>
      <c r="AV99" s="1477"/>
      <c r="AW99" s="1477"/>
      <c r="AX99" s="1477"/>
      <c r="AY99" s="1477"/>
      <c r="AZ99" s="1477"/>
      <c r="BA99" s="1477"/>
      <c r="BB99" s="1477"/>
      <c r="BC99" s="1477"/>
      <c r="BD99" s="1477"/>
      <c r="BE99" s="1477"/>
      <c r="BF99" s="1477"/>
      <c r="BG99" s="1477"/>
      <c r="BH99" s="1477"/>
      <c r="BI99" s="1477"/>
      <c r="BJ99" s="1477"/>
      <c r="BK99" s="1477"/>
      <c r="BL99" s="1477"/>
      <c r="BM99" s="1477"/>
      <c r="BN99" s="1477"/>
      <c r="BO99" s="1477"/>
      <c r="BP99" s="1477"/>
      <c r="BQ99" s="1477"/>
      <c r="BR99" s="1477"/>
      <c r="BS99" s="1477"/>
      <c r="BT99" s="1477"/>
      <c r="BU99" s="1477"/>
      <c r="BV99" s="1477"/>
      <c r="BW99" s="1477"/>
      <c r="BX99" s="1477"/>
      <c r="BY99" s="1477"/>
      <c r="BZ99" s="1477"/>
      <c r="CA99" s="1477"/>
      <c r="CB99" s="1477"/>
      <c r="CC99" s="1477"/>
      <c r="CD99" s="1477"/>
      <c r="CE99" s="1477"/>
      <c r="CF99" s="1477"/>
      <c r="CG99" s="1477"/>
      <c r="CH99" s="1477"/>
    </row>
    <row r="100" spans="2:86" hidden="1">
      <c r="B100" s="1714"/>
      <c r="C100" s="679" t="str" cm="1">
        <f t="array" ref="C100:D100">'14. Project Costs'!C103:D103</f>
        <v>Perm Lender Origination/Points</v>
      </c>
      <c r="D100" s="680">
        <v>0</v>
      </c>
      <c r="E100" s="184">
        <f>PC_FIN_Perm_Lender_Orig_Total</f>
        <v>0</v>
      </c>
      <c r="F100" s="1573">
        <f t="shared" si="37"/>
        <v>0</v>
      </c>
      <c r="G100" s="1574">
        <f t="shared" si="38"/>
        <v>0</v>
      </c>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714"/>
      <c r="AL100" s="1477"/>
      <c r="AM100" s="1477"/>
      <c r="AN100" s="1477"/>
      <c r="AO100" s="284"/>
      <c r="AP100" s="1477"/>
      <c r="AQ100" s="1477"/>
      <c r="AR100" s="1477"/>
      <c r="AS100" s="1477"/>
      <c r="AT100" s="1477"/>
      <c r="AU100" s="1477"/>
      <c r="AV100" s="1477"/>
      <c r="AW100" s="1477"/>
      <c r="AX100" s="1477"/>
      <c r="AY100" s="1477"/>
      <c r="AZ100" s="1477"/>
      <c r="BA100" s="1477"/>
      <c r="BB100" s="1477"/>
      <c r="BC100" s="1477"/>
      <c r="BD100" s="1477"/>
      <c r="BE100" s="1477"/>
      <c r="BF100" s="1477"/>
      <c r="BG100" s="1477"/>
      <c r="BH100" s="1477"/>
      <c r="BI100" s="1477"/>
      <c r="BJ100" s="1477"/>
      <c r="BK100" s="1477"/>
      <c r="BL100" s="1477"/>
      <c r="BM100" s="1477"/>
      <c r="BN100" s="1477"/>
      <c r="BO100" s="1477"/>
      <c r="BP100" s="1477"/>
      <c r="BQ100" s="1477"/>
      <c r="BR100" s="1477"/>
      <c r="BS100" s="1477"/>
      <c r="BT100" s="1477"/>
      <c r="BU100" s="1477"/>
      <c r="BV100" s="1477"/>
      <c r="BW100" s="1477"/>
      <c r="BX100" s="1477"/>
      <c r="BY100" s="1477"/>
      <c r="BZ100" s="1477"/>
      <c r="CA100" s="1477"/>
      <c r="CB100" s="1477"/>
      <c r="CC100" s="1477"/>
      <c r="CD100" s="1477"/>
      <c r="CE100" s="1477"/>
      <c r="CF100" s="1477"/>
      <c r="CG100" s="1477"/>
      <c r="CH100" s="1477"/>
    </row>
    <row r="101" spans="2:86" hidden="1">
      <c r="B101" s="1714"/>
      <c r="C101" s="679" t="str" cm="1">
        <f t="array" ref="C101:D101">'14. Project Costs'!C104:D104</f>
        <v>Perm Lender Legal Fees</v>
      </c>
      <c r="D101" s="680">
        <v>0</v>
      </c>
      <c r="E101" s="184">
        <f>PC_FIN_Perm_Lender_Legal_Total</f>
        <v>0</v>
      </c>
      <c r="F101" s="1573">
        <f t="shared" si="37"/>
        <v>0</v>
      </c>
      <c r="G101" s="1574">
        <f t="shared" si="38"/>
        <v>0</v>
      </c>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714"/>
      <c r="AL101" s="1477"/>
      <c r="AM101" s="1477"/>
      <c r="AN101" s="1477"/>
      <c r="AO101" s="284"/>
      <c r="AP101" s="1477"/>
      <c r="AQ101" s="1477"/>
      <c r="AR101" s="1477"/>
      <c r="AS101" s="1477"/>
      <c r="AT101" s="1477"/>
      <c r="AU101" s="1477"/>
      <c r="AV101" s="1477"/>
      <c r="AW101" s="1477"/>
      <c r="AX101" s="1477"/>
      <c r="AY101" s="1477"/>
      <c r="AZ101" s="1477"/>
      <c r="BA101" s="1477"/>
      <c r="BB101" s="1477"/>
      <c r="BC101" s="1477"/>
      <c r="BD101" s="1477"/>
      <c r="BE101" s="1477"/>
      <c r="BF101" s="1477"/>
      <c r="BG101" s="1477"/>
      <c r="BH101" s="1477"/>
      <c r="BI101" s="1477"/>
      <c r="BJ101" s="1477"/>
      <c r="BK101" s="1477"/>
      <c r="BL101" s="1477"/>
      <c r="BM101" s="1477"/>
      <c r="BN101" s="1477"/>
      <c r="BO101" s="1477"/>
      <c r="BP101" s="1477"/>
      <c r="BQ101" s="1477"/>
      <c r="BR101" s="1477"/>
      <c r="BS101" s="1477"/>
      <c r="BT101" s="1477"/>
      <c r="BU101" s="1477"/>
      <c r="BV101" s="1477"/>
      <c r="BW101" s="1477"/>
      <c r="BX101" s="1477"/>
      <c r="BY101" s="1477"/>
      <c r="BZ101" s="1477"/>
      <c r="CA101" s="1477"/>
      <c r="CB101" s="1477"/>
      <c r="CC101" s="1477"/>
      <c r="CD101" s="1477"/>
      <c r="CE101" s="1477"/>
      <c r="CF101" s="1477"/>
      <c r="CG101" s="1477"/>
      <c r="CH101" s="1477"/>
    </row>
    <row r="102" spans="2:86">
      <c r="B102" s="1714"/>
      <c r="C102" s="679" t="str" cm="1">
        <f t="array" ref="C102:D102">'14. Project Costs'!C105:D105</f>
        <v>Permanent Loan Credit Enhancement</v>
      </c>
      <c r="D102" s="680">
        <v>0</v>
      </c>
      <c r="E102" s="184">
        <f>PC_FIN_Credit_Enhance_Perm_Loan_Total</f>
        <v>0</v>
      </c>
      <c r="F102" s="1573">
        <f t="shared" si="37"/>
        <v>0</v>
      </c>
      <c r="G102" s="1574">
        <f t="shared" si="38"/>
        <v>0</v>
      </c>
      <c r="H102" s="1574"/>
      <c r="I102" s="1574"/>
      <c r="J102" s="1574"/>
      <c r="K102" s="1574"/>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4"/>
      <c r="AF102" s="1574"/>
      <c r="AG102" s="1574"/>
      <c r="AH102" s="1574"/>
      <c r="AI102" s="1574"/>
      <c r="AJ102" s="1574"/>
      <c r="AK102" s="1714"/>
      <c r="AL102" s="1477"/>
      <c r="AM102" s="1477"/>
      <c r="AN102" s="1477"/>
      <c r="AO102" s="284"/>
      <c r="AP102" s="1477"/>
      <c r="AQ102" s="1477"/>
      <c r="AR102" s="1477"/>
      <c r="AS102" s="1477"/>
      <c r="AT102" s="1477"/>
      <c r="AU102" s="1477"/>
      <c r="AV102" s="1477"/>
      <c r="AW102" s="1477"/>
      <c r="AX102" s="1477"/>
      <c r="AY102" s="1477"/>
      <c r="AZ102" s="1477"/>
      <c r="BA102" s="1477"/>
      <c r="BB102" s="1477"/>
      <c r="BC102" s="1477"/>
      <c r="BD102" s="1477"/>
      <c r="BE102" s="1477"/>
      <c r="BF102" s="1477"/>
      <c r="BG102" s="1477"/>
      <c r="BH102" s="1477"/>
      <c r="BI102" s="1477"/>
      <c r="BJ102" s="1477"/>
      <c r="BK102" s="1477"/>
      <c r="BL102" s="1477"/>
      <c r="BM102" s="1477"/>
      <c r="BN102" s="1477"/>
      <c r="BO102" s="1477"/>
      <c r="BP102" s="1477"/>
      <c r="BQ102" s="1477"/>
      <c r="BR102" s="1477"/>
      <c r="BS102" s="1477"/>
      <c r="BT102" s="1477"/>
      <c r="BU102" s="1477"/>
      <c r="BV102" s="1477"/>
      <c r="BW102" s="1477"/>
      <c r="BX102" s="1477"/>
      <c r="BY102" s="1477"/>
      <c r="BZ102" s="1477"/>
      <c r="CA102" s="1477"/>
      <c r="CB102" s="1477"/>
      <c r="CC102" s="1477"/>
      <c r="CD102" s="1477"/>
      <c r="CE102" s="1477"/>
      <c r="CF102" s="1477"/>
      <c r="CG102" s="1477"/>
      <c r="CH102" s="1477"/>
    </row>
    <row r="103" spans="2:86" hidden="1">
      <c r="B103" s="1714"/>
      <c r="C103" s="673" t="str" cm="1">
        <f t="array" ref="C103:D103">'14. Project Costs'!C106:D106</f>
        <v>Perm Closing Title and Recording</v>
      </c>
      <c r="D103" s="674">
        <v>0</v>
      </c>
      <c r="E103" s="184">
        <f>PC_FIN_Perm_Closing_Title_Total</f>
        <v>0</v>
      </c>
      <c r="F103" s="1573">
        <f t="shared" si="37"/>
        <v>0</v>
      </c>
      <c r="G103" s="1574">
        <f t="shared" si="38"/>
        <v>0</v>
      </c>
      <c r="H103" s="1574"/>
      <c r="I103" s="1574"/>
      <c r="J103" s="1574"/>
      <c r="K103" s="1574"/>
      <c r="L103" s="1574"/>
      <c r="M103" s="1574"/>
      <c r="N103" s="1574"/>
      <c r="O103" s="1574"/>
      <c r="P103" s="1574"/>
      <c r="Q103" s="1574"/>
      <c r="R103" s="1574"/>
      <c r="S103" s="1574"/>
      <c r="T103" s="1574"/>
      <c r="U103" s="1574"/>
      <c r="V103" s="1574"/>
      <c r="W103" s="1574"/>
      <c r="X103" s="1574"/>
      <c r="Y103" s="1574"/>
      <c r="Z103" s="1574"/>
      <c r="AA103" s="1574"/>
      <c r="AB103" s="1574"/>
      <c r="AC103" s="1574"/>
      <c r="AD103" s="1574"/>
      <c r="AE103" s="1574"/>
      <c r="AF103" s="1574"/>
      <c r="AG103" s="1574"/>
      <c r="AH103" s="1574"/>
      <c r="AI103" s="1574"/>
      <c r="AJ103" s="1574"/>
      <c r="AK103" s="1714"/>
      <c r="AL103" s="1477"/>
      <c r="AM103" s="1477"/>
      <c r="AN103" s="1477"/>
      <c r="AO103" s="284"/>
      <c r="AP103" s="1477"/>
      <c r="AQ103" s="1477"/>
      <c r="AR103" s="1477"/>
      <c r="AS103" s="1477"/>
      <c r="AT103" s="1477"/>
      <c r="AU103" s="1477"/>
      <c r="AV103" s="1477"/>
      <c r="AW103" s="1477"/>
      <c r="AX103" s="1477"/>
      <c r="AY103" s="1477"/>
      <c r="AZ103" s="1477"/>
      <c r="BA103" s="1477"/>
      <c r="BB103" s="1477"/>
      <c r="BC103" s="1477"/>
      <c r="BD103" s="1477"/>
      <c r="BE103" s="1477"/>
      <c r="BF103" s="1477"/>
      <c r="BG103" s="1477"/>
      <c r="BH103" s="1477"/>
      <c r="BI103" s="1477"/>
      <c r="BJ103" s="1477"/>
      <c r="BK103" s="1477"/>
      <c r="BL103" s="1477"/>
      <c r="BM103" s="1477"/>
      <c r="BN103" s="1477"/>
      <c r="BO103" s="1477"/>
      <c r="BP103" s="1477"/>
      <c r="BQ103" s="1477"/>
      <c r="BR103" s="1477"/>
      <c r="BS103" s="1477"/>
      <c r="BT103" s="1477"/>
      <c r="BU103" s="1477"/>
      <c r="BV103" s="1477"/>
      <c r="BW103" s="1477"/>
      <c r="BX103" s="1477"/>
      <c r="BY103" s="1477"/>
      <c r="BZ103" s="1477"/>
      <c r="CA103" s="1477"/>
      <c r="CB103" s="1477"/>
      <c r="CC103" s="1477"/>
      <c r="CD103" s="1477"/>
      <c r="CE103" s="1477"/>
      <c r="CF103" s="1477"/>
      <c r="CG103" s="1477"/>
      <c r="CH103" s="1477"/>
    </row>
    <row r="104" spans="2:86" hidden="1">
      <c r="B104" s="1714"/>
      <c r="C104" s="673" t="str" cm="1">
        <f t="array" ref="C104:D104">'14. Project Costs'!C107:D107</f>
        <v xml:space="preserve">Perm Closing Property Taxes  </v>
      </c>
      <c r="D104" s="674">
        <v>0</v>
      </c>
      <c r="E104" s="184">
        <f>PC_FIN_Perm_Closing_Property_Total</f>
        <v>0</v>
      </c>
      <c r="F104" s="1573">
        <f t="shared" si="37"/>
        <v>0</v>
      </c>
      <c r="G104" s="1574">
        <f t="shared" si="38"/>
        <v>0</v>
      </c>
      <c r="H104" s="1574"/>
      <c r="I104" s="1574"/>
      <c r="J104" s="1574"/>
      <c r="K104" s="1574"/>
      <c r="L104" s="1574"/>
      <c r="M104" s="1574"/>
      <c r="N104" s="1574"/>
      <c r="O104" s="1574"/>
      <c r="P104" s="1574"/>
      <c r="Q104" s="1574"/>
      <c r="R104" s="1574"/>
      <c r="S104" s="1574"/>
      <c r="T104" s="1574"/>
      <c r="U104" s="1574"/>
      <c r="V104" s="1574"/>
      <c r="W104" s="1574"/>
      <c r="X104" s="1574"/>
      <c r="Y104" s="1574"/>
      <c r="Z104" s="1574"/>
      <c r="AA104" s="1574"/>
      <c r="AB104" s="1574"/>
      <c r="AC104" s="1574"/>
      <c r="AD104" s="1574"/>
      <c r="AE104" s="1574"/>
      <c r="AF104" s="1574"/>
      <c r="AG104" s="1574"/>
      <c r="AH104" s="1574"/>
      <c r="AI104" s="1574"/>
      <c r="AJ104" s="1574"/>
      <c r="AK104" s="1714"/>
      <c r="AL104" s="1477"/>
      <c r="AM104" s="1477"/>
      <c r="AN104" s="1477"/>
      <c r="AO104" s="284"/>
      <c r="AP104" s="1477"/>
      <c r="AQ104" s="1477"/>
      <c r="AR104" s="1477"/>
      <c r="AS104" s="1477"/>
      <c r="AT104" s="1477"/>
      <c r="AU104" s="1477"/>
      <c r="AV104" s="1477"/>
      <c r="AW104" s="1477"/>
      <c r="AX104" s="1477"/>
      <c r="AY104" s="1477"/>
      <c r="AZ104" s="1477"/>
      <c r="BA104" s="1477"/>
      <c r="BB104" s="1477"/>
      <c r="BC104" s="1477"/>
      <c r="BD104" s="1477"/>
      <c r="BE104" s="1477"/>
      <c r="BF104" s="1477"/>
      <c r="BG104" s="1477"/>
      <c r="BH104" s="1477"/>
      <c r="BI104" s="1477"/>
      <c r="BJ104" s="1477"/>
      <c r="BK104" s="1477"/>
      <c r="BL104" s="1477"/>
      <c r="BM104" s="1477"/>
      <c r="BN104" s="1477"/>
      <c r="BO104" s="1477"/>
      <c r="BP104" s="1477"/>
      <c r="BQ104" s="1477"/>
      <c r="BR104" s="1477"/>
      <c r="BS104" s="1477"/>
      <c r="BT104" s="1477"/>
      <c r="BU104" s="1477"/>
      <c r="BV104" s="1477"/>
      <c r="BW104" s="1477"/>
      <c r="BX104" s="1477"/>
      <c r="BY104" s="1477"/>
      <c r="BZ104" s="1477"/>
      <c r="CA104" s="1477"/>
      <c r="CB104" s="1477"/>
      <c r="CC104" s="1477"/>
      <c r="CD104" s="1477"/>
      <c r="CE104" s="1477"/>
      <c r="CF104" s="1477"/>
      <c r="CG104" s="1477"/>
      <c r="CH104" s="1477"/>
    </row>
    <row r="105" spans="2:86">
      <c r="B105" s="1714"/>
      <c r="C105" s="681" t="str" cm="1">
        <f t="array" ref="C105:D105">'14. Project Costs'!C108:D108</f>
        <v>Legal Fees - Real Estate</v>
      </c>
      <c r="D105" s="682">
        <v>0</v>
      </c>
      <c r="E105" s="184">
        <f>PC_FIN_Legal_Fees_RE_Total</f>
        <v>0</v>
      </c>
      <c r="F105" s="1573">
        <f t="shared" si="37"/>
        <v>0</v>
      </c>
      <c r="G105" s="1574">
        <f t="shared" si="38"/>
        <v>0</v>
      </c>
      <c r="H105" s="1574"/>
      <c r="I105" s="1574"/>
      <c r="J105" s="1574"/>
      <c r="K105" s="1574"/>
      <c r="L105" s="1574"/>
      <c r="M105" s="1574"/>
      <c r="N105" s="1574"/>
      <c r="O105" s="1574"/>
      <c r="P105" s="1574"/>
      <c r="Q105" s="1574"/>
      <c r="R105" s="1574"/>
      <c r="S105" s="1574"/>
      <c r="T105" s="1574"/>
      <c r="U105" s="1574"/>
      <c r="V105" s="1574"/>
      <c r="W105" s="1574"/>
      <c r="X105" s="1574"/>
      <c r="Y105" s="1574"/>
      <c r="Z105" s="1574"/>
      <c r="AA105" s="1574"/>
      <c r="AB105" s="1574"/>
      <c r="AC105" s="1574"/>
      <c r="AD105" s="1574"/>
      <c r="AE105" s="1574"/>
      <c r="AF105" s="1574"/>
      <c r="AG105" s="1574"/>
      <c r="AH105" s="1574"/>
      <c r="AI105" s="1574"/>
      <c r="AJ105" s="1574"/>
      <c r="AK105" s="1714"/>
      <c r="AL105" s="1477"/>
      <c r="AM105" s="1477"/>
      <c r="AN105" s="1477"/>
      <c r="AO105" s="284"/>
      <c r="AP105" s="1477"/>
      <c r="AQ105" s="1477"/>
      <c r="AR105" s="1477"/>
      <c r="AS105" s="1477"/>
      <c r="AT105" s="1477"/>
      <c r="AU105" s="1477"/>
      <c r="AV105" s="1477"/>
      <c r="AW105" s="1477"/>
      <c r="AX105" s="1477"/>
      <c r="AY105" s="1477"/>
      <c r="AZ105" s="1477"/>
      <c r="BA105" s="1477"/>
      <c r="BB105" s="1477"/>
      <c r="BC105" s="1477"/>
      <c r="BD105" s="1477"/>
      <c r="BE105" s="1477"/>
      <c r="BF105" s="1477"/>
      <c r="BG105" s="1477"/>
      <c r="BH105" s="1477"/>
      <c r="BI105" s="1477"/>
      <c r="BJ105" s="1477"/>
      <c r="BK105" s="1477"/>
      <c r="BL105" s="1477"/>
      <c r="BM105" s="1477"/>
      <c r="BN105" s="1477"/>
      <c r="BO105" s="1477"/>
      <c r="BP105" s="1477"/>
      <c r="BQ105" s="1477"/>
      <c r="BR105" s="1477"/>
      <c r="BS105" s="1477"/>
      <c r="BT105" s="1477"/>
      <c r="BU105" s="1477"/>
      <c r="BV105" s="1477"/>
      <c r="BW105" s="1477"/>
      <c r="BX105" s="1477"/>
      <c r="BY105" s="1477"/>
      <c r="BZ105" s="1477"/>
      <c r="CA105" s="1477"/>
      <c r="CB105" s="1477"/>
      <c r="CC105" s="1477"/>
      <c r="CD105" s="1477"/>
      <c r="CE105" s="1477"/>
      <c r="CF105" s="1477"/>
      <c r="CG105" s="1477"/>
      <c r="CH105" s="1477"/>
    </row>
    <row r="106" spans="2:86">
      <c r="B106" s="1714"/>
      <c r="C106" s="681" t="str" cm="1">
        <f t="array" ref="C106:D106">'14. Project Costs'!C109:D109</f>
        <v>Other Financing Fees and Expenses</v>
      </c>
      <c r="D106" s="682">
        <v>0</v>
      </c>
      <c r="E106" s="184">
        <f>PC_FIN_Other_Perm_Finan_Total</f>
        <v>0</v>
      </c>
      <c r="F106" s="1573">
        <f t="shared" si="37"/>
        <v>0</v>
      </c>
      <c r="G106" s="1574">
        <f t="shared" si="38"/>
        <v>0</v>
      </c>
      <c r="H106" s="1574"/>
      <c r="I106" s="1574"/>
      <c r="J106" s="1574"/>
      <c r="K106" s="1574"/>
      <c r="L106" s="1574"/>
      <c r="M106" s="1574"/>
      <c r="N106" s="1574"/>
      <c r="O106" s="1574"/>
      <c r="P106" s="1574"/>
      <c r="Q106" s="1574"/>
      <c r="R106" s="1574"/>
      <c r="S106" s="1574"/>
      <c r="T106" s="1574"/>
      <c r="U106" s="1574"/>
      <c r="V106" s="1574"/>
      <c r="W106" s="1574"/>
      <c r="X106" s="1574"/>
      <c r="Y106" s="1574"/>
      <c r="Z106" s="1574"/>
      <c r="AA106" s="1574"/>
      <c r="AB106" s="1574"/>
      <c r="AC106" s="1574"/>
      <c r="AD106" s="1574"/>
      <c r="AE106" s="1574"/>
      <c r="AF106" s="1574"/>
      <c r="AG106" s="1574"/>
      <c r="AH106" s="1574"/>
      <c r="AI106" s="1574"/>
      <c r="AJ106" s="1574"/>
      <c r="AK106" s="1714"/>
      <c r="AL106" s="1477"/>
      <c r="AM106" s="1477"/>
      <c r="AN106" s="1477"/>
      <c r="AO106" s="284"/>
      <c r="AP106" s="1477"/>
      <c r="AQ106" s="1477"/>
      <c r="AR106" s="1477"/>
      <c r="AS106" s="1477"/>
      <c r="AT106" s="1477"/>
      <c r="AU106" s="1477"/>
      <c r="AV106" s="1477"/>
      <c r="AW106" s="1477"/>
      <c r="AX106" s="1477"/>
      <c r="AY106" s="1477"/>
      <c r="AZ106" s="1477"/>
      <c r="BA106" s="1477"/>
      <c r="BB106" s="1477"/>
      <c r="BC106" s="1477"/>
      <c r="BD106" s="1477"/>
      <c r="BE106" s="1477"/>
      <c r="BF106" s="1477"/>
      <c r="BG106" s="1477"/>
      <c r="BH106" s="1477"/>
      <c r="BI106" s="1477"/>
      <c r="BJ106" s="1477"/>
      <c r="BK106" s="1477"/>
      <c r="BL106" s="1477"/>
      <c r="BM106" s="1477"/>
      <c r="BN106" s="1477"/>
      <c r="BO106" s="1477"/>
      <c r="BP106" s="1477"/>
      <c r="BQ106" s="1477"/>
      <c r="BR106" s="1477"/>
      <c r="BS106" s="1477"/>
      <c r="BT106" s="1477"/>
      <c r="BU106" s="1477"/>
      <c r="BV106" s="1477"/>
      <c r="BW106" s="1477"/>
      <c r="BX106" s="1477"/>
      <c r="BY106" s="1477"/>
      <c r="BZ106" s="1477"/>
      <c r="CA106" s="1477"/>
      <c r="CB106" s="1477"/>
      <c r="CC106" s="1477"/>
      <c r="CD106" s="1477"/>
      <c r="CE106" s="1477"/>
      <c r="CF106" s="1477"/>
      <c r="CG106" s="1477"/>
      <c r="CH106" s="1477"/>
    </row>
    <row r="107" spans="2:86">
      <c r="B107" s="1714"/>
      <c r="C107" s="126" t="s">
        <v>3230</v>
      </c>
      <c r="D107" s="126"/>
      <c r="E107" s="185">
        <f>SUM(E98:E106)</f>
        <v>0</v>
      </c>
      <c r="F107" s="186">
        <f>SUM(F98:F106)</f>
        <v>0</v>
      </c>
      <c r="G107" s="186">
        <f t="shared" ref="G107:AJ107" si="39">SUM(G98:G106)</f>
        <v>0</v>
      </c>
      <c r="H107" s="186">
        <f t="shared" si="39"/>
        <v>0</v>
      </c>
      <c r="I107" s="186">
        <f t="shared" si="39"/>
        <v>0</v>
      </c>
      <c r="J107" s="186">
        <f t="shared" si="39"/>
        <v>0</v>
      </c>
      <c r="K107" s="186">
        <f t="shared" si="39"/>
        <v>0</v>
      </c>
      <c r="L107" s="186">
        <f t="shared" si="39"/>
        <v>0</v>
      </c>
      <c r="M107" s="186">
        <f t="shared" si="39"/>
        <v>0</v>
      </c>
      <c r="N107" s="186">
        <f t="shared" si="39"/>
        <v>0</v>
      </c>
      <c r="O107" s="186">
        <f t="shared" si="39"/>
        <v>0</v>
      </c>
      <c r="P107" s="186">
        <f t="shared" si="39"/>
        <v>0</v>
      </c>
      <c r="Q107" s="186">
        <f t="shared" si="39"/>
        <v>0</v>
      </c>
      <c r="R107" s="186">
        <f t="shared" si="39"/>
        <v>0</v>
      </c>
      <c r="S107" s="186">
        <f t="shared" si="39"/>
        <v>0</v>
      </c>
      <c r="T107" s="186">
        <f t="shared" si="39"/>
        <v>0</v>
      </c>
      <c r="U107" s="186">
        <f t="shared" si="39"/>
        <v>0</v>
      </c>
      <c r="V107" s="186">
        <f t="shared" si="39"/>
        <v>0</v>
      </c>
      <c r="W107" s="186">
        <f t="shared" si="39"/>
        <v>0</v>
      </c>
      <c r="X107" s="186">
        <f t="shared" si="39"/>
        <v>0</v>
      </c>
      <c r="Y107" s="186">
        <f t="shared" si="39"/>
        <v>0</v>
      </c>
      <c r="Z107" s="186">
        <f t="shared" si="39"/>
        <v>0</v>
      </c>
      <c r="AA107" s="186">
        <f t="shared" si="39"/>
        <v>0</v>
      </c>
      <c r="AB107" s="186">
        <f t="shared" si="39"/>
        <v>0</v>
      </c>
      <c r="AC107" s="186">
        <f t="shared" si="39"/>
        <v>0</v>
      </c>
      <c r="AD107" s="186">
        <f t="shared" si="39"/>
        <v>0</v>
      </c>
      <c r="AE107" s="186">
        <f t="shared" si="39"/>
        <v>0</v>
      </c>
      <c r="AF107" s="186">
        <f t="shared" si="39"/>
        <v>0</v>
      </c>
      <c r="AG107" s="186">
        <f t="shared" si="39"/>
        <v>0</v>
      </c>
      <c r="AH107" s="186">
        <f t="shared" si="39"/>
        <v>0</v>
      </c>
      <c r="AI107" s="186">
        <f t="shared" si="39"/>
        <v>0</v>
      </c>
      <c r="AJ107" s="186">
        <f t="shared" si="39"/>
        <v>0</v>
      </c>
      <c r="AK107" s="1714"/>
      <c r="AL107" s="1477"/>
      <c r="AM107" s="1477"/>
      <c r="AN107" s="1477"/>
      <c r="AO107" s="284"/>
      <c r="AP107" s="1477"/>
      <c r="AQ107" s="1477"/>
      <c r="AR107" s="1477"/>
      <c r="AS107" s="1477"/>
      <c r="AT107" s="1477"/>
      <c r="AU107" s="1477"/>
      <c r="AV107" s="1477"/>
      <c r="AW107" s="1477"/>
      <c r="AX107" s="1477"/>
      <c r="AY107" s="1477"/>
      <c r="AZ107" s="1477"/>
      <c r="BA107" s="1477"/>
      <c r="BB107" s="1477"/>
      <c r="BC107" s="1477"/>
      <c r="BD107" s="1477"/>
      <c r="BE107" s="1477"/>
      <c r="BF107" s="1477"/>
      <c r="BG107" s="1477"/>
      <c r="BH107" s="1477"/>
      <c r="BI107" s="1477"/>
      <c r="BJ107" s="1477"/>
      <c r="BK107" s="1477"/>
      <c r="BL107" s="1477"/>
      <c r="BM107" s="1477"/>
      <c r="BN107" s="1477"/>
      <c r="BO107" s="1477"/>
      <c r="BP107" s="1477"/>
      <c r="BQ107" s="1477"/>
      <c r="BR107" s="1477"/>
      <c r="BS107" s="1477"/>
      <c r="BT107" s="1477"/>
      <c r="BU107" s="1477"/>
      <c r="BV107" s="1477"/>
      <c r="BW107" s="1477"/>
      <c r="BX107" s="1477"/>
      <c r="BY107" s="1477"/>
      <c r="BZ107" s="1477"/>
      <c r="CA107" s="1477"/>
      <c r="CB107" s="1477"/>
      <c r="CC107" s="1477"/>
      <c r="CD107" s="1477"/>
      <c r="CE107" s="1477"/>
      <c r="CF107" s="1477"/>
      <c r="CG107" s="1477"/>
      <c r="CH107" s="1477"/>
    </row>
    <row r="108" spans="2:86" ht="15.75">
      <c r="B108" s="1714"/>
      <c r="C108" s="127" t="s">
        <v>3231</v>
      </c>
      <c r="D108" s="127"/>
      <c r="E108" s="128"/>
      <c r="F108" s="1572"/>
      <c r="G108" s="1572"/>
      <c r="H108" s="1572"/>
      <c r="I108" s="1572"/>
      <c r="J108" s="1572"/>
      <c r="K108" s="1572"/>
      <c r="L108" s="1572"/>
      <c r="M108" s="1572"/>
      <c r="N108" s="1572"/>
      <c r="O108" s="1572"/>
      <c r="P108" s="1572"/>
      <c r="Q108" s="1572"/>
      <c r="R108" s="1572"/>
      <c r="S108" s="1572"/>
      <c r="T108" s="1572"/>
      <c r="U108" s="1572"/>
      <c r="V108" s="1572"/>
      <c r="W108" s="1572"/>
      <c r="X108" s="1572"/>
      <c r="Y108" s="1572"/>
      <c r="Z108" s="1572"/>
      <c r="AA108" s="1572"/>
      <c r="AB108" s="1572"/>
      <c r="AC108" s="1572"/>
      <c r="AD108" s="1572"/>
      <c r="AE108" s="1572"/>
      <c r="AF108" s="1572"/>
      <c r="AG108" s="1572"/>
      <c r="AH108" s="1572"/>
      <c r="AI108" s="1572"/>
      <c r="AJ108" s="1572"/>
      <c r="AK108" s="1714"/>
      <c r="AL108" s="1477"/>
      <c r="AM108" s="1477"/>
      <c r="AN108" s="1477"/>
      <c r="AO108" s="284"/>
      <c r="AP108" s="1477"/>
      <c r="AQ108" s="1477"/>
      <c r="AR108" s="1477"/>
      <c r="AS108" s="1477"/>
      <c r="AT108" s="1477"/>
      <c r="AU108" s="1477"/>
      <c r="AV108" s="1477"/>
      <c r="AW108" s="1477"/>
      <c r="AX108" s="1477"/>
      <c r="AY108" s="1477"/>
      <c r="AZ108" s="1477"/>
      <c r="BA108" s="1477"/>
      <c r="BB108" s="1477"/>
      <c r="BC108" s="1477"/>
      <c r="BD108" s="1477"/>
      <c r="BE108" s="1477"/>
      <c r="BF108" s="1477"/>
      <c r="BG108" s="1477"/>
      <c r="BH108" s="1477"/>
      <c r="BI108" s="1477"/>
      <c r="BJ108" s="1477"/>
      <c r="BK108" s="1477"/>
      <c r="BL108" s="1477"/>
      <c r="BM108" s="1477"/>
      <c r="BN108" s="1477"/>
      <c r="BO108" s="1477"/>
      <c r="BP108" s="1477"/>
      <c r="BQ108" s="1477"/>
      <c r="BR108" s="1477"/>
      <c r="BS108" s="1477"/>
      <c r="BT108" s="1477"/>
      <c r="BU108" s="1477"/>
      <c r="BV108" s="1477"/>
      <c r="BW108" s="1477"/>
      <c r="BX108" s="1477"/>
      <c r="BY108" s="1477"/>
      <c r="BZ108" s="1477"/>
      <c r="CA108" s="1477"/>
      <c r="CB108" s="1477"/>
      <c r="CC108" s="1477"/>
      <c r="CD108" s="1477"/>
      <c r="CE108" s="1477"/>
      <c r="CF108" s="1477"/>
      <c r="CG108" s="1477"/>
      <c r="CH108" s="1477"/>
    </row>
    <row r="109" spans="2:86">
      <c r="B109" s="1714"/>
      <c r="C109" s="673" t="str" cm="1">
        <f t="array" ref="C109:D109">'14. Project Costs'!C112:D112</f>
        <v>Architect's Fee - Design</v>
      </c>
      <c r="D109" s="674" t="str">
        <v>N/A</v>
      </c>
      <c r="E109" s="184">
        <f>PC_ARC_Arch_Design_Total</f>
        <v>0</v>
      </c>
      <c r="F109" s="1573">
        <f t="shared" ref="F109:F113" si="40">+E109-SUM(G109:AJ109)</f>
        <v>0</v>
      </c>
      <c r="G109" s="1574">
        <f>+E109</f>
        <v>0</v>
      </c>
      <c r="H109" s="1574"/>
      <c r="I109" s="1574"/>
      <c r="J109" s="1574"/>
      <c r="K109" s="1574"/>
      <c r="L109" s="1574"/>
      <c r="M109" s="1574"/>
      <c r="N109" s="1574"/>
      <c r="O109" s="1574"/>
      <c r="P109" s="1574"/>
      <c r="Q109" s="1574"/>
      <c r="R109" s="1574"/>
      <c r="S109" s="1574"/>
      <c r="T109" s="1574"/>
      <c r="U109" s="1574"/>
      <c r="V109" s="1574"/>
      <c r="W109" s="1574"/>
      <c r="X109" s="1574"/>
      <c r="Y109" s="1574"/>
      <c r="Z109" s="1574"/>
      <c r="AA109" s="1574"/>
      <c r="AB109" s="1574"/>
      <c r="AC109" s="1574"/>
      <c r="AD109" s="1574"/>
      <c r="AE109" s="1574"/>
      <c r="AF109" s="1574"/>
      <c r="AG109" s="1574"/>
      <c r="AH109" s="1574"/>
      <c r="AI109" s="1574"/>
      <c r="AJ109" s="1574"/>
      <c r="AK109" s="1714"/>
      <c r="AL109" s="1477"/>
      <c r="AM109" s="1477"/>
      <c r="AN109" s="1477"/>
      <c r="AO109" s="284"/>
      <c r="AP109" s="1477"/>
      <c r="AQ109" s="1477"/>
      <c r="AR109" s="1477"/>
      <c r="AS109" s="1477"/>
      <c r="AT109" s="1477"/>
      <c r="AU109" s="1477"/>
      <c r="AV109" s="1477"/>
      <c r="AW109" s="1477"/>
      <c r="AX109" s="1477"/>
      <c r="AY109" s="1477"/>
      <c r="AZ109" s="1477"/>
      <c r="BA109" s="1477"/>
      <c r="BB109" s="1477"/>
      <c r="BC109" s="1477"/>
      <c r="BD109" s="1477"/>
      <c r="BE109" s="1477"/>
      <c r="BF109" s="1477"/>
      <c r="BG109" s="1477"/>
      <c r="BH109" s="1477"/>
      <c r="BI109" s="1477"/>
      <c r="BJ109" s="1477"/>
      <c r="BK109" s="1477"/>
      <c r="BL109" s="1477"/>
      <c r="BM109" s="1477"/>
      <c r="BN109" s="1477"/>
      <c r="BO109" s="1477"/>
      <c r="BP109" s="1477"/>
      <c r="BQ109" s="1477"/>
      <c r="BR109" s="1477"/>
      <c r="BS109" s="1477"/>
      <c r="BT109" s="1477"/>
      <c r="BU109" s="1477"/>
      <c r="BV109" s="1477"/>
      <c r="BW109" s="1477"/>
      <c r="BX109" s="1477"/>
      <c r="BY109" s="1477"/>
      <c r="BZ109" s="1477"/>
      <c r="CA109" s="1477"/>
      <c r="CB109" s="1477"/>
      <c r="CC109" s="1477"/>
      <c r="CD109" s="1477"/>
      <c r="CE109" s="1477"/>
      <c r="CF109" s="1477"/>
      <c r="CG109" s="1477"/>
      <c r="CH109" s="1477"/>
    </row>
    <row r="110" spans="2:86">
      <c r="B110" s="1714"/>
      <c r="C110" s="673" t="str" cm="1">
        <f t="array" ref="C110:D110">'14. Project Costs'!C113:D113</f>
        <v>Architect's Fee - Inspection/Supervision</v>
      </c>
      <c r="D110" s="674" t="str">
        <v>N/A</v>
      </c>
      <c r="E110" s="184">
        <f>PC_ARC_Arch_Super_Total</f>
        <v>0</v>
      </c>
      <c r="F110" s="1573">
        <f t="shared" si="40"/>
        <v>0</v>
      </c>
      <c r="G110" s="1574"/>
      <c r="H110" s="1574"/>
      <c r="I110" s="1574"/>
      <c r="J110" s="1574"/>
      <c r="K110" s="1574"/>
      <c r="L110" s="1574"/>
      <c r="M110" s="1574"/>
      <c r="N110" s="1574"/>
      <c r="O110" s="1574"/>
      <c r="P110" s="1574"/>
      <c r="Q110" s="1574"/>
      <c r="R110" s="1574"/>
      <c r="S110" s="1574"/>
      <c r="T110" s="1574"/>
      <c r="U110" s="1574"/>
      <c r="V110" s="1574"/>
      <c r="W110" s="1574"/>
      <c r="X110" s="1574"/>
      <c r="Y110" s="1574"/>
      <c r="Z110" s="1574"/>
      <c r="AA110" s="1574"/>
      <c r="AB110" s="1574"/>
      <c r="AC110" s="1574"/>
      <c r="AD110" s="1574"/>
      <c r="AE110" s="1574"/>
      <c r="AF110" s="1574"/>
      <c r="AG110" s="1574"/>
      <c r="AH110" s="1574"/>
      <c r="AI110" s="1574"/>
      <c r="AJ110" s="1574"/>
      <c r="AK110" s="1714"/>
      <c r="AL110" s="1477"/>
      <c r="AM110" s="1477"/>
      <c r="AN110" s="1477"/>
      <c r="AO110" s="284"/>
      <c r="AP110" s="1477"/>
      <c r="AQ110" s="1477"/>
      <c r="AR110" s="1477"/>
      <c r="AS110" s="1477"/>
      <c r="AT110" s="1477"/>
      <c r="AU110" s="1477"/>
      <c r="AV110" s="1477"/>
      <c r="AW110" s="1477"/>
      <c r="AX110" s="1477"/>
      <c r="AY110" s="1477"/>
      <c r="AZ110" s="1477"/>
      <c r="BA110" s="1477"/>
      <c r="BB110" s="1477"/>
      <c r="BC110" s="1477"/>
      <c r="BD110" s="1477"/>
      <c r="BE110" s="1477"/>
      <c r="BF110" s="1477"/>
      <c r="BG110" s="1477"/>
      <c r="BH110" s="1477"/>
      <c r="BI110" s="1477"/>
      <c r="BJ110" s="1477"/>
      <c r="BK110" s="1477"/>
      <c r="BL110" s="1477"/>
      <c r="BM110" s="1477"/>
      <c r="BN110" s="1477"/>
      <c r="BO110" s="1477"/>
      <c r="BP110" s="1477"/>
      <c r="BQ110" s="1477"/>
      <c r="BR110" s="1477"/>
      <c r="BS110" s="1477"/>
      <c r="BT110" s="1477"/>
      <c r="BU110" s="1477"/>
      <c r="BV110" s="1477"/>
      <c r="BW110" s="1477"/>
      <c r="BX110" s="1477"/>
      <c r="BY110" s="1477"/>
      <c r="BZ110" s="1477"/>
      <c r="CA110" s="1477"/>
      <c r="CB110" s="1477"/>
      <c r="CC110" s="1477"/>
      <c r="CD110" s="1477"/>
      <c r="CE110" s="1477"/>
      <c r="CF110" s="1477"/>
      <c r="CG110" s="1477"/>
      <c r="CH110" s="1477"/>
    </row>
    <row r="111" spans="2:86">
      <c r="B111" s="1714"/>
      <c r="C111" s="678" t="str" cm="1">
        <f t="array" ref="C111:D111">'14. Project Costs'!C114:D114</f>
        <v>Engineering Costs</v>
      </c>
      <c r="D111" s="674">
        <v>0</v>
      </c>
      <c r="E111" s="184">
        <f>PC_ARC_Engineer_Fee_Total</f>
        <v>0</v>
      </c>
      <c r="F111" s="1573">
        <f t="shared" si="40"/>
        <v>0</v>
      </c>
      <c r="G111" s="1574">
        <f>+E111</f>
        <v>0</v>
      </c>
      <c r="H111" s="1574"/>
      <c r="I111" s="1574"/>
      <c r="J111" s="1574"/>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4"/>
      <c r="AF111" s="1574"/>
      <c r="AG111" s="1574"/>
      <c r="AH111" s="1574"/>
      <c r="AI111" s="1574"/>
      <c r="AJ111" s="1574"/>
      <c r="AK111" s="1714"/>
      <c r="AL111" s="1477"/>
      <c r="AM111" s="1477"/>
      <c r="AN111" s="1477"/>
      <c r="AO111" s="284"/>
      <c r="AP111" s="1477"/>
      <c r="AQ111" s="1477"/>
      <c r="AR111" s="1477"/>
      <c r="AS111" s="1477"/>
      <c r="AT111" s="1477"/>
      <c r="AU111" s="1477"/>
      <c r="AV111" s="1477"/>
      <c r="AW111" s="1477"/>
      <c r="AX111" s="1477"/>
      <c r="AY111" s="1477"/>
      <c r="AZ111" s="1477"/>
      <c r="BA111" s="1477"/>
      <c r="BB111" s="1477"/>
      <c r="BC111" s="1477"/>
      <c r="BD111" s="1477"/>
      <c r="BE111" s="1477"/>
      <c r="BF111" s="1477"/>
      <c r="BG111" s="1477"/>
      <c r="BH111" s="1477"/>
      <c r="BI111" s="1477"/>
      <c r="BJ111" s="1477"/>
      <c r="BK111" s="1477"/>
      <c r="BL111" s="1477"/>
      <c r="BM111" s="1477"/>
      <c r="BN111" s="1477"/>
      <c r="BO111" s="1477"/>
      <c r="BP111" s="1477"/>
      <c r="BQ111" s="1477"/>
      <c r="BR111" s="1477"/>
      <c r="BS111" s="1477"/>
      <c r="BT111" s="1477"/>
      <c r="BU111" s="1477"/>
      <c r="BV111" s="1477"/>
      <c r="BW111" s="1477"/>
      <c r="BX111" s="1477"/>
      <c r="BY111" s="1477"/>
      <c r="BZ111" s="1477"/>
      <c r="CA111" s="1477"/>
      <c r="CB111" s="1477"/>
      <c r="CC111" s="1477"/>
      <c r="CD111" s="1477"/>
      <c r="CE111" s="1477"/>
      <c r="CF111" s="1477"/>
      <c r="CG111" s="1477"/>
      <c r="CH111" s="1477"/>
    </row>
    <row r="112" spans="2:86">
      <c r="B112" s="1714"/>
      <c r="C112" s="678" t="str" cm="1">
        <f t="array" ref="C112:D112">'14. Project Costs'!C115:D115</f>
        <v xml:space="preserve">Survey </v>
      </c>
      <c r="D112" s="674">
        <v>0</v>
      </c>
      <c r="E112" s="184">
        <f>PC_ARC_ALTA_Total</f>
        <v>0</v>
      </c>
      <c r="F112" s="1573">
        <f t="shared" si="40"/>
        <v>0</v>
      </c>
      <c r="G112" s="1574">
        <f>+E112</f>
        <v>0</v>
      </c>
      <c r="H112" s="1574"/>
      <c r="I112" s="1574"/>
      <c r="J112" s="1574"/>
      <c r="K112" s="1574"/>
      <c r="L112" s="1574"/>
      <c r="M112" s="1574"/>
      <c r="N112" s="1574"/>
      <c r="O112" s="1574"/>
      <c r="P112" s="1574"/>
      <c r="Q112" s="1574"/>
      <c r="R112" s="1574"/>
      <c r="S112" s="1574"/>
      <c r="T112" s="1574"/>
      <c r="U112" s="1574"/>
      <c r="V112" s="1574"/>
      <c r="W112" s="1574"/>
      <c r="X112" s="1574"/>
      <c r="Y112" s="1574"/>
      <c r="Z112" s="1574"/>
      <c r="AA112" s="1574"/>
      <c r="AB112" s="1574"/>
      <c r="AC112" s="1574"/>
      <c r="AD112" s="1574"/>
      <c r="AE112" s="1574"/>
      <c r="AF112" s="1574"/>
      <c r="AG112" s="1574"/>
      <c r="AH112" s="1574"/>
      <c r="AI112" s="1574"/>
      <c r="AJ112" s="1574"/>
      <c r="AK112" s="1714"/>
      <c r="AL112" s="1477"/>
      <c r="AM112" s="1477"/>
      <c r="AN112" s="1477"/>
      <c r="AO112" s="284"/>
      <c r="AP112" s="1477"/>
      <c r="AQ112" s="1477"/>
      <c r="AR112" s="1477"/>
      <c r="AS112" s="1477"/>
      <c r="AT112" s="1477"/>
      <c r="AU112" s="1477"/>
      <c r="AV112" s="1477"/>
      <c r="AW112" s="1477"/>
      <c r="AX112" s="1477"/>
      <c r="AY112" s="1477"/>
      <c r="AZ112" s="1477"/>
      <c r="BA112" s="1477"/>
      <c r="BB112" s="1477"/>
      <c r="BC112" s="1477"/>
      <c r="BD112" s="1477"/>
      <c r="BE112" s="1477"/>
      <c r="BF112" s="1477"/>
      <c r="BG112" s="1477"/>
      <c r="BH112" s="1477"/>
      <c r="BI112" s="1477"/>
      <c r="BJ112" s="1477"/>
      <c r="BK112" s="1477"/>
      <c r="BL112" s="1477"/>
      <c r="BM112" s="1477"/>
      <c r="BN112" s="1477"/>
      <c r="BO112" s="1477"/>
      <c r="BP112" s="1477"/>
      <c r="BQ112" s="1477"/>
      <c r="BR112" s="1477"/>
      <c r="BS112" s="1477"/>
      <c r="BT112" s="1477"/>
      <c r="BU112" s="1477"/>
      <c r="BV112" s="1477"/>
      <c r="BW112" s="1477"/>
      <c r="BX112" s="1477"/>
      <c r="BY112" s="1477"/>
      <c r="BZ112" s="1477"/>
      <c r="CA112" s="1477"/>
      <c r="CB112" s="1477"/>
      <c r="CC112" s="1477"/>
      <c r="CD112" s="1477"/>
      <c r="CE112" s="1477"/>
      <c r="CF112" s="1477"/>
      <c r="CG112" s="1477"/>
      <c r="CH112" s="1477"/>
    </row>
    <row r="113" spans="2:86">
      <c r="B113" s="1714"/>
      <c r="C113" s="681" t="str" cm="1">
        <f t="array" ref="C113:D113">'14. Project Costs'!C116:D116</f>
        <v>Other Architect and Engineering</v>
      </c>
      <c r="D113" s="682">
        <v>0</v>
      </c>
      <c r="E113" s="184">
        <f>PC_ARC_Other_Arch_Total</f>
        <v>0</v>
      </c>
      <c r="F113" s="1573">
        <f t="shared" si="40"/>
        <v>0</v>
      </c>
      <c r="G113" s="1574">
        <f>+E113</f>
        <v>0</v>
      </c>
      <c r="H113" s="1574"/>
      <c r="I113" s="1574"/>
      <c r="J113" s="1574"/>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4"/>
      <c r="AF113" s="1574"/>
      <c r="AG113" s="1574"/>
      <c r="AH113" s="1574"/>
      <c r="AI113" s="1574"/>
      <c r="AJ113" s="1574"/>
      <c r="AK113" s="1714"/>
      <c r="AL113" s="1477"/>
      <c r="AM113" s="1477"/>
      <c r="AN113" s="1477"/>
      <c r="AO113" s="284"/>
      <c r="AP113" s="1477"/>
      <c r="AQ113" s="1477"/>
      <c r="AR113" s="1477"/>
      <c r="AS113" s="1477"/>
      <c r="AT113" s="1477"/>
      <c r="AU113" s="1477"/>
      <c r="AV113" s="1477"/>
      <c r="AW113" s="1477"/>
      <c r="AX113" s="1477"/>
      <c r="AY113" s="1477"/>
      <c r="AZ113" s="1477"/>
      <c r="BA113" s="1477"/>
      <c r="BB113" s="1477"/>
      <c r="BC113" s="1477"/>
      <c r="BD113" s="1477"/>
      <c r="BE113" s="1477"/>
      <c r="BF113" s="1477"/>
      <c r="BG113" s="1477"/>
      <c r="BH113" s="1477"/>
      <c r="BI113" s="1477"/>
      <c r="BJ113" s="1477"/>
      <c r="BK113" s="1477"/>
      <c r="BL113" s="1477"/>
      <c r="BM113" s="1477"/>
      <c r="BN113" s="1477"/>
      <c r="BO113" s="1477"/>
      <c r="BP113" s="1477"/>
      <c r="BQ113" s="1477"/>
      <c r="BR113" s="1477"/>
      <c r="BS113" s="1477"/>
      <c r="BT113" s="1477"/>
      <c r="BU113" s="1477"/>
      <c r="BV113" s="1477"/>
      <c r="BW113" s="1477"/>
      <c r="BX113" s="1477"/>
      <c r="BY113" s="1477"/>
      <c r="BZ113" s="1477"/>
      <c r="CA113" s="1477"/>
      <c r="CB113" s="1477"/>
      <c r="CC113" s="1477"/>
      <c r="CD113" s="1477"/>
      <c r="CE113" s="1477"/>
      <c r="CF113" s="1477"/>
      <c r="CG113" s="1477"/>
      <c r="CH113" s="1477"/>
    </row>
    <row r="114" spans="2:86">
      <c r="B114" s="1714"/>
      <c r="C114" s="126" t="s">
        <v>3241</v>
      </c>
      <c r="D114" s="126"/>
      <c r="E114" s="185">
        <f>SUM(E109:E113)</f>
        <v>0</v>
      </c>
      <c r="F114" s="186">
        <f>SUM(F109:F113)</f>
        <v>0</v>
      </c>
      <c r="G114" s="186">
        <f t="shared" ref="G114:AJ114" si="41">SUM(G109:G113)</f>
        <v>0</v>
      </c>
      <c r="H114" s="186">
        <f t="shared" si="41"/>
        <v>0</v>
      </c>
      <c r="I114" s="186">
        <f t="shared" si="41"/>
        <v>0</v>
      </c>
      <c r="J114" s="186">
        <f t="shared" si="41"/>
        <v>0</v>
      </c>
      <c r="K114" s="186">
        <f t="shared" si="41"/>
        <v>0</v>
      </c>
      <c r="L114" s="186">
        <f t="shared" si="41"/>
        <v>0</v>
      </c>
      <c r="M114" s="186">
        <f t="shared" si="41"/>
        <v>0</v>
      </c>
      <c r="N114" s="186">
        <f t="shared" si="41"/>
        <v>0</v>
      </c>
      <c r="O114" s="186">
        <f t="shared" si="41"/>
        <v>0</v>
      </c>
      <c r="P114" s="186">
        <f t="shared" si="41"/>
        <v>0</v>
      </c>
      <c r="Q114" s="186">
        <f t="shared" si="41"/>
        <v>0</v>
      </c>
      <c r="R114" s="186">
        <f t="shared" si="41"/>
        <v>0</v>
      </c>
      <c r="S114" s="186">
        <f t="shared" si="41"/>
        <v>0</v>
      </c>
      <c r="T114" s="186">
        <f t="shared" si="41"/>
        <v>0</v>
      </c>
      <c r="U114" s="186">
        <f t="shared" si="41"/>
        <v>0</v>
      </c>
      <c r="V114" s="186">
        <f t="shared" si="41"/>
        <v>0</v>
      </c>
      <c r="W114" s="186">
        <f t="shared" si="41"/>
        <v>0</v>
      </c>
      <c r="X114" s="186">
        <f t="shared" si="41"/>
        <v>0</v>
      </c>
      <c r="Y114" s="186">
        <f t="shared" si="41"/>
        <v>0</v>
      </c>
      <c r="Z114" s="186">
        <f t="shared" si="41"/>
        <v>0</v>
      </c>
      <c r="AA114" s="186">
        <f t="shared" si="41"/>
        <v>0</v>
      </c>
      <c r="AB114" s="186">
        <f t="shared" si="41"/>
        <v>0</v>
      </c>
      <c r="AC114" s="186">
        <f t="shared" si="41"/>
        <v>0</v>
      </c>
      <c r="AD114" s="186">
        <f t="shared" si="41"/>
        <v>0</v>
      </c>
      <c r="AE114" s="186">
        <f t="shared" si="41"/>
        <v>0</v>
      </c>
      <c r="AF114" s="186">
        <f t="shared" si="41"/>
        <v>0</v>
      </c>
      <c r="AG114" s="186">
        <f t="shared" si="41"/>
        <v>0</v>
      </c>
      <c r="AH114" s="186">
        <f t="shared" si="41"/>
        <v>0</v>
      </c>
      <c r="AI114" s="186">
        <f t="shared" si="41"/>
        <v>0</v>
      </c>
      <c r="AJ114" s="186">
        <f t="shared" si="41"/>
        <v>0</v>
      </c>
      <c r="AK114" s="1714"/>
      <c r="AL114" s="1477"/>
      <c r="AM114" s="1477"/>
      <c r="AN114" s="1477"/>
      <c r="AO114" s="284"/>
      <c r="AP114" s="1477"/>
      <c r="AQ114" s="1477"/>
      <c r="AR114" s="1477"/>
      <c r="AS114" s="1477"/>
      <c r="AT114" s="1477"/>
      <c r="AU114" s="1477"/>
      <c r="AV114" s="1477"/>
      <c r="AW114" s="1477"/>
      <c r="AX114" s="1477"/>
      <c r="AY114" s="1477"/>
      <c r="AZ114" s="1477"/>
      <c r="BA114" s="1477"/>
      <c r="BB114" s="1477"/>
      <c r="BC114" s="1477"/>
      <c r="BD114" s="1477"/>
      <c r="BE114" s="1477"/>
      <c r="BF114" s="1477"/>
      <c r="BG114" s="1477"/>
      <c r="BH114" s="1477"/>
      <c r="BI114" s="1477"/>
      <c r="BJ114" s="1477"/>
      <c r="BK114" s="1477"/>
      <c r="BL114" s="1477"/>
      <c r="BM114" s="1477"/>
      <c r="BN114" s="1477"/>
      <c r="BO114" s="1477"/>
      <c r="BP114" s="1477"/>
      <c r="BQ114" s="1477"/>
      <c r="BR114" s="1477"/>
      <c r="BS114" s="1477"/>
      <c r="BT114" s="1477"/>
      <c r="BU114" s="1477"/>
      <c r="BV114" s="1477"/>
      <c r="BW114" s="1477"/>
      <c r="BX114" s="1477"/>
      <c r="BY114" s="1477"/>
      <c r="BZ114" s="1477"/>
      <c r="CA114" s="1477"/>
      <c r="CB114" s="1477"/>
      <c r="CC114" s="1477"/>
      <c r="CD114" s="1477"/>
      <c r="CE114" s="1477"/>
      <c r="CF114" s="1477"/>
      <c r="CG114" s="1477"/>
      <c r="CH114" s="1477"/>
    </row>
    <row r="115" spans="2:86" ht="15.75">
      <c r="B115" s="1714"/>
      <c r="C115" s="127" t="s">
        <v>3242</v>
      </c>
      <c r="D115" s="127"/>
      <c r="E115" s="200"/>
      <c r="F115" s="1576"/>
      <c r="G115" s="1576"/>
      <c r="H115" s="1576"/>
      <c r="I115" s="1576"/>
      <c r="J115" s="1576"/>
      <c r="K115" s="1576"/>
      <c r="L115" s="1576"/>
      <c r="M115" s="1576"/>
      <c r="N115" s="1576"/>
      <c r="O115" s="1576"/>
      <c r="P115" s="1576"/>
      <c r="Q115" s="1576"/>
      <c r="R115" s="1576"/>
      <c r="S115" s="1576"/>
      <c r="T115" s="1576"/>
      <c r="U115" s="1576"/>
      <c r="V115" s="1576"/>
      <c r="W115" s="1576"/>
      <c r="X115" s="1576"/>
      <c r="Y115" s="1576"/>
      <c r="Z115" s="1576"/>
      <c r="AA115" s="1576"/>
      <c r="AB115" s="1576"/>
      <c r="AC115" s="1576"/>
      <c r="AD115" s="1576"/>
      <c r="AE115" s="1576"/>
      <c r="AF115" s="1576"/>
      <c r="AG115" s="1576"/>
      <c r="AH115" s="1576"/>
      <c r="AI115" s="1576"/>
      <c r="AJ115" s="1576"/>
      <c r="AK115" s="1714"/>
      <c r="AL115" s="1477"/>
      <c r="AM115" s="1477"/>
      <c r="AN115" s="1477"/>
      <c r="AO115" s="284"/>
      <c r="AP115" s="1477"/>
      <c r="AQ115" s="1477"/>
      <c r="AR115" s="1477"/>
      <c r="AS115" s="1477"/>
      <c r="AT115" s="1477"/>
      <c r="AU115" s="1477"/>
      <c r="AV115" s="1477"/>
      <c r="AW115" s="1477"/>
      <c r="AX115" s="1477"/>
      <c r="AY115" s="1477"/>
      <c r="AZ115" s="1477"/>
      <c r="BA115" s="1477"/>
      <c r="BB115" s="1477"/>
      <c r="BC115" s="1477"/>
      <c r="BD115" s="1477"/>
      <c r="BE115" s="1477"/>
      <c r="BF115" s="1477"/>
      <c r="BG115" s="1477"/>
      <c r="BH115" s="1477"/>
      <c r="BI115" s="1477"/>
      <c r="BJ115" s="1477"/>
      <c r="BK115" s="1477"/>
      <c r="BL115" s="1477"/>
      <c r="BM115" s="1477"/>
      <c r="BN115" s="1477"/>
      <c r="BO115" s="1477"/>
      <c r="BP115" s="1477"/>
      <c r="BQ115" s="1477"/>
      <c r="BR115" s="1477"/>
      <c r="BS115" s="1477"/>
      <c r="BT115" s="1477"/>
      <c r="BU115" s="1477"/>
      <c r="BV115" s="1477"/>
      <c r="BW115" s="1477"/>
      <c r="BX115" s="1477"/>
      <c r="BY115" s="1477"/>
      <c r="BZ115" s="1477"/>
      <c r="CA115" s="1477"/>
      <c r="CB115" s="1477"/>
      <c r="CC115" s="1477"/>
      <c r="CD115" s="1477"/>
      <c r="CE115" s="1477"/>
      <c r="CF115" s="1477"/>
      <c r="CG115" s="1477"/>
      <c r="CH115" s="1477"/>
    </row>
    <row r="116" spans="2:86">
      <c r="B116" s="1714"/>
      <c r="C116" s="673" t="str" cm="1">
        <f t="array" ref="C116:D116">'14. Project Costs'!C119:D119</f>
        <v>Organizational (Partnership)</v>
      </c>
      <c r="D116" s="674">
        <v>0</v>
      </c>
      <c r="E116" s="184">
        <f>PC_SYN_Organ_Legal_Fees_Total</f>
        <v>0</v>
      </c>
      <c r="F116" s="1573">
        <f t="shared" ref="F116:F119" si="42">+E116-SUM(G116:AJ116)</f>
        <v>0</v>
      </c>
      <c r="G116" s="1574">
        <f>+E116</f>
        <v>0</v>
      </c>
      <c r="H116" s="1574"/>
      <c r="I116" s="1574"/>
      <c r="J116" s="1574"/>
      <c r="K116" s="1574"/>
      <c r="L116" s="1574"/>
      <c r="M116" s="1574"/>
      <c r="N116" s="1574"/>
      <c r="O116" s="1574"/>
      <c r="P116" s="1574"/>
      <c r="Q116" s="1574"/>
      <c r="R116" s="1574"/>
      <c r="S116" s="1574"/>
      <c r="T116" s="1574"/>
      <c r="U116" s="1574"/>
      <c r="V116" s="1574"/>
      <c r="W116" s="1574"/>
      <c r="X116" s="1574"/>
      <c r="Y116" s="1574"/>
      <c r="Z116" s="1574"/>
      <c r="AA116" s="1574"/>
      <c r="AB116" s="1574"/>
      <c r="AC116" s="1574"/>
      <c r="AD116" s="1574"/>
      <c r="AE116" s="1574"/>
      <c r="AF116" s="1574"/>
      <c r="AG116" s="1574"/>
      <c r="AH116" s="1574"/>
      <c r="AI116" s="1574"/>
      <c r="AJ116" s="1574"/>
      <c r="AK116" s="1714"/>
      <c r="AL116" s="1477"/>
      <c r="AM116" s="1477"/>
      <c r="AN116" s="1477"/>
      <c r="AO116" s="284"/>
      <c r="AP116" s="1477"/>
      <c r="AQ116" s="1477"/>
      <c r="AR116" s="1477"/>
      <c r="AS116" s="1477"/>
      <c r="AT116" s="1477"/>
      <c r="AU116" s="1477"/>
      <c r="AV116" s="1477"/>
      <c r="AW116" s="1477"/>
      <c r="AX116" s="1477"/>
      <c r="AY116" s="1477"/>
      <c r="AZ116" s="1477"/>
      <c r="BA116" s="1477"/>
      <c r="BB116" s="1477"/>
      <c r="BC116" s="1477"/>
      <c r="BD116" s="1477"/>
      <c r="BE116" s="1477"/>
      <c r="BF116" s="1477"/>
      <c r="BG116" s="1477"/>
      <c r="BH116" s="1477"/>
      <c r="BI116" s="1477"/>
      <c r="BJ116" s="1477"/>
      <c r="BK116" s="1477"/>
      <c r="BL116" s="1477"/>
      <c r="BM116" s="1477"/>
      <c r="BN116" s="1477"/>
      <c r="BO116" s="1477"/>
      <c r="BP116" s="1477"/>
      <c r="BQ116" s="1477"/>
      <c r="BR116" s="1477"/>
      <c r="BS116" s="1477"/>
      <c r="BT116" s="1477"/>
      <c r="BU116" s="1477"/>
      <c r="BV116" s="1477"/>
      <c r="BW116" s="1477"/>
      <c r="BX116" s="1477"/>
      <c r="BY116" s="1477"/>
      <c r="BZ116" s="1477"/>
      <c r="CA116" s="1477"/>
      <c r="CB116" s="1477"/>
      <c r="CC116" s="1477"/>
      <c r="CD116" s="1477"/>
      <c r="CE116" s="1477"/>
      <c r="CF116" s="1477"/>
      <c r="CG116" s="1477"/>
      <c r="CH116" s="1477"/>
    </row>
    <row r="117" spans="2:86">
      <c r="B117" s="1714"/>
      <c r="C117" s="673" t="s">
        <v>3245</v>
      </c>
      <c r="D117" s="674"/>
      <c r="E117" s="184">
        <f>PC_SYN_Tax_Opinion_Total</f>
        <v>0</v>
      </c>
      <c r="F117" s="1573">
        <f t="shared" si="42"/>
        <v>0</v>
      </c>
      <c r="G117" s="1574">
        <f>+E117</f>
        <v>0</v>
      </c>
      <c r="H117" s="1574"/>
      <c r="I117" s="1574"/>
      <c r="J117" s="1574"/>
      <c r="K117" s="1574"/>
      <c r="L117" s="1574"/>
      <c r="M117" s="1574"/>
      <c r="N117" s="1574"/>
      <c r="O117" s="1574"/>
      <c r="P117" s="1574"/>
      <c r="Q117" s="1574"/>
      <c r="R117" s="1574"/>
      <c r="S117" s="1574"/>
      <c r="T117" s="1574"/>
      <c r="U117" s="1574"/>
      <c r="V117" s="1574"/>
      <c r="W117" s="1574"/>
      <c r="X117" s="1574"/>
      <c r="Y117" s="1574"/>
      <c r="Z117" s="1574"/>
      <c r="AA117" s="1574"/>
      <c r="AB117" s="1574"/>
      <c r="AC117" s="1574"/>
      <c r="AD117" s="1574"/>
      <c r="AE117" s="1574"/>
      <c r="AF117" s="1574"/>
      <c r="AG117" s="1574"/>
      <c r="AH117" s="1574"/>
      <c r="AI117" s="1574"/>
      <c r="AJ117" s="1574"/>
      <c r="AK117" s="1714"/>
      <c r="AL117" s="1477"/>
      <c r="AM117" s="1477"/>
      <c r="AN117" s="1477"/>
      <c r="AO117" s="284"/>
      <c r="AP117" s="1477"/>
      <c r="AQ117" s="1477"/>
      <c r="AR117" s="1477"/>
      <c r="AS117" s="1477"/>
      <c r="AT117" s="1477"/>
      <c r="AU117" s="1477"/>
      <c r="AV117" s="1477"/>
      <c r="AW117" s="1477"/>
      <c r="AX117" s="1477"/>
      <c r="AY117" s="1477"/>
      <c r="AZ117" s="1477"/>
      <c r="BA117" s="1477"/>
      <c r="BB117" s="1477"/>
      <c r="BC117" s="1477"/>
      <c r="BD117" s="1477"/>
      <c r="BE117" s="1477"/>
      <c r="BF117" s="1477"/>
      <c r="BG117" s="1477"/>
      <c r="BH117" s="1477"/>
      <c r="BI117" s="1477"/>
      <c r="BJ117" s="1477"/>
      <c r="BK117" s="1477"/>
      <c r="BL117" s="1477"/>
      <c r="BM117" s="1477"/>
      <c r="BN117" s="1477"/>
      <c r="BO117" s="1477"/>
      <c r="BP117" s="1477"/>
      <c r="BQ117" s="1477"/>
      <c r="BR117" s="1477"/>
      <c r="BS117" s="1477"/>
      <c r="BT117" s="1477"/>
      <c r="BU117" s="1477"/>
      <c r="BV117" s="1477"/>
      <c r="BW117" s="1477"/>
      <c r="BX117" s="1477"/>
      <c r="BY117" s="1477"/>
      <c r="BZ117" s="1477"/>
      <c r="CA117" s="1477"/>
      <c r="CB117" s="1477"/>
      <c r="CC117" s="1477"/>
      <c r="CD117" s="1477"/>
      <c r="CE117" s="1477"/>
      <c r="CF117" s="1477"/>
      <c r="CG117" s="1477"/>
      <c r="CH117" s="1477"/>
    </row>
    <row r="118" spans="2:86" hidden="1">
      <c r="B118" s="1714"/>
      <c r="C118" s="673" t="str" cm="1">
        <f t="array" ref="C118:D118">'14. Project Costs'!C120:D120</f>
        <v>Other Syndication Costs</v>
      </c>
      <c r="D118" s="674">
        <v>0</v>
      </c>
      <c r="E118" s="184">
        <f>PC_SYN_Tax_Opinion_Total</f>
        <v>0</v>
      </c>
      <c r="F118" s="1573">
        <f t="shared" si="42"/>
        <v>0</v>
      </c>
      <c r="G118" s="1574">
        <f>+E118</f>
        <v>0</v>
      </c>
      <c r="H118" s="1574"/>
      <c r="I118" s="1574"/>
      <c r="J118" s="1574"/>
      <c r="K118" s="1574"/>
      <c r="L118" s="1574"/>
      <c r="M118" s="1574"/>
      <c r="N118" s="1574"/>
      <c r="O118" s="1574"/>
      <c r="P118" s="1574"/>
      <c r="Q118" s="1574"/>
      <c r="R118" s="1574"/>
      <c r="S118" s="1574"/>
      <c r="T118" s="1574"/>
      <c r="U118" s="1574"/>
      <c r="V118" s="1574"/>
      <c r="W118" s="1574"/>
      <c r="X118" s="1574"/>
      <c r="Y118" s="1574"/>
      <c r="Z118" s="1574"/>
      <c r="AA118" s="1574"/>
      <c r="AB118" s="1574"/>
      <c r="AC118" s="1574"/>
      <c r="AD118" s="1574"/>
      <c r="AE118" s="1574"/>
      <c r="AF118" s="1574"/>
      <c r="AG118" s="1574"/>
      <c r="AH118" s="1574"/>
      <c r="AI118" s="1574"/>
      <c r="AJ118" s="1574"/>
      <c r="AK118" s="1714"/>
      <c r="AL118" s="1477"/>
      <c r="AM118" s="1477"/>
      <c r="AN118" s="1477"/>
      <c r="AO118" s="284"/>
      <c r="AP118" s="1477"/>
      <c r="AQ118" s="1477"/>
      <c r="AR118" s="1477"/>
      <c r="AS118" s="1477"/>
      <c r="AT118" s="1477"/>
      <c r="AU118" s="1477"/>
      <c r="AV118" s="1477"/>
      <c r="AW118" s="1477"/>
      <c r="AX118" s="1477"/>
      <c r="AY118" s="1477"/>
      <c r="AZ118" s="1477"/>
      <c r="BA118" s="1477"/>
      <c r="BB118" s="1477"/>
      <c r="BC118" s="1477"/>
      <c r="BD118" s="1477"/>
      <c r="BE118" s="1477"/>
      <c r="BF118" s="1477"/>
      <c r="BG118" s="1477"/>
      <c r="BH118" s="1477"/>
      <c r="BI118" s="1477"/>
      <c r="BJ118" s="1477"/>
      <c r="BK118" s="1477"/>
      <c r="BL118" s="1477"/>
      <c r="BM118" s="1477"/>
      <c r="BN118" s="1477"/>
      <c r="BO118" s="1477"/>
      <c r="BP118" s="1477"/>
      <c r="BQ118" s="1477"/>
      <c r="BR118" s="1477"/>
      <c r="BS118" s="1477"/>
      <c r="BT118" s="1477"/>
      <c r="BU118" s="1477"/>
      <c r="BV118" s="1477"/>
      <c r="BW118" s="1477"/>
      <c r="BX118" s="1477"/>
      <c r="BY118" s="1477"/>
      <c r="BZ118" s="1477"/>
      <c r="CA118" s="1477"/>
      <c r="CB118" s="1477"/>
      <c r="CC118" s="1477"/>
      <c r="CD118" s="1477"/>
      <c r="CE118" s="1477"/>
      <c r="CF118" s="1477"/>
      <c r="CG118" s="1477"/>
      <c r="CH118" s="1477"/>
    </row>
    <row r="119" spans="2:86">
      <c r="B119" s="1714"/>
      <c r="C119" s="673" t="str" cm="1">
        <f t="array" ref="C119:D119">'14. Project Costs'!C122:D122</f>
        <v>Other Syndication Costs</v>
      </c>
      <c r="D119" s="676">
        <v>0</v>
      </c>
      <c r="E119" s="184">
        <f>PC_SYN_Other_Syn_Fees_Total</f>
        <v>0</v>
      </c>
      <c r="F119" s="1573">
        <f t="shared" si="42"/>
        <v>0</v>
      </c>
      <c r="G119" s="1574">
        <f>+E119</f>
        <v>0</v>
      </c>
      <c r="H119" s="1574"/>
      <c r="I119" s="1574"/>
      <c r="J119" s="1574"/>
      <c r="K119" s="1574"/>
      <c r="L119" s="1574"/>
      <c r="M119" s="1574"/>
      <c r="N119" s="1574"/>
      <c r="O119" s="1574"/>
      <c r="P119" s="1574"/>
      <c r="Q119" s="1574"/>
      <c r="R119" s="1574"/>
      <c r="S119" s="1574"/>
      <c r="T119" s="1574"/>
      <c r="U119" s="1574"/>
      <c r="V119" s="1574"/>
      <c r="W119" s="1574"/>
      <c r="X119" s="1574"/>
      <c r="Y119" s="1574"/>
      <c r="Z119" s="1574"/>
      <c r="AA119" s="1574"/>
      <c r="AB119" s="1574"/>
      <c r="AC119" s="1574"/>
      <c r="AD119" s="1574"/>
      <c r="AE119" s="1574"/>
      <c r="AF119" s="1574"/>
      <c r="AG119" s="1574"/>
      <c r="AH119" s="1574"/>
      <c r="AI119" s="1574"/>
      <c r="AJ119" s="1574"/>
      <c r="AK119" s="1714"/>
      <c r="AL119" s="1477"/>
      <c r="AM119" s="1477"/>
      <c r="AN119" s="1477"/>
      <c r="AO119" s="284"/>
      <c r="AP119" s="1477"/>
      <c r="AQ119" s="1477"/>
      <c r="AR119" s="1477"/>
      <c r="AS119" s="1477"/>
      <c r="AT119" s="1477"/>
      <c r="AU119" s="1477"/>
      <c r="AV119" s="1477"/>
      <c r="AW119" s="1477"/>
      <c r="AX119" s="1477"/>
      <c r="AY119" s="1477"/>
      <c r="AZ119" s="1477"/>
      <c r="BA119" s="1477"/>
      <c r="BB119" s="1477"/>
      <c r="BC119" s="1477"/>
      <c r="BD119" s="1477"/>
      <c r="BE119" s="1477"/>
      <c r="BF119" s="1477"/>
      <c r="BG119" s="1477"/>
      <c r="BH119" s="1477"/>
      <c r="BI119" s="1477"/>
      <c r="BJ119" s="1477"/>
      <c r="BK119" s="1477"/>
      <c r="BL119" s="1477"/>
      <c r="BM119" s="1477"/>
      <c r="BN119" s="1477"/>
      <c r="BO119" s="1477"/>
      <c r="BP119" s="1477"/>
      <c r="BQ119" s="1477"/>
      <c r="BR119" s="1477"/>
      <c r="BS119" s="1477"/>
      <c r="BT119" s="1477"/>
      <c r="BU119" s="1477"/>
      <c r="BV119" s="1477"/>
      <c r="BW119" s="1477"/>
      <c r="BX119" s="1477"/>
      <c r="BY119" s="1477"/>
      <c r="BZ119" s="1477"/>
      <c r="CA119" s="1477"/>
      <c r="CB119" s="1477"/>
      <c r="CC119" s="1477"/>
      <c r="CD119" s="1477"/>
      <c r="CE119" s="1477"/>
      <c r="CF119" s="1477"/>
      <c r="CG119" s="1477"/>
      <c r="CH119" s="1477"/>
    </row>
    <row r="120" spans="2:86">
      <c r="B120" s="1714"/>
      <c r="C120" s="126" t="s">
        <v>3246</v>
      </c>
      <c r="D120" s="126"/>
      <c r="E120" s="185">
        <f>SUM(E116:E119)</f>
        <v>0</v>
      </c>
      <c r="F120" s="186">
        <f>SUM(F116:F119)</f>
        <v>0</v>
      </c>
      <c r="G120" s="186">
        <f t="shared" ref="G120:AJ120" si="43">SUM(G116:G119)</f>
        <v>0</v>
      </c>
      <c r="H120" s="186">
        <f t="shared" si="43"/>
        <v>0</v>
      </c>
      <c r="I120" s="186">
        <f t="shared" si="43"/>
        <v>0</v>
      </c>
      <c r="J120" s="186">
        <f t="shared" si="43"/>
        <v>0</v>
      </c>
      <c r="K120" s="186">
        <f t="shared" si="43"/>
        <v>0</v>
      </c>
      <c r="L120" s="186">
        <f t="shared" si="43"/>
        <v>0</v>
      </c>
      <c r="M120" s="186">
        <f t="shared" si="43"/>
        <v>0</v>
      </c>
      <c r="N120" s="186">
        <f t="shared" si="43"/>
        <v>0</v>
      </c>
      <c r="O120" s="186">
        <f t="shared" si="43"/>
        <v>0</v>
      </c>
      <c r="P120" s="186">
        <f t="shared" si="43"/>
        <v>0</v>
      </c>
      <c r="Q120" s="186">
        <f t="shared" si="43"/>
        <v>0</v>
      </c>
      <c r="R120" s="186">
        <f t="shared" si="43"/>
        <v>0</v>
      </c>
      <c r="S120" s="186">
        <f t="shared" si="43"/>
        <v>0</v>
      </c>
      <c r="T120" s="186">
        <f t="shared" si="43"/>
        <v>0</v>
      </c>
      <c r="U120" s="186">
        <f t="shared" si="43"/>
        <v>0</v>
      </c>
      <c r="V120" s="186">
        <f t="shared" si="43"/>
        <v>0</v>
      </c>
      <c r="W120" s="186">
        <f t="shared" si="43"/>
        <v>0</v>
      </c>
      <c r="X120" s="186">
        <f t="shared" si="43"/>
        <v>0</v>
      </c>
      <c r="Y120" s="186">
        <f t="shared" si="43"/>
        <v>0</v>
      </c>
      <c r="Z120" s="186">
        <f t="shared" si="43"/>
        <v>0</v>
      </c>
      <c r="AA120" s="186">
        <f t="shared" si="43"/>
        <v>0</v>
      </c>
      <c r="AB120" s="186">
        <f t="shared" si="43"/>
        <v>0</v>
      </c>
      <c r="AC120" s="186">
        <f t="shared" si="43"/>
        <v>0</v>
      </c>
      <c r="AD120" s="186">
        <f t="shared" si="43"/>
        <v>0</v>
      </c>
      <c r="AE120" s="186">
        <f t="shared" si="43"/>
        <v>0</v>
      </c>
      <c r="AF120" s="186">
        <f t="shared" si="43"/>
        <v>0</v>
      </c>
      <c r="AG120" s="186">
        <f t="shared" si="43"/>
        <v>0</v>
      </c>
      <c r="AH120" s="186">
        <f t="shared" si="43"/>
        <v>0</v>
      </c>
      <c r="AI120" s="186">
        <f t="shared" si="43"/>
        <v>0</v>
      </c>
      <c r="AJ120" s="186">
        <f t="shared" si="43"/>
        <v>0</v>
      </c>
      <c r="AK120" s="1714"/>
      <c r="AL120" s="1477"/>
      <c r="AM120" s="1477"/>
      <c r="AN120" s="1477"/>
      <c r="AO120" s="284"/>
      <c r="AP120" s="1477"/>
      <c r="AQ120" s="1477"/>
      <c r="AR120" s="1477"/>
      <c r="AS120" s="1477"/>
      <c r="AT120" s="1477"/>
      <c r="AU120" s="1477"/>
      <c r="AV120" s="1477"/>
      <c r="AW120" s="1477"/>
      <c r="AX120" s="1477"/>
      <c r="AY120" s="1477"/>
      <c r="AZ120" s="1477"/>
      <c r="BA120" s="1477"/>
      <c r="BB120" s="1477"/>
      <c r="BC120" s="1477"/>
      <c r="BD120" s="1477"/>
      <c r="BE120" s="1477"/>
      <c r="BF120" s="1477"/>
      <c r="BG120" s="1477"/>
      <c r="BH120" s="1477"/>
      <c r="BI120" s="1477"/>
      <c r="BJ120" s="1477"/>
      <c r="BK120" s="1477"/>
      <c r="BL120" s="1477"/>
      <c r="BM120" s="1477"/>
      <c r="BN120" s="1477"/>
      <c r="BO120" s="1477"/>
      <c r="BP120" s="1477"/>
      <c r="BQ120" s="1477"/>
      <c r="BR120" s="1477"/>
      <c r="BS120" s="1477"/>
      <c r="BT120" s="1477"/>
      <c r="BU120" s="1477"/>
      <c r="BV120" s="1477"/>
      <c r="BW120" s="1477"/>
      <c r="BX120" s="1477"/>
      <c r="BY120" s="1477"/>
      <c r="BZ120" s="1477"/>
      <c r="CA120" s="1477"/>
      <c r="CB120" s="1477"/>
      <c r="CC120" s="1477"/>
      <c r="CD120" s="1477"/>
      <c r="CE120" s="1477"/>
      <c r="CF120" s="1477"/>
      <c r="CG120" s="1477"/>
      <c r="CH120" s="1477"/>
    </row>
    <row r="121" spans="2:86" ht="15.75">
      <c r="B121" s="1714"/>
      <c r="C121" s="127" t="s">
        <v>3248</v>
      </c>
      <c r="D121" s="127"/>
      <c r="E121" s="200"/>
      <c r="F121" s="1576"/>
      <c r="G121" s="1576"/>
      <c r="H121" s="1576"/>
      <c r="I121" s="1576"/>
      <c r="J121" s="1576"/>
      <c r="K121" s="1576"/>
      <c r="L121" s="1576"/>
      <c r="M121" s="1576"/>
      <c r="N121" s="1576"/>
      <c r="O121" s="1576"/>
      <c r="P121" s="1576"/>
      <c r="Q121" s="1576"/>
      <c r="R121" s="1576"/>
      <c r="S121" s="1576"/>
      <c r="T121" s="1576"/>
      <c r="U121" s="1576"/>
      <c r="V121" s="1576"/>
      <c r="W121" s="1576"/>
      <c r="X121" s="1576"/>
      <c r="Y121" s="1576"/>
      <c r="Z121" s="1576"/>
      <c r="AA121" s="1576"/>
      <c r="AB121" s="1576"/>
      <c r="AC121" s="1576"/>
      <c r="AD121" s="1576"/>
      <c r="AE121" s="1576"/>
      <c r="AF121" s="1576"/>
      <c r="AG121" s="1576"/>
      <c r="AH121" s="1576"/>
      <c r="AI121" s="1576"/>
      <c r="AJ121" s="1576"/>
      <c r="AK121" s="1714"/>
      <c r="AL121" s="1477"/>
      <c r="AM121" s="1477"/>
      <c r="AN121" s="1477"/>
      <c r="AO121" s="284"/>
      <c r="AP121" s="1477"/>
      <c r="AQ121" s="1477"/>
      <c r="AR121" s="1477"/>
      <c r="AS121" s="1477"/>
      <c r="AT121" s="1477"/>
      <c r="AU121" s="1477"/>
      <c r="AV121" s="1477"/>
      <c r="AW121" s="1477"/>
      <c r="AX121" s="1477"/>
      <c r="AY121" s="1477"/>
      <c r="AZ121" s="1477"/>
      <c r="BA121" s="1477"/>
      <c r="BB121" s="1477"/>
      <c r="BC121" s="1477"/>
      <c r="BD121" s="1477"/>
      <c r="BE121" s="1477"/>
      <c r="BF121" s="1477"/>
      <c r="BG121" s="1477"/>
      <c r="BH121" s="1477"/>
      <c r="BI121" s="1477"/>
      <c r="BJ121" s="1477"/>
      <c r="BK121" s="1477"/>
      <c r="BL121" s="1477"/>
      <c r="BM121" s="1477"/>
      <c r="BN121" s="1477"/>
      <c r="BO121" s="1477"/>
      <c r="BP121" s="1477"/>
      <c r="BQ121" s="1477"/>
      <c r="BR121" s="1477"/>
      <c r="BS121" s="1477"/>
      <c r="BT121" s="1477"/>
      <c r="BU121" s="1477"/>
      <c r="BV121" s="1477"/>
      <c r="BW121" s="1477"/>
      <c r="BX121" s="1477"/>
      <c r="BY121" s="1477"/>
      <c r="BZ121" s="1477"/>
      <c r="CA121" s="1477"/>
      <c r="CB121" s="1477"/>
      <c r="CC121" s="1477"/>
      <c r="CD121" s="1477"/>
      <c r="CE121" s="1477"/>
      <c r="CF121" s="1477"/>
      <c r="CG121" s="1477"/>
      <c r="CH121" s="1477"/>
    </row>
    <row r="122" spans="2:86">
      <c r="B122" s="1714"/>
      <c r="C122" s="673" t="str" cm="1">
        <f t="array" ref="C122:D122">'14. Project Costs'!C125:D125</f>
        <v>Operating Reserve</v>
      </c>
      <c r="D122" s="674">
        <v>0</v>
      </c>
      <c r="E122" s="184">
        <f>PC_CAP_Operating_Expen_Res_Total</f>
        <v>0</v>
      </c>
      <c r="F122" s="1573">
        <f t="shared" ref="F122:F129" si="44">+E122-SUM(G122:AJ122)</f>
        <v>0</v>
      </c>
      <c r="G122" s="1574"/>
      <c r="H122" s="1574"/>
      <c r="I122" s="1574"/>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1574"/>
      <c r="AI122" s="1574"/>
      <c r="AJ122" s="1574"/>
      <c r="AK122" s="1714"/>
      <c r="AL122" s="1477"/>
      <c r="AM122" s="1477"/>
      <c r="AN122" s="1477"/>
      <c r="AO122" s="284"/>
      <c r="AP122" s="1477"/>
      <c r="AQ122" s="1477"/>
      <c r="AR122" s="1477"/>
      <c r="AS122" s="1477"/>
      <c r="AT122" s="1477"/>
      <c r="AU122" s="1477"/>
      <c r="AV122" s="1477"/>
      <c r="AW122" s="1477"/>
      <c r="AX122" s="1477"/>
      <c r="AY122" s="1477"/>
      <c r="AZ122" s="1477"/>
      <c r="BA122" s="1477"/>
      <c r="BB122" s="1477"/>
      <c r="BC122" s="1477"/>
      <c r="BD122" s="1477"/>
      <c r="BE122" s="1477"/>
      <c r="BF122" s="1477"/>
      <c r="BG122" s="1477"/>
      <c r="BH122" s="1477"/>
      <c r="BI122" s="1477"/>
      <c r="BJ122" s="1477"/>
      <c r="BK122" s="1477"/>
      <c r="BL122" s="1477"/>
      <c r="BM122" s="1477"/>
      <c r="BN122" s="1477"/>
      <c r="BO122" s="1477"/>
      <c r="BP122" s="1477"/>
      <c r="BQ122" s="1477"/>
      <c r="BR122" s="1477"/>
      <c r="BS122" s="1477"/>
      <c r="BT122" s="1477"/>
      <c r="BU122" s="1477"/>
      <c r="BV122" s="1477"/>
      <c r="BW122" s="1477"/>
      <c r="BX122" s="1477"/>
      <c r="BY122" s="1477"/>
      <c r="BZ122" s="1477"/>
      <c r="CA122" s="1477"/>
      <c r="CB122" s="1477"/>
      <c r="CC122" s="1477"/>
      <c r="CD122" s="1477"/>
      <c r="CE122" s="1477"/>
      <c r="CF122" s="1477"/>
      <c r="CG122" s="1477"/>
      <c r="CH122" s="1477"/>
    </row>
    <row r="123" spans="2:86">
      <c r="B123" s="1714"/>
      <c r="C123" s="673" t="str" cm="1">
        <f t="array" ref="C123:D123">'14. Project Costs'!C126:D126</f>
        <v>Replacement Reserve</v>
      </c>
      <c r="D123" s="674">
        <v>0</v>
      </c>
      <c r="E123" s="184">
        <f>PC_CAP_Replacement_Reserves_Total</f>
        <v>0</v>
      </c>
      <c r="F123" s="1573">
        <f t="shared" si="44"/>
        <v>0</v>
      </c>
      <c r="G123" s="1574"/>
      <c r="H123" s="1574"/>
      <c r="I123" s="1574"/>
      <c r="J123" s="1574"/>
      <c r="K123" s="1574"/>
      <c r="L123" s="1574"/>
      <c r="M123" s="1574"/>
      <c r="N123" s="1574"/>
      <c r="O123" s="1574"/>
      <c r="P123" s="1574"/>
      <c r="Q123" s="1574"/>
      <c r="R123" s="1574"/>
      <c r="S123" s="1574"/>
      <c r="T123" s="1574"/>
      <c r="U123" s="1574"/>
      <c r="V123" s="1574"/>
      <c r="W123" s="1574"/>
      <c r="X123" s="1574"/>
      <c r="Y123" s="1574"/>
      <c r="Z123" s="1574"/>
      <c r="AA123" s="1574"/>
      <c r="AB123" s="1574"/>
      <c r="AC123" s="1574"/>
      <c r="AD123" s="1574"/>
      <c r="AE123" s="1574"/>
      <c r="AF123" s="1574"/>
      <c r="AG123" s="1574"/>
      <c r="AH123" s="1574"/>
      <c r="AI123" s="1574"/>
      <c r="AJ123" s="1574"/>
      <c r="AK123" s="1714"/>
      <c r="AL123" s="1477"/>
      <c r="AM123" s="1477"/>
      <c r="AN123" s="1477"/>
      <c r="AO123" s="284"/>
      <c r="AP123" s="1477"/>
      <c r="AQ123" s="1477"/>
      <c r="AR123" s="1477"/>
      <c r="AS123" s="1477"/>
      <c r="AT123" s="1477"/>
      <c r="AU123" s="1477"/>
      <c r="AV123" s="1477"/>
      <c r="AW123" s="1477"/>
      <c r="AX123" s="1477"/>
      <c r="AY123" s="1477"/>
      <c r="AZ123" s="1477"/>
      <c r="BA123" s="1477"/>
      <c r="BB123" s="1477"/>
      <c r="BC123" s="1477"/>
      <c r="BD123" s="1477"/>
      <c r="BE123" s="1477"/>
      <c r="BF123" s="1477"/>
      <c r="BG123" s="1477"/>
      <c r="BH123" s="1477"/>
      <c r="BI123" s="1477"/>
      <c r="BJ123" s="1477"/>
      <c r="BK123" s="1477"/>
      <c r="BL123" s="1477"/>
      <c r="BM123" s="1477"/>
      <c r="BN123" s="1477"/>
      <c r="BO123" s="1477"/>
      <c r="BP123" s="1477"/>
      <c r="BQ123" s="1477"/>
      <c r="BR123" s="1477"/>
      <c r="BS123" s="1477"/>
      <c r="BT123" s="1477"/>
      <c r="BU123" s="1477"/>
      <c r="BV123" s="1477"/>
      <c r="BW123" s="1477"/>
      <c r="BX123" s="1477"/>
      <c r="BY123" s="1477"/>
      <c r="BZ123" s="1477"/>
      <c r="CA123" s="1477"/>
      <c r="CB123" s="1477"/>
      <c r="CC123" s="1477"/>
      <c r="CD123" s="1477"/>
      <c r="CE123" s="1477"/>
      <c r="CF123" s="1477"/>
      <c r="CG123" s="1477"/>
      <c r="CH123" s="1477"/>
    </row>
    <row r="124" spans="2:86">
      <c r="B124" s="1714"/>
      <c r="C124" s="673" t="str" cm="1">
        <f t="array" ref="C124:D124">'14. Project Costs'!C127:D127</f>
        <v>Lease-up Operating Deficit</v>
      </c>
      <c r="D124" s="674">
        <v>0</v>
      </c>
      <c r="E124" s="184">
        <f>PC_CAP_Stab_RentUp_Res_Total</f>
        <v>0</v>
      </c>
      <c r="F124" s="1573">
        <f t="shared" si="44"/>
        <v>0</v>
      </c>
      <c r="G124" s="1574"/>
      <c r="H124" s="1574"/>
      <c r="I124" s="1574"/>
      <c r="J124" s="1574"/>
      <c r="K124" s="1574"/>
      <c r="L124" s="1574"/>
      <c r="M124" s="1574"/>
      <c r="N124" s="1574"/>
      <c r="O124" s="1574"/>
      <c r="P124" s="1574"/>
      <c r="Q124" s="1574"/>
      <c r="R124" s="1574"/>
      <c r="S124" s="1574"/>
      <c r="T124" s="1574"/>
      <c r="U124" s="1574"/>
      <c r="V124" s="1574"/>
      <c r="W124" s="1574"/>
      <c r="X124" s="1574"/>
      <c r="Y124" s="1574"/>
      <c r="Z124" s="1574"/>
      <c r="AA124" s="1574"/>
      <c r="AB124" s="1574"/>
      <c r="AC124" s="1574"/>
      <c r="AD124" s="1574"/>
      <c r="AE124" s="1574"/>
      <c r="AF124" s="1574"/>
      <c r="AG124" s="1574"/>
      <c r="AH124" s="1574"/>
      <c r="AI124" s="1574"/>
      <c r="AJ124" s="1574"/>
      <c r="AK124" s="1714"/>
      <c r="AL124" s="1477"/>
      <c r="AM124" s="1477"/>
      <c r="AN124" s="1477"/>
      <c r="AO124" s="284"/>
      <c r="AP124" s="1477"/>
      <c r="AQ124" s="1477"/>
      <c r="AR124" s="1477"/>
      <c r="AS124" s="1477"/>
      <c r="AT124" s="1477"/>
      <c r="AU124" s="1477"/>
      <c r="AV124" s="1477"/>
      <c r="AW124" s="1477"/>
      <c r="AX124" s="1477"/>
      <c r="AY124" s="1477"/>
      <c r="AZ124" s="1477"/>
      <c r="BA124" s="1477"/>
      <c r="BB124" s="1477"/>
      <c r="BC124" s="1477"/>
      <c r="BD124" s="1477"/>
      <c r="BE124" s="1477"/>
      <c r="BF124" s="1477"/>
      <c r="BG124" s="1477"/>
      <c r="BH124" s="1477"/>
      <c r="BI124" s="1477"/>
      <c r="BJ124" s="1477"/>
      <c r="BK124" s="1477"/>
      <c r="BL124" s="1477"/>
      <c r="BM124" s="1477"/>
      <c r="BN124" s="1477"/>
      <c r="BO124" s="1477"/>
      <c r="BP124" s="1477"/>
      <c r="BQ124" s="1477"/>
      <c r="BR124" s="1477"/>
      <c r="BS124" s="1477"/>
      <c r="BT124" s="1477"/>
      <c r="BU124" s="1477"/>
      <c r="BV124" s="1477"/>
      <c r="BW124" s="1477"/>
      <c r="BX124" s="1477"/>
      <c r="BY124" s="1477"/>
      <c r="BZ124" s="1477"/>
      <c r="CA124" s="1477"/>
      <c r="CB124" s="1477"/>
      <c r="CC124" s="1477"/>
      <c r="CD124" s="1477"/>
      <c r="CE124" s="1477"/>
      <c r="CF124" s="1477"/>
      <c r="CG124" s="1477"/>
      <c r="CH124" s="1477"/>
    </row>
    <row r="125" spans="2:86">
      <c r="B125" s="1714"/>
      <c r="C125" s="673" t="str" cm="1">
        <f t="array" ref="C125:D125">'14. Project Costs'!C128:D128</f>
        <v>Debt Service Reserve</v>
      </c>
      <c r="D125" s="674">
        <v>0</v>
      </c>
      <c r="E125" s="184">
        <f>PC_CAP_Debt_Serv_Reserve_Total</f>
        <v>0</v>
      </c>
      <c r="F125" s="1573">
        <f t="shared" si="44"/>
        <v>0</v>
      </c>
      <c r="G125" s="1574"/>
      <c r="H125" s="1574"/>
      <c r="I125" s="1574"/>
      <c r="J125" s="1574"/>
      <c r="K125" s="1574"/>
      <c r="L125" s="1574"/>
      <c r="M125" s="1574"/>
      <c r="N125" s="1574"/>
      <c r="O125" s="1574"/>
      <c r="P125" s="1574"/>
      <c r="Q125" s="1574"/>
      <c r="R125" s="1574"/>
      <c r="S125" s="1574"/>
      <c r="T125" s="1574"/>
      <c r="U125" s="1574"/>
      <c r="V125" s="1574"/>
      <c r="W125" s="1574"/>
      <c r="X125" s="1574"/>
      <c r="Y125" s="1574"/>
      <c r="Z125" s="1574"/>
      <c r="AA125" s="1574"/>
      <c r="AB125" s="1574"/>
      <c r="AC125" s="1574"/>
      <c r="AD125" s="1574"/>
      <c r="AE125" s="1574"/>
      <c r="AF125" s="1574"/>
      <c r="AG125" s="1574"/>
      <c r="AH125" s="1574"/>
      <c r="AI125" s="1574"/>
      <c r="AJ125" s="1574"/>
      <c r="AK125" s="1714"/>
      <c r="AL125" s="1477"/>
      <c r="AM125" s="1477"/>
      <c r="AN125" s="1477"/>
      <c r="AO125" s="284"/>
      <c r="AP125" s="1477"/>
      <c r="AQ125" s="1477"/>
      <c r="AR125" s="1477"/>
      <c r="AS125" s="1477"/>
      <c r="AT125" s="1477"/>
      <c r="AU125" s="1477"/>
      <c r="AV125" s="1477"/>
      <c r="AW125" s="1477"/>
      <c r="AX125" s="1477"/>
      <c r="AY125" s="1477"/>
      <c r="AZ125" s="1477"/>
      <c r="BA125" s="1477"/>
      <c r="BB125" s="1477"/>
      <c r="BC125" s="1477"/>
      <c r="BD125" s="1477"/>
      <c r="BE125" s="1477"/>
      <c r="BF125" s="1477"/>
      <c r="BG125" s="1477"/>
      <c r="BH125" s="1477"/>
      <c r="BI125" s="1477"/>
      <c r="BJ125" s="1477"/>
      <c r="BK125" s="1477"/>
      <c r="BL125" s="1477"/>
      <c r="BM125" s="1477"/>
      <c r="BN125" s="1477"/>
      <c r="BO125" s="1477"/>
      <c r="BP125" s="1477"/>
      <c r="BQ125" s="1477"/>
      <c r="BR125" s="1477"/>
      <c r="BS125" s="1477"/>
      <c r="BT125" s="1477"/>
      <c r="BU125" s="1477"/>
      <c r="BV125" s="1477"/>
      <c r="BW125" s="1477"/>
      <c r="BX125" s="1477"/>
      <c r="BY125" s="1477"/>
      <c r="BZ125" s="1477"/>
      <c r="CA125" s="1477"/>
      <c r="CB125" s="1477"/>
      <c r="CC125" s="1477"/>
      <c r="CD125" s="1477"/>
      <c r="CE125" s="1477"/>
      <c r="CF125" s="1477"/>
      <c r="CG125" s="1477"/>
      <c r="CH125" s="1477"/>
    </row>
    <row r="126" spans="2:86">
      <c r="B126" s="1714"/>
      <c r="C126" s="673" t="str" cm="1">
        <f t="array" ref="C126:D126">'14. Project Costs'!C129:D129</f>
        <v>Capital Needs Reserve</v>
      </c>
      <c r="D126" s="674">
        <v>0</v>
      </c>
      <c r="E126" s="184">
        <f>PC_CAP_Capital_Needs_Res_Total</f>
        <v>0</v>
      </c>
      <c r="F126" s="1573">
        <f t="shared" si="44"/>
        <v>0</v>
      </c>
      <c r="G126" s="1574"/>
      <c r="H126" s="1574"/>
      <c r="I126" s="1574"/>
      <c r="J126" s="1574"/>
      <c r="K126" s="1574"/>
      <c r="L126" s="1574"/>
      <c r="M126" s="1574"/>
      <c r="N126" s="1574"/>
      <c r="O126" s="1574"/>
      <c r="P126" s="1574"/>
      <c r="Q126" s="1574"/>
      <c r="R126" s="1574"/>
      <c r="S126" s="1574"/>
      <c r="T126" s="1574"/>
      <c r="U126" s="1574"/>
      <c r="V126" s="1574"/>
      <c r="W126" s="1574"/>
      <c r="X126" s="1574"/>
      <c r="Y126" s="1574"/>
      <c r="Z126" s="1574"/>
      <c r="AA126" s="1574"/>
      <c r="AB126" s="1574"/>
      <c r="AC126" s="1574"/>
      <c r="AD126" s="1574"/>
      <c r="AE126" s="1574"/>
      <c r="AF126" s="1574"/>
      <c r="AG126" s="1574"/>
      <c r="AH126" s="1574"/>
      <c r="AI126" s="1574"/>
      <c r="AJ126" s="1574"/>
      <c r="AK126" s="1714"/>
      <c r="AL126" s="1477"/>
      <c r="AM126" s="1477"/>
      <c r="AN126" s="1477"/>
      <c r="AO126" s="284"/>
      <c r="AP126" s="1477"/>
      <c r="AQ126" s="1477"/>
      <c r="AR126" s="1477"/>
      <c r="AS126" s="1477"/>
      <c r="AT126" s="1477"/>
      <c r="AU126" s="1477"/>
      <c r="AV126" s="1477"/>
      <c r="AW126" s="1477"/>
      <c r="AX126" s="1477"/>
      <c r="AY126" s="1477"/>
      <c r="AZ126" s="1477"/>
      <c r="BA126" s="1477"/>
      <c r="BB126" s="1477"/>
      <c r="BC126" s="1477"/>
      <c r="BD126" s="1477"/>
      <c r="BE126" s="1477"/>
      <c r="BF126" s="1477"/>
      <c r="BG126" s="1477"/>
      <c r="BH126" s="1477"/>
      <c r="BI126" s="1477"/>
      <c r="BJ126" s="1477"/>
      <c r="BK126" s="1477"/>
      <c r="BL126" s="1477"/>
      <c r="BM126" s="1477"/>
      <c r="BN126" s="1477"/>
      <c r="BO126" s="1477"/>
      <c r="BP126" s="1477"/>
      <c r="BQ126" s="1477"/>
      <c r="BR126" s="1477"/>
      <c r="BS126" s="1477"/>
      <c r="BT126" s="1477"/>
      <c r="BU126" s="1477"/>
      <c r="BV126" s="1477"/>
      <c r="BW126" s="1477"/>
      <c r="BX126" s="1477"/>
      <c r="BY126" s="1477"/>
      <c r="BZ126" s="1477"/>
      <c r="CA126" s="1477"/>
      <c r="CB126" s="1477"/>
      <c r="CC126" s="1477"/>
      <c r="CD126" s="1477"/>
      <c r="CE126" s="1477"/>
      <c r="CF126" s="1477"/>
      <c r="CG126" s="1477"/>
      <c r="CH126" s="1477"/>
    </row>
    <row r="127" spans="2:86">
      <c r="B127" s="1714"/>
      <c r="C127" s="673" t="str" cm="1">
        <f t="array" ref="C127:D127">'14. Project Costs'!C130:D130</f>
        <v>Other Reserves</v>
      </c>
      <c r="D127" s="674">
        <v>0</v>
      </c>
      <c r="E127" s="184">
        <f>PC_CAP_Other_Reserve_Total</f>
        <v>0</v>
      </c>
      <c r="F127" s="1573">
        <f t="shared" si="44"/>
        <v>0</v>
      </c>
      <c r="G127" s="1574"/>
      <c r="H127" s="1574"/>
      <c r="I127" s="1574"/>
      <c r="J127" s="1574"/>
      <c r="K127" s="1574"/>
      <c r="L127" s="1574"/>
      <c r="M127" s="1574"/>
      <c r="N127" s="1574"/>
      <c r="O127" s="1574"/>
      <c r="P127" s="1574"/>
      <c r="Q127" s="1574"/>
      <c r="R127" s="1574"/>
      <c r="S127" s="1574"/>
      <c r="T127" s="1574"/>
      <c r="U127" s="1574"/>
      <c r="V127" s="1574"/>
      <c r="W127" s="1574"/>
      <c r="X127" s="1574"/>
      <c r="Y127" s="1574"/>
      <c r="Z127" s="1574"/>
      <c r="AA127" s="1574"/>
      <c r="AB127" s="1574"/>
      <c r="AC127" s="1574"/>
      <c r="AD127" s="1574"/>
      <c r="AE127" s="1574"/>
      <c r="AF127" s="1574"/>
      <c r="AG127" s="1574"/>
      <c r="AH127" s="1574"/>
      <c r="AI127" s="1574"/>
      <c r="AJ127" s="1574"/>
      <c r="AK127" s="1714"/>
      <c r="AL127" s="1477"/>
      <c r="AM127" s="1477"/>
      <c r="AN127" s="1477"/>
      <c r="AO127" s="284"/>
      <c r="AP127" s="1477"/>
      <c r="AQ127" s="1477"/>
      <c r="AR127" s="1477"/>
      <c r="AS127" s="1477"/>
      <c r="AT127" s="1477"/>
      <c r="AU127" s="1477"/>
      <c r="AV127" s="1477"/>
      <c r="AW127" s="1477"/>
      <c r="AX127" s="1477"/>
      <c r="AY127" s="1477"/>
      <c r="AZ127" s="1477"/>
      <c r="BA127" s="1477"/>
      <c r="BB127" s="1477"/>
      <c r="BC127" s="1477"/>
      <c r="BD127" s="1477"/>
      <c r="BE127" s="1477"/>
      <c r="BF127" s="1477"/>
      <c r="BG127" s="1477"/>
      <c r="BH127" s="1477"/>
      <c r="BI127" s="1477"/>
      <c r="BJ127" s="1477"/>
      <c r="BK127" s="1477"/>
      <c r="BL127" s="1477"/>
      <c r="BM127" s="1477"/>
      <c r="BN127" s="1477"/>
      <c r="BO127" s="1477"/>
      <c r="BP127" s="1477"/>
      <c r="BQ127" s="1477"/>
      <c r="BR127" s="1477"/>
      <c r="BS127" s="1477"/>
      <c r="BT127" s="1477"/>
      <c r="BU127" s="1477"/>
      <c r="BV127" s="1477"/>
      <c r="BW127" s="1477"/>
      <c r="BX127" s="1477"/>
      <c r="BY127" s="1477"/>
      <c r="BZ127" s="1477"/>
      <c r="CA127" s="1477"/>
      <c r="CB127" s="1477"/>
      <c r="CC127" s="1477"/>
      <c r="CD127" s="1477"/>
      <c r="CE127" s="1477"/>
      <c r="CF127" s="1477"/>
      <c r="CG127" s="1477"/>
      <c r="CH127" s="1477"/>
    </row>
    <row r="128" spans="2:86">
      <c r="B128" s="1714"/>
      <c r="C128" s="673" t="str" cm="1">
        <f t="array" ref="C128:D128">'14. Project Costs'!C131:D131</f>
        <v>Escrows</v>
      </c>
      <c r="D128" s="674">
        <v>0</v>
      </c>
      <c r="E128" s="184">
        <f>PC_CAP_Escrow_Total</f>
        <v>0</v>
      </c>
      <c r="F128" s="1573">
        <f t="shared" si="44"/>
        <v>0</v>
      </c>
      <c r="G128" s="1574"/>
      <c r="H128" s="1574"/>
      <c r="I128" s="1574"/>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1574"/>
      <c r="AI128" s="1574"/>
      <c r="AJ128" s="1574"/>
      <c r="AK128" s="1714"/>
      <c r="AL128" s="1477"/>
      <c r="AM128" s="1477"/>
      <c r="AN128" s="1477"/>
      <c r="AO128" s="284"/>
      <c r="AP128" s="1477"/>
      <c r="AQ128" s="1477"/>
      <c r="AR128" s="1477"/>
      <c r="AS128" s="1477"/>
      <c r="AT128" s="1477"/>
      <c r="AU128" s="1477"/>
      <c r="AV128" s="1477"/>
      <c r="AW128" s="1477"/>
      <c r="AX128" s="1477"/>
      <c r="AY128" s="1477"/>
      <c r="AZ128" s="1477"/>
      <c r="BA128" s="1477"/>
      <c r="BB128" s="1477"/>
      <c r="BC128" s="1477"/>
      <c r="BD128" s="1477"/>
      <c r="BE128" s="1477"/>
      <c r="BF128" s="1477"/>
      <c r="BG128" s="1477"/>
      <c r="BH128" s="1477"/>
      <c r="BI128" s="1477"/>
      <c r="BJ128" s="1477"/>
      <c r="BK128" s="1477"/>
      <c r="BL128" s="1477"/>
      <c r="BM128" s="1477"/>
      <c r="BN128" s="1477"/>
      <c r="BO128" s="1477"/>
      <c r="BP128" s="1477"/>
      <c r="BQ128" s="1477"/>
      <c r="BR128" s="1477"/>
      <c r="BS128" s="1477"/>
      <c r="BT128" s="1477"/>
      <c r="BU128" s="1477"/>
      <c r="BV128" s="1477"/>
      <c r="BW128" s="1477"/>
      <c r="BX128" s="1477"/>
      <c r="BY128" s="1477"/>
      <c r="BZ128" s="1477"/>
      <c r="CA128" s="1477"/>
      <c r="CB128" s="1477"/>
      <c r="CC128" s="1477"/>
      <c r="CD128" s="1477"/>
      <c r="CE128" s="1477"/>
      <c r="CF128" s="1477"/>
      <c r="CG128" s="1477"/>
      <c r="CH128" s="1477"/>
    </row>
    <row r="129" spans="2:86" hidden="1">
      <c r="B129" s="1714"/>
      <c r="C129" s="138" t="str" cm="1">
        <f t="array" ref="C129:D129">'14. Project Costs'!C132:D132</f>
        <v>Other Capitalized Reserves</v>
      </c>
      <c r="D129" s="138">
        <v>0</v>
      </c>
      <c r="E129" s="184">
        <f>PC_CAP_Other_Cap_Reserves_Total</f>
        <v>0</v>
      </c>
      <c r="F129" s="1573">
        <f t="shared" si="44"/>
        <v>0</v>
      </c>
      <c r="G129" s="1574"/>
      <c r="H129" s="1574"/>
      <c r="I129" s="1574"/>
      <c r="J129" s="1574"/>
      <c r="K129" s="1574"/>
      <c r="L129" s="1574"/>
      <c r="M129" s="1574"/>
      <c r="N129" s="1574"/>
      <c r="O129" s="1574"/>
      <c r="P129" s="1574"/>
      <c r="Q129" s="1574"/>
      <c r="R129" s="1574"/>
      <c r="S129" s="1574"/>
      <c r="T129" s="1574"/>
      <c r="U129" s="1574"/>
      <c r="V129" s="1574"/>
      <c r="W129" s="1574"/>
      <c r="X129" s="1574"/>
      <c r="Y129" s="1574"/>
      <c r="Z129" s="1574"/>
      <c r="AA129" s="1574"/>
      <c r="AB129" s="1574"/>
      <c r="AC129" s="1574"/>
      <c r="AD129" s="1574"/>
      <c r="AE129" s="1574"/>
      <c r="AF129" s="1574"/>
      <c r="AG129" s="1574"/>
      <c r="AH129" s="1574"/>
      <c r="AI129" s="1574"/>
      <c r="AJ129" s="1574"/>
      <c r="AK129" s="1714"/>
      <c r="AL129" s="1477"/>
      <c r="AM129" s="1477"/>
      <c r="AN129" s="1477"/>
      <c r="AO129" s="284"/>
      <c r="AP129" s="1477"/>
      <c r="AQ129" s="1477"/>
      <c r="AR129" s="1477"/>
      <c r="AS129" s="1477"/>
      <c r="AT129" s="1477"/>
      <c r="AU129" s="1477"/>
      <c r="AV129" s="1477"/>
      <c r="AW129" s="1477"/>
      <c r="AX129" s="1477"/>
      <c r="AY129" s="1477"/>
      <c r="AZ129" s="1477"/>
      <c r="BA129" s="1477"/>
      <c r="BB129" s="1477"/>
      <c r="BC129" s="1477"/>
      <c r="BD129" s="1477"/>
      <c r="BE129" s="1477"/>
      <c r="BF129" s="1477"/>
      <c r="BG129" s="1477"/>
      <c r="BH129" s="1477"/>
      <c r="BI129" s="1477"/>
      <c r="BJ129" s="1477"/>
      <c r="BK129" s="1477"/>
      <c r="BL129" s="1477"/>
      <c r="BM129" s="1477"/>
      <c r="BN129" s="1477"/>
      <c r="BO129" s="1477"/>
      <c r="BP129" s="1477"/>
      <c r="BQ129" s="1477"/>
      <c r="BR129" s="1477"/>
      <c r="BS129" s="1477"/>
      <c r="BT129" s="1477"/>
      <c r="BU129" s="1477"/>
      <c r="BV129" s="1477"/>
      <c r="BW129" s="1477"/>
      <c r="BX129" s="1477"/>
      <c r="BY129" s="1477"/>
      <c r="BZ129" s="1477"/>
      <c r="CA129" s="1477"/>
      <c r="CB129" s="1477"/>
      <c r="CC129" s="1477"/>
      <c r="CD129" s="1477"/>
      <c r="CE129" s="1477"/>
      <c r="CF129" s="1477"/>
      <c r="CG129" s="1477"/>
      <c r="CH129" s="1477"/>
    </row>
    <row r="130" spans="2:86">
      <c r="B130" s="1714"/>
      <c r="C130" s="126" t="s">
        <v>3260</v>
      </c>
      <c r="D130" s="126"/>
      <c r="E130" s="185">
        <f t="shared" ref="E130:AJ130" si="45">SUM(E122:E129)</f>
        <v>0</v>
      </c>
      <c r="F130" s="186">
        <f t="shared" si="45"/>
        <v>0</v>
      </c>
      <c r="G130" s="186">
        <f t="shared" si="45"/>
        <v>0</v>
      </c>
      <c r="H130" s="186">
        <f t="shared" si="45"/>
        <v>0</v>
      </c>
      <c r="I130" s="186">
        <f t="shared" si="45"/>
        <v>0</v>
      </c>
      <c r="J130" s="186">
        <f t="shared" si="45"/>
        <v>0</v>
      </c>
      <c r="K130" s="186">
        <f t="shared" si="45"/>
        <v>0</v>
      </c>
      <c r="L130" s="186">
        <f t="shared" si="45"/>
        <v>0</v>
      </c>
      <c r="M130" s="186">
        <f t="shared" si="45"/>
        <v>0</v>
      </c>
      <c r="N130" s="186">
        <f t="shared" si="45"/>
        <v>0</v>
      </c>
      <c r="O130" s="186">
        <f t="shared" si="45"/>
        <v>0</v>
      </c>
      <c r="P130" s="186">
        <f t="shared" si="45"/>
        <v>0</v>
      </c>
      <c r="Q130" s="186">
        <f t="shared" si="45"/>
        <v>0</v>
      </c>
      <c r="R130" s="186">
        <f t="shared" si="45"/>
        <v>0</v>
      </c>
      <c r="S130" s="186">
        <f t="shared" si="45"/>
        <v>0</v>
      </c>
      <c r="T130" s="186">
        <f t="shared" si="45"/>
        <v>0</v>
      </c>
      <c r="U130" s="186">
        <f t="shared" si="45"/>
        <v>0</v>
      </c>
      <c r="V130" s="186">
        <f t="shared" si="45"/>
        <v>0</v>
      </c>
      <c r="W130" s="186">
        <f t="shared" si="45"/>
        <v>0</v>
      </c>
      <c r="X130" s="186">
        <f t="shared" si="45"/>
        <v>0</v>
      </c>
      <c r="Y130" s="186">
        <f t="shared" si="45"/>
        <v>0</v>
      </c>
      <c r="Z130" s="186">
        <f t="shared" si="45"/>
        <v>0</v>
      </c>
      <c r="AA130" s="186">
        <f t="shared" si="45"/>
        <v>0</v>
      </c>
      <c r="AB130" s="186">
        <f t="shared" si="45"/>
        <v>0</v>
      </c>
      <c r="AC130" s="186">
        <f t="shared" si="45"/>
        <v>0</v>
      </c>
      <c r="AD130" s="186">
        <f t="shared" si="45"/>
        <v>0</v>
      </c>
      <c r="AE130" s="186">
        <f t="shared" si="45"/>
        <v>0</v>
      </c>
      <c r="AF130" s="186">
        <f t="shared" si="45"/>
        <v>0</v>
      </c>
      <c r="AG130" s="186">
        <f t="shared" si="45"/>
        <v>0</v>
      </c>
      <c r="AH130" s="186">
        <f t="shared" si="45"/>
        <v>0</v>
      </c>
      <c r="AI130" s="186">
        <f t="shared" si="45"/>
        <v>0</v>
      </c>
      <c r="AJ130" s="186">
        <f t="shared" si="45"/>
        <v>0</v>
      </c>
      <c r="AK130" s="1714"/>
      <c r="AL130" s="1477"/>
      <c r="AM130" s="1477"/>
      <c r="AN130" s="1477"/>
      <c r="AO130" s="284"/>
      <c r="AP130" s="1477"/>
      <c r="AQ130" s="1477"/>
      <c r="AR130" s="1477"/>
      <c r="AS130" s="1477"/>
      <c r="AT130" s="1477"/>
      <c r="AU130" s="1477"/>
      <c r="AV130" s="1477"/>
      <c r="AW130" s="1477"/>
      <c r="AX130" s="1477"/>
      <c r="AY130" s="1477"/>
      <c r="AZ130" s="1477"/>
      <c r="BA130" s="1477"/>
      <c r="BB130" s="1477"/>
      <c r="BC130" s="1477"/>
      <c r="BD130" s="1477"/>
      <c r="BE130" s="1477"/>
      <c r="BF130" s="1477"/>
      <c r="BG130" s="1477"/>
      <c r="BH130" s="1477"/>
      <c r="BI130" s="1477"/>
      <c r="BJ130" s="1477"/>
      <c r="BK130" s="1477"/>
      <c r="BL130" s="1477"/>
      <c r="BM130" s="1477"/>
      <c r="BN130" s="1477"/>
      <c r="BO130" s="1477"/>
      <c r="BP130" s="1477"/>
      <c r="BQ130" s="1477"/>
      <c r="BR130" s="1477"/>
      <c r="BS130" s="1477"/>
      <c r="BT130" s="1477"/>
      <c r="BU130" s="1477"/>
      <c r="BV130" s="1477"/>
      <c r="BW130" s="1477"/>
      <c r="BX130" s="1477"/>
      <c r="BY130" s="1477"/>
      <c r="BZ130" s="1477"/>
      <c r="CA130" s="1477"/>
      <c r="CB130" s="1477"/>
      <c r="CC130" s="1477"/>
      <c r="CD130" s="1477"/>
      <c r="CE130" s="1477"/>
      <c r="CF130" s="1477"/>
      <c r="CG130" s="1477"/>
      <c r="CH130" s="1477"/>
    </row>
    <row r="131" spans="2:86" ht="15.75">
      <c r="B131" s="1714"/>
      <c r="C131" s="127" t="s">
        <v>3261</v>
      </c>
      <c r="D131" s="127"/>
      <c r="E131" s="200"/>
      <c r="F131" s="1576"/>
      <c r="G131" s="1576"/>
      <c r="H131" s="1576"/>
      <c r="I131" s="1576"/>
      <c r="J131" s="1576"/>
      <c r="K131" s="1576"/>
      <c r="L131" s="1576"/>
      <c r="M131" s="1576"/>
      <c r="N131" s="1576"/>
      <c r="O131" s="1576"/>
      <c r="P131" s="1576"/>
      <c r="Q131" s="1576"/>
      <c r="R131" s="1576"/>
      <c r="S131" s="1576"/>
      <c r="T131" s="1576"/>
      <c r="U131" s="1576"/>
      <c r="V131" s="1576"/>
      <c r="W131" s="1576"/>
      <c r="X131" s="1576"/>
      <c r="Y131" s="1576"/>
      <c r="Z131" s="1576"/>
      <c r="AA131" s="1576"/>
      <c r="AB131" s="1576"/>
      <c r="AC131" s="1576"/>
      <c r="AD131" s="1576"/>
      <c r="AE131" s="1576"/>
      <c r="AF131" s="1576"/>
      <c r="AG131" s="1576"/>
      <c r="AH131" s="1576"/>
      <c r="AI131" s="1576"/>
      <c r="AJ131" s="1576"/>
      <c r="AK131" s="1714"/>
      <c r="AL131" s="1477"/>
      <c r="AM131" s="1477"/>
      <c r="AN131" s="1477"/>
      <c r="AO131" s="284"/>
      <c r="AP131" s="1477"/>
      <c r="AQ131" s="1477"/>
      <c r="AR131" s="1477"/>
      <c r="AS131" s="1477"/>
      <c r="AT131" s="1477"/>
      <c r="AU131" s="1477"/>
      <c r="AV131" s="1477"/>
      <c r="AW131" s="1477"/>
      <c r="AX131" s="1477"/>
      <c r="AY131" s="1477"/>
      <c r="AZ131" s="1477"/>
      <c r="BA131" s="1477"/>
      <c r="BB131" s="1477"/>
      <c r="BC131" s="1477"/>
      <c r="BD131" s="1477"/>
      <c r="BE131" s="1477"/>
      <c r="BF131" s="1477"/>
      <c r="BG131" s="1477"/>
      <c r="BH131" s="1477"/>
      <c r="BI131" s="1477"/>
      <c r="BJ131" s="1477"/>
      <c r="BK131" s="1477"/>
      <c r="BL131" s="1477"/>
      <c r="BM131" s="1477"/>
      <c r="BN131" s="1477"/>
      <c r="BO131" s="1477"/>
      <c r="BP131" s="1477"/>
      <c r="BQ131" s="1477"/>
      <c r="BR131" s="1477"/>
      <c r="BS131" s="1477"/>
      <c r="BT131" s="1477"/>
      <c r="BU131" s="1477"/>
      <c r="BV131" s="1477"/>
      <c r="BW131" s="1477"/>
      <c r="BX131" s="1477"/>
      <c r="BY131" s="1477"/>
      <c r="BZ131" s="1477"/>
      <c r="CA131" s="1477"/>
      <c r="CB131" s="1477"/>
      <c r="CC131" s="1477"/>
      <c r="CD131" s="1477"/>
      <c r="CE131" s="1477"/>
      <c r="CF131" s="1477"/>
      <c r="CG131" s="1477"/>
      <c r="CH131" s="1477"/>
    </row>
    <row r="132" spans="2:86">
      <c r="B132" s="1714"/>
      <c r="C132" s="129" t="s">
        <v>3262</v>
      </c>
      <c r="D132" s="129"/>
      <c r="E132" s="197"/>
      <c r="F132" s="1577"/>
      <c r="G132" s="1577"/>
      <c r="H132" s="1577"/>
      <c r="I132" s="1577"/>
      <c r="J132" s="1577"/>
      <c r="K132" s="1577"/>
      <c r="L132" s="1577"/>
      <c r="M132" s="1577"/>
      <c r="N132" s="1577"/>
      <c r="O132" s="1577"/>
      <c r="P132" s="1577"/>
      <c r="Q132" s="1577"/>
      <c r="R132" s="1577"/>
      <c r="S132" s="1577"/>
      <c r="T132" s="1577"/>
      <c r="U132" s="1577"/>
      <c r="V132" s="1577"/>
      <c r="W132" s="1577"/>
      <c r="X132" s="1577"/>
      <c r="Y132" s="1577"/>
      <c r="Z132" s="1577"/>
      <c r="AA132" s="1577"/>
      <c r="AB132" s="1577"/>
      <c r="AC132" s="1577"/>
      <c r="AD132" s="1577"/>
      <c r="AE132" s="1577"/>
      <c r="AF132" s="1577"/>
      <c r="AG132" s="1577"/>
      <c r="AH132" s="1577"/>
      <c r="AI132" s="1577"/>
      <c r="AJ132" s="1577"/>
      <c r="AK132" s="1714"/>
      <c r="AL132" s="1477"/>
      <c r="AM132" s="1477"/>
      <c r="AN132" s="1477"/>
      <c r="AO132" s="284"/>
      <c r="AP132" s="1477"/>
      <c r="AQ132" s="1477"/>
      <c r="AR132" s="1477"/>
      <c r="AS132" s="1477"/>
      <c r="AT132" s="1477"/>
      <c r="AU132" s="1477"/>
      <c r="AV132" s="1477"/>
      <c r="AW132" s="1477"/>
      <c r="AX132" s="1477"/>
      <c r="AY132" s="1477"/>
      <c r="AZ132" s="1477"/>
      <c r="BA132" s="1477"/>
      <c r="BB132" s="1477"/>
      <c r="BC132" s="1477"/>
      <c r="BD132" s="1477"/>
      <c r="BE132" s="1477"/>
      <c r="BF132" s="1477"/>
      <c r="BG132" s="1477"/>
      <c r="BH132" s="1477"/>
      <c r="BI132" s="1477"/>
      <c r="BJ132" s="1477"/>
      <c r="BK132" s="1477"/>
      <c r="BL132" s="1477"/>
      <c r="BM132" s="1477"/>
      <c r="BN132" s="1477"/>
      <c r="BO132" s="1477"/>
      <c r="BP132" s="1477"/>
      <c r="BQ132" s="1477"/>
      <c r="BR132" s="1477"/>
      <c r="BS132" s="1477"/>
      <c r="BT132" s="1477"/>
      <c r="BU132" s="1477"/>
      <c r="BV132" s="1477"/>
      <c r="BW132" s="1477"/>
      <c r="BX132" s="1477"/>
      <c r="BY132" s="1477"/>
      <c r="BZ132" s="1477"/>
      <c r="CA132" s="1477"/>
      <c r="CB132" s="1477"/>
      <c r="CC132" s="1477"/>
      <c r="CD132" s="1477"/>
      <c r="CE132" s="1477"/>
      <c r="CF132" s="1477"/>
      <c r="CG132" s="1477"/>
      <c r="CH132" s="1477"/>
    </row>
    <row r="133" spans="2:86">
      <c r="B133" s="1714"/>
      <c r="C133" s="678" t="str" cm="1">
        <f t="array" ref="C133:D133">'14. Project Costs'!C136:D136</f>
        <v>Appraisal(s)</v>
      </c>
      <c r="D133" s="674">
        <v>0</v>
      </c>
      <c r="E133" s="184">
        <f>PC_RPT_Appraisals_Total</f>
        <v>0</v>
      </c>
      <c r="F133" s="1573">
        <f t="shared" ref="F133:F136" si="46">+E133-SUM(G133:AJ133)</f>
        <v>0</v>
      </c>
      <c r="G133" s="1574">
        <f>+E133</f>
        <v>0</v>
      </c>
      <c r="H133" s="1574"/>
      <c r="I133" s="1574"/>
      <c r="J133" s="1574"/>
      <c r="K133" s="1574"/>
      <c r="L133" s="1574"/>
      <c r="M133" s="1574"/>
      <c r="N133" s="1574"/>
      <c r="O133" s="1574"/>
      <c r="P133" s="1574"/>
      <c r="Q133" s="1574"/>
      <c r="R133" s="1574"/>
      <c r="S133" s="1574"/>
      <c r="T133" s="1574"/>
      <c r="U133" s="1574"/>
      <c r="V133" s="1574"/>
      <c r="W133" s="1574"/>
      <c r="X133" s="1574"/>
      <c r="Y133" s="1574"/>
      <c r="Z133" s="1574"/>
      <c r="AA133" s="1574"/>
      <c r="AB133" s="1574"/>
      <c r="AC133" s="1574"/>
      <c r="AD133" s="1574"/>
      <c r="AE133" s="1574"/>
      <c r="AF133" s="1574"/>
      <c r="AG133" s="1574"/>
      <c r="AH133" s="1574"/>
      <c r="AI133" s="1574"/>
      <c r="AJ133" s="1574"/>
      <c r="AK133" s="1714"/>
      <c r="AL133" s="1477"/>
      <c r="AM133" s="1477"/>
      <c r="AN133" s="1477"/>
      <c r="AO133" s="284"/>
      <c r="AP133" s="1477"/>
      <c r="AQ133" s="1477"/>
      <c r="AR133" s="1477"/>
      <c r="AS133" s="1477"/>
      <c r="AT133" s="1477"/>
      <c r="AU133" s="1477"/>
      <c r="AV133" s="1477"/>
      <c r="AW133" s="1477"/>
      <c r="AX133" s="1477"/>
      <c r="AY133" s="1477"/>
      <c r="AZ133" s="1477"/>
      <c r="BA133" s="1477"/>
      <c r="BB133" s="1477"/>
      <c r="BC133" s="1477"/>
      <c r="BD133" s="1477"/>
      <c r="BE133" s="1477"/>
      <c r="BF133" s="1477"/>
      <c r="BG133" s="1477"/>
      <c r="BH133" s="1477"/>
      <c r="BI133" s="1477"/>
      <c r="BJ133" s="1477"/>
      <c r="BK133" s="1477"/>
      <c r="BL133" s="1477"/>
      <c r="BM133" s="1477"/>
      <c r="BN133" s="1477"/>
      <c r="BO133" s="1477"/>
      <c r="BP133" s="1477"/>
      <c r="BQ133" s="1477"/>
      <c r="BR133" s="1477"/>
      <c r="BS133" s="1477"/>
      <c r="BT133" s="1477"/>
      <c r="BU133" s="1477"/>
      <c r="BV133" s="1477"/>
      <c r="BW133" s="1477"/>
      <c r="BX133" s="1477"/>
      <c r="BY133" s="1477"/>
      <c r="BZ133" s="1477"/>
      <c r="CA133" s="1477"/>
      <c r="CB133" s="1477"/>
      <c r="CC133" s="1477"/>
      <c r="CD133" s="1477"/>
      <c r="CE133" s="1477"/>
      <c r="CF133" s="1477"/>
      <c r="CG133" s="1477"/>
      <c r="CH133" s="1477"/>
    </row>
    <row r="134" spans="2:86">
      <c r="B134" s="1714"/>
      <c r="C134" s="678" t="str" cm="1">
        <f t="array" ref="C134:D134">'14. Project Costs'!C137:D137</f>
        <v>Market Study</v>
      </c>
      <c r="D134" s="674">
        <v>0</v>
      </c>
      <c r="E134" s="184">
        <f>PC_RPT_Market_Study_Total</f>
        <v>0</v>
      </c>
      <c r="F134" s="1573">
        <f t="shared" si="46"/>
        <v>0</v>
      </c>
      <c r="G134" s="1574">
        <f>+E134</f>
        <v>0</v>
      </c>
      <c r="H134" s="1574"/>
      <c r="I134" s="1574"/>
      <c r="J134" s="1574"/>
      <c r="K134" s="1574"/>
      <c r="L134" s="1574"/>
      <c r="M134" s="1574"/>
      <c r="N134" s="1574"/>
      <c r="O134" s="1574"/>
      <c r="P134" s="1574"/>
      <c r="Q134" s="1574"/>
      <c r="R134" s="1574"/>
      <c r="S134" s="1574"/>
      <c r="T134" s="1574"/>
      <c r="U134" s="1574"/>
      <c r="V134" s="1574"/>
      <c r="W134" s="1574"/>
      <c r="X134" s="1574"/>
      <c r="Y134" s="1574"/>
      <c r="Z134" s="1574"/>
      <c r="AA134" s="1574"/>
      <c r="AB134" s="1574"/>
      <c r="AC134" s="1574"/>
      <c r="AD134" s="1574"/>
      <c r="AE134" s="1574"/>
      <c r="AF134" s="1574"/>
      <c r="AG134" s="1574"/>
      <c r="AH134" s="1574"/>
      <c r="AI134" s="1574"/>
      <c r="AJ134" s="1574"/>
      <c r="AK134" s="1714"/>
      <c r="AL134" s="1477"/>
      <c r="AM134" s="1477"/>
      <c r="AN134" s="1477"/>
      <c r="AO134" s="284"/>
      <c r="AP134" s="1477"/>
      <c r="AQ134" s="1477"/>
      <c r="AR134" s="1477"/>
      <c r="AS134" s="1477"/>
      <c r="AT134" s="1477"/>
      <c r="AU134" s="1477"/>
      <c r="AV134" s="1477"/>
      <c r="AW134" s="1477"/>
      <c r="AX134" s="1477"/>
      <c r="AY134" s="1477"/>
      <c r="AZ134" s="1477"/>
      <c r="BA134" s="1477"/>
      <c r="BB134" s="1477"/>
      <c r="BC134" s="1477"/>
      <c r="BD134" s="1477"/>
      <c r="BE134" s="1477"/>
      <c r="BF134" s="1477"/>
      <c r="BG134" s="1477"/>
      <c r="BH134" s="1477"/>
      <c r="BI134" s="1477"/>
      <c r="BJ134" s="1477"/>
      <c r="BK134" s="1477"/>
      <c r="BL134" s="1477"/>
      <c r="BM134" s="1477"/>
      <c r="BN134" s="1477"/>
      <c r="BO134" s="1477"/>
      <c r="BP134" s="1477"/>
      <c r="BQ134" s="1477"/>
      <c r="BR134" s="1477"/>
      <c r="BS134" s="1477"/>
      <c r="BT134" s="1477"/>
      <c r="BU134" s="1477"/>
      <c r="BV134" s="1477"/>
      <c r="BW134" s="1477"/>
      <c r="BX134" s="1477"/>
      <c r="BY134" s="1477"/>
      <c r="BZ134" s="1477"/>
      <c r="CA134" s="1477"/>
      <c r="CB134" s="1477"/>
      <c r="CC134" s="1477"/>
      <c r="CD134" s="1477"/>
      <c r="CE134" s="1477"/>
      <c r="CF134" s="1477"/>
      <c r="CG134" s="1477"/>
      <c r="CH134" s="1477"/>
    </row>
    <row r="135" spans="2:86">
      <c r="B135" s="1714"/>
      <c r="C135" s="678" t="str" cm="1">
        <f t="array" ref="C135:D135">'14. Project Costs'!C138:D138</f>
        <v>Capital Needs Assessment Report</v>
      </c>
      <c r="D135" s="674">
        <v>0</v>
      </c>
      <c r="E135" s="184">
        <f>PC_RPT_Physical_Capital_Total</f>
        <v>0</v>
      </c>
      <c r="F135" s="1573">
        <f t="shared" si="46"/>
        <v>0</v>
      </c>
      <c r="G135" s="1574">
        <f>+E135</f>
        <v>0</v>
      </c>
      <c r="H135" s="1574"/>
      <c r="I135" s="1574"/>
      <c r="J135" s="1574"/>
      <c r="K135" s="1574"/>
      <c r="L135" s="1574"/>
      <c r="M135" s="1574"/>
      <c r="N135" s="1574"/>
      <c r="O135" s="1574"/>
      <c r="P135" s="1574"/>
      <c r="Q135" s="1574"/>
      <c r="R135" s="1574"/>
      <c r="S135" s="1574"/>
      <c r="T135" s="1574"/>
      <c r="U135" s="1574"/>
      <c r="V135" s="1574"/>
      <c r="W135" s="1574"/>
      <c r="X135" s="1574"/>
      <c r="Y135" s="1574"/>
      <c r="Z135" s="1574"/>
      <c r="AA135" s="1574"/>
      <c r="AB135" s="1574"/>
      <c r="AC135" s="1574"/>
      <c r="AD135" s="1574"/>
      <c r="AE135" s="1574"/>
      <c r="AF135" s="1574"/>
      <c r="AG135" s="1574"/>
      <c r="AH135" s="1574"/>
      <c r="AI135" s="1574"/>
      <c r="AJ135" s="1574"/>
      <c r="AK135" s="1714"/>
      <c r="AL135" s="1477"/>
      <c r="AM135" s="1477"/>
      <c r="AN135" s="1477"/>
      <c r="AO135" s="284"/>
      <c r="AP135" s="1477"/>
      <c r="AQ135" s="1477"/>
      <c r="AR135" s="1477"/>
      <c r="AS135" s="1477"/>
      <c r="AT135" s="1477"/>
      <c r="AU135" s="1477"/>
      <c r="AV135" s="1477"/>
      <c r="AW135" s="1477"/>
      <c r="AX135" s="1477"/>
      <c r="AY135" s="1477"/>
      <c r="AZ135" s="1477"/>
      <c r="BA135" s="1477"/>
      <c r="BB135" s="1477"/>
      <c r="BC135" s="1477"/>
      <c r="BD135" s="1477"/>
      <c r="BE135" s="1477"/>
      <c r="BF135" s="1477"/>
      <c r="BG135" s="1477"/>
      <c r="BH135" s="1477"/>
      <c r="BI135" s="1477"/>
      <c r="BJ135" s="1477"/>
      <c r="BK135" s="1477"/>
      <c r="BL135" s="1477"/>
      <c r="BM135" s="1477"/>
      <c r="BN135" s="1477"/>
      <c r="BO135" s="1477"/>
      <c r="BP135" s="1477"/>
      <c r="BQ135" s="1477"/>
      <c r="BR135" s="1477"/>
      <c r="BS135" s="1477"/>
      <c r="BT135" s="1477"/>
      <c r="BU135" s="1477"/>
      <c r="BV135" s="1477"/>
      <c r="BW135" s="1477"/>
      <c r="BX135" s="1477"/>
      <c r="BY135" s="1477"/>
      <c r="BZ135" s="1477"/>
      <c r="CA135" s="1477"/>
      <c r="CB135" s="1477"/>
      <c r="CC135" s="1477"/>
      <c r="CD135" s="1477"/>
      <c r="CE135" s="1477"/>
      <c r="CF135" s="1477"/>
      <c r="CG135" s="1477"/>
      <c r="CH135" s="1477"/>
    </row>
    <row r="136" spans="2:86">
      <c r="B136" s="1714"/>
      <c r="C136" s="675" t="str" cm="1">
        <f t="array" ref="C136:D136">'14. Project Costs'!C139:D139</f>
        <v>Environmental Report</v>
      </c>
      <c r="D136" s="676">
        <v>0</v>
      </c>
      <c r="E136" s="184">
        <f>PC_RPT_Environmental_Study_Total</f>
        <v>0</v>
      </c>
      <c r="F136" s="1573">
        <f t="shared" si="46"/>
        <v>0</v>
      </c>
      <c r="G136" s="1574">
        <f>+E136</f>
        <v>0</v>
      </c>
      <c r="H136" s="1574"/>
      <c r="I136" s="1574"/>
      <c r="J136" s="1574"/>
      <c r="K136" s="1574"/>
      <c r="L136" s="1574"/>
      <c r="M136" s="1574"/>
      <c r="N136" s="1574"/>
      <c r="O136" s="1574"/>
      <c r="P136" s="1574"/>
      <c r="Q136" s="1574"/>
      <c r="R136" s="1574"/>
      <c r="S136" s="1574"/>
      <c r="T136" s="1574"/>
      <c r="U136" s="1574"/>
      <c r="V136" s="1574"/>
      <c r="W136" s="1574"/>
      <c r="X136" s="1574"/>
      <c r="Y136" s="1574"/>
      <c r="Z136" s="1574"/>
      <c r="AA136" s="1574"/>
      <c r="AB136" s="1574"/>
      <c r="AC136" s="1574"/>
      <c r="AD136" s="1574"/>
      <c r="AE136" s="1574"/>
      <c r="AF136" s="1574"/>
      <c r="AG136" s="1574"/>
      <c r="AH136" s="1574"/>
      <c r="AI136" s="1574"/>
      <c r="AJ136" s="1574"/>
      <c r="AK136" s="1714"/>
      <c r="AL136" s="1477"/>
      <c r="AM136" s="1477"/>
      <c r="AN136" s="1477"/>
      <c r="AO136" s="284"/>
      <c r="AP136" s="1477"/>
      <c r="AQ136" s="1477"/>
      <c r="AR136" s="1477"/>
      <c r="AS136" s="1477"/>
      <c r="AT136" s="1477"/>
      <c r="AU136" s="1477"/>
      <c r="AV136" s="1477"/>
      <c r="AW136" s="1477"/>
      <c r="AX136" s="1477"/>
      <c r="AY136" s="1477"/>
      <c r="AZ136" s="1477"/>
      <c r="BA136" s="1477"/>
      <c r="BB136" s="1477"/>
      <c r="BC136" s="1477"/>
      <c r="BD136" s="1477"/>
      <c r="BE136" s="1477"/>
      <c r="BF136" s="1477"/>
      <c r="BG136" s="1477"/>
      <c r="BH136" s="1477"/>
      <c r="BI136" s="1477"/>
      <c r="BJ136" s="1477"/>
      <c r="BK136" s="1477"/>
      <c r="BL136" s="1477"/>
      <c r="BM136" s="1477"/>
      <c r="BN136" s="1477"/>
      <c r="BO136" s="1477"/>
      <c r="BP136" s="1477"/>
      <c r="BQ136" s="1477"/>
      <c r="BR136" s="1477"/>
      <c r="BS136" s="1477"/>
      <c r="BT136" s="1477"/>
      <c r="BU136" s="1477"/>
      <c r="BV136" s="1477"/>
      <c r="BW136" s="1477"/>
      <c r="BX136" s="1477"/>
      <c r="BY136" s="1477"/>
      <c r="BZ136" s="1477"/>
      <c r="CA136" s="1477"/>
      <c r="CB136" s="1477"/>
      <c r="CC136" s="1477"/>
      <c r="CD136" s="1477"/>
      <c r="CE136" s="1477"/>
      <c r="CF136" s="1477"/>
      <c r="CG136" s="1477"/>
      <c r="CH136" s="1477"/>
    </row>
    <row r="137" spans="2:86" hidden="1">
      <c r="B137" s="1714"/>
      <c r="C137" s="131" t="s">
        <v>3271</v>
      </c>
      <c r="D137" s="131"/>
      <c r="E137" s="188">
        <f t="shared" ref="E137:AJ137" si="47">SUM(E133:E136)</f>
        <v>0</v>
      </c>
      <c r="F137" s="1578">
        <f t="shared" si="47"/>
        <v>0</v>
      </c>
      <c r="G137" s="1578">
        <f t="shared" si="47"/>
        <v>0</v>
      </c>
      <c r="H137" s="1578">
        <f t="shared" si="47"/>
        <v>0</v>
      </c>
      <c r="I137" s="1578">
        <f t="shared" si="47"/>
        <v>0</v>
      </c>
      <c r="J137" s="1578">
        <f t="shared" si="47"/>
        <v>0</v>
      </c>
      <c r="K137" s="1578">
        <f t="shared" si="47"/>
        <v>0</v>
      </c>
      <c r="L137" s="1578">
        <f t="shared" si="47"/>
        <v>0</v>
      </c>
      <c r="M137" s="1578">
        <f t="shared" si="47"/>
        <v>0</v>
      </c>
      <c r="N137" s="1578">
        <f t="shared" si="47"/>
        <v>0</v>
      </c>
      <c r="O137" s="1578">
        <f t="shared" si="47"/>
        <v>0</v>
      </c>
      <c r="P137" s="1578">
        <f t="shared" si="47"/>
        <v>0</v>
      </c>
      <c r="Q137" s="1578">
        <f t="shared" si="47"/>
        <v>0</v>
      </c>
      <c r="R137" s="1578">
        <f t="shared" si="47"/>
        <v>0</v>
      </c>
      <c r="S137" s="1578">
        <f t="shared" si="47"/>
        <v>0</v>
      </c>
      <c r="T137" s="1578">
        <f t="shared" si="47"/>
        <v>0</v>
      </c>
      <c r="U137" s="1578">
        <f t="shared" si="47"/>
        <v>0</v>
      </c>
      <c r="V137" s="1578">
        <f t="shared" si="47"/>
        <v>0</v>
      </c>
      <c r="W137" s="1578">
        <f t="shared" si="47"/>
        <v>0</v>
      </c>
      <c r="X137" s="1578">
        <f t="shared" si="47"/>
        <v>0</v>
      </c>
      <c r="Y137" s="1578">
        <f t="shared" si="47"/>
        <v>0</v>
      </c>
      <c r="Z137" s="1578">
        <f t="shared" si="47"/>
        <v>0</v>
      </c>
      <c r="AA137" s="1578">
        <f t="shared" si="47"/>
        <v>0</v>
      </c>
      <c r="AB137" s="1578">
        <f t="shared" si="47"/>
        <v>0</v>
      </c>
      <c r="AC137" s="1578">
        <f t="shared" si="47"/>
        <v>0</v>
      </c>
      <c r="AD137" s="1578">
        <f t="shared" si="47"/>
        <v>0</v>
      </c>
      <c r="AE137" s="1578">
        <f t="shared" si="47"/>
        <v>0</v>
      </c>
      <c r="AF137" s="1578">
        <f t="shared" si="47"/>
        <v>0</v>
      </c>
      <c r="AG137" s="1578">
        <f t="shared" si="47"/>
        <v>0</v>
      </c>
      <c r="AH137" s="1578">
        <f t="shared" si="47"/>
        <v>0</v>
      </c>
      <c r="AI137" s="1578">
        <f t="shared" si="47"/>
        <v>0</v>
      </c>
      <c r="AJ137" s="1578">
        <f t="shared" si="47"/>
        <v>0</v>
      </c>
      <c r="AK137" s="1714"/>
      <c r="AL137" s="1477"/>
      <c r="AM137" s="1477"/>
      <c r="AN137" s="1477"/>
      <c r="AO137" s="284"/>
      <c r="AP137" s="1477"/>
      <c r="AQ137" s="1477"/>
      <c r="AR137" s="1477"/>
      <c r="AS137" s="1477"/>
      <c r="AT137" s="1477"/>
      <c r="AU137" s="1477"/>
      <c r="AV137" s="1477"/>
      <c r="AW137" s="1477"/>
      <c r="AX137" s="1477"/>
      <c r="AY137" s="1477"/>
      <c r="AZ137" s="1477"/>
      <c r="BA137" s="1477"/>
      <c r="BB137" s="1477"/>
      <c r="BC137" s="1477"/>
      <c r="BD137" s="1477"/>
      <c r="BE137" s="1477"/>
      <c r="BF137" s="1477"/>
      <c r="BG137" s="1477"/>
      <c r="BH137" s="1477"/>
      <c r="BI137" s="1477"/>
      <c r="BJ137" s="1477"/>
      <c r="BK137" s="1477"/>
      <c r="BL137" s="1477"/>
      <c r="BM137" s="1477"/>
      <c r="BN137" s="1477"/>
      <c r="BO137" s="1477"/>
      <c r="BP137" s="1477"/>
      <c r="BQ137" s="1477"/>
      <c r="BR137" s="1477"/>
      <c r="BS137" s="1477"/>
      <c r="BT137" s="1477"/>
      <c r="BU137" s="1477"/>
      <c r="BV137" s="1477"/>
      <c r="BW137" s="1477"/>
      <c r="BX137" s="1477"/>
      <c r="BY137" s="1477"/>
      <c r="BZ137" s="1477"/>
      <c r="CA137" s="1477"/>
      <c r="CB137" s="1477"/>
      <c r="CC137" s="1477"/>
      <c r="CD137" s="1477"/>
      <c r="CE137" s="1477"/>
      <c r="CF137" s="1477"/>
      <c r="CG137" s="1477"/>
      <c r="CH137" s="1477"/>
    </row>
    <row r="138" spans="2:86" hidden="1">
      <c r="B138" s="1714"/>
      <c r="C138" s="129" t="s">
        <v>3272</v>
      </c>
      <c r="D138" s="129"/>
      <c r="E138" s="197"/>
      <c r="F138" s="1577"/>
      <c r="G138" s="1577"/>
      <c r="H138" s="1577"/>
      <c r="I138" s="1577"/>
      <c r="J138" s="1577"/>
      <c r="K138" s="1577"/>
      <c r="L138" s="1577"/>
      <c r="M138" s="1577"/>
      <c r="N138" s="1577"/>
      <c r="O138" s="1577"/>
      <c r="P138" s="1577"/>
      <c r="Q138" s="1577"/>
      <c r="R138" s="1577"/>
      <c r="S138" s="1577"/>
      <c r="T138" s="1577"/>
      <c r="U138" s="1577"/>
      <c r="V138" s="1577"/>
      <c r="W138" s="1577"/>
      <c r="X138" s="1577"/>
      <c r="Y138" s="1577"/>
      <c r="Z138" s="1577"/>
      <c r="AA138" s="1577"/>
      <c r="AB138" s="1577"/>
      <c r="AC138" s="1577"/>
      <c r="AD138" s="1577"/>
      <c r="AE138" s="1577"/>
      <c r="AF138" s="1577"/>
      <c r="AG138" s="1577"/>
      <c r="AH138" s="1577"/>
      <c r="AI138" s="1577"/>
      <c r="AJ138" s="1577"/>
      <c r="AK138" s="1714"/>
      <c r="AL138" s="1477"/>
      <c r="AM138" s="1477"/>
      <c r="AN138" s="1477"/>
      <c r="AO138" s="284"/>
      <c r="AP138" s="1477"/>
      <c r="AQ138" s="1477"/>
      <c r="AR138" s="1477"/>
      <c r="AS138" s="1477"/>
      <c r="AT138" s="1477"/>
      <c r="AU138" s="1477"/>
      <c r="AV138" s="1477"/>
      <c r="AW138" s="1477"/>
      <c r="AX138" s="1477"/>
      <c r="AY138" s="1477"/>
      <c r="AZ138" s="1477"/>
      <c r="BA138" s="1477"/>
      <c r="BB138" s="1477"/>
      <c r="BC138" s="1477"/>
      <c r="BD138" s="1477"/>
      <c r="BE138" s="1477"/>
      <c r="BF138" s="1477"/>
      <c r="BG138" s="1477"/>
      <c r="BH138" s="1477"/>
      <c r="BI138" s="1477"/>
      <c r="BJ138" s="1477"/>
      <c r="BK138" s="1477"/>
      <c r="BL138" s="1477"/>
      <c r="BM138" s="1477"/>
      <c r="BN138" s="1477"/>
      <c r="BO138" s="1477"/>
      <c r="BP138" s="1477"/>
      <c r="BQ138" s="1477"/>
      <c r="BR138" s="1477"/>
      <c r="BS138" s="1477"/>
      <c r="BT138" s="1477"/>
      <c r="BU138" s="1477"/>
      <c r="BV138" s="1477"/>
      <c r="BW138" s="1477"/>
      <c r="BX138" s="1477"/>
      <c r="BY138" s="1477"/>
      <c r="BZ138" s="1477"/>
      <c r="CA138" s="1477"/>
      <c r="CB138" s="1477"/>
      <c r="CC138" s="1477"/>
      <c r="CD138" s="1477"/>
      <c r="CE138" s="1477"/>
      <c r="CF138" s="1477"/>
      <c r="CG138" s="1477"/>
      <c r="CH138" s="1477"/>
    </row>
    <row r="139" spans="2:86" hidden="1">
      <c r="B139" s="1714"/>
      <c r="C139" s="133" t="str">
        <f>'14. Project Costs'!C142</f>
        <v>Environmental Review Fee (HOME/Risk Share)</v>
      </c>
      <c r="D139" s="133"/>
      <c r="E139" s="184">
        <f>PC_RPT_Environmental_Review_Total</f>
        <v>0</v>
      </c>
      <c r="F139" s="1573">
        <f t="shared" ref="F139:F144" si="48">+E139-SUM(G139:AJ139)</f>
        <v>0</v>
      </c>
      <c r="G139" s="1574"/>
      <c r="H139" s="1574"/>
      <c r="I139" s="1574"/>
      <c r="J139" s="1574"/>
      <c r="K139" s="1574"/>
      <c r="L139" s="1574"/>
      <c r="M139" s="1574"/>
      <c r="N139" s="1574"/>
      <c r="O139" s="1574"/>
      <c r="P139" s="1574"/>
      <c r="Q139" s="1574"/>
      <c r="R139" s="1574"/>
      <c r="S139" s="1574"/>
      <c r="T139" s="1574"/>
      <c r="U139" s="1574"/>
      <c r="V139" s="1574"/>
      <c r="W139" s="1574"/>
      <c r="X139" s="1574"/>
      <c r="Y139" s="1574"/>
      <c r="Z139" s="1574"/>
      <c r="AA139" s="1574"/>
      <c r="AB139" s="1574"/>
      <c r="AC139" s="1574"/>
      <c r="AD139" s="1574"/>
      <c r="AE139" s="1574"/>
      <c r="AF139" s="1574"/>
      <c r="AG139" s="1574"/>
      <c r="AH139" s="1574"/>
      <c r="AI139" s="1574"/>
      <c r="AJ139" s="1574"/>
      <c r="AK139" s="1714"/>
      <c r="AL139" s="1477"/>
      <c r="AM139" s="1477"/>
      <c r="AN139" s="1477"/>
      <c r="AO139" s="284"/>
      <c r="AP139" s="1477"/>
      <c r="AQ139" s="1477"/>
      <c r="AR139" s="1477"/>
      <c r="AS139" s="1477"/>
      <c r="AT139" s="1477"/>
      <c r="AU139" s="1477"/>
      <c r="AV139" s="1477"/>
      <c r="AW139" s="1477"/>
      <c r="AX139" s="1477"/>
      <c r="AY139" s="1477"/>
      <c r="AZ139" s="1477"/>
      <c r="BA139" s="1477"/>
      <c r="BB139" s="1477"/>
      <c r="BC139" s="1477"/>
      <c r="BD139" s="1477"/>
      <c r="BE139" s="1477"/>
      <c r="BF139" s="1477"/>
      <c r="BG139" s="1477"/>
      <c r="BH139" s="1477"/>
      <c r="BI139" s="1477"/>
      <c r="BJ139" s="1477"/>
      <c r="BK139" s="1477"/>
      <c r="BL139" s="1477"/>
      <c r="BM139" s="1477"/>
      <c r="BN139" s="1477"/>
      <c r="BO139" s="1477"/>
      <c r="BP139" s="1477"/>
      <c r="BQ139" s="1477"/>
      <c r="BR139" s="1477"/>
      <c r="BS139" s="1477"/>
      <c r="BT139" s="1477"/>
      <c r="BU139" s="1477"/>
      <c r="BV139" s="1477"/>
      <c r="BW139" s="1477"/>
      <c r="BX139" s="1477"/>
      <c r="BY139" s="1477"/>
      <c r="BZ139" s="1477"/>
      <c r="CA139" s="1477"/>
      <c r="CB139" s="1477"/>
      <c r="CC139" s="1477"/>
      <c r="CD139" s="1477"/>
      <c r="CE139" s="1477"/>
      <c r="CF139" s="1477"/>
      <c r="CG139" s="1477"/>
      <c r="CH139" s="1477"/>
    </row>
    <row r="140" spans="2:86" hidden="1">
      <c r="B140" s="1714"/>
      <c r="C140" s="133" t="str">
        <f>'14. Project Costs'!C143</f>
        <v xml:space="preserve">Soils Geotech Report / Soil Borings Expense </v>
      </c>
      <c r="D140" s="133"/>
      <c r="E140" s="184">
        <f>PC_RPT_Soils_Total</f>
        <v>0</v>
      </c>
      <c r="F140" s="1573">
        <f t="shared" si="48"/>
        <v>0</v>
      </c>
      <c r="G140" s="1574"/>
      <c r="H140" s="1574"/>
      <c r="I140" s="1574"/>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c r="AI140" s="1574"/>
      <c r="AJ140" s="1574"/>
      <c r="AK140" s="1714"/>
      <c r="AL140" s="1477"/>
      <c r="AM140" s="1477"/>
      <c r="AN140" s="1477"/>
      <c r="AO140" s="284"/>
      <c r="AP140" s="1477"/>
      <c r="AQ140" s="1477"/>
      <c r="AR140" s="1477"/>
      <c r="AS140" s="1477"/>
      <c r="AT140" s="1477"/>
      <c r="AU140" s="1477"/>
      <c r="AV140" s="1477"/>
      <c r="AW140" s="1477"/>
      <c r="AX140" s="1477"/>
      <c r="AY140" s="1477"/>
      <c r="AZ140" s="1477"/>
      <c r="BA140" s="1477"/>
      <c r="BB140" s="1477"/>
      <c r="BC140" s="1477"/>
      <c r="BD140" s="1477"/>
      <c r="BE140" s="1477"/>
      <c r="BF140" s="1477"/>
      <c r="BG140" s="1477"/>
      <c r="BH140" s="1477"/>
      <c r="BI140" s="1477"/>
      <c r="BJ140" s="1477"/>
      <c r="BK140" s="1477"/>
      <c r="BL140" s="1477"/>
      <c r="BM140" s="1477"/>
      <c r="BN140" s="1477"/>
      <c r="BO140" s="1477"/>
      <c r="BP140" s="1477"/>
      <c r="BQ140" s="1477"/>
      <c r="BR140" s="1477"/>
      <c r="BS140" s="1477"/>
      <c r="BT140" s="1477"/>
      <c r="BU140" s="1477"/>
      <c r="BV140" s="1477"/>
      <c r="BW140" s="1477"/>
      <c r="BX140" s="1477"/>
      <c r="BY140" s="1477"/>
      <c r="BZ140" s="1477"/>
      <c r="CA140" s="1477"/>
      <c r="CB140" s="1477"/>
      <c r="CC140" s="1477"/>
      <c r="CD140" s="1477"/>
      <c r="CE140" s="1477"/>
      <c r="CF140" s="1477"/>
      <c r="CG140" s="1477"/>
      <c r="CH140" s="1477"/>
    </row>
    <row r="141" spans="2:86" hidden="1">
      <c r="B141" s="1714"/>
      <c r="C141" s="133" t="str">
        <f>'14. Project Costs'!C144</f>
        <v>Boundary / Topo-Survey</v>
      </c>
      <c r="D141" s="133"/>
      <c r="E141" s="184">
        <f>PC_RPT_Boundry_Total</f>
        <v>0</v>
      </c>
      <c r="F141" s="1573">
        <f t="shared" si="48"/>
        <v>0</v>
      </c>
      <c r="G141" s="1574"/>
      <c r="H141" s="1574"/>
      <c r="I141" s="1574"/>
      <c r="J141" s="1574"/>
      <c r="K141" s="1574"/>
      <c r="L141" s="1574"/>
      <c r="M141" s="1574"/>
      <c r="N141" s="1574"/>
      <c r="O141" s="1574"/>
      <c r="P141" s="1574"/>
      <c r="Q141" s="1574"/>
      <c r="R141" s="1574"/>
      <c r="S141" s="1574"/>
      <c r="T141" s="1574"/>
      <c r="U141" s="1574"/>
      <c r="V141" s="1574"/>
      <c r="W141" s="1574"/>
      <c r="X141" s="1574"/>
      <c r="Y141" s="1574"/>
      <c r="Z141" s="1574"/>
      <c r="AA141" s="1574"/>
      <c r="AB141" s="1574"/>
      <c r="AC141" s="1574"/>
      <c r="AD141" s="1574"/>
      <c r="AE141" s="1574"/>
      <c r="AF141" s="1574"/>
      <c r="AG141" s="1574"/>
      <c r="AH141" s="1574"/>
      <c r="AI141" s="1574"/>
      <c r="AJ141" s="1574"/>
      <c r="AK141" s="1714"/>
      <c r="AL141" s="1477"/>
      <c r="AM141" s="1477"/>
      <c r="AN141" s="1477"/>
      <c r="AO141" s="284"/>
      <c r="AP141" s="1477"/>
      <c r="AQ141" s="1477"/>
      <c r="AR141" s="1477"/>
      <c r="AS141" s="1477"/>
      <c r="AT141" s="1477"/>
      <c r="AU141" s="1477"/>
      <c r="AV141" s="1477"/>
      <c r="AW141" s="1477"/>
      <c r="AX141" s="1477"/>
      <c r="AY141" s="1477"/>
      <c r="AZ141" s="1477"/>
      <c r="BA141" s="1477"/>
      <c r="BB141" s="1477"/>
      <c r="BC141" s="1477"/>
      <c r="BD141" s="1477"/>
      <c r="BE141" s="1477"/>
      <c r="BF141" s="1477"/>
      <c r="BG141" s="1477"/>
      <c r="BH141" s="1477"/>
      <c r="BI141" s="1477"/>
      <c r="BJ141" s="1477"/>
      <c r="BK141" s="1477"/>
      <c r="BL141" s="1477"/>
      <c r="BM141" s="1477"/>
      <c r="BN141" s="1477"/>
      <c r="BO141" s="1477"/>
      <c r="BP141" s="1477"/>
      <c r="BQ141" s="1477"/>
      <c r="BR141" s="1477"/>
      <c r="BS141" s="1477"/>
      <c r="BT141" s="1477"/>
      <c r="BU141" s="1477"/>
      <c r="BV141" s="1477"/>
      <c r="BW141" s="1477"/>
      <c r="BX141" s="1477"/>
      <c r="BY141" s="1477"/>
      <c r="BZ141" s="1477"/>
      <c r="CA141" s="1477"/>
      <c r="CB141" s="1477"/>
      <c r="CC141" s="1477"/>
      <c r="CD141" s="1477"/>
      <c r="CE141" s="1477"/>
      <c r="CF141" s="1477"/>
      <c r="CG141" s="1477"/>
      <c r="CH141" s="1477"/>
    </row>
    <row r="142" spans="2:86" hidden="1">
      <c r="B142" s="1714"/>
      <c r="C142" s="138" t="str">
        <f>'14. Project Costs'!C145</f>
        <v>Third Party Review Fees</v>
      </c>
      <c r="D142" s="138"/>
      <c r="E142" s="184">
        <f>PC_RPT_Third_Party_Review_Total</f>
        <v>0</v>
      </c>
      <c r="F142" s="1573">
        <f t="shared" si="48"/>
        <v>0</v>
      </c>
      <c r="G142" s="1574"/>
      <c r="H142" s="1574"/>
      <c r="I142" s="1574"/>
      <c r="J142" s="1574"/>
      <c r="K142" s="1574"/>
      <c r="L142" s="1574"/>
      <c r="M142" s="1574"/>
      <c r="N142" s="1574"/>
      <c r="O142" s="1574"/>
      <c r="P142" s="1574"/>
      <c r="Q142" s="1574"/>
      <c r="R142" s="1574"/>
      <c r="S142" s="1574"/>
      <c r="T142" s="1574"/>
      <c r="U142" s="1574"/>
      <c r="V142" s="1574"/>
      <c r="W142" s="1574"/>
      <c r="X142" s="1574"/>
      <c r="Y142" s="1574"/>
      <c r="Z142" s="1574"/>
      <c r="AA142" s="1574"/>
      <c r="AB142" s="1574"/>
      <c r="AC142" s="1574"/>
      <c r="AD142" s="1574"/>
      <c r="AE142" s="1574"/>
      <c r="AF142" s="1574"/>
      <c r="AG142" s="1574"/>
      <c r="AH142" s="1574"/>
      <c r="AI142" s="1574"/>
      <c r="AJ142" s="1574"/>
      <c r="AK142" s="1714"/>
      <c r="AL142" s="1477"/>
      <c r="AM142" s="1477"/>
      <c r="AN142" s="1477"/>
      <c r="AO142" s="284"/>
      <c r="AP142" s="1477"/>
      <c r="AQ142" s="1477"/>
      <c r="AR142" s="1477"/>
      <c r="AS142" s="1477"/>
      <c r="AT142" s="1477"/>
      <c r="AU142" s="1477"/>
      <c r="AV142" s="1477"/>
      <c r="AW142" s="1477"/>
      <c r="AX142" s="1477"/>
      <c r="AY142" s="1477"/>
      <c r="AZ142" s="1477"/>
      <c r="BA142" s="1477"/>
      <c r="BB142" s="1477"/>
      <c r="BC142" s="1477"/>
      <c r="BD142" s="1477"/>
      <c r="BE142" s="1477"/>
      <c r="BF142" s="1477"/>
      <c r="BG142" s="1477"/>
      <c r="BH142" s="1477"/>
      <c r="BI142" s="1477"/>
      <c r="BJ142" s="1477"/>
      <c r="BK142" s="1477"/>
      <c r="BL142" s="1477"/>
      <c r="BM142" s="1477"/>
      <c r="BN142" s="1477"/>
      <c r="BO142" s="1477"/>
      <c r="BP142" s="1477"/>
      <c r="BQ142" s="1477"/>
      <c r="BR142" s="1477"/>
      <c r="BS142" s="1477"/>
      <c r="BT142" s="1477"/>
      <c r="BU142" s="1477"/>
      <c r="BV142" s="1477"/>
      <c r="BW142" s="1477"/>
      <c r="BX142" s="1477"/>
      <c r="BY142" s="1477"/>
      <c r="BZ142" s="1477"/>
      <c r="CA142" s="1477"/>
      <c r="CB142" s="1477"/>
      <c r="CC142" s="1477"/>
      <c r="CD142" s="1477"/>
      <c r="CE142" s="1477"/>
      <c r="CF142" s="1477"/>
      <c r="CG142" s="1477"/>
      <c r="CH142" s="1477"/>
    </row>
    <row r="143" spans="2:86" hidden="1">
      <c r="B143" s="1714"/>
      <c r="C143" s="138" t="str">
        <f>'14. Project Costs'!C146</f>
        <v>Other Zoning Study</v>
      </c>
      <c r="D143" s="138"/>
      <c r="E143" s="184">
        <f>PC_RPT_Other_Zoning_Fees_Total</f>
        <v>0</v>
      </c>
      <c r="F143" s="1573">
        <f t="shared" si="48"/>
        <v>0</v>
      </c>
      <c r="G143" s="1574"/>
      <c r="H143" s="1574"/>
      <c r="I143" s="1574"/>
      <c r="J143" s="1574"/>
      <c r="K143" s="1574"/>
      <c r="L143" s="1574"/>
      <c r="M143" s="1574"/>
      <c r="N143" s="1574"/>
      <c r="O143" s="1574"/>
      <c r="P143" s="1574"/>
      <c r="Q143" s="1574"/>
      <c r="R143" s="1574"/>
      <c r="S143" s="1574"/>
      <c r="T143" s="1574"/>
      <c r="U143" s="1574"/>
      <c r="V143" s="1574"/>
      <c r="W143" s="1574"/>
      <c r="X143" s="1574"/>
      <c r="Y143" s="1574"/>
      <c r="Z143" s="1574"/>
      <c r="AA143" s="1574"/>
      <c r="AB143" s="1574"/>
      <c r="AC143" s="1574"/>
      <c r="AD143" s="1574"/>
      <c r="AE143" s="1574"/>
      <c r="AF143" s="1574"/>
      <c r="AG143" s="1574"/>
      <c r="AH143" s="1574"/>
      <c r="AI143" s="1574"/>
      <c r="AJ143" s="1574"/>
      <c r="AK143" s="1714"/>
      <c r="AL143" s="1477"/>
      <c r="AM143" s="1477"/>
      <c r="AN143" s="1477"/>
      <c r="AO143" s="284"/>
      <c r="AP143" s="1477"/>
      <c r="AQ143" s="1477"/>
      <c r="AR143" s="1477"/>
      <c r="AS143" s="1477"/>
      <c r="AT143" s="1477"/>
      <c r="AU143" s="1477"/>
      <c r="AV143" s="1477"/>
      <c r="AW143" s="1477"/>
      <c r="AX143" s="1477"/>
      <c r="AY143" s="1477"/>
      <c r="AZ143" s="1477"/>
      <c r="BA143" s="1477"/>
      <c r="BB143" s="1477"/>
      <c r="BC143" s="1477"/>
      <c r="BD143" s="1477"/>
      <c r="BE143" s="1477"/>
      <c r="BF143" s="1477"/>
      <c r="BG143" s="1477"/>
      <c r="BH143" s="1477"/>
      <c r="BI143" s="1477"/>
      <c r="BJ143" s="1477"/>
      <c r="BK143" s="1477"/>
      <c r="BL143" s="1477"/>
      <c r="BM143" s="1477"/>
      <c r="BN143" s="1477"/>
      <c r="BO143" s="1477"/>
      <c r="BP143" s="1477"/>
      <c r="BQ143" s="1477"/>
      <c r="BR143" s="1477"/>
      <c r="BS143" s="1477"/>
      <c r="BT143" s="1477"/>
      <c r="BU143" s="1477"/>
      <c r="BV143" s="1477"/>
      <c r="BW143" s="1477"/>
      <c r="BX143" s="1477"/>
      <c r="BY143" s="1477"/>
      <c r="BZ143" s="1477"/>
      <c r="CA143" s="1477"/>
      <c r="CB143" s="1477"/>
      <c r="CC143" s="1477"/>
      <c r="CD143" s="1477"/>
      <c r="CE143" s="1477"/>
      <c r="CF143" s="1477"/>
      <c r="CG143" s="1477"/>
      <c r="CH143" s="1477"/>
    </row>
    <row r="144" spans="2:86" hidden="1">
      <c r="B144" s="1714"/>
      <c r="C144" s="125" t="str">
        <f>'14. Project Costs'!C147</f>
        <v>Other Reports &amp; Studies</v>
      </c>
      <c r="D144" s="125"/>
      <c r="E144" s="203">
        <f>PC_RPT_Other_Reports_Total</f>
        <v>0</v>
      </c>
      <c r="F144" s="1573">
        <f t="shared" si="48"/>
        <v>0</v>
      </c>
      <c r="G144" s="1574"/>
      <c r="H144" s="1574"/>
      <c r="I144" s="1574"/>
      <c r="J144" s="1574"/>
      <c r="K144" s="1574"/>
      <c r="L144" s="1574"/>
      <c r="M144" s="1574"/>
      <c r="N144" s="1574"/>
      <c r="O144" s="1574"/>
      <c r="P144" s="1574"/>
      <c r="Q144" s="1574"/>
      <c r="R144" s="1574"/>
      <c r="S144" s="1574"/>
      <c r="T144" s="1574"/>
      <c r="U144" s="1574"/>
      <c r="V144" s="1574"/>
      <c r="W144" s="1574"/>
      <c r="X144" s="1574"/>
      <c r="Y144" s="1574"/>
      <c r="Z144" s="1574"/>
      <c r="AA144" s="1574"/>
      <c r="AB144" s="1574"/>
      <c r="AC144" s="1574"/>
      <c r="AD144" s="1574"/>
      <c r="AE144" s="1574"/>
      <c r="AF144" s="1574"/>
      <c r="AG144" s="1574"/>
      <c r="AH144" s="1574"/>
      <c r="AI144" s="1574"/>
      <c r="AJ144" s="1574"/>
      <c r="AK144" s="1714"/>
      <c r="AL144" s="1477"/>
      <c r="AM144" s="1477"/>
      <c r="AN144" s="1477"/>
      <c r="AO144" s="284"/>
      <c r="AP144" s="1477"/>
      <c r="AQ144" s="1477"/>
      <c r="AR144" s="1477"/>
      <c r="AS144" s="1477"/>
      <c r="AT144" s="1477"/>
      <c r="AU144" s="1477"/>
      <c r="AV144" s="1477"/>
      <c r="AW144" s="1477"/>
      <c r="AX144" s="1477"/>
      <c r="AY144" s="1477"/>
      <c r="AZ144" s="1477"/>
      <c r="BA144" s="1477"/>
      <c r="BB144" s="1477"/>
      <c r="BC144" s="1477"/>
      <c r="BD144" s="1477"/>
      <c r="BE144" s="1477"/>
      <c r="BF144" s="1477"/>
      <c r="BG144" s="1477"/>
      <c r="BH144" s="1477"/>
      <c r="BI144" s="1477"/>
      <c r="BJ144" s="1477"/>
      <c r="BK144" s="1477"/>
      <c r="BL144" s="1477"/>
      <c r="BM144" s="1477"/>
      <c r="BN144" s="1477"/>
      <c r="BO144" s="1477"/>
      <c r="BP144" s="1477"/>
      <c r="BQ144" s="1477"/>
      <c r="BR144" s="1477"/>
      <c r="BS144" s="1477"/>
      <c r="BT144" s="1477"/>
      <c r="BU144" s="1477"/>
      <c r="BV144" s="1477"/>
      <c r="BW144" s="1477"/>
      <c r="BX144" s="1477"/>
      <c r="BY144" s="1477"/>
      <c r="BZ144" s="1477"/>
      <c r="CA144" s="1477"/>
      <c r="CB144" s="1477"/>
      <c r="CC144" s="1477"/>
      <c r="CD144" s="1477"/>
      <c r="CE144" s="1477"/>
      <c r="CF144" s="1477"/>
      <c r="CG144" s="1477"/>
      <c r="CH144" s="1477"/>
    </row>
    <row r="145" spans="2:86" hidden="1">
      <c r="B145" s="1714"/>
      <c r="C145" s="131" t="s">
        <v>3279</v>
      </c>
      <c r="D145" s="131"/>
      <c r="E145" s="188">
        <f t="shared" ref="E145:AJ145" si="49">SUM(E139:E144)</f>
        <v>0</v>
      </c>
      <c r="F145" s="1578">
        <f t="shared" si="49"/>
        <v>0</v>
      </c>
      <c r="G145" s="1578">
        <f t="shared" si="49"/>
        <v>0</v>
      </c>
      <c r="H145" s="1578">
        <f t="shared" si="49"/>
        <v>0</v>
      </c>
      <c r="I145" s="1578">
        <f t="shared" si="49"/>
        <v>0</v>
      </c>
      <c r="J145" s="1578">
        <f t="shared" si="49"/>
        <v>0</v>
      </c>
      <c r="K145" s="1578">
        <f t="shared" si="49"/>
        <v>0</v>
      </c>
      <c r="L145" s="1578">
        <f t="shared" si="49"/>
        <v>0</v>
      </c>
      <c r="M145" s="1578">
        <f t="shared" si="49"/>
        <v>0</v>
      </c>
      <c r="N145" s="1578">
        <f t="shared" si="49"/>
        <v>0</v>
      </c>
      <c r="O145" s="1578">
        <f t="shared" si="49"/>
        <v>0</v>
      </c>
      <c r="P145" s="1578">
        <f t="shared" si="49"/>
        <v>0</v>
      </c>
      <c r="Q145" s="1578">
        <f t="shared" si="49"/>
        <v>0</v>
      </c>
      <c r="R145" s="1578">
        <f t="shared" si="49"/>
        <v>0</v>
      </c>
      <c r="S145" s="1578">
        <f t="shared" si="49"/>
        <v>0</v>
      </c>
      <c r="T145" s="1578">
        <f t="shared" si="49"/>
        <v>0</v>
      </c>
      <c r="U145" s="1578">
        <f t="shared" si="49"/>
        <v>0</v>
      </c>
      <c r="V145" s="1578">
        <f t="shared" si="49"/>
        <v>0</v>
      </c>
      <c r="W145" s="1578">
        <f t="shared" si="49"/>
        <v>0</v>
      </c>
      <c r="X145" s="1578">
        <f t="shared" si="49"/>
        <v>0</v>
      </c>
      <c r="Y145" s="1578">
        <f t="shared" si="49"/>
        <v>0</v>
      </c>
      <c r="Z145" s="1578">
        <f t="shared" si="49"/>
        <v>0</v>
      </c>
      <c r="AA145" s="1578">
        <f t="shared" si="49"/>
        <v>0</v>
      </c>
      <c r="AB145" s="1578">
        <f t="shared" si="49"/>
        <v>0</v>
      </c>
      <c r="AC145" s="1578">
        <f t="shared" si="49"/>
        <v>0</v>
      </c>
      <c r="AD145" s="1578">
        <f t="shared" si="49"/>
        <v>0</v>
      </c>
      <c r="AE145" s="1578">
        <f t="shared" si="49"/>
        <v>0</v>
      </c>
      <c r="AF145" s="1578">
        <f t="shared" si="49"/>
        <v>0</v>
      </c>
      <c r="AG145" s="1578">
        <f t="shared" si="49"/>
        <v>0</v>
      </c>
      <c r="AH145" s="1578">
        <f t="shared" si="49"/>
        <v>0</v>
      </c>
      <c r="AI145" s="1578">
        <f t="shared" si="49"/>
        <v>0</v>
      </c>
      <c r="AJ145" s="1578">
        <f t="shared" si="49"/>
        <v>0</v>
      </c>
      <c r="AK145" s="1714"/>
      <c r="AL145" s="1477"/>
      <c r="AM145" s="1477"/>
      <c r="AN145" s="1477"/>
      <c r="AO145" s="284"/>
      <c r="AP145" s="1477"/>
      <c r="AQ145" s="1477"/>
      <c r="AR145" s="1477"/>
      <c r="AS145" s="1477"/>
      <c r="AT145" s="1477"/>
      <c r="AU145" s="1477"/>
      <c r="AV145" s="1477"/>
      <c r="AW145" s="1477"/>
      <c r="AX145" s="1477"/>
      <c r="AY145" s="1477"/>
      <c r="AZ145" s="1477"/>
      <c r="BA145" s="1477"/>
      <c r="BB145" s="1477"/>
      <c r="BC145" s="1477"/>
      <c r="BD145" s="1477"/>
      <c r="BE145" s="1477"/>
      <c r="BF145" s="1477"/>
      <c r="BG145" s="1477"/>
      <c r="BH145" s="1477"/>
      <c r="BI145" s="1477"/>
      <c r="BJ145" s="1477"/>
      <c r="BK145" s="1477"/>
      <c r="BL145" s="1477"/>
      <c r="BM145" s="1477"/>
      <c r="BN145" s="1477"/>
      <c r="BO145" s="1477"/>
      <c r="BP145" s="1477"/>
      <c r="BQ145" s="1477"/>
      <c r="BR145" s="1477"/>
      <c r="BS145" s="1477"/>
      <c r="BT145" s="1477"/>
      <c r="BU145" s="1477"/>
      <c r="BV145" s="1477"/>
      <c r="BW145" s="1477"/>
      <c r="BX145" s="1477"/>
      <c r="BY145" s="1477"/>
      <c r="BZ145" s="1477"/>
      <c r="CA145" s="1477"/>
      <c r="CB145" s="1477"/>
      <c r="CC145" s="1477"/>
      <c r="CD145" s="1477"/>
      <c r="CE145" s="1477"/>
      <c r="CF145" s="1477"/>
      <c r="CG145" s="1477"/>
      <c r="CH145" s="1477"/>
    </row>
    <row r="146" spans="2:86">
      <c r="B146" s="1714"/>
      <c r="C146" s="126" t="s">
        <v>3280</v>
      </c>
      <c r="D146" s="126"/>
      <c r="E146" s="199">
        <f t="shared" ref="E146:AJ146" si="50">+E145+E137</f>
        <v>0</v>
      </c>
      <c r="F146" s="186">
        <f t="shared" si="50"/>
        <v>0</v>
      </c>
      <c r="G146" s="186">
        <f t="shared" si="50"/>
        <v>0</v>
      </c>
      <c r="H146" s="186">
        <f t="shared" si="50"/>
        <v>0</v>
      </c>
      <c r="I146" s="186">
        <f t="shared" si="50"/>
        <v>0</v>
      </c>
      <c r="J146" s="186">
        <f t="shared" si="50"/>
        <v>0</v>
      </c>
      <c r="K146" s="186">
        <f t="shared" si="50"/>
        <v>0</v>
      </c>
      <c r="L146" s="186">
        <f t="shared" si="50"/>
        <v>0</v>
      </c>
      <c r="M146" s="186">
        <f t="shared" si="50"/>
        <v>0</v>
      </c>
      <c r="N146" s="186">
        <f t="shared" si="50"/>
        <v>0</v>
      </c>
      <c r="O146" s="186">
        <f t="shared" si="50"/>
        <v>0</v>
      </c>
      <c r="P146" s="186">
        <f t="shared" si="50"/>
        <v>0</v>
      </c>
      <c r="Q146" s="186">
        <f t="shared" si="50"/>
        <v>0</v>
      </c>
      <c r="R146" s="186">
        <f t="shared" si="50"/>
        <v>0</v>
      </c>
      <c r="S146" s="186">
        <f t="shared" si="50"/>
        <v>0</v>
      </c>
      <c r="T146" s="186">
        <f t="shared" si="50"/>
        <v>0</v>
      </c>
      <c r="U146" s="186">
        <f t="shared" si="50"/>
        <v>0</v>
      </c>
      <c r="V146" s="186">
        <f t="shared" si="50"/>
        <v>0</v>
      </c>
      <c r="W146" s="186">
        <f t="shared" si="50"/>
        <v>0</v>
      </c>
      <c r="X146" s="186">
        <f t="shared" si="50"/>
        <v>0</v>
      </c>
      <c r="Y146" s="186">
        <f t="shared" si="50"/>
        <v>0</v>
      </c>
      <c r="Z146" s="186">
        <f t="shared" si="50"/>
        <v>0</v>
      </c>
      <c r="AA146" s="186">
        <f t="shared" si="50"/>
        <v>0</v>
      </c>
      <c r="AB146" s="186">
        <f t="shared" si="50"/>
        <v>0</v>
      </c>
      <c r="AC146" s="186">
        <f t="shared" si="50"/>
        <v>0</v>
      </c>
      <c r="AD146" s="186">
        <f t="shared" si="50"/>
        <v>0</v>
      </c>
      <c r="AE146" s="186">
        <f t="shared" si="50"/>
        <v>0</v>
      </c>
      <c r="AF146" s="186">
        <f t="shared" si="50"/>
        <v>0</v>
      </c>
      <c r="AG146" s="186">
        <f t="shared" si="50"/>
        <v>0</v>
      </c>
      <c r="AH146" s="186">
        <f t="shared" si="50"/>
        <v>0</v>
      </c>
      <c r="AI146" s="186">
        <f t="shared" si="50"/>
        <v>0</v>
      </c>
      <c r="AJ146" s="186">
        <f t="shared" si="50"/>
        <v>0</v>
      </c>
      <c r="AK146" s="1714"/>
      <c r="AL146" s="1477"/>
      <c r="AM146" s="1477"/>
      <c r="AN146" s="1477"/>
      <c r="AO146" s="284"/>
      <c r="AP146" s="1477"/>
      <c r="AQ146" s="1477"/>
      <c r="AR146" s="1477"/>
      <c r="AS146" s="1477"/>
      <c r="AT146" s="1477"/>
      <c r="AU146" s="1477"/>
      <c r="AV146" s="1477"/>
      <c r="AW146" s="1477"/>
      <c r="AX146" s="1477"/>
      <c r="AY146" s="1477"/>
      <c r="AZ146" s="1477"/>
      <c r="BA146" s="1477"/>
      <c r="BB146" s="1477"/>
      <c r="BC146" s="1477"/>
      <c r="BD146" s="1477"/>
      <c r="BE146" s="1477"/>
      <c r="BF146" s="1477"/>
      <c r="BG146" s="1477"/>
      <c r="BH146" s="1477"/>
      <c r="BI146" s="1477"/>
      <c r="BJ146" s="1477"/>
      <c r="BK146" s="1477"/>
      <c r="BL146" s="1477"/>
      <c r="BM146" s="1477"/>
      <c r="BN146" s="1477"/>
      <c r="BO146" s="1477"/>
      <c r="BP146" s="1477"/>
      <c r="BQ146" s="1477"/>
      <c r="BR146" s="1477"/>
      <c r="BS146" s="1477"/>
      <c r="BT146" s="1477"/>
      <c r="BU146" s="1477"/>
      <c r="BV146" s="1477"/>
      <c r="BW146" s="1477"/>
      <c r="BX146" s="1477"/>
      <c r="BY146" s="1477"/>
      <c r="BZ146" s="1477"/>
      <c r="CA146" s="1477"/>
      <c r="CB146" s="1477"/>
      <c r="CC146" s="1477"/>
      <c r="CD146" s="1477"/>
      <c r="CE146" s="1477"/>
      <c r="CF146" s="1477"/>
      <c r="CG146" s="1477"/>
      <c r="CH146" s="1477"/>
    </row>
    <row r="147" spans="2:86" ht="15.75">
      <c r="B147" s="1714"/>
      <c r="C147" s="127" t="s">
        <v>3281</v>
      </c>
      <c r="D147" s="127"/>
      <c r="E147" s="200"/>
      <c r="F147" s="1576"/>
      <c r="G147" s="1576"/>
      <c r="H147" s="1576"/>
      <c r="I147" s="1576"/>
      <c r="J147" s="1576"/>
      <c r="K147" s="1576"/>
      <c r="L147" s="1576"/>
      <c r="M147" s="1576"/>
      <c r="N147" s="1576"/>
      <c r="O147" s="1576"/>
      <c r="P147" s="1576"/>
      <c r="Q147" s="1576"/>
      <c r="R147" s="1576"/>
      <c r="S147" s="1576"/>
      <c r="T147" s="1576"/>
      <c r="U147" s="1576"/>
      <c r="V147" s="1576"/>
      <c r="W147" s="1576"/>
      <c r="X147" s="1576"/>
      <c r="Y147" s="1576"/>
      <c r="Z147" s="1576"/>
      <c r="AA147" s="1576"/>
      <c r="AB147" s="1576"/>
      <c r="AC147" s="1576"/>
      <c r="AD147" s="1576"/>
      <c r="AE147" s="1576"/>
      <c r="AF147" s="1576"/>
      <c r="AG147" s="1576"/>
      <c r="AH147" s="1576"/>
      <c r="AI147" s="1576"/>
      <c r="AJ147" s="1576"/>
      <c r="AK147" s="1714"/>
      <c r="AL147" s="1477"/>
      <c r="AM147" s="1477"/>
      <c r="AN147" s="1477"/>
      <c r="AO147" s="284"/>
      <c r="AP147" s="1477"/>
      <c r="AQ147" s="1477"/>
      <c r="AR147" s="1477"/>
      <c r="AS147" s="1477"/>
      <c r="AT147" s="1477"/>
      <c r="AU147" s="1477"/>
      <c r="AV147" s="1477"/>
      <c r="AW147" s="1477"/>
      <c r="AX147" s="1477"/>
      <c r="AY147" s="1477"/>
      <c r="AZ147" s="1477"/>
      <c r="BA147" s="1477"/>
      <c r="BB147" s="1477"/>
      <c r="BC147" s="1477"/>
      <c r="BD147" s="1477"/>
      <c r="BE147" s="1477"/>
      <c r="BF147" s="1477"/>
      <c r="BG147" s="1477"/>
      <c r="BH147" s="1477"/>
      <c r="BI147" s="1477"/>
      <c r="BJ147" s="1477"/>
      <c r="BK147" s="1477"/>
      <c r="BL147" s="1477"/>
      <c r="BM147" s="1477"/>
      <c r="BN147" s="1477"/>
      <c r="BO147" s="1477"/>
      <c r="BP147" s="1477"/>
      <c r="BQ147" s="1477"/>
      <c r="BR147" s="1477"/>
      <c r="BS147" s="1477"/>
      <c r="BT147" s="1477"/>
      <c r="BU147" s="1477"/>
      <c r="BV147" s="1477"/>
      <c r="BW147" s="1477"/>
      <c r="BX147" s="1477"/>
      <c r="BY147" s="1477"/>
      <c r="BZ147" s="1477"/>
      <c r="CA147" s="1477"/>
      <c r="CB147" s="1477"/>
      <c r="CC147" s="1477"/>
      <c r="CD147" s="1477"/>
      <c r="CE147" s="1477"/>
      <c r="CF147" s="1477"/>
      <c r="CG147" s="1477"/>
      <c r="CH147" s="1477"/>
    </row>
    <row r="148" spans="2:86">
      <c r="B148" s="1714"/>
      <c r="C148" s="678" t="str">
        <f>'14. Project Costs'!C151</f>
        <v xml:space="preserve">Federal / Historic Tax Credit Fees </v>
      </c>
      <c r="D148" s="678"/>
      <c r="E148" s="184">
        <f>PC_SFT_HTC_Fees_Total</f>
        <v>0</v>
      </c>
      <c r="F148" s="1573">
        <f t="shared" ref="F148:F160" si="51">+E148-SUM(G148:AJ148)</f>
        <v>0</v>
      </c>
      <c r="G148" s="1574"/>
      <c r="H148" s="1574"/>
      <c r="I148" s="1574"/>
      <c r="J148" s="1574"/>
      <c r="K148" s="1574"/>
      <c r="L148" s="1574"/>
      <c r="M148" s="1574"/>
      <c r="N148" s="1574"/>
      <c r="O148" s="1574"/>
      <c r="P148" s="1574"/>
      <c r="Q148" s="1574"/>
      <c r="R148" s="1574"/>
      <c r="S148" s="1574"/>
      <c r="T148" s="1574"/>
      <c r="U148" s="1574"/>
      <c r="V148" s="1574"/>
      <c r="W148" s="1574"/>
      <c r="X148" s="1574"/>
      <c r="Y148" s="1574"/>
      <c r="Z148" s="1574"/>
      <c r="AA148" s="1574"/>
      <c r="AB148" s="1574"/>
      <c r="AC148" s="1574"/>
      <c r="AD148" s="1574"/>
      <c r="AE148" s="1574"/>
      <c r="AF148" s="1574"/>
      <c r="AG148" s="1574"/>
      <c r="AH148" s="1574"/>
      <c r="AI148" s="1574"/>
      <c r="AJ148" s="1574"/>
      <c r="AK148" s="1714"/>
      <c r="AL148" s="1477"/>
      <c r="AM148" s="1477"/>
      <c r="AN148" s="1477"/>
      <c r="AO148" s="284"/>
      <c r="AP148" s="1477"/>
      <c r="AQ148" s="1477"/>
      <c r="AR148" s="1477"/>
      <c r="AS148" s="1477"/>
      <c r="AT148" s="1477"/>
      <c r="AU148" s="1477"/>
      <c r="AV148" s="1477"/>
      <c r="AW148" s="1477"/>
      <c r="AX148" s="1477"/>
      <c r="AY148" s="1477"/>
      <c r="AZ148" s="1477"/>
      <c r="BA148" s="1477"/>
      <c r="BB148" s="1477"/>
      <c r="BC148" s="1477"/>
      <c r="BD148" s="1477"/>
      <c r="BE148" s="1477"/>
      <c r="BF148" s="1477"/>
      <c r="BG148" s="1477"/>
      <c r="BH148" s="1477"/>
      <c r="BI148" s="1477"/>
      <c r="BJ148" s="1477"/>
      <c r="BK148" s="1477"/>
      <c r="BL148" s="1477"/>
      <c r="BM148" s="1477"/>
      <c r="BN148" s="1477"/>
      <c r="BO148" s="1477"/>
      <c r="BP148" s="1477"/>
      <c r="BQ148" s="1477"/>
      <c r="BR148" s="1477"/>
      <c r="BS148" s="1477"/>
      <c r="BT148" s="1477"/>
      <c r="BU148" s="1477"/>
      <c r="BV148" s="1477"/>
      <c r="BW148" s="1477"/>
      <c r="BX148" s="1477"/>
      <c r="BY148" s="1477"/>
      <c r="BZ148" s="1477"/>
      <c r="CA148" s="1477"/>
      <c r="CB148" s="1477"/>
      <c r="CC148" s="1477"/>
      <c r="CD148" s="1477"/>
      <c r="CE148" s="1477"/>
      <c r="CF148" s="1477"/>
      <c r="CG148" s="1477"/>
      <c r="CH148" s="1477"/>
    </row>
    <row r="149" spans="2:86">
      <c r="B149" s="1714"/>
      <c r="C149" s="678" t="str">
        <f>'14. Project Costs'!C152</f>
        <v xml:space="preserve">Tax Credit Application Fee </v>
      </c>
      <c r="D149" s="674"/>
      <c r="E149" s="184">
        <f>PC_SFT_LIHTC_App_Fees_Total</f>
        <v>0</v>
      </c>
      <c r="F149" s="1573">
        <f t="shared" si="51"/>
        <v>0</v>
      </c>
      <c r="G149" s="1574"/>
      <c r="H149" s="1574"/>
      <c r="I149" s="1574"/>
      <c r="J149" s="1574"/>
      <c r="K149" s="1574"/>
      <c r="L149" s="1574"/>
      <c r="M149" s="1574"/>
      <c r="N149" s="1574"/>
      <c r="O149" s="1574"/>
      <c r="P149" s="1574"/>
      <c r="Q149" s="1574"/>
      <c r="R149" s="1574"/>
      <c r="S149" s="1574"/>
      <c r="T149" s="1574"/>
      <c r="U149" s="1574"/>
      <c r="V149" s="1574"/>
      <c r="W149" s="1574"/>
      <c r="X149" s="1574"/>
      <c r="Y149" s="1574"/>
      <c r="Z149" s="1574"/>
      <c r="AA149" s="1574"/>
      <c r="AB149" s="1574"/>
      <c r="AC149" s="1574"/>
      <c r="AD149" s="1574"/>
      <c r="AE149" s="1574"/>
      <c r="AF149" s="1574"/>
      <c r="AG149" s="1574"/>
      <c r="AH149" s="1574"/>
      <c r="AI149" s="1574"/>
      <c r="AJ149" s="1574"/>
      <c r="AK149" s="1714"/>
      <c r="AL149" s="1477"/>
      <c r="AM149" s="1477"/>
      <c r="AN149" s="1477"/>
      <c r="AO149" s="284"/>
      <c r="AP149" s="1477"/>
      <c r="AQ149" s="1477"/>
      <c r="AR149" s="1477"/>
      <c r="AS149" s="1477"/>
      <c r="AT149" s="1477"/>
      <c r="AU149" s="1477"/>
      <c r="AV149" s="1477"/>
      <c r="AW149" s="1477"/>
      <c r="AX149" s="1477"/>
      <c r="AY149" s="1477"/>
      <c r="AZ149" s="1477"/>
      <c r="BA149" s="1477"/>
      <c r="BB149" s="1477"/>
      <c r="BC149" s="1477"/>
      <c r="BD149" s="1477"/>
      <c r="BE149" s="1477"/>
      <c r="BF149" s="1477"/>
      <c r="BG149" s="1477"/>
      <c r="BH149" s="1477"/>
      <c r="BI149" s="1477"/>
      <c r="BJ149" s="1477"/>
      <c r="BK149" s="1477"/>
      <c r="BL149" s="1477"/>
      <c r="BM149" s="1477"/>
      <c r="BN149" s="1477"/>
      <c r="BO149" s="1477"/>
      <c r="BP149" s="1477"/>
      <c r="BQ149" s="1477"/>
      <c r="BR149" s="1477"/>
      <c r="BS149" s="1477"/>
      <c r="BT149" s="1477"/>
      <c r="BU149" s="1477"/>
      <c r="BV149" s="1477"/>
      <c r="BW149" s="1477"/>
      <c r="BX149" s="1477"/>
      <c r="BY149" s="1477"/>
      <c r="BZ149" s="1477"/>
      <c r="CA149" s="1477"/>
      <c r="CB149" s="1477"/>
      <c r="CC149" s="1477"/>
      <c r="CD149" s="1477"/>
      <c r="CE149" s="1477"/>
      <c r="CF149" s="1477"/>
      <c r="CG149" s="1477"/>
      <c r="CH149" s="1477"/>
    </row>
    <row r="150" spans="2:86">
      <c r="B150" s="1714"/>
      <c r="C150" s="678" t="str">
        <f>'14. Project Costs'!C153</f>
        <v xml:space="preserve">Tax Credit Allocation Fee </v>
      </c>
      <c r="D150" s="674"/>
      <c r="E150" s="184">
        <f>PC_SFT_LIHTC_Reserv_Fees_Total</f>
        <v>0</v>
      </c>
      <c r="F150" s="1573">
        <f t="shared" si="51"/>
        <v>0</v>
      </c>
      <c r="G150" s="1574"/>
      <c r="H150" s="1574"/>
      <c r="I150" s="1574"/>
      <c r="J150" s="1574"/>
      <c r="K150" s="1574"/>
      <c r="L150" s="1574"/>
      <c r="M150" s="1574"/>
      <c r="N150" s="1574"/>
      <c r="O150" s="1574"/>
      <c r="P150" s="1574"/>
      <c r="Q150" s="1574"/>
      <c r="R150" s="1574"/>
      <c r="S150" s="1574"/>
      <c r="T150" s="1574"/>
      <c r="U150" s="1574"/>
      <c r="V150" s="1574"/>
      <c r="W150" s="1574"/>
      <c r="X150" s="1574"/>
      <c r="Y150" s="1574"/>
      <c r="Z150" s="1574"/>
      <c r="AA150" s="1574"/>
      <c r="AB150" s="1574"/>
      <c r="AC150" s="1574"/>
      <c r="AD150" s="1574"/>
      <c r="AE150" s="1574"/>
      <c r="AF150" s="1574"/>
      <c r="AG150" s="1574"/>
      <c r="AH150" s="1574"/>
      <c r="AI150" s="1574"/>
      <c r="AJ150" s="1574"/>
      <c r="AK150" s="1714"/>
      <c r="AL150" s="1477"/>
      <c r="AM150" s="1477"/>
      <c r="AN150" s="1477"/>
      <c r="AO150" s="284"/>
      <c r="AP150" s="1477"/>
      <c r="AQ150" s="1477"/>
      <c r="AR150" s="1477"/>
      <c r="AS150" s="1477"/>
      <c r="AT150" s="1477"/>
      <c r="AU150" s="1477"/>
      <c r="AV150" s="1477"/>
      <c r="AW150" s="1477"/>
      <c r="AX150" s="1477"/>
      <c r="AY150" s="1477"/>
      <c r="AZ150" s="1477"/>
      <c r="BA150" s="1477"/>
      <c r="BB150" s="1477"/>
      <c r="BC150" s="1477"/>
      <c r="BD150" s="1477"/>
      <c r="BE150" s="1477"/>
      <c r="BF150" s="1477"/>
      <c r="BG150" s="1477"/>
      <c r="BH150" s="1477"/>
      <c r="BI150" s="1477"/>
      <c r="BJ150" s="1477"/>
      <c r="BK150" s="1477"/>
      <c r="BL150" s="1477"/>
      <c r="BM150" s="1477"/>
      <c r="BN150" s="1477"/>
      <c r="BO150" s="1477"/>
      <c r="BP150" s="1477"/>
      <c r="BQ150" s="1477"/>
      <c r="BR150" s="1477"/>
      <c r="BS150" s="1477"/>
      <c r="BT150" s="1477"/>
      <c r="BU150" s="1477"/>
      <c r="BV150" s="1477"/>
      <c r="BW150" s="1477"/>
      <c r="BX150" s="1477"/>
      <c r="BY150" s="1477"/>
      <c r="BZ150" s="1477"/>
      <c r="CA150" s="1477"/>
      <c r="CB150" s="1477"/>
      <c r="CC150" s="1477"/>
      <c r="CD150" s="1477"/>
      <c r="CE150" s="1477"/>
      <c r="CF150" s="1477"/>
      <c r="CG150" s="1477"/>
      <c r="CH150" s="1477"/>
    </row>
    <row r="151" spans="2:86">
      <c r="B151" s="1714"/>
      <c r="C151" s="678" t="str" cm="1">
        <f t="array" ref="C151:D151">'14. Project Costs'!C154:D154</f>
        <v>Tax Credit Compliance Fee</v>
      </c>
      <c r="D151" s="674">
        <v>0</v>
      </c>
      <c r="E151" s="184">
        <f>PC_SFT_LIHTC_Monitoring_Fees_Total</f>
        <v>0</v>
      </c>
      <c r="F151" s="1573">
        <f t="shared" si="51"/>
        <v>0</v>
      </c>
      <c r="G151" s="1574"/>
      <c r="H151" s="1574"/>
      <c r="I151" s="1574"/>
      <c r="J151" s="1574"/>
      <c r="K151" s="1574"/>
      <c r="L151" s="1574"/>
      <c r="M151" s="1574"/>
      <c r="N151" s="1574"/>
      <c r="O151" s="1574"/>
      <c r="P151" s="1574"/>
      <c r="Q151" s="1574"/>
      <c r="R151" s="1574"/>
      <c r="S151" s="1574"/>
      <c r="T151" s="1574"/>
      <c r="U151" s="1574"/>
      <c r="V151" s="1574"/>
      <c r="W151" s="1574"/>
      <c r="X151" s="1574"/>
      <c r="Y151" s="1574"/>
      <c r="Z151" s="1574"/>
      <c r="AA151" s="1574"/>
      <c r="AB151" s="1574"/>
      <c r="AC151" s="1574"/>
      <c r="AD151" s="1574"/>
      <c r="AE151" s="1574"/>
      <c r="AF151" s="1574"/>
      <c r="AG151" s="1574"/>
      <c r="AH151" s="1574"/>
      <c r="AI151" s="1574"/>
      <c r="AJ151" s="1574"/>
      <c r="AK151" s="1714"/>
      <c r="AL151" s="1477"/>
      <c r="AM151" s="1477"/>
      <c r="AN151" s="1477"/>
      <c r="AO151" s="284"/>
      <c r="AP151" s="1477"/>
      <c r="AQ151" s="1477"/>
      <c r="AR151" s="1477"/>
      <c r="AS151" s="1477"/>
      <c r="AT151" s="1477"/>
      <c r="AU151" s="1477"/>
      <c r="AV151" s="1477"/>
      <c r="AW151" s="1477"/>
      <c r="AX151" s="1477"/>
      <c r="AY151" s="1477"/>
      <c r="AZ151" s="1477"/>
      <c r="BA151" s="1477"/>
      <c r="BB151" s="1477"/>
      <c r="BC151" s="1477"/>
      <c r="BD151" s="1477"/>
      <c r="BE151" s="1477"/>
      <c r="BF151" s="1477"/>
      <c r="BG151" s="1477"/>
      <c r="BH151" s="1477"/>
      <c r="BI151" s="1477"/>
      <c r="BJ151" s="1477"/>
      <c r="BK151" s="1477"/>
      <c r="BL151" s="1477"/>
      <c r="BM151" s="1477"/>
      <c r="BN151" s="1477"/>
      <c r="BO151" s="1477"/>
      <c r="BP151" s="1477"/>
      <c r="BQ151" s="1477"/>
      <c r="BR151" s="1477"/>
      <c r="BS151" s="1477"/>
      <c r="BT151" s="1477"/>
      <c r="BU151" s="1477"/>
      <c r="BV151" s="1477"/>
      <c r="BW151" s="1477"/>
      <c r="BX151" s="1477"/>
      <c r="BY151" s="1477"/>
      <c r="BZ151" s="1477"/>
      <c r="CA151" s="1477"/>
      <c r="CB151" s="1477"/>
      <c r="CC151" s="1477"/>
      <c r="CD151" s="1477"/>
      <c r="CE151" s="1477"/>
      <c r="CF151" s="1477"/>
      <c r="CG151" s="1477"/>
      <c r="CH151" s="1477"/>
    </row>
    <row r="152" spans="2:86">
      <c r="B152" s="1714"/>
      <c r="C152" s="673" t="str" cm="1">
        <f t="array" ref="C152:D152">'14. Project Costs'!C155:D155</f>
        <v xml:space="preserve">Local / Building Permit Fees </v>
      </c>
      <c r="D152" s="674">
        <v>0</v>
      </c>
      <c r="E152" s="184">
        <f>PC_SFT_Local_Bldg_Permit_Total</f>
        <v>0</v>
      </c>
      <c r="F152" s="1573">
        <f t="shared" si="51"/>
        <v>0</v>
      </c>
      <c r="G152" s="1574"/>
      <c r="H152" s="1574"/>
      <c r="I152" s="1574"/>
      <c r="J152" s="1574"/>
      <c r="K152" s="1574"/>
      <c r="L152" s="1574"/>
      <c r="M152" s="1574"/>
      <c r="N152" s="1574"/>
      <c r="O152" s="1574"/>
      <c r="P152" s="1574"/>
      <c r="Q152" s="1574"/>
      <c r="R152" s="1574"/>
      <c r="S152" s="1574"/>
      <c r="T152" s="1574"/>
      <c r="U152" s="1574"/>
      <c r="V152" s="1574"/>
      <c r="W152" s="1574"/>
      <c r="X152" s="1574"/>
      <c r="Y152" s="1574"/>
      <c r="Z152" s="1574"/>
      <c r="AA152" s="1574"/>
      <c r="AB152" s="1574"/>
      <c r="AC152" s="1574"/>
      <c r="AD152" s="1574"/>
      <c r="AE152" s="1574"/>
      <c r="AF152" s="1574"/>
      <c r="AG152" s="1574"/>
      <c r="AH152" s="1574"/>
      <c r="AI152" s="1574"/>
      <c r="AJ152" s="1574"/>
      <c r="AK152" s="1714"/>
      <c r="AL152" s="1477"/>
      <c r="AM152" s="1477"/>
      <c r="AN152" s="1477"/>
      <c r="AO152" s="284"/>
      <c r="AP152" s="1477"/>
      <c r="AQ152" s="1477"/>
      <c r="AR152" s="1477"/>
      <c r="AS152" s="1477"/>
      <c r="AT152" s="1477"/>
      <c r="AU152" s="1477"/>
      <c r="AV152" s="1477"/>
      <c r="AW152" s="1477"/>
      <c r="AX152" s="1477"/>
      <c r="AY152" s="1477"/>
      <c r="AZ152" s="1477"/>
      <c r="BA152" s="1477"/>
      <c r="BB152" s="1477"/>
      <c r="BC152" s="1477"/>
      <c r="BD152" s="1477"/>
      <c r="BE152" s="1477"/>
      <c r="BF152" s="1477"/>
      <c r="BG152" s="1477"/>
      <c r="BH152" s="1477"/>
      <c r="BI152" s="1477"/>
      <c r="BJ152" s="1477"/>
      <c r="BK152" s="1477"/>
      <c r="BL152" s="1477"/>
      <c r="BM152" s="1477"/>
      <c r="BN152" s="1477"/>
      <c r="BO152" s="1477"/>
      <c r="BP152" s="1477"/>
      <c r="BQ152" s="1477"/>
      <c r="BR152" s="1477"/>
      <c r="BS152" s="1477"/>
      <c r="BT152" s="1477"/>
      <c r="BU152" s="1477"/>
      <c r="BV152" s="1477"/>
      <c r="BW152" s="1477"/>
      <c r="BX152" s="1477"/>
      <c r="BY152" s="1477"/>
      <c r="BZ152" s="1477"/>
      <c r="CA152" s="1477"/>
      <c r="CB152" s="1477"/>
      <c r="CC152" s="1477"/>
      <c r="CD152" s="1477"/>
      <c r="CE152" s="1477"/>
      <c r="CF152" s="1477"/>
      <c r="CG152" s="1477"/>
      <c r="CH152" s="1477"/>
    </row>
    <row r="153" spans="2:86">
      <c r="B153" s="1714"/>
      <c r="C153" s="673" t="str" cm="1">
        <f t="array" ref="C153:D153">'14. Project Costs'!C156:D156</f>
        <v>Water, Sewer, and Impact Fees</v>
      </c>
      <c r="D153" s="674">
        <v>0</v>
      </c>
      <c r="E153" s="184">
        <f>PC_SFT_Water_Sewer_Total</f>
        <v>0</v>
      </c>
      <c r="F153" s="1573">
        <f t="shared" si="51"/>
        <v>0</v>
      </c>
      <c r="G153" s="1574"/>
      <c r="H153" s="1574"/>
      <c r="I153" s="1574"/>
      <c r="J153" s="1574"/>
      <c r="K153" s="1574"/>
      <c r="L153" s="1574"/>
      <c r="M153" s="1574"/>
      <c r="N153" s="1574"/>
      <c r="O153" s="1574"/>
      <c r="P153" s="1574"/>
      <c r="Q153" s="1574"/>
      <c r="R153" s="1574"/>
      <c r="S153" s="1574"/>
      <c r="T153" s="1574"/>
      <c r="U153" s="1574"/>
      <c r="V153" s="1574"/>
      <c r="W153" s="1574"/>
      <c r="X153" s="1574"/>
      <c r="Y153" s="1574"/>
      <c r="Z153" s="1574"/>
      <c r="AA153" s="1574"/>
      <c r="AB153" s="1574"/>
      <c r="AC153" s="1574"/>
      <c r="AD153" s="1574"/>
      <c r="AE153" s="1574"/>
      <c r="AF153" s="1574"/>
      <c r="AG153" s="1574"/>
      <c r="AH153" s="1574"/>
      <c r="AI153" s="1574"/>
      <c r="AJ153" s="1574"/>
      <c r="AK153" s="1714"/>
      <c r="AL153" s="1477"/>
      <c r="AM153" s="1477"/>
      <c r="AN153" s="1477"/>
      <c r="AO153" s="284"/>
      <c r="AP153" s="1477"/>
      <c r="AQ153" s="1477"/>
      <c r="AR153" s="1477"/>
      <c r="AS153" s="1477"/>
      <c r="AT153" s="1477"/>
      <c r="AU153" s="1477"/>
      <c r="AV153" s="1477"/>
      <c r="AW153" s="1477"/>
      <c r="AX153" s="1477"/>
      <c r="AY153" s="1477"/>
      <c r="AZ153" s="1477"/>
      <c r="BA153" s="1477"/>
      <c r="BB153" s="1477"/>
      <c r="BC153" s="1477"/>
      <c r="BD153" s="1477"/>
      <c r="BE153" s="1477"/>
      <c r="BF153" s="1477"/>
      <c r="BG153" s="1477"/>
      <c r="BH153" s="1477"/>
      <c r="BI153" s="1477"/>
      <c r="BJ153" s="1477"/>
      <c r="BK153" s="1477"/>
      <c r="BL153" s="1477"/>
      <c r="BM153" s="1477"/>
      <c r="BN153" s="1477"/>
      <c r="BO153" s="1477"/>
      <c r="BP153" s="1477"/>
      <c r="BQ153" s="1477"/>
      <c r="BR153" s="1477"/>
      <c r="BS153" s="1477"/>
      <c r="BT153" s="1477"/>
      <c r="BU153" s="1477"/>
      <c r="BV153" s="1477"/>
      <c r="BW153" s="1477"/>
      <c r="BX153" s="1477"/>
      <c r="BY153" s="1477"/>
      <c r="BZ153" s="1477"/>
      <c r="CA153" s="1477"/>
      <c r="CB153" s="1477"/>
      <c r="CC153" s="1477"/>
      <c r="CD153" s="1477"/>
      <c r="CE153" s="1477"/>
      <c r="CF153" s="1477"/>
      <c r="CG153" s="1477"/>
      <c r="CH153" s="1477"/>
    </row>
    <row r="154" spans="2:86">
      <c r="B154" s="1714"/>
      <c r="C154" s="673" t="str" cm="1">
        <f t="array" ref="C154:D154">'14. Project Costs'!C157:D157</f>
        <v>Net Local Development Impact Fees</v>
      </c>
      <c r="D154" s="674">
        <v>0</v>
      </c>
      <c r="E154" s="184">
        <f>PC_SFT_Net_Local_Dev_Total</f>
        <v>0</v>
      </c>
      <c r="F154" s="1573">
        <f t="shared" si="51"/>
        <v>0</v>
      </c>
      <c r="G154" s="1574"/>
      <c r="H154" s="1574"/>
      <c r="I154" s="1574"/>
      <c r="J154" s="1574"/>
      <c r="K154" s="1574"/>
      <c r="L154" s="1574"/>
      <c r="M154" s="1574"/>
      <c r="N154" s="1574"/>
      <c r="O154" s="1574"/>
      <c r="P154" s="1574"/>
      <c r="Q154" s="1574"/>
      <c r="R154" s="1574"/>
      <c r="S154" s="1574"/>
      <c r="T154" s="1574"/>
      <c r="U154" s="1574"/>
      <c r="V154" s="1574"/>
      <c r="W154" s="1574"/>
      <c r="X154" s="1574"/>
      <c r="Y154" s="1574"/>
      <c r="Z154" s="1574"/>
      <c r="AA154" s="1574"/>
      <c r="AB154" s="1574"/>
      <c r="AC154" s="1574"/>
      <c r="AD154" s="1574"/>
      <c r="AE154" s="1574"/>
      <c r="AF154" s="1574"/>
      <c r="AG154" s="1574"/>
      <c r="AH154" s="1574"/>
      <c r="AI154" s="1574"/>
      <c r="AJ154" s="1574"/>
      <c r="AK154" s="1714"/>
      <c r="AL154" s="1477"/>
      <c r="AM154" s="1477"/>
      <c r="AN154" s="1477"/>
      <c r="AO154" s="284"/>
      <c r="AP154" s="1477"/>
      <c r="AQ154" s="1477"/>
      <c r="AR154" s="1477"/>
      <c r="AS154" s="1477"/>
      <c r="AT154" s="1477"/>
      <c r="AU154" s="1477"/>
      <c r="AV154" s="1477"/>
      <c r="AW154" s="1477"/>
      <c r="AX154" s="1477"/>
      <c r="AY154" s="1477"/>
      <c r="AZ154" s="1477"/>
      <c r="BA154" s="1477"/>
      <c r="BB154" s="1477"/>
      <c r="BC154" s="1477"/>
      <c r="BD154" s="1477"/>
      <c r="BE154" s="1477"/>
      <c r="BF154" s="1477"/>
      <c r="BG154" s="1477"/>
      <c r="BH154" s="1477"/>
      <c r="BI154" s="1477"/>
      <c r="BJ154" s="1477"/>
      <c r="BK154" s="1477"/>
      <c r="BL154" s="1477"/>
      <c r="BM154" s="1477"/>
      <c r="BN154" s="1477"/>
      <c r="BO154" s="1477"/>
      <c r="BP154" s="1477"/>
      <c r="BQ154" s="1477"/>
      <c r="BR154" s="1477"/>
      <c r="BS154" s="1477"/>
      <c r="BT154" s="1477"/>
      <c r="BU154" s="1477"/>
      <c r="BV154" s="1477"/>
      <c r="BW154" s="1477"/>
      <c r="BX154" s="1477"/>
      <c r="BY154" s="1477"/>
      <c r="BZ154" s="1477"/>
      <c r="CA154" s="1477"/>
      <c r="CB154" s="1477"/>
      <c r="CC154" s="1477"/>
      <c r="CD154" s="1477"/>
      <c r="CE154" s="1477"/>
      <c r="CF154" s="1477"/>
      <c r="CG154" s="1477"/>
      <c r="CH154" s="1477"/>
    </row>
    <row r="155" spans="2:86">
      <c r="B155" s="1714"/>
      <c r="C155" s="673" t="str" cm="1">
        <f t="array" ref="C155:D155">'14. Project Costs'!C158:D158</f>
        <v>Commercial Costs - non-construction related)</v>
      </c>
      <c r="D155" s="674">
        <v>0</v>
      </c>
      <c r="E155" s="184">
        <f>'14. Project Costs'!F158</f>
        <v>0</v>
      </c>
      <c r="F155" s="1573">
        <f t="shared" si="51"/>
        <v>0</v>
      </c>
      <c r="G155" s="1574"/>
      <c r="H155" s="1574"/>
      <c r="I155" s="1574"/>
      <c r="J155" s="1574"/>
      <c r="K155" s="1574"/>
      <c r="L155" s="1574"/>
      <c r="M155" s="1574"/>
      <c r="N155" s="1574"/>
      <c r="O155" s="1574"/>
      <c r="P155" s="1574"/>
      <c r="Q155" s="1574"/>
      <c r="R155" s="1574"/>
      <c r="S155" s="1574"/>
      <c r="T155" s="1574"/>
      <c r="U155" s="1574"/>
      <c r="V155" s="1574"/>
      <c r="W155" s="1574"/>
      <c r="X155" s="1574"/>
      <c r="Y155" s="1574"/>
      <c r="Z155" s="1574"/>
      <c r="AA155" s="1574"/>
      <c r="AB155" s="1574"/>
      <c r="AC155" s="1574"/>
      <c r="AD155" s="1574"/>
      <c r="AE155" s="1574"/>
      <c r="AF155" s="1574"/>
      <c r="AG155" s="1574"/>
      <c r="AH155" s="1574"/>
      <c r="AI155" s="1574"/>
      <c r="AJ155" s="1574"/>
      <c r="AK155" s="1714"/>
      <c r="AL155" s="1477"/>
      <c r="AM155" s="1477"/>
      <c r="AN155" s="1477"/>
      <c r="AO155" s="284"/>
      <c r="AP155" s="1477"/>
      <c r="AQ155" s="1477"/>
      <c r="AR155" s="1477"/>
      <c r="AS155" s="1477"/>
      <c r="AT155" s="1477"/>
      <c r="AU155" s="1477"/>
      <c r="AV155" s="1477"/>
      <c r="AW155" s="1477"/>
      <c r="AX155" s="1477"/>
      <c r="AY155" s="1477"/>
      <c r="AZ155" s="1477"/>
      <c r="BA155" s="1477"/>
      <c r="BB155" s="1477"/>
      <c r="BC155" s="1477"/>
      <c r="BD155" s="1477"/>
      <c r="BE155" s="1477"/>
      <c r="BF155" s="1477"/>
      <c r="BG155" s="1477"/>
      <c r="BH155" s="1477"/>
      <c r="BI155" s="1477"/>
      <c r="BJ155" s="1477"/>
      <c r="BK155" s="1477"/>
      <c r="BL155" s="1477"/>
      <c r="BM155" s="1477"/>
      <c r="BN155" s="1477"/>
      <c r="BO155" s="1477"/>
      <c r="BP155" s="1477"/>
      <c r="BQ155" s="1477"/>
      <c r="BR155" s="1477"/>
      <c r="BS155" s="1477"/>
      <c r="BT155" s="1477"/>
      <c r="BU155" s="1477"/>
      <c r="BV155" s="1477"/>
      <c r="BW155" s="1477"/>
      <c r="BX155" s="1477"/>
      <c r="BY155" s="1477"/>
      <c r="BZ155" s="1477"/>
      <c r="CA155" s="1477"/>
      <c r="CB155" s="1477"/>
      <c r="CC155" s="1477"/>
      <c r="CD155" s="1477"/>
      <c r="CE155" s="1477"/>
      <c r="CF155" s="1477"/>
      <c r="CG155" s="1477"/>
      <c r="CH155" s="1477"/>
    </row>
    <row r="156" spans="2:86">
      <c r="B156" s="1714"/>
      <c r="C156" s="673" t="str" cm="1">
        <f t="array" ref="C156:D156">'14. Project Costs'!C159:D159</f>
        <v>Cost Certification/Accounting Fees</v>
      </c>
      <c r="D156" s="674">
        <v>0</v>
      </c>
      <c r="E156" s="184">
        <f>PC_SFT_Accting_Fees_Total</f>
        <v>0</v>
      </c>
      <c r="F156" s="1573">
        <f t="shared" si="51"/>
        <v>0</v>
      </c>
      <c r="G156" s="1574"/>
      <c r="H156" s="1574"/>
      <c r="I156" s="1574"/>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D156" s="1574"/>
      <c r="AE156" s="1574"/>
      <c r="AF156" s="1574"/>
      <c r="AG156" s="1574"/>
      <c r="AH156" s="1574"/>
      <c r="AI156" s="1574"/>
      <c r="AJ156" s="1574"/>
      <c r="AK156" s="1714"/>
      <c r="AL156" s="1477"/>
      <c r="AM156" s="1477"/>
      <c r="AN156" s="1477"/>
      <c r="AO156" s="284"/>
      <c r="AP156" s="1477"/>
      <c r="AQ156" s="1477"/>
      <c r="AR156" s="1477"/>
      <c r="AS156" s="1477"/>
      <c r="AT156" s="1477"/>
      <c r="AU156" s="1477"/>
      <c r="AV156" s="1477"/>
      <c r="AW156" s="1477"/>
      <c r="AX156" s="1477"/>
      <c r="AY156" s="1477"/>
      <c r="AZ156" s="1477"/>
      <c r="BA156" s="1477"/>
      <c r="BB156" s="1477"/>
      <c r="BC156" s="1477"/>
      <c r="BD156" s="1477"/>
      <c r="BE156" s="1477"/>
      <c r="BF156" s="1477"/>
      <c r="BG156" s="1477"/>
      <c r="BH156" s="1477"/>
      <c r="BI156" s="1477"/>
      <c r="BJ156" s="1477"/>
      <c r="BK156" s="1477"/>
      <c r="BL156" s="1477"/>
      <c r="BM156" s="1477"/>
      <c r="BN156" s="1477"/>
      <c r="BO156" s="1477"/>
      <c r="BP156" s="1477"/>
      <c r="BQ156" s="1477"/>
      <c r="BR156" s="1477"/>
      <c r="BS156" s="1477"/>
      <c r="BT156" s="1477"/>
      <c r="BU156" s="1477"/>
      <c r="BV156" s="1477"/>
      <c r="BW156" s="1477"/>
      <c r="BX156" s="1477"/>
      <c r="BY156" s="1477"/>
      <c r="BZ156" s="1477"/>
      <c r="CA156" s="1477"/>
      <c r="CB156" s="1477"/>
      <c r="CC156" s="1477"/>
      <c r="CD156" s="1477"/>
      <c r="CE156" s="1477"/>
      <c r="CF156" s="1477"/>
      <c r="CG156" s="1477"/>
      <c r="CH156" s="1477"/>
    </row>
    <row r="157" spans="2:86">
      <c r="B157" s="1714"/>
      <c r="C157" s="673" t="str" cm="1">
        <f t="array" ref="C157:D157">'14. Project Costs'!C160:D160</f>
        <v>Rent-Up Marketing Expense</v>
      </c>
      <c r="D157" s="674">
        <v>0</v>
      </c>
      <c r="E157" s="184">
        <f>'14. Project Costs'!F160</f>
        <v>0</v>
      </c>
      <c r="F157" s="1573">
        <f t="shared" si="51"/>
        <v>0</v>
      </c>
      <c r="G157" s="204"/>
      <c r="H157" s="1574"/>
      <c r="I157" s="1574"/>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D157" s="1574"/>
      <c r="AE157" s="1574"/>
      <c r="AF157" s="1574"/>
      <c r="AG157" s="1574"/>
      <c r="AH157" s="1574"/>
      <c r="AI157" s="1574"/>
      <c r="AJ157" s="1574"/>
      <c r="AK157" s="1714"/>
      <c r="AL157" s="1477"/>
      <c r="AM157" s="1477"/>
      <c r="AN157" s="1477"/>
      <c r="AO157" s="284"/>
      <c r="AP157" s="1477"/>
      <c r="AQ157" s="1477"/>
      <c r="AR157" s="1477"/>
      <c r="AS157" s="1477"/>
      <c r="AT157" s="1477"/>
      <c r="AU157" s="1477"/>
      <c r="AV157" s="1477"/>
      <c r="AW157" s="1477"/>
      <c r="AX157" s="1477"/>
      <c r="AY157" s="1477"/>
      <c r="AZ157" s="1477"/>
      <c r="BA157" s="1477"/>
      <c r="BB157" s="1477"/>
      <c r="BC157" s="1477"/>
      <c r="BD157" s="1477"/>
      <c r="BE157" s="1477"/>
      <c r="BF157" s="1477"/>
      <c r="BG157" s="1477"/>
      <c r="BH157" s="1477"/>
      <c r="BI157" s="1477"/>
      <c r="BJ157" s="1477"/>
      <c r="BK157" s="1477"/>
      <c r="BL157" s="1477"/>
      <c r="BM157" s="1477"/>
      <c r="BN157" s="1477"/>
      <c r="BO157" s="1477"/>
      <c r="BP157" s="1477"/>
      <c r="BQ157" s="1477"/>
      <c r="BR157" s="1477"/>
      <c r="BS157" s="1477"/>
      <c r="BT157" s="1477"/>
      <c r="BU157" s="1477"/>
      <c r="BV157" s="1477"/>
      <c r="BW157" s="1477"/>
      <c r="BX157" s="1477"/>
      <c r="BY157" s="1477"/>
      <c r="BZ157" s="1477"/>
      <c r="CA157" s="1477"/>
      <c r="CB157" s="1477"/>
      <c r="CC157" s="1477"/>
      <c r="CD157" s="1477"/>
      <c r="CE157" s="1477"/>
      <c r="CF157" s="1477"/>
      <c r="CG157" s="1477"/>
      <c r="CH157" s="1477"/>
    </row>
    <row r="158" spans="2:86">
      <c r="B158" s="1714"/>
      <c r="C158" s="673" t="str" cm="1">
        <f t="array" ref="C158:D158">'14. Project Costs'!C161:D161</f>
        <v>Commercial Marketing &amp; Rent-Up Expenses</v>
      </c>
      <c r="D158" s="674">
        <v>0</v>
      </c>
      <c r="E158" s="184">
        <f>'14. Project Costs'!F161</f>
        <v>0</v>
      </c>
      <c r="F158" s="1573">
        <f t="shared" si="51"/>
        <v>0</v>
      </c>
      <c r="G158" s="1574"/>
      <c r="H158" s="1574"/>
      <c r="I158" s="1574"/>
      <c r="J158" s="1574"/>
      <c r="K158" s="1574"/>
      <c r="L158" s="1574"/>
      <c r="M158" s="1574"/>
      <c r="N158" s="1574"/>
      <c r="O158" s="1574"/>
      <c r="P158" s="1574"/>
      <c r="Q158" s="1574"/>
      <c r="R158" s="1574"/>
      <c r="S158" s="1574"/>
      <c r="T158" s="1574"/>
      <c r="U158" s="1574"/>
      <c r="V158" s="1574"/>
      <c r="W158" s="1574"/>
      <c r="X158" s="1574"/>
      <c r="Y158" s="1574"/>
      <c r="Z158" s="1574"/>
      <c r="AA158" s="1574"/>
      <c r="AB158" s="1574"/>
      <c r="AC158" s="1574"/>
      <c r="AD158" s="1574"/>
      <c r="AE158" s="1574"/>
      <c r="AF158" s="1574"/>
      <c r="AG158" s="1574"/>
      <c r="AH158" s="1574"/>
      <c r="AI158" s="1574"/>
      <c r="AJ158" s="1574"/>
      <c r="AK158" s="1714"/>
      <c r="AL158" s="1477"/>
      <c r="AM158" s="1477"/>
      <c r="AN158" s="1477"/>
      <c r="AO158" s="284"/>
      <c r="AP158" s="1477"/>
      <c r="AQ158" s="1477"/>
      <c r="AR158" s="1477"/>
      <c r="AS158" s="1477"/>
      <c r="AT158" s="1477"/>
      <c r="AU158" s="1477"/>
      <c r="AV158" s="1477"/>
      <c r="AW158" s="1477"/>
      <c r="AX158" s="1477"/>
      <c r="AY158" s="1477"/>
      <c r="AZ158" s="1477"/>
      <c r="BA158" s="1477"/>
      <c r="BB158" s="1477"/>
      <c r="BC158" s="1477"/>
      <c r="BD158" s="1477"/>
      <c r="BE158" s="1477"/>
      <c r="BF158" s="1477"/>
      <c r="BG158" s="1477"/>
      <c r="BH158" s="1477"/>
      <c r="BI158" s="1477"/>
      <c r="BJ158" s="1477"/>
      <c r="BK158" s="1477"/>
      <c r="BL158" s="1477"/>
      <c r="BM158" s="1477"/>
      <c r="BN158" s="1477"/>
      <c r="BO158" s="1477"/>
      <c r="BP158" s="1477"/>
      <c r="BQ158" s="1477"/>
      <c r="BR158" s="1477"/>
      <c r="BS158" s="1477"/>
      <c r="BT158" s="1477"/>
      <c r="BU158" s="1477"/>
      <c r="BV158" s="1477"/>
      <c r="BW158" s="1477"/>
      <c r="BX158" s="1477"/>
      <c r="BY158" s="1477"/>
      <c r="BZ158" s="1477"/>
      <c r="CA158" s="1477"/>
      <c r="CB158" s="1477"/>
      <c r="CC158" s="1477"/>
      <c r="CD158" s="1477"/>
      <c r="CE158" s="1477"/>
      <c r="CF158" s="1477"/>
      <c r="CG158" s="1477"/>
      <c r="CH158" s="1477"/>
    </row>
    <row r="159" spans="2:86">
      <c r="B159" s="1714"/>
      <c r="C159" s="675" t="str" cm="1">
        <f t="array" ref="C159:D159">'14. Project Costs'!C162:D162</f>
        <v>Mortgage Payoff - N/A for Tax Credit Application</v>
      </c>
      <c r="D159" s="676">
        <v>0</v>
      </c>
      <c r="E159" s="184">
        <f>'14. Project Costs'!F162</f>
        <v>0</v>
      </c>
      <c r="F159" s="1573">
        <f t="shared" si="51"/>
        <v>0</v>
      </c>
      <c r="G159" s="1574"/>
      <c r="H159" s="1574"/>
      <c r="I159" s="1574"/>
      <c r="J159" s="1574"/>
      <c r="K159" s="1574"/>
      <c r="L159" s="1574"/>
      <c r="M159" s="1574"/>
      <c r="N159" s="1574"/>
      <c r="O159" s="1574"/>
      <c r="P159" s="1574"/>
      <c r="Q159" s="1574"/>
      <c r="R159" s="1574"/>
      <c r="S159" s="1574"/>
      <c r="T159" s="1574"/>
      <c r="U159" s="1574"/>
      <c r="V159" s="1574"/>
      <c r="W159" s="1574"/>
      <c r="X159" s="1574"/>
      <c r="Y159" s="1574"/>
      <c r="Z159" s="1574"/>
      <c r="AA159" s="1574"/>
      <c r="AB159" s="1574"/>
      <c r="AC159" s="1574"/>
      <c r="AD159" s="1574"/>
      <c r="AE159" s="1574"/>
      <c r="AF159" s="1574"/>
      <c r="AG159" s="1574"/>
      <c r="AH159" s="1574"/>
      <c r="AI159" s="1574"/>
      <c r="AJ159" s="1574"/>
      <c r="AK159" s="1714"/>
      <c r="AL159" s="1477"/>
      <c r="AM159" s="1477"/>
      <c r="AN159" s="1477"/>
      <c r="AO159" s="284"/>
      <c r="AP159" s="1477"/>
      <c r="AQ159" s="1477"/>
      <c r="AR159" s="1477"/>
      <c r="AS159" s="1477"/>
      <c r="AT159" s="1477"/>
      <c r="AU159" s="1477"/>
      <c r="AV159" s="1477"/>
      <c r="AW159" s="1477"/>
      <c r="AX159" s="1477"/>
      <c r="AY159" s="1477"/>
      <c r="AZ159" s="1477"/>
      <c r="BA159" s="1477"/>
      <c r="BB159" s="1477"/>
      <c r="BC159" s="1477"/>
      <c r="BD159" s="1477"/>
      <c r="BE159" s="1477"/>
      <c r="BF159" s="1477"/>
      <c r="BG159" s="1477"/>
      <c r="BH159" s="1477"/>
      <c r="BI159" s="1477"/>
      <c r="BJ159" s="1477"/>
      <c r="BK159" s="1477"/>
      <c r="BL159" s="1477"/>
      <c r="BM159" s="1477"/>
      <c r="BN159" s="1477"/>
      <c r="BO159" s="1477"/>
      <c r="BP159" s="1477"/>
      <c r="BQ159" s="1477"/>
      <c r="BR159" s="1477"/>
      <c r="BS159" s="1477"/>
      <c r="BT159" s="1477"/>
      <c r="BU159" s="1477"/>
      <c r="BV159" s="1477"/>
      <c r="BW159" s="1477"/>
      <c r="BX159" s="1477"/>
      <c r="BY159" s="1477"/>
      <c r="BZ159" s="1477"/>
      <c r="CA159" s="1477"/>
      <c r="CB159" s="1477"/>
      <c r="CC159" s="1477"/>
      <c r="CD159" s="1477"/>
      <c r="CE159" s="1477"/>
      <c r="CF159" s="1477"/>
      <c r="CG159" s="1477"/>
      <c r="CH159" s="1477"/>
    </row>
    <row r="160" spans="2:86">
      <c r="B160" s="1714"/>
      <c r="C160" s="675" t="str" cm="1">
        <f t="array" ref="C160:D160">'14. Project Costs'!C163:D163</f>
        <v>Other Miscellaneous Costs</v>
      </c>
      <c r="D160" s="676">
        <v>0</v>
      </c>
      <c r="E160" s="184">
        <f>PC_SFT_Other_Misc_Costs_Total</f>
        <v>0</v>
      </c>
      <c r="F160" s="1573">
        <f t="shared" si="51"/>
        <v>0</v>
      </c>
      <c r="G160" s="1574"/>
      <c r="H160" s="1574"/>
      <c r="I160" s="1574"/>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D160" s="1574"/>
      <c r="AE160" s="1574"/>
      <c r="AF160" s="1574"/>
      <c r="AG160" s="1574"/>
      <c r="AH160" s="1574"/>
      <c r="AI160" s="1574"/>
      <c r="AJ160" s="1574"/>
      <c r="AK160" s="1714"/>
      <c r="AL160" s="1477"/>
      <c r="AM160" s="1477"/>
      <c r="AN160" s="1477"/>
      <c r="AO160" s="284"/>
      <c r="AP160" s="1477"/>
      <c r="AQ160" s="1477"/>
      <c r="AR160" s="1477"/>
      <c r="AS160" s="1477"/>
      <c r="AT160" s="1477"/>
      <c r="AU160" s="1477"/>
      <c r="AV160" s="1477"/>
      <c r="AW160" s="1477"/>
      <c r="AX160" s="1477"/>
      <c r="AY160" s="1477"/>
      <c r="AZ160" s="1477"/>
      <c r="BA160" s="1477"/>
      <c r="BB160" s="1477"/>
      <c r="BC160" s="1477"/>
      <c r="BD160" s="1477"/>
      <c r="BE160" s="1477"/>
      <c r="BF160" s="1477"/>
      <c r="BG160" s="1477"/>
      <c r="BH160" s="1477"/>
      <c r="BI160" s="1477"/>
      <c r="BJ160" s="1477"/>
      <c r="BK160" s="1477"/>
      <c r="BL160" s="1477"/>
      <c r="BM160" s="1477"/>
      <c r="BN160" s="1477"/>
      <c r="BO160" s="1477"/>
      <c r="BP160" s="1477"/>
      <c r="BQ160" s="1477"/>
      <c r="BR160" s="1477"/>
      <c r="BS160" s="1477"/>
      <c r="BT160" s="1477"/>
      <c r="BU160" s="1477"/>
      <c r="BV160" s="1477"/>
      <c r="BW160" s="1477"/>
      <c r="BX160" s="1477"/>
      <c r="BY160" s="1477"/>
      <c r="BZ160" s="1477"/>
      <c r="CA160" s="1477"/>
      <c r="CB160" s="1477"/>
      <c r="CC160" s="1477"/>
      <c r="CD160" s="1477"/>
      <c r="CE160" s="1477"/>
      <c r="CF160" s="1477"/>
      <c r="CG160" s="1477"/>
      <c r="CH160" s="1477"/>
    </row>
    <row r="161" spans="2:86">
      <c r="B161" s="1714"/>
      <c r="C161" s="126" t="s">
        <v>3299</v>
      </c>
      <c r="D161" s="126"/>
      <c r="E161" s="185">
        <f t="shared" ref="E161:AJ161" si="52">SUM(E148:E160)</f>
        <v>0</v>
      </c>
      <c r="F161" s="186">
        <f t="shared" si="52"/>
        <v>0</v>
      </c>
      <c r="G161" s="186">
        <f t="shared" si="52"/>
        <v>0</v>
      </c>
      <c r="H161" s="186">
        <f t="shared" si="52"/>
        <v>0</v>
      </c>
      <c r="I161" s="186">
        <f t="shared" si="52"/>
        <v>0</v>
      </c>
      <c r="J161" s="186">
        <f t="shared" si="52"/>
        <v>0</v>
      </c>
      <c r="K161" s="186">
        <f t="shared" si="52"/>
        <v>0</v>
      </c>
      <c r="L161" s="186">
        <f t="shared" si="52"/>
        <v>0</v>
      </c>
      <c r="M161" s="186">
        <f t="shared" si="52"/>
        <v>0</v>
      </c>
      <c r="N161" s="186">
        <f t="shared" si="52"/>
        <v>0</v>
      </c>
      <c r="O161" s="186">
        <f t="shared" si="52"/>
        <v>0</v>
      </c>
      <c r="P161" s="186">
        <f t="shared" si="52"/>
        <v>0</v>
      </c>
      <c r="Q161" s="186">
        <f t="shared" si="52"/>
        <v>0</v>
      </c>
      <c r="R161" s="186">
        <f t="shared" si="52"/>
        <v>0</v>
      </c>
      <c r="S161" s="186">
        <f t="shared" si="52"/>
        <v>0</v>
      </c>
      <c r="T161" s="186">
        <f t="shared" si="52"/>
        <v>0</v>
      </c>
      <c r="U161" s="186">
        <f t="shared" si="52"/>
        <v>0</v>
      </c>
      <c r="V161" s="186">
        <f t="shared" si="52"/>
        <v>0</v>
      </c>
      <c r="W161" s="186">
        <f t="shared" si="52"/>
        <v>0</v>
      </c>
      <c r="X161" s="186">
        <f t="shared" si="52"/>
        <v>0</v>
      </c>
      <c r="Y161" s="186">
        <f t="shared" si="52"/>
        <v>0</v>
      </c>
      <c r="Z161" s="186">
        <f t="shared" si="52"/>
        <v>0</v>
      </c>
      <c r="AA161" s="186">
        <f t="shared" si="52"/>
        <v>0</v>
      </c>
      <c r="AB161" s="186">
        <f t="shared" si="52"/>
        <v>0</v>
      </c>
      <c r="AC161" s="186">
        <f t="shared" si="52"/>
        <v>0</v>
      </c>
      <c r="AD161" s="186">
        <f t="shared" si="52"/>
        <v>0</v>
      </c>
      <c r="AE161" s="186">
        <f t="shared" si="52"/>
        <v>0</v>
      </c>
      <c r="AF161" s="186">
        <f t="shared" si="52"/>
        <v>0</v>
      </c>
      <c r="AG161" s="186">
        <f t="shared" si="52"/>
        <v>0</v>
      </c>
      <c r="AH161" s="186">
        <f t="shared" si="52"/>
        <v>0</v>
      </c>
      <c r="AI161" s="186">
        <f t="shared" si="52"/>
        <v>0</v>
      </c>
      <c r="AJ161" s="186">
        <f t="shared" si="52"/>
        <v>0</v>
      </c>
      <c r="AK161" s="1714"/>
      <c r="AL161" s="1477"/>
      <c r="AM161" s="1477"/>
      <c r="AN161" s="1477"/>
      <c r="AO161" s="284"/>
      <c r="AP161" s="1477"/>
      <c r="AQ161" s="1477"/>
      <c r="AR161" s="1477"/>
      <c r="AS161" s="1477"/>
      <c r="AT161" s="1477"/>
      <c r="AU161" s="1477"/>
      <c r="AV161" s="1477"/>
      <c r="AW161" s="1477"/>
      <c r="AX161" s="1477"/>
      <c r="AY161" s="1477"/>
      <c r="AZ161" s="1477"/>
      <c r="BA161" s="1477"/>
      <c r="BB161" s="1477"/>
      <c r="BC161" s="1477"/>
      <c r="BD161" s="1477"/>
      <c r="BE161" s="1477"/>
      <c r="BF161" s="1477"/>
      <c r="BG161" s="1477"/>
      <c r="BH161" s="1477"/>
      <c r="BI161" s="1477"/>
      <c r="BJ161" s="1477"/>
      <c r="BK161" s="1477"/>
      <c r="BL161" s="1477"/>
      <c r="BM161" s="1477"/>
      <c r="BN161" s="1477"/>
      <c r="BO161" s="1477"/>
      <c r="BP161" s="1477"/>
      <c r="BQ161" s="1477"/>
      <c r="BR161" s="1477"/>
      <c r="BS161" s="1477"/>
      <c r="BT161" s="1477"/>
      <c r="BU161" s="1477"/>
      <c r="BV161" s="1477"/>
      <c r="BW161" s="1477"/>
      <c r="BX161" s="1477"/>
      <c r="BY161" s="1477"/>
      <c r="BZ161" s="1477"/>
      <c r="CA161" s="1477"/>
      <c r="CB161" s="1477"/>
      <c r="CC161" s="1477"/>
      <c r="CD161" s="1477"/>
      <c r="CE161" s="1477"/>
      <c r="CF161" s="1477"/>
      <c r="CG161" s="1477"/>
      <c r="CH161" s="1477"/>
    </row>
    <row r="162" spans="2:86">
      <c r="B162" s="1714"/>
      <c r="C162" s="683" t="s">
        <v>3300</v>
      </c>
      <c r="D162" s="683"/>
      <c r="E162" s="205">
        <f>+E161+E146+E130+E120+E114+E107+E96+E60+E56+E19</f>
        <v>0</v>
      </c>
      <c r="F162" s="205">
        <f>+F161+F146+F130+F120+F114+F107+F96+F60+F56+F19</f>
        <v>0</v>
      </c>
      <c r="G162" s="205">
        <f t="shared" ref="G162:AJ162" si="53">+G161+G146+G130+G120+G114+G107+G96+G60+G56+G19</f>
        <v>0</v>
      </c>
      <c r="H162" s="205">
        <f t="shared" si="53"/>
        <v>0</v>
      </c>
      <c r="I162" s="205">
        <f t="shared" si="53"/>
        <v>0</v>
      </c>
      <c r="J162" s="205">
        <f t="shared" si="53"/>
        <v>0</v>
      </c>
      <c r="K162" s="205">
        <f t="shared" si="53"/>
        <v>0</v>
      </c>
      <c r="L162" s="205">
        <f t="shared" si="53"/>
        <v>0</v>
      </c>
      <c r="M162" s="205">
        <f t="shared" si="53"/>
        <v>0</v>
      </c>
      <c r="N162" s="205">
        <f t="shared" si="53"/>
        <v>0</v>
      </c>
      <c r="O162" s="205">
        <f t="shared" si="53"/>
        <v>0</v>
      </c>
      <c r="P162" s="205">
        <f t="shared" si="53"/>
        <v>0</v>
      </c>
      <c r="Q162" s="205">
        <f t="shared" si="53"/>
        <v>0</v>
      </c>
      <c r="R162" s="205">
        <f t="shared" si="53"/>
        <v>0</v>
      </c>
      <c r="S162" s="205">
        <f t="shared" si="53"/>
        <v>0</v>
      </c>
      <c r="T162" s="205">
        <f t="shared" si="53"/>
        <v>0</v>
      </c>
      <c r="U162" s="205">
        <f t="shared" si="53"/>
        <v>0</v>
      </c>
      <c r="V162" s="205">
        <f t="shared" si="53"/>
        <v>0</v>
      </c>
      <c r="W162" s="205">
        <f t="shared" si="53"/>
        <v>0</v>
      </c>
      <c r="X162" s="205">
        <f t="shared" si="53"/>
        <v>0</v>
      </c>
      <c r="Y162" s="205">
        <f t="shared" si="53"/>
        <v>0</v>
      </c>
      <c r="Z162" s="205">
        <f t="shared" si="53"/>
        <v>0</v>
      </c>
      <c r="AA162" s="205">
        <f t="shared" si="53"/>
        <v>0</v>
      </c>
      <c r="AB162" s="205">
        <f t="shared" si="53"/>
        <v>0</v>
      </c>
      <c r="AC162" s="205">
        <f t="shared" si="53"/>
        <v>0</v>
      </c>
      <c r="AD162" s="205">
        <f t="shared" si="53"/>
        <v>0</v>
      </c>
      <c r="AE162" s="205">
        <f t="shared" si="53"/>
        <v>0</v>
      </c>
      <c r="AF162" s="205">
        <f t="shared" si="53"/>
        <v>0</v>
      </c>
      <c r="AG162" s="205">
        <f t="shared" si="53"/>
        <v>0</v>
      </c>
      <c r="AH162" s="205">
        <f t="shared" si="53"/>
        <v>0</v>
      </c>
      <c r="AI162" s="205">
        <f t="shared" si="53"/>
        <v>0</v>
      </c>
      <c r="AJ162" s="205">
        <f t="shared" si="53"/>
        <v>0</v>
      </c>
      <c r="AK162" s="1714"/>
      <c r="AL162" s="1477"/>
      <c r="AM162" s="1477"/>
      <c r="AN162" s="1477"/>
      <c r="AO162" s="284"/>
      <c r="AP162" s="1477"/>
      <c r="AQ162" s="1477"/>
      <c r="AR162" s="1477"/>
      <c r="AS162" s="1477"/>
      <c r="AT162" s="1477"/>
      <c r="AU162" s="1477"/>
      <c r="AV162" s="1477"/>
      <c r="AW162" s="1477"/>
      <c r="AX162" s="1477"/>
      <c r="AY162" s="1477"/>
      <c r="AZ162" s="1477"/>
      <c r="BA162" s="1477"/>
      <c r="BB162" s="1477"/>
      <c r="BC162" s="1477"/>
      <c r="BD162" s="1477"/>
      <c r="BE162" s="1477"/>
      <c r="BF162" s="1477"/>
      <c r="BG162" s="1477"/>
      <c r="BH162" s="1477"/>
      <c r="BI162" s="1477"/>
      <c r="BJ162" s="1477"/>
      <c r="BK162" s="1477"/>
      <c r="BL162" s="1477"/>
      <c r="BM162" s="1477"/>
      <c r="BN162" s="1477"/>
      <c r="BO162" s="1477"/>
      <c r="BP162" s="1477"/>
      <c r="BQ162" s="1477"/>
      <c r="BR162" s="1477"/>
      <c r="BS162" s="1477"/>
      <c r="BT162" s="1477"/>
      <c r="BU162" s="1477"/>
      <c r="BV162" s="1477"/>
      <c r="BW162" s="1477"/>
      <c r="BX162" s="1477"/>
      <c r="BY162" s="1477"/>
      <c r="BZ162" s="1477"/>
      <c r="CA162" s="1477"/>
      <c r="CB162" s="1477"/>
      <c r="CC162" s="1477"/>
      <c r="CD162" s="1477"/>
      <c r="CE162" s="1477"/>
      <c r="CF162" s="1477"/>
      <c r="CG162" s="1477"/>
      <c r="CH162" s="1477"/>
    </row>
    <row r="163" spans="2:86" ht="15.75">
      <c r="B163" s="1714"/>
      <c r="C163" s="127" t="s">
        <v>3301</v>
      </c>
      <c r="D163" s="127"/>
      <c r="E163" s="202"/>
      <c r="F163" s="1576"/>
      <c r="G163" s="1576"/>
      <c r="H163" s="1576"/>
      <c r="I163" s="1576"/>
      <c r="J163" s="1576"/>
      <c r="K163" s="1576"/>
      <c r="L163" s="1576"/>
      <c r="M163" s="1576"/>
      <c r="N163" s="1576"/>
      <c r="O163" s="1576"/>
      <c r="P163" s="1576"/>
      <c r="Q163" s="1576"/>
      <c r="R163" s="1576"/>
      <c r="S163" s="1576"/>
      <c r="T163" s="1576"/>
      <c r="U163" s="1576"/>
      <c r="V163" s="1576"/>
      <c r="W163" s="1576"/>
      <c r="X163" s="1576"/>
      <c r="Y163" s="1576"/>
      <c r="Z163" s="1576"/>
      <c r="AA163" s="1576"/>
      <c r="AB163" s="1576"/>
      <c r="AC163" s="1576"/>
      <c r="AD163" s="1576"/>
      <c r="AE163" s="1576"/>
      <c r="AF163" s="1576"/>
      <c r="AG163" s="1576"/>
      <c r="AH163" s="1576"/>
      <c r="AI163" s="1576"/>
      <c r="AJ163" s="1576"/>
      <c r="AK163" s="1714"/>
      <c r="AL163" s="1477"/>
      <c r="AM163" s="1477"/>
      <c r="AN163" s="1477"/>
      <c r="AO163" s="284"/>
      <c r="AP163" s="1477"/>
      <c r="AQ163" s="1477"/>
      <c r="AR163" s="1477"/>
      <c r="AS163" s="1477"/>
      <c r="AT163" s="1477"/>
      <c r="AU163" s="1477"/>
      <c r="AV163" s="1477"/>
      <c r="AW163" s="1477"/>
      <c r="AX163" s="1477"/>
      <c r="AY163" s="1477"/>
      <c r="AZ163" s="1477"/>
      <c r="BA163" s="1477"/>
      <c r="BB163" s="1477"/>
      <c r="BC163" s="1477"/>
      <c r="BD163" s="1477"/>
      <c r="BE163" s="1477"/>
      <c r="BF163" s="1477"/>
      <c r="BG163" s="1477"/>
      <c r="BH163" s="1477"/>
      <c r="BI163" s="1477"/>
      <c r="BJ163" s="1477"/>
      <c r="BK163" s="1477"/>
      <c r="BL163" s="1477"/>
      <c r="BM163" s="1477"/>
      <c r="BN163" s="1477"/>
      <c r="BO163" s="1477"/>
      <c r="BP163" s="1477"/>
      <c r="BQ163" s="1477"/>
      <c r="BR163" s="1477"/>
      <c r="BS163" s="1477"/>
      <c r="BT163" s="1477"/>
      <c r="BU163" s="1477"/>
      <c r="BV163" s="1477"/>
      <c r="BW163" s="1477"/>
      <c r="BX163" s="1477"/>
      <c r="BY163" s="1477"/>
      <c r="BZ163" s="1477"/>
      <c r="CA163" s="1477"/>
      <c r="CB163" s="1477"/>
      <c r="CC163" s="1477"/>
      <c r="CD163" s="1477"/>
      <c r="CE163" s="1477"/>
      <c r="CF163" s="1477"/>
      <c r="CG163" s="1477"/>
      <c r="CH163" s="1477"/>
    </row>
    <row r="164" spans="2:86">
      <c r="B164" s="1714"/>
      <c r="C164" s="673" t="str">
        <f>'14. Project Costs'!C167</f>
        <v>Developer's Fee Received</v>
      </c>
      <c r="D164" s="674">
        <f>PC_DEV_Dev_Fee_Received_Total</f>
        <v>0</v>
      </c>
      <c r="E164" s="184">
        <f>PC_DEV_Dev_Fee_Received_Total</f>
        <v>0</v>
      </c>
      <c r="F164" s="183">
        <f>+E164-SUM(G164:AJ164)</f>
        <v>0</v>
      </c>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1714"/>
      <c r="AL164" s="1477"/>
      <c r="AM164" s="1477"/>
      <c r="AN164" s="1477"/>
      <c r="AO164" s="284"/>
      <c r="AP164" s="1477"/>
      <c r="AQ164" s="1477"/>
      <c r="AR164" s="1477"/>
      <c r="AS164" s="1477"/>
      <c r="AT164" s="1477"/>
      <c r="AU164" s="1477"/>
      <c r="AV164" s="1477"/>
      <c r="AW164" s="1477"/>
      <c r="AX164" s="1477"/>
      <c r="AY164" s="1477"/>
      <c r="AZ164" s="1477"/>
      <c r="BA164" s="1477"/>
      <c r="BB164" s="1477"/>
      <c r="BC164" s="1477"/>
      <c r="BD164" s="1477"/>
      <c r="BE164" s="1477"/>
      <c r="BF164" s="1477"/>
      <c r="BG164" s="1477"/>
      <c r="BH164" s="1477"/>
      <c r="BI164" s="1477"/>
      <c r="BJ164" s="1477"/>
      <c r="BK164" s="1477"/>
      <c r="BL164" s="1477"/>
      <c r="BM164" s="1477"/>
      <c r="BN164" s="1477"/>
      <c r="BO164" s="1477"/>
      <c r="BP164" s="1477"/>
      <c r="BQ164" s="1477"/>
      <c r="BR164" s="1477"/>
      <c r="BS164" s="1477"/>
      <c r="BT164" s="1477"/>
      <c r="BU164" s="1477"/>
      <c r="BV164" s="1477"/>
      <c r="BW164" s="1477"/>
      <c r="BX164" s="1477"/>
      <c r="BY164" s="1477"/>
      <c r="BZ164" s="1477"/>
      <c r="CA164" s="1477"/>
      <c r="CB164" s="1477"/>
      <c r="CC164" s="1477"/>
      <c r="CD164" s="1477"/>
      <c r="CE164" s="1477"/>
      <c r="CF164" s="1477"/>
      <c r="CG164" s="1477"/>
      <c r="CH164" s="1477"/>
    </row>
    <row r="165" spans="2:86">
      <c r="B165" s="1714"/>
      <c r="C165" s="675" t="str">
        <f>'14. Project Costs'!C168</f>
        <v>Developer's Fee - Deferred</v>
      </c>
      <c r="D165" s="676">
        <f>PC_DEV_Dev_Fee_Received_Total</f>
        <v>0</v>
      </c>
      <c r="E165" s="184">
        <f>PC_DEV_Dev_Fee_Deferred_Total</f>
        <v>0</v>
      </c>
      <c r="F165" s="183">
        <f t="shared" ref="F165:F169" si="54">+E165-SUM(G165:AJ165)</f>
        <v>0</v>
      </c>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1714"/>
      <c r="AL165" s="1477"/>
      <c r="AM165" s="1477"/>
      <c r="AN165" s="1477"/>
      <c r="AO165" s="284"/>
      <c r="AP165" s="1477"/>
      <c r="AQ165" s="1477"/>
      <c r="AR165" s="1477"/>
      <c r="AS165" s="1477"/>
      <c r="AT165" s="1477"/>
      <c r="AU165" s="1477"/>
      <c r="AV165" s="1477"/>
      <c r="AW165" s="1477"/>
      <c r="AX165" s="1477"/>
      <c r="AY165" s="1477"/>
      <c r="AZ165" s="1477"/>
      <c r="BA165" s="1477"/>
      <c r="BB165" s="1477"/>
      <c r="BC165" s="1477"/>
      <c r="BD165" s="1477"/>
      <c r="BE165" s="1477"/>
      <c r="BF165" s="1477"/>
      <c r="BG165" s="1477"/>
      <c r="BH165" s="1477"/>
      <c r="BI165" s="1477"/>
      <c r="BJ165" s="1477"/>
      <c r="BK165" s="1477"/>
      <c r="BL165" s="1477"/>
      <c r="BM165" s="1477"/>
      <c r="BN165" s="1477"/>
      <c r="BO165" s="1477"/>
      <c r="BP165" s="1477"/>
      <c r="BQ165" s="1477"/>
      <c r="BR165" s="1477"/>
      <c r="BS165" s="1477"/>
      <c r="BT165" s="1477"/>
      <c r="BU165" s="1477"/>
      <c r="BV165" s="1477"/>
      <c r="BW165" s="1477"/>
      <c r="BX165" s="1477"/>
      <c r="BY165" s="1477"/>
      <c r="BZ165" s="1477"/>
      <c r="CA165" s="1477"/>
      <c r="CB165" s="1477"/>
      <c r="CC165" s="1477"/>
      <c r="CD165" s="1477"/>
      <c r="CE165" s="1477"/>
      <c r="CF165" s="1477"/>
      <c r="CG165" s="1477"/>
      <c r="CH165" s="1477"/>
    </row>
    <row r="166" spans="2:86">
      <c r="B166" s="1714"/>
      <c r="C166" s="673" t="str">
        <f>'14. Project Costs'!C169</f>
        <v>Developer Overhead</v>
      </c>
      <c r="D166" s="674">
        <f>PC_DEV_Dev_Fee_Received_Total</f>
        <v>0</v>
      </c>
      <c r="E166" s="184">
        <f>PC_DEV_Dev_Overhead_Total</f>
        <v>0</v>
      </c>
      <c r="F166" s="183">
        <f t="shared" si="54"/>
        <v>0</v>
      </c>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1714"/>
      <c r="AL166" s="1477"/>
      <c r="AM166" s="1477"/>
      <c r="AN166" s="1477"/>
      <c r="AO166" s="284"/>
      <c r="AP166" s="1477"/>
      <c r="AQ166" s="1477"/>
      <c r="AR166" s="1477"/>
      <c r="AS166" s="1477"/>
      <c r="AT166" s="1477"/>
      <c r="AU166" s="1477"/>
      <c r="AV166" s="1477"/>
      <c r="AW166" s="1477"/>
      <c r="AX166" s="1477"/>
      <c r="AY166" s="1477"/>
      <c r="AZ166" s="1477"/>
      <c r="BA166" s="1477"/>
      <c r="BB166" s="1477"/>
      <c r="BC166" s="1477"/>
      <c r="BD166" s="1477"/>
      <c r="BE166" s="1477"/>
      <c r="BF166" s="1477"/>
      <c r="BG166" s="1477"/>
      <c r="BH166" s="1477"/>
      <c r="BI166" s="1477"/>
      <c r="BJ166" s="1477"/>
      <c r="BK166" s="1477"/>
      <c r="BL166" s="1477"/>
      <c r="BM166" s="1477"/>
      <c r="BN166" s="1477"/>
      <c r="BO166" s="1477"/>
      <c r="BP166" s="1477"/>
      <c r="BQ166" s="1477"/>
      <c r="BR166" s="1477"/>
      <c r="BS166" s="1477"/>
      <c r="BT166" s="1477"/>
      <c r="BU166" s="1477"/>
      <c r="BV166" s="1477"/>
      <c r="BW166" s="1477"/>
      <c r="BX166" s="1477"/>
      <c r="BY166" s="1477"/>
      <c r="BZ166" s="1477"/>
      <c r="CA166" s="1477"/>
      <c r="CB166" s="1477"/>
      <c r="CC166" s="1477"/>
      <c r="CD166" s="1477"/>
      <c r="CE166" s="1477"/>
      <c r="CF166" s="1477"/>
      <c r="CG166" s="1477"/>
      <c r="CH166" s="1477"/>
    </row>
    <row r="167" spans="2:86">
      <c r="B167" s="1714"/>
      <c r="C167" s="673" t="str">
        <f>'14. Project Costs'!C170</f>
        <v>Consultants</v>
      </c>
      <c r="D167" s="674">
        <f>PC_DEV_Dev_Fee_Received_Total</f>
        <v>0</v>
      </c>
      <c r="E167" s="184">
        <f>PC_DEV_Consult_Agent_Total</f>
        <v>0</v>
      </c>
      <c r="F167" s="183">
        <f t="shared" si="54"/>
        <v>0</v>
      </c>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1714"/>
      <c r="AL167" s="1477"/>
      <c r="AM167" s="1477"/>
      <c r="AN167" s="1477"/>
      <c r="AO167" s="284"/>
      <c r="AP167" s="1477"/>
      <c r="AQ167" s="1477"/>
      <c r="AR167" s="1477"/>
      <c r="AS167" s="1477"/>
      <c r="AT167" s="1477"/>
      <c r="AU167" s="1477"/>
      <c r="AV167" s="1477"/>
      <c r="AW167" s="1477"/>
      <c r="AX167" s="1477"/>
      <c r="AY167" s="1477"/>
      <c r="AZ167" s="1477"/>
      <c r="BA167" s="1477"/>
      <c r="BB167" s="1477"/>
      <c r="BC167" s="1477"/>
      <c r="BD167" s="1477"/>
      <c r="BE167" s="1477"/>
      <c r="BF167" s="1477"/>
      <c r="BG167" s="1477"/>
      <c r="BH167" s="1477"/>
      <c r="BI167" s="1477"/>
      <c r="BJ167" s="1477"/>
      <c r="BK167" s="1477"/>
      <c r="BL167" s="1477"/>
      <c r="BM167" s="1477"/>
      <c r="BN167" s="1477"/>
      <c r="BO167" s="1477"/>
      <c r="BP167" s="1477"/>
      <c r="BQ167" s="1477"/>
      <c r="BR167" s="1477"/>
      <c r="BS167" s="1477"/>
      <c r="BT167" s="1477"/>
      <c r="BU167" s="1477"/>
      <c r="BV167" s="1477"/>
      <c r="BW167" s="1477"/>
      <c r="BX167" s="1477"/>
      <c r="BY167" s="1477"/>
      <c r="BZ167" s="1477"/>
      <c r="CA167" s="1477"/>
      <c r="CB167" s="1477"/>
      <c r="CC167" s="1477"/>
      <c r="CD167" s="1477"/>
      <c r="CE167" s="1477"/>
      <c r="CF167" s="1477"/>
      <c r="CG167" s="1477"/>
      <c r="CH167" s="1477"/>
    </row>
    <row r="168" spans="2:86" hidden="1">
      <c r="B168" s="1714"/>
      <c r="C168" s="678"/>
      <c r="D168" s="674">
        <f>PC_DEV_Dev_Fee_Received_Total</f>
        <v>0</v>
      </c>
      <c r="E168" s="184"/>
      <c r="F168" s="183">
        <f t="shared" si="54"/>
        <v>0</v>
      </c>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1714"/>
      <c r="AL168" s="1477"/>
      <c r="AM168" s="1477"/>
      <c r="AN168" s="1477"/>
      <c r="AO168" s="284"/>
      <c r="AP168" s="1477"/>
      <c r="AQ168" s="1477"/>
      <c r="AR168" s="1477"/>
      <c r="AS168" s="1477"/>
      <c r="AT168" s="1477"/>
      <c r="AU168" s="1477"/>
      <c r="AV168" s="1477"/>
      <c r="AW168" s="1477"/>
      <c r="AX168" s="1477"/>
      <c r="AY168" s="1477"/>
      <c r="AZ168" s="1477"/>
      <c r="BA168" s="1477"/>
      <c r="BB168" s="1477"/>
      <c r="BC168" s="1477"/>
      <c r="BD168" s="1477"/>
      <c r="BE168" s="1477"/>
      <c r="BF168" s="1477"/>
      <c r="BG168" s="1477"/>
      <c r="BH168" s="1477"/>
      <c r="BI168" s="1477"/>
      <c r="BJ168" s="1477"/>
      <c r="BK168" s="1477"/>
      <c r="BL168" s="1477"/>
      <c r="BM168" s="1477"/>
      <c r="BN168" s="1477"/>
      <c r="BO168" s="1477"/>
      <c r="BP168" s="1477"/>
      <c r="BQ168" s="1477"/>
      <c r="BR168" s="1477"/>
      <c r="BS168" s="1477"/>
      <c r="BT168" s="1477"/>
      <c r="BU168" s="1477"/>
      <c r="BV168" s="1477"/>
      <c r="BW168" s="1477"/>
      <c r="BX168" s="1477"/>
      <c r="BY168" s="1477"/>
      <c r="BZ168" s="1477"/>
      <c r="CA168" s="1477"/>
      <c r="CB168" s="1477"/>
      <c r="CC168" s="1477"/>
      <c r="CD168" s="1477"/>
      <c r="CE168" s="1477"/>
      <c r="CF168" s="1477"/>
      <c r="CG168" s="1477"/>
      <c r="CH168" s="1477"/>
    </row>
    <row r="169" spans="2:86">
      <c r="B169" s="1714"/>
      <c r="C169" s="675" t="str">
        <f>'14. Project Costs'!C171</f>
        <v>Other Developer's Fees</v>
      </c>
      <c r="D169" s="676">
        <f>PC_DEV_Dev_Fee_Received_Total</f>
        <v>0</v>
      </c>
      <c r="E169" s="184">
        <f>PC_DEV_Other_Dev_Fees_Total</f>
        <v>0</v>
      </c>
      <c r="F169" s="183">
        <f t="shared" si="54"/>
        <v>0</v>
      </c>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1714"/>
      <c r="AL169" s="1477"/>
      <c r="AM169" s="1477"/>
      <c r="AN169" s="1477"/>
      <c r="AO169" s="284"/>
      <c r="AP169" s="1477"/>
      <c r="AQ169" s="1477"/>
      <c r="AR169" s="1477"/>
      <c r="AS169" s="1477"/>
      <c r="AT169" s="1477"/>
      <c r="AU169" s="1477"/>
      <c r="AV169" s="1477"/>
      <c r="AW169" s="1477"/>
      <c r="AX169" s="1477"/>
      <c r="AY169" s="1477"/>
      <c r="AZ169" s="1477"/>
      <c r="BA169" s="1477"/>
      <c r="BB169" s="1477"/>
      <c r="BC169" s="1477"/>
      <c r="BD169" s="1477"/>
      <c r="BE169" s="1477"/>
      <c r="BF169" s="1477"/>
      <c r="BG169" s="1477"/>
      <c r="BH169" s="1477"/>
      <c r="BI169" s="1477"/>
      <c r="BJ169" s="1477"/>
      <c r="BK169" s="1477"/>
      <c r="BL169" s="1477"/>
      <c r="BM169" s="1477"/>
      <c r="BN169" s="1477"/>
      <c r="BO169" s="1477"/>
      <c r="BP169" s="1477"/>
      <c r="BQ169" s="1477"/>
      <c r="BR169" s="1477"/>
      <c r="BS169" s="1477"/>
      <c r="BT169" s="1477"/>
      <c r="BU169" s="1477"/>
      <c r="BV169" s="1477"/>
      <c r="BW169" s="1477"/>
      <c r="BX169" s="1477"/>
      <c r="BY169" s="1477"/>
      <c r="BZ169" s="1477"/>
      <c r="CA169" s="1477"/>
      <c r="CB169" s="1477"/>
      <c r="CC169" s="1477"/>
      <c r="CD169" s="1477"/>
      <c r="CE169" s="1477"/>
      <c r="CF169" s="1477"/>
      <c r="CG169" s="1477"/>
      <c r="CH169" s="1477"/>
    </row>
    <row r="170" spans="2:86">
      <c r="B170" s="1714"/>
      <c r="C170" s="126" t="s">
        <v>3311</v>
      </c>
      <c r="D170" s="126"/>
      <c r="E170" s="185">
        <f t="shared" ref="E170:AJ170" si="55">SUM(E164:E169)</f>
        <v>0</v>
      </c>
      <c r="F170" s="186">
        <f t="shared" si="55"/>
        <v>0</v>
      </c>
      <c r="G170" s="186">
        <f t="shared" si="55"/>
        <v>0</v>
      </c>
      <c r="H170" s="186">
        <f t="shared" si="55"/>
        <v>0</v>
      </c>
      <c r="I170" s="186">
        <f t="shared" si="55"/>
        <v>0</v>
      </c>
      <c r="J170" s="186">
        <f t="shared" si="55"/>
        <v>0</v>
      </c>
      <c r="K170" s="186">
        <f t="shared" si="55"/>
        <v>0</v>
      </c>
      <c r="L170" s="186">
        <f t="shared" si="55"/>
        <v>0</v>
      </c>
      <c r="M170" s="186">
        <f t="shared" si="55"/>
        <v>0</v>
      </c>
      <c r="N170" s="186">
        <f t="shared" si="55"/>
        <v>0</v>
      </c>
      <c r="O170" s="186">
        <f t="shared" si="55"/>
        <v>0</v>
      </c>
      <c r="P170" s="186">
        <f t="shared" si="55"/>
        <v>0</v>
      </c>
      <c r="Q170" s="186">
        <f t="shared" si="55"/>
        <v>0</v>
      </c>
      <c r="R170" s="186">
        <f t="shared" si="55"/>
        <v>0</v>
      </c>
      <c r="S170" s="186">
        <f t="shared" si="55"/>
        <v>0</v>
      </c>
      <c r="T170" s="186">
        <f t="shared" si="55"/>
        <v>0</v>
      </c>
      <c r="U170" s="186">
        <f t="shared" si="55"/>
        <v>0</v>
      </c>
      <c r="V170" s="186">
        <f t="shared" si="55"/>
        <v>0</v>
      </c>
      <c r="W170" s="186">
        <f t="shared" si="55"/>
        <v>0</v>
      </c>
      <c r="X170" s="186">
        <f t="shared" si="55"/>
        <v>0</v>
      </c>
      <c r="Y170" s="186">
        <f t="shared" si="55"/>
        <v>0</v>
      </c>
      <c r="Z170" s="186">
        <f t="shared" si="55"/>
        <v>0</v>
      </c>
      <c r="AA170" s="186">
        <f t="shared" si="55"/>
        <v>0</v>
      </c>
      <c r="AB170" s="186">
        <f t="shared" si="55"/>
        <v>0</v>
      </c>
      <c r="AC170" s="186">
        <f t="shared" si="55"/>
        <v>0</v>
      </c>
      <c r="AD170" s="186">
        <f t="shared" si="55"/>
        <v>0</v>
      </c>
      <c r="AE170" s="186">
        <f t="shared" si="55"/>
        <v>0</v>
      </c>
      <c r="AF170" s="186">
        <f t="shared" si="55"/>
        <v>0</v>
      </c>
      <c r="AG170" s="186">
        <f t="shared" si="55"/>
        <v>0</v>
      </c>
      <c r="AH170" s="186">
        <f t="shared" si="55"/>
        <v>0</v>
      </c>
      <c r="AI170" s="186">
        <f t="shared" si="55"/>
        <v>0</v>
      </c>
      <c r="AJ170" s="186">
        <f t="shared" si="55"/>
        <v>0</v>
      </c>
      <c r="AK170" s="1714"/>
      <c r="AL170" s="1477"/>
      <c r="AM170" s="1477"/>
      <c r="AN170" s="1477"/>
      <c r="AO170" s="284"/>
      <c r="AP170" s="1477"/>
      <c r="AQ170" s="1477"/>
      <c r="AR170" s="1477"/>
      <c r="AS170" s="1477"/>
      <c r="AT170" s="1477"/>
      <c r="AU170" s="1477"/>
      <c r="AV170" s="1477"/>
      <c r="AW170" s="1477"/>
      <c r="AX170" s="1477"/>
      <c r="AY170" s="1477"/>
      <c r="AZ170" s="1477"/>
      <c r="BA170" s="1477"/>
      <c r="BB170" s="1477"/>
      <c r="BC170" s="1477"/>
      <c r="BD170" s="1477"/>
      <c r="BE170" s="1477"/>
      <c r="BF170" s="1477"/>
      <c r="BG170" s="1477"/>
      <c r="BH170" s="1477"/>
      <c r="BI170" s="1477"/>
      <c r="BJ170" s="1477"/>
      <c r="BK170" s="1477"/>
      <c r="BL170" s="1477"/>
      <c r="BM170" s="1477"/>
      <c r="BN170" s="1477"/>
      <c r="BO170" s="1477"/>
      <c r="BP170" s="1477"/>
      <c r="BQ170" s="1477"/>
      <c r="BR170" s="1477"/>
      <c r="BS170" s="1477"/>
      <c r="BT170" s="1477"/>
      <c r="BU170" s="1477"/>
      <c r="BV170" s="1477"/>
      <c r="BW170" s="1477"/>
      <c r="BX170" s="1477"/>
      <c r="BY170" s="1477"/>
      <c r="BZ170" s="1477"/>
      <c r="CA170" s="1477"/>
      <c r="CB170" s="1477"/>
      <c r="CC170" s="1477"/>
      <c r="CD170" s="1477"/>
      <c r="CE170" s="1477"/>
      <c r="CF170" s="1477"/>
      <c r="CG170" s="1477"/>
      <c r="CH170" s="1477"/>
    </row>
    <row r="171" spans="2:86" ht="18.75">
      <c r="B171" s="1714"/>
      <c r="C171" s="684" t="s">
        <v>3312</v>
      </c>
      <c r="D171" s="684"/>
      <c r="E171" s="187">
        <f>+E170+E162</f>
        <v>0</v>
      </c>
      <c r="F171" s="187">
        <f>+F170+F162</f>
        <v>0</v>
      </c>
      <c r="G171" s="187">
        <f t="shared" ref="G171:AJ171" si="56">+G170+G162</f>
        <v>0</v>
      </c>
      <c r="H171" s="187">
        <f t="shared" si="56"/>
        <v>0</v>
      </c>
      <c r="I171" s="187">
        <f t="shared" si="56"/>
        <v>0</v>
      </c>
      <c r="J171" s="187">
        <f t="shared" si="56"/>
        <v>0</v>
      </c>
      <c r="K171" s="187">
        <f t="shared" si="56"/>
        <v>0</v>
      </c>
      <c r="L171" s="187">
        <f t="shared" si="56"/>
        <v>0</v>
      </c>
      <c r="M171" s="187">
        <f t="shared" si="56"/>
        <v>0</v>
      </c>
      <c r="N171" s="187">
        <f t="shared" si="56"/>
        <v>0</v>
      </c>
      <c r="O171" s="187">
        <f t="shared" si="56"/>
        <v>0</v>
      </c>
      <c r="P171" s="187">
        <f t="shared" si="56"/>
        <v>0</v>
      </c>
      <c r="Q171" s="187">
        <f t="shared" si="56"/>
        <v>0</v>
      </c>
      <c r="R171" s="187">
        <f t="shared" si="56"/>
        <v>0</v>
      </c>
      <c r="S171" s="187">
        <f t="shared" si="56"/>
        <v>0</v>
      </c>
      <c r="T171" s="187">
        <f t="shared" si="56"/>
        <v>0</v>
      </c>
      <c r="U171" s="187">
        <f t="shared" si="56"/>
        <v>0</v>
      </c>
      <c r="V171" s="187">
        <f t="shared" si="56"/>
        <v>0</v>
      </c>
      <c r="W171" s="187">
        <f t="shared" si="56"/>
        <v>0</v>
      </c>
      <c r="X171" s="187">
        <f t="shared" si="56"/>
        <v>0</v>
      </c>
      <c r="Y171" s="187">
        <f t="shared" si="56"/>
        <v>0</v>
      </c>
      <c r="Z171" s="187">
        <f t="shared" si="56"/>
        <v>0</v>
      </c>
      <c r="AA171" s="187">
        <f t="shared" si="56"/>
        <v>0</v>
      </c>
      <c r="AB171" s="187">
        <f t="shared" si="56"/>
        <v>0</v>
      </c>
      <c r="AC171" s="187">
        <f t="shared" si="56"/>
        <v>0</v>
      </c>
      <c r="AD171" s="187">
        <f t="shared" si="56"/>
        <v>0</v>
      </c>
      <c r="AE171" s="187">
        <f t="shared" si="56"/>
        <v>0</v>
      </c>
      <c r="AF171" s="187">
        <f t="shared" si="56"/>
        <v>0</v>
      </c>
      <c r="AG171" s="187">
        <f t="shared" si="56"/>
        <v>0</v>
      </c>
      <c r="AH171" s="187">
        <f t="shared" si="56"/>
        <v>0</v>
      </c>
      <c r="AI171" s="187">
        <f t="shared" si="56"/>
        <v>0</v>
      </c>
      <c r="AJ171" s="187">
        <f t="shared" si="56"/>
        <v>0</v>
      </c>
      <c r="AK171" s="1714"/>
      <c r="AL171" s="1477"/>
      <c r="AM171" s="1477"/>
      <c r="AN171" s="1477"/>
      <c r="AO171" s="284"/>
      <c r="AP171" s="1477"/>
      <c r="AQ171" s="1477"/>
      <c r="AR171" s="1477"/>
      <c r="AS171" s="1477"/>
      <c r="AT171" s="1477"/>
      <c r="AU171" s="1477"/>
      <c r="AV171" s="1477"/>
      <c r="AW171" s="1477"/>
      <c r="AX171" s="1477"/>
      <c r="AY171" s="1477"/>
      <c r="AZ171" s="1477"/>
      <c r="BA171" s="1477"/>
      <c r="BB171" s="1477"/>
      <c r="BC171" s="1477"/>
      <c r="BD171" s="1477"/>
      <c r="BE171" s="1477"/>
      <c r="BF171" s="1477"/>
      <c r="BG171" s="1477"/>
      <c r="BH171" s="1477"/>
      <c r="BI171" s="1477"/>
      <c r="BJ171" s="1477"/>
      <c r="BK171" s="1477"/>
      <c r="BL171" s="1477"/>
      <c r="BM171" s="1477"/>
      <c r="BN171" s="1477"/>
      <c r="BO171" s="1477"/>
      <c r="BP171" s="1477"/>
      <c r="BQ171" s="1477"/>
      <c r="BR171" s="1477"/>
      <c r="BS171" s="1477"/>
      <c r="BT171" s="1477"/>
      <c r="BU171" s="1477"/>
      <c r="BV171" s="1477"/>
      <c r="BW171" s="1477"/>
      <c r="BX171" s="1477"/>
      <c r="BY171" s="1477"/>
      <c r="BZ171" s="1477"/>
      <c r="CA171" s="1477"/>
      <c r="CB171" s="1477"/>
      <c r="CC171" s="1477"/>
      <c r="CD171" s="1477"/>
      <c r="CE171" s="1477"/>
      <c r="CF171" s="1477"/>
      <c r="CG171" s="1477"/>
      <c r="CH171" s="1477"/>
    </row>
    <row r="172" spans="2:86">
      <c r="B172" s="1714"/>
      <c r="C172" s="1185"/>
      <c r="D172" s="1185"/>
      <c r="E172" s="1186"/>
      <c r="F172" s="1581"/>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D172" s="1581"/>
      <c r="AE172" s="1581"/>
      <c r="AF172" s="1581"/>
      <c r="AG172" s="1581"/>
      <c r="AH172" s="1581"/>
      <c r="AI172" s="1581"/>
      <c r="AJ172" s="1581"/>
      <c r="AK172" s="1714"/>
      <c r="AL172" s="1477"/>
      <c r="AM172" s="1477"/>
      <c r="AN172" s="1477"/>
      <c r="AO172" s="284"/>
      <c r="AP172" s="1477"/>
      <c r="AQ172" s="1477"/>
      <c r="AR172" s="1477"/>
      <c r="AS172" s="1477"/>
      <c r="AT172" s="1477"/>
      <c r="AU172" s="1477"/>
      <c r="AV172" s="1477"/>
      <c r="AW172" s="1477"/>
      <c r="AX172" s="1477"/>
      <c r="AY172" s="1477"/>
      <c r="AZ172" s="1477"/>
      <c r="BA172" s="1477"/>
      <c r="BB172" s="1477"/>
      <c r="BC172" s="1477"/>
      <c r="BD172" s="1477"/>
      <c r="BE172" s="1477"/>
      <c r="BF172" s="1477"/>
      <c r="BG172" s="1477"/>
      <c r="BH172" s="1477"/>
      <c r="BI172" s="1477"/>
      <c r="BJ172" s="1477"/>
      <c r="BK172" s="1477"/>
      <c r="BL172" s="1477"/>
      <c r="BM172" s="1477"/>
      <c r="BN172" s="1477"/>
      <c r="BO172" s="1477"/>
      <c r="BP172" s="1477"/>
      <c r="BQ172" s="1477"/>
      <c r="BR172" s="1477"/>
      <c r="BS172" s="1477"/>
      <c r="BT172" s="1477"/>
      <c r="BU172" s="1477"/>
      <c r="BV172" s="1477"/>
      <c r="BW172" s="1477"/>
      <c r="BX172" s="1477"/>
      <c r="BY172" s="1477"/>
      <c r="BZ172" s="1477"/>
      <c r="CA172" s="1477"/>
      <c r="CB172" s="1477"/>
      <c r="CC172" s="1477"/>
      <c r="CD172" s="1477"/>
      <c r="CE172" s="1477"/>
      <c r="CF172" s="1477"/>
      <c r="CG172" s="1477"/>
      <c r="CH172" s="1477"/>
    </row>
    <row r="173" spans="2:86">
      <c r="B173" s="1714"/>
      <c r="C173" s="1185"/>
      <c r="D173" s="140" t="s">
        <v>4918</v>
      </c>
      <c r="E173" s="207"/>
      <c r="F173" s="208"/>
      <c r="G173" s="208">
        <f>+F173+G171</f>
        <v>0</v>
      </c>
      <c r="H173" s="208">
        <f t="shared" ref="H173:AJ173" si="57">+G173+H171</f>
        <v>0</v>
      </c>
      <c r="I173" s="208">
        <f t="shared" si="57"/>
        <v>0</v>
      </c>
      <c r="J173" s="208">
        <f t="shared" si="57"/>
        <v>0</v>
      </c>
      <c r="K173" s="208">
        <f t="shared" si="57"/>
        <v>0</v>
      </c>
      <c r="L173" s="208">
        <f t="shared" si="57"/>
        <v>0</v>
      </c>
      <c r="M173" s="208">
        <f t="shared" si="57"/>
        <v>0</v>
      </c>
      <c r="N173" s="208">
        <f t="shared" si="57"/>
        <v>0</v>
      </c>
      <c r="O173" s="208">
        <f t="shared" si="57"/>
        <v>0</v>
      </c>
      <c r="P173" s="208">
        <f t="shared" si="57"/>
        <v>0</v>
      </c>
      <c r="Q173" s="208">
        <f t="shared" si="57"/>
        <v>0</v>
      </c>
      <c r="R173" s="208">
        <f t="shared" si="57"/>
        <v>0</v>
      </c>
      <c r="S173" s="208">
        <f t="shared" si="57"/>
        <v>0</v>
      </c>
      <c r="T173" s="208">
        <f t="shared" si="57"/>
        <v>0</v>
      </c>
      <c r="U173" s="208">
        <f t="shared" si="57"/>
        <v>0</v>
      </c>
      <c r="V173" s="208">
        <f t="shared" si="57"/>
        <v>0</v>
      </c>
      <c r="W173" s="208">
        <f t="shared" si="57"/>
        <v>0</v>
      </c>
      <c r="X173" s="208">
        <f t="shared" si="57"/>
        <v>0</v>
      </c>
      <c r="Y173" s="208">
        <f t="shared" si="57"/>
        <v>0</v>
      </c>
      <c r="Z173" s="208">
        <f t="shared" si="57"/>
        <v>0</v>
      </c>
      <c r="AA173" s="208">
        <f t="shared" si="57"/>
        <v>0</v>
      </c>
      <c r="AB173" s="208">
        <f t="shared" si="57"/>
        <v>0</v>
      </c>
      <c r="AC173" s="208">
        <f t="shared" si="57"/>
        <v>0</v>
      </c>
      <c r="AD173" s="208">
        <f t="shared" si="57"/>
        <v>0</v>
      </c>
      <c r="AE173" s="208">
        <f t="shared" si="57"/>
        <v>0</v>
      </c>
      <c r="AF173" s="208">
        <f t="shared" si="57"/>
        <v>0</v>
      </c>
      <c r="AG173" s="208">
        <f t="shared" si="57"/>
        <v>0</v>
      </c>
      <c r="AH173" s="208">
        <f t="shared" si="57"/>
        <v>0</v>
      </c>
      <c r="AI173" s="208">
        <f t="shared" si="57"/>
        <v>0</v>
      </c>
      <c r="AJ173" s="208">
        <f t="shared" si="57"/>
        <v>0</v>
      </c>
      <c r="AK173" s="1714"/>
      <c r="AL173" s="1477"/>
      <c r="AM173" s="1477"/>
      <c r="AN173" s="1477"/>
      <c r="AO173" s="284"/>
      <c r="AP173" s="1477"/>
      <c r="AQ173" s="1477"/>
      <c r="AR173" s="1477"/>
      <c r="AS173" s="1477"/>
      <c r="AT173" s="1477"/>
      <c r="AU173" s="1477"/>
      <c r="AV173" s="1477"/>
      <c r="AW173" s="1477"/>
      <c r="AX173" s="1477"/>
      <c r="AY173" s="1477"/>
      <c r="AZ173" s="1477"/>
      <c r="BA173" s="1477"/>
      <c r="BB173" s="1477"/>
      <c r="BC173" s="1477"/>
      <c r="BD173" s="1477"/>
      <c r="BE173" s="1477"/>
      <c r="BF173" s="1477"/>
      <c r="BG173" s="1477"/>
      <c r="BH173" s="1477"/>
      <c r="BI173" s="1477"/>
      <c r="BJ173" s="1477"/>
      <c r="BK173" s="1477"/>
      <c r="BL173" s="1477"/>
      <c r="BM173" s="1477"/>
      <c r="BN173" s="1477"/>
      <c r="BO173" s="1477"/>
      <c r="BP173" s="1477"/>
      <c r="BQ173" s="1477"/>
      <c r="BR173" s="1477"/>
      <c r="BS173" s="1477"/>
      <c r="BT173" s="1477"/>
      <c r="BU173" s="1477"/>
      <c r="BV173" s="1477"/>
      <c r="BW173" s="1477"/>
      <c r="BX173" s="1477"/>
      <c r="BY173" s="1477"/>
      <c r="BZ173" s="1477"/>
      <c r="CA173" s="1477"/>
      <c r="CB173" s="1477"/>
      <c r="CC173" s="1477"/>
      <c r="CD173" s="1477"/>
      <c r="CE173" s="1477"/>
      <c r="CF173" s="1477"/>
      <c r="CG173" s="1477"/>
      <c r="CH173" s="1477"/>
    </row>
    <row r="174" spans="2:86">
      <c r="B174" s="1714"/>
      <c r="C174" s="1714"/>
      <c r="D174" s="1714"/>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D174" s="1582"/>
      <c r="AE174" s="1582"/>
      <c r="AF174" s="1582"/>
      <c r="AG174" s="1582"/>
      <c r="AH174" s="1582"/>
      <c r="AI174" s="1582"/>
      <c r="AJ174" s="1582"/>
      <c r="AK174" s="1714"/>
      <c r="AL174" s="1477"/>
      <c r="AM174" s="1477"/>
      <c r="AN174" s="1477"/>
      <c r="AO174" s="83"/>
      <c r="AP174" s="83"/>
      <c r="AQ174" s="1477"/>
      <c r="AR174" s="1477"/>
      <c r="AS174" s="1477"/>
      <c r="AT174" s="1477"/>
      <c r="AU174" s="1477"/>
      <c r="AV174" s="1477"/>
      <c r="AW174" s="1477"/>
      <c r="AX174" s="1477"/>
      <c r="AY174" s="1477"/>
      <c r="AZ174" s="1477"/>
      <c r="BA174" s="1477"/>
      <c r="BB174" s="1477"/>
      <c r="BC174" s="1477"/>
      <c r="BD174" s="1477"/>
      <c r="BE174" s="1477"/>
      <c r="BF174" s="1477"/>
      <c r="BG174" s="1477"/>
      <c r="BH174" s="1477"/>
      <c r="BI174" s="1477"/>
      <c r="BJ174" s="1477"/>
      <c r="BK174" s="1477"/>
      <c r="BL174" s="1477"/>
      <c r="BM174" s="1477"/>
      <c r="BN174" s="1477"/>
      <c r="BO174" s="1477"/>
      <c r="BP174" s="1477"/>
      <c r="BQ174" s="1477"/>
      <c r="BR174" s="1477"/>
      <c r="BS174" s="1477"/>
      <c r="BT174" s="1477"/>
      <c r="BU174" s="1477"/>
      <c r="BV174" s="1477"/>
      <c r="BW174" s="1477"/>
      <c r="BX174" s="1477"/>
      <c r="BY174" s="1477"/>
      <c r="BZ174" s="1477"/>
      <c r="CA174" s="1477"/>
      <c r="CB174" s="1477"/>
      <c r="CC174" s="1477"/>
      <c r="CD174" s="1477"/>
      <c r="CE174" s="1477"/>
      <c r="CF174" s="1477"/>
      <c r="CG174" s="1477"/>
      <c r="CH174" s="1477"/>
    </row>
    <row r="175" spans="2:86" ht="18.75">
      <c r="B175" s="1714"/>
      <c r="C175" s="1187" t="s">
        <v>4919</v>
      </c>
      <c r="D175" s="1187"/>
      <c r="E175" s="1582"/>
      <c r="F175" s="1582"/>
      <c r="G175" s="1582"/>
      <c r="H175" s="1582"/>
      <c r="I175" s="1582"/>
      <c r="J175" s="1582"/>
      <c r="K175" s="1582"/>
      <c r="L175" s="1582"/>
      <c r="M175" s="1582"/>
      <c r="N175" s="1582"/>
      <c r="O175" s="1582"/>
      <c r="P175" s="1582"/>
      <c r="Q175" s="1582"/>
      <c r="R175" s="1582"/>
      <c r="S175" s="1582"/>
      <c r="T175" s="1582"/>
      <c r="U175" s="1582"/>
      <c r="V175" s="1582"/>
      <c r="W175" s="1582"/>
      <c r="X175" s="1582"/>
      <c r="Y175" s="1582"/>
      <c r="Z175" s="1582"/>
      <c r="AA175" s="1582"/>
      <c r="AB175" s="1582"/>
      <c r="AC175" s="1582"/>
      <c r="AD175" s="1582"/>
      <c r="AE175" s="1582"/>
      <c r="AF175" s="1582"/>
      <c r="AG175" s="1582"/>
      <c r="AH175" s="1582"/>
      <c r="AI175" s="1582"/>
      <c r="AJ175" s="1582"/>
      <c r="AK175" s="1714"/>
      <c r="AL175" s="1477"/>
      <c r="AM175" s="1477"/>
      <c r="AN175" s="1477"/>
      <c r="AO175" s="83"/>
      <c r="AP175" s="83"/>
      <c r="AQ175" s="1477"/>
      <c r="AR175" s="1477"/>
      <c r="AS175" s="1477"/>
      <c r="AT175" s="1477"/>
      <c r="AU175" s="1477"/>
      <c r="AV175" s="1477"/>
      <c r="AW175" s="1477"/>
      <c r="AX175" s="1477"/>
      <c r="AY175" s="1477"/>
      <c r="AZ175" s="1477"/>
      <c r="BA175" s="1477"/>
      <c r="BB175" s="1477"/>
      <c r="BC175" s="1477"/>
      <c r="BD175" s="1477"/>
      <c r="BE175" s="1477"/>
      <c r="BF175" s="1477"/>
      <c r="BG175" s="1477"/>
      <c r="BH175" s="1477"/>
      <c r="BI175" s="1477"/>
      <c r="BJ175" s="1477"/>
      <c r="BK175" s="1477"/>
      <c r="BL175" s="1477"/>
      <c r="BM175" s="1477"/>
      <c r="BN175" s="1477"/>
      <c r="BO175" s="1477"/>
      <c r="BP175" s="1477"/>
      <c r="BQ175" s="1477"/>
      <c r="BR175" s="1477"/>
      <c r="BS175" s="1477"/>
      <c r="BT175" s="1477"/>
      <c r="BU175" s="1477"/>
      <c r="BV175" s="1477"/>
      <c r="BW175" s="1477"/>
      <c r="BX175" s="1477"/>
      <c r="BY175" s="1477"/>
      <c r="BZ175" s="1477"/>
      <c r="CA175" s="1477"/>
      <c r="CB175" s="1477"/>
      <c r="CC175" s="1477"/>
      <c r="CD175" s="1477"/>
      <c r="CE175" s="1477"/>
      <c r="CF175" s="1477"/>
      <c r="CG175" s="1477"/>
      <c r="CH175" s="1477"/>
    </row>
    <row r="176" spans="2:86">
      <c r="B176" s="1714"/>
      <c r="C176" s="143" t="s">
        <v>4920</v>
      </c>
      <c r="D176" s="143"/>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714"/>
      <c r="AL176" s="1477"/>
      <c r="AM176" s="1477"/>
      <c r="AN176" s="1477"/>
      <c r="AO176" s="83"/>
      <c r="AP176" s="83"/>
      <c r="AQ176" s="1477"/>
      <c r="AR176" s="1477"/>
      <c r="AS176" s="1477"/>
      <c r="AT176" s="1477"/>
      <c r="AU176" s="1477"/>
      <c r="AV176" s="1477"/>
      <c r="AW176" s="1477"/>
      <c r="AX176" s="1477"/>
      <c r="AY176" s="1477"/>
      <c r="AZ176" s="1477"/>
      <c r="BA176" s="1477"/>
      <c r="BB176" s="1477"/>
      <c r="BC176" s="1477"/>
      <c r="BD176" s="1477"/>
      <c r="BE176" s="1477"/>
      <c r="BF176" s="1477"/>
      <c r="BG176" s="1477"/>
      <c r="BH176" s="1477"/>
      <c r="BI176" s="1477"/>
      <c r="BJ176" s="1477"/>
      <c r="BK176" s="1477"/>
      <c r="BL176" s="1477"/>
      <c r="BM176" s="1477"/>
      <c r="BN176" s="1477"/>
      <c r="BO176" s="1477"/>
      <c r="BP176" s="1477"/>
      <c r="BQ176" s="1477"/>
      <c r="BR176" s="1477"/>
      <c r="BS176" s="1477"/>
      <c r="BT176" s="1477"/>
      <c r="BU176" s="1477"/>
      <c r="BV176" s="1477"/>
      <c r="BW176" s="1477"/>
      <c r="BX176" s="1477"/>
      <c r="BY176" s="1477"/>
      <c r="BZ176" s="1477"/>
      <c r="CA176" s="1477"/>
      <c r="CB176" s="1477"/>
      <c r="CC176" s="1477"/>
      <c r="CD176" s="1477"/>
      <c r="CE176" s="1477"/>
      <c r="CF176" s="1477"/>
      <c r="CG176" s="1477"/>
      <c r="CH176" s="1477"/>
    </row>
    <row r="177" spans="2:86" ht="30">
      <c r="B177" s="1714"/>
      <c r="C177" s="145" t="s">
        <v>4162</v>
      </c>
      <c r="D177" s="122" t="s">
        <v>4121</v>
      </c>
      <c r="E177" s="146" t="s">
        <v>4921</v>
      </c>
      <c r="F177" s="146" t="s">
        <v>4914</v>
      </c>
      <c r="G177" s="146" t="str">
        <f t="shared" ref="G177:AJ177" si="58">G9</f>
        <v>Draw #1</v>
      </c>
      <c r="H177" s="146" t="str">
        <f t="shared" si="58"/>
        <v>Draw #2</v>
      </c>
      <c r="I177" s="146" t="str">
        <f t="shared" si="58"/>
        <v>Draw #3</v>
      </c>
      <c r="J177" s="146" t="str">
        <f t="shared" si="58"/>
        <v>Draw #4</v>
      </c>
      <c r="K177" s="146" t="str">
        <f t="shared" si="58"/>
        <v>Draw #5</v>
      </c>
      <c r="L177" s="146" t="str">
        <f t="shared" si="58"/>
        <v>Draw #6</v>
      </c>
      <c r="M177" s="146" t="str">
        <f t="shared" si="58"/>
        <v>Draw #7</v>
      </c>
      <c r="N177" s="146" t="str">
        <f t="shared" si="58"/>
        <v>Draw #8</v>
      </c>
      <c r="O177" s="146" t="str">
        <f t="shared" si="58"/>
        <v>Draw #9</v>
      </c>
      <c r="P177" s="146" t="str">
        <f t="shared" si="58"/>
        <v>Draw #10</v>
      </c>
      <c r="Q177" s="146" t="str">
        <f t="shared" si="58"/>
        <v>Draw #11</v>
      </c>
      <c r="R177" s="146" t="str">
        <f t="shared" si="58"/>
        <v>Draw #12</v>
      </c>
      <c r="S177" s="146" t="str">
        <f t="shared" si="58"/>
        <v>Draw #13</v>
      </c>
      <c r="T177" s="146" t="str">
        <f t="shared" si="58"/>
        <v>Draw #14</v>
      </c>
      <c r="U177" s="146" t="str">
        <f t="shared" si="58"/>
        <v>Draw #15</v>
      </c>
      <c r="V177" s="146" t="str">
        <f t="shared" si="58"/>
        <v>Draw #16</v>
      </c>
      <c r="W177" s="146" t="str">
        <f t="shared" si="58"/>
        <v>Draw #17</v>
      </c>
      <c r="X177" s="146" t="str">
        <f t="shared" si="58"/>
        <v>Draw #18</v>
      </c>
      <c r="Y177" s="147" t="str">
        <f t="shared" si="58"/>
        <v>Draw $19</v>
      </c>
      <c r="Z177" s="147" t="str">
        <f t="shared" si="58"/>
        <v>Draw #20</v>
      </c>
      <c r="AA177" s="147" t="str">
        <f t="shared" si="58"/>
        <v>Draw #21</v>
      </c>
      <c r="AB177" s="147" t="str">
        <f t="shared" si="58"/>
        <v>Draw #22</v>
      </c>
      <c r="AC177" s="147" t="str">
        <f t="shared" si="58"/>
        <v>Draw #23</v>
      </c>
      <c r="AD177" s="147" t="str">
        <f t="shared" si="58"/>
        <v>Draw #24</v>
      </c>
      <c r="AE177" s="147" t="str">
        <f t="shared" si="58"/>
        <v>Draw #25</v>
      </c>
      <c r="AF177" s="147" t="str">
        <f t="shared" si="58"/>
        <v>Draw #26</v>
      </c>
      <c r="AG177" s="147" t="str">
        <f t="shared" si="58"/>
        <v>Draw #26</v>
      </c>
      <c r="AH177" s="147" t="str">
        <f t="shared" si="58"/>
        <v>Draw #28</v>
      </c>
      <c r="AI177" s="147" t="str">
        <f t="shared" si="58"/>
        <v>Draw #29</v>
      </c>
      <c r="AJ177" s="147" t="str">
        <f t="shared" si="58"/>
        <v>Draw #30</v>
      </c>
      <c r="AK177" s="1714"/>
      <c r="AL177" s="83" t="s">
        <v>4922</v>
      </c>
      <c r="AM177" s="83" t="s">
        <v>4923</v>
      </c>
      <c r="AN177" s="83" t="s">
        <v>4924</v>
      </c>
      <c r="AO177" s="83" t="s">
        <v>4925</v>
      </c>
      <c r="AP177" s="83"/>
      <c r="AQ177" s="1477"/>
      <c r="AR177" s="1477"/>
      <c r="AS177" s="1477"/>
      <c r="AT177" s="1477"/>
      <c r="AU177" s="1477"/>
      <c r="AV177" s="1477"/>
      <c r="AW177" s="1477"/>
      <c r="AX177" s="1477"/>
      <c r="AY177" s="1477"/>
      <c r="AZ177" s="1477"/>
      <c r="BA177" s="1477"/>
      <c r="BB177" s="1477"/>
      <c r="BC177" s="1477"/>
      <c r="BD177" s="1477"/>
      <c r="BE177" s="1477"/>
      <c r="BF177" s="1477"/>
      <c r="BG177" s="1477"/>
      <c r="BH177" s="1477"/>
      <c r="BI177" s="1477"/>
      <c r="BJ177" s="1477"/>
      <c r="BK177" s="1477"/>
      <c r="BL177" s="1477"/>
      <c r="BM177" s="1477"/>
      <c r="BN177" s="1477"/>
      <c r="BO177" s="1477"/>
      <c r="BP177" s="1477"/>
      <c r="BQ177" s="1477"/>
      <c r="BR177" s="1477"/>
      <c r="BS177" s="1477"/>
      <c r="BT177" s="1477"/>
      <c r="BU177" s="1477"/>
      <c r="BV177" s="1477"/>
      <c r="BW177" s="1477"/>
      <c r="BX177" s="1477"/>
      <c r="BY177" s="1477"/>
      <c r="BZ177" s="1477"/>
      <c r="CA177" s="1477"/>
      <c r="CB177" s="1477"/>
      <c r="CC177" s="1477"/>
      <c r="CD177" s="1477"/>
      <c r="CE177" s="1477"/>
      <c r="CF177" s="1477"/>
      <c r="CG177" s="1477"/>
      <c r="CH177" s="1477"/>
    </row>
    <row r="178" spans="2:86">
      <c r="B178" s="1714"/>
      <c r="C178" s="148" t="str">
        <f>Construction_Source_1</f>
        <v>Tax-Exempt Bonds - Permanent</v>
      </c>
      <c r="D178" s="149" t="str">
        <f>'12. Funding Sources'!D62</f>
        <v>Lender Name/Bond Issuer</v>
      </c>
      <c r="E178" s="183" t="str">
        <f>Construction_Amount_1</f>
        <v>$0</v>
      </c>
      <c r="F178" s="288">
        <f>IF(AO178,0,E178-SUM(G178:AJ178))</f>
        <v>0</v>
      </c>
      <c r="G178" s="1574"/>
      <c r="H178" s="1574"/>
      <c r="I178" s="1574"/>
      <c r="J178" s="1574"/>
      <c r="K178" s="1574"/>
      <c r="L178" s="1574"/>
      <c r="M178" s="1583"/>
      <c r="N178" s="1583"/>
      <c r="O178" s="1583"/>
      <c r="P178" s="1583"/>
      <c r="Q178" s="1583"/>
      <c r="R178" s="1583"/>
      <c r="S178" s="1583"/>
      <c r="T178" s="1583"/>
      <c r="U178" s="1583"/>
      <c r="V178" s="1583"/>
      <c r="W178" s="1583"/>
      <c r="X178" s="1583"/>
      <c r="Y178" s="1583"/>
      <c r="Z178" s="1583"/>
      <c r="AA178" s="1583"/>
      <c r="AB178" s="1583"/>
      <c r="AC178" s="1583"/>
      <c r="AD178" s="1583"/>
      <c r="AE178" s="1583"/>
      <c r="AF178" s="1583"/>
      <c r="AG178" s="1583"/>
      <c r="AH178" s="1583"/>
      <c r="AI178" s="1583"/>
      <c r="AJ178" s="1583"/>
      <c r="AK178" s="1714"/>
      <c r="AL178" s="83" t="b">
        <f>COUNTIF(G178:AJ178, "&gt;0")&gt;0</f>
        <v>0</v>
      </c>
      <c r="AM178" s="83" t="b">
        <f>COUNTIF(G178:AJ178, "&lt;0")&gt;0</f>
        <v>0</v>
      </c>
      <c r="AN178" s="83" t="b">
        <f>SUM(G178:AJ178)&lt;=0</f>
        <v>1</v>
      </c>
      <c r="AO178" s="83" t="b">
        <f>AND(AL178,AM178,AN178)</f>
        <v>0</v>
      </c>
      <c r="AP178" s="83"/>
      <c r="AQ178" s="1477"/>
      <c r="AR178" s="1477"/>
      <c r="AS178" s="1477"/>
      <c r="AT178" s="1477"/>
      <c r="AU178" s="1477"/>
      <c r="AV178" s="1477"/>
      <c r="AW178" s="1477"/>
      <c r="AX178" s="1477"/>
      <c r="AY178" s="1477"/>
      <c r="AZ178" s="1477"/>
      <c r="BA178" s="1477"/>
      <c r="BB178" s="1477"/>
      <c r="BC178" s="1477"/>
      <c r="BD178" s="1477"/>
      <c r="BE178" s="1477"/>
      <c r="BF178" s="1477"/>
      <c r="BG178" s="1477"/>
      <c r="BH178" s="1477"/>
      <c r="BI178" s="1477"/>
      <c r="BJ178" s="1477"/>
      <c r="BK178" s="1477"/>
      <c r="BL178" s="1477"/>
      <c r="BM178" s="1477"/>
      <c r="BN178" s="1477"/>
      <c r="BO178" s="1477"/>
      <c r="BP178" s="1477"/>
      <c r="BQ178" s="1477"/>
      <c r="BR178" s="1477"/>
      <c r="BS178" s="1477"/>
      <c r="BT178" s="1477"/>
      <c r="BU178" s="1477"/>
      <c r="BV178" s="1477"/>
      <c r="BW178" s="1477"/>
      <c r="BX178" s="1477"/>
      <c r="BY178" s="1477"/>
      <c r="BZ178" s="1477"/>
      <c r="CA178" s="1477"/>
      <c r="CB178" s="1477"/>
      <c r="CC178" s="1477"/>
      <c r="CD178" s="1477"/>
      <c r="CE178" s="1477"/>
      <c r="CF178" s="1477"/>
      <c r="CG178" s="1477"/>
      <c r="CH178" s="1477"/>
    </row>
    <row r="179" spans="2:86">
      <c r="B179" s="1714"/>
      <c r="C179" s="148" t="str">
        <f>Construction_Source_2</f>
        <v>Tax-Exempt Bonds - Construction</v>
      </c>
      <c r="D179" s="149" t="str">
        <f>'12. Funding Sources'!D63</f>
        <v>Enter Lender Name</v>
      </c>
      <c r="E179" s="183">
        <f>Construction_Amount_2</f>
        <v>0</v>
      </c>
      <c r="F179" s="183">
        <f t="shared" ref="F179:F182" si="59">IF(AO179,0,E179-SUM(G179:AJ179))</f>
        <v>0</v>
      </c>
      <c r="G179" s="1574"/>
      <c r="H179" s="1574"/>
      <c r="I179" s="1574"/>
      <c r="J179" s="1574"/>
      <c r="K179" s="1574"/>
      <c r="L179" s="1574"/>
      <c r="M179" s="1574"/>
      <c r="N179" s="1574"/>
      <c r="O179" s="1574"/>
      <c r="P179" s="1574"/>
      <c r="Q179" s="1574"/>
      <c r="R179" s="1574"/>
      <c r="S179" s="1574"/>
      <c r="T179" s="1574"/>
      <c r="U179" s="1574"/>
      <c r="V179" s="1574"/>
      <c r="W179" s="1574"/>
      <c r="X179" s="1574"/>
      <c r="Y179" s="1574"/>
      <c r="Z179" s="1574"/>
      <c r="AA179" s="1574"/>
      <c r="AB179" s="1574"/>
      <c r="AC179" s="1574"/>
      <c r="AD179" s="1574"/>
      <c r="AE179" s="1574"/>
      <c r="AF179" s="1574"/>
      <c r="AG179" s="1574"/>
      <c r="AH179" s="1574"/>
      <c r="AI179" s="1574"/>
      <c r="AJ179" s="1574"/>
      <c r="AK179" s="1714"/>
      <c r="AL179" s="83" t="b">
        <f t="shared" ref="AL179:AL185" si="60">COUNTIF(G179:AJ179, "&gt;0")&gt;0</f>
        <v>0</v>
      </c>
      <c r="AM179" s="83" t="b">
        <f t="shared" ref="AM179:AM185" si="61">COUNTIF(G179:AJ179, "&lt;0")&gt;0</f>
        <v>0</v>
      </c>
      <c r="AN179" s="83" t="b">
        <f t="shared" ref="AN179:AN185" si="62">SUM(G179:AJ179)&lt;=0</f>
        <v>1</v>
      </c>
      <c r="AO179" s="83" t="b">
        <f t="shared" ref="AO179:AO185" si="63">AND(AL179,AM179,AN179)</f>
        <v>0</v>
      </c>
      <c r="AP179" s="83"/>
      <c r="AQ179" s="1477"/>
      <c r="AR179" s="1477"/>
      <c r="AS179" s="1477"/>
      <c r="AT179" s="1477"/>
      <c r="AU179" s="1477"/>
      <c r="AV179" s="1477"/>
      <c r="AW179" s="1477"/>
      <c r="AX179" s="1477"/>
      <c r="AY179" s="1477"/>
      <c r="AZ179" s="1477"/>
      <c r="BA179" s="1477"/>
      <c r="BB179" s="1477"/>
      <c r="BC179" s="1477"/>
      <c r="BD179" s="1477"/>
      <c r="BE179" s="1477"/>
      <c r="BF179" s="1477"/>
      <c r="BG179" s="1477"/>
      <c r="BH179" s="1477"/>
      <c r="BI179" s="1477"/>
      <c r="BJ179" s="1477"/>
      <c r="BK179" s="1477"/>
      <c r="BL179" s="1477"/>
      <c r="BM179" s="1477"/>
      <c r="BN179" s="1477"/>
      <c r="BO179" s="1477"/>
      <c r="BP179" s="1477"/>
      <c r="BQ179" s="1477"/>
      <c r="BR179" s="1477"/>
      <c r="BS179" s="1477"/>
      <c r="BT179" s="1477"/>
      <c r="BU179" s="1477"/>
      <c r="BV179" s="1477"/>
      <c r="BW179" s="1477"/>
      <c r="BX179" s="1477"/>
      <c r="BY179" s="1477"/>
      <c r="BZ179" s="1477"/>
      <c r="CA179" s="1477"/>
      <c r="CB179" s="1477"/>
      <c r="CC179" s="1477"/>
      <c r="CD179" s="1477"/>
      <c r="CE179" s="1477"/>
      <c r="CF179" s="1477"/>
      <c r="CG179" s="1477"/>
      <c r="CH179" s="1477"/>
    </row>
    <row r="180" spans="2:86">
      <c r="B180" s="1714"/>
      <c r="C180" s="148" t="str">
        <f>Construction_Source_3</f>
        <v>Construction Loan 3</v>
      </c>
      <c r="D180" s="149" t="str">
        <f>'12. Funding Sources'!D64</f>
        <v>Enter Lender Name</v>
      </c>
      <c r="E180" s="183">
        <f>Construction_Amount_3</f>
        <v>0</v>
      </c>
      <c r="F180" s="183">
        <f t="shared" si="59"/>
        <v>0</v>
      </c>
      <c r="G180" s="1574"/>
      <c r="H180" s="1574"/>
      <c r="I180" s="1574"/>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D180" s="1574"/>
      <c r="AE180" s="1574"/>
      <c r="AF180" s="1574"/>
      <c r="AG180" s="1574"/>
      <c r="AH180" s="1574"/>
      <c r="AI180" s="1574"/>
      <c r="AJ180" s="1574"/>
      <c r="AK180" s="1714"/>
      <c r="AL180" s="83" t="b">
        <f t="shared" si="60"/>
        <v>0</v>
      </c>
      <c r="AM180" s="83" t="b">
        <f t="shared" si="61"/>
        <v>0</v>
      </c>
      <c r="AN180" s="83" t="b">
        <f t="shared" si="62"/>
        <v>1</v>
      </c>
      <c r="AO180" s="83" t="b">
        <f t="shared" si="63"/>
        <v>0</v>
      </c>
      <c r="AP180" s="83"/>
      <c r="AQ180" s="1477"/>
      <c r="AR180" s="1477"/>
      <c r="AS180" s="1477"/>
      <c r="AT180" s="1477"/>
      <c r="AU180" s="1477"/>
      <c r="AV180" s="1477"/>
      <c r="AW180" s="1477"/>
      <c r="AX180" s="1477"/>
      <c r="AY180" s="1477"/>
      <c r="AZ180" s="1477"/>
      <c r="BA180" s="1477"/>
      <c r="BB180" s="1477"/>
      <c r="BC180" s="1477"/>
      <c r="BD180" s="1477"/>
      <c r="BE180" s="1477"/>
      <c r="BF180" s="1477"/>
      <c r="BG180" s="1477"/>
      <c r="BH180" s="1477"/>
      <c r="BI180" s="1477"/>
      <c r="BJ180" s="1477"/>
      <c r="BK180" s="1477"/>
      <c r="BL180" s="1477"/>
      <c r="BM180" s="1477"/>
      <c r="BN180" s="1477"/>
      <c r="BO180" s="1477"/>
      <c r="BP180" s="1477"/>
      <c r="BQ180" s="1477"/>
      <c r="BR180" s="1477"/>
      <c r="BS180" s="1477"/>
      <c r="BT180" s="1477"/>
      <c r="BU180" s="1477"/>
      <c r="BV180" s="1477"/>
      <c r="BW180" s="1477"/>
      <c r="BX180" s="1477"/>
      <c r="BY180" s="1477"/>
      <c r="BZ180" s="1477"/>
      <c r="CA180" s="1477"/>
      <c r="CB180" s="1477"/>
      <c r="CC180" s="1477"/>
      <c r="CD180" s="1477"/>
      <c r="CE180" s="1477"/>
      <c r="CF180" s="1477"/>
      <c r="CG180" s="1477"/>
      <c r="CH180" s="1477"/>
    </row>
    <row r="181" spans="2:86">
      <c r="B181" s="1714"/>
      <c r="C181" s="148" t="str">
        <f>Construction_Source_4</f>
        <v>Construction Loan 4</v>
      </c>
      <c r="D181" s="149" t="str">
        <f>'12. Funding Sources'!D65</f>
        <v>Enter Lender Name</v>
      </c>
      <c r="E181" s="183">
        <f>Construction_Amount_4</f>
        <v>0</v>
      </c>
      <c r="F181" s="183">
        <f t="shared" si="59"/>
        <v>0</v>
      </c>
      <c r="G181" s="1574"/>
      <c r="H181" s="1574"/>
      <c r="I181" s="1574"/>
      <c r="J181" s="1574"/>
      <c r="K181" s="1574"/>
      <c r="L181" s="1574"/>
      <c r="M181" s="1574"/>
      <c r="N181" s="1574"/>
      <c r="O181" s="1574"/>
      <c r="P181" s="1574"/>
      <c r="Q181" s="1574"/>
      <c r="R181" s="1574"/>
      <c r="S181" s="1574"/>
      <c r="T181" s="1574"/>
      <c r="U181" s="1574"/>
      <c r="V181" s="1574"/>
      <c r="W181" s="1574"/>
      <c r="X181" s="1574"/>
      <c r="Y181" s="1574"/>
      <c r="Z181" s="1574"/>
      <c r="AA181" s="1574"/>
      <c r="AB181" s="1574"/>
      <c r="AC181" s="1574"/>
      <c r="AD181" s="1574"/>
      <c r="AE181" s="1574"/>
      <c r="AF181" s="1574"/>
      <c r="AG181" s="1574"/>
      <c r="AH181" s="1574"/>
      <c r="AI181" s="1574"/>
      <c r="AJ181" s="1574"/>
      <c r="AK181" s="1714"/>
      <c r="AL181" s="83" t="b">
        <f t="shared" si="60"/>
        <v>0</v>
      </c>
      <c r="AM181" s="83" t="b">
        <f t="shared" si="61"/>
        <v>0</v>
      </c>
      <c r="AN181" s="83" t="b">
        <f t="shared" si="62"/>
        <v>1</v>
      </c>
      <c r="AO181" s="83" t="b">
        <f t="shared" si="63"/>
        <v>0</v>
      </c>
      <c r="AP181" s="83"/>
      <c r="AQ181" s="1477"/>
      <c r="AR181" s="1477"/>
      <c r="AS181" s="1477"/>
      <c r="AT181" s="1477"/>
      <c r="AU181" s="1477"/>
      <c r="AV181" s="1477"/>
      <c r="AW181" s="1477"/>
      <c r="AX181" s="1477"/>
      <c r="AY181" s="1477"/>
      <c r="AZ181" s="1477"/>
      <c r="BA181" s="1477"/>
      <c r="BB181" s="1477"/>
      <c r="BC181" s="1477"/>
      <c r="BD181" s="1477"/>
      <c r="BE181" s="1477"/>
      <c r="BF181" s="1477"/>
      <c r="BG181" s="1477"/>
      <c r="BH181" s="1477"/>
      <c r="BI181" s="1477"/>
      <c r="BJ181" s="1477"/>
      <c r="BK181" s="1477"/>
      <c r="BL181" s="1477"/>
      <c r="BM181" s="1477"/>
      <c r="BN181" s="1477"/>
      <c r="BO181" s="1477"/>
      <c r="BP181" s="1477"/>
      <c r="BQ181" s="1477"/>
      <c r="BR181" s="1477"/>
      <c r="BS181" s="1477"/>
      <c r="BT181" s="1477"/>
      <c r="BU181" s="1477"/>
      <c r="BV181" s="1477"/>
      <c r="BW181" s="1477"/>
      <c r="BX181" s="1477"/>
      <c r="BY181" s="1477"/>
      <c r="BZ181" s="1477"/>
      <c r="CA181" s="1477"/>
      <c r="CB181" s="1477"/>
      <c r="CC181" s="1477"/>
      <c r="CD181" s="1477"/>
      <c r="CE181" s="1477"/>
      <c r="CF181" s="1477"/>
      <c r="CG181" s="1477"/>
      <c r="CH181" s="1477"/>
    </row>
    <row r="182" spans="2:86">
      <c r="B182" s="1714"/>
      <c r="C182" s="148" t="str">
        <f>Construction_Source_5</f>
        <v>Construction Loan 5</v>
      </c>
      <c r="D182" s="149" t="str">
        <f>'12. Funding Sources'!D66</f>
        <v>Enter Lender Name</v>
      </c>
      <c r="E182" s="183">
        <f>Construction_Amount_5</f>
        <v>0</v>
      </c>
      <c r="F182" s="183">
        <f t="shared" si="59"/>
        <v>0</v>
      </c>
      <c r="G182" s="1574"/>
      <c r="H182" s="1574"/>
      <c r="I182" s="1574"/>
      <c r="J182" s="1574"/>
      <c r="K182" s="1574"/>
      <c r="L182" s="1574"/>
      <c r="M182" s="1574"/>
      <c r="N182" s="1574"/>
      <c r="O182" s="1574"/>
      <c r="P182" s="1574"/>
      <c r="Q182" s="1574"/>
      <c r="R182" s="1574"/>
      <c r="S182" s="1574"/>
      <c r="T182" s="1574"/>
      <c r="U182" s="1574"/>
      <c r="V182" s="1574"/>
      <c r="W182" s="1574"/>
      <c r="X182" s="1574"/>
      <c r="Y182" s="1574"/>
      <c r="Z182" s="1574"/>
      <c r="AA182" s="1574"/>
      <c r="AB182" s="1574"/>
      <c r="AC182" s="1574"/>
      <c r="AD182" s="1574"/>
      <c r="AE182" s="1574"/>
      <c r="AF182" s="1574"/>
      <c r="AG182" s="1574"/>
      <c r="AH182" s="1574"/>
      <c r="AI182" s="1574"/>
      <c r="AJ182" s="1574"/>
      <c r="AK182" s="1714"/>
      <c r="AL182" s="83" t="b">
        <f t="shared" si="60"/>
        <v>0</v>
      </c>
      <c r="AM182" s="83" t="b">
        <f t="shared" si="61"/>
        <v>0</v>
      </c>
      <c r="AN182" s="83" t="b">
        <f t="shared" si="62"/>
        <v>1</v>
      </c>
      <c r="AO182" s="83" t="b">
        <f t="shared" si="63"/>
        <v>0</v>
      </c>
      <c r="AP182" s="83"/>
      <c r="AQ182" s="1477"/>
      <c r="AR182" s="1477"/>
      <c r="AS182" s="1477"/>
      <c r="AT182" s="1477"/>
      <c r="AU182" s="1477"/>
      <c r="AV182" s="1477"/>
      <c r="AW182" s="1477"/>
      <c r="AX182" s="1477"/>
      <c r="AY182" s="1477"/>
      <c r="AZ182" s="1477"/>
      <c r="BA182" s="1477"/>
      <c r="BB182" s="1477"/>
      <c r="BC182" s="1477"/>
      <c r="BD182" s="1477"/>
      <c r="BE182" s="1477"/>
      <c r="BF182" s="1477"/>
      <c r="BG182" s="1477"/>
      <c r="BH182" s="1477"/>
      <c r="BI182" s="1477"/>
      <c r="BJ182" s="1477"/>
      <c r="BK182" s="1477"/>
      <c r="BL182" s="1477"/>
      <c r="BM182" s="1477"/>
      <c r="BN182" s="1477"/>
      <c r="BO182" s="1477"/>
      <c r="BP182" s="1477"/>
      <c r="BQ182" s="1477"/>
      <c r="BR182" s="1477"/>
      <c r="BS182" s="1477"/>
      <c r="BT182" s="1477"/>
      <c r="BU182" s="1477"/>
      <c r="BV182" s="1477"/>
      <c r="BW182" s="1477"/>
      <c r="BX182" s="1477"/>
      <c r="BY182" s="1477"/>
      <c r="BZ182" s="1477"/>
      <c r="CA182" s="1477"/>
      <c r="CB182" s="1477"/>
      <c r="CC182" s="1477"/>
      <c r="CD182" s="1477"/>
      <c r="CE182" s="1477"/>
      <c r="CF182" s="1477"/>
      <c r="CG182" s="1477"/>
      <c r="CH182" s="1477"/>
    </row>
    <row r="183" spans="2:86" hidden="1">
      <c r="B183" s="1714"/>
      <c r="C183" s="148" t="str">
        <f>Construction_Source_6</f>
        <v>Federal Housing Tax Credit Equity</v>
      </c>
      <c r="D183" s="149" t="str">
        <f>'12. Funding Sources'!D67</f>
        <v>Specify Investor</v>
      </c>
      <c r="E183" s="183">
        <v>0</v>
      </c>
      <c r="F183" s="183">
        <v>0</v>
      </c>
      <c r="G183" s="1574"/>
      <c r="H183" s="1574"/>
      <c r="I183" s="1574"/>
      <c r="J183" s="1574"/>
      <c r="K183" s="1574"/>
      <c r="L183" s="1574"/>
      <c r="M183" s="1574"/>
      <c r="N183" s="1574"/>
      <c r="O183" s="1574"/>
      <c r="P183" s="1574"/>
      <c r="Q183" s="1574"/>
      <c r="R183" s="1574"/>
      <c r="S183" s="1574"/>
      <c r="T183" s="1574"/>
      <c r="U183" s="1574"/>
      <c r="V183" s="1574"/>
      <c r="W183" s="1574"/>
      <c r="X183" s="1574"/>
      <c r="Y183" s="1574"/>
      <c r="Z183" s="1574"/>
      <c r="AA183" s="1574"/>
      <c r="AB183" s="1574"/>
      <c r="AC183" s="1574"/>
      <c r="AD183" s="1574"/>
      <c r="AE183" s="1574"/>
      <c r="AF183" s="1574"/>
      <c r="AG183" s="1574"/>
      <c r="AH183" s="1574"/>
      <c r="AI183" s="1574"/>
      <c r="AJ183" s="1574"/>
      <c r="AK183" s="1714"/>
      <c r="AL183" s="83" t="b">
        <f t="shared" si="60"/>
        <v>0</v>
      </c>
      <c r="AM183" s="83" t="b">
        <f t="shared" si="61"/>
        <v>0</v>
      </c>
      <c r="AN183" s="83" t="b">
        <f t="shared" si="62"/>
        <v>1</v>
      </c>
      <c r="AO183" s="83" t="b">
        <f t="shared" si="63"/>
        <v>0</v>
      </c>
      <c r="AP183" s="83"/>
      <c r="AQ183" s="1477"/>
      <c r="AR183" s="1477"/>
      <c r="AS183" s="1477"/>
      <c r="AT183" s="1477"/>
      <c r="AU183" s="1477"/>
      <c r="AV183" s="1477"/>
      <c r="AW183" s="1477"/>
      <c r="AX183" s="1477"/>
      <c r="AY183" s="1477"/>
      <c r="AZ183" s="1477"/>
      <c r="BA183" s="1477"/>
      <c r="BB183" s="1477"/>
      <c r="BC183" s="1477"/>
      <c r="BD183" s="1477"/>
      <c r="BE183" s="1477"/>
      <c r="BF183" s="1477"/>
      <c r="BG183" s="1477"/>
      <c r="BH183" s="1477"/>
      <c r="BI183" s="1477"/>
      <c r="BJ183" s="1477"/>
      <c r="BK183" s="1477"/>
      <c r="BL183" s="1477"/>
      <c r="BM183" s="1477"/>
      <c r="BN183" s="1477"/>
      <c r="BO183" s="1477"/>
      <c r="BP183" s="1477"/>
      <c r="BQ183" s="1477"/>
      <c r="BR183" s="1477"/>
      <c r="BS183" s="1477"/>
      <c r="BT183" s="1477"/>
      <c r="BU183" s="1477"/>
      <c r="BV183" s="1477"/>
      <c r="BW183" s="1477"/>
      <c r="BX183" s="1477"/>
      <c r="BY183" s="1477"/>
      <c r="BZ183" s="1477"/>
      <c r="CA183" s="1477"/>
      <c r="CB183" s="1477"/>
      <c r="CC183" s="1477"/>
      <c r="CD183" s="1477"/>
      <c r="CE183" s="1477"/>
      <c r="CF183" s="1477"/>
      <c r="CG183" s="1477"/>
      <c r="CH183" s="1477"/>
    </row>
    <row r="184" spans="2:86" hidden="1">
      <c r="B184" s="1714"/>
      <c r="C184" s="148" t="str">
        <f>Construction_Source_7</f>
        <v>State Housing Tax Credit Equity</v>
      </c>
      <c r="D184" s="149" t="str">
        <f>'12. Funding Sources'!D68</f>
        <v>Specify Investor</v>
      </c>
      <c r="E184" s="183">
        <v>0</v>
      </c>
      <c r="F184" s="183">
        <v>0</v>
      </c>
      <c r="G184" s="1574"/>
      <c r="H184" s="1574"/>
      <c r="I184" s="1574"/>
      <c r="J184" s="1574"/>
      <c r="K184" s="1574"/>
      <c r="L184" s="1574"/>
      <c r="M184" s="1574"/>
      <c r="N184" s="1574"/>
      <c r="O184" s="1574"/>
      <c r="P184" s="1574"/>
      <c r="Q184" s="1574"/>
      <c r="R184" s="1574"/>
      <c r="S184" s="1574"/>
      <c r="T184" s="1574"/>
      <c r="U184" s="1574"/>
      <c r="V184" s="1574"/>
      <c r="W184" s="1574"/>
      <c r="X184" s="1574"/>
      <c r="Y184" s="1574"/>
      <c r="Z184" s="1574"/>
      <c r="AA184" s="1574"/>
      <c r="AB184" s="1574"/>
      <c r="AC184" s="1574"/>
      <c r="AD184" s="1574"/>
      <c r="AE184" s="1574"/>
      <c r="AF184" s="1574"/>
      <c r="AG184" s="1574"/>
      <c r="AH184" s="1574"/>
      <c r="AI184" s="1574"/>
      <c r="AJ184" s="1574"/>
      <c r="AK184" s="1714"/>
      <c r="AL184" s="83" t="b">
        <f t="shared" si="60"/>
        <v>0</v>
      </c>
      <c r="AM184" s="83" t="b">
        <f t="shared" si="61"/>
        <v>0</v>
      </c>
      <c r="AN184" s="83" t="b">
        <f t="shared" si="62"/>
        <v>1</v>
      </c>
      <c r="AO184" s="83" t="b">
        <f t="shared" si="63"/>
        <v>0</v>
      </c>
      <c r="AP184" s="83"/>
      <c r="AQ184" s="1477"/>
      <c r="AR184" s="1477"/>
      <c r="AS184" s="1477"/>
      <c r="AT184" s="1477"/>
      <c r="AU184" s="1477"/>
      <c r="AV184" s="1477"/>
      <c r="AW184" s="1477"/>
      <c r="AX184" s="1477"/>
      <c r="AY184" s="1477"/>
      <c r="AZ184" s="1477"/>
      <c r="BA184" s="1477"/>
      <c r="BB184" s="1477"/>
      <c r="BC184" s="1477"/>
      <c r="BD184" s="1477"/>
      <c r="BE184" s="1477"/>
      <c r="BF184" s="1477"/>
      <c r="BG184" s="1477"/>
      <c r="BH184" s="1477"/>
      <c r="BI184" s="1477"/>
      <c r="BJ184" s="1477"/>
      <c r="BK184" s="1477"/>
      <c r="BL184" s="1477"/>
      <c r="BM184" s="1477"/>
      <c r="BN184" s="1477"/>
      <c r="BO184" s="1477"/>
      <c r="BP184" s="1477"/>
      <c r="BQ184" s="1477"/>
      <c r="BR184" s="1477"/>
      <c r="BS184" s="1477"/>
      <c r="BT184" s="1477"/>
      <c r="BU184" s="1477"/>
      <c r="BV184" s="1477"/>
      <c r="BW184" s="1477"/>
      <c r="BX184" s="1477"/>
      <c r="BY184" s="1477"/>
      <c r="BZ184" s="1477"/>
      <c r="CA184" s="1477"/>
      <c r="CB184" s="1477"/>
      <c r="CC184" s="1477"/>
      <c r="CD184" s="1477"/>
      <c r="CE184" s="1477"/>
      <c r="CF184" s="1477"/>
      <c r="CG184" s="1477"/>
      <c r="CH184" s="1477"/>
    </row>
    <row r="185" spans="2:86" hidden="1">
      <c r="B185" s="1714"/>
      <c r="C185" s="148" t="str">
        <f>Construction_Source_9</f>
        <v>Other - Specify</v>
      </c>
      <c r="D185" s="149" t="str">
        <f>'12. Funding Sources'!D69</f>
        <v>Specify Investor</v>
      </c>
      <c r="E185" s="183">
        <v>0</v>
      </c>
      <c r="F185" s="183">
        <v>0</v>
      </c>
      <c r="G185" s="1574"/>
      <c r="H185" s="1574"/>
      <c r="I185" s="1574"/>
      <c r="J185" s="1574"/>
      <c r="K185" s="1574"/>
      <c r="L185" s="1574"/>
      <c r="M185" s="1574"/>
      <c r="N185" s="1574"/>
      <c r="O185" s="1574"/>
      <c r="P185" s="1574"/>
      <c r="Q185" s="1574"/>
      <c r="R185" s="1574"/>
      <c r="S185" s="1574"/>
      <c r="T185" s="1574"/>
      <c r="U185" s="1574"/>
      <c r="V185" s="1574"/>
      <c r="W185" s="1574"/>
      <c r="X185" s="1574"/>
      <c r="Y185" s="1574"/>
      <c r="Z185" s="1574"/>
      <c r="AA185" s="1574"/>
      <c r="AB185" s="1574"/>
      <c r="AC185" s="1574"/>
      <c r="AD185" s="1574"/>
      <c r="AE185" s="1574"/>
      <c r="AF185" s="1574"/>
      <c r="AG185" s="1574"/>
      <c r="AH185" s="1574"/>
      <c r="AI185" s="1574"/>
      <c r="AJ185" s="1574"/>
      <c r="AK185" s="1714"/>
      <c r="AL185" s="83" t="b">
        <f t="shared" si="60"/>
        <v>0</v>
      </c>
      <c r="AM185" s="83" t="b">
        <f t="shared" si="61"/>
        <v>0</v>
      </c>
      <c r="AN185" s="83" t="b">
        <f t="shared" si="62"/>
        <v>1</v>
      </c>
      <c r="AO185" s="83" t="b">
        <f t="shared" si="63"/>
        <v>0</v>
      </c>
      <c r="AP185" s="83"/>
      <c r="AQ185" s="1477"/>
      <c r="AR185" s="1477"/>
      <c r="AS185" s="1477"/>
      <c r="AT185" s="1477"/>
      <c r="AU185" s="1477"/>
      <c r="AV185" s="1477"/>
      <c r="AW185" s="1477"/>
      <c r="AX185" s="1477"/>
      <c r="AY185" s="1477"/>
      <c r="AZ185" s="1477"/>
      <c r="BA185" s="1477"/>
      <c r="BB185" s="1477"/>
      <c r="BC185" s="1477"/>
      <c r="BD185" s="1477"/>
      <c r="BE185" s="1477"/>
      <c r="BF185" s="1477"/>
      <c r="BG185" s="1477"/>
      <c r="BH185" s="1477"/>
      <c r="BI185" s="1477"/>
      <c r="BJ185" s="1477"/>
      <c r="BK185" s="1477"/>
      <c r="BL185" s="1477"/>
      <c r="BM185" s="1477"/>
      <c r="BN185" s="1477"/>
      <c r="BO185" s="1477"/>
      <c r="BP185" s="1477"/>
      <c r="BQ185" s="1477"/>
      <c r="BR185" s="1477"/>
      <c r="BS185" s="1477"/>
      <c r="BT185" s="1477"/>
      <c r="BU185" s="1477"/>
      <c r="BV185" s="1477"/>
      <c r="BW185" s="1477"/>
      <c r="BX185" s="1477"/>
      <c r="BY185" s="1477"/>
      <c r="BZ185" s="1477"/>
      <c r="CA185" s="1477"/>
      <c r="CB185" s="1477"/>
      <c r="CC185" s="1477"/>
      <c r="CD185" s="1477"/>
      <c r="CE185" s="1477"/>
      <c r="CF185" s="1477"/>
      <c r="CG185" s="1477"/>
      <c r="CH185" s="1477"/>
    </row>
    <row r="186" spans="2:86">
      <c r="B186" s="1714"/>
      <c r="C186" s="150" t="s">
        <v>4171</v>
      </c>
      <c r="D186" s="150"/>
      <c r="E186" s="183">
        <f>SUM(E178:E185)</f>
        <v>0</v>
      </c>
      <c r="F186" s="183">
        <f>SUM(F178:F185)</f>
        <v>0</v>
      </c>
      <c r="G186" s="183">
        <f>SUM(G178:G185)</f>
        <v>0</v>
      </c>
      <c r="H186" s="183">
        <f>SUM(H178:H185)</f>
        <v>0</v>
      </c>
      <c r="I186" s="183">
        <f t="shared" ref="I186:AJ186" si="64">SUM(I178:I185)</f>
        <v>0</v>
      </c>
      <c r="J186" s="183">
        <f t="shared" si="64"/>
        <v>0</v>
      </c>
      <c r="K186" s="183">
        <f t="shared" si="64"/>
        <v>0</v>
      </c>
      <c r="L186" s="183">
        <f t="shared" si="64"/>
        <v>0</v>
      </c>
      <c r="M186" s="183">
        <f t="shared" si="64"/>
        <v>0</v>
      </c>
      <c r="N186" s="183">
        <f t="shared" si="64"/>
        <v>0</v>
      </c>
      <c r="O186" s="183">
        <f t="shared" si="64"/>
        <v>0</v>
      </c>
      <c r="P186" s="183">
        <f t="shared" si="64"/>
        <v>0</v>
      </c>
      <c r="Q186" s="183">
        <f t="shared" si="64"/>
        <v>0</v>
      </c>
      <c r="R186" s="183">
        <f t="shared" si="64"/>
        <v>0</v>
      </c>
      <c r="S186" s="183">
        <f t="shared" si="64"/>
        <v>0</v>
      </c>
      <c r="T186" s="183">
        <f t="shared" si="64"/>
        <v>0</v>
      </c>
      <c r="U186" s="183">
        <f t="shared" si="64"/>
        <v>0</v>
      </c>
      <c r="V186" s="183">
        <f t="shared" si="64"/>
        <v>0</v>
      </c>
      <c r="W186" s="183">
        <f t="shared" si="64"/>
        <v>0</v>
      </c>
      <c r="X186" s="183">
        <f t="shared" si="64"/>
        <v>0</v>
      </c>
      <c r="Y186" s="183">
        <f t="shared" si="64"/>
        <v>0</v>
      </c>
      <c r="Z186" s="183">
        <f t="shared" si="64"/>
        <v>0</v>
      </c>
      <c r="AA186" s="183">
        <f t="shared" si="64"/>
        <v>0</v>
      </c>
      <c r="AB186" s="183">
        <f t="shared" si="64"/>
        <v>0</v>
      </c>
      <c r="AC186" s="183">
        <f t="shared" si="64"/>
        <v>0</v>
      </c>
      <c r="AD186" s="183">
        <f t="shared" si="64"/>
        <v>0</v>
      </c>
      <c r="AE186" s="183">
        <f t="shared" si="64"/>
        <v>0</v>
      </c>
      <c r="AF186" s="183">
        <f t="shared" si="64"/>
        <v>0</v>
      </c>
      <c r="AG186" s="183">
        <f t="shared" si="64"/>
        <v>0</v>
      </c>
      <c r="AH186" s="183">
        <f t="shared" si="64"/>
        <v>0</v>
      </c>
      <c r="AI186" s="183">
        <f t="shared" si="64"/>
        <v>0</v>
      </c>
      <c r="AJ186" s="183">
        <f t="shared" si="64"/>
        <v>0</v>
      </c>
      <c r="AK186" s="1714"/>
      <c r="AL186" s="1477"/>
      <c r="AM186" s="1477"/>
      <c r="AN186" s="1477"/>
      <c r="AO186" s="83"/>
      <c r="AP186" s="83"/>
      <c r="AQ186" s="1477"/>
      <c r="AR186" s="1477"/>
      <c r="AS186" s="1477"/>
      <c r="AT186" s="1477"/>
      <c r="AU186" s="1477"/>
      <c r="AV186" s="1477"/>
      <c r="AW186" s="1477"/>
      <c r="AX186" s="1477"/>
      <c r="AY186" s="1477"/>
      <c r="AZ186" s="1477"/>
      <c r="BA186" s="1477"/>
      <c r="BB186" s="1477"/>
      <c r="BC186" s="1477"/>
      <c r="BD186" s="1477"/>
      <c r="BE186" s="1477"/>
      <c r="BF186" s="1477"/>
      <c r="BG186" s="1477"/>
      <c r="BH186" s="1477"/>
      <c r="BI186" s="1477"/>
      <c r="BJ186" s="1477"/>
      <c r="BK186" s="1477"/>
      <c r="BL186" s="1477"/>
      <c r="BM186" s="1477"/>
      <c r="BN186" s="1477"/>
      <c r="BO186" s="1477"/>
      <c r="BP186" s="1477"/>
      <c r="BQ186" s="1477"/>
      <c r="BR186" s="1477"/>
      <c r="BS186" s="1477"/>
      <c r="BT186" s="1477"/>
      <c r="BU186" s="1477"/>
      <c r="BV186" s="1477"/>
      <c r="BW186" s="1477"/>
      <c r="BX186" s="1477"/>
      <c r="BY186" s="1477"/>
      <c r="BZ186" s="1477"/>
      <c r="CA186" s="1477"/>
      <c r="CB186" s="1477"/>
      <c r="CC186" s="1477"/>
      <c r="CD186" s="1477"/>
      <c r="CE186" s="1477"/>
      <c r="CF186" s="1477"/>
      <c r="CG186" s="1477"/>
      <c r="CH186" s="1477"/>
    </row>
    <row r="187" spans="2:86">
      <c r="B187" s="1714"/>
      <c r="C187" s="146" t="s">
        <v>4926</v>
      </c>
      <c r="D187" s="146"/>
      <c r="E187" s="146" t="s">
        <v>4927</v>
      </c>
      <c r="F187" s="146"/>
      <c r="G187" s="146"/>
      <c r="H187" s="146" t="str">
        <f t="shared" ref="H187:AJ187" si="65">"Mo of Int - "&amp;G8</f>
        <v>Mo of Int - 1</v>
      </c>
      <c r="I187" s="146" t="str">
        <f t="shared" si="65"/>
        <v>Mo of Int - 2</v>
      </c>
      <c r="J187" s="146" t="str">
        <f t="shared" si="65"/>
        <v>Mo of Int - 3</v>
      </c>
      <c r="K187" s="146" t="str">
        <f t="shared" si="65"/>
        <v>Mo of Int - 4</v>
      </c>
      <c r="L187" s="146" t="str">
        <f t="shared" si="65"/>
        <v>Mo of Int - 5</v>
      </c>
      <c r="M187" s="146" t="str">
        <f t="shared" si="65"/>
        <v>Mo of Int - 6</v>
      </c>
      <c r="N187" s="146" t="str">
        <f t="shared" si="65"/>
        <v>Mo of Int - 7</v>
      </c>
      <c r="O187" s="146" t="str">
        <f t="shared" si="65"/>
        <v>Mo of Int - 8</v>
      </c>
      <c r="P187" s="146" t="str">
        <f t="shared" si="65"/>
        <v>Mo of Int - 9</v>
      </c>
      <c r="Q187" s="146" t="str">
        <f t="shared" si="65"/>
        <v>Mo of Int - 10</v>
      </c>
      <c r="R187" s="146" t="str">
        <f t="shared" si="65"/>
        <v>Mo of Int - 11</v>
      </c>
      <c r="S187" s="146" t="str">
        <f t="shared" si="65"/>
        <v>Mo of Int - 12</v>
      </c>
      <c r="T187" s="146" t="str">
        <f t="shared" si="65"/>
        <v>Mo of Int - 13</v>
      </c>
      <c r="U187" s="146" t="str">
        <f t="shared" si="65"/>
        <v>Mo of Int - 14</v>
      </c>
      <c r="V187" s="146" t="str">
        <f t="shared" si="65"/>
        <v>Mo of Int - 15</v>
      </c>
      <c r="W187" s="146" t="str">
        <f t="shared" si="65"/>
        <v>Mo of Int - 16</v>
      </c>
      <c r="X187" s="146" t="str">
        <f t="shared" si="65"/>
        <v>Mo of Int - 17</v>
      </c>
      <c r="Y187" s="146" t="str">
        <f t="shared" si="65"/>
        <v>Mo of Int - 18</v>
      </c>
      <c r="Z187" s="146" t="str">
        <f t="shared" si="65"/>
        <v>Mo of Int - 19</v>
      </c>
      <c r="AA187" s="146" t="str">
        <f t="shared" si="65"/>
        <v>Mo of Int - 20</v>
      </c>
      <c r="AB187" s="146" t="str">
        <f t="shared" si="65"/>
        <v>Mo of Int - 21</v>
      </c>
      <c r="AC187" s="146" t="str">
        <f t="shared" si="65"/>
        <v>Mo of Int - 22</v>
      </c>
      <c r="AD187" s="146" t="str">
        <f t="shared" si="65"/>
        <v>Mo of Int - 23</v>
      </c>
      <c r="AE187" s="146" t="str">
        <f t="shared" si="65"/>
        <v>Mo of Int - 24</v>
      </c>
      <c r="AF187" s="146" t="str">
        <f t="shared" si="65"/>
        <v>Mo of Int - 25</v>
      </c>
      <c r="AG187" s="146" t="str">
        <f t="shared" si="65"/>
        <v>Mo of Int - 26</v>
      </c>
      <c r="AH187" s="146" t="str">
        <f t="shared" si="65"/>
        <v>Mo of Int - 27</v>
      </c>
      <c r="AI187" s="146" t="str">
        <f t="shared" si="65"/>
        <v>Mo of Int - 28</v>
      </c>
      <c r="AJ187" s="146" t="str">
        <f t="shared" si="65"/>
        <v>Mo of Int - 29</v>
      </c>
      <c r="AK187" s="1714"/>
      <c r="AL187" s="1477"/>
      <c r="AM187" s="1477"/>
      <c r="AN187" s="1477"/>
      <c r="AO187" s="83"/>
      <c r="AP187" s="83"/>
      <c r="AQ187" s="1477"/>
      <c r="AR187" s="1477"/>
      <c r="AS187" s="1477"/>
      <c r="AT187" s="1477"/>
      <c r="AU187" s="1477"/>
      <c r="AV187" s="1477"/>
      <c r="AW187" s="1477"/>
      <c r="AX187" s="1477"/>
      <c r="AY187" s="1477"/>
      <c r="AZ187" s="1477"/>
      <c r="BA187" s="1477"/>
      <c r="BB187" s="1477"/>
      <c r="BC187" s="1477"/>
      <c r="BD187" s="1477"/>
      <c r="BE187" s="1477"/>
      <c r="BF187" s="1477"/>
      <c r="BG187" s="1477"/>
      <c r="BH187" s="1477"/>
      <c r="BI187" s="1477"/>
      <c r="BJ187" s="1477"/>
      <c r="BK187" s="1477"/>
      <c r="BL187" s="1477"/>
      <c r="BM187" s="1477"/>
      <c r="BN187" s="1477"/>
      <c r="BO187" s="1477"/>
      <c r="BP187" s="1477"/>
      <c r="BQ187" s="1477"/>
      <c r="BR187" s="1477"/>
      <c r="BS187" s="1477"/>
      <c r="BT187" s="1477"/>
      <c r="BU187" s="1477"/>
      <c r="BV187" s="1477"/>
      <c r="BW187" s="1477"/>
      <c r="BX187" s="1477"/>
      <c r="BY187" s="1477"/>
      <c r="BZ187" s="1477"/>
      <c r="CA187" s="1477"/>
      <c r="CB187" s="1477"/>
      <c r="CC187" s="1477"/>
      <c r="CD187" s="1477"/>
      <c r="CE187" s="1477"/>
      <c r="CF187" s="1477"/>
      <c r="CG187" s="1477"/>
      <c r="CH187" s="1477"/>
    </row>
    <row r="188" spans="2:86">
      <c r="B188" s="1714"/>
      <c r="C188" s="1584" t="str">
        <f t="shared" ref="C188:D192" si="66">C178</f>
        <v>Tax-Exempt Bonds - Permanent</v>
      </c>
      <c r="D188" s="1584" t="str">
        <f t="shared" si="66"/>
        <v>Lender Name/Bond Issuer</v>
      </c>
      <c r="E188" s="1573">
        <f>+SUM(H188:AJ188)</f>
        <v>0</v>
      </c>
      <c r="F188" s="1737" t="s">
        <v>2867</v>
      </c>
      <c r="G188" s="1585">
        <f>Construction_Rate_1</f>
        <v>0</v>
      </c>
      <c r="H188" s="1573">
        <f>IF(G$8&lt;=$I$7,SUM($G178:G178)*$G188/12,0)</f>
        <v>0</v>
      </c>
      <c r="I188" s="1573">
        <f>IF(H$8&lt;=$I$7,SUM($G178:H178)*$G188/12,0)</f>
        <v>0</v>
      </c>
      <c r="J188" s="1573">
        <f>IF(I$8&lt;=$I$7,SUM($G178:I178)*$G188/12,0)</f>
        <v>0</v>
      </c>
      <c r="K188" s="1573">
        <f>IF(J$8&lt;=$I$7,SUM($G178:J178)*$G188/12,0)</f>
        <v>0</v>
      </c>
      <c r="L188" s="1573">
        <f>IF(K$8&lt;=$I$7,SUM($G178:K178)*$G188/12,0)</f>
        <v>0</v>
      </c>
      <c r="M188" s="1573">
        <f>IF(L$8&lt;=$I$7,SUM($G178:L178)*$G188/12,0)</f>
        <v>0</v>
      </c>
      <c r="N188" s="1573">
        <f>IF(M$8&lt;=$I$7,SUM($G178:M178)*$G188/12,0)</f>
        <v>0</v>
      </c>
      <c r="O188" s="1573">
        <f>IF(N$8&lt;=$I$7,SUM($G178:N178)*$G188/12,0)</f>
        <v>0</v>
      </c>
      <c r="P188" s="1573">
        <f>IF(O$8&lt;=$I$7,SUM($G178:O178)*$G188/12,0)</f>
        <v>0</v>
      </c>
      <c r="Q188" s="1573">
        <f>IF(P$8&lt;=$I$7,SUM($G178:P178)*$G188/12,0)</f>
        <v>0</v>
      </c>
      <c r="R188" s="1573">
        <f>IF(Q$8&lt;=$I$7,SUM($G178:Q178)*$G188/12,0)</f>
        <v>0</v>
      </c>
      <c r="S188" s="1573">
        <f>IF(R$8&lt;=$I$7,SUM($G178:R178)*$G188/12,0)</f>
        <v>0</v>
      </c>
      <c r="T188" s="1573">
        <f>IF(S$8&lt;=$I$7,SUM($G178:S178)*$G188/12,0)</f>
        <v>0</v>
      </c>
      <c r="U188" s="1573">
        <f>IF(T$8&lt;=$I$7,SUM($G178:T178)*$G188/12,0)</f>
        <v>0</v>
      </c>
      <c r="V188" s="1573">
        <f>IF(U$8&lt;=$I$7,SUM($G178:U178)*$G188/12,0)</f>
        <v>0</v>
      </c>
      <c r="W188" s="1573">
        <f>IF(V$8&lt;=$I$7,SUM($G178:V178)*$G188/12,0)</f>
        <v>0</v>
      </c>
      <c r="X188" s="1573">
        <f>IF(W$8&lt;=$I$7,SUM($G178:W178)*$G188/12,0)</f>
        <v>0</v>
      </c>
      <c r="Y188" s="1573">
        <f>IF(X$8&lt;=$I$7,SUM($G178:X178)*$G188/12,0)</f>
        <v>0</v>
      </c>
      <c r="Z188" s="1573">
        <f>IF(Y$8&lt;=$I$7,SUM($G178:Y178)*$G188/12,0)</f>
        <v>0</v>
      </c>
      <c r="AA188" s="1573">
        <f>IF(Z$8&lt;=$I$7,SUM($G178:Z178)*$G188/12,0)</f>
        <v>0</v>
      </c>
      <c r="AB188" s="1573">
        <f>IF(AA$8&lt;=$I$7,SUM($G178:AA178)*$G188/12,0)</f>
        <v>0</v>
      </c>
      <c r="AC188" s="1573">
        <f>IF(AB$8&lt;=$I$7,SUM($G178:AB178)*$G188/12,0)</f>
        <v>0</v>
      </c>
      <c r="AD188" s="1573">
        <f>IF(AC$8&lt;=$I$7,SUM($G178:AC178)*$G188/12,0)</f>
        <v>0</v>
      </c>
      <c r="AE188" s="1573">
        <f>IF(AD$8&lt;=$I$7,SUM($G178:AD178)*$G188/12,0)</f>
        <v>0</v>
      </c>
      <c r="AF188" s="1573">
        <f>IF(AE$8&lt;=$I$7,SUM($G178:AE178)*$G188/12,0)</f>
        <v>0</v>
      </c>
      <c r="AG188" s="1573">
        <f>IF(AF$8&lt;=$I$7,SUM($G178:AF178)*$G188/12,0)</f>
        <v>0</v>
      </c>
      <c r="AH188" s="1573">
        <f>IF(AG$8&lt;=$I$7,SUM($G178:AG178)*$G188/12,0)</f>
        <v>0</v>
      </c>
      <c r="AI188" s="1573">
        <f>IF(AH$8&lt;=$I$7,SUM($G178:AH178)*$G188/12,0)</f>
        <v>0</v>
      </c>
      <c r="AJ188" s="1573">
        <f>IF(AI$8&lt;=$I$7,SUM($G178:AI178)*$G188/12,0)</f>
        <v>0</v>
      </c>
      <c r="AK188" s="1714"/>
      <c r="AL188" s="1477"/>
      <c r="AM188" s="1477"/>
      <c r="AN188" s="1477"/>
      <c r="AO188" s="284"/>
      <c r="AP188" s="1477"/>
      <c r="AQ188" s="1477"/>
      <c r="AR188" s="1477"/>
      <c r="AS188" s="1477"/>
      <c r="AT188" s="1477"/>
      <c r="AU188" s="1477"/>
      <c r="AV188" s="1477"/>
      <c r="AW188" s="1477"/>
      <c r="AX188" s="1477"/>
      <c r="AY188" s="1477"/>
      <c r="AZ188" s="1477"/>
      <c r="BA188" s="1477"/>
      <c r="BB188" s="1477"/>
      <c r="BC188" s="1477"/>
      <c r="BD188" s="1477"/>
      <c r="BE188" s="1477"/>
      <c r="BF188" s="1477"/>
      <c r="BG188" s="1477"/>
      <c r="BH188" s="1477"/>
      <c r="BI188" s="1477"/>
      <c r="BJ188" s="1477"/>
      <c r="BK188" s="1477"/>
      <c r="BL188" s="1477"/>
      <c r="BM188" s="1477"/>
      <c r="BN188" s="1477"/>
      <c r="BO188" s="1477"/>
      <c r="BP188" s="1477"/>
      <c r="BQ188" s="1477"/>
      <c r="BR188" s="1477"/>
      <c r="BS188" s="1477"/>
      <c r="BT188" s="1477"/>
      <c r="BU188" s="1477"/>
      <c r="BV188" s="1477"/>
      <c r="BW188" s="1477"/>
      <c r="BX188" s="1477"/>
      <c r="BY188" s="1477"/>
      <c r="BZ188" s="1477"/>
      <c r="CA188" s="1477"/>
      <c r="CB188" s="1477"/>
      <c r="CC188" s="1477"/>
      <c r="CD188" s="1477"/>
      <c r="CE188" s="1477"/>
      <c r="CF188" s="1477"/>
      <c r="CG188" s="1477"/>
      <c r="CH188" s="1477"/>
    </row>
    <row r="189" spans="2:86">
      <c r="B189" s="1714"/>
      <c r="C189" s="1584" t="str">
        <f t="shared" si="66"/>
        <v>Tax-Exempt Bonds - Construction</v>
      </c>
      <c r="D189" s="1584" t="str">
        <f t="shared" si="66"/>
        <v>Enter Lender Name</v>
      </c>
      <c r="E189" s="1573">
        <f>+SUM(H189:AJ189)</f>
        <v>0</v>
      </c>
      <c r="F189" s="1737" t="s">
        <v>2867</v>
      </c>
      <c r="G189" s="1585">
        <f>Construction_Rate_2</f>
        <v>0</v>
      </c>
      <c r="H189" s="1573">
        <f>IF(G$8&lt;=$I$7,SUM($G179:G179)*$G189/12,0)</f>
        <v>0</v>
      </c>
      <c r="I189" s="1573">
        <f>IF(H$8&lt;=$I$7,SUM($G179:H179)*$G189/12,0)</f>
        <v>0</v>
      </c>
      <c r="J189" s="1573">
        <f>IF(I$8&lt;=$I$7,SUM($G179:I179)*$G189/12,0)</f>
        <v>0</v>
      </c>
      <c r="K189" s="1573">
        <f>IF(J$8&lt;=$I$7,SUM($G179:J179)*$G189/12,0)</f>
        <v>0</v>
      </c>
      <c r="L189" s="1573">
        <f>IF(K$8&lt;=$I$7,SUM($G179:K179)*$G189/12,0)</f>
        <v>0</v>
      </c>
      <c r="M189" s="1573">
        <f>IF(L$8&lt;=$I$7,SUM($G179:L179)*$G189/12,0)</f>
        <v>0</v>
      </c>
      <c r="N189" s="1573">
        <f>IF(M$8&lt;=$I$7,SUM($G179:M179)*$G189/12,0)</f>
        <v>0</v>
      </c>
      <c r="O189" s="1573">
        <f>IF(N$8&lt;=$I$7,SUM($G179:N179)*$G189/12,0)</f>
        <v>0</v>
      </c>
      <c r="P189" s="1573">
        <f>IF(O$8&lt;=$I$7,SUM($G179:O179)*$G189/12,0)</f>
        <v>0</v>
      </c>
      <c r="Q189" s="1573">
        <f>IF(P$8&lt;=$I$7,SUM($G179:P179)*$G189/12,0)</f>
        <v>0</v>
      </c>
      <c r="R189" s="1573">
        <f>IF(Q$8&lt;=$I$7,SUM($G179:Q179)*$G189/12,0)</f>
        <v>0</v>
      </c>
      <c r="S189" s="1573">
        <f>IF(R$8&lt;=$I$7,SUM($G179:R179)*$G189/12,0)</f>
        <v>0</v>
      </c>
      <c r="T189" s="1573">
        <f>IF(S$8&lt;=$I$7,SUM($G179:S179)*$G189/12,0)</f>
        <v>0</v>
      </c>
      <c r="U189" s="1573">
        <f>IF(T$8&lt;=$I$7,SUM($G179:T179)*$G189/12,0)</f>
        <v>0</v>
      </c>
      <c r="V189" s="1573">
        <f>IF(U$8&lt;=$I$7,SUM($G179:U179)*$G189/12,0)</f>
        <v>0</v>
      </c>
      <c r="W189" s="1573">
        <f>IF(V$8&lt;=$I$7,SUM($G179:V179)*$G189/12,0)</f>
        <v>0</v>
      </c>
      <c r="X189" s="1573">
        <f>IF(W$8&lt;=$I$7,SUM($G179:W179)*$G189/12,0)</f>
        <v>0</v>
      </c>
      <c r="Y189" s="1573">
        <f>IF(X$8&lt;=$I$7,SUM($G179:X179)*$G189/12,0)</f>
        <v>0</v>
      </c>
      <c r="Z189" s="1573">
        <f>IF(Y$8&lt;=$I$7,SUM($G179:Y179)*$G189/12,0)</f>
        <v>0</v>
      </c>
      <c r="AA189" s="1573">
        <f>IF(Z$8&lt;=$I$7,SUM($G179:Z179)*$G189/12,0)</f>
        <v>0</v>
      </c>
      <c r="AB189" s="1573">
        <f>IF(AA$8&lt;=$I$7,SUM($G179:AA179)*$G189/12,0)</f>
        <v>0</v>
      </c>
      <c r="AC189" s="1573">
        <f>IF(AB$8&lt;=$I$7,SUM($G179:AB179)*$G189/12,0)</f>
        <v>0</v>
      </c>
      <c r="AD189" s="1573">
        <f>IF(AC$8&lt;=$I$7,SUM($G179:AC179)*$G189/12,0)</f>
        <v>0</v>
      </c>
      <c r="AE189" s="1573">
        <f>IF(AD$8&lt;=$I$7,SUM($G179:AD179)*$G189/12,0)</f>
        <v>0</v>
      </c>
      <c r="AF189" s="1573">
        <f>IF(AE$8&lt;=$I$7,SUM($G179:AE179)*$G189/12,0)</f>
        <v>0</v>
      </c>
      <c r="AG189" s="1573">
        <f>IF(AF$8&lt;=$I$7,SUM($G179:AF179)*$G189/12,0)</f>
        <v>0</v>
      </c>
      <c r="AH189" s="1573">
        <f>IF(AG$8&lt;=$I$7,SUM($G179:AG179)*$G189/12,0)</f>
        <v>0</v>
      </c>
      <c r="AI189" s="1573">
        <f>IF(AH$8&lt;=$I$7,SUM($G179:AH179)*$G189/12,0)</f>
        <v>0</v>
      </c>
      <c r="AJ189" s="1573">
        <f>IF(AI$8&lt;=$I$7,SUM($G179:AI179)*$G189/12,0)</f>
        <v>0</v>
      </c>
      <c r="AK189" s="1714"/>
      <c r="AL189" s="1477"/>
      <c r="AM189" s="1477"/>
      <c r="AN189" s="1477"/>
      <c r="AO189" s="284"/>
      <c r="AP189" s="1477"/>
      <c r="AQ189" s="1477"/>
      <c r="AR189" s="1477"/>
      <c r="AS189" s="1477"/>
      <c r="AT189" s="1477"/>
      <c r="AU189" s="1477"/>
      <c r="AV189" s="1477"/>
      <c r="AW189" s="1477"/>
      <c r="AX189" s="1477"/>
      <c r="AY189" s="1477"/>
      <c r="AZ189" s="1477"/>
      <c r="BA189" s="1477"/>
      <c r="BB189" s="1477"/>
      <c r="BC189" s="1477"/>
      <c r="BD189" s="1477"/>
      <c r="BE189" s="1477"/>
      <c r="BF189" s="1477"/>
      <c r="BG189" s="1477"/>
      <c r="BH189" s="1477"/>
      <c r="BI189" s="1477"/>
      <c r="BJ189" s="1477"/>
      <c r="BK189" s="1477"/>
      <c r="BL189" s="1477"/>
      <c r="BM189" s="1477"/>
      <c r="BN189" s="1477"/>
      <c r="BO189" s="1477"/>
      <c r="BP189" s="1477"/>
      <c r="BQ189" s="1477"/>
      <c r="BR189" s="1477"/>
      <c r="BS189" s="1477"/>
      <c r="BT189" s="1477"/>
      <c r="BU189" s="1477"/>
      <c r="BV189" s="1477"/>
      <c r="BW189" s="1477"/>
      <c r="BX189" s="1477"/>
      <c r="BY189" s="1477"/>
      <c r="BZ189" s="1477"/>
      <c r="CA189" s="1477"/>
      <c r="CB189" s="1477"/>
      <c r="CC189" s="1477"/>
      <c r="CD189" s="1477"/>
      <c r="CE189" s="1477"/>
      <c r="CF189" s="1477"/>
      <c r="CG189" s="1477"/>
      <c r="CH189" s="1477"/>
    </row>
    <row r="190" spans="2:86">
      <c r="B190" s="1714"/>
      <c r="C190" s="1584" t="str">
        <f t="shared" si="66"/>
        <v>Construction Loan 3</v>
      </c>
      <c r="D190" s="1584" t="str">
        <f t="shared" si="66"/>
        <v>Enter Lender Name</v>
      </c>
      <c r="E190" s="1573">
        <f>+SUM(H190:AJ190)</f>
        <v>0</v>
      </c>
      <c r="F190" s="1737" t="s">
        <v>2867</v>
      </c>
      <c r="G190" s="1585">
        <f>Construction_Rate_3</f>
        <v>0</v>
      </c>
      <c r="H190" s="1573">
        <f>IF(G$8&lt;=$I$7,SUM($G180:G180)*$G190/12,0)</f>
        <v>0</v>
      </c>
      <c r="I190" s="1573">
        <f>IF(H$8&lt;=$I$7,SUM($G180:H180)*$G190/12,0)</f>
        <v>0</v>
      </c>
      <c r="J190" s="1573">
        <f>IF(I$8&lt;=$I$7,SUM($G180:I180)*$G190/12,0)</f>
        <v>0</v>
      </c>
      <c r="K190" s="1573">
        <f>IF(J$8&lt;=$I$7,SUM($G180:J180)*$G190/12,0)</f>
        <v>0</v>
      </c>
      <c r="L190" s="1573">
        <f>IF(K$8&lt;=$I$7,SUM($G180:K180)*$G190/12,0)</f>
        <v>0</v>
      </c>
      <c r="M190" s="1573">
        <f>IF(L$8&lt;=$I$7,SUM($G180:L180)*$G190/12,0)</f>
        <v>0</v>
      </c>
      <c r="N190" s="1573">
        <f>IF(M$8&lt;=$I$7,SUM($G180:M180)*$G190/12,0)</f>
        <v>0</v>
      </c>
      <c r="O190" s="1573">
        <f>IF(N$8&lt;=$I$7,SUM($G180:N180)*$G190/12,0)</f>
        <v>0</v>
      </c>
      <c r="P190" s="1573">
        <f>IF(O$8&lt;=$I$7,SUM($G180:O180)*$G190/12,0)</f>
        <v>0</v>
      </c>
      <c r="Q190" s="1573">
        <f>IF(P$8&lt;=$I$7,SUM($G180:P180)*$G190/12,0)</f>
        <v>0</v>
      </c>
      <c r="R190" s="1573">
        <f>IF(Q$8&lt;=$I$7,SUM($G180:Q180)*$G190/12,0)</f>
        <v>0</v>
      </c>
      <c r="S190" s="1573">
        <f>IF(R$8&lt;=$I$7,SUM($G180:R180)*$G190/12,0)</f>
        <v>0</v>
      </c>
      <c r="T190" s="1573">
        <f>IF(S$8&lt;=$I$7,SUM($G180:S180)*$G190/12,0)</f>
        <v>0</v>
      </c>
      <c r="U190" s="1573">
        <f>IF(T$8&lt;=$I$7,SUM($G180:T180)*$G190/12,0)</f>
        <v>0</v>
      </c>
      <c r="V190" s="1573">
        <f>IF(U$8&lt;=$I$7,SUM($G180:U180)*$G190/12,0)</f>
        <v>0</v>
      </c>
      <c r="W190" s="1573">
        <f>IF(V$8&lt;=$I$7,SUM($G180:V180)*$G190/12,0)</f>
        <v>0</v>
      </c>
      <c r="X190" s="1573">
        <f>IF(W$8&lt;=$I$7,SUM($G180:W180)*$G190/12,0)</f>
        <v>0</v>
      </c>
      <c r="Y190" s="1573">
        <f>IF(X$8&lt;=$I$7,SUM($G180:X180)*$G190/12,0)</f>
        <v>0</v>
      </c>
      <c r="Z190" s="1573">
        <f>IF(Y$8&lt;=$I$7,SUM($G180:Y180)*$G190/12,0)</f>
        <v>0</v>
      </c>
      <c r="AA190" s="1573">
        <f>IF(Z$8&lt;=$I$7,SUM($G180:Z180)*$G190/12,0)</f>
        <v>0</v>
      </c>
      <c r="AB190" s="1573">
        <f>IF(AA$8&lt;=$I$7,SUM($G180:AA180)*$G190/12,0)</f>
        <v>0</v>
      </c>
      <c r="AC190" s="1573">
        <f>IF(AB$8&lt;=$I$7,SUM($G180:AB180)*$G190/12,0)</f>
        <v>0</v>
      </c>
      <c r="AD190" s="1573">
        <f>IF(AC$8&lt;=$I$7,SUM($G180:AC180)*$G190/12,0)</f>
        <v>0</v>
      </c>
      <c r="AE190" s="1573">
        <f>IF(AD$8&lt;=$I$7,SUM($G180:AD180)*$G190/12,0)</f>
        <v>0</v>
      </c>
      <c r="AF190" s="1573">
        <f>IF(AE$8&lt;=$I$7,SUM($G180:AE180)*$G190/12,0)</f>
        <v>0</v>
      </c>
      <c r="AG190" s="1573">
        <f>IF(AF$8&lt;=$I$7,SUM($G180:AF180)*$G190/12,0)</f>
        <v>0</v>
      </c>
      <c r="AH190" s="1573">
        <f>IF(AG$8&lt;=$I$7,SUM($G180:AG180)*$G190/12,0)</f>
        <v>0</v>
      </c>
      <c r="AI190" s="1573">
        <f>IF(AH$8&lt;=$I$7,SUM($G180:AH180)*$G190/12,0)</f>
        <v>0</v>
      </c>
      <c r="AJ190" s="1573">
        <f>IF(AI$8&lt;=$I$7,SUM($G180:AI180)*$G190/12,0)</f>
        <v>0</v>
      </c>
      <c r="AK190" s="1714"/>
      <c r="AL190" s="1477"/>
      <c r="AM190" s="1477"/>
      <c r="AN190" s="1477"/>
      <c r="AO190" s="284"/>
      <c r="AP190" s="1477"/>
      <c r="AQ190" s="1477"/>
      <c r="AR190" s="1477"/>
      <c r="AS190" s="1477"/>
      <c r="AT190" s="1477"/>
      <c r="AU190" s="1477"/>
      <c r="AV190" s="1477"/>
      <c r="AW190" s="1477"/>
      <c r="AX190" s="1477"/>
      <c r="AY190" s="1477"/>
      <c r="AZ190" s="1477"/>
      <c r="BA190" s="1477"/>
      <c r="BB190" s="1477"/>
      <c r="BC190" s="1477"/>
      <c r="BD190" s="1477"/>
      <c r="BE190" s="1477"/>
      <c r="BF190" s="1477"/>
      <c r="BG190" s="1477"/>
      <c r="BH190" s="1477"/>
      <c r="BI190" s="1477"/>
      <c r="BJ190" s="1477"/>
      <c r="BK190" s="1477"/>
      <c r="BL190" s="1477"/>
      <c r="BM190" s="1477"/>
      <c r="BN190" s="1477"/>
      <c r="BO190" s="1477"/>
      <c r="BP190" s="1477"/>
      <c r="BQ190" s="1477"/>
      <c r="BR190" s="1477"/>
      <c r="BS190" s="1477"/>
      <c r="BT190" s="1477"/>
      <c r="BU190" s="1477"/>
      <c r="BV190" s="1477"/>
      <c r="BW190" s="1477"/>
      <c r="BX190" s="1477"/>
      <c r="BY190" s="1477"/>
      <c r="BZ190" s="1477"/>
      <c r="CA190" s="1477"/>
      <c r="CB190" s="1477"/>
      <c r="CC190" s="1477"/>
      <c r="CD190" s="1477"/>
      <c r="CE190" s="1477"/>
      <c r="CF190" s="1477"/>
      <c r="CG190" s="1477"/>
      <c r="CH190" s="1477"/>
    </row>
    <row r="191" spans="2:86">
      <c r="B191" s="1714"/>
      <c r="C191" s="1584" t="str">
        <f t="shared" si="66"/>
        <v>Construction Loan 4</v>
      </c>
      <c r="D191" s="1584" t="str">
        <f t="shared" si="66"/>
        <v>Enter Lender Name</v>
      </c>
      <c r="E191" s="1573">
        <f>+SUM(H191:AJ191)</f>
        <v>0</v>
      </c>
      <c r="F191" s="1737" t="s">
        <v>2867</v>
      </c>
      <c r="G191" s="1585">
        <f>Construction_Rate_4</f>
        <v>0</v>
      </c>
      <c r="H191" s="1573">
        <f>IF(G$8&lt;=$I$7,SUM($G181:G181)*$G191/12,0)</f>
        <v>0</v>
      </c>
      <c r="I191" s="1573">
        <f>IF(H$8&lt;=$I$7,SUM($G181:H181)*$G191/12,0)</f>
        <v>0</v>
      </c>
      <c r="J191" s="1573">
        <f>IF(I$8&lt;=$I$7,SUM($G181:I181)*$G191/12,0)</f>
        <v>0</v>
      </c>
      <c r="K191" s="1573">
        <f>IF(J$8&lt;=$I$7,SUM($G181:J181)*$G191/12,0)</f>
        <v>0</v>
      </c>
      <c r="L191" s="1573">
        <f>IF(K$8&lt;=$I$7,SUM($G181:K181)*$G191/12,0)</f>
        <v>0</v>
      </c>
      <c r="M191" s="1573">
        <f>IF(L$8&lt;=$I$7,SUM($G181:L181)*$G191/12,0)</f>
        <v>0</v>
      </c>
      <c r="N191" s="1573">
        <f>IF(M$8&lt;=$I$7,SUM($G181:M181)*$G191/12,0)</f>
        <v>0</v>
      </c>
      <c r="O191" s="1573">
        <f>IF(N$8&lt;=$I$7,SUM($G181:N181)*$G191/12,0)</f>
        <v>0</v>
      </c>
      <c r="P191" s="1573">
        <f>IF(O$8&lt;=$I$7,SUM($G181:O181)*$G191/12,0)</f>
        <v>0</v>
      </c>
      <c r="Q191" s="1573">
        <f>IF(P$8&lt;=$I$7,SUM($G181:P181)*$G191/12,0)</f>
        <v>0</v>
      </c>
      <c r="R191" s="1573">
        <f>IF(Q$8&lt;=$I$7,SUM($G181:Q181)*$G191/12,0)</f>
        <v>0</v>
      </c>
      <c r="S191" s="1573">
        <f>IF(R$8&lt;=$I$7,SUM($G181:R181)*$G191/12,0)</f>
        <v>0</v>
      </c>
      <c r="T191" s="1573">
        <f>IF(S$8&lt;=$I$7,SUM($G181:S181)*$G191/12,0)</f>
        <v>0</v>
      </c>
      <c r="U191" s="1573">
        <f>IF(T$8&lt;=$I$7,SUM($G181:T181)*$G191/12,0)</f>
        <v>0</v>
      </c>
      <c r="V191" s="1573">
        <f>IF(U$8&lt;=$I$7,SUM($G181:U181)*$G191/12,0)</f>
        <v>0</v>
      </c>
      <c r="W191" s="1573">
        <f>IF(V$8&lt;=$I$7,SUM($G181:V181)*$G191/12,0)</f>
        <v>0</v>
      </c>
      <c r="X191" s="1573">
        <f>IF(W$8&lt;=$I$7,SUM($G181:W181)*$G191/12,0)</f>
        <v>0</v>
      </c>
      <c r="Y191" s="1573">
        <f>IF(X$8&lt;=$I$7,SUM($G181:X181)*$G191/12,0)</f>
        <v>0</v>
      </c>
      <c r="Z191" s="1573">
        <f>IF(Y$8&lt;=$I$7,SUM($G181:Y181)*$G191/12,0)</f>
        <v>0</v>
      </c>
      <c r="AA191" s="1573">
        <f>IF(Z$8&lt;=$I$7,SUM($G181:Z181)*$G191/12,0)</f>
        <v>0</v>
      </c>
      <c r="AB191" s="1573">
        <f>IF(AA$8&lt;=$I$7,SUM($G181:AA181)*$G191/12,0)</f>
        <v>0</v>
      </c>
      <c r="AC191" s="1573">
        <f>IF(AB$8&lt;=$I$7,SUM($G181:AB181)*$G191/12,0)</f>
        <v>0</v>
      </c>
      <c r="AD191" s="1573">
        <f>IF(AC$8&lt;=$I$7,SUM($G181:AC181)*$G191/12,0)</f>
        <v>0</v>
      </c>
      <c r="AE191" s="1573">
        <f>IF(AD$8&lt;=$I$7,SUM($G181:AD181)*$G191/12,0)</f>
        <v>0</v>
      </c>
      <c r="AF191" s="1573">
        <f>IF(AE$8&lt;=$I$7,SUM($G181:AE181)*$G191/12,0)</f>
        <v>0</v>
      </c>
      <c r="AG191" s="1573">
        <f>IF(AF$8&lt;=$I$7,SUM($G181:AF181)*$G191/12,0)</f>
        <v>0</v>
      </c>
      <c r="AH191" s="1573">
        <f>IF(AG$8&lt;=$I$7,SUM($G181:AG181)*$G191/12,0)</f>
        <v>0</v>
      </c>
      <c r="AI191" s="1573">
        <f>IF(AH$8&lt;=$I$7,SUM($G181:AH181)*$G191/12,0)</f>
        <v>0</v>
      </c>
      <c r="AJ191" s="1573">
        <f>IF(AI$8&lt;=$I$7,SUM($G181:AI181)*$G191/12,0)</f>
        <v>0</v>
      </c>
      <c r="AK191" s="1714"/>
      <c r="AL191" s="1477"/>
      <c r="AM191" s="1477"/>
      <c r="AN191" s="1477"/>
      <c r="AO191" s="284"/>
      <c r="AP191" s="1477"/>
      <c r="AQ191" s="1477"/>
      <c r="AR191" s="1477"/>
      <c r="AS191" s="1477"/>
      <c r="AT191" s="1477"/>
      <c r="AU191" s="1477"/>
      <c r="AV191" s="1477"/>
      <c r="AW191" s="1477"/>
      <c r="AX191" s="1477"/>
      <c r="AY191" s="1477"/>
      <c r="AZ191" s="1477"/>
      <c r="BA191" s="1477"/>
      <c r="BB191" s="1477"/>
      <c r="BC191" s="1477"/>
      <c r="BD191" s="1477"/>
      <c r="BE191" s="1477"/>
      <c r="BF191" s="1477"/>
      <c r="BG191" s="1477"/>
      <c r="BH191" s="1477"/>
      <c r="BI191" s="1477"/>
      <c r="BJ191" s="1477"/>
      <c r="BK191" s="1477"/>
      <c r="BL191" s="1477"/>
      <c r="BM191" s="1477"/>
      <c r="BN191" s="1477"/>
      <c r="BO191" s="1477"/>
      <c r="BP191" s="1477"/>
      <c r="BQ191" s="1477"/>
      <c r="BR191" s="1477"/>
      <c r="BS191" s="1477"/>
      <c r="BT191" s="1477"/>
      <c r="BU191" s="1477"/>
      <c r="BV191" s="1477"/>
      <c r="BW191" s="1477"/>
      <c r="BX191" s="1477"/>
      <c r="BY191" s="1477"/>
      <c r="BZ191" s="1477"/>
      <c r="CA191" s="1477"/>
      <c r="CB191" s="1477"/>
      <c r="CC191" s="1477"/>
      <c r="CD191" s="1477"/>
      <c r="CE191" s="1477"/>
      <c r="CF191" s="1477"/>
      <c r="CG191" s="1477"/>
      <c r="CH191" s="1477"/>
    </row>
    <row r="192" spans="2:86">
      <c r="B192" s="1714"/>
      <c r="C192" s="1584" t="str">
        <f t="shared" si="66"/>
        <v>Construction Loan 5</v>
      </c>
      <c r="D192" s="1584" t="str">
        <f t="shared" si="66"/>
        <v>Enter Lender Name</v>
      </c>
      <c r="E192" s="1573">
        <f>+SUM(H192:AJ192)</f>
        <v>0</v>
      </c>
      <c r="F192" s="1737" t="s">
        <v>2867</v>
      </c>
      <c r="G192" s="1585">
        <f>Construction_Rate_5</f>
        <v>0</v>
      </c>
      <c r="H192" s="1573">
        <f>IF(G$8&lt;=$I$7,SUM($G182:G182)*$G192/12,0)</f>
        <v>0</v>
      </c>
      <c r="I192" s="1573">
        <f>IF(H$8&lt;=$I$7,SUM($G182:H182)*$G192/12,0)</f>
        <v>0</v>
      </c>
      <c r="J192" s="1573">
        <f>IF(I$8&lt;=$I$7,SUM($G182:I182)*$G192/12,0)</f>
        <v>0</v>
      </c>
      <c r="K192" s="1573">
        <f>IF(J$8&lt;=$I$7,SUM($G182:J182)*$G192/12,0)</f>
        <v>0</v>
      </c>
      <c r="L192" s="1573">
        <f>IF(K$8&lt;=$I$7,SUM($G182:K182)*$G192/12,0)</f>
        <v>0</v>
      </c>
      <c r="M192" s="1573">
        <f>IF(L$8&lt;=$I$7,SUM($G182:L182)*$G192/12,0)</f>
        <v>0</v>
      </c>
      <c r="N192" s="1573">
        <f>IF(M$8&lt;=$I$7,SUM($G182:M182)*$G192/12,0)</f>
        <v>0</v>
      </c>
      <c r="O192" s="1573">
        <f>IF(N$8&lt;=$I$7,SUM($G182:N182)*$G192/12,0)</f>
        <v>0</v>
      </c>
      <c r="P192" s="1573">
        <f>IF(O$8&lt;=$I$7,SUM($G182:O182)*$G192/12,0)</f>
        <v>0</v>
      </c>
      <c r="Q192" s="1573">
        <f>IF(P$8&lt;=$I$7,SUM($G182:P182)*$G192/12,0)</f>
        <v>0</v>
      </c>
      <c r="R192" s="1573">
        <f>IF(Q$8&lt;=$I$7,SUM($G182:Q182)*$G192/12,0)</f>
        <v>0</v>
      </c>
      <c r="S192" s="1573">
        <f>IF(R$8&lt;=$I$7,SUM($G182:R182)*$G192/12,0)</f>
        <v>0</v>
      </c>
      <c r="T192" s="1573">
        <f>IF(S$8&lt;=$I$7,SUM($G182:S182)*$G192/12,0)</f>
        <v>0</v>
      </c>
      <c r="U192" s="1573">
        <f>IF(T$8&lt;=$I$7,SUM($G182:T182)*$G192/12,0)</f>
        <v>0</v>
      </c>
      <c r="V192" s="1573">
        <f>IF(U$8&lt;=$I$7,SUM($G182:U182)*$G192/12,0)</f>
        <v>0</v>
      </c>
      <c r="W192" s="1573">
        <f>IF(V$8&lt;=$I$7,SUM($G182:V182)*$G192/12,0)</f>
        <v>0</v>
      </c>
      <c r="X192" s="1573">
        <f>IF(W$8&lt;=$I$7,SUM($G182:W182)*$G192/12,0)</f>
        <v>0</v>
      </c>
      <c r="Y192" s="1573">
        <f>IF(X$8&lt;=$I$7,SUM($G182:X182)*$G192/12,0)</f>
        <v>0</v>
      </c>
      <c r="Z192" s="1573">
        <f>IF(Y$8&lt;=$I$7,SUM($G182:Y182)*$G192/12,0)</f>
        <v>0</v>
      </c>
      <c r="AA192" s="1573">
        <f>IF(Z$8&lt;=$I$7,SUM($G182:Z182)*$G192/12,0)</f>
        <v>0</v>
      </c>
      <c r="AB192" s="1573">
        <f>IF(AA$8&lt;=$I$7,SUM($G182:AA182)*$G192/12,0)</f>
        <v>0</v>
      </c>
      <c r="AC192" s="1573">
        <f>IF(AB$8&lt;=$I$7,SUM($G182:AB182)*$G192/12,0)</f>
        <v>0</v>
      </c>
      <c r="AD192" s="1573">
        <f>IF(AC$8&lt;=$I$7,SUM($G182:AC182)*$G192/12,0)</f>
        <v>0</v>
      </c>
      <c r="AE192" s="1573">
        <f>IF(AD$8&lt;=$I$7,SUM($G182:AD182)*$G192/12,0)</f>
        <v>0</v>
      </c>
      <c r="AF192" s="1573">
        <f>IF(AE$8&lt;=$I$7,SUM($G182:AE182)*$G192/12,0)</f>
        <v>0</v>
      </c>
      <c r="AG192" s="1573">
        <f>IF(AF$8&lt;=$I$7,SUM($G182:AF182)*$G192/12,0)</f>
        <v>0</v>
      </c>
      <c r="AH192" s="1573">
        <f>IF(AG$8&lt;=$I$7,SUM($G182:AG182)*$G192/12,0)</f>
        <v>0</v>
      </c>
      <c r="AI192" s="1573">
        <f>IF(AH$8&lt;=$I$7,SUM($G182:AH182)*$G192/12,0)</f>
        <v>0</v>
      </c>
      <c r="AJ192" s="1573">
        <f>IF(AI$8&lt;=$I$7,SUM($G182:AI182)*$G192/12,0)</f>
        <v>0</v>
      </c>
      <c r="AK192" s="1714"/>
      <c r="AL192" s="1477"/>
      <c r="AM192" s="1477"/>
      <c r="AN192" s="1477"/>
      <c r="AO192" s="284"/>
      <c r="AP192" s="1477"/>
      <c r="AQ192" s="1477"/>
      <c r="AR192" s="1477"/>
      <c r="AS192" s="1477"/>
      <c r="AT192" s="1477"/>
      <c r="AU192" s="1477"/>
      <c r="AV192" s="1477"/>
      <c r="AW192" s="1477"/>
      <c r="AX192" s="1477"/>
      <c r="AY192" s="1477"/>
      <c r="AZ192" s="1477"/>
      <c r="BA192" s="1477"/>
      <c r="BB192" s="1477"/>
      <c r="BC192" s="1477"/>
      <c r="BD192" s="1477"/>
      <c r="BE192" s="1477"/>
      <c r="BF192" s="1477"/>
      <c r="BG192" s="1477"/>
      <c r="BH192" s="1477"/>
      <c r="BI192" s="1477"/>
      <c r="BJ192" s="1477"/>
      <c r="BK192" s="1477"/>
      <c r="BL192" s="1477"/>
      <c r="BM192" s="1477"/>
      <c r="BN192" s="1477"/>
      <c r="BO192" s="1477"/>
      <c r="BP192" s="1477"/>
      <c r="BQ192" s="1477"/>
      <c r="BR192" s="1477"/>
      <c r="BS192" s="1477"/>
      <c r="BT192" s="1477"/>
      <c r="BU192" s="1477"/>
      <c r="BV192" s="1477"/>
      <c r="BW192" s="1477"/>
      <c r="BX192" s="1477"/>
      <c r="BY192" s="1477"/>
      <c r="BZ192" s="1477"/>
      <c r="CA192" s="1477"/>
      <c r="CB192" s="1477"/>
      <c r="CC192" s="1477"/>
      <c r="CD192" s="1477"/>
      <c r="CE192" s="1477"/>
      <c r="CF192" s="1477"/>
      <c r="CG192" s="1477"/>
      <c r="CH192" s="1477"/>
    </row>
    <row r="193" spans="2:86">
      <c r="B193" s="1714"/>
      <c r="C193" s="1586" t="s">
        <v>4928</v>
      </c>
      <c r="D193" s="1737" t="s">
        <v>4929</v>
      </c>
      <c r="E193" s="1573">
        <f>SUM(G193:AJ193)</f>
        <v>0</v>
      </c>
      <c r="F193" s="1737" t="s">
        <v>2867</v>
      </c>
      <c r="G193" s="1585">
        <f>+Rate_1</f>
        <v>0</v>
      </c>
      <c r="H193" s="1587">
        <v>0</v>
      </c>
      <c r="I193" s="1587">
        <v>0</v>
      </c>
      <c r="J193" s="1587">
        <v>0</v>
      </c>
      <c r="K193" s="1587">
        <v>0</v>
      </c>
      <c r="L193" s="1587">
        <v>0</v>
      </c>
      <c r="M193" s="1587">
        <v>0</v>
      </c>
      <c r="N193" s="1587">
        <v>0</v>
      </c>
      <c r="O193" s="1587">
        <v>0</v>
      </c>
      <c r="P193" s="1587">
        <v>0</v>
      </c>
      <c r="Q193" s="1587">
        <v>0</v>
      </c>
      <c r="R193" s="1587">
        <v>0</v>
      </c>
      <c r="S193" s="1587">
        <v>0</v>
      </c>
      <c r="T193" s="1587">
        <v>0</v>
      </c>
      <c r="U193" s="1587">
        <v>0</v>
      </c>
      <c r="V193" s="1587">
        <v>0</v>
      </c>
      <c r="W193" s="1587">
        <v>0</v>
      </c>
      <c r="X193" s="1587">
        <v>0</v>
      </c>
      <c r="Y193" s="1587">
        <v>0</v>
      </c>
      <c r="Z193" s="1587">
        <v>0</v>
      </c>
      <c r="AA193" s="1587">
        <v>0</v>
      </c>
      <c r="AB193" s="1587">
        <v>0</v>
      </c>
      <c r="AC193" s="1587">
        <v>0</v>
      </c>
      <c r="AD193" s="1587">
        <v>0</v>
      </c>
      <c r="AE193" s="1587">
        <v>0</v>
      </c>
      <c r="AF193" s="1587">
        <v>0</v>
      </c>
      <c r="AG193" s="1587">
        <v>0</v>
      </c>
      <c r="AH193" s="1587">
        <v>0</v>
      </c>
      <c r="AI193" s="1587">
        <v>0</v>
      </c>
      <c r="AJ193" s="1587">
        <v>0</v>
      </c>
      <c r="AK193" s="1714"/>
      <c r="AL193" s="1477"/>
      <c r="AM193" s="1477"/>
      <c r="AN193" s="1477"/>
      <c r="AO193" s="284"/>
      <c r="AP193" s="1477"/>
      <c r="AQ193" s="1477"/>
      <c r="AR193" s="1477"/>
      <c r="AS193" s="1477"/>
      <c r="AT193" s="1477"/>
      <c r="AU193" s="1477"/>
      <c r="AV193" s="1477"/>
      <c r="AW193" s="1477"/>
      <c r="AX193" s="1477"/>
      <c r="AY193" s="1477"/>
      <c r="AZ193" s="1477"/>
      <c r="BA193" s="1477"/>
      <c r="BB193" s="1477"/>
      <c r="BC193" s="1477"/>
      <c r="BD193" s="1477"/>
      <c r="BE193" s="1477"/>
      <c r="BF193" s="1477"/>
      <c r="BG193" s="1477"/>
      <c r="BH193" s="1477"/>
      <c r="BI193" s="1477"/>
      <c r="BJ193" s="1477"/>
      <c r="BK193" s="1477"/>
      <c r="BL193" s="1477"/>
      <c r="BM193" s="1477"/>
      <c r="BN193" s="1477"/>
      <c r="BO193" s="1477"/>
      <c r="BP193" s="1477"/>
      <c r="BQ193" s="1477"/>
      <c r="BR193" s="1477"/>
      <c r="BS193" s="1477"/>
      <c r="BT193" s="1477"/>
      <c r="BU193" s="1477"/>
      <c r="BV193" s="1477"/>
      <c r="BW193" s="1477"/>
      <c r="BX193" s="1477"/>
      <c r="BY193" s="1477"/>
      <c r="BZ193" s="1477"/>
      <c r="CA193" s="1477"/>
      <c r="CB193" s="1477"/>
      <c r="CC193" s="1477"/>
      <c r="CD193" s="1477"/>
      <c r="CE193" s="1477"/>
      <c r="CF193" s="1477"/>
      <c r="CG193" s="1477"/>
      <c r="CH193" s="1477"/>
    </row>
    <row r="194" spans="2:86">
      <c r="B194" s="1714"/>
      <c r="C194" s="1586" t="s">
        <v>3508</v>
      </c>
      <c r="D194" s="1737"/>
      <c r="E194" s="1588">
        <f>SUM(E188:E193)</f>
        <v>0</v>
      </c>
      <c r="F194" s="1589" t="s">
        <v>4930</v>
      </c>
      <c r="G194" s="1589"/>
      <c r="H194" s="1589"/>
      <c r="I194" s="1589"/>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714"/>
      <c r="AL194" s="1477"/>
      <c r="AM194" s="1477"/>
      <c r="AN194" s="1477"/>
      <c r="AO194" s="284"/>
      <c r="AP194" s="1477"/>
      <c r="AQ194" s="1477"/>
      <c r="AR194" s="1477"/>
      <c r="AS194" s="1477"/>
      <c r="AT194" s="1477"/>
      <c r="AU194" s="1477"/>
      <c r="AV194" s="1477"/>
      <c r="AW194" s="1477"/>
      <c r="AX194" s="1477"/>
      <c r="AY194" s="1477"/>
      <c r="AZ194" s="1477"/>
      <c r="BA194" s="1477"/>
      <c r="BB194" s="1477"/>
      <c r="BC194" s="1477"/>
      <c r="BD194" s="1477"/>
      <c r="BE194" s="1477"/>
      <c r="BF194" s="1477"/>
      <c r="BG194" s="1477"/>
      <c r="BH194" s="1477"/>
      <c r="BI194" s="1477"/>
      <c r="BJ194" s="1477"/>
      <c r="BK194" s="1477"/>
      <c r="BL194" s="1477"/>
      <c r="BM194" s="1477"/>
      <c r="BN194" s="1477"/>
      <c r="BO194" s="1477"/>
      <c r="BP194" s="1477"/>
      <c r="BQ194" s="1477"/>
      <c r="BR194" s="1477"/>
      <c r="BS194" s="1477"/>
      <c r="BT194" s="1477"/>
      <c r="BU194" s="1477"/>
      <c r="BV194" s="1477"/>
      <c r="BW194" s="1477"/>
      <c r="BX194" s="1477"/>
      <c r="BY194" s="1477"/>
      <c r="BZ194" s="1477"/>
      <c r="CA194" s="1477"/>
      <c r="CB194" s="1477"/>
      <c r="CC194" s="1477"/>
      <c r="CD194" s="1477"/>
      <c r="CE194" s="1477"/>
      <c r="CF194" s="1477"/>
      <c r="CG194" s="1477"/>
      <c r="CH194" s="1477"/>
    </row>
    <row r="195" spans="2:86">
      <c r="B195" s="1714"/>
      <c r="C195" s="1586" t="s">
        <v>4931</v>
      </c>
      <c r="D195" s="1737"/>
      <c r="E195" s="1588">
        <f>SUM('14. Project Costs'!F80:F81)</f>
        <v>0</v>
      </c>
      <c r="F195" s="1589"/>
      <c r="G195" s="1589"/>
      <c r="H195" s="1589"/>
      <c r="I195" s="1589"/>
      <c r="J195" s="1589"/>
      <c r="K195" s="1589"/>
      <c r="L195" s="1589"/>
      <c r="M195" s="1589"/>
      <c r="N195" s="1589"/>
      <c r="O195" s="1589"/>
      <c r="P195" s="1589"/>
      <c r="Q195" s="1589"/>
      <c r="R195" s="1589"/>
      <c r="S195" s="1589"/>
      <c r="T195" s="1589"/>
      <c r="U195" s="1589"/>
      <c r="V195" s="1589"/>
      <c r="W195" s="1589"/>
      <c r="X195" s="1589"/>
      <c r="Y195" s="1589"/>
      <c r="Z195" s="1589"/>
      <c r="AA195" s="1589"/>
      <c r="AB195" s="1589"/>
      <c r="AC195" s="1589"/>
      <c r="AD195" s="1589"/>
      <c r="AE195" s="1589"/>
      <c r="AF195" s="1589"/>
      <c r="AG195" s="1589"/>
      <c r="AH195" s="1589"/>
      <c r="AI195" s="1589"/>
      <c r="AJ195" s="1589"/>
      <c r="AK195" s="1714"/>
      <c r="AL195" s="1477"/>
      <c r="AM195" s="1477"/>
      <c r="AN195" s="1477"/>
      <c r="AO195" s="284"/>
      <c r="AP195" s="1477"/>
      <c r="AQ195" s="1477"/>
      <c r="AR195" s="1477"/>
      <c r="AS195" s="1477"/>
      <c r="AT195" s="1477"/>
      <c r="AU195" s="1477"/>
      <c r="AV195" s="1477"/>
      <c r="AW195" s="1477"/>
      <c r="AX195" s="1477"/>
      <c r="AY195" s="1477"/>
      <c r="AZ195" s="1477"/>
      <c r="BA195" s="1477"/>
      <c r="BB195" s="1477"/>
      <c r="BC195" s="1477"/>
      <c r="BD195" s="1477"/>
      <c r="BE195" s="1477"/>
      <c r="BF195" s="1477"/>
      <c r="BG195" s="1477"/>
      <c r="BH195" s="1477"/>
      <c r="BI195" s="1477"/>
      <c r="BJ195" s="1477"/>
      <c r="BK195" s="1477"/>
      <c r="BL195" s="1477"/>
      <c r="BM195" s="1477"/>
      <c r="BN195" s="1477"/>
      <c r="BO195" s="1477"/>
      <c r="BP195" s="1477"/>
      <c r="BQ195" s="1477"/>
      <c r="BR195" s="1477"/>
      <c r="BS195" s="1477"/>
      <c r="BT195" s="1477"/>
      <c r="BU195" s="1477"/>
      <c r="BV195" s="1477"/>
      <c r="BW195" s="1477"/>
      <c r="BX195" s="1477"/>
      <c r="BY195" s="1477"/>
      <c r="BZ195" s="1477"/>
      <c r="CA195" s="1477"/>
      <c r="CB195" s="1477"/>
      <c r="CC195" s="1477"/>
      <c r="CD195" s="1477"/>
      <c r="CE195" s="1477"/>
      <c r="CF195" s="1477"/>
      <c r="CG195" s="1477"/>
      <c r="CH195" s="1477"/>
    </row>
    <row r="196" spans="2:86">
      <c r="B196" s="1714"/>
      <c r="C196" s="1714" t="s">
        <v>4932</v>
      </c>
      <c r="D196" s="1714"/>
      <c r="E196" s="1582"/>
      <c r="F196" s="1582"/>
      <c r="G196" s="1590"/>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C196" s="1582"/>
      <c r="AD196" s="1582"/>
      <c r="AE196" s="1582"/>
      <c r="AF196" s="1582"/>
      <c r="AG196" s="1582"/>
      <c r="AH196" s="1582"/>
      <c r="AI196" s="1582"/>
      <c r="AJ196" s="1582"/>
      <c r="AK196" s="1714"/>
      <c r="AL196" s="1477"/>
      <c r="AM196" s="1477"/>
      <c r="AN196" s="1477"/>
      <c r="AO196" s="284"/>
      <c r="AP196" s="1477"/>
      <c r="AQ196" s="1477"/>
      <c r="AR196" s="1477"/>
      <c r="AS196" s="1477"/>
      <c r="AT196" s="1477"/>
      <c r="AU196" s="1477"/>
      <c r="AV196" s="1477"/>
      <c r="AW196" s="1477"/>
      <c r="AX196" s="1477"/>
      <c r="AY196" s="1477"/>
      <c r="AZ196" s="1477"/>
      <c r="BA196" s="1477"/>
      <c r="BB196" s="1477"/>
      <c r="BC196" s="1477"/>
      <c r="BD196" s="1477"/>
      <c r="BE196" s="1477"/>
      <c r="BF196" s="1477"/>
      <c r="BG196" s="1477"/>
      <c r="BH196" s="1477"/>
      <c r="BI196" s="1477"/>
      <c r="BJ196" s="1477"/>
      <c r="BK196" s="1477"/>
      <c r="BL196" s="1477"/>
      <c r="BM196" s="1477"/>
      <c r="BN196" s="1477"/>
      <c r="BO196" s="1477"/>
      <c r="BP196" s="1477"/>
      <c r="BQ196" s="1477"/>
      <c r="BR196" s="1477"/>
      <c r="BS196" s="1477"/>
      <c r="BT196" s="1477"/>
      <c r="BU196" s="1477"/>
      <c r="BV196" s="1477"/>
      <c r="BW196" s="1477"/>
      <c r="BX196" s="1477"/>
      <c r="BY196" s="1477"/>
      <c r="BZ196" s="1477"/>
      <c r="CA196" s="1477"/>
      <c r="CB196" s="1477"/>
      <c r="CC196" s="1477"/>
      <c r="CD196" s="1477"/>
      <c r="CE196" s="1477"/>
      <c r="CF196" s="1477"/>
      <c r="CG196" s="1477"/>
      <c r="CH196" s="1477"/>
    </row>
    <row r="197" spans="2:86">
      <c r="B197" s="1714"/>
      <c r="C197" s="143" t="s">
        <v>4933</v>
      </c>
      <c r="D197" s="143"/>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714"/>
      <c r="AL197" s="1477"/>
      <c r="AM197" s="1477"/>
      <c r="AN197" s="1477"/>
      <c r="AO197" s="284"/>
      <c r="AP197" s="1477"/>
      <c r="AQ197" s="1477"/>
      <c r="AR197" s="1477"/>
      <c r="AS197" s="1477"/>
      <c r="AT197" s="1477"/>
      <c r="AU197" s="1477"/>
      <c r="AV197" s="1477"/>
      <c r="AW197" s="1477"/>
      <c r="AX197" s="1477"/>
      <c r="AY197" s="1477"/>
      <c r="AZ197" s="1477"/>
      <c r="BA197" s="1477"/>
      <c r="BB197" s="1477"/>
      <c r="BC197" s="1477"/>
      <c r="BD197" s="1477"/>
      <c r="BE197" s="1477"/>
      <c r="BF197" s="1477"/>
      <c r="BG197" s="1477"/>
      <c r="BH197" s="1477"/>
      <c r="BI197" s="1477"/>
      <c r="BJ197" s="1477"/>
      <c r="BK197" s="1477"/>
      <c r="BL197" s="1477"/>
      <c r="BM197" s="1477"/>
      <c r="BN197" s="1477"/>
      <c r="BO197" s="1477"/>
      <c r="BP197" s="1477"/>
      <c r="BQ197" s="1477"/>
      <c r="BR197" s="1477"/>
      <c r="BS197" s="1477"/>
      <c r="BT197" s="1477"/>
      <c r="BU197" s="1477"/>
      <c r="BV197" s="1477"/>
      <c r="BW197" s="1477"/>
      <c r="BX197" s="1477"/>
      <c r="BY197" s="1477"/>
      <c r="BZ197" s="1477"/>
      <c r="CA197" s="1477"/>
      <c r="CB197" s="1477"/>
      <c r="CC197" s="1477"/>
      <c r="CD197" s="1477"/>
      <c r="CE197" s="1477"/>
      <c r="CF197" s="1477"/>
      <c r="CG197" s="1477"/>
      <c r="CH197" s="1477"/>
    </row>
    <row r="198" spans="2:86" ht="30">
      <c r="B198" s="1714"/>
      <c r="C198" s="122" t="s">
        <v>4120</v>
      </c>
      <c r="D198" s="122"/>
      <c r="E198" s="146" t="s">
        <v>4921</v>
      </c>
      <c r="F198" s="146" t="s">
        <v>4914</v>
      </c>
      <c r="G198" s="146" t="str">
        <f t="shared" ref="G198:AJ198" si="67">G177</f>
        <v>Draw #1</v>
      </c>
      <c r="H198" s="146" t="str">
        <f t="shared" si="67"/>
        <v>Draw #2</v>
      </c>
      <c r="I198" s="146" t="str">
        <f t="shared" si="67"/>
        <v>Draw #3</v>
      </c>
      <c r="J198" s="146" t="str">
        <f t="shared" si="67"/>
        <v>Draw #4</v>
      </c>
      <c r="K198" s="146" t="str">
        <f t="shared" si="67"/>
        <v>Draw #5</v>
      </c>
      <c r="L198" s="146" t="str">
        <f t="shared" si="67"/>
        <v>Draw #6</v>
      </c>
      <c r="M198" s="146" t="str">
        <f t="shared" si="67"/>
        <v>Draw #7</v>
      </c>
      <c r="N198" s="146" t="str">
        <f t="shared" si="67"/>
        <v>Draw #8</v>
      </c>
      <c r="O198" s="146" t="str">
        <f t="shared" si="67"/>
        <v>Draw #9</v>
      </c>
      <c r="P198" s="146" t="str">
        <f t="shared" si="67"/>
        <v>Draw #10</v>
      </c>
      <c r="Q198" s="146" t="str">
        <f t="shared" si="67"/>
        <v>Draw #11</v>
      </c>
      <c r="R198" s="146" t="str">
        <f t="shared" si="67"/>
        <v>Draw #12</v>
      </c>
      <c r="S198" s="146" t="str">
        <f t="shared" si="67"/>
        <v>Draw #13</v>
      </c>
      <c r="T198" s="146" t="str">
        <f t="shared" si="67"/>
        <v>Draw #14</v>
      </c>
      <c r="U198" s="146" t="str">
        <f t="shared" si="67"/>
        <v>Draw #15</v>
      </c>
      <c r="V198" s="146" t="str">
        <f t="shared" si="67"/>
        <v>Draw #16</v>
      </c>
      <c r="W198" s="146" t="str">
        <f t="shared" si="67"/>
        <v>Draw #17</v>
      </c>
      <c r="X198" s="146" t="str">
        <f t="shared" si="67"/>
        <v>Draw #18</v>
      </c>
      <c r="Y198" s="146" t="str">
        <f t="shared" si="67"/>
        <v>Draw $19</v>
      </c>
      <c r="Z198" s="146" t="str">
        <f t="shared" si="67"/>
        <v>Draw #20</v>
      </c>
      <c r="AA198" s="146" t="str">
        <f t="shared" si="67"/>
        <v>Draw #21</v>
      </c>
      <c r="AB198" s="146" t="str">
        <f t="shared" si="67"/>
        <v>Draw #22</v>
      </c>
      <c r="AC198" s="146" t="str">
        <f t="shared" si="67"/>
        <v>Draw #23</v>
      </c>
      <c r="AD198" s="146" t="str">
        <f t="shared" si="67"/>
        <v>Draw #24</v>
      </c>
      <c r="AE198" s="146" t="str">
        <f t="shared" si="67"/>
        <v>Draw #25</v>
      </c>
      <c r="AF198" s="146" t="str">
        <f t="shared" si="67"/>
        <v>Draw #26</v>
      </c>
      <c r="AG198" s="146" t="str">
        <f t="shared" si="67"/>
        <v>Draw #26</v>
      </c>
      <c r="AH198" s="146" t="str">
        <f t="shared" si="67"/>
        <v>Draw #28</v>
      </c>
      <c r="AI198" s="146" t="str">
        <f t="shared" si="67"/>
        <v>Draw #29</v>
      </c>
      <c r="AJ198" s="146" t="str">
        <f t="shared" si="67"/>
        <v>Draw #30</v>
      </c>
      <c r="AK198" s="1714"/>
      <c r="AL198" s="1477"/>
      <c r="AM198" s="1477"/>
      <c r="AN198" s="1477"/>
      <c r="AO198" s="284"/>
      <c r="AP198" s="1477"/>
      <c r="AQ198" s="1477"/>
      <c r="AR198" s="1477"/>
      <c r="AS198" s="1477"/>
      <c r="AT198" s="1477"/>
      <c r="AU198" s="1477"/>
      <c r="AV198" s="1477"/>
      <c r="AW198" s="1477"/>
      <c r="AX198" s="1477"/>
      <c r="AY198" s="1477"/>
      <c r="AZ198" s="1477"/>
      <c r="BA198" s="1477"/>
      <c r="BB198" s="1477"/>
      <c r="BC198" s="1477"/>
      <c r="BD198" s="1477"/>
      <c r="BE198" s="1477"/>
      <c r="BF198" s="1477"/>
      <c r="BG198" s="1477"/>
      <c r="BH198" s="1477"/>
      <c r="BI198" s="1477"/>
      <c r="BJ198" s="1477"/>
      <c r="BK198" s="1477"/>
      <c r="BL198" s="1477"/>
      <c r="BM198" s="1477"/>
      <c r="BN198" s="1477"/>
      <c r="BO198" s="1477"/>
      <c r="BP198" s="1477"/>
      <c r="BQ198" s="1477"/>
      <c r="BR198" s="1477"/>
      <c r="BS198" s="1477"/>
      <c r="BT198" s="1477"/>
      <c r="BU198" s="1477"/>
      <c r="BV198" s="1477"/>
      <c r="BW198" s="1477"/>
      <c r="BX198" s="1477"/>
      <c r="BY198" s="1477"/>
      <c r="BZ198" s="1477"/>
      <c r="CA198" s="1477"/>
      <c r="CB198" s="1477"/>
      <c r="CC198" s="1477"/>
      <c r="CD198" s="1477"/>
      <c r="CE198" s="1477"/>
      <c r="CF198" s="1477"/>
      <c r="CG198" s="1477"/>
      <c r="CH198" s="1477"/>
    </row>
    <row r="199" spans="2:86">
      <c r="B199" s="1714"/>
      <c r="C199" s="1109" t="s">
        <v>4934</v>
      </c>
      <c r="D199" s="1109"/>
      <c r="E199" s="1190"/>
      <c r="F199" s="1109"/>
      <c r="G199" s="1109"/>
      <c r="H199" s="1109"/>
      <c r="I199" s="1109"/>
      <c r="J199" s="1109"/>
      <c r="K199" s="1109"/>
      <c r="L199" s="1109"/>
      <c r="M199" s="1109"/>
      <c r="N199" s="1109"/>
      <c r="O199" s="1109"/>
      <c r="P199" s="1109"/>
      <c r="Q199" s="1109"/>
      <c r="R199" s="1109"/>
      <c r="S199" s="1109"/>
      <c r="T199" s="1109"/>
      <c r="U199" s="1109"/>
      <c r="V199" s="1109"/>
      <c r="W199" s="1109"/>
      <c r="X199" s="1109"/>
      <c r="Y199" s="1109"/>
      <c r="Z199" s="1109"/>
      <c r="AA199" s="1109"/>
      <c r="AB199" s="1109"/>
      <c r="AC199" s="1109"/>
      <c r="AD199" s="1109"/>
      <c r="AE199" s="1109"/>
      <c r="AF199" s="1109"/>
      <c r="AG199" s="1109"/>
      <c r="AH199" s="1109"/>
      <c r="AI199" s="1109"/>
      <c r="AJ199" s="1109"/>
      <c r="AK199" s="1714"/>
      <c r="AL199" s="1477"/>
      <c r="AM199" s="1477"/>
      <c r="AN199" s="1477"/>
      <c r="AO199" s="284"/>
      <c r="AP199" s="1477"/>
      <c r="AQ199" s="1477"/>
      <c r="AR199" s="1477"/>
      <c r="AS199" s="1477"/>
      <c r="AT199" s="1477"/>
      <c r="AU199" s="1477"/>
      <c r="AV199" s="1477"/>
      <c r="AW199" s="1477"/>
      <c r="AX199" s="1477"/>
      <c r="AY199" s="1477"/>
      <c r="AZ199" s="1477"/>
      <c r="BA199" s="1477"/>
      <c r="BB199" s="1477"/>
      <c r="BC199" s="1477"/>
      <c r="BD199" s="1477"/>
      <c r="BE199" s="1477"/>
      <c r="BF199" s="1477"/>
      <c r="BG199" s="1477"/>
      <c r="BH199" s="1477"/>
      <c r="BI199" s="1477"/>
      <c r="BJ199" s="1477"/>
      <c r="BK199" s="1477"/>
      <c r="BL199" s="1477"/>
      <c r="BM199" s="1477"/>
      <c r="BN199" s="1477"/>
      <c r="BO199" s="1477"/>
      <c r="BP199" s="1477"/>
      <c r="BQ199" s="1477"/>
      <c r="BR199" s="1477"/>
      <c r="BS199" s="1477"/>
      <c r="BT199" s="1477"/>
      <c r="BU199" s="1477"/>
      <c r="BV199" s="1477"/>
      <c r="BW199" s="1477"/>
      <c r="BX199" s="1477"/>
      <c r="BY199" s="1477"/>
      <c r="BZ199" s="1477"/>
      <c r="CA199" s="1477"/>
      <c r="CB199" s="1477"/>
      <c r="CC199" s="1477"/>
      <c r="CD199" s="1477"/>
      <c r="CE199" s="1477"/>
      <c r="CF199" s="1477"/>
      <c r="CG199" s="1477"/>
      <c r="CH199" s="1477"/>
    </row>
    <row r="200" spans="2:86">
      <c r="B200" s="1714"/>
      <c r="C200" s="148" t="str">
        <f>IF(Source_1="","",Source_1)</f>
        <v>Tax-Exempt Bonds - Permanent</v>
      </c>
      <c r="D200" s="149" t="str">
        <f>IF('12. Funding Sources'!D11="","",'12. Funding Sources'!D11)</f>
        <v>Lender Name/Bond Issuer</v>
      </c>
      <c r="E200" s="183">
        <f>Amount_1</f>
        <v>0</v>
      </c>
      <c r="F200" s="183">
        <f t="shared" ref="F200:F209" si="68">E200-SUM(G200:AJ200)</f>
        <v>0</v>
      </c>
      <c r="G200" s="1574"/>
      <c r="H200" s="1574"/>
      <c r="I200" s="1574"/>
      <c r="J200" s="1574"/>
      <c r="K200" s="1574"/>
      <c r="L200" s="1574"/>
      <c r="M200" s="1574"/>
      <c r="N200" s="1574"/>
      <c r="O200" s="1574"/>
      <c r="P200" s="1574"/>
      <c r="Q200" s="1574"/>
      <c r="R200" s="1574"/>
      <c r="S200" s="1574"/>
      <c r="T200" s="1574"/>
      <c r="U200" s="1574"/>
      <c r="V200" s="1574"/>
      <c r="W200" s="1574"/>
      <c r="X200" s="1574"/>
      <c r="Y200" s="1574"/>
      <c r="Z200" s="1574"/>
      <c r="AA200" s="1574"/>
      <c r="AB200" s="1574"/>
      <c r="AC200" s="1574"/>
      <c r="AD200" s="1574"/>
      <c r="AE200" s="1574"/>
      <c r="AF200" s="1574"/>
      <c r="AG200" s="1574"/>
      <c r="AH200" s="1574"/>
      <c r="AI200" s="1574"/>
      <c r="AJ200" s="1574"/>
      <c r="AK200" s="1714"/>
      <c r="AL200" s="1477"/>
      <c r="AM200" s="1477"/>
      <c r="AN200" s="1477"/>
      <c r="AO200" s="284"/>
      <c r="AP200" s="1477"/>
      <c r="AQ200" s="1477"/>
      <c r="AR200" s="1477"/>
      <c r="AS200" s="1477"/>
      <c r="AT200" s="1477"/>
      <c r="AU200" s="1477"/>
      <c r="AV200" s="1477"/>
      <c r="AW200" s="1477"/>
      <c r="AX200" s="1477"/>
      <c r="AY200" s="1477"/>
      <c r="AZ200" s="1477"/>
      <c r="BA200" s="1477"/>
      <c r="BB200" s="1477"/>
      <c r="BC200" s="1477"/>
      <c r="BD200" s="1477"/>
      <c r="BE200" s="1477"/>
      <c r="BF200" s="1477"/>
      <c r="BG200" s="1477"/>
      <c r="BH200" s="1477"/>
      <c r="BI200" s="1477"/>
      <c r="BJ200" s="1477"/>
      <c r="BK200" s="1477"/>
      <c r="BL200" s="1477"/>
      <c r="BM200" s="1477"/>
      <c r="BN200" s="1477"/>
      <c r="BO200" s="1477"/>
      <c r="BP200" s="1477"/>
      <c r="BQ200" s="1477"/>
      <c r="BR200" s="1477"/>
      <c r="BS200" s="1477"/>
      <c r="BT200" s="1477"/>
      <c r="BU200" s="1477"/>
      <c r="BV200" s="1477"/>
      <c r="BW200" s="1477"/>
      <c r="BX200" s="1477"/>
      <c r="BY200" s="1477"/>
      <c r="BZ200" s="1477"/>
      <c r="CA200" s="1477"/>
      <c r="CB200" s="1477"/>
      <c r="CC200" s="1477"/>
      <c r="CD200" s="1477"/>
      <c r="CE200" s="1477"/>
      <c r="CF200" s="1477"/>
      <c r="CG200" s="1477"/>
      <c r="CH200" s="1477"/>
    </row>
    <row r="201" spans="2:86">
      <c r="B201" s="1714"/>
      <c r="C201" s="148" t="str">
        <f>IF(Source_2="","",Source_2)</f>
        <v>WHEDA Subordinate Loan 1</v>
      </c>
      <c r="D201" s="149" t="str">
        <f>IF('12. Funding Sources'!D12="","",'12. Funding Sources'!D12)</f>
        <v>WHEDA</v>
      </c>
      <c r="E201" s="183">
        <f>Amount_2</f>
        <v>0</v>
      </c>
      <c r="F201" s="183">
        <f t="shared" si="68"/>
        <v>0</v>
      </c>
      <c r="G201" s="1574"/>
      <c r="H201" s="1574"/>
      <c r="I201" s="1574"/>
      <c r="J201" s="1574"/>
      <c r="K201" s="1574"/>
      <c r="L201" s="1574"/>
      <c r="M201" s="1574"/>
      <c r="N201" s="1574"/>
      <c r="O201" s="1574"/>
      <c r="P201" s="1574"/>
      <c r="Q201" s="1574"/>
      <c r="R201" s="1574"/>
      <c r="S201" s="1574"/>
      <c r="T201" s="1574"/>
      <c r="U201" s="1574"/>
      <c r="V201" s="1574"/>
      <c r="W201" s="1574"/>
      <c r="X201" s="1574"/>
      <c r="Y201" s="1574"/>
      <c r="Z201" s="1574"/>
      <c r="AA201" s="1574"/>
      <c r="AB201" s="1574"/>
      <c r="AC201" s="1574"/>
      <c r="AD201" s="1574"/>
      <c r="AE201" s="1574"/>
      <c r="AF201" s="1574"/>
      <c r="AG201" s="1574"/>
      <c r="AH201" s="1574"/>
      <c r="AI201" s="1574"/>
      <c r="AJ201" s="1574"/>
      <c r="AK201" s="1714"/>
      <c r="AL201" s="1477"/>
      <c r="AM201" s="1477"/>
      <c r="AN201" s="1477"/>
      <c r="AO201" s="284"/>
      <c r="AP201" s="1477"/>
      <c r="AQ201" s="1477"/>
      <c r="AR201" s="1477"/>
      <c r="AS201" s="1477"/>
      <c r="AT201" s="1477"/>
      <c r="AU201" s="1477"/>
      <c r="AV201" s="1477"/>
      <c r="AW201" s="1477"/>
      <c r="AX201" s="1477"/>
      <c r="AY201" s="1477"/>
      <c r="AZ201" s="1477"/>
      <c r="BA201" s="1477"/>
      <c r="BB201" s="1477"/>
      <c r="BC201" s="1477"/>
      <c r="BD201" s="1477"/>
      <c r="BE201" s="1477"/>
      <c r="BF201" s="1477"/>
      <c r="BG201" s="1477"/>
      <c r="BH201" s="1477"/>
      <c r="BI201" s="1477"/>
      <c r="BJ201" s="1477"/>
      <c r="BK201" s="1477"/>
      <c r="BL201" s="1477"/>
      <c r="BM201" s="1477"/>
      <c r="BN201" s="1477"/>
      <c r="BO201" s="1477"/>
      <c r="BP201" s="1477"/>
      <c r="BQ201" s="1477"/>
      <c r="BR201" s="1477"/>
      <c r="BS201" s="1477"/>
      <c r="BT201" s="1477"/>
      <c r="BU201" s="1477"/>
      <c r="BV201" s="1477"/>
      <c r="BW201" s="1477"/>
      <c r="BX201" s="1477"/>
      <c r="BY201" s="1477"/>
      <c r="BZ201" s="1477"/>
      <c r="CA201" s="1477"/>
      <c r="CB201" s="1477"/>
      <c r="CC201" s="1477"/>
      <c r="CD201" s="1477"/>
      <c r="CE201" s="1477"/>
      <c r="CF201" s="1477"/>
      <c r="CG201" s="1477"/>
      <c r="CH201" s="1477"/>
    </row>
    <row r="202" spans="2:86">
      <c r="B202" s="1714"/>
      <c r="C202" s="148" t="str">
        <f>IF(Source_3="","",Source_3)</f>
        <v>WHEDA Subordinate Loan 2</v>
      </c>
      <c r="D202" s="149" t="str">
        <f>IF('12. Funding Sources'!D13="","",'12. Funding Sources'!D13)</f>
        <v>WHEDA</v>
      </c>
      <c r="E202" s="183">
        <f>Amount_3</f>
        <v>0</v>
      </c>
      <c r="F202" s="183">
        <f t="shared" si="68"/>
        <v>0</v>
      </c>
      <c r="G202" s="1574"/>
      <c r="H202" s="1574"/>
      <c r="I202" s="1574"/>
      <c r="J202" s="1574"/>
      <c r="K202" s="1574"/>
      <c r="L202" s="1574"/>
      <c r="M202" s="1574"/>
      <c r="N202" s="1574"/>
      <c r="O202" s="1574"/>
      <c r="P202" s="1574"/>
      <c r="Q202" s="1574"/>
      <c r="R202" s="1574"/>
      <c r="S202" s="1574"/>
      <c r="T202" s="1574"/>
      <c r="U202" s="1574"/>
      <c r="V202" s="1574"/>
      <c r="W202" s="1574"/>
      <c r="X202" s="1574"/>
      <c r="Y202" s="1574"/>
      <c r="Z202" s="1574"/>
      <c r="AA202" s="1574"/>
      <c r="AB202" s="1574"/>
      <c r="AC202" s="1574"/>
      <c r="AD202" s="1574"/>
      <c r="AE202" s="1574"/>
      <c r="AF202" s="1574"/>
      <c r="AG202" s="1574"/>
      <c r="AH202" s="1574"/>
      <c r="AI202" s="1574"/>
      <c r="AJ202" s="1574"/>
      <c r="AK202" s="1714"/>
      <c r="AL202" s="1477"/>
      <c r="AM202" s="1477"/>
      <c r="AN202" s="1477"/>
      <c r="AO202" s="284"/>
      <c r="AP202" s="1477"/>
      <c r="AQ202" s="1477"/>
      <c r="AR202" s="1477"/>
      <c r="AS202" s="1477"/>
      <c r="AT202" s="1477"/>
      <c r="AU202" s="1477"/>
      <c r="AV202" s="1477"/>
      <c r="AW202" s="1477"/>
      <c r="AX202" s="1477"/>
      <c r="AY202" s="1477"/>
      <c r="AZ202" s="1477"/>
      <c r="BA202" s="1477"/>
      <c r="BB202" s="1477"/>
      <c r="BC202" s="1477"/>
      <c r="BD202" s="1477"/>
      <c r="BE202" s="1477"/>
      <c r="BF202" s="1477"/>
      <c r="BG202" s="1477"/>
      <c r="BH202" s="1477"/>
      <c r="BI202" s="1477"/>
      <c r="BJ202" s="1477"/>
      <c r="BK202" s="1477"/>
      <c r="BL202" s="1477"/>
      <c r="BM202" s="1477"/>
      <c r="BN202" s="1477"/>
      <c r="BO202" s="1477"/>
      <c r="BP202" s="1477"/>
      <c r="BQ202" s="1477"/>
      <c r="BR202" s="1477"/>
      <c r="BS202" s="1477"/>
      <c r="BT202" s="1477"/>
      <c r="BU202" s="1477"/>
      <c r="BV202" s="1477"/>
      <c r="BW202" s="1477"/>
      <c r="BX202" s="1477"/>
      <c r="BY202" s="1477"/>
      <c r="BZ202" s="1477"/>
      <c r="CA202" s="1477"/>
      <c r="CB202" s="1477"/>
      <c r="CC202" s="1477"/>
      <c r="CD202" s="1477"/>
      <c r="CE202" s="1477"/>
      <c r="CF202" s="1477"/>
      <c r="CG202" s="1477"/>
      <c r="CH202" s="1477"/>
    </row>
    <row r="203" spans="2:86">
      <c r="B203" s="1714"/>
      <c r="C203" s="148" t="str">
        <f>IF(Source_4="","",Source_4)</f>
        <v>WHEDA Subordinate Loan 3</v>
      </c>
      <c r="D203" s="149" t="str">
        <f>IF('12. Funding Sources'!D14="","",'12. Funding Sources'!D14)</f>
        <v>WHEDA</v>
      </c>
      <c r="E203" s="183">
        <f>Amount_4</f>
        <v>0</v>
      </c>
      <c r="F203" s="183">
        <f t="shared" si="68"/>
        <v>0</v>
      </c>
      <c r="G203" s="1574"/>
      <c r="H203" s="1574"/>
      <c r="I203" s="1574"/>
      <c r="J203" s="1574"/>
      <c r="K203" s="1574"/>
      <c r="L203" s="1574"/>
      <c r="M203" s="1574"/>
      <c r="N203" s="1574"/>
      <c r="O203" s="1574"/>
      <c r="P203" s="1574"/>
      <c r="Q203" s="1574"/>
      <c r="R203" s="1574"/>
      <c r="S203" s="1574"/>
      <c r="T203" s="1574"/>
      <c r="U203" s="1574"/>
      <c r="V203" s="1574"/>
      <c r="W203" s="1574"/>
      <c r="X203" s="1574"/>
      <c r="Y203" s="1574"/>
      <c r="Z203" s="1574"/>
      <c r="AA203" s="1574"/>
      <c r="AB203" s="1574"/>
      <c r="AC203" s="1574"/>
      <c r="AD203" s="1574"/>
      <c r="AE203" s="1574"/>
      <c r="AF203" s="1574"/>
      <c r="AG203" s="1574"/>
      <c r="AH203" s="1574"/>
      <c r="AI203" s="1574"/>
      <c r="AJ203" s="1574"/>
      <c r="AK203" s="1714"/>
      <c r="AL203" s="1477"/>
      <c r="AM203" s="1477"/>
      <c r="AN203" s="1477"/>
      <c r="AO203" s="284"/>
      <c r="AP203" s="1477"/>
      <c r="AQ203" s="1477"/>
      <c r="AR203" s="1477"/>
      <c r="AS203" s="1477"/>
      <c r="AT203" s="1477"/>
      <c r="AU203" s="1477"/>
      <c r="AV203" s="1477"/>
      <c r="AW203" s="1477"/>
      <c r="AX203" s="1477"/>
      <c r="AY203" s="1477"/>
      <c r="AZ203" s="1477"/>
      <c r="BA203" s="1477"/>
      <c r="BB203" s="1477"/>
      <c r="BC203" s="1477"/>
      <c r="BD203" s="1477"/>
      <c r="BE203" s="1477"/>
      <c r="BF203" s="1477"/>
      <c r="BG203" s="1477"/>
      <c r="BH203" s="1477"/>
      <c r="BI203" s="1477"/>
      <c r="BJ203" s="1477"/>
      <c r="BK203" s="1477"/>
      <c r="BL203" s="1477"/>
      <c r="BM203" s="1477"/>
      <c r="BN203" s="1477"/>
      <c r="BO203" s="1477"/>
      <c r="BP203" s="1477"/>
      <c r="BQ203" s="1477"/>
      <c r="BR203" s="1477"/>
      <c r="BS203" s="1477"/>
      <c r="BT203" s="1477"/>
      <c r="BU203" s="1477"/>
      <c r="BV203" s="1477"/>
      <c r="BW203" s="1477"/>
      <c r="BX203" s="1477"/>
      <c r="BY203" s="1477"/>
      <c r="BZ203" s="1477"/>
      <c r="CA203" s="1477"/>
      <c r="CB203" s="1477"/>
      <c r="CC203" s="1477"/>
      <c r="CD203" s="1477"/>
      <c r="CE203" s="1477"/>
      <c r="CF203" s="1477"/>
      <c r="CG203" s="1477"/>
      <c r="CH203" s="1477"/>
    </row>
    <row r="204" spans="2:86">
      <c r="B204" s="1714"/>
      <c r="C204" s="148" t="str">
        <f>IF(Source_5="","",Source_5)</f>
        <v>WHEDA TIF Loan</v>
      </c>
      <c r="D204" s="149" t="str">
        <f>IF('12. Funding Sources'!D15="","",'12. Funding Sources'!D15)</f>
        <v>WHEDA</v>
      </c>
      <c r="E204" s="183">
        <f>Amount_5</f>
        <v>0</v>
      </c>
      <c r="F204" s="183">
        <f t="shared" si="68"/>
        <v>0</v>
      </c>
      <c r="G204" s="1574"/>
      <c r="H204" s="1574"/>
      <c r="I204" s="1574"/>
      <c r="J204" s="1574"/>
      <c r="K204" s="1574"/>
      <c r="L204" s="1574"/>
      <c r="M204" s="1574"/>
      <c r="N204" s="1574"/>
      <c r="O204" s="1574"/>
      <c r="P204" s="1574"/>
      <c r="Q204" s="1574"/>
      <c r="R204" s="1574"/>
      <c r="S204" s="1574"/>
      <c r="T204" s="1574"/>
      <c r="U204" s="1574"/>
      <c r="V204" s="1574"/>
      <c r="W204" s="1574"/>
      <c r="X204" s="1574"/>
      <c r="Y204" s="1574"/>
      <c r="Z204" s="1574"/>
      <c r="AA204" s="1574"/>
      <c r="AB204" s="1574"/>
      <c r="AC204" s="1574"/>
      <c r="AD204" s="1574"/>
      <c r="AE204" s="1574"/>
      <c r="AF204" s="1574"/>
      <c r="AG204" s="1574"/>
      <c r="AH204" s="1574"/>
      <c r="AI204" s="1574"/>
      <c r="AJ204" s="1574"/>
      <c r="AK204" s="1714"/>
      <c r="AL204" s="1477"/>
      <c r="AM204" s="1477"/>
      <c r="AN204" s="1477"/>
      <c r="AO204" s="284"/>
      <c r="AP204" s="1477"/>
      <c r="AQ204" s="1477"/>
      <c r="AR204" s="1477"/>
      <c r="AS204" s="1477"/>
      <c r="AT204" s="1477"/>
      <c r="AU204" s="1477"/>
      <c r="AV204" s="1477"/>
      <c r="AW204" s="1477"/>
      <c r="AX204" s="1477"/>
      <c r="AY204" s="1477"/>
      <c r="AZ204" s="1477"/>
      <c r="BA204" s="1477"/>
      <c r="BB204" s="1477"/>
      <c r="BC204" s="1477"/>
      <c r="BD204" s="1477"/>
      <c r="BE204" s="1477"/>
      <c r="BF204" s="1477"/>
      <c r="BG204" s="1477"/>
      <c r="BH204" s="1477"/>
      <c r="BI204" s="1477"/>
      <c r="BJ204" s="1477"/>
      <c r="BK204" s="1477"/>
      <c r="BL204" s="1477"/>
      <c r="BM204" s="1477"/>
      <c r="BN204" s="1477"/>
      <c r="BO204" s="1477"/>
      <c r="BP204" s="1477"/>
      <c r="BQ204" s="1477"/>
      <c r="BR204" s="1477"/>
      <c r="BS204" s="1477"/>
      <c r="BT204" s="1477"/>
      <c r="BU204" s="1477"/>
      <c r="BV204" s="1477"/>
      <c r="BW204" s="1477"/>
      <c r="BX204" s="1477"/>
      <c r="BY204" s="1477"/>
      <c r="BZ204" s="1477"/>
      <c r="CA204" s="1477"/>
      <c r="CB204" s="1477"/>
      <c r="CC204" s="1477"/>
      <c r="CD204" s="1477"/>
      <c r="CE204" s="1477"/>
      <c r="CF204" s="1477"/>
      <c r="CG204" s="1477"/>
      <c r="CH204" s="1477"/>
    </row>
    <row r="205" spans="2:86">
      <c r="B205" s="1714"/>
      <c r="C205" s="148" t="str">
        <f>IF(Source_6="","",Source_6)</f>
        <v>AHP Loan</v>
      </c>
      <c r="D205" s="149" t="str">
        <f>IF('12. Funding Sources'!D16="","",'12. Funding Sources'!D16)</f>
        <v>N/A for AHP</v>
      </c>
      <c r="E205" s="183">
        <f>Amount_6</f>
        <v>0</v>
      </c>
      <c r="F205" s="183">
        <f t="shared" si="68"/>
        <v>0</v>
      </c>
      <c r="G205" s="1574"/>
      <c r="H205" s="1574"/>
      <c r="I205" s="1574"/>
      <c r="J205" s="1574"/>
      <c r="K205" s="1574"/>
      <c r="L205" s="1574"/>
      <c r="M205" s="1574"/>
      <c r="N205" s="1574"/>
      <c r="O205" s="1574"/>
      <c r="P205" s="1574"/>
      <c r="Q205" s="1574"/>
      <c r="R205" s="1574"/>
      <c r="S205" s="1574"/>
      <c r="T205" s="1574"/>
      <c r="U205" s="1574"/>
      <c r="V205" s="1574"/>
      <c r="W205" s="1574"/>
      <c r="X205" s="1574"/>
      <c r="Y205" s="1574"/>
      <c r="Z205" s="1574"/>
      <c r="AA205" s="1574"/>
      <c r="AB205" s="1574"/>
      <c r="AC205" s="1574"/>
      <c r="AD205" s="1574"/>
      <c r="AE205" s="1574"/>
      <c r="AF205" s="1574"/>
      <c r="AG205" s="1574"/>
      <c r="AH205" s="1574"/>
      <c r="AI205" s="1574"/>
      <c r="AJ205" s="1574"/>
      <c r="AK205" s="1714"/>
      <c r="AL205" s="1477"/>
      <c r="AM205" s="1477"/>
      <c r="AN205" s="1477"/>
      <c r="AO205" s="284"/>
      <c r="AP205" s="1477"/>
      <c r="AQ205" s="1477"/>
      <c r="AR205" s="1477"/>
      <c r="AS205" s="1477"/>
      <c r="AT205" s="1477"/>
      <c r="AU205" s="1477"/>
      <c r="AV205" s="1477"/>
      <c r="AW205" s="1477"/>
      <c r="AX205" s="1477"/>
      <c r="AY205" s="1477"/>
      <c r="AZ205" s="1477"/>
      <c r="BA205" s="1477"/>
      <c r="BB205" s="1477"/>
      <c r="BC205" s="1477"/>
      <c r="BD205" s="1477"/>
      <c r="BE205" s="1477"/>
      <c r="BF205" s="1477"/>
      <c r="BG205" s="1477"/>
      <c r="BH205" s="1477"/>
      <c r="BI205" s="1477"/>
      <c r="BJ205" s="1477"/>
      <c r="BK205" s="1477"/>
      <c r="BL205" s="1477"/>
      <c r="BM205" s="1477"/>
      <c r="BN205" s="1477"/>
      <c r="BO205" s="1477"/>
      <c r="BP205" s="1477"/>
      <c r="BQ205" s="1477"/>
      <c r="BR205" s="1477"/>
      <c r="BS205" s="1477"/>
      <c r="BT205" s="1477"/>
      <c r="BU205" s="1477"/>
      <c r="BV205" s="1477"/>
      <c r="BW205" s="1477"/>
      <c r="BX205" s="1477"/>
      <c r="BY205" s="1477"/>
      <c r="BZ205" s="1477"/>
      <c r="CA205" s="1477"/>
      <c r="CB205" s="1477"/>
      <c r="CC205" s="1477"/>
      <c r="CD205" s="1477"/>
      <c r="CE205" s="1477"/>
      <c r="CF205" s="1477"/>
      <c r="CG205" s="1477"/>
      <c r="CH205" s="1477"/>
    </row>
    <row r="206" spans="2:86">
      <c r="B206" s="1714"/>
      <c r="C206" s="148" t="str">
        <f>IF(Source_7="","",Source_7)</f>
        <v>HOME Loan</v>
      </c>
      <c r="D206" s="149" t="str">
        <f>IF('12. Funding Sources'!D17="","",'12. Funding Sources'!D17)</f>
        <v>Lender Name</v>
      </c>
      <c r="E206" s="183">
        <f>Amount_7</f>
        <v>0</v>
      </c>
      <c r="F206" s="183">
        <f t="shared" si="68"/>
        <v>0</v>
      </c>
      <c r="G206" s="1574"/>
      <c r="H206" s="1574"/>
      <c r="I206" s="1574"/>
      <c r="J206" s="1574"/>
      <c r="K206" s="1574"/>
      <c r="L206" s="1574"/>
      <c r="M206" s="1574"/>
      <c r="N206" s="1574"/>
      <c r="O206" s="1574"/>
      <c r="P206" s="1574"/>
      <c r="Q206" s="1574"/>
      <c r="R206" s="1574"/>
      <c r="S206" s="1574"/>
      <c r="T206" s="1574"/>
      <c r="U206" s="1574"/>
      <c r="V206" s="1574"/>
      <c r="W206" s="1574"/>
      <c r="X206" s="1574"/>
      <c r="Y206" s="1574"/>
      <c r="Z206" s="1574"/>
      <c r="AA206" s="1574"/>
      <c r="AB206" s="1574"/>
      <c r="AC206" s="1574"/>
      <c r="AD206" s="1574"/>
      <c r="AE206" s="1574"/>
      <c r="AF206" s="1574"/>
      <c r="AG206" s="1574"/>
      <c r="AH206" s="1574"/>
      <c r="AI206" s="1574"/>
      <c r="AJ206" s="1574"/>
      <c r="AK206" s="1714"/>
      <c r="AL206" s="1477"/>
      <c r="AM206" s="1477"/>
      <c r="AN206" s="1477"/>
      <c r="AO206" s="284"/>
      <c r="AP206" s="1477"/>
      <c r="AQ206" s="1477"/>
      <c r="AR206" s="1477"/>
      <c r="AS206" s="1477"/>
      <c r="AT206" s="1477"/>
      <c r="AU206" s="1477"/>
      <c r="AV206" s="1477"/>
      <c r="AW206" s="1477"/>
      <c r="AX206" s="1477"/>
      <c r="AY206" s="1477"/>
      <c r="AZ206" s="1477"/>
      <c r="BA206" s="1477"/>
      <c r="BB206" s="1477"/>
      <c r="BC206" s="1477"/>
      <c r="BD206" s="1477"/>
      <c r="BE206" s="1477"/>
      <c r="BF206" s="1477"/>
      <c r="BG206" s="1477"/>
      <c r="BH206" s="1477"/>
      <c r="BI206" s="1477"/>
      <c r="BJ206" s="1477"/>
      <c r="BK206" s="1477"/>
      <c r="BL206" s="1477"/>
      <c r="BM206" s="1477"/>
      <c r="BN206" s="1477"/>
      <c r="BO206" s="1477"/>
      <c r="BP206" s="1477"/>
      <c r="BQ206" s="1477"/>
      <c r="BR206" s="1477"/>
      <c r="BS206" s="1477"/>
      <c r="BT206" s="1477"/>
      <c r="BU206" s="1477"/>
      <c r="BV206" s="1477"/>
      <c r="BW206" s="1477"/>
      <c r="BX206" s="1477"/>
      <c r="BY206" s="1477"/>
      <c r="BZ206" s="1477"/>
      <c r="CA206" s="1477"/>
      <c r="CB206" s="1477"/>
      <c r="CC206" s="1477"/>
      <c r="CD206" s="1477"/>
      <c r="CE206" s="1477"/>
      <c r="CF206" s="1477"/>
      <c r="CG206" s="1477"/>
      <c r="CH206" s="1477"/>
    </row>
    <row r="207" spans="2:86">
      <c r="B207" s="1714"/>
      <c r="C207" s="148" t="str">
        <f>IF(Source_8="","",Source_8)</f>
        <v>Other</v>
      </c>
      <c r="D207" s="149" t="str">
        <f>IF('12. Funding Sources'!D18="","",'12. Funding Sources'!D18)</f>
        <v>Lender Name/Bond Issuer</v>
      </c>
      <c r="E207" s="183">
        <f>Amount_8</f>
        <v>0</v>
      </c>
      <c r="F207" s="183">
        <f t="shared" si="68"/>
        <v>0</v>
      </c>
      <c r="G207" s="1574"/>
      <c r="H207" s="1574"/>
      <c r="I207" s="1574"/>
      <c r="J207" s="1574"/>
      <c r="K207" s="1574"/>
      <c r="L207" s="1574"/>
      <c r="M207" s="1574"/>
      <c r="N207" s="1574"/>
      <c r="O207" s="1574"/>
      <c r="P207" s="1574"/>
      <c r="Q207" s="1574"/>
      <c r="R207" s="1574"/>
      <c r="S207" s="1574"/>
      <c r="T207" s="1574"/>
      <c r="U207" s="1574"/>
      <c r="V207" s="1574"/>
      <c r="W207" s="1574"/>
      <c r="X207" s="1574"/>
      <c r="Y207" s="1574"/>
      <c r="Z207" s="1574"/>
      <c r="AA207" s="1574"/>
      <c r="AB207" s="1574"/>
      <c r="AC207" s="1574"/>
      <c r="AD207" s="1574"/>
      <c r="AE207" s="1574"/>
      <c r="AF207" s="1574"/>
      <c r="AG207" s="1574"/>
      <c r="AH207" s="1574"/>
      <c r="AI207" s="1574"/>
      <c r="AJ207" s="1574"/>
      <c r="AK207" s="1714"/>
      <c r="AL207" s="1477"/>
      <c r="AM207" s="1477"/>
      <c r="AN207" s="1477"/>
      <c r="AO207" s="284"/>
      <c r="AP207" s="1477"/>
      <c r="AQ207" s="1477"/>
      <c r="AR207" s="1477"/>
      <c r="AS207" s="1477"/>
      <c r="AT207" s="1477"/>
      <c r="AU207" s="1477"/>
      <c r="AV207" s="1477"/>
      <c r="AW207" s="1477"/>
      <c r="AX207" s="1477"/>
      <c r="AY207" s="1477"/>
      <c r="AZ207" s="1477"/>
      <c r="BA207" s="1477"/>
      <c r="BB207" s="1477"/>
      <c r="BC207" s="1477"/>
      <c r="BD207" s="1477"/>
      <c r="BE207" s="1477"/>
      <c r="BF207" s="1477"/>
      <c r="BG207" s="1477"/>
      <c r="BH207" s="1477"/>
      <c r="BI207" s="1477"/>
      <c r="BJ207" s="1477"/>
      <c r="BK207" s="1477"/>
      <c r="BL207" s="1477"/>
      <c r="BM207" s="1477"/>
      <c r="BN207" s="1477"/>
      <c r="BO207" s="1477"/>
      <c r="BP207" s="1477"/>
      <c r="BQ207" s="1477"/>
      <c r="BR207" s="1477"/>
      <c r="BS207" s="1477"/>
      <c r="BT207" s="1477"/>
      <c r="BU207" s="1477"/>
      <c r="BV207" s="1477"/>
      <c r="BW207" s="1477"/>
      <c r="BX207" s="1477"/>
      <c r="BY207" s="1477"/>
      <c r="BZ207" s="1477"/>
      <c r="CA207" s="1477"/>
      <c r="CB207" s="1477"/>
      <c r="CC207" s="1477"/>
      <c r="CD207" s="1477"/>
      <c r="CE207" s="1477"/>
      <c r="CF207" s="1477"/>
      <c r="CG207" s="1477"/>
      <c r="CH207" s="1477"/>
    </row>
    <row r="208" spans="2:86">
      <c r="B208" s="1714"/>
      <c r="C208" s="148" t="str">
        <f>IF(Source_9="","",Source_9)</f>
        <v>Other</v>
      </c>
      <c r="D208" s="149" t="str">
        <f>IF('12. Funding Sources'!D19="","",'12. Funding Sources'!D19)</f>
        <v>Lender Name/Bond Issuer</v>
      </c>
      <c r="E208" s="183">
        <f>Amount_9</f>
        <v>0</v>
      </c>
      <c r="F208" s="183">
        <f t="shared" si="68"/>
        <v>0</v>
      </c>
      <c r="G208" s="1574"/>
      <c r="H208" s="1574"/>
      <c r="I208" s="1574"/>
      <c r="J208" s="1574"/>
      <c r="K208" s="1574"/>
      <c r="L208" s="1574"/>
      <c r="M208" s="1574"/>
      <c r="N208" s="1574"/>
      <c r="O208" s="1574"/>
      <c r="P208" s="1574"/>
      <c r="Q208" s="1574"/>
      <c r="R208" s="1574"/>
      <c r="S208" s="1574"/>
      <c r="T208" s="1574"/>
      <c r="U208" s="1574"/>
      <c r="V208" s="1574"/>
      <c r="W208" s="1574"/>
      <c r="X208" s="1574"/>
      <c r="Y208" s="1574"/>
      <c r="Z208" s="1574"/>
      <c r="AA208" s="1574"/>
      <c r="AB208" s="1574"/>
      <c r="AC208" s="1574"/>
      <c r="AD208" s="1574"/>
      <c r="AE208" s="1574"/>
      <c r="AF208" s="1574"/>
      <c r="AG208" s="1574"/>
      <c r="AH208" s="1574"/>
      <c r="AI208" s="1574"/>
      <c r="AJ208" s="1574"/>
      <c r="AK208" s="1714"/>
      <c r="AL208" s="1477"/>
      <c r="AM208" s="1477"/>
      <c r="AN208" s="1477"/>
      <c r="AO208" s="284"/>
      <c r="AP208" s="1477"/>
      <c r="AQ208" s="1477"/>
      <c r="AR208" s="1477"/>
      <c r="AS208" s="1477"/>
      <c r="AT208" s="1477"/>
      <c r="AU208" s="1477"/>
      <c r="AV208" s="1477"/>
      <c r="AW208" s="1477"/>
      <c r="AX208" s="1477"/>
      <c r="AY208" s="1477"/>
      <c r="AZ208" s="1477"/>
      <c r="BA208" s="1477"/>
      <c r="BB208" s="1477"/>
      <c r="BC208" s="1477"/>
      <c r="BD208" s="1477"/>
      <c r="BE208" s="1477"/>
      <c r="BF208" s="1477"/>
      <c r="BG208" s="1477"/>
      <c r="BH208" s="1477"/>
      <c r="BI208" s="1477"/>
      <c r="BJ208" s="1477"/>
      <c r="BK208" s="1477"/>
      <c r="BL208" s="1477"/>
      <c r="BM208" s="1477"/>
      <c r="BN208" s="1477"/>
      <c r="BO208" s="1477"/>
      <c r="BP208" s="1477"/>
      <c r="BQ208" s="1477"/>
      <c r="BR208" s="1477"/>
      <c r="BS208" s="1477"/>
      <c r="BT208" s="1477"/>
      <c r="BU208" s="1477"/>
      <c r="BV208" s="1477"/>
      <c r="BW208" s="1477"/>
      <c r="BX208" s="1477"/>
      <c r="BY208" s="1477"/>
      <c r="BZ208" s="1477"/>
      <c r="CA208" s="1477"/>
      <c r="CB208" s="1477"/>
      <c r="CC208" s="1477"/>
      <c r="CD208" s="1477"/>
      <c r="CE208" s="1477"/>
      <c r="CF208" s="1477"/>
      <c r="CG208" s="1477"/>
      <c r="CH208" s="1477"/>
    </row>
    <row r="209" spans="2:86">
      <c r="B209" s="1714"/>
      <c r="C209" s="148" t="str">
        <f>IF(Source_10="","",Source_10)</f>
        <v>Other</v>
      </c>
      <c r="D209" s="149" t="str">
        <f>IF('12. Funding Sources'!D20="","",'12. Funding Sources'!D20)</f>
        <v>Lender Name/Bond Issuer</v>
      </c>
      <c r="E209" s="183">
        <f>Amount_10</f>
        <v>0</v>
      </c>
      <c r="F209" s="183">
        <f t="shared" si="68"/>
        <v>0</v>
      </c>
      <c r="G209" s="1574"/>
      <c r="H209" s="1574"/>
      <c r="I209" s="1574"/>
      <c r="J209" s="1574"/>
      <c r="K209" s="1574"/>
      <c r="L209" s="1574"/>
      <c r="M209" s="1574"/>
      <c r="N209" s="1574"/>
      <c r="O209" s="1574"/>
      <c r="P209" s="1574"/>
      <c r="Q209" s="1574"/>
      <c r="R209" s="1574"/>
      <c r="S209" s="1574"/>
      <c r="T209" s="1574"/>
      <c r="U209" s="1574"/>
      <c r="V209" s="1574"/>
      <c r="W209" s="1574"/>
      <c r="X209" s="1574"/>
      <c r="Y209" s="1574"/>
      <c r="Z209" s="1574"/>
      <c r="AA209" s="1574"/>
      <c r="AB209" s="1574"/>
      <c r="AC209" s="1574"/>
      <c r="AD209" s="1574"/>
      <c r="AE209" s="1574"/>
      <c r="AF209" s="1574"/>
      <c r="AG209" s="1574"/>
      <c r="AH209" s="1574"/>
      <c r="AI209" s="1574"/>
      <c r="AJ209" s="1574"/>
      <c r="AK209" s="1714"/>
      <c r="AL209" s="1477"/>
      <c r="AM209" s="1477"/>
      <c r="AN209" s="1477"/>
      <c r="AO209" s="284"/>
      <c r="AP209" s="1477"/>
      <c r="AQ209" s="1477"/>
      <c r="AR209" s="1477"/>
      <c r="AS209" s="1477"/>
      <c r="AT209" s="1477"/>
      <c r="AU209" s="1477"/>
      <c r="AV209" s="1477"/>
      <c r="AW209" s="1477"/>
      <c r="AX209" s="1477"/>
      <c r="AY209" s="1477"/>
      <c r="AZ209" s="1477"/>
      <c r="BA209" s="1477"/>
      <c r="BB209" s="1477"/>
      <c r="BC209" s="1477"/>
      <c r="BD209" s="1477"/>
      <c r="BE209" s="1477"/>
      <c r="BF209" s="1477"/>
      <c r="BG209" s="1477"/>
      <c r="BH209" s="1477"/>
      <c r="BI209" s="1477"/>
      <c r="BJ209" s="1477"/>
      <c r="BK209" s="1477"/>
      <c r="BL209" s="1477"/>
      <c r="BM209" s="1477"/>
      <c r="BN209" s="1477"/>
      <c r="BO209" s="1477"/>
      <c r="BP209" s="1477"/>
      <c r="BQ209" s="1477"/>
      <c r="BR209" s="1477"/>
      <c r="BS209" s="1477"/>
      <c r="BT209" s="1477"/>
      <c r="BU209" s="1477"/>
      <c r="BV209" s="1477"/>
      <c r="BW209" s="1477"/>
      <c r="BX209" s="1477"/>
      <c r="BY209" s="1477"/>
      <c r="BZ209" s="1477"/>
      <c r="CA209" s="1477"/>
      <c r="CB209" s="1477"/>
      <c r="CC209" s="1477"/>
      <c r="CD209" s="1477"/>
      <c r="CE209" s="1477"/>
      <c r="CF209" s="1477"/>
      <c r="CG209" s="1477"/>
      <c r="CH209" s="1477"/>
    </row>
    <row r="210" spans="2:86">
      <c r="B210" s="1714"/>
      <c r="C210" s="1109" t="s">
        <v>4935</v>
      </c>
      <c r="D210" s="1109"/>
      <c r="E210" s="1109"/>
      <c r="F210" s="1109"/>
      <c r="G210" s="1189"/>
      <c r="H210" s="1189"/>
      <c r="I210" s="1189"/>
      <c r="J210" s="1189"/>
      <c r="K210" s="1189"/>
      <c r="L210" s="1189"/>
      <c r="M210" s="1189"/>
      <c r="N210" s="1189"/>
      <c r="O210" s="1189"/>
      <c r="P210" s="1189"/>
      <c r="Q210" s="1189"/>
      <c r="R210" s="1189"/>
      <c r="S210" s="1189"/>
      <c r="T210" s="1189"/>
      <c r="U210" s="1189"/>
      <c r="V210" s="1189"/>
      <c r="W210" s="1189"/>
      <c r="X210" s="1189"/>
      <c r="Y210" s="1189"/>
      <c r="Z210" s="1189"/>
      <c r="AA210" s="1189"/>
      <c r="AB210" s="1189"/>
      <c r="AC210" s="1189"/>
      <c r="AD210" s="1189"/>
      <c r="AE210" s="1189"/>
      <c r="AF210" s="1189"/>
      <c r="AG210" s="1189"/>
      <c r="AH210" s="1189"/>
      <c r="AI210" s="1189"/>
      <c r="AJ210" s="1189"/>
      <c r="AK210" s="1714"/>
      <c r="AL210" s="1477"/>
      <c r="AM210" s="1477"/>
      <c r="AN210" s="1477"/>
      <c r="AO210" s="284"/>
      <c r="AP210" s="1477"/>
      <c r="AQ210" s="1477"/>
      <c r="AR210" s="1477"/>
      <c r="AS210" s="1477"/>
      <c r="AT210" s="1477"/>
      <c r="AU210" s="1477"/>
      <c r="AV210" s="1477"/>
      <c r="AW210" s="1477"/>
      <c r="AX210" s="1477"/>
      <c r="AY210" s="1477"/>
      <c r="AZ210" s="1477"/>
      <c r="BA210" s="1477"/>
      <c r="BB210" s="1477"/>
      <c r="BC210" s="1477"/>
      <c r="BD210" s="1477"/>
      <c r="BE210" s="1477"/>
      <c r="BF210" s="1477"/>
      <c r="BG210" s="1477"/>
      <c r="BH210" s="1477"/>
      <c r="BI210" s="1477"/>
      <c r="BJ210" s="1477"/>
      <c r="BK210" s="1477"/>
      <c r="BL210" s="1477"/>
      <c r="BM210" s="1477"/>
      <c r="BN210" s="1477"/>
      <c r="BO210" s="1477"/>
      <c r="BP210" s="1477"/>
      <c r="BQ210" s="1477"/>
      <c r="BR210" s="1477"/>
      <c r="BS210" s="1477"/>
      <c r="BT210" s="1477"/>
      <c r="BU210" s="1477"/>
      <c r="BV210" s="1477"/>
      <c r="BW210" s="1477"/>
      <c r="BX210" s="1477"/>
      <c r="BY210" s="1477"/>
      <c r="BZ210" s="1477"/>
      <c r="CA210" s="1477"/>
      <c r="CB210" s="1477"/>
      <c r="CC210" s="1477"/>
      <c r="CD210" s="1477"/>
      <c r="CE210" s="1477"/>
      <c r="CF210" s="1477"/>
      <c r="CG210" s="1477"/>
      <c r="CH210" s="1477"/>
    </row>
    <row r="211" spans="2:86">
      <c r="B211" s="1714"/>
      <c r="C211" s="148" t="str">
        <f>Grant_1</f>
        <v>HOME Grant</v>
      </c>
      <c r="D211" s="149" t="str">
        <f>'12. Funding Sources'!D29</f>
        <v>N/A for Home</v>
      </c>
      <c r="E211" s="183">
        <f>Grant_Amount_1</f>
        <v>0</v>
      </c>
      <c r="F211" s="183">
        <f t="shared" ref="F211:F217" si="69">+E211-SUM(G211:AJ211)</f>
        <v>0</v>
      </c>
      <c r="G211" s="1574"/>
      <c r="H211" s="1574"/>
      <c r="I211" s="1574"/>
      <c r="J211" s="1574"/>
      <c r="K211" s="1574"/>
      <c r="L211" s="1574"/>
      <c r="M211" s="1574"/>
      <c r="N211" s="1574"/>
      <c r="O211" s="1574"/>
      <c r="P211" s="1574"/>
      <c r="Q211" s="1574"/>
      <c r="R211" s="1574"/>
      <c r="S211" s="1574"/>
      <c r="T211" s="1574"/>
      <c r="U211" s="1574"/>
      <c r="V211" s="1574"/>
      <c r="W211" s="1574"/>
      <c r="X211" s="1574"/>
      <c r="Y211" s="1574"/>
      <c r="Z211" s="1574"/>
      <c r="AA211" s="1574"/>
      <c r="AB211" s="1574"/>
      <c r="AC211" s="1574"/>
      <c r="AD211" s="1574"/>
      <c r="AE211" s="1574"/>
      <c r="AF211" s="1574"/>
      <c r="AG211" s="1574"/>
      <c r="AH211" s="1574"/>
      <c r="AI211" s="1574"/>
      <c r="AJ211" s="1574"/>
      <c r="AK211" s="1714"/>
      <c r="AL211" s="1477"/>
      <c r="AM211" s="1477"/>
      <c r="AN211" s="1477"/>
      <c r="AO211" s="284"/>
      <c r="AP211" s="1477"/>
      <c r="AQ211" s="1477"/>
      <c r="AR211" s="1477"/>
      <c r="AS211" s="1477"/>
      <c r="AT211" s="1477"/>
      <c r="AU211" s="1477"/>
      <c r="AV211" s="1477"/>
      <c r="AW211" s="1477"/>
      <c r="AX211" s="1477"/>
      <c r="AY211" s="1477"/>
      <c r="AZ211" s="1477"/>
      <c r="BA211" s="1477"/>
      <c r="BB211" s="1477"/>
      <c r="BC211" s="1477"/>
      <c r="BD211" s="1477"/>
      <c r="BE211" s="1477"/>
      <c r="BF211" s="1477"/>
      <c r="BG211" s="1477"/>
      <c r="BH211" s="1477"/>
      <c r="BI211" s="1477"/>
      <c r="BJ211" s="1477"/>
      <c r="BK211" s="1477"/>
      <c r="BL211" s="1477"/>
      <c r="BM211" s="1477"/>
      <c r="BN211" s="1477"/>
      <c r="BO211" s="1477"/>
      <c r="BP211" s="1477"/>
      <c r="BQ211" s="1477"/>
      <c r="BR211" s="1477"/>
      <c r="BS211" s="1477"/>
      <c r="BT211" s="1477"/>
      <c r="BU211" s="1477"/>
      <c r="BV211" s="1477"/>
      <c r="BW211" s="1477"/>
      <c r="BX211" s="1477"/>
      <c r="BY211" s="1477"/>
      <c r="BZ211" s="1477"/>
      <c r="CA211" s="1477"/>
      <c r="CB211" s="1477"/>
      <c r="CC211" s="1477"/>
      <c r="CD211" s="1477"/>
      <c r="CE211" s="1477"/>
      <c r="CF211" s="1477"/>
      <c r="CG211" s="1477"/>
      <c r="CH211" s="1477"/>
    </row>
    <row r="212" spans="2:86">
      <c r="B212" s="1714"/>
      <c r="C212" s="148" t="str">
        <f>Grant_2</f>
        <v>CDBG Grant</v>
      </c>
      <c r="D212" s="149" t="str">
        <f>'12. Funding Sources'!D30</f>
        <v>Specify Grantor</v>
      </c>
      <c r="E212" s="183">
        <f>Grant_Amount_2</f>
        <v>0</v>
      </c>
      <c r="F212" s="183">
        <f t="shared" si="69"/>
        <v>0</v>
      </c>
      <c r="G212" s="1574"/>
      <c r="H212" s="1574"/>
      <c r="I212" s="1574"/>
      <c r="J212" s="1574"/>
      <c r="K212" s="1574"/>
      <c r="L212" s="1574"/>
      <c r="M212" s="1574"/>
      <c r="N212" s="1574"/>
      <c r="O212" s="1574"/>
      <c r="P212" s="1574"/>
      <c r="Q212" s="1574"/>
      <c r="R212" s="1574"/>
      <c r="S212" s="1574"/>
      <c r="T212" s="1574"/>
      <c r="U212" s="1574"/>
      <c r="V212" s="1574"/>
      <c r="W212" s="1574"/>
      <c r="X212" s="1574"/>
      <c r="Y212" s="1574"/>
      <c r="Z212" s="1574"/>
      <c r="AA212" s="1574"/>
      <c r="AB212" s="1574"/>
      <c r="AC212" s="1574"/>
      <c r="AD212" s="1574"/>
      <c r="AE212" s="1574"/>
      <c r="AF212" s="1574"/>
      <c r="AG212" s="1574"/>
      <c r="AH212" s="1574"/>
      <c r="AI212" s="1574"/>
      <c r="AJ212" s="1574"/>
      <c r="AK212" s="1714"/>
      <c r="AL212" s="1477"/>
      <c r="AM212" s="1477"/>
      <c r="AN212" s="1477"/>
      <c r="AO212" s="284"/>
      <c r="AP212" s="1477"/>
      <c r="AQ212" s="1477"/>
      <c r="AR212" s="1477"/>
      <c r="AS212" s="1477"/>
      <c r="AT212" s="1477"/>
      <c r="AU212" s="1477"/>
      <c r="AV212" s="1477"/>
      <c r="AW212" s="1477"/>
      <c r="AX212" s="1477"/>
      <c r="AY212" s="1477"/>
      <c r="AZ212" s="1477"/>
      <c r="BA212" s="1477"/>
      <c r="BB212" s="1477"/>
      <c r="BC212" s="1477"/>
      <c r="BD212" s="1477"/>
      <c r="BE212" s="1477"/>
      <c r="BF212" s="1477"/>
      <c r="BG212" s="1477"/>
      <c r="BH212" s="1477"/>
      <c r="BI212" s="1477"/>
      <c r="BJ212" s="1477"/>
      <c r="BK212" s="1477"/>
      <c r="BL212" s="1477"/>
      <c r="BM212" s="1477"/>
      <c r="BN212" s="1477"/>
      <c r="BO212" s="1477"/>
      <c r="BP212" s="1477"/>
      <c r="BQ212" s="1477"/>
      <c r="BR212" s="1477"/>
      <c r="BS212" s="1477"/>
      <c r="BT212" s="1477"/>
      <c r="BU212" s="1477"/>
      <c r="BV212" s="1477"/>
      <c r="BW212" s="1477"/>
      <c r="BX212" s="1477"/>
      <c r="BY212" s="1477"/>
      <c r="BZ212" s="1477"/>
      <c r="CA212" s="1477"/>
      <c r="CB212" s="1477"/>
      <c r="CC212" s="1477"/>
      <c r="CD212" s="1477"/>
      <c r="CE212" s="1477"/>
      <c r="CF212" s="1477"/>
      <c r="CG212" s="1477"/>
      <c r="CH212" s="1477"/>
    </row>
    <row r="213" spans="2:86">
      <c r="B213" s="1714"/>
      <c r="C213" s="148" t="str">
        <f>Grant_3</f>
        <v>Other</v>
      </c>
      <c r="D213" s="149" t="str">
        <f>'12. Funding Sources'!D31</f>
        <v>Specify Grantor</v>
      </c>
      <c r="E213" s="183">
        <f>Grant_Amount_3</f>
        <v>0</v>
      </c>
      <c r="F213" s="183">
        <f t="shared" si="69"/>
        <v>0</v>
      </c>
      <c r="G213" s="1574"/>
      <c r="H213" s="1574"/>
      <c r="I213" s="1574"/>
      <c r="J213" s="1574"/>
      <c r="K213" s="1574"/>
      <c r="L213" s="1574"/>
      <c r="M213" s="1574"/>
      <c r="N213" s="1574"/>
      <c r="O213" s="1574"/>
      <c r="P213" s="1574"/>
      <c r="Q213" s="1574"/>
      <c r="R213" s="1574"/>
      <c r="S213" s="1574"/>
      <c r="T213" s="1574"/>
      <c r="U213" s="1574"/>
      <c r="V213" s="1574"/>
      <c r="W213" s="1574"/>
      <c r="X213" s="1574"/>
      <c r="Y213" s="1574"/>
      <c r="Z213" s="1574"/>
      <c r="AA213" s="1574"/>
      <c r="AB213" s="1574"/>
      <c r="AC213" s="1574"/>
      <c r="AD213" s="1574"/>
      <c r="AE213" s="1574"/>
      <c r="AF213" s="1574"/>
      <c r="AG213" s="1574"/>
      <c r="AH213" s="1574"/>
      <c r="AI213" s="1574"/>
      <c r="AJ213" s="1574"/>
      <c r="AK213" s="1714"/>
      <c r="AL213" s="1477"/>
      <c r="AM213" s="1477"/>
      <c r="AN213" s="1477"/>
      <c r="AO213" s="284"/>
      <c r="AP213" s="1477"/>
      <c r="AQ213" s="1477"/>
      <c r="AR213" s="1477"/>
      <c r="AS213" s="1477"/>
      <c r="AT213" s="1477"/>
      <c r="AU213" s="1477"/>
      <c r="AV213" s="1477"/>
      <c r="AW213" s="1477"/>
      <c r="AX213" s="1477"/>
      <c r="AY213" s="1477"/>
      <c r="AZ213" s="1477"/>
      <c r="BA213" s="1477"/>
      <c r="BB213" s="1477"/>
      <c r="BC213" s="1477"/>
      <c r="BD213" s="1477"/>
      <c r="BE213" s="1477"/>
      <c r="BF213" s="1477"/>
      <c r="BG213" s="1477"/>
      <c r="BH213" s="1477"/>
      <c r="BI213" s="1477"/>
      <c r="BJ213" s="1477"/>
      <c r="BK213" s="1477"/>
      <c r="BL213" s="1477"/>
      <c r="BM213" s="1477"/>
      <c r="BN213" s="1477"/>
      <c r="BO213" s="1477"/>
      <c r="BP213" s="1477"/>
      <c r="BQ213" s="1477"/>
      <c r="BR213" s="1477"/>
      <c r="BS213" s="1477"/>
      <c r="BT213" s="1477"/>
      <c r="BU213" s="1477"/>
      <c r="BV213" s="1477"/>
      <c r="BW213" s="1477"/>
      <c r="BX213" s="1477"/>
      <c r="BY213" s="1477"/>
      <c r="BZ213" s="1477"/>
      <c r="CA213" s="1477"/>
      <c r="CB213" s="1477"/>
      <c r="CC213" s="1477"/>
      <c r="CD213" s="1477"/>
      <c r="CE213" s="1477"/>
      <c r="CF213" s="1477"/>
      <c r="CG213" s="1477"/>
      <c r="CH213" s="1477"/>
    </row>
    <row r="214" spans="2:86">
      <c r="B214" s="1714"/>
      <c r="C214" s="148" t="str">
        <f>Grant_4</f>
        <v>Other</v>
      </c>
      <c r="D214" s="149" t="str">
        <f>'12. Funding Sources'!D32</f>
        <v>Specify Grantor</v>
      </c>
      <c r="E214" s="183">
        <f>Grant_Amount_4</f>
        <v>0</v>
      </c>
      <c r="F214" s="183">
        <f t="shared" si="69"/>
        <v>0</v>
      </c>
      <c r="G214" s="1574"/>
      <c r="H214" s="1574"/>
      <c r="I214" s="1574"/>
      <c r="J214" s="1574"/>
      <c r="K214" s="1574"/>
      <c r="L214" s="1574"/>
      <c r="M214" s="1574"/>
      <c r="N214" s="1574"/>
      <c r="O214" s="1574"/>
      <c r="P214" s="1574"/>
      <c r="Q214" s="1574"/>
      <c r="R214" s="1574"/>
      <c r="S214" s="1574"/>
      <c r="T214" s="1574"/>
      <c r="U214" s="1574"/>
      <c r="V214" s="1574"/>
      <c r="W214" s="1574"/>
      <c r="X214" s="1574"/>
      <c r="Y214" s="1574"/>
      <c r="Z214" s="1574"/>
      <c r="AA214" s="1574"/>
      <c r="AB214" s="1574"/>
      <c r="AC214" s="1574"/>
      <c r="AD214" s="1574"/>
      <c r="AE214" s="1574"/>
      <c r="AF214" s="1574"/>
      <c r="AG214" s="1574"/>
      <c r="AH214" s="1574"/>
      <c r="AI214" s="1574"/>
      <c r="AJ214" s="1574"/>
      <c r="AK214" s="1714"/>
      <c r="AL214" s="1477"/>
      <c r="AM214" s="1477"/>
      <c r="AN214" s="1477"/>
      <c r="AO214" s="284"/>
      <c r="AP214" s="1477"/>
      <c r="AQ214" s="1477"/>
      <c r="AR214" s="1477"/>
      <c r="AS214" s="1477"/>
      <c r="AT214" s="1477"/>
      <c r="AU214" s="1477"/>
      <c r="AV214" s="1477"/>
      <c r="AW214" s="1477"/>
      <c r="AX214" s="1477"/>
      <c r="AY214" s="1477"/>
      <c r="AZ214" s="1477"/>
      <c r="BA214" s="1477"/>
      <c r="BB214" s="1477"/>
      <c r="BC214" s="1477"/>
      <c r="BD214" s="1477"/>
      <c r="BE214" s="1477"/>
      <c r="BF214" s="1477"/>
      <c r="BG214" s="1477"/>
      <c r="BH214" s="1477"/>
      <c r="BI214" s="1477"/>
      <c r="BJ214" s="1477"/>
      <c r="BK214" s="1477"/>
      <c r="BL214" s="1477"/>
      <c r="BM214" s="1477"/>
      <c r="BN214" s="1477"/>
      <c r="BO214" s="1477"/>
      <c r="BP214" s="1477"/>
      <c r="BQ214" s="1477"/>
      <c r="BR214" s="1477"/>
      <c r="BS214" s="1477"/>
      <c r="BT214" s="1477"/>
      <c r="BU214" s="1477"/>
      <c r="BV214" s="1477"/>
      <c r="BW214" s="1477"/>
      <c r="BX214" s="1477"/>
      <c r="BY214" s="1477"/>
      <c r="BZ214" s="1477"/>
      <c r="CA214" s="1477"/>
      <c r="CB214" s="1477"/>
      <c r="CC214" s="1477"/>
      <c r="CD214" s="1477"/>
      <c r="CE214" s="1477"/>
      <c r="CF214" s="1477"/>
      <c r="CG214" s="1477"/>
      <c r="CH214" s="1477"/>
    </row>
    <row r="215" spans="2:86">
      <c r="B215" s="1714"/>
      <c r="C215" s="148" t="str">
        <f>Grant_5</f>
        <v>Other</v>
      </c>
      <c r="D215" s="149" t="str">
        <f>'12. Funding Sources'!D33</f>
        <v>Specify Grantor</v>
      </c>
      <c r="E215" s="183">
        <f>Grant_Amount_5</f>
        <v>0</v>
      </c>
      <c r="F215" s="183">
        <f t="shared" si="69"/>
        <v>0</v>
      </c>
      <c r="G215" s="1574"/>
      <c r="H215" s="1574"/>
      <c r="I215" s="1574"/>
      <c r="J215" s="1574"/>
      <c r="K215" s="1574"/>
      <c r="L215" s="1574"/>
      <c r="M215" s="1574"/>
      <c r="N215" s="1574"/>
      <c r="O215" s="1574"/>
      <c r="P215" s="1574"/>
      <c r="Q215" s="1574"/>
      <c r="R215" s="1574"/>
      <c r="S215" s="1574"/>
      <c r="T215" s="1574"/>
      <c r="U215" s="1574"/>
      <c r="V215" s="1574"/>
      <c r="W215" s="1574"/>
      <c r="X215" s="1574"/>
      <c r="Y215" s="1574"/>
      <c r="Z215" s="1574"/>
      <c r="AA215" s="1574"/>
      <c r="AB215" s="1574"/>
      <c r="AC215" s="1574"/>
      <c r="AD215" s="1574"/>
      <c r="AE215" s="1574"/>
      <c r="AF215" s="1574"/>
      <c r="AG215" s="1574"/>
      <c r="AH215" s="1574"/>
      <c r="AI215" s="1574"/>
      <c r="AJ215" s="1574"/>
      <c r="AK215" s="1714"/>
      <c r="AL215" s="1477"/>
      <c r="AM215" s="1477"/>
      <c r="AN215" s="1477"/>
      <c r="AO215" s="284"/>
      <c r="AP215" s="1477"/>
      <c r="AQ215" s="1477"/>
      <c r="AR215" s="1477"/>
      <c r="AS215" s="1477"/>
      <c r="AT215" s="1477"/>
      <c r="AU215" s="1477"/>
      <c r="AV215" s="1477"/>
      <c r="AW215" s="1477"/>
      <c r="AX215" s="1477"/>
      <c r="AY215" s="1477"/>
      <c r="AZ215" s="1477"/>
      <c r="BA215" s="1477"/>
      <c r="BB215" s="1477"/>
      <c r="BC215" s="1477"/>
      <c r="BD215" s="1477"/>
      <c r="BE215" s="1477"/>
      <c r="BF215" s="1477"/>
      <c r="BG215" s="1477"/>
      <c r="BH215" s="1477"/>
      <c r="BI215" s="1477"/>
      <c r="BJ215" s="1477"/>
      <c r="BK215" s="1477"/>
      <c r="BL215" s="1477"/>
      <c r="BM215" s="1477"/>
      <c r="BN215" s="1477"/>
      <c r="BO215" s="1477"/>
      <c r="BP215" s="1477"/>
      <c r="BQ215" s="1477"/>
      <c r="BR215" s="1477"/>
      <c r="BS215" s="1477"/>
      <c r="BT215" s="1477"/>
      <c r="BU215" s="1477"/>
      <c r="BV215" s="1477"/>
      <c r="BW215" s="1477"/>
      <c r="BX215" s="1477"/>
      <c r="BY215" s="1477"/>
      <c r="BZ215" s="1477"/>
      <c r="CA215" s="1477"/>
      <c r="CB215" s="1477"/>
      <c r="CC215" s="1477"/>
      <c r="CD215" s="1477"/>
      <c r="CE215" s="1477"/>
      <c r="CF215" s="1477"/>
      <c r="CG215" s="1477"/>
      <c r="CH215" s="1477"/>
    </row>
    <row r="216" spans="2:86">
      <c r="B216" s="1714"/>
      <c r="C216" s="148" t="str">
        <f>Grant_6</f>
        <v>Other</v>
      </c>
      <c r="D216" s="149" t="str">
        <f>'12. Funding Sources'!D34</f>
        <v>Specify Grantor</v>
      </c>
      <c r="E216" s="183">
        <f>Grant_Amount_6</f>
        <v>0</v>
      </c>
      <c r="F216" s="183">
        <f t="shared" si="69"/>
        <v>0</v>
      </c>
      <c r="G216" s="1574"/>
      <c r="H216" s="1574"/>
      <c r="I216" s="1574"/>
      <c r="J216" s="1574"/>
      <c r="K216" s="1574"/>
      <c r="L216" s="1574"/>
      <c r="M216" s="1574"/>
      <c r="N216" s="1574"/>
      <c r="O216" s="1574"/>
      <c r="P216" s="1574"/>
      <c r="Q216" s="1574"/>
      <c r="R216" s="1574"/>
      <c r="S216" s="1574"/>
      <c r="T216" s="1574"/>
      <c r="U216" s="1574"/>
      <c r="V216" s="1574"/>
      <c r="W216" s="1574"/>
      <c r="X216" s="1574"/>
      <c r="Y216" s="1574"/>
      <c r="Z216" s="1574"/>
      <c r="AA216" s="1574"/>
      <c r="AB216" s="1574"/>
      <c r="AC216" s="1574"/>
      <c r="AD216" s="1574"/>
      <c r="AE216" s="1574"/>
      <c r="AF216" s="1574"/>
      <c r="AG216" s="1574"/>
      <c r="AH216" s="1574"/>
      <c r="AI216" s="1574"/>
      <c r="AJ216" s="1574"/>
      <c r="AK216" s="1714"/>
      <c r="AL216" s="1477"/>
      <c r="AM216" s="1477"/>
      <c r="AN216" s="1477"/>
      <c r="AO216" s="284"/>
      <c r="AP216" s="1477"/>
      <c r="AQ216" s="1477"/>
      <c r="AR216" s="1477"/>
      <c r="AS216" s="1477"/>
      <c r="AT216" s="1477"/>
      <c r="AU216" s="1477"/>
      <c r="AV216" s="1477"/>
      <c r="AW216" s="1477"/>
      <c r="AX216" s="1477"/>
      <c r="AY216" s="1477"/>
      <c r="AZ216" s="1477"/>
      <c r="BA216" s="1477"/>
      <c r="BB216" s="1477"/>
      <c r="BC216" s="1477"/>
      <c r="BD216" s="1477"/>
      <c r="BE216" s="1477"/>
      <c r="BF216" s="1477"/>
      <c r="BG216" s="1477"/>
      <c r="BH216" s="1477"/>
      <c r="BI216" s="1477"/>
      <c r="BJ216" s="1477"/>
      <c r="BK216" s="1477"/>
      <c r="BL216" s="1477"/>
      <c r="BM216" s="1477"/>
      <c r="BN216" s="1477"/>
      <c r="BO216" s="1477"/>
      <c r="BP216" s="1477"/>
      <c r="BQ216" s="1477"/>
      <c r="BR216" s="1477"/>
      <c r="BS216" s="1477"/>
      <c r="BT216" s="1477"/>
      <c r="BU216" s="1477"/>
      <c r="BV216" s="1477"/>
      <c r="BW216" s="1477"/>
      <c r="BX216" s="1477"/>
      <c r="BY216" s="1477"/>
      <c r="BZ216" s="1477"/>
      <c r="CA216" s="1477"/>
      <c r="CB216" s="1477"/>
      <c r="CC216" s="1477"/>
      <c r="CD216" s="1477"/>
      <c r="CE216" s="1477"/>
      <c r="CF216" s="1477"/>
      <c r="CG216" s="1477"/>
      <c r="CH216" s="1477"/>
    </row>
    <row r="217" spans="2:86">
      <c r="B217" s="1714"/>
      <c r="C217" s="148" t="str">
        <f>Grant_7</f>
        <v>Other</v>
      </c>
      <c r="D217" s="149" t="str">
        <f>'12. Funding Sources'!D35</f>
        <v>Specify Grantor</v>
      </c>
      <c r="E217" s="183">
        <f>Grant_Amount_7</f>
        <v>0</v>
      </c>
      <c r="F217" s="183">
        <f t="shared" si="69"/>
        <v>0</v>
      </c>
      <c r="G217" s="1574"/>
      <c r="H217" s="1574"/>
      <c r="I217" s="1574"/>
      <c r="J217" s="1574"/>
      <c r="K217" s="1574"/>
      <c r="L217" s="1574"/>
      <c r="M217" s="1574"/>
      <c r="N217" s="1574"/>
      <c r="O217" s="1574"/>
      <c r="P217" s="1574"/>
      <c r="Q217" s="1574"/>
      <c r="R217" s="1574"/>
      <c r="S217" s="1574"/>
      <c r="T217" s="1574"/>
      <c r="U217" s="1574"/>
      <c r="V217" s="1574"/>
      <c r="W217" s="1574"/>
      <c r="X217" s="1574"/>
      <c r="Y217" s="1574"/>
      <c r="Z217" s="1574"/>
      <c r="AA217" s="1574"/>
      <c r="AB217" s="1574"/>
      <c r="AC217" s="1574"/>
      <c r="AD217" s="1574"/>
      <c r="AE217" s="1574"/>
      <c r="AF217" s="1574"/>
      <c r="AG217" s="1574"/>
      <c r="AH217" s="1574"/>
      <c r="AI217" s="1574"/>
      <c r="AJ217" s="1574"/>
      <c r="AK217" s="1714"/>
      <c r="AL217" s="1477"/>
      <c r="AM217" s="1477"/>
      <c r="AN217" s="1477"/>
      <c r="AO217" s="284"/>
      <c r="AP217" s="1477"/>
      <c r="AQ217" s="1477"/>
      <c r="AR217" s="1477"/>
      <c r="AS217" s="1477"/>
      <c r="AT217" s="1477"/>
      <c r="AU217" s="1477"/>
      <c r="AV217" s="1477"/>
      <c r="AW217" s="1477"/>
      <c r="AX217" s="1477"/>
      <c r="AY217" s="1477"/>
      <c r="AZ217" s="1477"/>
      <c r="BA217" s="1477"/>
      <c r="BB217" s="1477"/>
      <c r="BC217" s="1477"/>
      <c r="BD217" s="1477"/>
      <c r="BE217" s="1477"/>
      <c r="BF217" s="1477"/>
      <c r="BG217" s="1477"/>
      <c r="BH217" s="1477"/>
      <c r="BI217" s="1477"/>
      <c r="BJ217" s="1477"/>
      <c r="BK217" s="1477"/>
      <c r="BL217" s="1477"/>
      <c r="BM217" s="1477"/>
      <c r="BN217" s="1477"/>
      <c r="BO217" s="1477"/>
      <c r="BP217" s="1477"/>
      <c r="BQ217" s="1477"/>
      <c r="BR217" s="1477"/>
      <c r="BS217" s="1477"/>
      <c r="BT217" s="1477"/>
      <c r="BU217" s="1477"/>
      <c r="BV217" s="1477"/>
      <c r="BW217" s="1477"/>
      <c r="BX217" s="1477"/>
      <c r="BY217" s="1477"/>
      <c r="BZ217" s="1477"/>
      <c r="CA217" s="1477"/>
      <c r="CB217" s="1477"/>
      <c r="CC217" s="1477"/>
      <c r="CD217" s="1477"/>
      <c r="CE217" s="1477"/>
      <c r="CF217" s="1477"/>
      <c r="CG217" s="1477"/>
      <c r="CH217" s="1477"/>
    </row>
    <row r="218" spans="2:86">
      <c r="B218" s="1714"/>
      <c r="C218" s="1109" t="s">
        <v>4936</v>
      </c>
      <c r="D218" s="1109"/>
      <c r="E218" s="1188"/>
      <c r="F218" s="1188"/>
      <c r="G218" s="1188"/>
      <c r="H218" s="1188"/>
      <c r="I218" s="1188"/>
      <c r="J218" s="1188"/>
      <c r="K218" s="1188"/>
      <c r="L218" s="1188"/>
      <c r="M218" s="1188"/>
      <c r="N218" s="1188"/>
      <c r="O218" s="1188"/>
      <c r="P218" s="1188"/>
      <c r="Q218" s="1188"/>
      <c r="R218" s="1188"/>
      <c r="S218" s="1188"/>
      <c r="T218" s="1188"/>
      <c r="U218" s="1188"/>
      <c r="V218" s="1188"/>
      <c r="W218" s="1188"/>
      <c r="X218" s="1188"/>
      <c r="Y218" s="1188"/>
      <c r="Z218" s="1188"/>
      <c r="AA218" s="1188"/>
      <c r="AB218" s="1188"/>
      <c r="AC218" s="1188"/>
      <c r="AD218" s="1188"/>
      <c r="AE218" s="1188"/>
      <c r="AF218" s="1188"/>
      <c r="AG218" s="1188"/>
      <c r="AH218" s="1188"/>
      <c r="AI218" s="1188"/>
      <c r="AJ218" s="1188"/>
      <c r="AK218" s="1714"/>
      <c r="AL218" s="1477"/>
      <c r="AM218" s="1477"/>
      <c r="AN218" s="1477"/>
      <c r="AO218" s="284"/>
      <c r="AP218" s="1477"/>
      <c r="AQ218" s="1477"/>
      <c r="AR218" s="1477"/>
      <c r="AS218" s="1477"/>
      <c r="AT218" s="1477"/>
      <c r="AU218" s="1477"/>
      <c r="AV218" s="1477"/>
      <c r="AW218" s="1477"/>
      <c r="AX218" s="1477"/>
      <c r="AY218" s="1477"/>
      <c r="AZ218" s="1477"/>
      <c r="BA218" s="1477"/>
      <c r="BB218" s="1477"/>
      <c r="BC218" s="1477"/>
      <c r="BD218" s="1477"/>
      <c r="BE218" s="1477"/>
      <c r="BF218" s="1477"/>
      <c r="BG218" s="1477"/>
      <c r="BH218" s="1477"/>
      <c r="BI218" s="1477"/>
      <c r="BJ218" s="1477"/>
      <c r="BK218" s="1477"/>
      <c r="BL218" s="1477"/>
      <c r="BM218" s="1477"/>
      <c r="BN218" s="1477"/>
      <c r="BO218" s="1477"/>
      <c r="BP218" s="1477"/>
      <c r="BQ218" s="1477"/>
      <c r="BR218" s="1477"/>
      <c r="BS218" s="1477"/>
      <c r="BT218" s="1477"/>
      <c r="BU218" s="1477"/>
      <c r="BV218" s="1477"/>
      <c r="BW218" s="1477"/>
      <c r="BX218" s="1477"/>
      <c r="BY218" s="1477"/>
      <c r="BZ218" s="1477"/>
      <c r="CA218" s="1477"/>
      <c r="CB218" s="1477"/>
      <c r="CC218" s="1477"/>
      <c r="CD218" s="1477"/>
      <c r="CE218" s="1477"/>
      <c r="CF218" s="1477"/>
      <c r="CG218" s="1477"/>
      <c r="CH218" s="1477"/>
    </row>
    <row r="219" spans="2:86" ht="30">
      <c r="B219" s="1714"/>
      <c r="C219" s="122" t="s">
        <v>4120</v>
      </c>
      <c r="D219" s="122"/>
      <c r="E219" s="146" t="s">
        <v>4921</v>
      </c>
      <c r="F219" s="146" t="s">
        <v>4914</v>
      </c>
      <c r="G219" s="146" t="str">
        <f t="shared" ref="G219:AJ219" si="70">G198</f>
        <v>Draw #1</v>
      </c>
      <c r="H219" s="146" t="str">
        <f t="shared" si="70"/>
        <v>Draw #2</v>
      </c>
      <c r="I219" s="146" t="str">
        <f t="shared" si="70"/>
        <v>Draw #3</v>
      </c>
      <c r="J219" s="146" t="str">
        <f t="shared" si="70"/>
        <v>Draw #4</v>
      </c>
      <c r="K219" s="146" t="str">
        <f t="shared" si="70"/>
        <v>Draw #5</v>
      </c>
      <c r="L219" s="146" t="str">
        <f t="shared" si="70"/>
        <v>Draw #6</v>
      </c>
      <c r="M219" s="146" t="str">
        <f t="shared" si="70"/>
        <v>Draw #7</v>
      </c>
      <c r="N219" s="146" t="str">
        <f t="shared" si="70"/>
        <v>Draw #8</v>
      </c>
      <c r="O219" s="146" t="str">
        <f t="shared" si="70"/>
        <v>Draw #9</v>
      </c>
      <c r="P219" s="146" t="str">
        <f t="shared" si="70"/>
        <v>Draw #10</v>
      </c>
      <c r="Q219" s="146" t="str">
        <f t="shared" si="70"/>
        <v>Draw #11</v>
      </c>
      <c r="R219" s="146" t="str">
        <f t="shared" si="70"/>
        <v>Draw #12</v>
      </c>
      <c r="S219" s="146" t="str">
        <f t="shared" si="70"/>
        <v>Draw #13</v>
      </c>
      <c r="T219" s="146" t="str">
        <f t="shared" si="70"/>
        <v>Draw #14</v>
      </c>
      <c r="U219" s="146" t="str">
        <f t="shared" si="70"/>
        <v>Draw #15</v>
      </c>
      <c r="V219" s="146" t="str">
        <f t="shared" si="70"/>
        <v>Draw #16</v>
      </c>
      <c r="W219" s="146" t="str">
        <f t="shared" si="70"/>
        <v>Draw #17</v>
      </c>
      <c r="X219" s="146" t="str">
        <f t="shared" si="70"/>
        <v>Draw #18</v>
      </c>
      <c r="Y219" s="146" t="str">
        <f t="shared" si="70"/>
        <v>Draw $19</v>
      </c>
      <c r="Z219" s="146" t="str">
        <f t="shared" si="70"/>
        <v>Draw #20</v>
      </c>
      <c r="AA219" s="146" t="str">
        <f t="shared" si="70"/>
        <v>Draw #21</v>
      </c>
      <c r="AB219" s="146" t="str">
        <f t="shared" si="70"/>
        <v>Draw #22</v>
      </c>
      <c r="AC219" s="146" t="str">
        <f t="shared" si="70"/>
        <v>Draw #23</v>
      </c>
      <c r="AD219" s="146" t="str">
        <f t="shared" si="70"/>
        <v>Draw #24</v>
      </c>
      <c r="AE219" s="146" t="str">
        <f t="shared" si="70"/>
        <v>Draw #25</v>
      </c>
      <c r="AF219" s="146" t="str">
        <f t="shared" si="70"/>
        <v>Draw #26</v>
      </c>
      <c r="AG219" s="146" t="str">
        <f t="shared" si="70"/>
        <v>Draw #26</v>
      </c>
      <c r="AH219" s="146" t="str">
        <f t="shared" si="70"/>
        <v>Draw #28</v>
      </c>
      <c r="AI219" s="146" t="str">
        <f t="shared" si="70"/>
        <v>Draw #29</v>
      </c>
      <c r="AJ219" s="146" t="str">
        <f t="shared" si="70"/>
        <v>Draw #30</v>
      </c>
      <c r="AK219" s="1714"/>
      <c r="AL219" s="1477"/>
      <c r="AM219" s="1477"/>
      <c r="AN219" s="1477"/>
      <c r="AO219" s="284"/>
      <c r="AP219" s="1477"/>
      <c r="AQ219" s="1477"/>
      <c r="AR219" s="1477"/>
      <c r="AS219" s="1477"/>
      <c r="AT219" s="1477"/>
      <c r="AU219" s="1477"/>
      <c r="AV219" s="1477"/>
      <c r="AW219" s="1477"/>
      <c r="AX219" s="1477"/>
      <c r="AY219" s="1477"/>
      <c r="AZ219" s="1477"/>
      <c r="BA219" s="1477"/>
      <c r="BB219" s="1477"/>
      <c r="BC219" s="1477"/>
      <c r="BD219" s="1477"/>
      <c r="BE219" s="1477"/>
      <c r="BF219" s="1477"/>
      <c r="BG219" s="1477"/>
      <c r="BH219" s="1477"/>
      <c r="BI219" s="1477"/>
      <c r="BJ219" s="1477"/>
      <c r="BK219" s="1477"/>
      <c r="BL219" s="1477"/>
      <c r="BM219" s="1477"/>
      <c r="BN219" s="1477"/>
      <c r="BO219" s="1477"/>
      <c r="BP219" s="1477"/>
      <c r="BQ219" s="1477"/>
      <c r="BR219" s="1477"/>
      <c r="BS219" s="1477"/>
      <c r="BT219" s="1477"/>
      <c r="BU219" s="1477"/>
      <c r="BV219" s="1477"/>
      <c r="BW219" s="1477"/>
      <c r="BX219" s="1477"/>
      <c r="BY219" s="1477"/>
      <c r="BZ219" s="1477"/>
      <c r="CA219" s="1477"/>
      <c r="CB219" s="1477"/>
      <c r="CC219" s="1477"/>
      <c r="CD219" s="1477"/>
      <c r="CE219" s="1477"/>
      <c r="CF219" s="1477"/>
      <c r="CG219" s="1477"/>
      <c r="CH219" s="1477"/>
    </row>
    <row r="220" spans="2:86">
      <c r="B220" s="1714"/>
      <c r="C220" s="148" t="str">
        <f>'12. Funding Sources'!C44</f>
        <v>Federal Housing Tax Credit Equity</v>
      </c>
      <c r="D220" s="149" t="str">
        <f>'12. Funding Sources'!D44</f>
        <v>Specify Investor</v>
      </c>
      <c r="E220" s="183">
        <f>'12. Funding Sources'!E44</f>
        <v>0</v>
      </c>
      <c r="F220" s="183">
        <f>+E220-SUM(G220:AJ220)</f>
        <v>0</v>
      </c>
      <c r="G220" s="1574"/>
      <c r="H220" s="1574"/>
      <c r="I220" s="1574"/>
      <c r="J220" s="1574"/>
      <c r="K220" s="1574"/>
      <c r="L220" s="1574"/>
      <c r="M220" s="1574"/>
      <c r="N220" s="1574"/>
      <c r="O220" s="1574"/>
      <c r="P220" s="1574"/>
      <c r="Q220" s="1574"/>
      <c r="R220" s="1574"/>
      <c r="S220" s="1574"/>
      <c r="T220" s="1574"/>
      <c r="U220" s="1574"/>
      <c r="V220" s="1574"/>
      <c r="W220" s="1574"/>
      <c r="X220" s="1574"/>
      <c r="Y220" s="1574"/>
      <c r="Z220" s="1574"/>
      <c r="AA220" s="1574"/>
      <c r="AB220" s="1574"/>
      <c r="AC220" s="1574"/>
      <c r="AD220" s="1574"/>
      <c r="AE220" s="1574"/>
      <c r="AF220" s="1574"/>
      <c r="AG220" s="1574"/>
      <c r="AH220" s="1574"/>
      <c r="AI220" s="1574"/>
      <c r="AJ220" s="1574"/>
      <c r="AK220" s="1714"/>
      <c r="AL220" s="1477"/>
      <c r="AM220" s="1477"/>
      <c r="AN220" s="1477"/>
      <c r="AO220" s="284"/>
      <c r="AP220" s="1477"/>
      <c r="AQ220" s="1477"/>
      <c r="AR220" s="1477"/>
      <c r="AS220" s="1477"/>
      <c r="AT220" s="1477"/>
      <c r="AU220" s="1477"/>
      <c r="AV220" s="1477"/>
      <c r="AW220" s="1477"/>
      <c r="AX220" s="1477"/>
      <c r="AY220" s="1477"/>
      <c r="AZ220" s="1477"/>
      <c r="BA220" s="1477"/>
      <c r="BB220" s="1477"/>
      <c r="BC220" s="1477"/>
      <c r="BD220" s="1477"/>
      <c r="BE220" s="1477"/>
      <c r="BF220" s="1477"/>
      <c r="BG220" s="1477"/>
      <c r="BH220" s="1477"/>
      <c r="BI220" s="1477"/>
      <c r="BJ220" s="1477"/>
      <c r="BK220" s="1477"/>
      <c r="BL220" s="1477"/>
      <c r="BM220" s="1477"/>
      <c r="BN220" s="1477"/>
      <c r="BO220" s="1477"/>
      <c r="BP220" s="1477"/>
      <c r="BQ220" s="1477"/>
      <c r="BR220" s="1477"/>
      <c r="BS220" s="1477"/>
      <c r="BT220" s="1477"/>
      <c r="BU220" s="1477"/>
      <c r="BV220" s="1477"/>
      <c r="BW220" s="1477"/>
      <c r="BX220" s="1477"/>
      <c r="BY220" s="1477"/>
      <c r="BZ220" s="1477"/>
      <c r="CA220" s="1477"/>
      <c r="CB220" s="1477"/>
      <c r="CC220" s="1477"/>
      <c r="CD220" s="1477"/>
      <c r="CE220" s="1477"/>
      <c r="CF220" s="1477"/>
      <c r="CG220" s="1477"/>
      <c r="CH220" s="1477"/>
    </row>
    <row r="221" spans="2:86">
      <c r="B221" s="1714"/>
      <c r="C221" s="148" t="str">
        <f>'12. Funding Sources'!C45</f>
        <v>Federal Historic Tax Credit Equity</v>
      </c>
      <c r="D221" s="149" t="str">
        <f>'12. Funding Sources'!D45</f>
        <v>Specify Investor</v>
      </c>
      <c r="E221" s="183">
        <f>'12. Funding Sources'!E45</f>
        <v>0</v>
      </c>
      <c r="F221" s="183">
        <f t="shared" ref="F221:F226" si="71">+E221-SUM(G221:AJ221)</f>
        <v>0</v>
      </c>
      <c r="G221" s="1574"/>
      <c r="H221" s="1574"/>
      <c r="I221" s="1574"/>
      <c r="J221" s="1574"/>
      <c r="K221" s="1574"/>
      <c r="L221" s="1574"/>
      <c r="M221" s="1574"/>
      <c r="N221" s="1574"/>
      <c r="O221" s="1574"/>
      <c r="P221" s="1574"/>
      <c r="Q221" s="1574"/>
      <c r="R221" s="1574"/>
      <c r="S221" s="1574"/>
      <c r="T221" s="1574"/>
      <c r="U221" s="1574"/>
      <c r="V221" s="1574"/>
      <c r="W221" s="1574"/>
      <c r="X221" s="1574"/>
      <c r="Y221" s="1574"/>
      <c r="Z221" s="1574"/>
      <c r="AA221" s="1574"/>
      <c r="AB221" s="1574"/>
      <c r="AC221" s="1574"/>
      <c r="AD221" s="1574"/>
      <c r="AE221" s="1574"/>
      <c r="AF221" s="1574"/>
      <c r="AG221" s="1574"/>
      <c r="AH221" s="1574"/>
      <c r="AI221" s="1574"/>
      <c r="AJ221" s="1574"/>
      <c r="AK221" s="1714"/>
      <c r="AL221" s="1477"/>
      <c r="AM221" s="1477"/>
      <c r="AN221" s="1477"/>
      <c r="AO221" s="284"/>
      <c r="AP221" s="1477"/>
      <c r="AQ221" s="1477"/>
      <c r="AR221" s="1477"/>
      <c r="AS221" s="1477"/>
      <c r="AT221" s="1477"/>
      <c r="AU221" s="1477"/>
      <c r="AV221" s="1477"/>
      <c r="AW221" s="1477"/>
      <c r="AX221" s="1477"/>
      <c r="AY221" s="1477"/>
      <c r="AZ221" s="1477"/>
      <c r="BA221" s="1477"/>
      <c r="BB221" s="1477"/>
      <c r="BC221" s="1477"/>
      <c r="BD221" s="1477"/>
      <c r="BE221" s="1477"/>
      <c r="BF221" s="1477"/>
      <c r="BG221" s="1477"/>
      <c r="BH221" s="1477"/>
      <c r="BI221" s="1477"/>
      <c r="BJ221" s="1477"/>
      <c r="BK221" s="1477"/>
      <c r="BL221" s="1477"/>
      <c r="BM221" s="1477"/>
      <c r="BN221" s="1477"/>
      <c r="BO221" s="1477"/>
      <c r="BP221" s="1477"/>
      <c r="BQ221" s="1477"/>
      <c r="BR221" s="1477"/>
      <c r="BS221" s="1477"/>
      <c r="BT221" s="1477"/>
      <c r="BU221" s="1477"/>
      <c r="BV221" s="1477"/>
      <c r="BW221" s="1477"/>
      <c r="BX221" s="1477"/>
      <c r="BY221" s="1477"/>
      <c r="BZ221" s="1477"/>
      <c r="CA221" s="1477"/>
      <c r="CB221" s="1477"/>
      <c r="CC221" s="1477"/>
      <c r="CD221" s="1477"/>
      <c r="CE221" s="1477"/>
      <c r="CF221" s="1477"/>
      <c r="CG221" s="1477"/>
      <c r="CH221" s="1477"/>
    </row>
    <row r="222" spans="2:86">
      <c r="B222" s="1714"/>
      <c r="C222" s="148" t="str">
        <f>'12. Funding Sources'!C46</f>
        <v>State Housing Tax Credit Equity</v>
      </c>
      <c r="D222" s="149" t="str">
        <f>'12. Funding Sources'!D46</f>
        <v>Specify Investor</v>
      </c>
      <c r="E222" s="183">
        <f>'12. Funding Sources'!E46</f>
        <v>0</v>
      </c>
      <c r="F222" s="183">
        <f t="shared" si="71"/>
        <v>0</v>
      </c>
      <c r="G222" s="1574"/>
      <c r="H222" s="1574"/>
      <c r="I222" s="1574"/>
      <c r="J222" s="1574"/>
      <c r="K222" s="1574"/>
      <c r="L222" s="1574"/>
      <c r="M222" s="1574"/>
      <c r="N222" s="1574"/>
      <c r="O222" s="1574"/>
      <c r="P222" s="1574"/>
      <c r="Q222" s="1574"/>
      <c r="R222" s="1574"/>
      <c r="S222" s="1574"/>
      <c r="T222" s="1574"/>
      <c r="U222" s="1574"/>
      <c r="V222" s="1574"/>
      <c r="W222" s="1574"/>
      <c r="X222" s="1574"/>
      <c r="Y222" s="1574"/>
      <c r="Z222" s="1574"/>
      <c r="AA222" s="1574"/>
      <c r="AB222" s="1574"/>
      <c r="AC222" s="1574"/>
      <c r="AD222" s="1574"/>
      <c r="AE222" s="1574"/>
      <c r="AF222" s="1574"/>
      <c r="AG222" s="1574"/>
      <c r="AH222" s="1574"/>
      <c r="AI222" s="1574"/>
      <c r="AJ222" s="1574"/>
      <c r="AK222" s="1714"/>
      <c r="AL222" s="1477"/>
      <c r="AM222" s="1477"/>
      <c r="AN222" s="1477"/>
      <c r="AO222" s="284"/>
      <c r="AP222" s="1477"/>
      <c r="AQ222" s="1477"/>
      <c r="AR222" s="1477"/>
      <c r="AS222" s="1477"/>
      <c r="AT222" s="1477"/>
      <c r="AU222" s="1477"/>
      <c r="AV222" s="1477"/>
      <c r="AW222" s="1477"/>
      <c r="AX222" s="1477"/>
      <c r="AY222" s="1477"/>
      <c r="AZ222" s="1477"/>
      <c r="BA222" s="1477"/>
      <c r="BB222" s="1477"/>
      <c r="BC222" s="1477"/>
      <c r="BD222" s="1477"/>
      <c r="BE222" s="1477"/>
      <c r="BF222" s="1477"/>
      <c r="BG222" s="1477"/>
      <c r="BH222" s="1477"/>
      <c r="BI222" s="1477"/>
      <c r="BJ222" s="1477"/>
      <c r="BK222" s="1477"/>
      <c r="BL222" s="1477"/>
      <c r="BM222" s="1477"/>
      <c r="BN222" s="1477"/>
      <c r="BO222" s="1477"/>
      <c r="BP222" s="1477"/>
      <c r="BQ222" s="1477"/>
      <c r="BR222" s="1477"/>
      <c r="BS222" s="1477"/>
      <c r="BT222" s="1477"/>
      <c r="BU222" s="1477"/>
      <c r="BV222" s="1477"/>
      <c r="BW222" s="1477"/>
      <c r="BX222" s="1477"/>
      <c r="BY222" s="1477"/>
      <c r="BZ222" s="1477"/>
      <c r="CA222" s="1477"/>
      <c r="CB222" s="1477"/>
      <c r="CC222" s="1477"/>
      <c r="CD222" s="1477"/>
      <c r="CE222" s="1477"/>
      <c r="CF222" s="1477"/>
      <c r="CG222" s="1477"/>
      <c r="CH222" s="1477"/>
    </row>
    <row r="223" spans="2:86">
      <c r="B223" s="1714"/>
      <c r="C223" s="148" t="str">
        <f>'12. Funding Sources'!C47</f>
        <v>State Historic Tax Credit Equity</v>
      </c>
      <c r="D223" s="149" t="str">
        <f>'12. Funding Sources'!D47</f>
        <v>Specify Investor</v>
      </c>
      <c r="E223" s="183">
        <f>'12. Funding Sources'!E47</f>
        <v>0</v>
      </c>
      <c r="F223" s="183">
        <f t="shared" si="71"/>
        <v>0</v>
      </c>
      <c r="G223" s="1574"/>
      <c r="H223" s="1574"/>
      <c r="I223" s="1574"/>
      <c r="J223" s="1574"/>
      <c r="K223" s="1574"/>
      <c r="L223" s="1574"/>
      <c r="M223" s="1574"/>
      <c r="N223" s="1574"/>
      <c r="O223" s="1574"/>
      <c r="P223" s="1574"/>
      <c r="Q223" s="1574"/>
      <c r="R223" s="1574"/>
      <c r="S223" s="1574"/>
      <c r="T223" s="1574"/>
      <c r="U223" s="1574"/>
      <c r="V223" s="1574"/>
      <c r="W223" s="1574"/>
      <c r="X223" s="1574"/>
      <c r="Y223" s="1574"/>
      <c r="Z223" s="1574"/>
      <c r="AA223" s="1574"/>
      <c r="AB223" s="1574"/>
      <c r="AC223" s="1574"/>
      <c r="AD223" s="1574"/>
      <c r="AE223" s="1574"/>
      <c r="AF223" s="1574"/>
      <c r="AG223" s="1574"/>
      <c r="AH223" s="1574"/>
      <c r="AI223" s="1574"/>
      <c r="AJ223" s="1574"/>
      <c r="AK223" s="1714"/>
      <c r="AL223" s="1477"/>
      <c r="AM223" s="1477"/>
      <c r="AN223" s="1477"/>
      <c r="AO223" s="284"/>
      <c r="AP223" s="1477"/>
      <c r="AQ223" s="1477"/>
      <c r="AR223" s="1477"/>
      <c r="AS223" s="1477"/>
      <c r="AT223" s="1477"/>
      <c r="AU223" s="1477"/>
      <c r="AV223" s="1477"/>
      <c r="AW223" s="1477"/>
      <c r="AX223" s="1477"/>
      <c r="AY223" s="1477"/>
      <c r="AZ223" s="1477"/>
      <c r="BA223" s="1477"/>
      <c r="BB223" s="1477"/>
      <c r="BC223" s="1477"/>
      <c r="BD223" s="1477"/>
      <c r="BE223" s="1477"/>
      <c r="BF223" s="1477"/>
      <c r="BG223" s="1477"/>
      <c r="BH223" s="1477"/>
      <c r="BI223" s="1477"/>
      <c r="BJ223" s="1477"/>
      <c r="BK223" s="1477"/>
      <c r="BL223" s="1477"/>
      <c r="BM223" s="1477"/>
      <c r="BN223" s="1477"/>
      <c r="BO223" s="1477"/>
      <c r="BP223" s="1477"/>
      <c r="BQ223" s="1477"/>
      <c r="BR223" s="1477"/>
      <c r="BS223" s="1477"/>
      <c r="BT223" s="1477"/>
      <c r="BU223" s="1477"/>
      <c r="BV223" s="1477"/>
      <c r="BW223" s="1477"/>
      <c r="BX223" s="1477"/>
      <c r="BY223" s="1477"/>
      <c r="BZ223" s="1477"/>
      <c r="CA223" s="1477"/>
      <c r="CB223" s="1477"/>
      <c r="CC223" s="1477"/>
      <c r="CD223" s="1477"/>
      <c r="CE223" s="1477"/>
      <c r="CF223" s="1477"/>
      <c r="CG223" s="1477"/>
      <c r="CH223" s="1477"/>
    </row>
    <row r="224" spans="2:86">
      <c r="B224" s="1714"/>
      <c r="C224" s="148" t="str">
        <f>'12. Funding Sources'!C48</f>
        <v>Deferred Developer Fees</v>
      </c>
      <c r="D224" s="149" t="str">
        <f>'12. Funding Sources'!D48</f>
        <v>Specify Investor</v>
      </c>
      <c r="E224" s="183">
        <f>'12. Funding Sources'!E48</f>
        <v>0</v>
      </c>
      <c r="F224" s="183">
        <f t="shared" si="71"/>
        <v>0</v>
      </c>
      <c r="G224" s="1574"/>
      <c r="H224" s="1574"/>
      <c r="I224" s="1574"/>
      <c r="J224" s="1574"/>
      <c r="K224" s="1574"/>
      <c r="L224" s="1574"/>
      <c r="M224" s="1574"/>
      <c r="N224" s="1574"/>
      <c r="O224" s="1574"/>
      <c r="P224" s="1574"/>
      <c r="Q224" s="1574"/>
      <c r="R224" s="1574"/>
      <c r="S224" s="1574"/>
      <c r="T224" s="1574"/>
      <c r="U224" s="1574"/>
      <c r="V224" s="1574"/>
      <c r="W224" s="1574"/>
      <c r="X224" s="1574"/>
      <c r="Y224" s="1574"/>
      <c r="Z224" s="1574"/>
      <c r="AA224" s="1574"/>
      <c r="AB224" s="1574"/>
      <c r="AC224" s="1574"/>
      <c r="AD224" s="1574"/>
      <c r="AE224" s="1574"/>
      <c r="AF224" s="1574"/>
      <c r="AG224" s="1574"/>
      <c r="AH224" s="1574"/>
      <c r="AI224" s="1574"/>
      <c r="AJ224" s="1574"/>
      <c r="AK224" s="1714"/>
      <c r="AL224" s="1477"/>
      <c r="AM224" s="1477"/>
      <c r="AN224" s="1477"/>
      <c r="AO224" s="284"/>
      <c r="AP224" s="1477"/>
      <c r="AQ224" s="1477"/>
      <c r="AR224" s="1477"/>
      <c r="AS224" s="1477"/>
      <c r="AT224" s="1477"/>
      <c r="AU224" s="1477"/>
      <c r="AV224" s="1477"/>
      <c r="AW224" s="1477"/>
      <c r="AX224" s="1477"/>
      <c r="AY224" s="1477"/>
      <c r="AZ224" s="1477"/>
      <c r="BA224" s="1477"/>
      <c r="BB224" s="1477"/>
      <c r="BC224" s="1477"/>
      <c r="BD224" s="1477"/>
      <c r="BE224" s="1477"/>
      <c r="BF224" s="1477"/>
      <c r="BG224" s="1477"/>
      <c r="BH224" s="1477"/>
      <c r="BI224" s="1477"/>
      <c r="BJ224" s="1477"/>
      <c r="BK224" s="1477"/>
      <c r="BL224" s="1477"/>
      <c r="BM224" s="1477"/>
      <c r="BN224" s="1477"/>
      <c r="BO224" s="1477"/>
      <c r="BP224" s="1477"/>
      <c r="BQ224" s="1477"/>
      <c r="BR224" s="1477"/>
      <c r="BS224" s="1477"/>
      <c r="BT224" s="1477"/>
      <c r="BU224" s="1477"/>
      <c r="BV224" s="1477"/>
      <c r="BW224" s="1477"/>
      <c r="BX224" s="1477"/>
      <c r="BY224" s="1477"/>
      <c r="BZ224" s="1477"/>
      <c r="CA224" s="1477"/>
      <c r="CB224" s="1477"/>
      <c r="CC224" s="1477"/>
      <c r="CD224" s="1477"/>
      <c r="CE224" s="1477"/>
      <c r="CF224" s="1477"/>
      <c r="CG224" s="1477"/>
      <c r="CH224" s="1477"/>
    </row>
    <row r="225" spans="2:86">
      <c r="B225" s="1714"/>
      <c r="C225" s="148" t="str">
        <f>'12. Funding Sources'!C49</f>
        <v>Owner Investment</v>
      </c>
      <c r="D225" s="149" t="str">
        <f>'12. Funding Sources'!D49</f>
        <v>Specify Investor</v>
      </c>
      <c r="E225" s="183">
        <f>'12. Funding Sources'!E49</f>
        <v>0</v>
      </c>
      <c r="F225" s="183">
        <f t="shared" si="71"/>
        <v>0</v>
      </c>
      <c r="G225" s="1574"/>
      <c r="H225" s="1574"/>
      <c r="I225" s="1574"/>
      <c r="J225" s="1574"/>
      <c r="K225" s="1574"/>
      <c r="L225" s="1574"/>
      <c r="M225" s="1574"/>
      <c r="N225" s="1574"/>
      <c r="O225" s="1574"/>
      <c r="P225" s="1574"/>
      <c r="Q225" s="1574"/>
      <c r="R225" s="1574"/>
      <c r="S225" s="1574"/>
      <c r="T225" s="1574"/>
      <c r="U225" s="1574"/>
      <c r="V225" s="1574"/>
      <c r="W225" s="1574"/>
      <c r="X225" s="1574"/>
      <c r="Y225" s="1574"/>
      <c r="Z225" s="1574"/>
      <c r="AA225" s="1574"/>
      <c r="AB225" s="1574"/>
      <c r="AC225" s="1574"/>
      <c r="AD225" s="1574"/>
      <c r="AE225" s="1574"/>
      <c r="AF225" s="1574"/>
      <c r="AG225" s="1574"/>
      <c r="AH225" s="1574"/>
      <c r="AI225" s="1574"/>
      <c r="AJ225" s="1574"/>
      <c r="AK225" s="1714"/>
      <c r="AL225" s="1477"/>
      <c r="AM225" s="1477"/>
      <c r="AN225" s="1477"/>
      <c r="AO225" s="284"/>
      <c r="AP225" s="1477"/>
      <c r="AQ225" s="1477"/>
      <c r="AR225" s="1477"/>
      <c r="AS225" s="1477"/>
      <c r="AT225" s="1477"/>
      <c r="AU225" s="1477"/>
      <c r="AV225" s="1477"/>
      <c r="AW225" s="1477"/>
      <c r="AX225" s="1477"/>
      <c r="AY225" s="1477"/>
      <c r="AZ225" s="1477"/>
      <c r="BA225" s="1477"/>
      <c r="BB225" s="1477"/>
      <c r="BC225" s="1477"/>
      <c r="BD225" s="1477"/>
      <c r="BE225" s="1477"/>
      <c r="BF225" s="1477"/>
      <c r="BG225" s="1477"/>
      <c r="BH225" s="1477"/>
      <c r="BI225" s="1477"/>
      <c r="BJ225" s="1477"/>
      <c r="BK225" s="1477"/>
      <c r="BL225" s="1477"/>
      <c r="BM225" s="1477"/>
      <c r="BN225" s="1477"/>
      <c r="BO225" s="1477"/>
      <c r="BP225" s="1477"/>
      <c r="BQ225" s="1477"/>
      <c r="BR225" s="1477"/>
      <c r="BS225" s="1477"/>
      <c r="BT225" s="1477"/>
      <c r="BU225" s="1477"/>
      <c r="BV225" s="1477"/>
      <c r="BW225" s="1477"/>
      <c r="BX225" s="1477"/>
      <c r="BY225" s="1477"/>
      <c r="BZ225" s="1477"/>
      <c r="CA225" s="1477"/>
      <c r="CB225" s="1477"/>
      <c r="CC225" s="1477"/>
      <c r="CD225" s="1477"/>
      <c r="CE225" s="1477"/>
      <c r="CF225" s="1477"/>
      <c r="CG225" s="1477"/>
      <c r="CH225" s="1477"/>
    </row>
    <row r="226" spans="2:86">
      <c r="B226" s="1714"/>
      <c r="C226" s="148" t="str">
        <f>'12. Funding Sources'!C50</f>
        <v>Other</v>
      </c>
      <c r="D226" s="149" t="str">
        <f>'12. Funding Sources'!D50</f>
        <v>Specify Investor</v>
      </c>
      <c r="E226" s="183">
        <f>'12. Funding Sources'!E50</f>
        <v>0</v>
      </c>
      <c r="F226" s="183">
        <f t="shared" si="71"/>
        <v>0</v>
      </c>
      <c r="G226" s="1574"/>
      <c r="H226" s="1574"/>
      <c r="I226" s="1574"/>
      <c r="J226" s="1574"/>
      <c r="K226" s="1574"/>
      <c r="L226" s="1574"/>
      <c r="M226" s="1574"/>
      <c r="N226" s="1574"/>
      <c r="O226" s="1574"/>
      <c r="P226" s="1574"/>
      <c r="Q226" s="1574"/>
      <c r="R226" s="1574"/>
      <c r="S226" s="1574"/>
      <c r="T226" s="1574"/>
      <c r="U226" s="1574"/>
      <c r="V226" s="1574"/>
      <c r="W226" s="1574"/>
      <c r="X226" s="1574"/>
      <c r="Y226" s="1574"/>
      <c r="Z226" s="1574"/>
      <c r="AA226" s="1574"/>
      <c r="AB226" s="1574"/>
      <c r="AC226" s="1574"/>
      <c r="AD226" s="1574"/>
      <c r="AE226" s="1574"/>
      <c r="AF226" s="1574"/>
      <c r="AG226" s="1574"/>
      <c r="AH226" s="1574"/>
      <c r="AI226" s="1574"/>
      <c r="AJ226" s="1574"/>
      <c r="AK226" s="1714"/>
      <c r="AL226" s="1477"/>
      <c r="AM226" s="1477"/>
      <c r="AN226" s="1477"/>
      <c r="AO226" s="284"/>
      <c r="AP226" s="1477"/>
      <c r="AQ226" s="1477"/>
      <c r="AR226" s="1477"/>
      <c r="AS226" s="1477"/>
      <c r="AT226" s="1477"/>
      <c r="AU226" s="1477"/>
      <c r="AV226" s="1477"/>
      <c r="AW226" s="1477"/>
      <c r="AX226" s="1477"/>
      <c r="AY226" s="1477"/>
      <c r="AZ226" s="1477"/>
      <c r="BA226" s="1477"/>
      <c r="BB226" s="1477"/>
      <c r="BC226" s="1477"/>
      <c r="BD226" s="1477"/>
      <c r="BE226" s="1477"/>
      <c r="BF226" s="1477"/>
      <c r="BG226" s="1477"/>
      <c r="BH226" s="1477"/>
      <c r="BI226" s="1477"/>
      <c r="BJ226" s="1477"/>
      <c r="BK226" s="1477"/>
      <c r="BL226" s="1477"/>
      <c r="BM226" s="1477"/>
      <c r="BN226" s="1477"/>
      <c r="BO226" s="1477"/>
      <c r="BP226" s="1477"/>
      <c r="BQ226" s="1477"/>
      <c r="BR226" s="1477"/>
      <c r="BS226" s="1477"/>
      <c r="BT226" s="1477"/>
      <c r="BU226" s="1477"/>
      <c r="BV226" s="1477"/>
      <c r="BW226" s="1477"/>
      <c r="BX226" s="1477"/>
      <c r="BY226" s="1477"/>
      <c r="BZ226" s="1477"/>
      <c r="CA226" s="1477"/>
      <c r="CB226" s="1477"/>
      <c r="CC226" s="1477"/>
      <c r="CD226" s="1477"/>
      <c r="CE226" s="1477"/>
      <c r="CF226" s="1477"/>
      <c r="CG226" s="1477"/>
      <c r="CH226" s="1477"/>
    </row>
    <row r="227" spans="2:86">
      <c r="B227" s="1714"/>
      <c r="C227" s="1586"/>
      <c r="D227" s="1586"/>
      <c r="E227" s="1589"/>
      <c r="F227" s="1589"/>
      <c r="G227" s="1589"/>
      <c r="H227" s="1589"/>
      <c r="I227" s="1589"/>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714"/>
      <c r="AL227" s="1477"/>
      <c r="AM227" s="1477"/>
      <c r="AN227" s="1477"/>
      <c r="AO227" s="284"/>
      <c r="AP227" s="1477"/>
      <c r="AQ227" s="1477"/>
      <c r="AR227" s="1477"/>
      <c r="AS227" s="1477"/>
      <c r="AT227" s="1477"/>
      <c r="AU227" s="1477"/>
      <c r="AV227" s="1477"/>
      <c r="AW227" s="1477"/>
      <c r="AX227" s="1477"/>
      <c r="AY227" s="1477"/>
      <c r="AZ227" s="1477"/>
      <c r="BA227" s="1477"/>
      <c r="BB227" s="1477"/>
      <c r="BC227" s="1477"/>
      <c r="BD227" s="1477"/>
      <c r="BE227" s="1477"/>
      <c r="BF227" s="1477"/>
      <c r="BG227" s="1477"/>
      <c r="BH227" s="1477"/>
      <c r="BI227" s="1477"/>
      <c r="BJ227" s="1477"/>
      <c r="BK227" s="1477"/>
      <c r="BL227" s="1477"/>
      <c r="BM227" s="1477"/>
      <c r="BN227" s="1477"/>
      <c r="BO227" s="1477"/>
      <c r="BP227" s="1477"/>
      <c r="BQ227" s="1477"/>
      <c r="BR227" s="1477"/>
      <c r="BS227" s="1477"/>
      <c r="BT227" s="1477"/>
      <c r="BU227" s="1477"/>
      <c r="BV227" s="1477"/>
      <c r="BW227" s="1477"/>
      <c r="BX227" s="1477"/>
      <c r="BY227" s="1477"/>
      <c r="BZ227" s="1477"/>
      <c r="CA227" s="1477"/>
      <c r="CB227" s="1477"/>
      <c r="CC227" s="1477"/>
      <c r="CD227" s="1477"/>
      <c r="CE227" s="1477"/>
      <c r="CF227" s="1477"/>
      <c r="CG227" s="1477"/>
      <c r="CH227" s="1477"/>
    </row>
    <row r="228" spans="2:86" ht="18.75">
      <c r="B228" s="1714"/>
      <c r="C228" s="684" t="s">
        <v>4937</v>
      </c>
      <c r="D228" s="684"/>
      <c r="E228" s="1591">
        <f>SUM(E220:E226)+SUM(E211:E217)+SUM(E200:E209)+E186</f>
        <v>0</v>
      </c>
      <c r="F228" s="139">
        <f t="shared" ref="F228:F229" si="72">+E228-SUM(G228:AJ228)</f>
        <v>0</v>
      </c>
      <c r="G228" s="1591">
        <f>SUM(G220:G226)+SUM(G211:G217)+SUM(G200:G209)+G186</f>
        <v>0</v>
      </c>
      <c r="H228" s="1591">
        <f t="shared" ref="H228:AJ228" si="73">SUM(H220:H226)+SUM(H211:H217)+SUM(H200:H209)+H186</f>
        <v>0</v>
      </c>
      <c r="I228" s="1591">
        <f t="shared" si="73"/>
        <v>0</v>
      </c>
      <c r="J228" s="1591">
        <f t="shared" si="73"/>
        <v>0</v>
      </c>
      <c r="K228" s="1591">
        <f t="shared" si="73"/>
        <v>0</v>
      </c>
      <c r="L228" s="1591">
        <f t="shared" si="73"/>
        <v>0</v>
      </c>
      <c r="M228" s="1591">
        <f t="shared" si="73"/>
        <v>0</v>
      </c>
      <c r="N228" s="1591">
        <f t="shared" si="73"/>
        <v>0</v>
      </c>
      <c r="O228" s="1591">
        <f t="shared" si="73"/>
        <v>0</v>
      </c>
      <c r="P228" s="1591">
        <f t="shared" si="73"/>
        <v>0</v>
      </c>
      <c r="Q228" s="1591">
        <f t="shared" si="73"/>
        <v>0</v>
      </c>
      <c r="R228" s="1591">
        <f t="shared" si="73"/>
        <v>0</v>
      </c>
      <c r="S228" s="1591">
        <f t="shared" si="73"/>
        <v>0</v>
      </c>
      <c r="T228" s="1591">
        <f t="shared" si="73"/>
        <v>0</v>
      </c>
      <c r="U228" s="1591">
        <f t="shared" si="73"/>
        <v>0</v>
      </c>
      <c r="V228" s="1591">
        <f t="shared" si="73"/>
        <v>0</v>
      </c>
      <c r="W228" s="1591">
        <f t="shared" si="73"/>
        <v>0</v>
      </c>
      <c r="X228" s="1591">
        <f t="shared" si="73"/>
        <v>0</v>
      </c>
      <c r="Y228" s="1591">
        <f t="shared" si="73"/>
        <v>0</v>
      </c>
      <c r="Z228" s="1591">
        <f t="shared" si="73"/>
        <v>0</v>
      </c>
      <c r="AA228" s="1591">
        <f t="shared" si="73"/>
        <v>0</v>
      </c>
      <c r="AB228" s="1591">
        <f t="shared" si="73"/>
        <v>0</v>
      </c>
      <c r="AC228" s="1591">
        <f t="shared" si="73"/>
        <v>0</v>
      </c>
      <c r="AD228" s="1591">
        <f t="shared" si="73"/>
        <v>0</v>
      </c>
      <c r="AE228" s="1591">
        <f t="shared" si="73"/>
        <v>0</v>
      </c>
      <c r="AF228" s="1591">
        <f t="shared" si="73"/>
        <v>0</v>
      </c>
      <c r="AG228" s="1591">
        <f t="shared" si="73"/>
        <v>0</v>
      </c>
      <c r="AH228" s="1591">
        <f t="shared" si="73"/>
        <v>0</v>
      </c>
      <c r="AI228" s="1591">
        <f t="shared" si="73"/>
        <v>0</v>
      </c>
      <c r="AJ228" s="1591">
        <f t="shared" si="73"/>
        <v>0</v>
      </c>
      <c r="AK228" s="1714"/>
      <c r="AL228" s="1477"/>
      <c r="AM228" s="1477"/>
      <c r="AN228" s="1477"/>
      <c r="AO228" s="284"/>
      <c r="AP228" s="1477"/>
      <c r="AQ228" s="1477"/>
      <c r="AR228" s="1477"/>
      <c r="AS228" s="1477"/>
      <c r="AT228" s="1477"/>
      <c r="AU228" s="1477"/>
      <c r="AV228" s="1477"/>
      <c r="AW228" s="1477"/>
      <c r="AX228" s="1477"/>
      <c r="AY228" s="1477"/>
      <c r="AZ228" s="1477"/>
      <c r="BA228" s="1477"/>
      <c r="BB228" s="1477"/>
      <c r="BC228" s="1477"/>
      <c r="BD228" s="1477"/>
      <c r="BE228" s="1477"/>
      <c r="BF228" s="1477"/>
      <c r="BG228" s="1477"/>
      <c r="BH228" s="1477"/>
      <c r="BI228" s="1477"/>
      <c r="BJ228" s="1477"/>
      <c r="BK228" s="1477"/>
      <c r="BL228" s="1477"/>
      <c r="BM228" s="1477"/>
      <c r="BN228" s="1477"/>
      <c r="BO228" s="1477"/>
      <c r="BP228" s="1477"/>
      <c r="BQ228" s="1477"/>
      <c r="BR228" s="1477"/>
      <c r="BS228" s="1477"/>
      <c r="BT228" s="1477"/>
      <c r="BU228" s="1477"/>
      <c r="BV228" s="1477"/>
      <c r="BW228" s="1477"/>
      <c r="BX228" s="1477"/>
      <c r="BY228" s="1477"/>
      <c r="BZ228" s="1477"/>
      <c r="CA228" s="1477"/>
      <c r="CB228" s="1477"/>
      <c r="CC228" s="1477"/>
      <c r="CD228" s="1477"/>
      <c r="CE228" s="1477"/>
      <c r="CF228" s="1477"/>
      <c r="CG228" s="1477"/>
      <c r="CH228" s="1477"/>
    </row>
    <row r="229" spans="2:86" ht="18.75" hidden="1">
      <c r="B229" s="1714"/>
      <c r="C229" s="684" t="s">
        <v>4938</v>
      </c>
      <c r="D229" s="684"/>
      <c r="E229" s="1591">
        <f>SUM(E200:E226)</f>
        <v>0</v>
      </c>
      <c r="F229" s="139">
        <f t="shared" si="72"/>
        <v>0</v>
      </c>
      <c r="G229" s="1591">
        <f>SUM(G200:G226)</f>
        <v>0</v>
      </c>
      <c r="H229" s="1591">
        <f t="shared" ref="H229:AJ229" si="74">SUM(H200:H226)</f>
        <v>0</v>
      </c>
      <c r="I229" s="1591">
        <f t="shared" si="74"/>
        <v>0</v>
      </c>
      <c r="J229" s="1591">
        <f t="shared" si="74"/>
        <v>0</v>
      </c>
      <c r="K229" s="1591">
        <f t="shared" si="74"/>
        <v>0</v>
      </c>
      <c r="L229" s="1591">
        <f t="shared" si="74"/>
        <v>0</v>
      </c>
      <c r="M229" s="1591">
        <f t="shared" si="74"/>
        <v>0</v>
      </c>
      <c r="N229" s="1591">
        <f t="shared" si="74"/>
        <v>0</v>
      </c>
      <c r="O229" s="1591">
        <f t="shared" si="74"/>
        <v>0</v>
      </c>
      <c r="P229" s="1591">
        <f t="shared" si="74"/>
        <v>0</v>
      </c>
      <c r="Q229" s="1591">
        <f t="shared" si="74"/>
        <v>0</v>
      </c>
      <c r="R229" s="1591">
        <f t="shared" si="74"/>
        <v>0</v>
      </c>
      <c r="S229" s="1591">
        <f t="shared" si="74"/>
        <v>0</v>
      </c>
      <c r="T229" s="1591">
        <f t="shared" si="74"/>
        <v>0</v>
      </c>
      <c r="U229" s="1591">
        <f t="shared" si="74"/>
        <v>0</v>
      </c>
      <c r="V229" s="1591">
        <f t="shared" si="74"/>
        <v>0</v>
      </c>
      <c r="W229" s="1591">
        <f t="shared" si="74"/>
        <v>0</v>
      </c>
      <c r="X229" s="1591">
        <f t="shared" si="74"/>
        <v>0</v>
      </c>
      <c r="Y229" s="1591">
        <f t="shared" si="74"/>
        <v>0</v>
      </c>
      <c r="Z229" s="1591">
        <f t="shared" si="74"/>
        <v>0</v>
      </c>
      <c r="AA229" s="1591">
        <f t="shared" si="74"/>
        <v>0</v>
      </c>
      <c r="AB229" s="1591">
        <f t="shared" si="74"/>
        <v>0</v>
      </c>
      <c r="AC229" s="1591">
        <f t="shared" si="74"/>
        <v>0</v>
      </c>
      <c r="AD229" s="1591">
        <f t="shared" si="74"/>
        <v>0</v>
      </c>
      <c r="AE229" s="1591">
        <f t="shared" si="74"/>
        <v>0</v>
      </c>
      <c r="AF229" s="1591">
        <f t="shared" si="74"/>
        <v>0</v>
      </c>
      <c r="AG229" s="1591">
        <f t="shared" si="74"/>
        <v>0</v>
      </c>
      <c r="AH229" s="1591">
        <f t="shared" si="74"/>
        <v>0</v>
      </c>
      <c r="AI229" s="1591">
        <f t="shared" si="74"/>
        <v>0</v>
      </c>
      <c r="AJ229" s="1591">
        <f t="shared" si="74"/>
        <v>0</v>
      </c>
      <c r="AK229" s="1714"/>
      <c r="AL229" s="1477"/>
      <c r="AM229" s="1477"/>
      <c r="AN229" s="1477"/>
      <c r="AO229" s="284"/>
      <c r="AP229" s="1477"/>
      <c r="AQ229" s="1477"/>
      <c r="AR229" s="1477"/>
      <c r="AS229" s="1477"/>
      <c r="AT229" s="1477"/>
      <c r="AU229" s="1477"/>
      <c r="AV229" s="1477"/>
      <c r="AW229" s="1477"/>
      <c r="AX229" s="1477"/>
      <c r="AY229" s="1477"/>
      <c r="AZ229" s="1477"/>
      <c r="BA229" s="1477"/>
      <c r="BB229" s="1477"/>
      <c r="BC229" s="1477"/>
      <c r="BD229" s="1477"/>
      <c r="BE229" s="1477"/>
      <c r="BF229" s="1477"/>
      <c r="BG229" s="1477"/>
      <c r="BH229" s="1477"/>
      <c r="BI229" s="1477"/>
      <c r="BJ229" s="1477"/>
      <c r="BK229" s="1477"/>
      <c r="BL229" s="1477"/>
      <c r="BM229" s="1477"/>
      <c r="BN229" s="1477"/>
      <c r="BO229" s="1477"/>
      <c r="BP229" s="1477"/>
      <c r="BQ229" s="1477"/>
      <c r="BR229" s="1477"/>
      <c r="BS229" s="1477"/>
      <c r="BT229" s="1477"/>
      <c r="BU229" s="1477"/>
      <c r="BV229" s="1477"/>
      <c r="BW229" s="1477"/>
      <c r="BX229" s="1477"/>
      <c r="BY229" s="1477"/>
      <c r="BZ229" s="1477"/>
      <c r="CA229" s="1477"/>
      <c r="CB229" s="1477"/>
      <c r="CC229" s="1477"/>
      <c r="CD229" s="1477"/>
      <c r="CE229" s="1477"/>
      <c r="CF229" s="1477"/>
      <c r="CG229" s="1477"/>
      <c r="CH229" s="1477"/>
    </row>
    <row r="230" spans="2:86" ht="18.75">
      <c r="B230" s="1714"/>
      <c r="C230" s="684"/>
      <c r="D230" s="685" t="s">
        <v>4939</v>
      </c>
      <c r="E230" s="151">
        <f>+E171-E229</f>
        <v>0</v>
      </c>
      <c r="F230" s="685"/>
      <c r="G230" s="151">
        <f>G171-G228</f>
        <v>0</v>
      </c>
      <c r="H230" s="151">
        <f t="shared" ref="H230:AJ230" si="75">+H171-H228</f>
        <v>0</v>
      </c>
      <c r="I230" s="151">
        <f t="shared" si="75"/>
        <v>0</v>
      </c>
      <c r="J230" s="151">
        <f t="shared" si="75"/>
        <v>0</v>
      </c>
      <c r="K230" s="151">
        <f t="shared" si="75"/>
        <v>0</v>
      </c>
      <c r="L230" s="151">
        <f t="shared" si="75"/>
        <v>0</v>
      </c>
      <c r="M230" s="151">
        <f t="shared" si="75"/>
        <v>0</v>
      </c>
      <c r="N230" s="151">
        <f t="shared" si="75"/>
        <v>0</v>
      </c>
      <c r="O230" s="151">
        <f t="shared" si="75"/>
        <v>0</v>
      </c>
      <c r="P230" s="151">
        <f t="shared" si="75"/>
        <v>0</v>
      </c>
      <c r="Q230" s="151">
        <f t="shared" si="75"/>
        <v>0</v>
      </c>
      <c r="R230" s="151">
        <f t="shared" si="75"/>
        <v>0</v>
      </c>
      <c r="S230" s="151">
        <f t="shared" si="75"/>
        <v>0</v>
      </c>
      <c r="T230" s="151">
        <f t="shared" si="75"/>
        <v>0</v>
      </c>
      <c r="U230" s="151">
        <f t="shared" si="75"/>
        <v>0</v>
      </c>
      <c r="V230" s="151">
        <f t="shared" si="75"/>
        <v>0</v>
      </c>
      <c r="W230" s="151">
        <f t="shared" si="75"/>
        <v>0</v>
      </c>
      <c r="X230" s="151">
        <f t="shared" si="75"/>
        <v>0</v>
      </c>
      <c r="Y230" s="151">
        <f t="shared" si="75"/>
        <v>0</v>
      </c>
      <c r="Z230" s="151">
        <f t="shared" si="75"/>
        <v>0</v>
      </c>
      <c r="AA230" s="151">
        <f t="shared" si="75"/>
        <v>0</v>
      </c>
      <c r="AB230" s="151">
        <f t="shared" si="75"/>
        <v>0</v>
      </c>
      <c r="AC230" s="151">
        <f t="shared" si="75"/>
        <v>0</v>
      </c>
      <c r="AD230" s="151">
        <f t="shared" si="75"/>
        <v>0</v>
      </c>
      <c r="AE230" s="151">
        <f t="shared" si="75"/>
        <v>0</v>
      </c>
      <c r="AF230" s="151">
        <f t="shared" si="75"/>
        <v>0</v>
      </c>
      <c r="AG230" s="151">
        <f t="shared" si="75"/>
        <v>0</v>
      </c>
      <c r="AH230" s="151">
        <f t="shared" si="75"/>
        <v>0</v>
      </c>
      <c r="AI230" s="151">
        <f t="shared" si="75"/>
        <v>0</v>
      </c>
      <c r="AJ230" s="151">
        <f t="shared" si="75"/>
        <v>0</v>
      </c>
      <c r="AK230" s="1714"/>
      <c r="AL230" s="1477"/>
      <c r="AM230" s="1477"/>
      <c r="AN230" s="1477"/>
      <c r="AO230" s="284"/>
      <c r="AP230" s="1477"/>
      <c r="AQ230" s="1477"/>
      <c r="AR230" s="1477"/>
      <c r="AS230" s="1477"/>
      <c r="AT230" s="1477"/>
      <c r="AU230" s="1477"/>
      <c r="AV230" s="1477"/>
      <c r="AW230" s="1477"/>
      <c r="AX230" s="1477"/>
      <c r="AY230" s="1477"/>
      <c r="AZ230" s="1477"/>
      <c r="BA230" s="1477"/>
      <c r="BB230" s="1477"/>
      <c r="BC230" s="1477"/>
      <c r="BD230" s="1477"/>
      <c r="BE230" s="1477"/>
      <c r="BF230" s="1477"/>
      <c r="BG230" s="1477"/>
      <c r="BH230" s="1477"/>
      <c r="BI230" s="1477"/>
      <c r="BJ230" s="1477"/>
      <c r="BK230" s="1477"/>
      <c r="BL230" s="1477"/>
      <c r="BM230" s="1477"/>
      <c r="BN230" s="1477"/>
      <c r="BO230" s="1477"/>
      <c r="BP230" s="1477"/>
      <c r="BQ230" s="1477"/>
      <c r="BR230" s="1477"/>
      <c r="BS230" s="1477"/>
      <c r="BT230" s="1477"/>
      <c r="BU230" s="1477"/>
      <c r="BV230" s="1477"/>
      <c r="BW230" s="1477"/>
      <c r="BX230" s="1477"/>
      <c r="BY230" s="1477"/>
      <c r="BZ230" s="1477"/>
      <c r="CA230" s="1477"/>
      <c r="CB230" s="1477"/>
      <c r="CC230" s="1477"/>
      <c r="CD230" s="1477"/>
      <c r="CE230" s="1477"/>
      <c r="CF230" s="1477"/>
      <c r="CG230" s="1477"/>
      <c r="CH230" s="1477"/>
    </row>
    <row r="231" spans="2:86">
      <c r="B231" s="1714"/>
      <c r="C231" s="1586"/>
      <c r="D231" s="140" t="s">
        <v>4940</v>
      </c>
      <c r="E231" s="141"/>
      <c r="F231" s="142"/>
      <c r="G231" s="142">
        <f>F231+G228</f>
        <v>0</v>
      </c>
      <c r="H231" s="142">
        <f t="shared" ref="H231:AJ231" si="76">G231+H228</f>
        <v>0</v>
      </c>
      <c r="I231" s="142">
        <f t="shared" si="76"/>
        <v>0</v>
      </c>
      <c r="J231" s="142">
        <f t="shared" si="76"/>
        <v>0</v>
      </c>
      <c r="K231" s="142">
        <f t="shared" si="76"/>
        <v>0</v>
      </c>
      <c r="L231" s="142">
        <f t="shared" si="76"/>
        <v>0</v>
      </c>
      <c r="M231" s="142">
        <f t="shared" si="76"/>
        <v>0</v>
      </c>
      <c r="N231" s="142">
        <f t="shared" si="76"/>
        <v>0</v>
      </c>
      <c r="O231" s="142">
        <f t="shared" si="76"/>
        <v>0</v>
      </c>
      <c r="P231" s="142">
        <f t="shared" si="76"/>
        <v>0</v>
      </c>
      <c r="Q231" s="142">
        <f t="shared" si="76"/>
        <v>0</v>
      </c>
      <c r="R231" s="142">
        <f t="shared" si="76"/>
        <v>0</v>
      </c>
      <c r="S231" s="142">
        <f t="shared" si="76"/>
        <v>0</v>
      </c>
      <c r="T231" s="142">
        <f t="shared" si="76"/>
        <v>0</v>
      </c>
      <c r="U231" s="142">
        <f t="shared" si="76"/>
        <v>0</v>
      </c>
      <c r="V231" s="142">
        <f t="shared" si="76"/>
        <v>0</v>
      </c>
      <c r="W231" s="142">
        <f t="shared" si="76"/>
        <v>0</v>
      </c>
      <c r="X231" s="142">
        <f t="shared" si="76"/>
        <v>0</v>
      </c>
      <c r="Y231" s="142">
        <f t="shared" si="76"/>
        <v>0</v>
      </c>
      <c r="Z231" s="142">
        <f t="shared" si="76"/>
        <v>0</v>
      </c>
      <c r="AA231" s="142">
        <f t="shared" si="76"/>
        <v>0</v>
      </c>
      <c r="AB231" s="142">
        <f t="shared" si="76"/>
        <v>0</v>
      </c>
      <c r="AC231" s="142">
        <f t="shared" si="76"/>
        <v>0</v>
      </c>
      <c r="AD231" s="142">
        <f t="shared" si="76"/>
        <v>0</v>
      </c>
      <c r="AE231" s="142">
        <f t="shared" si="76"/>
        <v>0</v>
      </c>
      <c r="AF231" s="142">
        <f t="shared" si="76"/>
        <v>0</v>
      </c>
      <c r="AG231" s="142">
        <f t="shared" si="76"/>
        <v>0</v>
      </c>
      <c r="AH231" s="142">
        <f t="shared" si="76"/>
        <v>0</v>
      </c>
      <c r="AI231" s="142">
        <f t="shared" si="76"/>
        <v>0</v>
      </c>
      <c r="AJ231" s="142">
        <f t="shared" si="76"/>
        <v>0</v>
      </c>
      <c r="AK231" s="1714"/>
      <c r="AL231" s="1477"/>
      <c r="AM231" s="1477"/>
      <c r="AN231" s="1477"/>
      <c r="AO231" s="284"/>
      <c r="AP231" s="1477"/>
      <c r="AQ231" s="1477"/>
      <c r="AR231" s="1477"/>
      <c r="AS231" s="1477"/>
      <c r="AT231" s="1477"/>
      <c r="AU231" s="1477"/>
      <c r="AV231" s="1477"/>
      <c r="AW231" s="1477"/>
      <c r="AX231" s="1477"/>
      <c r="AY231" s="1477"/>
      <c r="AZ231" s="1477"/>
      <c r="BA231" s="1477"/>
      <c r="BB231" s="1477"/>
      <c r="BC231" s="1477"/>
      <c r="BD231" s="1477"/>
      <c r="BE231" s="1477"/>
      <c r="BF231" s="1477"/>
      <c r="BG231" s="1477"/>
      <c r="BH231" s="1477"/>
      <c r="BI231" s="1477"/>
      <c r="BJ231" s="1477"/>
      <c r="BK231" s="1477"/>
      <c r="BL231" s="1477"/>
      <c r="BM231" s="1477"/>
      <c r="BN231" s="1477"/>
      <c r="BO231" s="1477"/>
      <c r="BP231" s="1477"/>
      <c r="BQ231" s="1477"/>
      <c r="BR231" s="1477"/>
      <c r="BS231" s="1477"/>
      <c r="BT231" s="1477"/>
      <c r="BU231" s="1477"/>
      <c r="BV231" s="1477"/>
      <c r="BW231" s="1477"/>
      <c r="BX231" s="1477"/>
      <c r="BY231" s="1477"/>
      <c r="BZ231" s="1477"/>
      <c r="CA231" s="1477"/>
      <c r="CB231" s="1477"/>
      <c r="CC231" s="1477"/>
      <c r="CD231" s="1477"/>
      <c r="CE231" s="1477"/>
      <c r="CF231" s="1477"/>
      <c r="CG231" s="1477"/>
      <c r="CH231" s="1477"/>
    </row>
    <row r="232" spans="2:86">
      <c r="B232" s="1714"/>
      <c r="C232" s="1714"/>
      <c r="D232" s="1714"/>
      <c r="E232" s="1582"/>
      <c r="F232" s="1582"/>
      <c r="G232" s="1582"/>
      <c r="H232" s="1582"/>
      <c r="I232" s="1582"/>
      <c r="J232" s="1582"/>
      <c r="K232" s="1582"/>
      <c r="L232" s="1582"/>
      <c r="M232" s="1582"/>
      <c r="N232" s="1582"/>
      <c r="O232" s="1582"/>
      <c r="P232" s="1582"/>
      <c r="Q232" s="1582"/>
      <c r="R232" s="1582"/>
      <c r="S232" s="1582"/>
      <c r="T232" s="1582"/>
      <c r="U232" s="1582"/>
      <c r="V232" s="1582"/>
      <c r="W232" s="1582"/>
      <c r="X232" s="1582"/>
      <c r="Y232" s="1582"/>
      <c r="Z232" s="1582"/>
      <c r="AA232" s="1582"/>
      <c r="AB232" s="1582"/>
      <c r="AC232" s="1582"/>
      <c r="AD232" s="1582"/>
      <c r="AE232" s="1582"/>
      <c r="AF232" s="1582"/>
      <c r="AG232" s="1582"/>
      <c r="AH232" s="1582"/>
      <c r="AI232" s="1582"/>
      <c r="AJ232" s="1582"/>
      <c r="AK232" s="1714"/>
      <c r="AL232" s="1477"/>
      <c r="AM232" s="1477"/>
      <c r="AN232" s="1477"/>
      <c r="AO232" s="284"/>
      <c r="AP232" s="1477"/>
      <c r="AQ232" s="1477"/>
      <c r="AR232" s="1477"/>
      <c r="AS232" s="1477"/>
      <c r="AT232" s="1477"/>
      <c r="AU232" s="1477"/>
      <c r="AV232" s="1477"/>
      <c r="AW232" s="1477"/>
      <c r="AX232" s="1477"/>
      <c r="AY232" s="1477"/>
      <c r="AZ232" s="1477"/>
      <c r="BA232" s="1477"/>
      <c r="BB232" s="1477"/>
      <c r="BC232" s="1477"/>
      <c r="BD232" s="1477"/>
      <c r="BE232" s="1477"/>
      <c r="BF232" s="1477"/>
      <c r="BG232" s="1477"/>
      <c r="BH232" s="1477"/>
      <c r="BI232" s="1477"/>
      <c r="BJ232" s="1477"/>
      <c r="BK232" s="1477"/>
      <c r="BL232" s="1477"/>
      <c r="BM232" s="1477"/>
      <c r="BN232" s="1477"/>
      <c r="BO232" s="1477"/>
      <c r="BP232" s="1477"/>
      <c r="BQ232" s="1477"/>
      <c r="BR232" s="1477"/>
      <c r="BS232" s="1477"/>
      <c r="BT232" s="1477"/>
      <c r="BU232" s="1477"/>
      <c r="BV232" s="1477"/>
      <c r="BW232" s="1477"/>
      <c r="BX232" s="1477"/>
      <c r="BY232" s="1477"/>
      <c r="BZ232" s="1477"/>
      <c r="CA232" s="1477"/>
      <c r="CB232" s="1477"/>
      <c r="CC232" s="1477"/>
      <c r="CD232" s="1477"/>
      <c r="CE232" s="1477"/>
      <c r="CF232" s="1477"/>
      <c r="CG232" s="1477"/>
      <c r="CH232" s="1477"/>
    </row>
    <row r="233" spans="2:86" hidden="1">
      <c r="B233" s="1714"/>
      <c r="C233" s="1592" t="s">
        <v>4941</v>
      </c>
      <c r="D233" s="1593" t="s">
        <v>2867</v>
      </c>
      <c r="E233" s="1594">
        <f>Construction_Rate_1</f>
        <v>0</v>
      </c>
      <c r="F233" s="1595"/>
      <c r="G233" s="1595"/>
      <c r="H233" s="1596">
        <v>0</v>
      </c>
      <c r="I233" s="1596">
        <f>SUM($G178:H178)*$E233/12</f>
        <v>0</v>
      </c>
      <c r="J233" s="1596">
        <f>SUM($G178:I178)*$E233/12</f>
        <v>0</v>
      </c>
      <c r="K233" s="1596">
        <f>SUM($G178:J178)*$E233/12</f>
        <v>0</v>
      </c>
      <c r="L233" s="1596">
        <f>SUM($G178:K178)*$E233/12</f>
        <v>0</v>
      </c>
      <c r="M233" s="1596">
        <f>SUM($G178:L178)*$E233/12</f>
        <v>0</v>
      </c>
      <c r="N233" s="1596">
        <f>SUM($G178:M178)*$E233/12</f>
        <v>0</v>
      </c>
      <c r="O233" s="1596">
        <f>SUM($G178:N178)*$E233/12</f>
        <v>0</v>
      </c>
      <c r="P233" s="1596">
        <f>SUM($G178:O178)*$E233/12</f>
        <v>0</v>
      </c>
      <c r="Q233" s="1596">
        <f>SUM($G178:P178)*$E233/12</f>
        <v>0</v>
      </c>
      <c r="R233" s="1596">
        <f>SUM($G178:Q178)*$E233/12</f>
        <v>0</v>
      </c>
      <c r="S233" s="1596">
        <f>SUM($G178:R178)*$E233/12</f>
        <v>0</v>
      </c>
      <c r="T233" s="1596">
        <f>SUM($G178:S178)*$E233/12</f>
        <v>0</v>
      </c>
      <c r="U233" s="1596">
        <f>SUM($G178:T178)*$E233/12</f>
        <v>0</v>
      </c>
      <c r="V233" s="1596">
        <f>SUM($G178:U178)*$E233/12</f>
        <v>0</v>
      </c>
      <c r="W233" s="1596">
        <f>SUM($G178:V178)*$E233/12</f>
        <v>0</v>
      </c>
      <c r="X233" s="1596">
        <f>SUM($G178:W178)*$E233/12</f>
        <v>0</v>
      </c>
      <c r="Y233" s="1596">
        <f>SUM($G178:X178)*$E233/12</f>
        <v>0</v>
      </c>
      <c r="Z233" s="1596">
        <f>SUM($G178:Y178)*$E233/12</f>
        <v>0</v>
      </c>
      <c r="AA233" s="1596">
        <f>SUM($G178:Z178)*$E233/12</f>
        <v>0</v>
      </c>
      <c r="AB233" s="1596">
        <f>SUM($G178:AA178)*$E233/12</f>
        <v>0</v>
      </c>
      <c r="AC233" s="1596">
        <f>SUM($G178:AB178)*$E233/12</f>
        <v>0</v>
      </c>
      <c r="AD233" s="1596">
        <f>SUM($G178:AC178)*$E233/12</f>
        <v>0</v>
      </c>
      <c r="AE233" s="1596">
        <f>SUM($G178:AD178)*$E233/12</f>
        <v>0</v>
      </c>
      <c r="AF233" s="1596">
        <f>SUM($G178:AE178)*$E233/12</f>
        <v>0</v>
      </c>
      <c r="AG233" s="1596">
        <f>SUM($G178:AF178)*$E233/12</f>
        <v>0</v>
      </c>
      <c r="AH233" s="1596">
        <f>SUM($G178:AG178)*$E233/12</f>
        <v>0</v>
      </c>
      <c r="AI233" s="1596">
        <f>SUM($G178:AH178)*$E233/12</f>
        <v>0</v>
      </c>
      <c r="AJ233" s="1596">
        <f>SUM($G178:AI178)*$E233/12</f>
        <v>0</v>
      </c>
      <c r="AK233" s="1714"/>
      <c r="AL233" s="1477"/>
      <c r="AM233" s="1477"/>
      <c r="AN233" s="1477"/>
      <c r="AO233" s="284"/>
      <c r="AP233" s="1477"/>
      <c r="AQ233" s="1477"/>
      <c r="AR233" s="1477"/>
      <c r="AS233" s="1477"/>
      <c r="AT233" s="1477"/>
      <c r="AU233" s="1477"/>
      <c r="AV233" s="1477"/>
      <c r="AW233" s="1477"/>
      <c r="AX233" s="1477"/>
      <c r="AY233" s="1477"/>
      <c r="AZ233" s="1477"/>
      <c r="BA233" s="1477"/>
      <c r="BB233" s="1477"/>
      <c r="BC233" s="1477"/>
      <c r="BD233" s="1477"/>
      <c r="BE233" s="1477"/>
      <c r="BF233" s="1477"/>
      <c r="BG233" s="1477"/>
      <c r="BH233" s="1477"/>
      <c r="BI233" s="1477"/>
      <c r="BJ233" s="1477"/>
      <c r="BK233" s="1477"/>
      <c r="BL233" s="1477"/>
      <c r="BM233" s="1477"/>
      <c r="BN233" s="1477"/>
      <c r="BO233" s="1477"/>
      <c r="BP233" s="1477"/>
      <c r="BQ233" s="1477"/>
      <c r="BR233" s="1477"/>
      <c r="BS233" s="1477"/>
      <c r="BT233" s="1477"/>
      <c r="BU233" s="1477"/>
      <c r="BV233" s="1477"/>
      <c r="BW233" s="1477"/>
      <c r="BX233" s="1477"/>
      <c r="BY233" s="1477"/>
      <c r="BZ233" s="1477"/>
      <c r="CA233" s="1477"/>
      <c r="CB233" s="1477"/>
      <c r="CC233" s="1477"/>
      <c r="CD233" s="1477"/>
      <c r="CE233" s="1477"/>
      <c r="CF233" s="1477"/>
      <c r="CG233" s="1477"/>
      <c r="CH233" s="1477"/>
    </row>
    <row r="234" spans="2:86" hidden="1">
      <c r="B234" s="1714"/>
      <c r="C234" s="1592" t="s">
        <v>4942</v>
      </c>
      <c r="D234" s="1593" t="s">
        <v>2867</v>
      </c>
      <c r="E234" s="1594">
        <f>Construction_Rate_2</f>
        <v>0</v>
      </c>
      <c r="F234" s="1595"/>
      <c r="G234" s="1595"/>
      <c r="H234" s="1596">
        <f>SUM($G179:G179)*$E234/12</f>
        <v>0</v>
      </c>
      <c r="I234" s="1596">
        <f>SUM($G179:H179)*$E234/12</f>
        <v>0</v>
      </c>
      <c r="J234" s="1596">
        <f>SUM($G179:I179)*$E234/12</f>
        <v>0</v>
      </c>
      <c r="K234" s="1596">
        <f>SUM($G179:J179)*$E234/12</f>
        <v>0</v>
      </c>
      <c r="L234" s="1596">
        <f>SUM($G179:K179)*$E234/12</f>
        <v>0</v>
      </c>
      <c r="M234" s="1596">
        <f>SUM($G179:L179)*$E234/12</f>
        <v>0</v>
      </c>
      <c r="N234" s="1596">
        <f>SUM($G179:M179)*$E234/12</f>
        <v>0</v>
      </c>
      <c r="O234" s="1596">
        <f>SUM($G179:N179)*$E234/12</f>
        <v>0</v>
      </c>
      <c r="P234" s="1596">
        <f>SUM($G179:O179)*$E234/12</f>
        <v>0</v>
      </c>
      <c r="Q234" s="1596">
        <f>SUM($G179:P179)*$E234/12</f>
        <v>0</v>
      </c>
      <c r="R234" s="1596">
        <f>SUM($G179:Q179)*$E234/12</f>
        <v>0</v>
      </c>
      <c r="S234" s="1596">
        <f>SUM($G179:R179)*$E234/12</f>
        <v>0</v>
      </c>
      <c r="T234" s="1596">
        <f>SUM($G179:S179)*$E234/12</f>
        <v>0</v>
      </c>
      <c r="U234" s="1596">
        <f>SUM($G179:T179)*$E234/12</f>
        <v>0</v>
      </c>
      <c r="V234" s="1596">
        <f>SUM($G179:U179)*$E234/12</f>
        <v>0</v>
      </c>
      <c r="W234" s="1596">
        <f>SUM($G179:V179)*$E234/12</f>
        <v>0</v>
      </c>
      <c r="X234" s="1596">
        <f>SUM($G179:W179)*$E234/12</f>
        <v>0</v>
      </c>
      <c r="Y234" s="1596">
        <f>SUM($G179:X179)*$E234/12</f>
        <v>0</v>
      </c>
      <c r="Z234" s="1596">
        <f>SUM($G179:Y179)*$E234/12</f>
        <v>0</v>
      </c>
      <c r="AA234" s="1596">
        <f>SUM($G179:Z179)*$E234/12</f>
        <v>0</v>
      </c>
      <c r="AB234" s="1596">
        <f>SUM($G179:AA179)*$E234/12</f>
        <v>0</v>
      </c>
      <c r="AC234" s="1596">
        <f>SUM($G179:AB179)*$E234/12</f>
        <v>0</v>
      </c>
      <c r="AD234" s="1596">
        <f>SUM($G179:AC179)*$E234/12</f>
        <v>0</v>
      </c>
      <c r="AE234" s="1596">
        <f>SUM($G179:AD179)*$E234/12</f>
        <v>0</v>
      </c>
      <c r="AF234" s="1596">
        <f>SUM($G179:AE179)*$E234/12</f>
        <v>0</v>
      </c>
      <c r="AG234" s="1596">
        <f>SUM($G179:AF179)*$E234/12</f>
        <v>0</v>
      </c>
      <c r="AH234" s="1596">
        <f>SUM($G179:AG179)*$E234/12</f>
        <v>0</v>
      </c>
      <c r="AI234" s="1596">
        <f>SUM($G179:AH179)*$E234/12</f>
        <v>0</v>
      </c>
      <c r="AJ234" s="1596">
        <f>SUM($G179:AI179)*$E234/12</f>
        <v>0</v>
      </c>
      <c r="AK234" s="1714"/>
      <c r="AL234" s="1477"/>
      <c r="AM234" s="1477"/>
      <c r="AN234" s="1477"/>
      <c r="AO234" s="284"/>
      <c r="AP234" s="1477"/>
      <c r="AQ234" s="1477"/>
      <c r="AR234" s="1477"/>
      <c r="AS234" s="1477"/>
      <c r="AT234" s="1477"/>
      <c r="AU234" s="1477"/>
      <c r="AV234" s="1477"/>
      <c r="AW234" s="1477"/>
      <c r="AX234" s="1477"/>
      <c r="AY234" s="1477"/>
      <c r="AZ234" s="1477"/>
      <c r="BA234" s="1477"/>
      <c r="BB234" s="1477"/>
      <c r="BC234" s="1477"/>
      <c r="BD234" s="1477"/>
      <c r="BE234" s="1477"/>
      <c r="BF234" s="1477"/>
      <c r="BG234" s="1477"/>
      <c r="BH234" s="1477"/>
      <c r="BI234" s="1477"/>
      <c r="BJ234" s="1477"/>
      <c r="BK234" s="1477"/>
      <c r="BL234" s="1477"/>
      <c r="BM234" s="1477"/>
      <c r="BN234" s="1477"/>
      <c r="BO234" s="1477"/>
      <c r="BP234" s="1477"/>
      <c r="BQ234" s="1477"/>
      <c r="BR234" s="1477"/>
      <c r="BS234" s="1477"/>
      <c r="BT234" s="1477"/>
      <c r="BU234" s="1477"/>
      <c r="BV234" s="1477"/>
      <c r="BW234" s="1477"/>
      <c r="BX234" s="1477"/>
      <c r="BY234" s="1477"/>
      <c r="BZ234" s="1477"/>
      <c r="CA234" s="1477"/>
      <c r="CB234" s="1477"/>
      <c r="CC234" s="1477"/>
      <c r="CD234" s="1477"/>
      <c r="CE234" s="1477"/>
      <c r="CF234" s="1477"/>
      <c r="CG234" s="1477"/>
      <c r="CH234" s="1477"/>
    </row>
    <row r="235" spans="2:86" hidden="1">
      <c r="B235" s="1714"/>
      <c r="C235" s="1592" t="s">
        <v>4943</v>
      </c>
      <c r="D235" s="1593" t="s">
        <v>2867</v>
      </c>
      <c r="E235" s="1594">
        <f>Construction_Rate_3</f>
        <v>0</v>
      </c>
      <c r="F235" s="1595"/>
      <c r="G235" s="1595"/>
      <c r="H235" s="1596">
        <f>SUM($G180:G180)*$E235/12</f>
        <v>0</v>
      </c>
      <c r="I235" s="1596">
        <f>SUM($G180:H180)*$E235/12</f>
        <v>0</v>
      </c>
      <c r="J235" s="1596">
        <f>SUM($G180:I180)*$E235/12</f>
        <v>0</v>
      </c>
      <c r="K235" s="1596">
        <f>SUM($G180:J180)*$E235/12</f>
        <v>0</v>
      </c>
      <c r="L235" s="1596">
        <f>SUM($G180:K180)*$E235/12</f>
        <v>0</v>
      </c>
      <c r="M235" s="1596">
        <f>SUM($G180:L180)*$E235/12</f>
        <v>0</v>
      </c>
      <c r="N235" s="1596">
        <f>SUM($G180:M180)*$E235/12</f>
        <v>0</v>
      </c>
      <c r="O235" s="1596">
        <f>SUM($G180:N180)*$E235/12</f>
        <v>0</v>
      </c>
      <c r="P235" s="1596">
        <f>SUM($G180:O180)*$E235/12</f>
        <v>0</v>
      </c>
      <c r="Q235" s="1596">
        <f>SUM($G180:P180)*$E235/12</f>
        <v>0</v>
      </c>
      <c r="R235" s="1596">
        <f>SUM($G180:Q180)*$E235/12</f>
        <v>0</v>
      </c>
      <c r="S235" s="1596">
        <f>SUM($G180:R180)*$E235/12</f>
        <v>0</v>
      </c>
      <c r="T235" s="1596">
        <f>SUM($G180:S180)*$E235/12</f>
        <v>0</v>
      </c>
      <c r="U235" s="1596">
        <f>SUM($G180:T180)*$E235/12</f>
        <v>0</v>
      </c>
      <c r="V235" s="1596">
        <f>SUM($G180:U180)*$E235/12</f>
        <v>0</v>
      </c>
      <c r="W235" s="1596">
        <f>SUM($G180:V180)*$E235/12</f>
        <v>0</v>
      </c>
      <c r="X235" s="1596">
        <f>SUM($G180:W180)*$E235/12</f>
        <v>0</v>
      </c>
      <c r="Y235" s="1596">
        <f>SUM($G180:X180)*$E235/12</f>
        <v>0</v>
      </c>
      <c r="Z235" s="1596">
        <f>SUM($G180:Y180)*$E235/12</f>
        <v>0</v>
      </c>
      <c r="AA235" s="1596">
        <f>SUM($G180:Z180)*$E235/12</f>
        <v>0</v>
      </c>
      <c r="AB235" s="1596">
        <f>SUM($G180:AA180)*$E235/12</f>
        <v>0</v>
      </c>
      <c r="AC235" s="1596">
        <f>SUM($G180:AB180)*$E235/12</f>
        <v>0</v>
      </c>
      <c r="AD235" s="1596">
        <f>SUM($G180:AC180)*$E235/12</f>
        <v>0</v>
      </c>
      <c r="AE235" s="1596">
        <f>SUM($G180:AD180)*$E235/12</f>
        <v>0</v>
      </c>
      <c r="AF235" s="1596">
        <f>SUM($G180:AE180)*$E235/12</f>
        <v>0</v>
      </c>
      <c r="AG235" s="1596">
        <f>SUM($G180:AF180)*$E235/12</f>
        <v>0</v>
      </c>
      <c r="AH235" s="1596">
        <f>SUM($G180:AG180)*$E235/12</f>
        <v>0</v>
      </c>
      <c r="AI235" s="1596">
        <f>SUM($G180:AH180)*$E235/12</f>
        <v>0</v>
      </c>
      <c r="AJ235" s="1596">
        <f>SUM($G180:AI180)*$E235/12</f>
        <v>0</v>
      </c>
      <c r="AK235" s="1714"/>
      <c r="AL235" s="1477"/>
      <c r="AM235" s="1477"/>
      <c r="AN235" s="1477"/>
      <c r="AO235" s="284"/>
      <c r="AP235" s="1477"/>
      <c r="AQ235" s="1477"/>
      <c r="AR235" s="1477"/>
      <c r="AS235" s="1477"/>
      <c r="AT235" s="1477"/>
      <c r="AU235" s="1477"/>
      <c r="AV235" s="1477"/>
      <c r="AW235" s="1477"/>
      <c r="AX235" s="1477"/>
      <c r="AY235" s="1477"/>
      <c r="AZ235" s="1477"/>
      <c r="BA235" s="1477"/>
      <c r="BB235" s="1477"/>
      <c r="BC235" s="1477"/>
      <c r="BD235" s="1477"/>
      <c r="BE235" s="1477"/>
      <c r="BF235" s="1477"/>
      <c r="BG235" s="1477"/>
      <c r="BH235" s="1477"/>
      <c r="BI235" s="1477"/>
      <c r="BJ235" s="1477"/>
      <c r="BK235" s="1477"/>
      <c r="BL235" s="1477"/>
      <c r="BM235" s="1477"/>
      <c r="BN235" s="1477"/>
      <c r="BO235" s="1477"/>
      <c r="BP235" s="1477"/>
      <c r="BQ235" s="1477"/>
      <c r="BR235" s="1477"/>
      <c r="BS235" s="1477"/>
      <c r="BT235" s="1477"/>
      <c r="BU235" s="1477"/>
      <c r="BV235" s="1477"/>
      <c r="BW235" s="1477"/>
      <c r="BX235" s="1477"/>
      <c r="BY235" s="1477"/>
      <c r="BZ235" s="1477"/>
      <c r="CA235" s="1477"/>
      <c r="CB235" s="1477"/>
      <c r="CC235" s="1477"/>
      <c r="CD235" s="1477"/>
      <c r="CE235" s="1477"/>
      <c r="CF235" s="1477"/>
      <c r="CG235" s="1477"/>
      <c r="CH235" s="1477"/>
    </row>
    <row r="236" spans="2:86" hidden="1">
      <c r="B236" s="1714"/>
      <c r="C236" s="1592" t="s">
        <v>4944</v>
      </c>
      <c r="D236" s="1593" t="s">
        <v>2867</v>
      </c>
      <c r="E236" s="1594">
        <f>Construction_Rate_4</f>
        <v>0</v>
      </c>
      <c r="F236" s="1595"/>
      <c r="G236" s="1595"/>
      <c r="H236" s="1596">
        <f>SUM($G181:G181)*$E236/12</f>
        <v>0</v>
      </c>
      <c r="I236" s="1596">
        <f>SUM($G181:H181)*$E236/12</f>
        <v>0</v>
      </c>
      <c r="J236" s="1596">
        <f>SUM($G181:I181)*$E236/12</f>
        <v>0</v>
      </c>
      <c r="K236" s="1596">
        <f>SUM($G181:J181)*$E236/12</f>
        <v>0</v>
      </c>
      <c r="L236" s="1596">
        <f>SUM($G181:K181)*$E236/12</f>
        <v>0</v>
      </c>
      <c r="M236" s="1596">
        <f>SUM($G181:L181)*$E236/12</f>
        <v>0</v>
      </c>
      <c r="N236" s="1596">
        <f>SUM($G181:M181)*$E236/12</f>
        <v>0</v>
      </c>
      <c r="O236" s="1596">
        <f>SUM($G181:N181)*$E236/12</f>
        <v>0</v>
      </c>
      <c r="P236" s="1596">
        <f>SUM($G181:O181)*$E236/12</f>
        <v>0</v>
      </c>
      <c r="Q236" s="1596">
        <f>SUM($G181:P181)*$E236/12</f>
        <v>0</v>
      </c>
      <c r="R236" s="1596">
        <f>SUM($G181:Q181)*$E236/12</f>
        <v>0</v>
      </c>
      <c r="S236" s="1596">
        <f>SUM($G181:R181)*$E236/12</f>
        <v>0</v>
      </c>
      <c r="T236" s="1596">
        <f>SUM($G181:S181)*$E236/12</f>
        <v>0</v>
      </c>
      <c r="U236" s="1596">
        <f>SUM($G181:T181)*$E236/12</f>
        <v>0</v>
      </c>
      <c r="V236" s="1596">
        <f>SUM($G181:U181)*$E236/12</f>
        <v>0</v>
      </c>
      <c r="W236" s="1596">
        <f>SUM($G181:V181)*$E236/12</f>
        <v>0</v>
      </c>
      <c r="X236" s="1596">
        <f>SUM($G181:W181)*$E236/12</f>
        <v>0</v>
      </c>
      <c r="Y236" s="1596">
        <f>SUM($G181:X181)*$E236/12</f>
        <v>0</v>
      </c>
      <c r="Z236" s="1596">
        <f>SUM($G181:Y181)*$E236/12</f>
        <v>0</v>
      </c>
      <c r="AA236" s="1596">
        <f>SUM($G181:Z181)*$E236/12</f>
        <v>0</v>
      </c>
      <c r="AB236" s="1596">
        <f>SUM($G181:AA181)*$E236/12</f>
        <v>0</v>
      </c>
      <c r="AC236" s="1596">
        <f>SUM($G181:AB181)*$E236/12</f>
        <v>0</v>
      </c>
      <c r="AD236" s="1596">
        <f>SUM($G181:AC181)*$E236/12</f>
        <v>0</v>
      </c>
      <c r="AE236" s="1596">
        <f>SUM($G181:AD181)*$E236/12</f>
        <v>0</v>
      </c>
      <c r="AF236" s="1596">
        <f>SUM($G181:AE181)*$E236/12</f>
        <v>0</v>
      </c>
      <c r="AG236" s="1596">
        <f>SUM($G181:AF181)*$E236/12</f>
        <v>0</v>
      </c>
      <c r="AH236" s="1596">
        <f>SUM($G181:AG181)*$E236/12</f>
        <v>0</v>
      </c>
      <c r="AI236" s="1596">
        <f>SUM($G181:AH181)*$E236/12</f>
        <v>0</v>
      </c>
      <c r="AJ236" s="1596">
        <f>SUM($G181:AI181)*$E236/12</f>
        <v>0</v>
      </c>
      <c r="AK236" s="1714"/>
      <c r="AL236" s="1477"/>
      <c r="AM236" s="1477"/>
      <c r="AN236" s="1477"/>
      <c r="AO236" s="284"/>
      <c r="AP236" s="1477"/>
      <c r="AQ236" s="1477"/>
      <c r="AR236" s="1477"/>
      <c r="AS236" s="1477"/>
      <c r="AT236" s="1477"/>
      <c r="AU236" s="1477"/>
      <c r="AV236" s="1477"/>
      <c r="AW236" s="1477"/>
      <c r="AX236" s="1477"/>
      <c r="AY236" s="1477"/>
      <c r="AZ236" s="1477"/>
      <c r="BA236" s="1477"/>
      <c r="BB236" s="1477"/>
      <c r="BC236" s="1477"/>
      <c r="BD236" s="1477"/>
      <c r="BE236" s="1477"/>
      <c r="BF236" s="1477"/>
      <c r="BG236" s="1477"/>
      <c r="BH236" s="1477"/>
      <c r="BI236" s="1477"/>
      <c r="BJ236" s="1477"/>
      <c r="BK236" s="1477"/>
      <c r="BL236" s="1477"/>
      <c r="BM236" s="1477"/>
      <c r="BN236" s="1477"/>
      <c r="BO236" s="1477"/>
      <c r="BP236" s="1477"/>
      <c r="BQ236" s="1477"/>
      <c r="BR236" s="1477"/>
      <c r="BS236" s="1477"/>
      <c r="BT236" s="1477"/>
      <c r="BU236" s="1477"/>
      <c r="BV236" s="1477"/>
      <c r="BW236" s="1477"/>
      <c r="BX236" s="1477"/>
      <c r="BY236" s="1477"/>
      <c r="BZ236" s="1477"/>
      <c r="CA236" s="1477"/>
      <c r="CB236" s="1477"/>
      <c r="CC236" s="1477"/>
      <c r="CD236" s="1477"/>
      <c r="CE236" s="1477"/>
      <c r="CF236" s="1477"/>
      <c r="CG236" s="1477"/>
      <c r="CH236" s="1477"/>
    </row>
    <row r="237" spans="2:86" hidden="1">
      <c r="B237" s="1714"/>
      <c r="C237" s="1592" t="s">
        <v>4945</v>
      </c>
      <c r="D237" s="1593" t="s">
        <v>2867</v>
      </c>
      <c r="E237" s="1594">
        <f>Construction_Rate_5</f>
        <v>0</v>
      </c>
      <c r="F237" s="1595"/>
      <c r="G237" s="1595"/>
      <c r="H237" s="1596">
        <f>SUM($G182:G182)*$E237/12</f>
        <v>0</v>
      </c>
      <c r="I237" s="1596">
        <f>SUM($G182:H182)*$E237/12</f>
        <v>0</v>
      </c>
      <c r="J237" s="1596">
        <f>SUM($G182:I182)*$E237/12</f>
        <v>0</v>
      </c>
      <c r="K237" s="1596">
        <f>SUM($G182:J182)*$E237/12</f>
        <v>0</v>
      </c>
      <c r="L237" s="1596">
        <f>SUM($G182:K182)*$E237/12</f>
        <v>0</v>
      </c>
      <c r="M237" s="1596">
        <f>SUM($G182:L182)*$E237/12</f>
        <v>0</v>
      </c>
      <c r="N237" s="1596">
        <f>SUM($G182:M182)*$E237/12</f>
        <v>0</v>
      </c>
      <c r="O237" s="1596">
        <f>SUM($G182:N182)*$E237/12</f>
        <v>0</v>
      </c>
      <c r="P237" s="1596">
        <f>SUM($G182:O182)*$E237/12</f>
        <v>0</v>
      </c>
      <c r="Q237" s="1596">
        <f>SUM($G182:P182)*$E237/12</f>
        <v>0</v>
      </c>
      <c r="R237" s="1596">
        <f>SUM($G182:Q182)*$E237/12</f>
        <v>0</v>
      </c>
      <c r="S237" s="1596">
        <f>SUM($G182:R182)*$E237/12</f>
        <v>0</v>
      </c>
      <c r="T237" s="1596">
        <f>SUM($G182:S182)*$E237/12</f>
        <v>0</v>
      </c>
      <c r="U237" s="1596">
        <f>SUM($G182:T182)*$E237/12</f>
        <v>0</v>
      </c>
      <c r="V237" s="1596">
        <f>SUM($G182:U182)*$E237/12</f>
        <v>0</v>
      </c>
      <c r="W237" s="1596">
        <f>SUM($G182:V182)*$E237/12</f>
        <v>0</v>
      </c>
      <c r="X237" s="1596">
        <f>SUM($G182:W182)*$E237/12</f>
        <v>0</v>
      </c>
      <c r="Y237" s="1596">
        <f>SUM($G182:X182)*$E237/12</f>
        <v>0</v>
      </c>
      <c r="Z237" s="1596">
        <f>SUM($G182:Y182)*$E237/12</f>
        <v>0</v>
      </c>
      <c r="AA237" s="1596">
        <f>SUM($G182:Z182)*$E237/12</f>
        <v>0</v>
      </c>
      <c r="AB237" s="1596">
        <f>SUM($G182:AA182)*$E237/12</f>
        <v>0</v>
      </c>
      <c r="AC237" s="1596">
        <f>SUM($G182:AB182)*$E237/12</f>
        <v>0</v>
      </c>
      <c r="AD237" s="1596">
        <f>SUM($G182:AC182)*$E237/12</f>
        <v>0</v>
      </c>
      <c r="AE237" s="1596">
        <f>SUM($G182:AD182)*$E237/12</f>
        <v>0</v>
      </c>
      <c r="AF237" s="1596">
        <f>SUM($G182:AE182)*$E237/12</f>
        <v>0</v>
      </c>
      <c r="AG237" s="1596">
        <f>SUM($G182:AF182)*$E237/12</f>
        <v>0</v>
      </c>
      <c r="AH237" s="1596">
        <f>SUM($G182:AG182)*$E237/12</f>
        <v>0</v>
      </c>
      <c r="AI237" s="1596">
        <f>SUM($G182:AH182)*$E237/12</f>
        <v>0</v>
      </c>
      <c r="AJ237" s="1596">
        <f>SUM($G182:AI182)*$E237/12</f>
        <v>0</v>
      </c>
      <c r="AK237" s="1714"/>
      <c r="AL237" s="1477"/>
      <c r="AM237" s="1477"/>
      <c r="AN237" s="1477"/>
      <c r="AO237" s="284"/>
      <c r="AP237" s="1477"/>
      <c r="AQ237" s="1477"/>
      <c r="AR237" s="1477"/>
      <c r="AS237" s="1477"/>
      <c r="AT237" s="1477"/>
      <c r="AU237" s="1477"/>
      <c r="AV237" s="1477"/>
      <c r="AW237" s="1477"/>
      <c r="AX237" s="1477"/>
      <c r="AY237" s="1477"/>
      <c r="AZ237" s="1477"/>
      <c r="BA237" s="1477"/>
      <c r="BB237" s="1477"/>
      <c r="BC237" s="1477"/>
      <c r="BD237" s="1477"/>
      <c r="BE237" s="1477"/>
      <c r="BF237" s="1477"/>
      <c r="BG237" s="1477"/>
      <c r="BH237" s="1477"/>
      <c r="BI237" s="1477"/>
      <c r="BJ237" s="1477"/>
      <c r="BK237" s="1477"/>
      <c r="BL237" s="1477"/>
      <c r="BM237" s="1477"/>
      <c r="BN237" s="1477"/>
      <c r="BO237" s="1477"/>
      <c r="BP237" s="1477"/>
      <c r="BQ237" s="1477"/>
      <c r="BR237" s="1477"/>
      <c r="BS237" s="1477"/>
      <c r="BT237" s="1477"/>
      <c r="BU237" s="1477"/>
      <c r="BV237" s="1477"/>
      <c r="BW237" s="1477"/>
      <c r="BX237" s="1477"/>
      <c r="BY237" s="1477"/>
      <c r="BZ237" s="1477"/>
      <c r="CA237" s="1477"/>
      <c r="CB237" s="1477"/>
      <c r="CC237" s="1477"/>
      <c r="CD237" s="1477"/>
      <c r="CE237" s="1477"/>
      <c r="CF237" s="1477"/>
      <c r="CG237" s="1477"/>
      <c r="CH237" s="1477"/>
    </row>
    <row r="238" spans="2:86" hidden="1">
      <c r="B238" s="1714"/>
      <c r="C238" s="1592" t="s">
        <v>4946</v>
      </c>
      <c r="D238" s="1597">
        <v>1</v>
      </c>
      <c r="E238" s="1595"/>
      <c r="F238" s="1595"/>
      <c r="G238" s="1595"/>
      <c r="H238" s="1595"/>
      <c r="I238" s="1595"/>
      <c r="J238" s="1595"/>
      <c r="K238" s="1595"/>
      <c r="L238" s="1595"/>
      <c r="M238" s="1595"/>
      <c r="N238" s="1595"/>
      <c r="O238" s="1595"/>
      <c r="P238" s="1595"/>
      <c r="Q238" s="1595"/>
      <c r="R238" s="1595"/>
      <c r="S238" s="1595"/>
      <c r="T238" s="1595"/>
      <c r="U238" s="1595"/>
      <c r="V238" s="1595"/>
      <c r="W238" s="1595"/>
      <c r="X238" s="1595"/>
      <c r="Y238" s="1595"/>
      <c r="Z238" s="1595"/>
      <c r="AA238" s="1595"/>
      <c r="AB238" s="1595"/>
      <c r="AC238" s="1595"/>
      <c r="AD238" s="1595"/>
      <c r="AE238" s="1595"/>
      <c r="AF238" s="1595"/>
      <c r="AG238" s="1595"/>
      <c r="AH238" s="1595"/>
      <c r="AI238" s="1595"/>
      <c r="AJ238" s="1595"/>
      <c r="AK238" s="1714"/>
      <c r="AL238" s="1477"/>
      <c r="AM238" s="1477"/>
      <c r="AN238" s="1477"/>
      <c r="AO238" s="284"/>
      <c r="AP238" s="1477"/>
      <c r="AQ238" s="1477"/>
      <c r="AR238" s="1477"/>
      <c r="AS238" s="1477"/>
      <c r="AT238" s="1477"/>
      <c r="AU238" s="1477"/>
      <c r="AV238" s="1477"/>
      <c r="AW238" s="1477"/>
      <c r="AX238" s="1477"/>
      <c r="AY238" s="1477"/>
      <c r="AZ238" s="1477"/>
      <c r="BA238" s="1477"/>
      <c r="BB238" s="1477"/>
      <c r="BC238" s="1477"/>
      <c r="BD238" s="1477"/>
      <c r="BE238" s="1477"/>
      <c r="BF238" s="1477"/>
      <c r="BG238" s="1477"/>
      <c r="BH238" s="1477"/>
      <c r="BI238" s="1477"/>
      <c r="BJ238" s="1477"/>
      <c r="BK238" s="1477"/>
      <c r="BL238" s="1477"/>
      <c r="BM238" s="1477"/>
      <c r="BN238" s="1477"/>
      <c r="BO238" s="1477"/>
      <c r="BP238" s="1477"/>
      <c r="BQ238" s="1477"/>
      <c r="BR238" s="1477"/>
      <c r="BS238" s="1477"/>
      <c r="BT238" s="1477"/>
      <c r="BU238" s="1477"/>
      <c r="BV238" s="1477"/>
      <c r="BW238" s="1477"/>
      <c r="BX238" s="1477"/>
      <c r="BY238" s="1477"/>
      <c r="BZ238" s="1477"/>
      <c r="CA238" s="1477"/>
      <c r="CB238" s="1477"/>
      <c r="CC238" s="1477"/>
      <c r="CD238" s="1477"/>
      <c r="CE238" s="1477"/>
      <c r="CF238" s="1477"/>
      <c r="CG238" s="1477"/>
      <c r="CH238" s="1477"/>
    </row>
    <row r="239" spans="2:86" hidden="1">
      <c r="B239" s="1714"/>
      <c r="C239" s="1592" t="s">
        <v>4947</v>
      </c>
      <c r="D239" s="1597">
        <v>1</v>
      </c>
      <c r="E239" s="1595"/>
      <c r="F239" s="1595"/>
      <c r="G239" s="1595"/>
      <c r="H239" s="1595"/>
      <c r="I239" s="1595"/>
      <c r="J239" s="1595"/>
      <c r="K239" s="1595"/>
      <c r="L239" s="1595"/>
      <c r="M239" s="1595"/>
      <c r="N239" s="1595"/>
      <c r="O239" s="1595"/>
      <c r="P239" s="1595"/>
      <c r="Q239" s="1595"/>
      <c r="R239" s="1595"/>
      <c r="S239" s="1595"/>
      <c r="T239" s="1595"/>
      <c r="U239" s="1595"/>
      <c r="V239" s="1595"/>
      <c r="W239" s="1595"/>
      <c r="X239" s="1595"/>
      <c r="Y239" s="1595"/>
      <c r="Z239" s="1595"/>
      <c r="AA239" s="1595"/>
      <c r="AB239" s="1595"/>
      <c r="AC239" s="1595"/>
      <c r="AD239" s="1595"/>
      <c r="AE239" s="1595"/>
      <c r="AF239" s="1595"/>
      <c r="AG239" s="1595"/>
      <c r="AH239" s="1595"/>
      <c r="AI239" s="1595"/>
      <c r="AJ239" s="1595"/>
      <c r="AK239" s="1714"/>
      <c r="AL239" s="1477"/>
      <c r="AM239" s="1477"/>
      <c r="AN239" s="1477"/>
      <c r="AO239" s="284"/>
      <c r="AP239" s="1477"/>
      <c r="AQ239" s="1477"/>
      <c r="AR239" s="1477"/>
      <c r="AS239" s="1477"/>
      <c r="AT239" s="1477"/>
      <c r="AU239" s="1477"/>
      <c r="AV239" s="1477"/>
      <c r="AW239" s="1477"/>
      <c r="AX239" s="1477"/>
      <c r="AY239" s="1477"/>
      <c r="AZ239" s="1477"/>
      <c r="BA239" s="1477"/>
      <c r="BB239" s="1477"/>
      <c r="BC239" s="1477"/>
      <c r="BD239" s="1477"/>
      <c r="BE239" s="1477"/>
      <c r="BF239" s="1477"/>
      <c r="BG239" s="1477"/>
      <c r="BH239" s="1477"/>
      <c r="BI239" s="1477"/>
      <c r="BJ239" s="1477"/>
      <c r="BK239" s="1477"/>
      <c r="BL239" s="1477"/>
      <c r="BM239" s="1477"/>
      <c r="BN239" s="1477"/>
      <c r="BO239" s="1477"/>
      <c r="BP239" s="1477"/>
      <c r="BQ239" s="1477"/>
      <c r="BR239" s="1477"/>
      <c r="BS239" s="1477"/>
      <c r="BT239" s="1477"/>
      <c r="BU239" s="1477"/>
      <c r="BV239" s="1477"/>
      <c r="BW239" s="1477"/>
      <c r="BX239" s="1477"/>
      <c r="BY239" s="1477"/>
      <c r="BZ239" s="1477"/>
      <c r="CA239" s="1477"/>
      <c r="CB239" s="1477"/>
      <c r="CC239" s="1477"/>
      <c r="CD239" s="1477"/>
      <c r="CE239" s="1477"/>
      <c r="CF239" s="1477"/>
      <c r="CG239" s="1477"/>
      <c r="CH239" s="1477"/>
    </row>
    <row r="240" spans="2:86" hidden="1">
      <c r="B240" s="1714"/>
      <c r="C240" s="1592" t="s">
        <v>4948</v>
      </c>
      <c r="D240" s="1597">
        <v>1</v>
      </c>
      <c r="E240" s="1595"/>
      <c r="F240" s="1595"/>
      <c r="G240" s="1595"/>
      <c r="H240" s="1595"/>
      <c r="I240" s="1595"/>
      <c r="J240" s="1595"/>
      <c r="K240" s="1595"/>
      <c r="L240" s="1595"/>
      <c r="M240" s="1595"/>
      <c r="N240" s="1595"/>
      <c r="O240" s="1595"/>
      <c r="P240" s="1595"/>
      <c r="Q240" s="1595"/>
      <c r="R240" s="1595"/>
      <c r="S240" s="1595"/>
      <c r="T240" s="1595"/>
      <c r="U240" s="1595"/>
      <c r="V240" s="1595"/>
      <c r="W240" s="1595"/>
      <c r="X240" s="1595"/>
      <c r="Y240" s="1595"/>
      <c r="Z240" s="1595"/>
      <c r="AA240" s="1595"/>
      <c r="AB240" s="1595"/>
      <c r="AC240" s="1595"/>
      <c r="AD240" s="1595"/>
      <c r="AE240" s="1595"/>
      <c r="AF240" s="1595"/>
      <c r="AG240" s="1595"/>
      <c r="AH240" s="1595"/>
      <c r="AI240" s="1595"/>
      <c r="AJ240" s="1595"/>
      <c r="AK240" s="1714"/>
      <c r="AL240" s="1477"/>
      <c r="AM240" s="1477"/>
      <c r="AN240" s="1477"/>
      <c r="AO240" s="284"/>
      <c r="AP240" s="1477"/>
      <c r="AQ240" s="1477"/>
      <c r="AR240" s="1477"/>
      <c r="AS240" s="1477"/>
      <c r="AT240" s="1477"/>
      <c r="AU240" s="1477"/>
      <c r="AV240" s="1477"/>
      <c r="AW240" s="1477"/>
      <c r="AX240" s="1477"/>
      <c r="AY240" s="1477"/>
      <c r="AZ240" s="1477"/>
      <c r="BA240" s="1477"/>
      <c r="BB240" s="1477"/>
      <c r="BC240" s="1477"/>
      <c r="BD240" s="1477"/>
      <c r="BE240" s="1477"/>
      <c r="BF240" s="1477"/>
      <c r="BG240" s="1477"/>
      <c r="BH240" s="1477"/>
      <c r="BI240" s="1477"/>
      <c r="BJ240" s="1477"/>
      <c r="BK240" s="1477"/>
      <c r="BL240" s="1477"/>
      <c r="BM240" s="1477"/>
      <c r="BN240" s="1477"/>
      <c r="BO240" s="1477"/>
      <c r="BP240" s="1477"/>
      <c r="BQ240" s="1477"/>
      <c r="BR240" s="1477"/>
      <c r="BS240" s="1477"/>
      <c r="BT240" s="1477"/>
      <c r="BU240" s="1477"/>
      <c r="BV240" s="1477"/>
      <c r="BW240" s="1477"/>
      <c r="BX240" s="1477"/>
      <c r="BY240" s="1477"/>
      <c r="BZ240" s="1477"/>
      <c r="CA240" s="1477"/>
      <c r="CB240" s="1477"/>
      <c r="CC240" s="1477"/>
      <c r="CD240" s="1477"/>
      <c r="CE240" s="1477"/>
      <c r="CF240" s="1477"/>
      <c r="CG240" s="1477"/>
      <c r="CH240" s="1477"/>
    </row>
    <row r="241" spans="2:86" hidden="1">
      <c r="B241" s="1714"/>
      <c r="C241" s="1592" t="s">
        <v>4949</v>
      </c>
      <c r="D241" s="1597">
        <v>1</v>
      </c>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5"/>
      <c r="AJ241" s="1595"/>
      <c r="AK241" s="1714"/>
      <c r="AL241" s="1477"/>
      <c r="AM241" s="1477"/>
      <c r="AN241" s="1477"/>
      <c r="AO241" s="284"/>
      <c r="AP241" s="1477"/>
      <c r="AQ241" s="1477"/>
      <c r="AR241" s="1477"/>
      <c r="AS241" s="1477"/>
      <c r="AT241" s="1477"/>
      <c r="AU241" s="1477"/>
      <c r="AV241" s="1477"/>
      <c r="AW241" s="1477"/>
      <c r="AX241" s="1477"/>
      <c r="AY241" s="1477"/>
      <c r="AZ241" s="1477"/>
      <c r="BA241" s="1477"/>
      <c r="BB241" s="1477"/>
      <c r="BC241" s="1477"/>
      <c r="BD241" s="1477"/>
      <c r="BE241" s="1477"/>
      <c r="BF241" s="1477"/>
      <c r="BG241" s="1477"/>
      <c r="BH241" s="1477"/>
      <c r="BI241" s="1477"/>
      <c r="BJ241" s="1477"/>
      <c r="BK241" s="1477"/>
      <c r="BL241" s="1477"/>
      <c r="BM241" s="1477"/>
      <c r="BN241" s="1477"/>
      <c r="BO241" s="1477"/>
      <c r="BP241" s="1477"/>
      <c r="BQ241" s="1477"/>
      <c r="BR241" s="1477"/>
      <c r="BS241" s="1477"/>
      <c r="BT241" s="1477"/>
      <c r="BU241" s="1477"/>
      <c r="BV241" s="1477"/>
      <c r="BW241" s="1477"/>
      <c r="BX241" s="1477"/>
      <c r="BY241" s="1477"/>
      <c r="BZ241" s="1477"/>
      <c r="CA241" s="1477"/>
      <c r="CB241" s="1477"/>
      <c r="CC241" s="1477"/>
      <c r="CD241" s="1477"/>
      <c r="CE241" s="1477"/>
      <c r="CF241" s="1477"/>
      <c r="CG241" s="1477"/>
      <c r="CH241" s="1477"/>
    </row>
    <row r="242" spans="2:86" hidden="1">
      <c r="B242" s="1714"/>
      <c r="C242" s="1592" t="s">
        <v>4950</v>
      </c>
      <c r="D242" s="1597">
        <v>1</v>
      </c>
      <c r="E242" s="1595"/>
      <c r="F242" s="1595"/>
      <c r="G242" s="1595"/>
      <c r="H242" s="1595"/>
      <c r="I242" s="1595"/>
      <c r="J242" s="1595"/>
      <c r="K242" s="1595"/>
      <c r="L242" s="1595"/>
      <c r="M242" s="1595"/>
      <c r="N242" s="1595"/>
      <c r="O242" s="1595"/>
      <c r="P242" s="1595"/>
      <c r="Q242" s="1595"/>
      <c r="R242" s="1595"/>
      <c r="S242" s="1595"/>
      <c r="T242" s="1595"/>
      <c r="U242" s="1595"/>
      <c r="V242" s="1595"/>
      <c r="W242" s="1595"/>
      <c r="X242" s="1595"/>
      <c r="Y242" s="1595"/>
      <c r="Z242" s="1595"/>
      <c r="AA242" s="1595"/>
      <c r="AB242" s="1595"/>
      <c r="AC242" s="1595"/>
      <c r="AD242" s="1595"/>
      <c r="AE242" s="1595"/>
      <c r="AF242" s="1595"/>
      <c r="AG242" s="1595"/>
      <c r="AH242" s="1595"/>
      <c r="AI242" s="1595"/>
      <c r="AJ242" s="1595"/>
      <c r="AK242" s="1714"/>
      <c r="AL242" s="1477"/>
      <c r="AM242" s="1477"/>
      <c r="AN242" s="1477"/>
      <c r="AO242" s="284"/>
      <c r="AP242" s="1477"/>
      <c r="AQ242" s="1477"/>
      <c r="AR242" s="1477"/>
      <c r="AS242" s="1477"/>
      <c r="AT242" s="1477"/>
      <c r="AU242" s="1477"/>
      <c r="AV242" s="1477"/>
      <c r="AW242" s="1477"/>
      <c r="AX242" s="1477"/>
      <c r="AY242" s="1477"/>
      <c r="AZ242" s="1477"/>
      <c r="BA242" s="1477"/>
      <c r="BB242" s="1477"/>
      <c r="BC242" s="1477"/>
      <c r="BD242" s="1477"/>
      <c r="BE242" s="1477"/>
      <c r="BF242" s="1477"/>
      <c r="BG242" s="1477"/>
      <c r="BH242" s="1477"/>
      <c r="BI242" s="1477"/>
      <c r="BJ242" s="1477"/>
      <c r="BK242" s="1477"/>
      <c r="BL242" s="1477"/>
      <c r="BM242" s="1477"/>
      <c r="BN242" s="1477"/>
      <c r="BO242" s="1477"/>
      <c r="BP242" s="1477"/>
      <c r="BQ242" s="1477"/>
      <c r="BR242" s="1477"/>
      <c r="BS242" s="1477"/>
      <c r="BT242" s="1477"/>
      <c r="BU242" s="1477"/>
      <c r="BV242" s="1477"/>
      <c r="BW242" s="1477"/>
      <c r="BX242" s="1477"/>
      <c r="BY242" s="1477"/>
      <c r="BZ242" s="1477"/>
      <c r="CA242" s="1477"/>
      <c r="CB242" s="1477"/>
      <c r="CC242" s="1477"/>
      <c r="CD242" s="1477"/>
      <c r="CE242" s="1477"/>
      <c r="CF242" s="1477"/>
      <c r="CG242" s="1477"/>
      <c r="CH242" s="1477"/>
    </row>
    <row r="243" spans="2:86" hidden="1">
      <c r="B243" s="1714"/>
      <c r="C243" s="1592" t="s">
        <v>4951</v>
      </c>
      <c r="D243" s="1597"/>
      <c r="E243" s="1595"/>
      <c r="F243" s="1595"/>
      <c r="G243" s="1595"/>
      <c r="H243" s="1595"/>
      <c r="I243" s="1595"/>
      <c r="J243" s="1595"/>
      <c r="K243" s="1595"/>
      <c r="L243" s="1595"/>
      <c r="M243" s="1595"/>
      <c r="N243" s="1595"/>
      <c r="O243" s="1595"/>
      <c r="P243" s="1595"/>
      <c r="Q243" s="1595"/>
      <c r="R243" s="1595"/>
      <c r="S243" s="1595"/>
      <c r="T243" s="1595"/>
      <c r="U243" s="1595"/>
      <c r="V243" s="1595"/>
      <c r="W243" s="1595"/>
      <c r="X243" s="1595"/>
      <c r="Y243" s="1595"/>
      <c r="Z243" s="1595"/>
      <c r="AA243" s="1595"/>
      <c r="AB243" s="1595"/>
      <c r="AC243" s="1595"/>
      <c r="AD243" s="1595"/>
      <c r="AE243" s="1595"/>
      <c r="AF243" s="1595"/>
      <c r="AG243" s="1595"/>
      <c r="AH243" s="1595"/>
      <c r="AI243" s="1595"/>
      <c r="AJ243" s="1595"/>
      <c r="AK243" s="1714"/>
      <c r="AL243" s="1477"/>
      <c r="AM243" s="1477"/>
      <c r="AN243" s="1477"/>
      <c r="AO243" s="284"/>
      <c r="AP243" s="1477"/>
      <c r="AQ243" s="1477"/>
      <c r="AR243" s="1477"/>
      <c r="AS243" s="1477"/>
      <c r="AT243" s="1477"/>
      <c r="AU243" s="1477"/>
      <c r="AV243" s="1477"/>
      <c r="AW243" s="1477"/>
      <c r="AX243" s="1477"/>
      <c r="AY243" s="1477"/>
      <c r="AZ243" s="1477"/>
      <c r="BA243" s="1477"/>
      <c r="BB243" s="1477"/>
      <c r="BC243" s="1477"/>
      <c r="BD243" s="1477"/>
      <c r="BE243" s="1477"/>
      <c r="BF243" s="1477"/>
      <c r="BG243" s="1477"/>
      <c r="BH243" s="1477"/>
      <c r="BI243" s="1477"/>
      <c r="BJ243" s="1477"/>
      <c r="BK243" s="1477"/>
      <c r="BL243" s="1477"/>
      <c r="BM243" s="1477"/>
      <c r="BN243" s="1477"/>
      <c r="BO243" s="1477"/>
      <c r="BP243" s="1477"/>
      <c r="BQ243" s="1477"/>
      <c r="BR243" s="1477"/>
      <c r="BS243" s="1477"/>
      <c r="BT243" s="1477"/>
      <c r="BU243" s="1477"/>
      <c r="BV243" s="1477"/>
      <c r="BW243" s="1477"/>
      <c r="BX243" s="1477"/>
      <c r="BY243" s="1477"/>
      <c r="BZ243" s="1477"/>
      <c r="CA243" s="1477"/>
      <c r="CB243" s="1477"/>
      <c r="CC243" s="1477"/>
      <c r="CD243" s="1477"/>
      <c r="CE243" s="1477"/>
      <c r="CF243" s="1477"/>
      <c r="CG243" s="1477"/>
      <c r="CH243" s="1477"/>
    </row>
    <row r="244" spans="2:86">
      <c r="B244" s="1714"/>
      <c r="C244" s="1714"/>
      <c r="D244" s="1714"/>
      <c r="E244" s="1582"/>
      <c r="F244" s="1582"/>
      <c r="G244" s="1582"/>
      <c r="H244" s="1582"/>
      <c r="I244" s="1582"/>
      <c r="J244" s="1582"/>
      <c r="K244" s="1582"/>
      <c r="L244" s="1582"/>
      <c r="M244" s="1582"/>
      <c r="N244" s="1582"/>
      <c r="O244" s="1582"/>
      <c r="P244" s="1582"/>
      <c r="Q244" s="1582"/>
      <c r="R244" s="1582"/>
      <c r="S244" s="1582"/>
      <c r="T244" s="1582"/>
      <c r="U244" s="1582"/>
      <c r="V244" s="1582"/>
      <c r="W244" s="1582"/>
      <c r="X244" s="1582"/>
      <c r="Y244" s="1582"/>
      <c r="Z244" s="1582"/>
      <c r="AA244" s="1582"/>
      <c r="AB244" s="1582"/>
      <c r="AC244" s="1582"/>
      <c r="AD244" s="1582"/>
      <c r="AE244" s="1582"/>
      <c r="AF244" s="1582"/>
      <c r="AG244" s="1582"/>
      <c r="AH244" s="1582"/>
      <c r="AI244" s="1582"/>
      <c r="AJ244" s="1582"/>
      <c r="AK244" s="1714"/>
      <c r="AL244" s="1477"/>
      <c r="AM244" s="1477"/>
      <c r="AN244" s="1477"/>
      <c r="AO244" s="284"/>
      <c r="AP244" s="1477"/>
      <c r="AQ244" s="1477"/>
      <c r="AR244" s="1477"/>
      <c r="AS244" s="1477"/>
      <c r="AT244" s="1477"/>
      <c r="AU244" s="1477"/>
      <c r="AV244" s="1477"/>
      <c r="AW244" s="1477"/>
      <c r="AX244" s="1477"/>
      <c r="AY244" s="1477"/>
      <c r="AZ244" s="1477"/>
      <c r="BA244" s="1477"/>
      <c r="BB244" s="1477"/>
      <c r="BC244" s="1477"/>
      <c r="BD244" s="1477"/>
      <c r="BE244" s="1477"/>
      <c r="BF244" s="1477"/>
      <c r="BG244" s="1477"/>
      <c r="BH244" s="1477"/>
      <c r="BI244" s="1477"/>
      <c r="BJ244" s="1477"/>
      <c r="BK244" s="1477"/>
      <c r="BL244" s="1477"/>
      <c r="BM244" s="1477"/>
      <c r="BN244" s="1477"/>
      <c r="BO244" s="1477"/>
      <c r="BP244" s="1477"/>
      <c r="BQ244" s="1477"/>
      <c r="BR244" s="1477"/>
      <c r="BS244" s="1477"/>
      <c r="BT244" s="1477"/>
      <c r="BU244" s="1477"/>
      <c r="BV244" s="1477"/>
      <c r="BW244" s="1477"/>
      <c r="BX244" s="1477"/>
      <c r="BY244" s="1477"/>
      <c r="BZ244" s="1477"/>
      <c r="CA244" s="1477"/>
      <c r="CB244" s="1477"/>
      <c r="CC244" s="1477"/>
      <c r="CD244" s="1477"/>
      <c r="CE244" s="1477"/>
      <c r="CF244" s="1477"/>
      <c r="CG244" s="1477"/>
      <c r="CH244" s="1477"/>
    </row>
    <row r="245" spans="2:86">
      <c r="B245" s="1714"/>
      <c r="C245" s="152" t="s">
        <v>4952</v>
      </c>
      <c r="D245" s="153"/>
      <c r="E245" s="153"/>
      <c r="F245" s="153"/>
      <c r="G245" s="146" t="str">
        <f t="shared" ref="G245:AJ245" si="77">+G13</f>
        <v>Draw #1</v>
      </c>
      <c r="H245" s="146" t="str">
        <f t="shared" si="77"/>
        <v>Draw #2</v>
      </c>
      <c r="I245" s="146" t="str">
        <f t="shared" si="77"/>
        <v>Draw #3</v>
      </c>
      <c r="J245" s="146" t="str">
        <f t="shared" si="77"/>
        <v>Draw #4</v>
      </c>
      <c r="K245" s="146" t="str">
        <f t="shared" si="77"/>
        <v>Draw #5</v>
      </c>
      <c r="L245" s="146" t="str">
        <f t="shared" si="77"/>
        <v>Draw #6</v>
      </c>
      <c r="M245" s="146" t="str">
        <f t="shared" si="77"/>
        <v>Draw #7</v>
      </c>
      <c r="N245" s="146" t="str">
        <f t="shared" si="77"/>
        <v>Draw #8</v>
      </c>
      <c r="O245" s="146" t="str">
        <f t="shared" si="77"/>
        <v>Draw #9</v>
      </c>
      <c r="P245" s="146" t="str">
        <f t="shared" si="77"/>
        <v>Draw #10</v>
      </c>
      <c r="Q245" s="146" t="str">
        <f t="shared" si="77"/>
        <v>Draw #11</v>
      </c>
      <c r="R245" s="146" t="str">
        <f t="shared" si="77"/>
        <v>Draw #12</v>
      </c>
      <c r="S245" s="146" t="str">
        <f t="shared" si="77"/>
        <v>Draw #13</v>
      </c>
      <c r="T245" s="146" t="str">
        <f t="shared" si="77"/>
        <v>Draw #14</v>
      </c>
      <c r="U245" s="146" t="str">
        <f t="shared" si="77"/>
        <v>Draw #15</v>
      </c>
      <c r="V245" s="146" t="str">
        <f t="shared" si="77"/>
        <v>Draw #16</v>
      </c>
      <c r="W245" s="146" t="str">
        <f t="shared" si="77"/>
        <v>Draw #17</v>
      </c>
      <c r="X245" s="146" t="str">
        <f t="shared" si="77"/>
        <v>Draw #18</v>
      </c>
      <c r="Y245" s="146" t="str">
        <f t="shared" si="77"/>
        <v>Draw $19</v>
      </c>
      <c r="Z245" s="146" t="str">
        <f t="shared" si="77"/>
        <v>Draw #20</v>
      </c>
      <c r="AA245" s="146" t="str">
        <f t="shared" si="77"/>
        <v>Draw #21</v>
      </c>
      <c r="AB245" s="146" t="str">
        <f t="shared" si="77"/>
        <v>Draw #22</v>
      </c>
      <c r="AC245" s="146" t="str">
        <f t="shared" si="77"/>
        <v>Draw #23</v>
      </c>
      <c r="AD245" s="146" t="str">
        <f t="shared" si="77"/>
        <v>Draw #24</v>
      </c>
      <c r="AE245" s="146" t="str">
        <f t="shared" si="77"/>
        <v>Draw #25</v>
      </c>
      <c r="AF245" s="146" t="str">
        <f t="shared" si="77"/>
        <v>Draw #26</v>
      </c>
      <c r="AG245" s="146" t="str">
        <f t="shared" si="77"/>
        <v>Draw #26</v>
      </c>
      <c r="AH245" s="146" t="str">
        <f t="shared" si="77"/>
        <v>Draw #28</v>
      </c>
      <c r="AI245" s="146" t="str">
        <f t="shared" si="77"/>
        <v>Draw #29</v>
      </c>
      <c r="AJ245" s="146" t="str">
        <f t="shared" si="77"/>
        <v>Draw #30</v>
      </c>
      <c r="AK245" s="1714"/>
      <c r="AL245" s="1477"/>
      <c r="AM245" s="1477"/>
      <c r="AN245" s="1477"/>
      <c r="AO245" s="284"/>
      <c r="AP245" s="1477"/>
      <c r="AQ245" s="1477"/>
      <c r="AR245" s="1477"/>
      <c r="AS245" s="1477"/>
      <c r="AT245" s="1477"/>
      <c r="AU245" s="1477"/>
      <c r="AV245" s="1477"/>
      <c r="AW245" s="1477"/>
      <c r="AX245" s="1477"/>
      <c r="AY245" s="1477"/>
      <c r="AZ245" s="1477"/>
      <c r="BA245" s="1477"/>
      <c r="BB245" s="1477"/>
      <c r="BC245" s="1477"/>
      <c r="BD245" s="1477"/>
      <c r="BE245" s="1477"/>
      <c r="BF245" s="1477"/>
      <c r="BG245" s="1477"/>
      <c r="BH245" s="1477"/>
      <c r="BI245" s="1477"/>
      <c r="BJ245" s="1477"/>
      <c r="BK245" s="1477"/>
      <c r="BL245" s="1477"/>
      <c r="BM245" s="1477"/>
      <c r="BN245" s="1477"/>
      <c r="BO245" s="1477"/>
      <c r="BP245" s="1477"/>
      <c r="BQ245" s="1477"/>
      <c r="BR245" s="1477"/>
      <c r="BS245" s="1477"/>
      <c r="BT245" s="1477"/>
      <c r="BU245" s="1477"/>
      <c r="BV245" s="1477"/>
      <c r="BW245" s="1477"/>
      <c r="BX245" s="1477"/>
      <c r="BY245" s="1477"/>
      <c r="BZ245" s="1477"/>
      <c r="CA245" s="1477"/>
      <c r="CB245" s="1477"/>
      <c r="CC245" s="1477"/>
      <c r="CD245" s="1477"/>
      <c r="CE245" s="1477"/>
      <c r="CF245" s="1477"/>
      <c r="CG245" s="1477"/>
      <c r="CH245" s="1477"/>
    </row>
    <row r="246" spans="2:86">
      <c r="B246" s="1714"/>
      <c r="C246" s="1586" t="s">
        <v>4953</v>
      </c>
      <c r="D246" s="1598"/>
      <c r="E246" s="1599">
        <f>SUM(G246:AC246)</f>
        <v>0</v>
      </c>
      <c r="F246" s="1598"/>
      <c r="G246" s="1600">
        <f>+G171-SUM(G200:G226)</f>
        <v>0</v>
      </c>
      <c r="H246" s="1600">
        <f t="shared" ref="H246:AJ246" si="78">+H171-SUM(H200:H226)</f>
        <v>0</v>
      </c>
      <c r="I246" s="1600">
        <f t="shared" si="78"/>
        <v>0</v>
      </c>
      <c r="J246" s="1600">
        <f t="shared" si="78"/>
        <v>0</v>
      </c>
      <c r="K246" s="1600">
        <f t="shared" si="78"/>
        <v>0</v>
      </c>
      <c r="L246" s="1600">
        <f t="shared" si="78"/>
        <v>0</v>
      </c>
      <c r="M246" s="1600">
        <f t="shared" si="78"/>
        <v>0</v>
      </c>
      <c r="N246" s="1600">
        <f t="shared" si="78"/>
        <v>0</v>
      </c>
      <c r="O246" s="1600">
        <f t="shared" si="78"/>
        <v>0</v>
      </c>
      <c r="P246" s="1600">
        <f t="shared" si="78"/>
        <v>0</v>
      </c>
      <c r="Q246" s="1600">
        <f t="shared" si="78"/>
        <v>0</v>
      </c>
      <c r="R246" s="1600">
        <f t="shared" si="78"/>
        <v>0</v>
      </c>
      <c r="S246" s="1600">
        <f t="shared" si="78"/>
        <v>0</v>
      </c>
      <c r="T246" s="1600">
        <f t="shared" si="78"/>
        <v>0</v>
      </c>
      <c r="U246" s="1600">
        <f t="shared" si="78"/>
        <v>0</v>
      </c>
      <c r="V246" s="1600">
        <f t="shared" si="78"/>
        <v>0</v>
      </c>
      <c r="W246" s="1600">
        <f t="shared" si="78"/>
        <v>0</v>
      </c>
      <c r="X246" s="1600">
        <f t="shared" si="78"/>
        <v>0</v>
      </c>
      <c r="Y246" s="1600">
        <f t="shared" si="78"/>
        <v>0</v>
      </c>
      <c r="Z246" s="1600">
        <f t="shared" si="78"/>
        <v>0</v>
      </c>
      <c r="AA246" s="1600">
        <f t="shared" si="78"/>
        <v>0</v>
      </c>
      <c r="AB246" s="1600">
        <f t="shared" si="78"/>
        <v>0</v>
      </c>
      <c r="AC246" s="1600">
        <f t="shared" si="78"/>
        <v>0</v>
      </c>
      <c r="AD246" s="1600">
        <f t="shared" si="78"/>
        <v>0</v>
      </c>
      <c r="AE246" s="1600">
        <f t="shared" si="78"/>
        <v>0</v>
      </c>
      <c r="AF246" s="1600">
        <f t="shared" si="78"/>
        <v>0</v>
      </c>
      <c r="AG246" s="1600">
        <f t="shared" si="78"/>
        <v>0</v>
      </c>
      <c r="AH246" s="1600">
        <f t="shared" si="78"/>
        <v>0</v>
      </c>
      <c r="AI246" s="1600">
        <f t="shared" si="78"/>
        <v>0</v>
      </c>
      <c r="AJ246" s="1600">
        <f t="shared" si="78"/>
        <v>0</v>
      </c>
      <c r="AK246" s="1714"/>
      <c r="AL246" s="1477"/>
      <c r="AM246" s="1477"/>
      <c r="AN246" s="1477"/>
      <c r="AO246" s="284"/>
      <c r="AP246" s="1477"/>
      <c r="AQ246" s="1477"/>
      <c r="AR246" s="1477"/>
      <c r="AS246" s="1477"/>
      <c r="AT246" s="1477"/>
      <c r="AU246" s="1477"/>
      <c r="AV246" s="1477"/>
      <c r="AW246" s="1477"/>
      <c r="AX246" s="1477"/>
      <c r="AY246" s="1477"/>
      <c r="AZ246" s="1477"/>
      <c r="BA246" s="1477"/>
      <c r="BB246" s="1477"/>
      <c r="BC246" s="1477"/>
      <c r="BD246" s="1477"/>
      <c r="BE246" s="1477"/>
      <c r="BF246" s="1477"/>
      <c r="BG246" s="1477"/>
      <c r="BH246" s="1477"/>
      <c r="BI246" s="1477"/>
      <c r="BJ246" s="1477"/>
      <c r="BK246" s="1477"/>
      <c r="BL246" s="1477"/>
      <c r="BM246" s="1477"/>
      <c r="BN246" s="1477"/>
      <c r="BO246" s="1477"/>
      <c r="BP246" s="1477"/>
      <c r="BQ246" s="1477"/>
      <c r="BR246" s="1477"/>
      <c r="BS246" s="1477"/>
      <c r="BT246" s="1477"/>
      <c r="BU246" s="1477"/>
      <c r="BV246" s="1477"/>
      <c r="BW246" s="1477"/>
      <c r="BX246" s="1477"/>
      <c r="BY246" s="1477"/>
      <c r="BZ246" s="1477"/>
      <c r="CA246" s="1477"/>
      <c r="CB246" s="1477"/>
      <c r="CC246" s="1477"/>
      <c r="CD246" s="1477"/>
      <c r="CE246" s="1477"/>
      <c r="CF246" s="1477"/>
      <c r="CG246" s="1477"/>
      <c r="CH246" s="1477"/>
    </row>
    <row r="247" spans="2:86">
      <c r="B247" s="1714"/>
      <c r="C247" s="1586" t="s">
        <v>4954</v>
      </c>
      <c r="D247" s="1598"/>
      <c r="E247" s="1600">
        <f>SUM(E178:E182)</f>
        <v>0</v>
      </c>
      <c r="F247" s="1598"/>
      <c r="G247" s="1598"/>
      <c r="H247" s="1598"/>
      <c r="I247" s="1589"/>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714"/>
      <c r="AL247" s="1477"/>
      <c r="AM247" s="1477"/>
      <c r="AN247" s="1477"/>
      <c r="AO247" s="284"/>
      <c r="AP247" s="1477"/>
      <c r="AQ247" s="1477"/>
      <c r="AR247" s="1477"/>
      <c r="AS247" s="1477"/>
      <c r="AT247" s="1477"/>
      <c r="AU247" s="1477"/>
      <c r="AV247" s="1477"/>
      <c r="AW247" s="1477"/>
      <c r="AX247" s="1477"/>
      <c r="AY247" s="1477"/>
      <c r="AZ247" s="1477"/>
      <c r="BA247" s="1477"/>
      <c r="BB247" s="1477"/>
      <c r="BC247" s="1477"/>
      <c r="BD247" s="1477"/>
      <c r="BE247" s="1477"/>
      <c r="BF247" s="1477"/>
      <c r="BG247" s="1477"/>
      <c r="BH247" s="1477"/>
      <c r="BI247" s="1477"/>
      <c r="BJ247" s="1477"/>
      <c r="BK247" s="1477"/>
      <c r="BL247" s="1477"/>
      <c r="BM247" s="1477"/>
      <c r="BN247" s="1477"/>
      <c r="BO247" s="1477"/>
      <c r="BP247" s="1477"/>
      <c r="BQ247" s="1477"/>
      <c r="BR247" s="1477"/>
      <c r="BS247" s="1477"/>
      <c r="BT247" s="1477"/>
      <c r="BU247" s="1477"/>
      <c r="BV247" s="1477"/>
      <c r="BW247" s="1477"/>
      <c r="BX247" s="1477"/>
      <c r="BY247" s="1477"/>
      <c r="BZ247" s="1477"/>
      <c r="CA247" s="1477"/>
      <c r="CB247" s="1477"/>
      <c r="CC247" s="1477"/>
      <c r="CD247" s="1477"/>
      <c r="CE247" s="1477"/>
      <c r="CF247" s="1477"/>
      <c r="CG247" s="1477"/>
      <c r="CH247" s="1477"/>
    </row>
    <row r="248" spans="2:86">
      <c r="B248" s="1714"/>
      <c r="C248" s="1586" t="s">
        <v>4939</v>
      </c>
      <c r="D248" s="1598"/>
      <c r="E248" s="1600">
        <f>+E246-E247</f>
        <v>0</v>
      </c>
      <c r="F248" s="1598"/>
      <c r="G248" s="1598"/>
      <c r="H248" s="1598"/>
      <c r="I248" s="1598"/>
      <c r="J248" s="1598"/>
      <c r="K248" s="1598"/>
      <c r="L248" s="1598"/>
      <c r="M248" s="1598"/>
      <c r="N248" s="1598"/>
      <c r="O248" s="1598"/>
      <c r="P248" s="1598"/>
      <c r="Q248" s="1598"/>
      <c r="R248" s="1598"/>
      <c r="S248" s="1598"/>
      <c r="T248" s="1598"/>
      <c r="U248" s="1598"/>
      <c r="V248" s="1598"/>
      <c r="W248" s="1598"/>
      <c r="X248" s="1598"/>
      <c r="Y248" s="1598"/>
      <c r="Z248" s="1598"/>
      <c r="AA248" s="1598"/>
      <c r="AB248" s="1598"/>
      <c r="AC248" s="1598"/>
      <c r="AD248" s="1598"/>
      <c r="AE248" s="1598"/>
      <c r="AF248" s="1598"/>
      <c r="AG248" s="1598"/>
      <c r="AH248" s="1598"/>
      <c r="AI248" s="1598"/>
      <c r="AJ248" s="1598"/>
      <c r="AK248" s="1714"/>
      <c r="AL248" s="1477"/>
      <c r="AM248" s="1477"/>
      <c r="AN248" s="1477"/>
      <c r="AO248" s="284"/>
      <c r="AP248" s="1477"/>
      <c r="AQ248" s="1477"/>
      <c r="AR248" s="1477"/>
      <c r="AS248" s="1477"/>
      <c r="AT248" s="1477"/>
      <c r="AU248" s="1477"/>
      <c r="AV248" s="1477"/>
      <c r="AW248" s="1477"/>
      <c r="AX248" s="1477"/>
      <c r="AY248" s="1477"/>
      <c r="AZ248" s="1477"/>
      <c r="BA248" s="1477"/>
      <c r="BB248" s="1477"/>
      <c r="BC248" s="1477"/>
      <c r="BD248" s="1477"/>
      <c r="BE248" s="1477"/>
      <c r="BF248" s="1477"/>
      <c r="BG248" s="1477"/>
      <c r="BH248" s="1477"/>
      <c r="BI248" s="1477"/>
      <c r="BJ248" s="1477"/>
      <c r="BK248" s="1477"/>
      <c r="BL248" s="1477"/>
      <c r="BM248" s="1477"/>
      <c r="BN248" s="1477"/>
      <c r="BO248" s="1477"/>
      <c r="BP248" s="1477"/>
      <c r="BQ248" s="1477"/>
      <c r="BR248" s="1477"/>
      <c r="BS248" s="1477"/>
      <c r="BT248" s="1477"/>
      <c r="BU248" s="1477"/>
      <c r="BV248" s="1477"/>
      <c r="BW248" s="1477"/>
      <c r="BX248" s="1477"/>
      <c r="BY248" s="1477"/>
      <c r="BZ248" s="1477"/>
      <c r="CA248" s="1477"/>
      <c r="CB248" s="1477"/>
      <c r="CC248" s="1477"/>
      <c r="CD248" s="1477"/>
      <c r="CE248" s="1477"/>
      <c r="CF248" s="1477"/>
      <c r="CG248" s="1477"/>
      <c r="CH248" s="1477"/>
    </row>
    <row r="249" spans="2:86">
      <c r="B249" s="1714"/>
      <c r="C249" s="1714"/>
      <c r="D249" s="1714"/>
      <c r="E249" s="1582"/>
      <c r="F249" s="1582"/>
      <c r="G249" s="1582"/>
      <c r="H249" s="1582"/>
      <c r="I249" s="1582"/>
      <c r="J249" s="1582"/>
      <c r="K249" s="1582"/>
      <c r="L249" s="1582"/>
      <c r="M249" s="1582"/>
      <c r="N249" s="1582"/>
      <c r="O249" s="1582"/>
      <c r="P249" s="1582"/>
      <c r="Q249" s="1582"/>
      <c r="R249" s="1582"/>
      <c r="S249" s="1582"/>
      <c r="T249" s="1582"/>
      <c r="U249" s="1582"/>
      <c r="V249" s="1582"/>
      <c r="W249" s="1582"/>
      <c r="X249" s="1582"/>
      <c r="Y249" s="1582"/>
      <c r="Z249" s="1582"/>
      <c r="AA249" s="1582"/>
      <c r="AB249" s="1582"/>
      <c r="AC249" s="1582"/>
      <c r="AD249" s="1582"/>
      <c r="AE249" s="1582"/>
      <c r="AF249" s="1582"/>
      <c r="AG249" s="1582"/>
      <c r="AH249" s="1582"/>
      <c r="AI249" s="1582"/>
      <c r="AJ249" s="1582"/>
      <c r="AK249" s="1714"/>
      <c r="AL249" s="1477"/>
      <c r="AM249" s="1477"/>
      <c r="AN249" s="1477"/>
      <c r="AO249" s="284"/>
      <c r="AP249" s="1477"/>
      <c r="AQ249" s="1477"/>
      <c r="AR249" s="1477"/>
      <c r="AS249" s="1477"/>
      <c r="AT249" s="1477"/>
      <c r="AU249" s="1477"/>
      <c r="AV249" s="1477"/>
      <c r="AW249" s="1477"/>
      <c r="AX249" s="1477"/>
      <c r="AY249" s="1477"/>
      <c r="AZ249" s="1477"/>
      <c r="BA249" s="1477"/>
      <c r="BB249" s="1477"/>
      <c r="BC249" s="1477"/>
      <c r="BD249" s="1477"/>
      <c r="BE249" s="1477"/>
      <c r="BF249" s="1477"/>
      <c r="BG249" s="1477"/>
      <c r="BH249" s="1477"/>
      <c r="BI249" s="1477"/>
      <c r="BJ249" s="1477"/>
      <c r="BK249" s="1477"/>
      <c r="BL249" s="1477"/>
      <c r="BM249" s="1477"/>
      <c r="BN249" s="1477"/>
      <c r="BO249" s="1477"/>
      <c r="BP249" s="1477"/>
      <c r="BQ249" s="1477"/>
      <c r="BR249" s="1477"/>
      <c r="BS249" s="1477"/>
      <c r="BT249" s="1477"/>
      <c r="BU249" s="1477"/>
      <c r="BV249" s="1477"/>
      <c r="BW249" s="1477"/>
      <c r="BX249" s="1477"/>
      <c r="BY249" s="1477"/>
      <c r="BZ249" s="1477"/>
      <c r="CA249" s="1477"/>
      <c r="CB249" s="1477"/>
      <c r="CC249" s="1477"/>
      <c r="CD249" s="1477"/>
      <c r="CE249" s="1477"/>
      <c r="CF249" s="1477"/>
      <c r="CG249" s="1477"/>
      <c r="CH249" s="1477"/>
    </row>
    <row r="250" spans="2:86">
      <c r="B250" s="1477"/>
      <c r="C250" s="1477"/>
      <c r="D250" s="1477"/>
      <c r="E250" s="1601"/>
      <c r="F250" s="1601"/>
      <c r="G250" s="1601"/>
      <c r="H250" s="1601"/>
      <c r="I250" s="1601"/>
      <c r="J250" s="1601"/>
      <c r="K250" s="1601"/>
      <c r="L250" s="1601"/>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1"/>
      <c r="AJ250" s="1601"/>
      <c r="AK250" s="1477"/>
      <c r="AL250" s="1477"/>
      <c r="AM250" s="1477"/>
      <c r="AN250" s="1477"/>
      <c r="AO250" s="284"/>
      <c r="AP250" s="1477"/>
      <c r="AQ250" s="1477"/>
      <c r="AR250" s="1477"/>
      <c r="AS250" s="1477"/>
      <c r="AT250" s="1477"/>
      <c r="AU250" s="1477"/>
      <c r="AV250" s="1477"/>
      <c r="AW250" s="1477"/>
      <c r="AX250" s="1477"/>
      <c r="AY250" s="1477"/>
      <c r="AZ250" s="1477"/>
      <c r="BA250" s="1477"/>
      <c r="BB250" s="1477"/>
      <c r="BC250" s="1477"/>
      <c r="BD250" s="1477"/>
      <c r="BE250" s="1477"/>
      <c r="BF250" s="1477"/>
      <c r="BG250" s="1477"/>
      <c r="BH250" s="1477"/>
      <c r="BI250" s="1477"/>
      <c r="BJ250" s="1477"/>
      <c r="BK250" s="1477"/>
      <c r="BL250" s="1477"/>
      <c r="BM250" s="1477"/>
      <c r="BN250" s="1477"/>
      <c r="BO250" s="1477"/>
      <c r="BP250" s="1477"/>
      <c r="BQ250" s="1477"/>
      <c r="BR250" s="1477"/>
      <c r="BS250" s="1477"/>
      <c r="BT250" s="1477"/>
      <c r="BU250" s="1477"/>
      <c r="BV250" s="1477"/>
      <c r="BW250" s="1477"/>
      <c r="BX250" s="1477"/>
      <c r="BY250" s="1477"/>
      <c r="BZ250" s="1477"/>
      <c r="CA250" s="1477"/>
      <c r="CB250" s="1477"/>
      <c r="CC250" s="1477"/>
      <c r="CD250" s="1477"/>
      <c r="CE250" s="1477"/>
      <c r="CF250" s="1477"/>
      <c r="CG250" s="1477"/>
      <c r="CH250" s="1477"/>
    </row>
    <row r="251" spans="2:86" ht="18.75">
      <c r="B251" s="1477"/>
      <c r="C251" s="85" t="s">
        <v>1055</v>
      </c>
      <c r="D251" s="118"/>
      <c r="E251" s="1476"/>
      <c r="F251" s="1519"/>
      <c r="G251" s="1519"/>
      <c r="H251" s="1519"/>
      <c r="I251" s="1476"/>
      <c r="J251" s="1477"/>
      <c r="K251" s="1477"/>
      <c r="L251" s="1477"/>
      <c r="M251" s="1477"/>
      <c r="N251" s="1477"/>
      <c r="O251" s="1477"/>
      <c r="P251" s="1477"/>
      <c r="Q251" s="1477"/>
      <c r="R251" s="1477"/>
      <c r="S251" s="1477"/>
      <c r="T251" s="1477"/>
      <c r="U251" s="1477"/>
      <c r="V251" s="1477"/>
      <c r="W251" s="1477"/>
      <c r="X251" s="1477"/>
      <c r="Y251" s="1477"/>
      <c r="Z251" s="1477"/>
      <c r="AA251" s="1477"/>
      <c r="AB251" s="1477"/>
      <c r="AC251" s="1477"/>
      <c r="AD251" s="1477"/>
      <c r="AE251" s="1477"/>
      <c r="AF251" s="1477"/>
      <c r="AG251" s="1477"/>
      <c r="AH251" s="1477"/>
      <c r="AI251" s="1477"/>
      <c r="AJ251" s="1477"/>
      <c r="AK251" s="1477"/>
      <c r="AL251" s="1477"/>
      <c r="AM251" s="1477"/>
      <c r="AN251" s="1477"/>
      <c r="AO251" s="284"/>
      <c r="AP251" s="1477"/>
      <c r="AQ251" s="1477"/>
      <c r="AR251" s="1477"/>
      <c r="AS251" s="1477"/>
      <c r="AT251" s="1477"/>
      <c r="AU251" s="1477"/>
      <c r="AV251" s="1477"/>
      <c r="AW251" s="1477"/>
      <c r="AX251" s="1477"/>
      <c r="AY251" s="1477"/>
      <c r="AZ251" s="1477"/>
      <c r="BA251" s="1477"/>
      <c r="BB251" s="1477"/>
      <c r="BC251" s="1477"/>
      <c r="BD251" s="1477"/>
      <c r="BE251" s="1477"/>
      <c r="BF251" s="1477"/>
      <c r="BG251" s="1477"/>
      <c r="BH251" s="1477"/>
      <c r="BI251" s="1477"/>
      <c r="BJ251" s="1477"/>
      <c r="BK251" s="1477"/>
      <c r="BL251" s="1477"/>
      <c r="BM251" s="1477"/>
      <c r="BN251" s="1477"/>
      <c r="BO251" s="1477"/>
      <c r="BP251" s="1477"/>
      <c r="BQ251" s="1477"/>
      <c r="BR251" s="1477"/>
      <c r="BS251" s="1477"/>
      <c r="BT251" s="1477"/>
      <c r="BU251" s="1477"/>
      <c r="BV251" s="1477"/>
      <c r="BW251" s="1477"/>
      <c r="BX251" s="1477"/>
      <c r="BY251" s="1477"/>
      <c r="BZ251" s="1477"/>
      <c r="CA251" s="1477"/>
      <c r="CB251" s="1477"/>
      <c r="CC251" s="1477"/>
      <c r="CD251" s="1477"/>
      <c r="CE251" s="1477"/>
      <c r="CF251" s="1477"/>
      <c r="CG251" s="1477"/>
      <c r="CH251" s="1477"/>
    </row>
    <row r="252" spans="2:86">
      <c r="B252" s="1714"/>
      <c r="C252" s="1714"/>
      <c r="D252" s="1713" t="s">
        <v>4802</v>
      </c>
      <c r="E252" s="1714"/>
      <c r="F252" s="1714"/>
      <c r="G252" s="1714"/>
      <c r="H252" s="1714"/>
      <c r="I252" s="1714"/>
      <c r="J252" s="1714"/>
      <c r="K252" s="1714"/>
      <c r="L252" s="1714"/>
      <c r="M252" s="1477"/>
      <c r="N252" s="1477"/>
      <c r="O252" s="1477"/>
      <c r="P252" s="1477"/>
      <c r="Q252" s="1477"/>
      <c r="R252" s="1477"/>
      <c r="S252" s="1477"/>
      <c r="T252" s="1477"/>
      <c r="U252" s="1477"/>
      <c r="V252" s="1477"/>
      <c r="W252" s="1477"/>
      <c r="X252" s="1477"/>
      <c r="Y252" s="1477"/>
      <c r="Z252" s="1477"/>
      <c r="AA252" s="1477"/>
      <c r="AB252" s="1477"/>
      <c r="AC252" s="1477"/>
      <c r="AD252" s="1477"/>
      <c r="AE252" s="1477"/>
      <c r="AF252" s="1477"/>
      <c r="AG252" s="1477"/>
      <c r="AH252" s="1477"/>
      <c r="AI252" s="1477"/>
      <c r="AJ252" s="1477"/>
      <c r="AK252" s="1477"/>
      <c r="AL252" s="1477"/>
      <c r="AM252" s="1477"/>
      <c r="AN252" s="1477"/>
      <c r="AO252" s="284"/>
      <c r="AP252" s="1477"/>
      <c r="AQ252" s="1477"/>
      <c r="AR252" s="1477"/>
      <c r="AS252" s="1477"/>
      <c r="AT252" s="1477"/>
      <c r="AU252" s="1477"/>
      <c r="AV252" s="1477"/>
      <c r="AW252" s="1477"/>
      <c r="AX252" s="1477"/>
      <c r="AY252" s="1477"/>
      <c r="AZ252" s="1477"/>
      <c r="BA252" s="1477"/>
      <c r="BB252" s="1477"/>
      <c r="BC252" s="1477"/>
      <c r="BD252" s="1477"/>
      <c r="BE252" s="1477"/>
      <c r="BF252" s="1477"/>
      <c r="BG252" s="1477"/>
      <c r="BH252" s="1477"/>
      <c r="BI252" s="1477"/>
      <c r="BJ252" s="1477"/>
      <c r="BK252" s="1477"/>
      <c r="BL252" s="1477"/>
      <c r="BM252" s="1477"/>
      <c r="BN252" s="1477"/>
      <c r="BO252" s="1477"/>
      <c r="BP252" s="1477"/>
      <c r="BQ252" s="1477"/>
      <c r="BR252" s="1477"/>
      <c r="BS252" s="1477"/>
      <c r="BT252" s="1477"/>
      <c r="BU252" s="1477"/>
      <c r="BV252" s="1477"/>
      <c r="BW252" s="1477"/>
      <c r="BX252" s="1477"/>
      <c r="BY252" s="1477"/>
      <c r="BZ252" s="1477"/>
      <c r="CA252" s="1477"/>
      <c r="CB252" s="1477"/>
      <c r="CC252" s="1477"/>
      <c r="CD252" s="1477"/>
      <c r="CE252" s="1477"/>
      <c r="CF252" s="1477"/>
      <c r="CG252" s="1477"/>
      <c r="CH252" s="1477"/>
    </row>
    <row r="253" spans="2:86">
      <c r="B253" s="1714"/>
      <c r="C253" s="1714"/>
      <c r="D253" s="2437"/>
      <c r="E253" s="2438"/>
      <c r="F253" s="2438"/>
      <c r="G253" s="2438"/>
      <c r="H253" s="2438"/>
      <c r="I253" s="2438"/>
      <c r="J253" s="2438"/>
      <c r="K253" s="2439"/>
      <c r="L253" s="1714"/>
      <c r="M253" s="1477"/>
      <c r="N253" s="1477"/>
      <c r="O253" s="1477"/>
      <c r="P253" s="1477"/>
      <c r="Q253" s="1477"/>
      <c r="R253" s="1477"/>
      <c r="S253" s="1477"/>
      <c r="T253" s="1477"/>
      <c r="U253" s="1477"/>
      <c r="V253" s="1477"/>
      <c r="W253" s="1477"/>
      <c r="X253" s="1477"/>
      <c r="Y253" s="1477"/>
      <c r="Z253" s="1477"/>
      <c r="AA253" s="1477"/>
      <c r="AB253" s="1477"/>
      <c r="AC253" s="1477"/>
      <c r="AD253" s="1477"/>
      <c r="AE253" s="1477"/>
      <c r="AF253" s="1477"/>
      <c r="AG253" s="1477"/>
      <c r="AH253" s="1477"/>
      <c r="AI253" s="1477"/>
      <c r="AJ253" s="1477"/>
      <c r="AK253" s="1477"/>
      <c r="AL253" s="1477"/>
      <c r="AM253" s="1477"/>
      <c r="AN253" s="1477"/>
      <c r="AO253" s="284"/>
      <c r="AP253" s="1477"/>
      <c r="AQ253" s="1477"/>
      <c r="AR253" s="1477"/>
      <c r="AS253" s="1477"/>
      <c r="AT253" s="1477"/>
      <c r="AU253" s="1477"/>
      <c r="AV253" s="1477"/>
      <c r="AW253" s="1477"/>
      <c r="AX253" s="1477"/>
      <c r="AY253" s="1477"/>
      <c r="AZ253" s="1477"/>
      <c r="BA253" s="1477"/>
      <c r="BB253" s="1477"/>
      <c r="BC253" s="1477"/>
      <c r="BD253" s="1477"/>
      <c r="BE253" s="1477"/>
      <c r="BF253" s="1477"/>
      <c r="BG253" s="1477"/>
      <c r="BH253" s="1477"/>
      <c r="BI253" s="1477"/>
      <c r="BJ253" s="1477"/>
      <c r="BK253" s="1477"/>
      <c r="BL253" s="1477"/>
      <c r="BM253" s="1477"/>
      <c r="BN253" s="1477"/>
      <c r="BO253" s="1477"/>
      <c r="BP253" s="1477"/>
      <c r="BQ253" s="1477"/>
      <c r="BR253" s="1477"/>
      <c r="BS253" s="1477"/>
      <c r="BT253" s="1477"/>
      <c r="BU253" s="1477"/>
      <c r="BV253" s="1477"/>
      <c r="BW253" s="1477"/>
      <c r="BX253" s="1477"/>
      <c r="BY253" s="1477"/>
      <c r="BZ253" s="1477"/>
      <c r="CA253" s="1477"/>
      <c r="CB253" s="1477"/>
      <c r="CC253" s="1477"/>
      <c r="CD253" s="1477"/>
      <c r="CE253" s="1477"/>
      <c r="CF253" s="1477"/>
      <c r="CG253" s="1477"/>
      <c r="CH253" s="1477"/>
    </row>
    <row r="254" spans="2:86">
      <c r="B254" s="1714"/>
      <c r="C254" s="1714"/>
      <c r="D254" s="2440"/>
      <c r="E254" s="2284"/>
      <c r="F254" s="2284"/>
      <c r="G254" s="2284"/>
      <c r="H254" s="2284"/>
      <c r="I254" s="2284"/>
      <c r="J254" s="2284"/>
      <c r="K254" s="2441"/>
      <c r="L254" s="1714"/>
      <c r="M254" s="1477"/>
      <c r="N254" s="1477"/>
      <c r="O254" s="1477"/>
      <c r="P254" s="1477"/>
      <c r="Q254" s="1477"/>
      <c r="R254" s="1477"/>
      <c r="S254" s="1477"/>
      <c r="T254" s="1477"/>
      <c r="U254" s="1477"/>
      <c r="V254" s="1477"/>
      <c r="W254" s="1477"/>
      <c r="X254" s="1477"/>
      <c r="Y254" s="1477"/>
      <c r="Z254" s="1477"/>
      <c r="AA254" s="1477"/>
      <c r="AB254" s="1477"/>
      <c r="AC254" s="1477"/>
      <c r="AD254" s="1477"/>
      <c r="AE254" s="1477"/>
      <c r="AF254" s="1477"/>
      <c r="AG254" s="1477"/>
      <c r="AH254" s="1477"/>
      <c r="AI254" s="1477"/>
      <c r="AJ254" s="1477"/>
      <c r="AK254" s="1477"/>
      <c r="AL254" s="1477"/>
      <c r="AM254" s="1477"/>
      <c r="AN254" s="1477"/>
      <c r="AO254" s="284"/>
      <c r="AP254" s="1477"/>
      <c r="AQ254" s="1477"/>
      <c r="AR254" s="1477"/>
      <c r="AS254" s="1477"/>
      <c r="AT254" s="1477"/>
      <c r="AU254" s="1477"/>
      <c r="AV254" s="1477"/>
      <c r="AW254" s="1477"/>
      <c r="AX254" s="1477"/>
      <c r="AY254" s="1477"/>
      <c r="AZ254" s="1477"/>
      <c r="BA254" s="1477"/>
      <c r="BB254" s="1477"/>
      <c r="BC254" s="1477"/>
      <c r="BD254" s="1477"/>
      <c r="BE254" s="1477"/>
      <c r="BF254" s="1477"/>
      <c r="BG254" s="1477"/>
      <c r="BH254" s="1477"/>
      <c r="BI254" s="1477"/>
      <c r="BJ254" s="1477"/>
      <c r="BK254" s="1477"/>
      <c r="BL254" s="1477"/>
      <c r="BM254" s="1477"/>
      <c r="BN254" s="1477"/>
      <c r="BO254" s="1477"/>
      <c r="BP254" s="1477"/>
      <c r="BQ254" s="1477"/>
      <c r="BR254" s="1477"/>
      <c r="BS254" s="1477"/>
      <c r="BT254" s="1477"/>
      <c r="BU254" s="1477"/>
      <c r="BV254" s="1477"/>
      <c r="BW254" s="1477"/>
      <c r="BX254" s="1477"/>
      <c r="BY254" s="1477"/>
      <c r="BZ254" s="1477"/>
      <c r="CA254" s="1477"/>
      <c r="CB254" s="1477"/>
      <c r="CC254" s="1477"/>
      <c r="CD254" s="1477"/>
      <c r="CE254" s="1477"/>
      <c r="CF254" s="1477"/>
      <c r="CG254" s="1477"/>
      <c r="CH254" s="1477"/>
    </row>
    <row r="255" spans="2:86">
      <c r="B255" s="1714"/>
      <c r="C255" s="1714"/>
      <c r="D255" s="2440"/>
      <c r="E255" s="2284"/>
      <c r="F255" s="2284"/>
      <c r="G255" s="2284"/>
      <c r="H255" s="2284"/>
      <c r="I255" s="2284"/>
      <c r="J255" s="2284"/>
      <c r="K255" s="2441"/>
      <c r="L255" s="1714"/>
      <c r="M255" s="1477"/>
      <c r="N255" s="1477"/>
      <c r="O255" s="1477"/>
      <c r="P255" s="1477"/>
      <c r="Q255" s="1477"/>
      <c r="R255" s="1477"/>
      <c r="S255" s="1477"/>
      <c r="T255" s="1477"/>
      <c r="U255" s="1477"/>
      <c r="V255" s="1477"/>
      <c r="W255" s="1477"/>
      <c r="X255" s="1477"/>
      <c r="Y255" s="1477"/>
      <c r="Z255" s="1477"/>
      <c r="AA255" s="1477"/>
      <c r="AB255" s="1477"/>
      <c r="AC255" s="1477"/>
      <c r="AD255" s="1477"/>
      <c r="AE255" s="1477"/>
      <c r="AF255" s="1477"/>
      <c r="AG255" s="1477"/>
      <c r="AH255" s="1477"/>
      <c r="AI255" s="1477"/>
      <c r="AJ255" s="1477"/>
      <c r="AK255" s="1477"/>
      <c r="AL255" s="1477"/>
      <c r="AM255" s="1477"/>
      <c r="AN255" s="1477"/>
      <c r="AO255" s="284"/>
      <c r="AP255" s="1477"/>
      <c r="AQ255" s="1477"/>
      <c r="AR255" s="1477"/>
      <c r="AS255" s="1477"/>
      <c r="AT255" s="1477"/>
      <c r="AU255" s="1477"/>
      <c r="AV255" s="1477"/>
      <c r="AW255" s="1477"/>
      <c r="AX255" s="1477"/>
      <c r="AY255" s="1477"/>
      <c r="AZ255" s="1477"/>
      <c r="BA255" s="1477"/>
      <c r="BB255" s="1477"/>
      <c r="BC255" s="1477"/>
      <c r="BD255" s="1477"/>
      <c r="BE255" s="1477"/>
      <c r="BF255" s="1477"/>
      <c r="BG255" s="1477"/>
      <c r="BH255" s="1477"/>
      <c r="BI255" s="1477"/>
      <c r="BJ255" s="1477"/>
      <c r="BK255" s="1477"/>
      <c r="BL255" s="1477"/>
      <c r="BM255" s="1477"/>
      <c r="BN255" s="1477"/>
      <c r="BO255" s="1477"/>
      <c r="BP255" s="1477"/>
      <c r="BQ255" s="1477"/>
      <c r="BR255" s="1477"/>
      <c r="BS255" s="1477"/>
      <c r="BT255" s="1477"/>
      <c r="BU255" s="1477"/>
      <c r="BV255" s="1477"/>
      <c r="BW255" s="1477"/>
      <c r="BX255" s="1477"/>
      <c r="BY255" s="1477"/>
      <c r="BZ255" s="1477"/>
      <c r="CA255" s="1477"/>
      <c r="CB255" s="1477"/>
      <c r="CC255" s="1477"/>
      <c r="CD255" s="1477"/>
      <c r="CE255" s="1477"/>
      <c r="CF255" s="1477"/>
      <c r="CG255" s="1477"/>
      <c r="CH255" s="1477"/>
    </row>
    <row r="256" spans="2:86">
      <c r="B256" s="1714"/>
      <c r="C256" s="1714"/>
      <c r="D256" s="2440"/>
      <c r="E256" s="2284"/>
      <c r="F256" s="2284"/>
      <c r="G256" s="2284"/>
      <c r="H256" s="2284"/>
      <c r="I256" s="2284"/>
      <c r="J256" s="2284"/>
      <c r="K256" s="2441"/>
      <c r="L256" s="1714"/>
      <c r="M256" s="1477"/>
      <c r="N256" s="1477"/>
      <c r="O256" s="1477"/>
      <c r="P256" s="1477"/>
      <c r="Q256" s="1477"/>
      <c r="R256" s="1477"/>
      <c r="S256" s="1477"/>
      <c r="T256" s="1477"/>
      <c r="U256" s="1477"/>
      <c r="V256" s="1477"/>
      <c r="W256" s="1477"/>
      <c r="X256" s="1477"/>
      <c r="Y256" s="1477"/>
      <c r="Z256" s="1477"/>
      <c r="AA256" s="1477"/>
      <c r="AB256" s="1477"/>
      <c r="AC256" s="1477"/>
      <c r="AD256" s="1477"/>
      <c r="AE256" s="1477"/>
      <c r="AF256" s="1477"/>
      <c r="AG256" s="1477"/>
      <c r="AH256" s="1477"/>
      <c r="AI256" s="1477"/>
      <c r="AJ256" s="1477"/>
      <c r="AK256" s="1477"/>
      <c r="AL256" s="1477"/>
      <c r="AM256" s="1477"/>
      <c r="AN256" s="1477"/>
      <c r="AO256" s="284"/>
      <c r="AP256" s="1477"/>
      <c r="AQ256" s="1477"/>
      <c r="AR256" s="1477"/>
      <c r="AS256" s="1477"/>
      <c r="AT256" s="1477"/>
      <c r="AU256" s="1477"/>
      <c r="AV256" s="1477"/>
      <c r="AW256" s="1477"/>
      <c r="AX256" s="1477"/>
      <c r="AY256" s="1477"/>
      <c r="AZ256" s="1477"/>
      <c r="BA256" s="1477"/>
      <c r="BB256" s="1477"/>
      <c r="BC256" s="1477"/>
      <c r="BD256" s="1477"/>
      <c r="BE256" s="1477"/>
      <c r="BF256" s="1477"/>
      <c r="BG256" s="1477"/>
      <c r="BH256" s="1477"/>
      <c r="BI256" s="1477"/>
      <c r="BJ256" s="1477"/>
      <c r="BK256" s="1477"/>
      <c r="BL256" s="1477"/>
      <c r="BM256" s="1477"/>
      <c r="BN256" s="1477"/>
      <c r="BO256" s="1477"/>
      <c r="BP256" s="1477"/>
      <c r="BQ256" s="1477"/>
      <c r="BR256" s="1477"/>
      <c r="BS256" s="1477"/>
      <c r="BT256" s="1477"/>
      <c r="BU256" s="1477"/>
      <c r="BV256" s="1477"/>
      <c r="BW256" s="1477"/>
      <c r="BX256" s="1477"/>
      <c r="BY256" s="1477"/>
      <c r="BZ256" s="1477"/>
      <c r="CA256" s="1477"/>
      <c r="CB256" s="1477"/>
      <c r="CC256" s="1477"/>
      <c r="CD256" s="1477"/>
      <c r="CE256" s="1477"/>
      <c r="CF256" s="1477"/>
      <c r="CG256" s="1477"/>
      <c r="CH256" s="1477"/>
    </row>
    <row r="257" spans="2:86">
      <c r="B257" s="1714"/>
      <c r="C257" s="1714"/>
      <c r="D257" s="2440"/>
      <c r="E257" s="2284"/>
      <c r="F257" s="2284"/>
      <c r="G257" s="2284"/>
      <c r="H257" s="2284"/>
      <c r="I257" s="2284"/>
      <c r="J257" s="2284"/>
      <c r="K257" s="2441"/>
      <c r="L257" s="1714"/>
      <c r="M257" s="1477"/>
      <c r="N257" s="1477"/>
      <c r="O257" s="1477"/>
      <c r="P257" s="1477"/>
      <c r="Q257" s="1477"/>
      <c r="R257" s="1477"/>
      <c r="S257" s="1477"/>
      <c r="T257" s="1477"/>
      <c r="U257" s="1477"/>
      <c r="V257" s="1477"/>
      <c r="W257" s="1477"/>
      <c r="X257" s="1477"/>
      <c r="Y257" s="1477"/>
      <c r="Z257" s="1477"/>
      <c r="AA257" s="1477"/>
      <c r="AB257" s="1477"/>
      <c r="AC257" s="1477"/>
      <c r="AD257" s="1477"/>
      <c r="AE257" s="1477"/>
      <c r="AF257" s="1477"/>
      <c r="AG257" s="1477"/>
      <c r="AH257" s="1477"/>
      <c r="AI257" s="1477"/>
      <c r="AJ257" s="1477"/>
      <c r="AK257" s="1477"/>
      <c r="AL257" s="1477"/>
      <c r="AM257" s="1477"/>
      <c r="AN257" s="1477"/>
      <c r="AO257" s="284"/>
      <c r="AP257" s="1477"/>
      <c r="AQ257" s="1477"/>
      <c r="AR257" s="1477"/>
      <c r="AS257" s="1477"/>
      <c r="AT257" s="1477"/>
      <c r="AU257" s="1477"/>
      <c r="AV257" s="1477"/>
      <c r="AW257" s="1477"/>
      <c r="AX257" s="1477"/>
      <c r="AY257" s="1477"/>
      <c r="AZ257" s="1477"/>
      <c r="BA257" s="1477"/>
      <c r="BB257" s="1477"/>
      <c r="BC257" s="1477"/>
      <c r="BD257" s="1477"/>
      <c r="BE257" s="1477"/>
      <c r="BF257" s="1477"/>
      <c r="BG257" s="1477"/>
      <c r="BH257" s="1477"/>
      <c r="BI257" s="1477"/>
      <c r="BJ257" s="1477"/>
      <c r="BK257" s="1477"/>
      <c r="BL257" s="1477"/>
      <c r="BM257" s="1477"/>
      <c r="BN257" s="1477"/>
      <c r="BO257" s="1477"/>
      <c r="BP257" s="1477"/>
      <c r="BQ257" s="1477"/>
      <c r="BR257" s="1477"/>
      <c r="BS257" s="1477"/>
      <c r="BT257" s="1477"/>
      <c r="BU257" s="1477"/>
      <c r="BV257" s="1477"/>
      <c r="BW257" s="1477"/>
      <c r="BX257" s="1477"/>
      <c r="BY257" s="1477"/>
      <c r="BZ257" s="1477"/>
      <c r="CA257" s="1477"/>
      <c r="CB257" s="1477"/>
      <c r="CC257" s="1477"/>
      <c r="CD257" s="1477"/>
      <c r="CE257" s="1477"/>
      <c r="CF257" s="1477"/>
      <c r="CG257" s="1477"/>
      <c r="CH257" s="1477"/>
    </row>
    <row r="258" spans="2:86">
      <c r="B258" s="1714"/>
      <c r="C258" s="1714"/>
      <c r="D258" s="2440"/>
      <c r="E258" s="2284"/>
      <c r="F258" s="2284"/>
      <c r="G258" s="2284"/>
      <c r="H258" s="2284"/>
      <c r="I258" s="2284"/>
      <c r="J258" s="2284"/>
      <c r="K258" s="2441"/>
      <c r="L258" s="1714"/>
      <c r="M258" s="1477"/>
      <c r="N258" s="1477"/>
      <c r="O258" s="1477"/>
      <c r="P258" s="1477"/>
      <c r="Q258" s="1477"/>
      <c r="R258" s="1477"/>
      <c r="S258" s="1477"/>
      <c r="T258" s="1477"/>
      <c r="U258" s="1477"/>
      <c r="V258" s="1477"/>
      <c r="W258" s="1477"/>
      <c r="X258" s="1477"/>
      <c r="Y258" s="1477"/>
      <c r="Z258" s="1477"/>
      <c r="AA258" s="1477"/>
      <c r="AB258" s="1477"/>
      <c r="AC258" s="1477"/>
      <c r="AD258" s="1477"/>
      <c r="AE258" s="1477"/>
      <c r="AF258" s="1477"/>
      <c r="AG258" s="1477"/>
      <c r="AH258" s="1477"/>
      <c r="AI258" s="1477"/>
      <c r="AJ258" s="1477"/>
      <c r="AK258" s="1477"/>
      <c r="AL258" s="1477"/>
      <c r="AM258" s="1477"/>
      <c r="AN258" s="1477"/>
      <c r="AO258" s="284"/>
      <c r="AP258" s="1477"/>
      <c r="AQ258" s="1477"/>
      <c r="AR258" s="1477"/>
      <c r="AS258" s="1477"/>
      <c r="AT258" s="1477"/>
      <c r="AU258" s="1477"/>
      <c r="AV258" s="1477"/>
      <c r="AW258" s="1477"/>
      <c r="AX258" s="1477"/>
      <c r="AY258" s="1477"/>
      <c r="AZ258" s="1477"/>
      <c r="BA258" s="1477"/>
      <c r="BB258" s="1477"/>
      <c r="BC258" s="1477"/>
      <c r="BD258" s="1477"/>
      <c r="BE258" s="1477"/>
      <c r="BF258" s="1477"/>
      <c r="BG258" s="1477"/>
      <c r="BH258" s="1477"/>
      <c r="BI258" s="1477"/>
      <c r="BJ258" s="1477"/>
      <c r="BK258" s="1477"/>
      <c r="BL258" s="1477"/>
      <c r="BM258" s="1477"/>
      <c r="BN258" s="1477"/>
      <c r="BO258" s="1477"/>
      <c r="BP258" s="1477"/>
      <c r="BQ258" s="1477"/>
      <c r="BR258" s="1477"/>
      <c r="BS258" s="1477"/>
      <c r="BT258" s="1477"/>
      <c r="BU258" s="1477"/>
      <c r="BV258" s="1477"/>
      <c r="BW258" s="1477"/>
      <c r="BX258" s="1477"/>
      <c r="BY258" s="1477"/>
      <c r="BZ258" s="1477"/>
      <c r="CA258" s="1477"/>
      <c r="CB258" s="1477"/>
      <c r="CC258" s="1477"/>
      <c r="CD258" s="1477"/>
      <c r="CE258" s="1477"/>
      <c r="CF258" s="1477"/>
      <c r="CG258" s="1477"/>
      <c r="CH258" s="1477"/>
    </row>
    <row r="259" spans="2:86">
      <c r="B259" s="1714"/>
      <c r="C259" s="1714"/>
      <c r="D259" s="2440"/>
      <c r="E259" s="2284"/>
      <c r="F259" s="2284"/>
      <c r="G259" s="2284"/>
      <c r="H259" s="2284"/>
      <c r="I259" s="2284"/>
      <c r="J259" s="2284"/>
      <c r="K259" s="2441"/>
      <c r="L259" s="1714"/>
      <c r="M259" s="1477"/>
      <c r="N259" s="1477"/>
      <c r="O259" s="1477"/>
      <c r="P259" s="1477"/>
      <c r="Q259" s="1477"/>
      <c r="R259" s="1477"/>
      <c r="S259" s="1477"/>
      <c r="T259" s="1477"/>
      <c r="U259" s="1477"/>
      <c r="V259" s="1477"/>
      <c r="W259" s="1477"/>
      <c r="X259" s="1477"/>
      <c r="Y259" s="1477"/>
      <c r="Z259" s="1477"/>
      <c r="AA259" s="1477"/>
      <c r="AB259" s="1477"/>
      <c r="AC259" s="1477"/>
      <c r="AD259" s="1477"/>
      <c r="AE259" s="1477"/>
      <c r="AF259" s="1477"/>
      <c r="AG259" s="1477"/>
      <c r="AH259" s="1477"/>
      <c r="AI259" s="1477"/>
      <c r="AJ259" s="1477"/>
      <c r="AK259" s="1477"/>
      <c r="AL259" s="1477"/>
      <c r="AM259" s="1477"/>
      <c r="AN259" s="1477"/>
      <c r="AO259" s="284"/>
      <c r="AP259" s="1477"/>
      <c r="AQ259" s="1477"/>
      <c r="AR259" s="1477"/>
      <c r="AS259" s="1477"/>
      <c r="AT259" s="1477"/>
      <c r="AU259" s="1477"/>
      <c r="AV259" s="1477"/>
      <c r="AW259" s="1477"/>
      <c r="AX259" s="1477"/>
      <c r="AY259" s="1477"/>
      <c r="AZ259" s="1477"/>
      <c r="BA259" s="1477"/>
      <c r="BB259" s="1477"/>
      <c r="BC259" s="1477"/>
      <c r="BD259" s="1477"/>
      <c r="BE259" s="1477"/>
      <c r="BF259" s="1477"/>
      <c r="BG259" s="1477"/>
      <c r="BH259" s="1477"/>
      <c r="BI259" s="1477"/>
      <c r="BJ259" s="1477"/>
      <c r="BK259" s="1477"/>
      <c r="BL259" s="1477"/>
      <c r="BM259" s="1477"/>
      <c r="BN259" s="1477"/>
      <c r="BO259" s="1477"/>
      <c r="BP259" s="1477"/>
      <c r="BQ259" s="1477"/>
      <c r="BR259" s="1477"/>
      <c r="BS259" s="1477"/>
      <c r="BT259" s="1477"/>
      <c r="BU259" s="1477"/>
      <c r="BV259" s="1477"/>
      <c r="BW259" s="1477"/>
      <c r="BX259" s="1477"/>
      <c r="BY259" s="1477"/>
      <c r="BZ259" s="1477"/>
      <c r="CA259" s="1477"/>
      <c r="CB259" s="1477"/>
      <c r="CC259" s="1477"/>
      <c r="CD259" s="1477"/>
      <c r="CE259" s="1477"/>
      <c r="CF259" s="1477"/>
      <c r="CG259" s="1477"/>
      <c r="CH259" s="1477"/>
    </row>
    <row r="260" spans="2:86">
      <c r="B260" s="1714"/>
      <c r="C260" s="1714"/>
      <c r="D260" s="2442"/>
      <c r="E260" s="2443"/>
      <c r="F260" s="2443"/>
      <c r="G260" s="2443"/>
      <c r="H260" s="2443"/>
      <c r="I260" s="2443"/>
      <c r="J260" s="2443"/>
      <c r="K260" s="2444"/>
      <c r="L260" s="1714"/>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1477"/>
      <c r="AG260" s="1477"/>
      <c r="AH260" s="1477"/>
      <c r="AI260" s="1477"/>
      <c r="AJ260" s="1477"/>
      <c r="AK260" s="1477"/>
      <c r="AL260" s="1477"/>
      <c r="AM260" s="1477"/>
      <c r="AN260" s="1477"/>
      <c r="AO260" s="284"/>
      <c r="AP260" s="1477"/>
      <c r="AQ260" s="1477"/>
      <c r="AR260" s="1477"/>
      <c r="AS260" s="1477"/>
      <c r="AT260" s="1477"/>
      <c r="AU260" s="1477"/>
      <c r="AV260" s="1477"/>
      <c r="AW260" s="1477"/>
      <c r="AX260" s="1477"/>
      <c r="AY260" s="1477"/>
      <c r="AZ260" s="1477"/>
      <c r="BA260" s="1477"/>
      <c r="BB260" s="1477"/>
      <c r="BC260" s="1477"/>
      <c r="BD260" s="1477"/>
      <c r="BE260" s="1477"/>
      <c r="BF260" s="1477"/>
      <c r="BG260" s="1477"/>
      <c r="BH260" s="1477"/>
      <c r="BI260" s="1477"/>
      <c r="BJ260" s="1477"/>
      <c r="BK260" s="1477"/>
      <c r="BL260" s="1477"/>
      <c r="BM260" s="1477"/>
      <c r="BN260" s="1477"/>
      <c r="BO260" s="1477"/>
      <c r="BP260" s="1477"/>
      <c r="BQ260" s="1477"/>
      <c r="BR260" s="1477"/>
      <c r="BS260" s="1477"/>
      <c r="BT260" s="1477"/>
      <c r="BU260" s="1477"/>
      <c r="BV260" s="1477"/>
      <c r="BW260" s="1477"/>
      <c r="BX260" s="1477"/>
      <c r="BY260" s="1477"/>
      <c r="BZ260" s="1477"/>
      <c r="CA260" s="1477"/>
      <c r="CB260" s="1477"/>
      <c r="CC260" s="1477"/>
      <c r="CD260" s="1477"/>
      <c r="CE260" s="1477"/>
      <c r="CF260" s="1477"/>
      <c r="CG260" s="1477"/>
      <c r="CH260" s="1477"/>
    </row>
    <row r="261" spans="2:86">
      <c r="B261" s="1714"/>
      <c r="C261" s="1714"/>
      <c r="D261" s="1714"/>
      <c r="E261" s="1714"/>
      <c r="F261" s="1714"/>
      <c r="G261" s="1714"/>
      <c r="H261" s="1714"/>
      <c r="I261" s="1714"/>
      <c r="J261" s="1714"/>
      <c r="K261" s="1714"/>
      <c r="L261" s="1714"/>
      <c r="M261" s="1477"/>
      <c r="N261" s="1477"/>
      <c r="O261" s="1477"/>
      <c r="P261" s="1477"/>
      <c r="Q261" s="1477"/>
      <c r="R261" s="1477"/>
      <c r="S261" s="1477"/>
      <c r="T261" s="1477"/>
      <c r="U261" s="1477"/>
      <c r="V261" s="1477"/>
      <c r="W261" s="1477"/>
      <c r="X261" s="1477"/>
      <c r="Y261" s="1477"/>
      <c r="Z261" s="1477"/>
      <c r="AA261" s="1477"/>
      <c r="AB261" s="1477"/>
      <c r="AC261" s="1477"/>
      <c r="AD261" s="1477"/>
      <c r="AE261" s="1477"/>
      <c r="AF261" s="1477"/>
      <c r="AG261" s="1477"/>
      <c r="AH261" s="1477"/>
      <c r="AI261" s="1477"/>
      <c r="AJ261" s="1477"/>
      <c r="AK261" s="1477"/>
      <c r="AL261" s="1477"/>
      <c r="AM261" s="1477"/>
      <c r="AN261" s="1477"/>
      <c r="AO261" s="284"/>
      <c r="AP261" s="1477"/>
      <c r="AQ261" s="1477"/>
      <c r="AR261" s="1477"/>
      <c r="AS261" s="1477"/>
      <c r="AT261" s="1477"/>
      <c r="AU261" s="1477"/>
      <c r="AV261" s="1477"/>
      <c r="AW261" s="1477"/>
      <c r="AX261" s="1477"/>
      <c r="AY261" s="1477"/>
      <c r="AZ261" s="1477"/>
      <c r="BA261" s="1477"/>
      <c r="BB261" s="1477"/>
      <c r="BC261" s="1477"/>
      <c r="BD261" s="1477"/>
      <c r="BE261" s="1477"/>
      <c r="BF261" s="1477"/>
      <c r="BG261" s="1477"/>
      <c r="BH261" s="1477"/>
      <c r="BI261" s="1477"/>
      <c r="BJ261" s="1477"/>
      <c r="BK261" s="1477"/>
      <c r="BL261" s="1477"/>
      <c r="BM261" s="1477"/>
      <c r="BN261" s="1477"/>
      <c r="BO261" s="1477"/>
      <c r="BP261" s="1477"/>
      <c r="BQ261" s="1477"/>
      <c r="BR261" s="1477"/>
      <c r="BS261" s="1477"/>
      <c r="BT261" s="1477"/>
      <c r="BU261" s="1477"/>
      <c r="BV261" s="1477"/>
      <c r="BW261" s="1477"/>
      <c r="BX261" s="1477"/>
      <c r="BY261" s="1477"/>
      <c r="BZ261" s="1477"/>
      <c r="CA261" s="1477"/>
      <c r="CB261" s="1477"/>
      <c r="CC261" s="1477"/>
      <c r="CD261" s="1477"/>
      <c r="CE261" s="1477"/>
      <c r="CF261" s="1477"/>
      <c r="CG261" s="1477"/>
      <c r="CH261" s="1477"/>
    </row>
    <row r="262" spans="2:86" ht="15.75">
      <c r="B262" s="1477"/>
      <c r="C262" s="1476"/>
      <c r="D262" s="1476"/>
      <c r="E262" s="1476"/>
      <c r="F262" s="154"/>
      <c r="G262" s="1476"/>
      <c r="H262" s="1476"/>
      <c r="I262" s="1476"/>
      <c r="J262" s="1477"/>
      <c r="K262" s="1477"/>
      <c r="L262" s="1477"/>
      <c r="M262" s="1477"/>
      <c r="N262" s="1477"/>
      <c r="O262" s="1477"/>
      <c r="P262" s="1477"/>
      <c r="Q262" s="1477"/>
      <c r="R262" s="1477"/>
      <c r="S262" s="1477"/>
      <c r="T262" s="1477"/>
      <c r="U262" s="1477"/>
      <c r="V262" s="1477"/>
      <c r="W262" s="1477"/>
      <c r="X262" s="1477"/>
      <c r="Y262" s="1477"/>
      <c r="Z262" s="1477"/>
      <c r="AA262" s="1477"/>
      <c r="AB262" s="1477"/>
      <c r="AC262" s="1477"/>
      <c r="AD262" s="1477"/>
      <c r="AE262" s="1477"/>
      <c r="AF262" s="1477"/>
      <c r="AG262" s="1477"/>
      <c r="AH262" s="1477"/>
      <c r="AI262" s="1477"/>
      <c r="AJ262" s="1477"/>
      <c r="AK262" s="1477"/>
      <c r="AL262" s="1477"/>
      <c r="AM262" s="1477"/>
      <c r="AN262" s="1477"/>
      <c r="AO262" s="284"/>
      <c r="AP262" s="1477"/>
      <c r="AQ262" s="1477"/>
      <c r="AR262" s="1477"/>
      <c r="AS262" s="1477"/>
      <c r="AT262" s="1477"/>
      <c r="AU262" s="1477"/>
      <c r="AV262" s="1477"/>
      <c r="AW262" s="1477"/>
      <c r="AX262" s="1477"/>
      <c r="AY262" s="1477"/>
      <c r="AZ262" s="1477"/>
      <c r="BA262" s="1477"/>
      <c r="BB262" s="1477"/>
      <c r="BC262" s="1477"/>
      <c r="BD262" s="1477"/>
      <c r="BE262" s="1477"/>
      <c r="BF262" s="1477"/>
      <c r="BG262" s="1477"/>
      <c r="BH262" s="1477"/>
      <c r="BI262" s="1477"/>
      <c r="BJ262" s="1477"/>
      <c r="BK262" s="1477"/>
      <c r="BL262" s="1477"/>
      <c r="BM262" s="1477"/>
      <c r="BN262" s="1477"/>
      <c r="BO262" s="1477"/>
      <c r="BP262" s="1477"/>
      <c r="BQ262" s="1477"/>
      <c r="BR262" s="1477"/>
      <c r="BS262" s="1477"/>
      <c r="BT262" s="1477"/>
      <c r="BU262" s="1477"/>
      <c r="BV262" s="1477"/>
      <c r="BW262" s="1477"/>
      <c r="BX262" s="1477"/>
      <c r="BY262" s="1477"/>
      <c r="BZ262" s="1477"/>
      <c r="CA262" s="1477"/>
      <c r="CB262" s="1477"/>
      <c r="CC262" s="1477"/>
      <c r="CD262" s="1477"/>
      <c r="CE262" s="1477"/>
      <c r="CF262" s="1477"/>
      <c r="CG262" s="1477"/>
      <c r="CH262" s="1477"/>
    </row>
    <row r="263" spans="2:86">
      <c r="B263" s="1602"/>
      <c r="C263" s="94" t="s">
        <v>3637</v>
      </c>
      <c r="D263" s="1518"/>
      <c r="E263" s="1518"/>
      <c r="F263" s="1518"/>
      <c r="G263" s="1518"/>
      <c r="H263" s="1518"/>
      <c r="I263" s="1518"/>
      <c r="J263" s="1602"/>
      <c r="K263" s="1602"/>
      <c r="L263" s="1602"/>
      <c r="M263" s="1477"/>
      <c r="N263" s="1477"/>
      <c r="O263" s="1477"/>
      <c r="P263" s="1477"/>
      <c r="Q263" s="1477"/>
      <c r="R263" s="1477"/>
      <c r="S263" s="1477"/>
      <c r="T263" s="1477"/>
      <c r="U263" s="1477"/>
      <c r="V263" s="1477"/>
      <c r="W263" s="1477"/>
      <c r="X263" s="1477"/>
      <c r="Y263" s="1477"/>
      <c r="Z263" s="1477"/>
      <c r="AA263" s="1477"/>
      <c r="AB263" s="1477"/>
      <c r="AC263" s="1477"/>
      <c r="AD263" s="1477"/>
      <c r="AE263" s="1477"/>
      <c r="AF263" s="1477"/>
      <c r="AG263" s="1477"/>
      <c r="AH263" s="1477"/>
      <c r="AI263" s="1477"/>
      <c r="AJ263" s="1477"/>
      <c r="AK263" s="1477"/>
      <c r="AL263" s="1477"/>
      <c r="AM263" s="1477"/>
      <c r="AN263" s="1477"/>
      <c r="AO263" s="284"/>
      <c r="AP263" s="1477"/>
      <c r="AQ263" s="1477"/>
      <c r="AR263" s="1477"/>
      <c r="AS263" s="1477"/>
      <c r="AT263" s="1477"/>
      <c r="AU263" s="1477"/>
      <c r="AV263" s="1477"/>
      <c r="AW263" s="1477"/>
      <c r="AX263" s="1477"/>
      <c r="AY263" s="1477"/>
      <c r="AZ263" s="1477"/>
      <c r="BA263" s="1477"/>
      <c r="BB263" s="1477"/>
      <c r="BC263" s="1477"/>
      <c r="BD263" s="1477"/>
      <c r="BE263" s="1477"/>
      <c r="BF263" s="1477"/>
      <c r="BG263" s="1477"/>
      <c r="BH263" s="1477"/>
      <c r="BI263" s="1477"/>
      <c r="BJ263" s="1477"/>
      <c r="BK263" s="1477"/>
      <c r="BL263" s="1477"/>
      <c r="BM263" s="1477"/>
      <c r="BN263" s="1477"/>
      <c r="BO263" s="1477"/>
      <c r="BP263" s="1477"/>
      <c r="BQ263" s="1477"/>
      <c r="BR263" s="1477"/>
      <c r="BS263" s="1477"/>
      <c r="BT263" s="1477"/>
      <c r="BU263" s="1477"/>
      <c r="BV263" s="1477"/>
      <c r="BW263" s="1477"/>
      <c r="BX263" s="1477"/>
      <c r="BY263" s="1477"/>
      <c r="BZ263" s="1477"/>
      <c r="CA263" s="1477"/>
      <c r="CB263" s="1477"/>
      <c r="CC263" s="1477"/>
      <c r="CD263" s="1477"/>
      <c r="CE263" s="1477"/>
      <c r="CF263" s="1477"/>
      <c r="CG263" s="1477"/>
      <c r="CH263" s="1477"/>
    </row>
    <row r="264" spans="2:86" ht="18.75">
      <c r="B264" s="1477"/>
      <c r="C264" s="85" t="s">
        <v>3638</v>
      </c>
      <c r="D264" s="1476"/>
      <c r="E264" s="1476"/>
      <c r="F264" s="1519"/>
      <c r="G264" s="1519"/>
      <c r="H264" s="1519"/>
      <c r="I264" s="1476"/>
      <c r="J264" s="1477"/>
      <c r="K264" s="1477"/>
      <c r="L264" s="1477"/>
      <c r="M264" s="1477"/>
      <c r="N264" s="1477"/>
      <c r="O264" s="1477"/>
      <c r="P264" s="1477"/>
      <c r="Q264" s="1477"/>
      <c r="R264" s="1477"/>
      <c r="S264" s="1477"/>
      <c r="T264" s="1477"/>
      <c r="U264" s="1477"/>
      <c r="V264" s="1477"/>
      <c r="W264" s="1477"/>
      <c r="X264" s="1477"/>
      <c r="Y264" s="1477"/>
      <c r="Z264" s="1477"/>
      <c r="AA264" s="1477"/>
      <c r="AB264" s="1477"/>
      <c r="AC264" s="1477"/>
      <c r="AD264" s="1477"/>
      <c r="AE264" s="1477"/>
      <c r="AF264" s="1477"/>
      <c r="AG264" s="1477"/>
      <c r="AH264" s="1477"/>
      <c r="AI264" s="1477"/>
      <c r="AJ264" s="1477"/>
      <c r="AK264" s="1477"/>
      <c r="AL264" s="1477"/>
      <c r="AM264" s="1477"/>
      <c r="AN264" s="1477"/>
      <c r="AO264" s="284"/>
      <c r="AP264" s="1477"/>
      <c r="AQ264" s="1477"/>
      <c r="AR264" s="1477"/>
      <c r="AS264" s="1477"/>
      <c r="AT264" s="1477"/>
      <c r="AU264" s="1477"/>
      <c r="AV264" s="1477"/>
      <c r="AW264" s="1477"/>
      <c r="AX264" s="1477"/>
      <c r="AY264" s="1477"/>
      <c r="AZ264" s="1477"/>
      <c r="BA264" s="1477"/>
      <c r="BB264" s="1477"/>
      <c r="BC264" s="1477"/>
      <c r="BD264" s="1477"/>
      <c r="BE264" s="1477"/>
      <c r="BF264" s="1477"/>
      <c r="BG264" s="1477"/>
      <c r="BH264" s="1477"/>
      <c r="BI264" s="1477"/>
      <c r="BJ264" s="1477"/>
      <c r="BK264" s="1477"/>
      <c r="BL264" s="1477"/>
      <c r="BM264" s="1477"/>
      <c r="BN264" s="1477"/>
      <c r="BO264" s="1477"/>
      <c r="BP264" s="1477"/>
      <c r="BQ264" s="1477"/>
      <c r="BR264" s="1477"/>
      <c r="BS264" s="1477"/>
      <c r="BT264" s="1477"/>
      <c r="BU264" s="1477"/>
      <c r="BV264" s="1477"/>
      <c r="BW264" s="1477"/>
      <c r="BX264" s="1477"/>
      <c r="BY264" s="1477"/>
      <c r="BZ264" s="1477"/>
      <c r="CA264" s="1477"/>
      <c r="CB264" s="1477"/>
      <c r="CC264" s="1477"/>
      <c r="CD264" s="1477"/>
      <c r="CE264" s="1477"/>
      <c r="CF264" s="1477"/>
      <c r="CG264" s="1477"/>
      <c r="CH264" s="1477"/>
    </row>
    <row r="265" spans="2:86">
      <c r="B265" s="1714"/>
      <c r="C265" s="1714"/>
      <c r="D265" s="1713"/>
      <c r="E265" s="1714"/>
      <c r="F265" s="1714"/>
      <c r="G265" s="1714"/>
      <c r="H265" s="1714"/>
      <c r="I265" s="1714"/>
      <c r="J265" s="1714"/>
      <c r="K265" s="1714"/>
      <c r="L265" s="1714"/>
      <c r="M265" s="1477"/>
      <c r="N265" s="1477"/>
      <c r="O265" s="1477"/>
      <c r="P265" s="1477"/>
      <c r="Q265" s="1477"/>
      <c r="R265" s="1477"/>
      <c r="S265" s="1477"/>
      <c r="T265" s="1477"/>
      <c r="U265" s="1477"/>
      <c r="V265" s="1477"/>
      <c r="W265" s="1477"/>
      <c r="X265" s="1477"/>
      <c r="Y265" s="1477"/>
      <c r="Z265" s="1477"/>
      <c r="AA265" s="1477"/>
      <c r="AB265" s="1477"/>
      <c r="AC265" s="1477"/>
      <c r="AD265" s="1477"/>
      <c r="AE265" s="1477"/>
      <c r="AF265" s="1477"/>
      <c r="AG265" s="1477"/>
      <c r="AH265" s="1477"/>
      <c r="AI265" s="1477"/>
      <c r="AJ265" s="1477"/>
      <c r="AK265" s="1477"/>
      <c r="AL265" s="1477"/>
      <c r="AM265" s="1477"/>
      <c r="AN265" s="1477"/>
      <c r="AO265" s="284"/>
      <c r="AP265" s="1477"/>
      <c r="AQ265" s="1477"/>
      <c r="AR265" s="1477"/>
      <c r="AS265" s="1477"/>
      <c r="AT265" s="1477"/>
      <c r="AU265" s="1477"/>
      <c r="AV265" s="1477"/>
      <c r="AW265" s="1477"/>
      <c r="AX265" s="1477"/>
      <c r="AY265" s="1477"/>
      <c r="AZ265" s="1477"/>
      <c r="BA265" s="1477"/>
      <c r="BB265" s="1477"/>
      <c r="BC265" s="1477"/>
      <c r="BD265" s="1477"/>
      <c r="BE265" s="1477"/>
      <c r="BF265" s="1477"/>
      <c r="BG265" s="1477"/>
      <c r="BH265" s="1477"/>
      <c r="BI265" s="1477"/>
      <c r="BJ265" s="1477"/>
      <c r="BK265" s="1477"/>
      <c r="BL265" s="1477"/>
      <c r="BM265" s="1477"/>
      <c r="BN265" s="1477"/>
      <c r="BO265" s="1477"/>
      <c r="BP265" s="1477"/>
      <c r="BQ265" s="1477"/>
      <c r="BR265" s="1477"/>
      <c r="BS265" s="1477"/>
      <c r="BT265" s="1477"/>
      <c r="BU265" s="1477"/>
      <c r="BV265" s="1477"/>
      <c r="BW265" s="1477"/>
      <c r="BX265" s="1477"/>
      <c r="BY265" s="1477"/>
      <c r="BZ265" s="1477"/>
      <c r="CA265" s="1477"/>
      <c r="CB265" s="1477"/>
      <c r="CC265" s="1477"/>
      <c r="CD265" s="1477"/>
      <c r="CE265" s="1477"/>
      <c r="CF265" s="1477"/>
      <c r="CG265" s="1477"/>
      <c r="CH265" s="1477"/>
    </row>
    <row r="266" spans="2:86">
      <c r="B266" s="1714"/>
      <c r="C266" s="1714"/>
      <c r="D266" s="2437"/>
      <c r="E266" s="2438"/>
      <c r="F266" s="2438"/>
      <c r="G266" s="2438"/>
      <c r="H266" s="2438"/>
      <c r="I266" s="2438"/>
      <c r="J266" s="2438"/>
      <c r="K266" s="2439"/>
      <c r="L266" s="1714"/>
      <c r="M266" s="1477"/>
      <c r="N266" s="1477"/>
      <c r="O266" s="1477"/>
      <c r="P266" s="1477"/>
      <c r="Q266" s="1477"/>
      <c r="R266" s="1477"/>
      <c r="S266" s="1477"/>
      <c r="T266" s="1477"/>
      <c r="U266" s="1477"/>
      <c r="V266" s="1477"/>
      <c r="W266" s="1477"/>
      <c r="X266" s="1477"/>
      <c r="Y266" s="1477"/>
      <c r="Z266" s="1477"/>
      <c r="AA266" s="1477"/>
      <c r="AB266" s="1477"/>
      <c r="AC266" s="1477"/>
      <c r="AD266" s="1477"/>
      <c r="AE266" s="1477"/>
      <c r="AF266" s="1477"/>
      <c r="AG266" s="1477"/>
      <c r="AH266" s="1477"/>
      <c r="AI266" s="1477"/>
      <c r="AJ266" s="1477"/>
      <c r="AK266" s="1477"/>
      <c r="AL266" s="1477"/>
      <c r="AM266" s="1477"/>
      <c r="AN266" s="1477"/>
      <c r="AO266" s="284"/>
      <c r="AP266" s="1477"/>
      <c r="AQ266" s="1477"/>
      <c r="AR266" s="1477"/>
      <c r="AS266" s="1477"/>
      <c r="AT266" s="1477"/>
      <c r="AU266" s="1477"/>
      <c r="AV266" s="1477"/>
      <c r="AW266" s="1477"/>
      <c r="AX266" s="1477"/>
      <c r="AY266" s="1477"/>
      <c r="AZ266" s="1477"/>
      <c r="BA266" s="1477"/>
      <c r="BB266" s="1477"/>
      <c r="BC266" s="1477"/>
      <c r="BD266" s="1477"/>
      <c r="BE266" s="1477"/>
      <c r="BF266" s="1477"/>
      <c r="BG266" s="1477"/>
      <c r="BH266" s="1477"/>
      <c r="BI266" s="1477"/>
      <c r="BJ266" s="1477"/>
      <c r="BK266" s="1477"/>
      <c r="BL266" s="1477"/>
      <c r="BM266" s="1477"/>
      <c r="BN266" s="1477"/>
      <c r="BO266" s="1477"/>
      <c r="BP266" s="1477"/>
      <c r="BQ266" s="1477"/>
      <c r="BR266" s="1477"/>
      <c r="BS266" s="1477"/>
      <c r="BT266" s="1477"/>
      <c r="BU266" s="1477"/>
      <c r="BV266" s="1477"/>
      <c r="BW266" s="1477"/>
      <c r="BX266" s="1477"/>
      <c r="BY266" s="1477"/>
      <c r="BZ266" s="1477"/>
      <c r="CA266" s="1477"/>
      <c r="CB266" s="1477"/>
      <c r="CC266" s="1477"/>
      <c r="CD266" s="1477"/>
      <c r="CE266" s="1477"/>
      <c r="CF266" s="1477"/>
      <c r="CG266" s="1477"/>
      <c r="CH266" s="1477"/>
    </row>
    <row r="267" spans="2:86">
      <c r="B267" s="1714"/>
      <c r="C267" s="1714"/>
      <c r="D267" s="2440"/>
      <c r="E267" s="2284"/>
      <c r="F267" s="2284"/>
      <c r="G267" s="2284"/>
      <c r="H267" s="2284"/>
      <c r="I267" s="2284"/>
      <c r="J267" s="2284"/>
      <c r="K267" s="2441"/>
      <c r="L267" s="1714"/>
      <c r="M267" s="1477"/>
      <c r="N267" s="1477"/>
      <c r="O267" s="1477"/>
      <c r="P267" s="1477"/>
      <c r="Q267" s="1477"/>
      <c r="R267" s="1477"/>
      <c r="S267" s="1477"/>
      <c r="T267" s="1477"/>
      <c r="U267" s="1477"/>
      <c r="V267" s="1477"/>
      <c r="W267" s="1477"/>
      <c r="X267" s="1477"/>
      <c r="Y267" s="1477"/>
      <c r="Z267" s="1477"/>
      <c r="AA267" s="1477"/>
      <c r="AB267" s="1477"/>
      <c r="AC267" s="1477"/>
      <c r="AD267" s="1477"/>
      <c r="AE267" s="1477"/>
      <c r="AF267" s="1477"/>
      <c r="AG267" s="1477"/>
      <c r="AH267" s="1477"/>
      <c r="AI267" s="1477"/>
      <c r="AJ267" s="1477"/>
      <c r="AK267" s="1477"/>
      <c r="AL267" s="1477"/>
      <c r="AM267" s="1477"/>
      <c r="AN267" s="1477"/>
      <c r="AO267" s="284"/>
      <c r="AP267" s="1477"/>
      <c r="AQ267" s="1477"/>
      <c r="AR267" s="1477"/>
      <c r="AS267" s="1477"/>
      <c r="AT267" s="1477"/>
      <c r="AU267" s="1477"/>
      <c r="AV267" s="1477"/>
      <c r="AW267" s="1477"/>
      <c r="AX267" s="1477"/>
      <c r="AY267" s="1477"/>
      <c r="AZ267" s="1477"/>
      <c r="BA267" s="1477"/>
      <c r="BB267" s="1477"/>
      <c r="BC267" s="1477"/>
      <c r="BD267" s="1477"/>
      <c r="BE267" s="1477"/>
      <c r="BF267" s="1477"/>
      <c r="BG267" s="1477"/>
      <c r="BH267" s="1477"/>
      <c r="BI267" s="1477"/>
      <c r="BJ267" s="1477"/>
      <c r="BK267" s="1477"/>
      <c r="BL267" s="1477"/>
      <c r="BM267" s="1477"/>
      <c r="BN267" s="1477"/>
      <c r="BO267" s="1477"/>
      <c r="BP267" s="1477"/>
      <c r="BQ267" s="1477"/>
      <c r="BR267" s="1477"/>
      <c r="BS267" s="1477"/>
      <c r="BT267" s="1477"/>
      <c r="BU267" s="1477"/>
      <c r="BV267" s="1477"/>
      <c r="BW267" s="1477"/>
      <c r="BX267" s="1477"/>
      <c r="BY267" s="1477"/>
      <c r="BZ267" s="1477"/>
      <c r="CA267" s="1477"/>
      <c r="CB267" s="1477"/>
      <c r="CC267" s="1477"/>
      <c r="CD267" s="1477"/>
      <c r="CE267" s="1477"/>
      <c r="CF267" s="1477"/>
      <c r="CG267" s="1477"/>
      <c r="CH267" s="1477"/>
    </row>
    <row r="268" spans="2:86">
      <c r="B268" s="1714"/>
      <c r="C268" s="1714"/>
      <c r="D268" s="2440"/>
      <c r="E268" s="2284"/>
      <c r="F268" s="2284"/>
      <c r="G268" s="2284"/>
      <c r="H268" s="2284"/>
      <c r="I268" s="2284"/>
      <c r="J268" s="2284"/>
      <c r="K268" s="2441"/>
      <c r="L268" s="1714"/>
      <c r="M268" s="1477"/>
      <c r="N268" s="1477"/>
      <c r="O268" s="1477"/>
      <c r="P268" s="1477"/>
      <c r="Q268" s="1477"/>
      <c r="R268" s="1477"/>
      <c r="S268" s="1477"/>
      <c r="T268" s="1477"/>
      <c r="U268" s="1477"/>
      <c r="V268" s="1477"/>
      <c r="W268" s="1477"/>
      <c r="X268" s="1477"/>
      <c r="Y268" s="1477"/>
      <c r="Z268" s="1477"/>
      <c r="AA268" s="1477"/>
      <c r="AB268" s="1477"/>
      <c r="AC268" s="1477"/>
      <c r="AD268" s="1477"/>
      <c r="AE268" s="1477"/>
      <c r="AF268" s="1477"/>
      <c r="AG268" s="1477"/>
      <c r="AH268" s="1477"/>
      <c r="AI268" s="1477"/>
      <c r="AJ268" s="1477"/>
      <c r="AK268" s="1477"/>
      <c r="AL268" s="1477"/>
      <c r="AM268" s="1477"/>
      <c r="AN268" s="1477"/>
      <c r="AO268" s="284"/>
      <c r="AP268" s="1477"/>
      <c r="AQ268" s="1477"/>
      <c r="AR268" s="1477"/>
      <c r="AS268" s="1477"/>
      <c r="AT268" s="1477"/>
      <c r="AU268" s="1477"/>
      <c r="AV268" s="1477"/>
      <c r="AW268" s="1477"/>
      <c r="AX268" s="1477"/>
      <c r="AY268" s="1477"/>
      <c r="AZ268" s="1477"/>
      <c r="BA268" s="1477"/>
      <c r="BB268" s="1477"/>
      <c r="BC268" s="1477"/>
      <c r="BD268" s="1477"/>
      <c r="BE268" s="1477"/>
      <c r="BF268" s="1477"/>
      <c r="BG268" s="1477"/>
      <c r="BH268" s="1477"/>
      <c r="BI268" s="1477"/>
      <c r="BJ268" s="1477"/>
      <c r="BK268" s="1477"/>
      <c r="BL268" s="1477"/>
      <c r="BM268" s="1477"/>
      <c r="BN268" s="1477"/>
      <c r="BO268" s="1477"/>
      <c r="BP268" s="1477"/>
      <c r="BQ268" s="1477"/>
      <c r="BR268" s="1477"/>
      <c r="BS268" s="1477"/>
      <c r="BT268" s="1477"/>
      <c r="BU268" s="1477"/>
      <c r="BV268" s="1477"/>
      <c r="BW268" s="1477"/>
      <c r="BX268" s="1477"/>
      <c r="BY268" s="1477"/>
      <c r="BZ268" s="1477"/>
      <c r="CA268" s="1477"/>
      <c r="CB268" s="1477"/>
      <c r="CC268" s="1477"/>
      <c r="CD268" s="1477"/>
      <c r="CE268" s="1477"/>
      <c r="CF268" s="1477"/>
      <c r="CG268" s="1477"/>
      <c r="CH268" s="1477"/>
    </row>
    <row r="269" spans="2:86">
      <c r="B269" s="1714"/>
      <c r="C269" s="1714"/>
      <c r="D269" s="2442"/>
      <c r="E269" s="2443"/>
      <c r="F269" s="2443"/>
      <c r="G269" s="2443"/>
      <c r="H269" s="2443"/>
      <c r="I269" s="2443"/>
      <c r="J269" s="2443"/>
      <c r="K269" s="2444"/>
      <c r="L269" s="1714"/>
      <c r="M269" s="1477"/>
      <c r="N269" s="1477"/>
      <c r="O269" s="1477"/>
      <c r="P269" s="1477"/>
      <c r="Q269" s="1477"/>
      <c r="R269" s="1477"/>
      <c r="S269" s="1477"/>
      <c r="T269" s="1477"/>
      <c r="U269" s="1477"/>
      <c r="V269" s="1477"/>
      <c r="W269" s="1477"/>
      <c r="X269" s="1477"/>
      <c r="Y269" s="1477"/>
      <c r="Z269" s="1477"/>
      <c r="AA269" s="1477"/>
      <c r="AB269" s="1477"/>
      <c r="AC269" s="1477"/>
      <c r="AD269" s="1477"/>
      <c r="AE269" s="1477"/>
      <c r="AF269" s="1477"/>
      <c r="AG269" s="1477"/>
      <c r="AH269" s="1477"/>
      <c r="AI269" s="1477"/>
      <c r="AJ269" s="1477"/>
      <c r="AK269" s="1477"/>
      <c r="AL269" s="1477"/>
      <c r="AM269" s="1477"/>
      <c r="AN269" s="1477"/>
      <c r="AO269" s="284"/>
      <c r="AP269" s="1477"/>
      <c r="AQ269" s="1477"/>
      <c r="AR269" s="1477"/>
      <c r="AS269" s="1477"/>
      <c r="AT269" s="1477"/>
      <c r="AU269" s="1477"/>
      <c r="AV269" s="1477"/>
      <c r="AW269" s="1477"/>
      <c r="AX269" s="1477"/>
      <c r="AY269" s="1477"/>
      <c r="AZ269" s="1477"/>
      <c r="BA269" s="1477"/>
      <c r="BB269" s="1477"/>
      <c r="BC269" s="1477"/>
      <c r="BD269" s="1477"/>
      <c r="BE269" s="1477"/>
      <c r="BF269" s="1477"/>
      <c r="BG269" s="1477"/>
      <c r="BH269" s="1477"/>
      <c r="BI269" s="1477"/>
      <c r="BJ269" s="1477"/>
      <c r="BK269" s="1477"/>
      <c r="BL269" s="1477"/>
      <c r="BM269" s="1477"/>
      <c r="BN269" s="1477"/>
      <c r="BO269" s="1477"/>
      <c r="BP269" s="1477"/>
      <c r="BQ269" s="1477"/>
      <c r="BR269" s="1477"/>
      <c r="BS269" s="1477"/>
      <c r="BT269" s="1477"/>
      <c r="BU269" s="1477"/>
      <c r="BV269" s="1477"/>
      <c r="BW269" s="1477"/>
      <c r="BX269" s="1477"/>
      <c r="BY269" s="1477"/>
      <c r="BZ269" s="1477"/>
      <c r="CA269" s="1477"/>
      <c r="CB269" s="1477"/>
      <c r="CC269" s="1477"/>
      <c r="CD269" s="1477"/>
      <c r="CE269" s="1477"/>
      <c r="CF269" s="1477"/>
      <c r="CG269" s="1477"/>
      <c r="CH269" s="1477"/>
    </row>
    <row r="270" spans="2:86">
      <c r="B270" s="1714"/>
      <c r="C270" s="1714"/>
      <c r="D270" s="1714"/>
      <c r="E270" s="1714"/>
      <c r="F270" s="1714"/>
      <c r="G270" s="1714"/>
      <c r="H270" s="1714"/>
      <c r="I270" s="1714"/>
      <c r="J270" s="1714"/>
      <c r="K270" s="1714"/>
      <c r="L270" s="1714"/>
      <c r="M270" s="1477"/>
      <c r="N270" s="1477"/>
      <c r="O270" s="1477"/>
      <c r="P270" s="1477"/>
      <c r="Q270" s="1477"/>
      <c r="R270" s="1477"/>
      <c r="S270" s="1477"/>
      <c r="T270" s="1477"/>
      <c r="U270" s="1477"/>
      <c r="V270" s="1477"/>
      <c r="W270" s="1477"/>
      <c r="X270" s="1477"/>
      <c r="Y270" s="1477"/>
      <c r="Z270" s="1477"/>
      <c r="AA270" s="1477"/>
      <c r="AB270" s="1477"/>
      <c r="AC270" s="1477"/>
      <c r="AD270" s="1477"/>
      <c r="AE270" s="1477"/>
      <c r="AF270" s="1477"/>
      <c r="AG270" s="1477"/>
      <c r="AH270" s="1477"/>
      <c r="AI270" s="1477"/>
      <c r="AJ270" s="1477"/>
      <c r="AK270" s="1477"/>
      <c r="AL270" s="1477"/>
      <c r="AM270" s="1477"/>
      <c r="AN270" s="1477"/>
      <c r="AO270" s="284"/>
      <c r="AP270" s="1477"/>
      <c r="AQ270" s="1477"/>
      <c r="AR270" s="1477"/>
      <c r="AS270" s="1477"/>
      <c r="AT270" s="1477"/>
      <c r="AU270" s="1477"/>
      <c r="AV270" s="1477"/>
      <c r="AW270" s="1477"/>
      <c r="AX270" s="1477"/>
      <c r="AY270" s="1477"/>
      <c r="AZ270" s="1477"/>
      <c r="BA270" s="1477"/>
      <c r="BB270" s="1477"/>
      <c r="BC270" s="1477"/>
      <c r="BD270" s="1477"/>
      <c r="BE270" s="1477"/>
      <c r="BF270" s="1477"/>
      <c r="BG270" s="1477"/>
      <c r="BH270" s="1477"/>
      <c r="BI270" s="1477"/>
      <c r="BJ270" s="1477"/>
      <c r="BK270" s="1477"/>
      <c r="BL270" s="1477"/>
      <c r="BM270" s="1477"/>
      <c r="BN270" s="1477"/>
      <c r="BO270" s="1477"/>
      <c r="BP270" s="1477"/>
      <c r="BQ270" s="1477"/>
      <c r="BR270" s="1477"/>
      <c r="BS270" s="1477"/>
      <c r="BT270" s="1477"/>
      <c r="BU270" s="1477"/>
      <c r="BV270" s="1477"/>
      <c r="BW270" s="1477"/>
      <c r="BX270" s="1477"/>
      <c r="BY270" s="1477"/>
      <c r="BZ270" s="1477"/>
      <c r="CA270" s="1477"/>
      <c r="CB270" s="1477"/>
      <c r="CC270" s="1477"/>
      <c r="CD270" s="1477"/>
      <c r="CE270" s="1477"/>
      <c r="CF270" s="1477"/>
      <c r="CG270" s="1477"/>
      <c r="CH270" s="1477"/>
    </row>
    <row r="271" spans="2:86">
      <c r="B271" s="1477"/>
      <c r="C271" s="1477"/>
      <c r="D271" s="1477"/>
      <c r="E271" s="1477"/>
      <c r="F271" s="1477"/>
      <c r="G271" s="1477"/>
      <c r="H271" s="1477"/>
      <c r="I271" s="1477"/>
      <c r="J271" s="1477"/>
      <c r="K271" s="1477"/>
      <c r="L271" s="1477"/>
      <c r="M271" s="1477"/>
      <c r="N271" s="1477"/>
      <c r="O271" s="1477"/>
      <c r="P271" s="1477"/>
      <c r="Q271" s="1477"/>
      <c r="R271" s="1477"/>
      <c r="S271" s="1477"/>
      <c r="T271" s="1477"/>
      <c r="U271" s="1477"/>
      <c r="V271" s="1477"/>
      <c r="W271" s="1477"/>
      <c r="X271" s="1477"/>
      <c r="Y271" s="1477"/>
      <c r="Z271" s="1477"/>
      <c r="AA271" s="1477"/>
      <c r="AB271" s="1477"/>
      <c r="AC271" s="1477"/>
      <c r="AD271" s="1477"/>
      <c r="AE271" s="1477"/>
      <c r="AF271" s="1477"/>
      <c r="AG271" s="1477"/>
      <c r="AH271" s="1477"/>
      <c r="AI271" s="1477"/>
      <c r="AJ271" s="1477"/>
      <c r="AK271" s="1477"/>
      <c r="AL271" s="1477"/>
      <c r="AM271" s="1477"/>
      <c r="AN271" s="1477"/>
      <c r="AO271" s="284"/>
      <c r="AP271" s="1477"/>
      <c r="AQ271" s="1477"/>
      <c r="AR271" s="1477"/>
      <c r="AS271" s="1477"/>
      <c r="AT271" s="1477"/>
      <c r="AU271" s="1477"/>
      <c r="AV271" s="1477"/>
      <c r="AW271" s="1477"/>
      <c r="AX271" s="1477"/>
      <c r="AY271" s="1477"/>
      <c r="AZ271" s="1477"/>
      <c r="BA271" s="1477"/>
      <c r="BB271" s="1477"/>
      <c r="BC271" s="1477"/>
      <c r="BD271" s="1477"/>
      <c r="BE271" s="1477"/>
      <c r="BF271" s="1477"/>
      <c r="BG271" s="1477"/>
      <c r="BH271" s="1477"/>
      <c r="BI271" s="1477"/>
      <c r="BJ271" s="1477"/>
      <c r="BK271" s="1477"/>
      <c r="BL271" s="1477"/>
      <c r="BM271" s="1477"/>
      <c r="BN271" s="1477"/>
      <c r="BO271" s="1477"/>
      <c r="BP271" s="1477"/>
      <c r="BQ271" s="1477"/>
      <c r="BR271" s="1477"/>
      <c r="BS271" s="1477"/>
      <c r="BT271" s="1477"/>
      <c r="BU271" s="1477"/>
      <c r="BV271" s="1477"/>
      <c r="BW271" s="1477"/>
      <c r="BX271" s="1477"/>
      <c r="BY271" s="1477"/>
      <c r="BZ271" s="1477"/>
      <c r="CA271" s="1477"/>
      <c r="CB271" s="1477"/>
      <c r="CC271" s="1477"/>
      <c r="CD271" s="1477"/>
      <c r="CE271" s="1477"/>
      <c r="CF271" s="1477"/>
      <c r="CG271" s="1477"/>
      <c r="CH271" s="1477"/>
    </row>
    <row r="272" spans="2:86">
      <c r="B272" s="1477"/>
      <c r="C272" s="1477"/>
      <c r="D272" s="1477"/>
      <c r="E272" s="1477"/>
      <c r="F272" s="1477"/>
      <c r="G272" s="1477"/>
      <c r="H272" s="1477"/>
      <c r="I272" s="1477"/>
      <c r="J272" s="1477"/>
      <c r="K272" s="1477"/>
      <c r="L272" s="1477"/>
      <c r="M272" s="1477"/>
      <c r="N272" s="1477"/>
      <c r="O272" s="1477"/>
      <c r="P272" s="1477"/>
      <c r="Q272" s="1477"/>
      <c r="R272" s="1477"/>
      <c r="S272" s="1477"/>
      <c r="T272" s="1477"/>
      <c r="U272" s="1477"/>
      <c r="V272" s="1477"/>
      <c r="W272" s="1477"/>
      <c r="X272" s="1477"/>
      <c r="Y272" s="1477"/>
      <c r="Z272" s="1477"/>
      <c r="AA272" s="1477"/>
      <c r="AB272" s="1477"/>
      <c r="AC272" s="1477"/>
      <c r="AD272" s="1477"/>
      <c r="AE272" s="1477"/>
      <c r="AF272" s="1477"/>
      <c r="AG272" s="1477"/>
      <c r="AH272" s="1477"/>
      <c r="AI272" s="1477"/>
      <c r="AJ272" s="1477"/>
      <c r="AK272" s="1477"/>
      <c r="AL272" s="1477"/>
      <c r="AM272" s="1477"/>
      <c r="AN272" s="1477"/>
      <c r="AO272" s="284"/>
      <c r="AP272" s="1477"/>
      <c r="AQ272" s="1477"/>
      <c r="AR272" s="1477"/>
      <c r="AS272" s="1477"/>
      <c r="AT272" s="1477"/>
      <c r="AU272" s="1477"/>
      <c r="AV272" s="1477"/>
      <c r="AW272" s="1477"/>
      <c r="AX272" s="1477"/>
      <c r="AY272" s="1477"/>
      <c r="AZ272" s="1477"/>
      <c r="BA272" s="1477"/>
      <c r="BB272" s="1477"/>
      <c r="BC272" s="1477"/>
      <c r="BD272" s="1477"/>
      <c r="BE272" s="1477"/>
      <c r="BF272" s="1477"/>
      <c r="BG272" s="1477"/>
      <c r="BH272" s="1477"/>
      <c r="BI272" s="1477"/>
      <c r="BJ272" s="1477"/>
      <c r="BK272" s="1477"/>
      <c r="BL272" s="1477"/>
      <c r="BM272" s="1477"/>
      <c r="BN272" s="1477"/>
      <c r="BO272" s="1477"/>
      <c r="BP272" s="1477"/>
      <c r="BQ272" s="1477"/>
      <c r="BR272" s="1477"/>
      <c r="BS272" s="1477"/>
      <c r="BT272" s="1477"/>
      <c r="BU272" s="1477"/>
      <c r="BV272" s="1477"/>
      <c r="BW272" s="1477"/>
      <c r="BX272" s="1477"/>
      <c r="BY272" s="1477"/>
      <c r="BZ272" s="1477"/>
      <c r="CA272" s="1477"/>
      <c r="CB272" s="1477"/>
      <c r="CC272" s="1477"/>
      <c r="CD272" s="1477"/>
      <c r="CE272" s="1477"/>
      <c r="CF272" s="1477"/>
      <c r="CG272" s="1477"/>
      <c r="CH272" s="1477"/>
    </row>
    <row r="273" spans="2:86">
      <c r="B273" s="1477"/>
      <c r="C273" s="1477"/>
      <c r="D273" s="1477"/>
      <c r="E273" s="1477"/>
      <c r="F273" s="1477"/>
      <c r="G273" s="1477"/>
      <c r="H273" s="1477"/>
      <c r="I273" s="1477"/>
      <c r="J273" s="1477"/>
      <c r="K273" s="1477"/>
      <c r="L273" s="1477"/>
      <c r="M273" s="1477"/>
      <c r="N273" s="1477"/>
      <c r="O273" s="1477"/>
      <c r="P273" s="1477"/>
      <c r="Q273" s="1477"/>
      <c r="R273" s="1477"/>
      <c r="S273" s="1477"/>
      <c r="T273" s="1477"/>
      <c r="U273" s="1477"/>
      <c r="V273" s="1477"/>
      <c r="W273" s="1477"/>
      <c r="X273" s="1477"/>
      <c r="Y273" s="1477"/>
      <c r="Z273" s="1477"/>
      <c r="AA273" s="1477"/>
      <c r="AB273" s="1477"/>
      <c r="AC273" s="1477"/>
      <c r="AD273" s="1477"/>
      <c r="AE273" s="1477"/>
      <c r="AF273" s="1477"/>
      <c r="AG273" s="1477"/>
      <c r="AH273" s="1477"/>
      <c r="AI273" s="1477"/>
      <c r="AJ273" s="1477"/>
      <c r="AK273" s="1477"/>
      <c r="AL273" s="1477"/>
      <c r="AM273" s="1477"/>
      <c r="AN273" s="1477"/>
      <c r="AO273" s="284"/>
      <c r="AP273" s="1477"/>
      <c r="AQ273" s="1477"/>
      <c r="AR273" s="1477"/>
      <c r="AS273" s="1477"/>
      <c r="AT273" s="1477"/>
      <c r="AU273" s="1477"/>
      <c r="AV273" s="1477"/>
      <c r="AW273" s="1477"/>
      <c r="AX273" s="1477"/>
      <c r="AY273" s="1477"/>
      <c r="AZ273" s="1477"/>
      <c r="BA273" s="1477"/>
      <c r="BB273" s="1477"/>
      <c r="BC273" s="1477"/>
      <c r="BD273" s="1477"/>
      <c r="BE273" s="1477"/>
      <c r="BF273" s="1477"/>
      <c r="BG273" s="1477"/>
      <c r="BH273" s="1477"/>
      <c r="BI273" s="1477"/>
      <c r="BJ273" s="1477"/>
      <c r="BK273" s="1477"/>
      <c r="BL273" s="1477"/>
      <c r="BM273" s="1477"/>
      <c r="BN273" s="1477"/>
      <c r="BO273" s="1477"/>
      <c r="BP273" s="1477"/>
      <c r="BQ273" s="1477"/>
      <c r="BR273" s="1477"/>
      <c r="BS273" s="1477"/>
      <c r="BT273" s="1477"/>
      <c r="BU273" s="1477"/>
      <c r="BV273" s="1477"/>
      <c r="BW273" s="1477"/>
      <c r="BX273" s="1477"/>
      <c r="BY273" s="1477"/>
      <c r="BZ273" s="1477"/>
      <c r="CA273" s="1477"/>
      <c r="CB273" s="1477"/>
      <c r="CC273" s="1477"/>
      <c r="CD273" s="1477"/>
      <c r="CE273" s="1477"/>
      <c r="CF273" s="1477"/>
      <c r="CG273" s="1477"/>
      <c r="CH273" s="1477"/>
    </row>
    <row r="274" spans="2:86">
      <c r="B274" s="1477"/>
      <c r="C274" s="1477"/>
      <c r="D274" s="1477"/>
      <c r="E274" s="1477"/>
      <c r="F274" s="1477"/>
      <c r="G274" s="1477"/>
      <c r="H274" s="1477"/>
      <c r="I274" s="1477"/>
      <c r="J274" s="1477"/>
      <c r="K274" s="1477"/>
      <c r="L274" s="1477"/>
      <c r="M274" s="1477"/>
      <c r="N274" s="1477"/>
      <c r="O274" s="1477"/>
      <c r="P274" s="1477"/>
      <c r="Q274" s="1477"/>
      <c r="R274" s="1477"/>
      <c r="S274" s="1477"/>
      <c r="T274" s="1477"/>
      <c r="U274" s="1477"/>
      <c r="V274" s="1477"/>
      <c r="W274" s="1477"/>
      <c r="X274" s="1477"/>
      <c r="Y274" s="1477"/>
      <c r="Z274" s="1477"/>
      <c r="AA274" s="1477"/>
      <c r="AB274" s="1477"/>
      <c r="AC274" s="1477"/>
      <c r="AD274" s="1477"/>
      <c r="AE274" s="1477"/>
      <c r="AF274" s="1477"/>
      <c r="AG274" s="1477"/>
      <c r="AH274" s="1477"/>
      <c r="AI274" s="1477"/>
      <c r="AJ274" s="1477"/>
      <c r="AK274" s="1477"/>
      <c r="AL274" s="1477"/>
      <c r="AM274" s="1477"/>
      <c r="AN274" s="1477"/>
      <c r="AO274" s="284"/>
      <c r="AP274" s="1477"/>
      <c r="AQ274" s="1477"/>
      <c r="AR274" s="1477"/>
      <c r="AS274" s="1477"/>
      <c r="AT274" s="1477"/>
      <c r="AU274" s="1477"/>
      <c r="AV274" s="1477"/>
      <c r="AW274" s="1477"/>
      <c r="AX274" s="1477"/>
      <c r="AY274" s="1477"/>
      <c r="AZ274" s="1477"/>
      <c r="BA274" s="1477"/>
      <c r="BB274" s="1477"/>
      <c r="BC274" s="1477"/>
      <c r="BD274" s="1477"/>
      <c r="BE274" s="1477"/>
      <c r="BF274" s="1477"/>
      <c r="BG274" s="1477"/>
      <c r="BH274" s="1477"/>
      <c r="BI274" s="1477"/>
      <c r="BJ274" s="1477"/>
      <c r="BK274" s="1477"/>
      <c r="BL274" s="1477"/>
      <c r="BM274" s="1477"/>
      <c r="BN274" s="1477"/>
      <c r="BO274" s="1477"/>
      <c r="BP274" s="1477"/>
      <c r="BQ274" s="1477"/>
      <c r="BR274" s="1477"/>
      <c r="BS274" s="1477"/>
      <c r="BT274" s="1477"/>
      <c r="BU274" s="1477"/>
      <c r="BV274" s="1477"/>
      <c r="BW274" s="1477"/>
      <c r="BX274" s="1477"/>
      <c r="BY274" s="1477"/>
      <c r="BZ274" s="1477"/>
      <c r="CA274" s="1477"/>
      <c r="CB274" s="1477"/>
      <c r="CC274" s="1477"/>
      <c r="CD274" s="1477"/>
      <c r="CE274" s="1477"/>
      <c r="CF274" s="1477"/>
      <c r="CG274" s="1477"/>
      <c r="CH274" s="1477"/>
    </row>
    <row r="275" spans="2:86">
      <c r="B275" s="1477"/>
      <c r="C275" s="1477"/>
      <c r="D275" s="1477"/>
      <c r="E275" s="1477"/>
      <c r="F275" s="1477"/>
      <c r="G275" s="1477"/>
      <c r="H275" s="1477"/>
      <c r="I275" s="1477"/>
      <c r="J275" s="1477"/>
      <c r="K275" s="1477"/>
      <c r="L275" s="1477"/>
      <c r="M275" s="1477"/>
      <c r="N275" s="1477"/>
      <c r="O275" s="1477"/>
      <c r="P275" s="1477"/>
      <c r="Q275" s="1477"/>
      <c r="R275" s="1477"/>
      <c r="S275" s="1477"/>
      <c r="T275" s="1477"/>
      <c r="U275" s="1477"/>
      <c r="V275" s="1477"/>
      <c r="W275" s="1477"/>
      <c r="X275" s="1477"/>
      <c r="Y275" s="1477"/>
      <c r="Z275" s="1477"/>
      <c r="AA275" s="1477"/>
      <c r="AB275" s="1477"/>
      <c r="AC275" s="1477"/>
      <c r="AD275" s="1477"/>
      <c r="AE275" s="1477"/>
      <c r="AF275" s="1477"/>
      <c r="AG275" s="1477"/>
      <c r="AH275" s="1477"/>
      <c r="AI275" s="1477"/>
      <c r="AJ275" s="1477"/>
      <c r="AK275" s="1477"/>
      <c r="AL275" s="1477"/>
      <c r="AM275" s="1477"/>
      <c r="AN275" s="1477"/>
      <c r="AO275" s="284"/>
      <c r="AP275" s="1477"/>
      <c r="AQ275" s="1477"/>
      <c r="AR275" s="1477"/>
      <c r="AS275" s="1477"/>
      <c r="AT275" s="1477"/>
      <c r="AU275" s="1477"/>
      <c r="AV275" s="1477"/>
      <c r="AW275" s="1477"/>
      <c r="AX275" s="1477"/>
      <c r="AY275" s="1477"/>
      <c r="AZ275" s="1477"/>
      <c r="BA275" s="1477"/>
      <c r="BB275" s="1477"/>
      <c r="BC275" s="1477"/>
      <c r="BD275" s="1477"/>
      <c r="BE275" s="1477"/>
      <c r="BF275" s="1477"/>
      <c r="BG275" s="1477"/>
      <c r="BH275" s="1477"/>
      <c r="BI275" s="1477"/>
      <c r="BJ275" s="1477"/>
      <c r="BK275" s="1477"/>
      <c r="BL275" s="1477"/>
      <c r="BM275" s="1477"/>
      <c r="BN275" s="1477"/>
      <c r="BO275" s="1477"/>
      <c r="BP275" s="1477"/>
      <c r="BQ275" s="1477"/>
      <c r="BR275" s="1477"/>
      <c r="BS275" s="1477"/>
      <c r="BT275" s="1477"/>
      <c r="BU275" s="1477"/>
      <c r="BV275" s="1477"/>
      <c r="BW275" s="1477"/>
      <c r="BX275" s="1477"/>
      <c r="BY275" s="1477"/>
      <c r="BZ275" s="1477"/>
      <c r="CA275" s="1477"/>
      <c r="CB275" s="1477"/>
      <c r="CC275" s="1477"/>
      <c r="CD275" s="1477"/>
      <c r="CE275" s="1477"/>
      <c r="CF275" s="1477"/>
      <c r="CG275" s="1477"/>
      <c r="CH275" s="1477"/>
    </row>
    <row r="276" spans="2:86">
      <c r="B276" s="1477"/>
      <c r="C276" s="1477"/>
      <c r="D276" s="1477"/>
      <c r="E276" s="1477"/>
      <c r="F276" s="1477"/>
      <c r="G276" s="1477"/>
      <c r="H276" s="1477"/>
      <c r="I276" s="1477"/>
      <c r="J276" s="1477"/>
      <c r="K276" s="1477"/>
      <c r="L276" s="1477"/>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1477"/>
      <c r="AL276" s="1477"/>
      <c r="AM276" s="1477"/>
      <c r="AN276" s="1477"/>
      <c r="AO276" s="284"/>
      <c r="AP276" s="1477"/>
      <c r="AQ276" s="1477"/>
      <c r="AR276" s="1477"/>
      <c r="AS276" s="1477"/>
      <c r="AT276" s="1477"/>
      <c r="AU276" s="1477"/>
      <c r="AV276" s="1477"/>
      <c r="AW276" s="1477"/>
      <c r="AX276" s="1477"/>
      <c r="AY276" s="1477"/>
      <c r="AZ276" s="1477"/>
      <c r="BA276" s="1477"/>
      <c r="BB276" s="1477"/>
      <c r="BC276" s="1477"/>
      <c r="BD276" s="1477"/>
      <c r="BE276" s="1477"/>
      <c r="BF276" s="1477"/>
      <c r="BG276" s="1477"/>
      <c r="BH276" s="1477"/>
      <c r="BI276" s="1477"/>
      <c r="BJ276" s="1477"/>
      <c r="BK276" s="1477"/>
      <c r="BL276" s="1477"/>
      <c r="BM276" s="1477"/>
      <c r="BN276" s="1477"/>
      <c r="BO276" s="1477"/>
      <c r="BP276" s="1477"/>
      <c r="BQ276" s="1477"/>
      <c r="BR276" s="1477"/>
      <c r="BS276" s="1477"/>
      <c r="BT276" s="1477"/>
      <c r="BU276" s="1477"/>
      <c r="BV276" s="1477"/>
      <c r="BW276" s="1477"/>
      <c r="BX276" s="1477"/>
      <c r="BY276" s="1477"/>
      <c r="BZ276" s="1477"/>
      <c r="CA276" s="1477"/>
      <c r="CB276" s="1477"/>
      <c r="CC276" s="1477"/>
      <c r="CD276" s="1477"/>
      <c r="CE276" s="1477"/>
      <c r="CF276" s="1477"/>
      <c r="CG276" s="1477"/>
      <c r="CH276" s="1477"/>
    </row>
    <row r="277" spans="2:86">
      <c r="B277" s="1477"/>
      <c r="C277" s="1477"/>
      <c r="D277" s="1477"/>
      <c r="E277" s="1477"/>
      <c r="F277" s="1477"/>
      <c r="G277" s="1477"/>
      <c r="H277" s="1477"/>
      <c r="I277" s="1477"/>
      <c r="J277" s="1477"/>
      <c r="K277" s="1477"/>
      <c r="L277" s="1477"/>
      <c r="M277" s="1477"/>
      <c r="N277" s="1477"/>
      <c r="O277" s="1477"/>
      <c r="P277" s="1477"/>
      <c r="Q277" s="1477"/>
      <c r="R277" s="1477"/>
      <c r="S277" s="1477"/>
      <c r="T277" s="1477"/>
      <c r="U277" s="1477"/>
      <c r="V277" s="1477"/>
      <c r="W277" s="1477"/>
      <c r="X277" s="1477"/>
      <c r="Y277" s="1477"/>
      <c r="Z277" s="1477"/>
      <c r="AA277" s="1477"/>
      <c r="AB277" s="1477"/>
      <c r="AC277" s="1477"/>
      <c r="AD277" s="1477"/>
      <c r="AE277" s="1477"/>
      <c r="AF277" s="1477"/>
      <c r="AG277" s="1477"/>
      <c r="AH277" s="1477"/>
      <c r="AI277" s="1477"/>
      <c r="AJ277" s="1477"/>
      <c r="AK277" s="1477"/>
      <c r="AL277" s="1477"/>
      <c r="AM277" s="1477"/>
      <c r="AN277" s="1477"/>
      <c r="AO277" s="284"/>
      <c r="AP277" s="1477"/>
      <c r="AQ277" s="1477"/>
      <c r="AR277" s="1477"/>
      <c r="AS277" s="1477"/>
      <c r="AT277" s="1477"/>
      <c r="AU277" s="1477"/>
      <c r="AV277" s="1477"/>
      <c r="AW277" s="1477"/>
      <c r="AX277" s="1477"/>
      <c r="AY277" s="1477"/>
      <c r="AZ277" s="1477"/>
      <c r="BA277" s="1477"/>
      <c r="BB277" s="1477"/>
      <c r="BC277" s="1477"/>
      <c r="BD277" s="1477"/>
      <c r="BE277" s="1477"/>
      <c r="BF277" s="1477"/>
      <c r="BG277" s="1477"/>
      <c r="BH277" s="1477"/>
      <c r="BI277" s="1477"/>
      <c r="BJ277" s="1477"/>
      <c r="BK277" s="1477"/>
      <c r="BL277" s="1477"/>
      <c r="BM277" s="1477"/>
      <c r="BN277" s="1477"/>
      <c r="BO277" s="1477"/>
      <c r="BP277" s="1477"/>
      <c r="BQ277" s="1477"/>
      <c r="BR277" s="1477"/>
      <c r="BS277" s="1477"/>
      <c r="BT277" s="1477"/>
      <c r="BU277" s="1477"/>
      <c r="BV277" s="1477"/>
      <c r="BW277" s="1477"/>
      <c r="BX277" s="1477"/>
      <c r="BY277" s="1477"/>
      <c r="BZ277" s="1477"/>
      <c r="CA277" s="1477"/>
      <c r="CB277" s="1477"/>
      <c r="CC277" s="1477"/>
      <c r="CD277" s="1477"/>
      <c r="CE277" s="1477"/>
      <c r="CF277" s="1477"/>
      <c r="CG277" s="1477"/>
      <c r="CH277" s="1477"/>
    </row>
    <row r="278" spans="2:86">
      <c r="B278" s="1477"/>
      <c r="C278" s="1477"/>
      <c r="D278" s="1477"/>
      <c r="E278" s="1477"/>
      <c r="F278" s="1477"/>
      <c r="G278" s="1477"/>
      <c r="H278" s="1477"/>
      <c r="I278" s="1477"/>
      <c r="J278" s="1477"/>
      <c r="K278" s="1477"/>
      <c r="L278" s="1477"/>
      <c r="M278" s="1477"/>
      <c r="N278" s="1477"/>
      <c r="O278" s="1477"/>
      <c r="P278" s="1477"/>
      <c r="Q278" s="1477"/>
      <c r="R278" s="1477"/>
      <c r="S278" s="1477"/>
      <c r="T278" s="1477"/>
      <c r="U278" s="1477"/>
      <c r="V278" s="1477"/>
      <c r="W278" s="1477"/>
      <c r="X278" s="1477"/>
      <c r="Y278" s="1477"/>
      <c r="Z278" s="1477"/>
      <c r="AA278" s="1477"/>
      <c r="AB278" s="1477"/>
      <c r="AC278" s="1477"/>
      <c r="AD278" s="1477"/>
      <c r="AE278" s="1477"/>
      <c r="AF278" s="1477"/>
      <c r="AG278" s="1477"/>
      <c r="AH278" s="1477"/>
      <c r="AI278" s="1477"/>
      <c r="AJ278" s="1477"/>
      <c r="AK278" s="1477"/>
      <c r="AL278" s="1477"/>
      <c r="AM278" s="1477"/>
      <c r="AN278" s="1477"/>
      <c r="AO278" s="284"/>
      <c r="AP278" s="1477"/>
      <c r="AQ278" s="1477"/>
      <c r="AR278" s="1477"/>
      <c r="AS278" s="1477"/>
      <c r="AT278" s="1477"/>
      <c r="AU278" s="1477"/>
      <c r="AV278" s="1477"/>
      <c r="AW278" s="1477"/>
      <c r="AX278" s="1477"/>
      <c r="AY278" s="1477"/>
      <c r="AZ278" s="1477"/>
      <c r="BA278" s="1477"/>
      <c r="BB278" s="1477"/>
      <c r="BC278" s="1477"/>
      <c r="BD278" s="1477"/>
      <c r="BE278" s="1477"/>
      <c r="BF278" s="1477"/>
      <c r="BG278" s="1477"/>
      <c r="BH278" s="1477"/>
      <c r="BI278" s="1477"/>
      <c r="BJ278" s="1477"/>
      <c r="BK278" s="1477"/>
      <c r="BL278" s="1477"/>
      <c r="BM278" s="1477"/>
      <c r="BN278" s="1477"/>
      <c r="BO278" s="1477"/>
      <c r="BP278" s="1477"/>
      <c r="BQ278" s="1477"/>
      <c r="BR278" s="1477"/>
      <c r="BS278" s="1477"/>
      <c r="BT278" s="1477"/>
      <c r="BU278" s="1477"/>
      <c r="BV278" s="1477"/>
      <c r="BW278" s="1477"/>
      <c r="BX278" s="1477"/>
      <c r="BY278" s="1477"/>
      <c r="BZ278" s="1477"/>
      <c r="CA278" s="1477"/>
      <c r="CB278" s="1477"/>
      <c r="CC278" s="1477"/>
      <c r="CD278" s="1477"/>
      <c r="CE278" s="1477"/>
      <c r="CF278" s="1477"/>
      <c r="CG278" s="1477"/>
      <c r="CH278" s="1477"/>
    </row>
    <row r="279" spans="2:86">
      <c r="B279" s="1477"/>
      <c r="C279" s="1477"/>
      <c r="D279" s="1477"/>
      <c r="E279" s="1477"/>
      <c r="F279" s="1477"/>
      <c r="G279" s="1477"/>
      <c r="H279" s="1477"/>
      <c r="I279" s="1477"/>
      <c r="J279" s="1477"/>
      <c r="K279" s="1477"/>
      <c r="L279" s="1477"/>
      <c r="M279" s="1477"/>
      <c r="N279" s="1477"/>
      <c r="O279" s="1477"/>
      <c r="P279" s="1477"/>
      <c r="Q279" s="1477"/>
      <c r="R279" s="1477"/>
      <c r="S279" s="1477"/>
      <c r="T279" s="1477"/>
      <c r="U279" s="1477"/>
      <c r="V279" s="1477"/>
      <c r="W279" s="1477"/>
      <c r="X279" s="1477"/>
      <c r="Y279" s="1477"/>
      <c r="Z279" s="1477"/>
      <c r="AA279" s="1477"/>
      <c r="AB279" s="1477"/>
      <c r="AC279" s="1477"/>
      <c r="AD279" s="1477"/>
      <c r="AE279" s="1477"/>
      <c r="AF279" s="1477"/>
      <c r="AG279" s="1477"/>
      <c r="AH279" s="1477"/>
      <c r="AI279" s="1477"/>
      <c r="AJ279" s="1477"/>
      <c r="AK279" s="1477"/>
      <c r="AL279" s="1477"/>
      <c r="AM279" s="1477"/>
      <c r="AN279" s="1477"/>
      <c r="AO279" s="284"/>
      <c r="AP279" s="1477"/>
      <c r="AQ279" s="1477"/>
      <c r="AR279" s="1477"/>
      <c r="AS279" s="1477"/>
      <c r="AT279" s="1477"/>
      <c r="AU279" s="1477"/>
      <c r="AV279" s="1477"/>
      <c r="AW279" s="1477"/>
      <c r="AX279" s="1477"/>
      <c r="AY279" s="1477"/>
      <c r="AZ279" s="1477"/>
      <c r="BA279" s="1477"/>
      <c r="BB279" s="1477"/>
      <c r="BC279" s="1477"/>
      <c r="BD279" s="1477"/>
      <c r="BE279" s="1477"/>
      <c r="BF279" s="1477"/>
      <c r="BG279" s="1477"/>
      <c r="BH279" s="1477"/>
      <c r="BI279" s="1477"/>
      <c r="BJ279" s="1477"/>
      <c r="BK279" s="1477"/>
      <c r="BL279" s="1477"/>
      <c r="BM279" s="1477"/>
      <c r="BN279" s="1477"/>
      <c r="BO279" s="1477"/>
      <c r="BP279" s="1477"/>
      <c r="BQ279" s="1477"/>
      <c r="BR279" s="1477"/>
      <c r="BS279" s="1477"/>
      <c r="BT279" s="1477"/>
      <c r="BU279" s="1477"/>
      <c r="BV279" s="1477"/>
      <c r="BW279" s="1477"/>
      <c r="BX279" s="1477"/>
      <c r="BY279" s="1477"/>
      <c r="BZ279" s="1477"/>
      <c r="CA279" s="1477"/>
      <c r="CB279" s="1477"/>
      <c r="CC279" s="1477"/>
      <c r="CD279" s="1477"/>
      <c r="CE279" s="1477"/>
      <c r="CF279" s="1477"/>
      <c r="CG279" s="1477"/>
      <c r="CH279" s="1477"/>
    </row>
    <row r="280" spans="2:86">
      <c r="B280" s="1477"/>
      <c r="C280" s="1477"/>
      <c r="D280" s="1477"/>
      <c r="E280" s="1477"/>
      <c r="F280" s="1477"/>
      <c r="G280" s="1477"/>
      <c r="H280" s="1477"/>
      <c r="I280" s="1477"/>
      <c r="J280" s="1477"/>
      <c r="K280" s="1477"/>
      <c r="L280" s="1477"/>
      <c r="M280" s="1477"/>
      <c r="N280" s="1477"/>
      <c r="O280" s="1477"/>
      <c r="P280" s="1477"/>
      <c r="Q280" s="1477"/>
      <c r="R280" s="1477"/>
      <c r="S280" s="1477"/>
      <c r="T280" s="1477"/>
      <c r="U280" s="1477"/>
      <c r="V280" s="1477"/>
      <c r="W280" s="1477"/>
      <c r="X280" s="1477"/>
      <c r="Y280" s="1477"/>
      <c r="Z280" s="1477"/>
      <c r="AA280" s="1477"/>
      <c r="AB280" s="1477"/>
      <c r="AC280" s="1477"/>
      <c r="AD280" s="1477"/>
      <c r="AE280" s="1477"/>
      <c r="AF280" s="1477"/>
      <c r="AG280" s="1477"/>
      <c r="AH280" s="1477"/>
      <c r="AI280" s="1477"/>
      <c r="AJ280" s="1477"/>
      <c r="AK280" s="1477"/>
      <c r="AL280" s="1477"/>
      <c r="AM280" s="1477"/>
      <c r="AN280" s="1477"/>
      <c r="AO280" s="284"/>
      <c r="AP280" s="1477"/>
      <c r="AQ280" s="1477"/>
      <c r="AR280" s="1477"/>
      <c r="AS280" s="1477"/>
      <c r="AT280" s="1477"/>
      <c r="AU280" s="1477"/>
      <c r="AV280" s="1477"/>
      <c r="AW280" s="1477"/>
      <c r="AX280" s="1477"/>
      <c r="AY280" s="1477"/>
      <c r="AZ280" s="1477"/>
      <c r="BA280" s="1477"/>
      <c r="BB280" s="1477"/>
      <c r="BC280" s="1477"/>
      <c r="BD280" s="1477"/>
      <c r="BE280" s="1477"/>
      <c r="BF280" s="1477"/>
      <c r="BG280" s="1477"/>
      <c r="BH280" s="1477"/>
      <c r="BI280" s="1477"/>
      <c r="BJ280" s="1477"/>
      <c r="BK280" s="1477"/>
      <c r="BL280" s="1477"/>
      <c r="BM280" s="1477"/>
      <c r="BN280" s="1477"/>
      <c r="BO280" s="1477"/>
      <c r="BP280" s="1477"/>
      <c r="BQ280" s="1477"/>
      <c r="BR280" s="1477"/>
      <c r="BS280" s="1477"/>
      <c r="BT280" s="1477"/>
      <c r="BU280" s="1477"/>
      <c r="BV280" s="1477"/>
      <c r="BW280" s="1477"/>
      <c r="BX280" s="1477"/>
      <c r="BY280" s="1477"/>
      <c r="BZ280" s="1477"/>
      <c r="CA280" s="1477"/>
      <c r="CB280" s="1477"/>
      <c r="CC280" s="1477"/>
      <c r="CD280" s="1477"/>
      <c r="CE280" s="1477"/>
      <c r="CF280" s="1477"/>
      <c r="CG280" s="1477"/>
      <c r="CH280" s="1477"/>
    </row>
    <row r="281" spans="2:86">
      <c r="B281" s="1477"/>
      <c r="C281" s="1477"/>
      <c r="D281" s="1477"/>
      <c r="E281" s="1477"/>
      <c r="F281" s="1477"/>
      <c r="G281" s="1477"/>
      <c r="H281" s="1477"/>
      <c r="I281" s="1477"/>
      <c r="J281" s="1477"/>
      <c r="K281" s="1477"/>
      <c r="L281" s="1477"/>
      <c r="M281" s="1477"/>
      <c r="N281" s="1477"/>
      <c r="O281" s="1477"/>
      <c r="P281" s="1477"/>
      <c r="Q281" s="1477"/>
      <c r="R281" s="1477"/>
      <c r="S281" s="1477"/>
      <c r="T281" s="1477"/>
      <c r="U281" s="1477"/>
      <c r="V281" s="1477"/>
      <c r="W281" s="1477"/>
      <c r="X281" s="1477"/>
      <c r="Y281" s="1477"/>
      <c r="Z281" s="1477"/>
      <c r="AA281" s="1477"/>
      <c r="AB281" s="1477"/>
      <c r="AC281" s="1477"/>
      <c r="AD281" s="1477"/>
      <c r="AE281" s="1477"/>
      <c r="AF281" s="1477"/>
      <c r="AG281" s="1477"/>
      <c r="AH281" s="1477"/>
      <c r="AI281" s="1477"/>
      <c r="AJ281" s="1477"/>
      <c r="AK281" s="1477"/>
      <c r="AL281" s="1477"/>
      <c r="AM281" s="1477"/>
      <c r="AN281" s="1477"/>
      <c r="AO281" s="284"/>
      <c r="AP281" s="1477"/>
      <c r="AQ281" s="1477"/>
      <c r="AR281" s="1477"/>
      <c r="AS281" s="1477"/>
      <c r="AT281" s="1477"/>
      <c r="AU281" s="1477"/>
      <c r="AV281" s="1477"/>
      <c r="AW281" s="1477"/>
      <c r="AX281" s="1477"/>
      <c r="AY281" s="1477"/>
      <c r="AZ281" s="1477"/>
      <c r="BA281" s="1477"/>
      <c r="BB281" s="1477"/>
      <c r="BC281" s="1477"/>
      <c r="BD281" s="1477"/>
      <c r="BE281" s="1477"/>
      <c r="BF281" s="1477"/>
      <c r="BG281" s="1477"/>
      <c r="BH281" s="1477"/>
      <c r="BI281" s="1477"/>
      <c r="BJ281" s="1477"/>
      <c r="BK281" s="1477"/>
      <c r="BL281" s="1477"/>
      <c r="BM281" s="1477"/>
      <c r="BN281" s="1477"/>
      <c r="BO281" s="1477"/>
      <c r="BP281" s="1477"/>
      <c r="BQ281" s="1477"/>
      <c r="BR281" s="1477"/>
      <c r="BS281" s="1477"/>
      <c r="BT281" s="1477"/>
      <c r="BU281" s="1477"/>
      <c r="BV281" s="1477"/>
      <c r="BW281" s="1477"/>
      <c r="BX281" s="1477"/>
      <c r="BY281" s="1477"/>
      <c r="BZ281" s="1477"/>
      <c r="CA281" s="1477"/>
      <c r="CB281" s="1477"/>
      <c r="CC281" s="1477"/>
      <c r="CD281" s="1477"/>
      <c r="CE281" s="1477"/>
      <c r="CF281" s="1477"/>
      <c r="CG281" s="1477"/>
      <c r="CH281" s="1477"/>
    </row>
    <row r="282" spans="2:86">
      <c r="B282" s="1477"/>
      <c r="C282" s="1477"/>
      <c r="D282" s="1477"/>
      <c r="E282" s="1477"/>
      <c r="F282" s="1477"/>
      <c r="G282" s="1477"/>
      <c r="H282" s="1477"/>
      <c r="I282" s="1477"/>
      <c r="J282" s="1477"/>
      <c r="K282" s="1477"/>
      <c r="L282" s="1477"/>
      <c r="M282" s="1477"/>
      <c r="N282" s="1477"/>
      <c r="O282" s="1477"/>
      <c r="P282" s="1477"/>
      <c r="Q282" s="1477"/>
      <c r="R282" s="1477"/>
      <c r="S282" s="1477"/>
      <c r="T282" s="1477"/>
      <c r="U282" s="1477"/>
      <c r="V282" s="1477"/>
      <c r="W282" s="1477"/>
      <c r="X282" s="1477"/>
      <c r="Y282" s="1477"/>
      <c r="Z282" s="1477"/>
      <c r="AA282" s="1477"/>
      <c r="AB282" s="1477"/>
      <c r="AC282" s="1477"/>
      <c r="AD282" s="1477"/>
      <c r="AE282" s="1477"/>
      <c r="AF282" s="1477"/>
      <c r="AG282" s="1477"/>
      <c r="AH282" s="1477"/>
      <c r="AI282" s="1477"/>
      <c r="AJ282" s="1477"/>
      <c r="AK282" s="1477"/>
      <c r="AL282" s="1477"/>
      <c r="AM282" s="1477"/>
      <c r="AN282" s="1477"/>
      <c r="AO282" s="284"/>
      <c r="AP282" s="1477"/>
      <c r="AQ282" s="1477"/>
      <c r="AR282" s="1477"/>
      <c r="AS282" s="1477"/>
      <c r="AT282" s="1477"/>
      <c r="AU282" s="1477"/>
      <c r="AV282" s="1477"/>
      <c r="AW282" s="1477"/>
      <c r="AX282" s="1477"/>
      <c r="AY282" s="1477"/>
      <c r="AZ282" s="1477"/>
      <c r="BA282" s="1477"/>
      <c r="BB282" s="1477"/>
      <c r="BC282" s="1477"/>
      <c r="BD282" s="1477"/>
      <c r="BE282" s="1477"/>
      <c r="BF282" s="1477"/>
      <c r="BG282" s="1477"/>
      <c r="BH282" s="1477"/>
      <c r="BI282" s="1477"/>
      <c r="BJ282" s="1477"/>
      <c r="BK282" s="1477"/>
      <c r="BL282" s="1477"/>
      <c r="BM282" s="1477"/>
      <c r="BN282" s="1477"/>
      <c r="BO282" s="1477"/>
      <c r="BP282" s="1477"/>
      <c r="BQ282" s="1477"/>
      <c r="BR282" s="1477"/>
      <c r="BS282" s="1477"/>
      <c r="BT282" s="1477"/>
      <c r="BU282" s="1477"/>
      <c r="BV282" s="1477"/>
      <c r="BW282" s="1477"/>
      <c r="BX282" s="1477"/>
      <c r="BY282" s="1477"/>
      <c r="BZ282" s="1477"/>
      <c r="CA282" s="1477"/>
      <c r="CB282" s="1477"/>
      <c r="CC282" s="1477"/>
      <c r="CD282" s="1477"/>
      <c r="CE282" s="1477"/>
      <c r="CF282" s="1477"/>
      <c r="CG282" s="1477"/>
      <c r="CH282" s="1477"/>
    </row>
    <row r="283" spans="2:86">
      <c r="B283" s="1477"/>
      <c r="C283" s="1477"/>
      <c r="D283" s="1477"/>
      <c r="E283" s="1477"/>
      <c r="F283" s="1477"/>
      <c r="G283" s="1477"/>
      <c r="H283" s="1477"/>
      <c r="I283" s="1477"/>
      <c r="J283" s="1477"/>
      <c r="K283" s="1477"/>
      <c r="L283" s="1477"/>
      <c r="M283" s="1477"/>
      <c r="N283" s="1477"/>
      <c r="O283" s="1477"/>
      <c r="P283" s="1477"/>
      <c r="Q283" s="1477"/>
      <c r="R283" s="1477"/>
      <c r="S283" s="1477"/>
      <c r="T283" s="1477"/>
      <c r="U283" s="1477"/>
      <c r="V283" s="1477"/>
      <c r="W283" s="1477"/>
      <c r="X283" s="1477"/>
      <c r="Y283" s="1477"/>
      <c r="Z283" s="1477"/>
      <c r="AA283" s="1477"/>
      <c r="AB283" s="1477"/>
      <c r="AC283" s="1477"/>
      <c r="AD283" s="1477"/>
      <c r="AE283" s="1477"/>
      <c r="AF283" s="1477"/>
      <c r="AG283" s="1477"/>
      <c r="AH283" s="1477"/>
      <c r="AI283" s="1477"/>
      <c r="AJ283" s="1477"/>
      <c r="AK283" s="1477"/>
      <c r="AL283" s="1477"/>
      <c r="AM283" s="1477"/>
      <c r="AN283" s="1477"/>
      <c r="AO283" s="284"/>
      <c r="AP283" s="1477"/>
      <c r="AQ283" s="1477"/>
      <c r="AR283" s="1477"/>
      <c r="AS283" s="1477"/>
      <c r="AT283" s="1477"/>
      <c r="AU283" s="1477"/>
      <c r="AV283" s="1477"/>
      <c r="AW283" s="1477"/>
      <c r="AX283" s="1477"/>
      <c r="AY283" s="1477"/>
      <c r="AZ283" s="1477"/>
      <c r="BA283" s="1477"/>
      <c r="BB283" s="1477"/>
      <c r="BC283" s="1477"/>
      <c r="BD283" s="1477"/>
      <c r="BE283" s="1477"/>
      <c r="BF283" s="1477"/>
      <c r="BG283" s="1477"/>
      <c r="BH283" s="1477"/>
      <c r="BI283" s="1477"/>
      <c r="BJ283" s="1477"/>
      <c r="BK283" s="1477"/>
      <c r="BL283" s="1477"/>
      <c r="BM283" s="1477"/>
      <c r="BN283" s="1477"/>
      <c r="BO283" s="1477"/>
      <c r="BP283" s="1477"/>
      <c r="BQ283" s="1477"/>
      <c r="BR283" s="1477"/>
      <c r="BS283" s="1477"/>
      <c r="BT283" s="1477"/>
      <c r="BU283" s="1477"/>
      <c r="BV283" s="1477"/>
      <c r="BW283" s="1477"/>
      <c r="BX283" s="1477"/>
      <c r="BY283" s="1477"/>
      <c r="BZ283" s="1477"/>
      <c r="CA283" s="1477"/>
      <c r="CB283" s="1477"/>
      <c r="CC283" s="1477"/>
      <c r="CD283" s="1477"/>
      <c r="CE283" s="1477"/>
      <c r="CF283" s="1477"/>
      <c r="CG283" s="1477"/>
      <c r="CH283" s="1477"/>
    </row>
    <row r="284" spans="2:86">
      <c r="B284" s="1477"/>
      <c r="C284" s="1477"/>
      <c r="D284" s="1477"/>
      <c r="E284" s="1477"/>
      <c r="F284" s="1477"/>
      <c r="G284" s="1477"/>
      <c r="H284" s="1477"/>
      <c r="I284" s="1477"/>
      <c r="J284" s="1477"/>
      <c r="K284" s="1477"/>
      <c r="L284" s="1477"/>
      <c r="M284" s="1477"/>
      <c r="N284" s="1477"/>
      <c r="O284" s="1477"/>
      <c r="P284" s="1477"/>
      <c r="Q284" s="1477"/>
      <c r="R284" s="1477"/>
      <c r="S284" s="1477"/>
      <c r="T284" s="1477"/>
      <c r="U284" s="1477"/>
      <c r="V284" s="1477"/>
      <c r="W284" s="1477"/>
      <c r="X284" s="1477"/>
      <c r="Y284" s="1477"/>
      <c r="Z284" s="1477"/>
      <c r="AA284" s="1477"/>
      <c r="AB284" s="1477"/>
      <c r="AC284" s="1477"/>
      <c r="AD284" s="1477"/>
      <c r="AE284" s="1477"/>
      <c r="AF284" s="1477"/>
      <c r="AG284" s="1477"/>
      <c r="AH284" s="1477"/>
      <c r="AI284" s="1477"/>
      <c r="AJ284" s="1477"/>
      <c r="AK284" s="1477"/>
      <c r="AL284" s="1477"/>
      <c r="AM284" s="1477"/>
      <c r="AN284" s="1477"/>
      <c r="AO284" s="284"/>
      <c r="AP284" s="1477"/>
      <c r="AQ284" s="1477"/>
      <c r="AR284" s="1477"/>
      <c r="AS284" s="1477"/>
      <c r="AT284" s="1477"/>
      <c r="AU284" s="1477"/>
      <c r="AV284" s="1477"/>
      <c r="AW284" s="1477"/>
      <c r="AX284" s="1477"/>
      <c r="AY284" s="1477"/>
      <c r="AZ284" s="1477"/>
      <c r="BA284" s="1477"/>
      <c r="BB284" s="1477"/>
      <c r="BC284" s="1477"/>
      <c r="BD284" s="1477"/>
      <c r="BE284" s="1477"/>
      <c r="BF284" s="1477"/>
      <c r="BG284" s="1477"/>
      <c r="BH284" s="1477"/>
      <c r="BI284" s="1477"/>
      <c r="BJ284" s="1477"/>
      <c r="BK284" s="1477"/>
      <c r="BL284" s="1477"/>
      <c r="BM284" s="1477"/>
      <c r="BN284" s="1477"/>
      <c r="BO284" s="1477"/>
      <c r="BP284" s="1477"/>
      <c r="BQ284" s="1477"/>
      <c r="BR284" s="1477"/>
      <c r="BS284" s="1477"/>
      <c r="BT284" s="1477"/>
      <c r="BU284" s="1477"/>
      <c r="BV284" s="1477"/>
      <c r="BW284" s="1477"/>
      <c r="BX284" s="1477"/>
      <c r="BY284" s="1477"/>
      <c r="BZ284" s="1477"/>
      <c r="CA284" s="1477"/>
      <c r="CB284" s="1477"/>
      <c r="CC284" s="1477"/>
      <c r="CD284" s="1477"/>
      <c r="CE284" s="1477"/>
      <c r="CF284" s="1477"/>
      <c r="CG284" s="1477"/>
      <c r="CH284" s="1477"/>
    </row>
    <row r="285" spans="2:86">
      <c r="B285" s="1477"/>
      <c r="C285" s="1477"/>
      <c r="D285" s="1477"/>
      <c r="E285" s="1477"/>
      <c r="F285" s="1477"/>
      <c r="G285" s="1477"/>
      <c r="H285" s="1477"/>
      <c r="I285" s="1477"/>
      <c r="J285" s="1477"/>
      <c r="K285" s="1477"/>
      <c r="L285" s="1477"/>
      <c r="M285" s="1477"/>
      <c r="N285" s="1477"/>
      <c r="O285" s="1477"/>
      <c r="P285" s="1477"/>
      <c r="Q285" s="1477"/>
      <c r="R285" s="1477"/>
      <c r="S285" s="1477"/>
      <c r="T285" s="1477"/>
      <c r="U285" s="1477"/>
      <c r="V285" s="1477"/>
      <c r="W285" s="1477"/>
      <c r="X285" s="1477"/>
      <c r="Y285" s="1477"/>
      <c r="Z285" s="1477"/>
      <c r="AA285" s="1477"/>
      <c r="AB285" s="1477"/>
      <c r="AC285" s="1477"/>
      <c r="AD285" s="1477"/>
      <c r="AE285" s="1477"/>
      <c r="AF285" s="1477"/>
      <c r="AG285" s="1477"/>
      <c r="AH285" s="1477"/>
      <c r="AI285" s="1477"/>
      <c r="AJ285" s="1477"/>
      <c r="AK285" s="1477"/>
      <c r="AL285" s="1477"/>
      <c r="AM285" s="1477"/>
      <c r="AN285" s="1477"/>
      <c r="AO285" s="284"/>
      <c r="AP285" s="1477"/>
      <c r="AQ285" s="1477"/>
      <c r="AR285" s="1477"/>
      <c r="AS285" s="1477"/>
      <c r="AT285" s="1477"/>
      <c r="AU285" s="1477"/>
      <c r="AV285" s="1477"/>
      <c r="AW285" s="1477"/>
      <c r="AX285" s="1477"/>
      <c r="AY285" s="1477"/>
      <c r="AZ285" s="1477"/>
      <c r="BA285" s="1477"/>
      <c r="BB285" s="1477"/>
      <c r="BC285" s="1477"/>
      <c r="BD285" s="1477"/>
      <c r="BE285" s="1477"/>
      <c r="BF285" s="1477"/>
      <c r="BG285" s="1477"/>
      <c r="BH285" s="1477"/>
      <c r="BI285" s="1477"/>
      <c r="BJ285" s="1477"/>
      <c r="BK285" s="1477"/>
      <c r="BL285" s="1477"/>
      <c r="BM285" s="1477"/>
      <c r="BN285" s="1477"/>
      <c r="BO285" s="1477"/>
      <c r="BP285" s="1477"/>
      <c r="BQ285" s="1477"/>
      <c r="BR285" s="1477"/>
      <c r="BS285" s="1477"/>
      <c r="BT285" s="1477"/>
      <c r="BU285" s="1477"/>
      <c r="BV285" s="1477"/>
      <c r="BW285" s="1477"/>
      <c r="BX285" s="1477"/>
      <c r="BY285" s="1477"/>
      <c r="BZ285" s="1477"/>
      <c r="CA285" s="1477"/>
      <c r="CB285" s="1477"/>
      <c r="CC285" s="1477"/>
      <c r="CD285" s="1477"/>
      <c r="CE285" s="1477"/>
      <c r="CF285" s="1477"/>
      <c r="CG285" s="1477"/>
      <c r="CH285" s="1477"/>
    </row>
    <row r="286" spans="2:86">
      <c r="B286" s="1477"/>
      <c r="C286" s="1477"/>
      <c r="D286" s="1477"/>
      <c r="E286" s="1477"/>
      <c r="F286" s="1477"/>
      <c r="G286" s="1477"/>
      <c r="H286" s="1477"/>
      <c r="I286" s="1477"/>
      <c r="J286" s="1477"/>
      <c r="K286" s="1477"/>
      <c r="L286" s="1477"/>
      <c r="M286" s="1477"/>
      <c r="N286" s="1477"/>
      <c r="O286" s="1477"/>
      <c r="P286" s="1477"/>
      <c r="Q286" s="1477"/>
      <c r="R286" s="1477"/>
      <c r="S286" s="1477"/>
      <c r="T286" s="1477"/>
      <c r="U286" s="1477"/>
      <c r="V286" s="1477"/>
      <c r="W286" s="1477"/>
      <c r="X286" s="1477"/>
      <c r="Y286" s="1477"/>
      <c r="Z286" s="1477"/>
      <c r="AA286" s="1477"/>
      <c r="AB286" s="1477"/>
      <c r="AC286" s="1477"/>
      <c r="AD286" s="1477"/>
      <c r="AE286" s="1477"/>
      <c r="AF286" s="1477"/>
      <c r="AG286" s="1477"/>
      <c r="AH286" s="1477"/>
      <c r="AI286" s="1477"/>
      <c r="AJ286" s="1477"/>
      <c r="AK286" s="1477"/>
      <c r="AL286" s="1477"/>
      <c r="AM286" s="1477"/>
      <c r="AN286" s="1477"/>
      <c r="AO286" s="284"/>
      <c r="AP286" s="1477"/>
      <c r="AQ286" s="1477"/>
      <c r="AR286" s="1477"/>
      <c r="AS286" s="1477"/>
      <c r="AT286" s="1477"/>
      <c r="AU286" s="1477"/>
      <c r="AV286" s="1477"/>
      <c r="AW286" s="1477"/>
      <c r="AX286" s="1477"/>
      <c r="AY286" s="1477"/>
      <c r="AZ286" s="1477"/>
      <c r="BA286" s="1477"/>
      <c r="BB286" s="1477"/>
      <c r="BC286" s="1477"/>
      <c r="BD286" s="1477"/>
      <c r="BE286" s="1477"/>
      <c r="BF286" s="1477"/>
      <c r="BG286" s="1477"/>
      <c r="BH286" s="1477"/>
      <c r="BI286" s="1477"/>
      <c r="BJ286" s="1477"/>
      <c r="BK286" s="1477"/>
      <c r="BL286" s="1477"/>
      <c r="BM286" s="1477"/>
      <c r="BN286" s="1477"/>
      <c r="BO286" s="1477"/>
      <c r="BP286" s="1477"/>
      <c r="BQ286" s="1477"/>
      <c r="BR286" s="1477"/>
      <c r="BS286" s="1477"/>
      <c r="BT286" s="1477"/>
      <c r="BU286" s="1477"/>
      <c r="BV286" s="1477"/>
      <c r="BW286" s="1477"/>
      <c r="BX286" s="1477"/>
      <c r="BY286" s="1477"/>
      <c r="BZ286" s="1477"/>
      <c r="CA286" s="1477"/>
      <c r="CB286" s="1477"/>
      <c r="CC286" s="1477"/>
      <c r="CD286" s="1477"/>
      <c r="CE286" s="1477"/>
      <c r="CF286" s="1477"/>
      <c r="CG286" s="1477"/>
      <c r="CH286" s="1477"/>
    </row>
    <row r="287" spans="2:86">
      <c r="B287" s="1477"/>
      <c r="C287" s="1477"/>
      <c r="D287" s="1477"/>
      <c r="E287" s="1477"/>
      <c r="F287" s="1477"/>
      <c r="G287" s="1477"/>
      <c r="H287" s="1477"/>
      <c r="I287" s="1477"/>
      <c r="J287" s="1477"/>
      <c r="K287" s="1477"/>
      <c r="L287" s="1477"/>
      <c r="M287" s="1477"/>
      <c r="N287" s="1477"/>
      <c r="O287" s="1477"/>
      <c r="P287" s="1477"/>
      <c r="Q287" s="1477"/>
      <c r="R287" s="1477"/>
      <c r="S287" s="1477"/>
      <c r="T287" s="1477"/>
      <c r="U287" s="1477"/>
      <c r="V287" s="1477"/>
      <c r="W287" s="1477"/>
      <c r="X287" s="1477"/>
      <c r="Y287" s="1477"/>
      <c r="Z287" s="1477"/>
      <c r="AA287" s="1477"/>
      <c r="AB287" s="1477"/>
      <c r="AC287" s="1477"/>
      <c r="AD287" s="1477"/>
      <c r="AE287" s="1477"/>
      <c r="AF287" s="1477"/>
      <c r="AG287" s="1477"/>
      <c r="AH287" s="1477"/>
      <c r="AI287" s="1477"/>
      <c r="AJ287" s="1477"/>
      <c r="AK287" s="1477"/>
      <c r="AL287" s="1477"/>
      <c r="AM287" s="1477"/>
      <c r="AN287" s="1477"/>
      <c r="AO287" s="284"/>
      <c r="AP287" s="1477"/>
      <c r="AQ287" s="1477"/>
      <c r="AR287" s="1477"/>
      <c r="AS287" s="1477"/>
      <c r="AT287" s="1477"/>
      <c r="AU287" s="1477"/>
      <c r="AV287" s="1477"/>
      <c r="AW287" s="1477"/>
      <c r="AX287" s="1477"/>
      <c r="AY287" s="1477"/>
      <c r="AZ287" s="1477"/>
      <c r="BA287" s="1477"/>
      <c r="BB287" s="1477"/>
      <c r="BC287" s="1477"/>
      <c r="BD287" s="1477"/>
      <c r="BE287" s="1477"/>
      <c r="BF287" s="1477"/>
      <c r="BG287" s="1477"/>
      <c r="BH287" s="1477"/>
      <c r="BI287" s="1477"/>
      <c r="BJ287" s="1477"/>
      <c r="BK287" s="1477"/>
      <c r="BL287" s="1477"/>
      <c r="BM287" s="1477"/>
      <c r="BN287" s="1477"/>
      <c r="BO287" s="1477"/>
      <c r="BP287" s="1477"/>
      <c r="BQ287" s="1477"/>
      <c r="BR287" s="1477"/>
      <c r="BS287" s="1477"/>
      <c r="BT287" s="1477"/>
      <c r="BU287" s="1477"/>
      <c r="BV287" s="1477"/>
      <c r="BW287" s="1477"/>
      <c r="BX287" s="1477"/>
      <c r="BY287" s="1477"/>
      <c r="BZ287" s="1477"/>
      <c r="CA287" s="1477"/>
      <c r="CB287" s="1477"/>
      <c r="CC287" s="1477"/>
      <c r="CD287" s="1477"/>
      <c r="CE287" s="1477"/>
      <c r="CF287" s="1477"/>
      <c r="CG287" s="1477"/>
      <c r="CH287" s="1477"/>
    </row>
    <row r="288" spans="2:86">
      <c r="B288" s="1477"/>
      <c r="C288" s="1477"/>
      <c r="D288" s="1477"/>
      <c r="E288" s="1477"/>
      <c r="F288" s="1477"/>
      <c r="G288" s="1477"/>
      <c r="H288" s="1477"/>
      <c r="I288" s="1477"/>
      <c r="J288" s="1477"/>
      <c r="K288" s="1477"/>
      <c r="L288" s="1477"/>
      <c r="M288" s="1477"/>
      <c r="N288" s="1477"/>
      <c r="O288" s="1477"/>
      <c r="P288" s="1477"/>
      <c r="Q288" s="1477"/>
      <c r="R288" s="1477"/>
      <c r="S288" s="1477"/>
      <c r="T288" s="1477"/>
      <c r="U288" s="1477"/>
      <c r="V288" s="1477"/>
      <c r="W288" s="1477"/>
      <c r="X288" s="1477"/>
      <c r="Y288" s="1477"/>
      <c r="Z288" s="1477"/>
      <c r="AA288" s="1477"/>
      <c r="AB288" s="1477"/>
      <c r="AC288" s="1477"/>
      <c r="AD288" s="1477"/>
      <c r="AE288" s="1477"/>
      <c r="AF288" s="1477"/>
      <c r="AG288" s="1477"/>
      <c r="AH288" s="1477"/>
      <c r="AI288" s="1477"/>
      <c r="AJ288" s="1477"/>
      <c r="AK288" s="1477"/>
      <c r="AL288" s="1477"/>
      <c r="AM288" s="1477"/>
      <c r="AN288" s="1477"/>
      <c r="AO288" s="284"/>
      <c r="AP288" s="1477"/>
      <c r="AQ288" s="1477"/>
      <c r="AR288" s="1477"/>
      <c r="AS288" s="1477"/>
      <c r="AT288" s="1477"/>
      <c r="AU288" s="1477"/>
      <c r="AV288" s="1477"/>
      <c r="AW288" s="1477"/>
      <c r="AX288" s="1477"/>
      <c r="AY288" s="1477"/>
      <c r="AZ288" s="1477"/>
      <c r="BA288" s="1477"/>
      <c r="BB288" s="1477"/>
      <c r="BC288" s="1477"/>
      <c r="BD288" s="1477"/>
      <c r="BE288" s="1477"/>
      <c r="BF288" s="1477"/>
      <c r="BG288" s="1477"/>
      <c r="BH288" s="1477"/>
      <c r="BI288" s="1477"/>
      <c r="BJ288" s="1477"/>
      <c r="BK288" s="1477"/>
      <c r="BL288" s="1477"/>
      <c r="BM288" s="1477"/>
      <c r="BN288" s="1477"/>
      <c r="BO288" s="1477"/>
      <c r="BP288" s="1477"/>
      <c r="BQ288" s="1477"/>
      <c r="BR288" s="1477"/>
      <c r="BS288" s="1477"/>
      <c r="BT288" s="1477"/>
      <c r="BU288" s="1477"/>
      <c r="BV288" s="1477"/>
      <c r="BW288" s="1477"/>
      <c r="BX288" s="1477"/>
      <c r="BY288" s="1477"/>
      <c r="BZ288" s="1477"/>
      <c r="CA288" s="1477"/>
      <c r="CB288" s="1477"/>
      <c r="CC288" s="1477"/>
      <c r="CD288" s="1477"/>
      <c r="CE288" s="1477"/>
      <c r="CF288" s="1477"/>
      <c r="CG288" s="1477"/>
      <c r="CH288" s="1477"/>
    </row>
    <row r="289" spans="2:86">
      <c r="B289" s="1477"/>
      <c r="C289" s="1477"/>
      <c r="D289" s="1477"/>
      <c r="E289" s="1477"/>
      <c r="F289" s="1477"/>
      <c r="G289" s="1477"/>
      <c r="H289" s="1477"/>
      <c r="I289" s="1477"/>
      <c r="J289" s="1477"/>
      <c r="K289" s="1477"/>
      <c r="L289" s="1477"/>
      <c r="M289" s="1477"/>
      <c r="N289" s="1477"/>
      <c r="O289" s="1477"/>
      <c r="P289" s="1477"/>
      <c r="Q289" s="1477"/>
      <c r="R289" s="1477"/>
      <c r="S289" s="1477"/>
      <c r="T289" s="1477"/>
      <c r="U289" s="1477"/>
      <c r="V289" s="1477"/>
      <c r="W289" s="1477"/>
      <c r="X289" s="1477"/>
      <c r="Y289" s="1477"/>
      <c r="Z289" s="1477"/>
      <c r="AA289" s="1477"/>
      <c r="AB289" s="1477"/>
      <c r="AC289" s="1477"/>
      <c r="AD289" s="1477"/>
      <c r="AE289" s="1477"/>
      <c r="AF289" s="1477"/>
      <c r="AG289" s="1477"/>
      <c r="AH289" s="1477"/>
      <c r="AI289" s="1477"/>
      <c r="AJ289" s="1477"/>
      <c r="AK289" s="1477"/>
      <c r="AL289" s="1477"/>
      <c r="AM289" s="1477"/>
      <c r="AN289" s="1477"/>
      <c r="AO289" s="284"/>
      <c r="AP289" s="1477"/>
      <c r="AQ289" s="1477"/>
      <c r="AR289" s="1477"/>
      <c r="AS289" s="1477"/>
      <c r="AT289" s="1477"/>
      <c r="AU289" s="1477"/>
      <c r="AV289" s="1477"/>
      <c r="AW289" s="1477"/>
      <c r="AX289" s="1477"/>
      <c r="AY289" s="1477"/>
      <c r="AZ289" s="1477"/>
      <c r="BA289" s="1477"/>
      <c r="BB289" s="1477"/>
      <c r="BC289" s="1477"/>
      <c r="BD289" s="1477"/>
      <c r="BE289" s="1477"/>
      <c r="BF289" s="1477"/>
      <c r="BG289" s="1477"/>
      <c r="BH289" s="1477"/>
      <c r="BI289" s="1477"/>
      <c r="BJ289" s="1477"/>
      <c r="BK289" s="1477"/>
      <c r="BL289" s="1477"/>
      <c r="BM289" s="1477"/>
      <c r="BN289" s="1477"/>
      <c r="BO289" s="1477"/>
      <c r="BP289" s="1477"/>
      <c r="BQ289" s="1477"/>
      <c r="BR289" s="1477"/>
      <c r="BS289" s="1477"/>
      <c r="BT289" s="1477"/>
      <c r="BU289" s="1477"/>
      <c r="BV289" s="1477"/>
      <c r="BW289" s="1477"/>
      <c r="BX289" s="1477"/>
      <c r="BY289" s="1477"/>
      <c r="BZ289" s="1477"/>
      <c r="CA289" s="1477"/>
      <c r="CB289" s="1477"/>
      <c r="CC289" s="1477"/>
      <c r="CD289" s="1477"/>
      <c r="CE289" s="1477"/>
      <c r="CF289" s="1477"/>
      <c r="CG289" s="1477"/>
      <c r="CH289" s="1477"/>
    </row>
    <row r="290" spans="2:86">
      <c r="B290" s="1477"/>
      <c r="C290" s="1477"/>
      <c r="D290" s="1477"/>
      <c r="E290" s="1477"/>
      <c r="F290" s="1477"/>
      <c r="G290" s="1477"/>
      <c r="H290" s="1477"/>
      <c r="I290" s="1477"/>
      <c r="J290" s="1477"/>
      <c r="K290" s="1477"/>
      <c r="L290" s="1477"/>
      <c r="M290" s="1477"/>
      <c r="N290" s="1477"/>
      <c r="O290" s="1477"/>
      <c r="P290" s="1477"/>
      <c r="Q290" s="1477"/>
      <c r="R290" s="1477"/>
      <c r="S290" s="1477"/>
      <c r="T290" s="1477"/>
      <c r="U290" s="1477"/>
      <c r="V290" s="1477"/>
      <c r="W290" s="1477"/>
      <c r="X290" s="1477"/>
      <c r="Y290" s="1477"/>
      <c r="Z290" s="1477"/>
      <c r="AA290" s="1477"/>
      <c r="AB290" s="1477"/>
      <c r="AC290" s="1477"/>
      <c r="AD290" s="1477"/>
      <c r="AE290" s="1477"/>
      <c r="AF290" s="1477"/>
      <c r="AG290" s="1477"/>
      <c r="AH290" s="1477"/>
      <c r="AI290" s="1477"/>
      <c r="AJ290" s="1477"/>
      <c r="AK290" s="1477"/>
      <c r="AL290" s="1477"/>
      <c r="AM290" s="1477"/>
      <c r="AN290" s="1477"/>
      <c r="AO290" s="284"/>
      <c r="AP290" s="1477"/>
      <c r="AQ290" s="1477"/>
      <c r="AR290" s="1477"/>
      <c r="AS290" s="1477"/>
      <c r="AT290" s="1477"/>
      <c r="AU290" s="1477"/>
      <c r="AV290" s="1477"/>
      <c r="AW290" s="1477"/>
      <c r="AX290" s="1477"/>
      <c r="AY290" s="1477"/>
      <c r="AZ290" s="1477"/>
      <c r="BA290" s="1477"/>
      <c r="BB290" s="1477"/>
      <c r="BC290" s="1477"/>
      <c r="BD290" s="1477"/>
      <c r="BE290" s="1477"/>
      <c r="BF290" s="1477"/>
      <c r="BG290" s="1477"/>
      <c r="BH290" s="1477"/>
      <c r="BI290" s="1477"/>
      <c r="BJ290" s="1477"/>
      <c r="BK290" s="1477"/>
      <c r="BL290" s="1477"/>
      <c r="BM290" s="1477"/>
      <c r="BN290" s="1477"/>
      <c r="BO290" s="1477"/>
      <c r="BP290" s="1477"/>
      <c r="BQ290" s="1477"/>
      <c r="BR290" s="1477"/>
      <c r="BS290" s="1477"/>
      <c r="BT290" s="1477"/>
      <c r="BU290" s="1477"/>
      <c r="BV290" s="1477"/>
      <c r="BW290" s="1477"/>
      <c r="BX290" s="1477"/>
      <c r="BY290" s="1477"/>
      <c r="BZ290" s="1477"/>
      <c r="CA290" s="1477"/>
      <c r="CB290" s="1477"/>
      <c r="CC290" s="1477"/>
      <c r="CD290" s="1477"/>
      <c r="CE290" s="1477"/>
      <c r="CF290" s="1477"/>
      <c r="CG290" s="1477"/>
      <c r="CH290" s="1477"/>
    </row>
    <row r="291" spans="2:86">
      <c r="B291" s="1477"/>
      <c r="C291" s="1477"/>
      <c r="D291" s="1477"/>
      <c r="E291" s="1477"/>
      <c r="F291" s="1477"/>
      <c r="G291" s="1477"/>
      <c r="H291" s="1477"/>
      <c r="I291" s="1477"/>
      <c r="J291" s="1477"/>
      <c r="K291" s="1477"/>
      <c r="L291" s="1477"/>
      <c r="M291" s="1477"/>
      <c r="N291" s="1477"/>
      <c r="O291" s="1477"/>
      <c r="P291" s="1477"/>
      <c r="Q291" s="1477"/>
      <c r="R291" s="1477"/>
      <c r="S291" s="1477"/>
      <c r="T291" s="1477"/>
      <c r="U291" s="1477"/>
      <c r="V291" s="1477"/>
      <c r="W291" s="1477"/>
      <c r="X291" s="1477"/>
      <c r="Y291" s="1477"/>
      <c r="Z291" s="1477"/>
      <c r="AA291" s="1477"/>
      <c r="AB291" s="1477"/>
      <c r="AC291" s="1477"/>
      <c r="AD291" s="1477"/>
      <c r="AE291" s="1477"/>
      <c r="AF291" s="1477"/>
      <c r="AG291" s="1477"/>
      <c r="AH291" s="1477"/>
      <c r="AI291" s="1477"/>
      <c r="AJ291" s="1477"/>
      <c r="AK291" s="1477"/>
      <c r="AL291" s="1477"/>
      <c r="AM291" s="1477"/>
      <c r="AN291" s="1477"/>
      <c r="AO291" s="284"/>
      <c r="AP291" s="1477"/>
      <c r="AQ291" s="1477"/>
      <c r="AR291" s="1477"/>
      <c r="AS291" s="1477"/>
      <c r="AT291" s="1477"/>
      <c r="AU291" s="1477"/>
      <c r="AV291" s="1477"/>
      <c r="AW291" s="1477"/>
      <c r="AX291" s="1477"/>
      <c r="AY291" s="1477"/>
      <c r="AZ291" s="1477"/>
      <c r="BA291" s="1477"/>
      <c r="BB291" s="1477"/>
      <c r="BC291" s="1477"/>
      <c r="BD291" s="1477"/>
      <c r="BE291" s="1477"/>
      <c r="BF291" s="1477"/>
      <c r="BG291" s="1477"/>
      <c r="BH291" s="1477"/>
      <c r="BI291" s="1477"/>
      <c r="BJ291" s="1477"/>
      <c r="BK291" s="1477"/>
      <c r="BL291" s="1477"/>
      <c r="BM291" s="1477"/>
      <c r="BN291" s="1477"/>
      <c r="BO291" s="1477"/>
      <c r="BP291" s="1477"/>
      <c r="BQ291" s="1477"/>
      <c r="BR291" s="1477"/>
      <c r="BS291" s="1477"/>
      <c r="BT291" s="1477"/>
      <c r="BU291" s="1477"/>
      <c r="BV291" s="1477"/>
      <c r="BW291" s="1477"/>
      <c r="BX291" s="1477"/>
      <c r="BY291" s="1477"/>
      <c r="BZ291" s="1477"/>
      <c r="CA291" s="1477"/>
      <c r="CB291" s="1477"/>
      <c r="CC291" s="1477"/>
      <c r="CD291" s="1477"/>
      <c r="CE291" s="1477"/>
      <c r="CF291" s="1477"/>
      <c r="CG291" s="1477"/>
      <c r="CH291" s="1477"/>
    </row>
    <row r="292" spans="2:86">
      <c r="B292" s="1477"/>
      <c r="C292" s="1477"/>
      <c r="D292" s="1477"/>
      <c r="E292" s="1477"/>
      <c r="F292" s="1477"/>
      <c r="G292" s="1477"/>
      <c r="H292" s="1477"/>
      <c r="I292" s="1477"/>
      <c r="J292" s="1477"/>
      <c r="K292" s="1477"/>
      <c r="L292" s="1477"/>
      <c r="M292" s="1477"/>
      <c r="N292" s="1477"/>
      <c r="O292" s="1477"/>
      <c r="P292" s="1477"/>
      <c r="Q292" s="1477"/>
      <c r="R292" s="1477"/>
      <c r="S292" s="1477"/>
      <c r="T292" s="1477"/>
      <c r="U292" s="1477"/>
      <c r="V292" s="1477"/>
      <c r="W292" s="1477"/>
      <c r="X292" s="1477"/>
      <c r="Y292" s="1477"/>
      <c r="Z292" s="1477"/>
      <c r="AA292" s="1477"/>
      <c r="AB292" s="1477"/>
      <c r="AC292" s="1477"/>
      <c r="AD292" s="1477"/>
      <c r="AE292" s="1477"/>
      <c r="AF292" s="1477"/>
      <c r="AG292" s="1477"/>
      <c r="AH292" s="1477"/>
      <c r="AI292" s="1477"/>
      <c r="AJ292" s="1477"/>
      <c r="AK292" s="1477"/>
      <c r="AL292" s="1477"/>
      <c r="AM292" s="1477"/>
      <c r="AN292" s="1477"/>
      <c r="AO292" s="284"/>
      <c r="AP292" s="1477"/>
      <c r="AQ292" s="1477"/>
      <c r="AR292" s="1477"/>
      <c r="AS292" s="1477"/>
      <c r="AT292" s="1477"/>
      <c r="AU292" s="1477"/>
      <c r="AV292" s="1477"/>
      <c r="AW292" s="1477"/>
      <c r="AX292" s="1477"/>
      <c r="AY292" s="1477"/>
      <c r="AZ292" s="1477"/>
      <c r="BA292" s="1477"/>
      <c r="BB292" s="1477"/>
      <c r="BC292" s="1477"/>
      <c r="BD292" s="1477"/>
      <c r="BE292" s="1477"/>
      <c r="BF292" s="1477"/>
      <c r="BG292" s="1477"/>
      <c r="BH292" s="1477"/>
      <c r="BI292" s="1477"/>
      <c r="BJ292" s="1477"/>
      <c r="BK292" s="1477"/>
      <c r="BL292" s="1477"/>
      <c r="BM292" s="1477"/>
      <c r="BN292" s="1477"/>
      <c r="BO292" s="1477"/>
      <c r="BP292" s="1477"/>
      <c r="BQ292" s="1477"/>
      <c r="BR292" s="1477"/>
      <c r="BS292" s="1477"/>
      <c r="BT292" s="1477"/>
      <c r="BU292" s="1477"/>
      <c r="BV292" s="1477"/>
      <c r="BW292" s="1477"/>
      <c r="BX292" s="1477"/>
      <c r="BY292" s="1477"/>
      <c r="BZ292" s="1477"/>
      <c r="CA292" s="1477"/>
      <c r="CB292" s="1477"/>
      <c r="CC292" s="1477"/>
      <c r="CD292" s="1477"/>
      <c r="CE292" s="1477"/>
      <c r="CF292" s="1477"/>
      <c r="CG292" s="1477"/>
      <c r="CH292" s="1477"/>
    </row>
    <row r="293" spans="2:86">
      <c r="B293" s="1477"/>
      <c r="C293" s="1477"/>
      <c r="D293" s="1477"/>
      <c r="E293" s="1477"/>
      <c r="F293" s="1477"/>
      <c r="G293" s="1477"/>
      <c r="H293" s="1477"/>
      <c r="I293" s="1477"/>
      <c r="J293" s="1477"/>
      <c r="K293" s="1477"/>
      <c r="L293" s="1477"/>
      <c r="M293" s="1477"/>
      <c r="N293" s="1477"/>
      <c r="O293" s="1477"/>
      <c r="P293" s="1477"/>
      <c r="Q293" s="1477"/>
      <c r="R293" s="1477"/>
      <c r="S293" s="1477"/>
      <c r="T293" s="1477"/>
      <c r="U293" s="1477"/>
      <c r="V293" s="1477"/>
      <c r="W293" s="1477"/>
      <c r="X293" s="1477"/>
      <c r="Y293" s="1477"/>
      <c r="Z293" s="1477"/>
      <c r="AA293" s="1477"/>
      <c r="AB293" s="1477"/>
      <c r="AC293" s="1477"/>
      <c r="AD293" s="1477"/>
      <c r="AE293" s="1477"/>
      <c r="AF293" s="1477"/>
      <c r="AG293" s="1477"/>
      <c r="AH293" s="1477"/>
      <c r="AI293" s="1477"/>
      <c r="AJ293" s="1477"/>
      <c r="AK293" s="1477"/>
      <c r="AL293" s="1477"/>
      <c r="AM293" s="1477"/>
      <c r="AN293" s="1477"/>
      <c r="AO293" s="284"/>
      <c r="AP293" s="1477"/>
      <c r="AQ293" s="1477"/>
      <c r="AR293" s="1477"/>
      <c r="AS293" s="1477"/>
      <c r="AT293" s="1477"/>
      <c r="AU293" s="1477"/>
      <c r="AV293" s="1477"/>
      <c r="AW293" s="1477"/>
      <c r="AX293" s="1477"/>
      <c r="AY293" s="1477"/>
      <c r="AZ293" s="1477"/>
      <c r="BA293" s="1477"/>
      <c r="BB293" s="1477"/>
      <c r="BC293" s="1477"/>
      <c r="BD293" s="1477"/>
      <c r="BE293" s="1477"/>
      <c r="BF293" s="1477"/>
      <c r="BG293" s="1477"/>
      <c r="BH293" s="1477"/>
      <c r="BI293" s="1477"/>
      <c r="BJ293" s="1477"/>
      <c r="BK293" s="1477"/>
      <c r="BL293" s="1477"/>
      <c r="BM293" s="1477"/>
      <c r="BN293" s="1477"/>
      <c r="BO293" s="1477"/>
      <c r="BP293" s="1477"/>
      <c r="BQ293" s="1477"/>
      <c r="BR293" s="1477"/>
      <c r="BS293" s="1477"/>
      <c r="BT293" s="1477"/>
      <c r="BU293" s="1477"/>
      <c r="BV293" s="1477"/>
      <c r="BW293" s="1477"/>
      <c r="BX293" s="1477"/>
      <c r="BY293" s="1477"/>
      <c r="BZ293" s="1477"/>
      <c r="CA293" s="1477"/>
      <c r="CB293" s="1477"/>
      <c r="CC293" s="1477"/>
      <c r="CD293" s="1477"/>
      <c r="CE293" s="1477"/>
      <c r="CF293" s="1477"/>
      <c r="CG293" s="1477"/>
      <c r="CH293" s="1477"/>
    </row>
    <row r="294" spans="2:86">
      <c r="B294" s="1477"/>
      <c r="C294" s="1477"/>
      <c r="D294" s="1477"/>
      <c r="E294" s="1477"/>
      <c r="F294" s="1477"/>
      <c r="G294" s="1477"/>
      <c r="H294" s="1477"/>
      <c r="I294" s="1477"/>
      <c r="J294" s="1477"/>
      <c r="K294" s="1477"/>
      <c r="L294" s="1477"/>
      <c r="M294" s="1477"/>
      <c r="N294" s="1477"/>
      <c r="O294" s="1477"/>
      <c r="P294" s="1477"/>
      <c r="Q294" s="1477"/>
      <c r="R294" s="1477"/>
      <c r="S294" s="1477"/>
      <c r="T294" s="1477"/>
      <c r="U294" s="1477"/>
      <c r="V294" s="1477"/>
      <c r="W294" s="1477"/>
      <c r="X294" s="1477"/>
      <c r="Y294" s="1477"/>
      <c r="Z294" s="1477"/>
      <c r="AA294" s="1477"/>
      <c r="AB294" s="1477"/>
      <c r="AC294" s="1477"/>
      <c r="AD294" s="1477"/>
      <c r="AE294" s="1477"/>
      <c r="AF294" s="1477"/>
      <c r="AG294" s="1477"/>
      <c r="AH294" s="1477"/>
      <c r="AI294" s="1477"/>
      <c r="AJ294" s="1477"/>
      <c r="AK294" s="1477"/>
      <c r="AL294" s="1477"/>
      <c r="AM294" s="1477"/>
      <c r="AN294" s="1477"/>
      <c r="AO294" s="284"/>
      <c r="AP294" s="1477"/>
      <c r="AQ294" s="1477"/>
      <c r="AR294" s="1477"/>
      <c r="AS294" s="1477"/>
      <c r="AT294" s="1477"/>
      <c r="AU294" s="1477"/>
      <c r="AV294" s="1477"/>
      <c r="AW294" s="1477"/>
      <c r="AX294" s="1477"/>
      <c r="AY294" s="1477"/>
      <c r="AZ294" s="1477"/>
      <c r="BA294" s="1477"/>
      <c r="BB294" s="1477"/>
      <c r="BC294" s="1477"/>
      <c r="BD294" s="1477"/>
      <c r="BE294" s="1477"/>
      <c r="BF294" s="1477"/>
      <c r="BG294" s="1477"/>
      <c r="BH294" s="1477"/>
      <c r="BI294" s="1477"/>
      <c r="BJ294" s="1477"/>
      <c r="BK294" s="1477"/>
      <c r="BL294" s="1477"/>
      <c r="BM294" s="1477"/>
      <c r="BN294" s="1477"/>
      <c r="BO294" s="1477"/>
      <c r="BP294" s="1477"/>
      <c r="BQ294" s="1477"/>
      <c r="BR294" s="1477"/>
      <c r="BS294" s="1477"/>
      <c r="BT294" s="1477"/>
      <c r="BU294" s="1477"/>
      <c r="BV294" s="1477"/>
      <c r="BW294" s="1477"/>
      <c r="BX294" s="1477"/>
      <c r="BY294" s="1477"/>
      <c r="BZ294" s="1477"/>
      <c r="CA294" s="1477"/>
      <c r="CB294" s="1477"/>
      <c r="CC294" s="1477"/>
      <c r="CD294" s="1477"/>
      <c r="CE294" s="1477"/>
      <c r="CF294" s="1477"/>
      <c r="CG294" s="1477"/>
      <c r="CH294" s="1477"/>
    </row>
    <row r="295" spans="2:86">
      <c r="B295" s="1477"/>
      <c r="C295" s="1477"/>
      <c r="D295" s="1477"/>
      <c r="E295" s="1477"/>
      <c r="F295" s="1477"/>
      <c r="G295" s="1477"/>
      <c r="H295" s="1477"/>
      <c r="I295" s="1477"/>
      <c r="J295" s="1477"/>
      <c r="K295" s="1477"/>
      <c r="L295" s="1477"/>
      <c r="M295" s="1477"/>
      <c r="N295" s="1477"/>
      <c r="O295" s="1477"/>
      <c r="P295" s="1477"/>
      <c r="Q295" s="1477"/>
      <c r="R295" s="1477"/>
      <c r="S295" s="1477"/>
      <c r="T295" s="1477"/>
      <c r="U295" s="1477"/>
      <c r="V295" s="1477"/>
      <c r="W295" s="1477"/>
      <c r="X295" s="1477"/>
      <c r="Y295" s="1477"/>
      <c r="Z295" s="1477"/>
      <c r="AA295" s="1477"/>
      <c r="AB295" s="1477"/>
      <c r="AC295" s="1477"/>
      <c r="AD295" s="1477"/>
      <c r="AE295" s="1477"/>
      <c r="AF295" s="1477"/>
      <c r="AG295" s="1477"/>
      <c r="AH295" s="1477"/>
      <c r="AI295" s="1477"/>
      <c r="AJ295" s="1477"/>
      <c r="AK295" s="1477"/>
      <c r="AL295" s="1477"/>
      <c r="AM295" s="1477"/>
      <c r="AN295" s="1477"/>
      <c r="AO295" s="284"/>
      <c r="AP295" s="1477"/>
      <c r="AQ295" s="1477"/>
      <c r="AR295" s="1477"/>
      <c r="AS295" s="1477"/>
      <c r="AT295" s="1477"/>
      <c r="AU295" s="1477"/>
      <c r="AV295" s="1477"/>
      <c r="AW295" s="1477"/>
      <c r="AX295" s="1477"/>
      <c r="AY295" s="1477"/>
      <c r="AZ295" s="1477"/>
      <c r="BA295" s="1477"/>
      <c r="BB295" s="1477"/>
      <c r="BC295" s="1477"/>
      <c r="BD295" s="1477"/>
      <c r="BE295" s="1477"/>
      <c r="BF295" s="1477"/>
      <c r="BG295" s="1477"/>
      <c r="BH295" s="1477"/>
      <c r="BI295" s="1477"/>
      <c r="BJ295" s="1477"/>
      <c r="BK295" s="1477"/>
      <c r="BL295" s="1477"/>
      <c r="BM295" s="1477"/>
      <c r="BN295" s="1477"/>
      <c r="BO295" s="1477"/>
      <c r="BP295" s="1477"/>
      <c r="BQ295" s="1477"/>
      <c r="BR295" s="1477"/>
      <c r="BS295" s="1477"/>
      <c r="BT295" s="1477"/>
      <c r="BU295" s="1477"/>
      <c r="BV295" s="1477"/>
      <c r="BW295" s="1477"/>
      <c r="BX295" s="1477"/>
      <c r="BY295" s="1477"/>
      <c r="BZ295" s="1477"/>
      <c r="CA295" s="1477"/>
      <c r="CB295" s="1477"/>
      <c r="CC295" s="1477"/>
      <c r="CD295" s="1477"/>
      <c r="CE295" s="1477"/>
      <c r="CF295" s="1477"/>
      <c r="CG295" s="1477"/>
      <c r="CH295" s="1477"/>
    </row>
    <row r="296" spans="2:86">
      <c r="B296" s="1477"/>
      <c r="C296" s="1477"/>
      <c r="D296" s="1477"/>
      <c r="E296" s="1477"/>
      <c r="F296" s="1477"/>
      <c r="G296" s="1477"/>
      <c r="H296" s="1477"/>
      <c r="I296" s="1477"/>
      <c r="J296" s="1477"/>
      <c r="K296" s="1477"/>
      <c r="L296" s="1477"/>
      <c r="M296" s="1477"/>
      <c r="N296" s="1477"/>
      <c r="O296" s="1477"/>
      <c r="P296" s="1477"/>
      <c r="Q296" s="1477"/>
      <c r="R296" s="1477"/>
      <c r="S296" s="1477"/>
      <c r="T296" s="1477"/>
      <c r="U296" s="1477"/>
      <c r="V296" s="1477"/>
      <c r="W296" s="1477"/>
      <c r="X296" s="1477"/>
      <c r="Y296" s="1477"/>
      <c r="Z296" s="1477"/>
      <c r="AA296" s="1477"/>
      <c r="AB296" s="1477"/>
      <c r="AC296" s="1477"/>
      <c r="AD296" s="1477"/>
      <c r="AE296" s="1477"/>
      <c r="AF296" s="1477"/>
      <c r="AG296" s="1477"/>
      <c r="AH296" s="1477"/>
      <c r="AI296" s="1477"/>
      <c r="AJ296" s="1477"/>
      <c r="AK296" s="1477"/>
      <c r="AL296" s="1477"/>
      <c r="AM296" s="1477"/>
      <c r="AN296" s="1477"/>
      <c r="AO296" s="284"/>
      <c r="AP296" s="1477"/>
      <c r="AQ296" s="1477"/>
      <c r="AR296" s="1477"/>
      <c r="AS296" s="1477"/>
      <c r="AT296" s="1477"/>
      <c r="AU296" s="1477"/>
      <c r="AV296" s="1477"/>
      <c r="AW296" s="1477"/>
      <c r="AX296" s="1477"/>
      <c r="AY296" s="1477"/>
      <c r="AZ296" s="1477"/>
      <c r="BA296" s="1477"/>
      <c r="BB296" s="1477"/>
      <c r="BC296" s="1477"/>
      <c r="BD296" s="1477"/>
      <c r="BE296" s="1477"/>
      <c r="BF296" s="1477"/>
      <c r="BG296" s="1477"/>
      <c r="BH296" s="1477"/>
      <c r="BI296" s="1477"/>
      <c r="BJ296" s="1477"/>
      <c r="BK296" s="1477"/>
      <c r="BL296" s="1477"/>
      <c r="BM296" s="1477"/>
      <c r="BN296" s="1477"/>
      <c r="BO296" s="1477"/>
      <c r="BP296" s="1477"/>
      <c r="BQ296" s="1477"/>
      <c r="BR296" s="1477"/>
      <c r="BS296" s="1477"/>
      <c r="BT296" s="1477"/>
      <c r="BU296" s="1477"/>
      <c r="BV296" s="1477"/>
      <c r="BW296" s="1477"/>
      <c r="BX296" s="1477"/>
      <c r="BY296" s="1477"/>
      <c r="BZ296" s="1477"/>
      <c r="CA296" s="1477"/>
      <c r="CB296" s="1477"/>
      <c r="CC296" s="1477"/>
      <c r="CD296" s="1477"/>
      <c r="CE296" s="1477"/>
      <c r="CF296" s="1477"/>
      <c r="CG296" s="1477"/>
      <c r="CH296" s="1477"/>
    </row>
    <row r="297" spans="2:86">
      <c r="B297" s="1477"/>
      <c r="C297" s="1477"/>
      <c r="D297" s="1477"/>
      <c r="E297" s="1477"/>
      <c r="F297" s="1477"/>
      <c r="G297" s="1477"/>
      <c r="H297" s="1477"/>
      <c r="I297" s="1477"/>
      <c r="J297" s="1477"/>
      <c r="K297" s="1477"/>
      <c r="L297" s="1477"/>
      <c r="M297" s="1477"/>
      <c r="N297" s="1477"/>
      <c r="O297" s="1477"/>
      <c r="P297" s="1477"/>
      <c r="Q297" s="1477"/>
      <c r="R297" s="1477"/>
      <c r="S297" s="1477"/>
      <c r="T297" s="1477"/>
      <c r="U297" s="1477"/>
      <c r="V297" s="1477"/>
      <c r="W297" s="1477"/>
      <c r="X297" s="1477"/>
      <c r="Y297" s="1477"/>
      <c r="Z297" s="1477"/>
      <c r="AA297" s="1477"/>
      <c r="AB297" s="1477"/>
      <c r="AC297" s="1477"/>
      <c r="AD297" s="1477"/>
      <c r="AE297" s="1477"/>
      <c r="AF297" s="1477"/>
      <c r="AG297" s="1477"/>
      <c r="AH297" s="1477"/>
      <c r="AI297" s="1477"/>
      <c r="AJ297" s="1477"/>
      <c r="AK297" s="1477"/>
      <c r="AL297" s="1477"/>
      <c r="AM297" s="1477"/>
      <c r="AN297" s="1477"/>
      <c r="AO297" s="284"/>
      <c r="AP297" s="1477"/>
      <c r="AQ297" s="1477"/>
      <c r="AR297" s="1477"/>
      <c r="AS297" s="1477"/>
      <c r="AT297" s="1477"/>
      <c r="AU297" s="1477"/>
      <c r="AV297" s="1477"/>
      <c r="AW297" s="1477"/>
      <c r="AX297" s="1477"/>
      <c r="AY297" s="1477"/>
      <c r="AZ297" s="1477"/>
      <c r="BA297" s="1477"/>
      <c r="BB297" s="1477"/>
      <c r="BC297" s="1477"/>
      <c r="BD297" s="1477"/>
      <c r="BE297" s="1477"/>
      <c r="BF297" s="1477"/>
      <c r="BG297" s="1477"/>
      <c r="BH297" s="1477"/>
      <c r="BI297" s="1477"/>
      <c r="BJ297" s="1477"/>
      <c r="BK297" s="1477"/>
      <c r="BL297" s="1477"/>
      <c r="BM297" s="1477"/>
      <c r="BN297" s="1477"/>
      <c r="BO297" s="1477"/>
      <c r="BP297" s="1477"/>
      <c r="BQ297" s="1477"/>
      <c r="BR297" s="1477"/>
      <c r="BS297" s="1477"/>
      <c r="BT297" s="1477"/>
      <c r="BU297" s="1477"/>
      <c r="BV297" s="1477"/>
      <c r="BW297" s="1477"/>
      <c r="BX297" s="1477"/>
      <c r="BY297" s="1477"/>
      <c r="BZ297" s="1477"/>
      <c r="CA297" s="1477"/>
      <c r="CB297" s="1477"/>
      <c r="CC297" s="1477"/>
      <c r="CD297" s="1477"/>
      <c r="CE297" s="1477"/>
      <c r="CF297" s="1477"/>
      <c r="CG297" s="1477"/>
      <c r="CH297" s="1477"/>
    </row>
    <row r="298" spans="2:86">
      <c r="B298" s="1477"/>
      <c r="C298" s="1477"/>
      <c r="D298" s="1477"/>
      <c r="E298" s="1477"/>
      <c r="F298" s="1477"/>
      <c r="G298" s="1477"/>
      <c r="H298" s="1477"/>
      <c r="I298" s="1477"/>
      <c r="J298" s="1477"/>
      <c r="K298" s="1477"/>
      <c r="L298" s="1477"/>
      <c r="M298" s="1477"/>
      <c r="N298" s="1477"/>
      <c r="O298" s="1477"/>
      <c r="P298" s="1477"/>
      <c r="Q298" s="1477"/>
      <c r="R298" s="1477"/>
      <c r="S298" s="1477"/>
      <c r="T298" s="1477"/>
      <c r="U298" s="1477"/>
      <c r="V298" s="1477"/>
      <c r="W298" s="1477"/>
      <c r="X298" s="1477"/>
      <c r="Y298" s="1477"/>
      <c r="Z298" s="1477"/>
      <c r="AA298" s="1477"/>
      <c r="AB298" s="1477"/>
      <c r="AC298" s="1477"/>
      <c r="AD298" s="1477"/>
      <c r="AE298" s="1477"/>
      <c r="AF298" s="1477"/>
      <c r="AG298" s="1477"/>
      <c r="AH298" s="1477"/>
      <c r="AI298" s="1477"/>
      <c r="AJ298" s="1477"/>
      <c r="AK298" s="1477"/>
      <c r="AL298" s="1477"/>
      <c r="AM298" s="1477"/>
      <c r="AN298" s="1477"/>
      <c r="AO298" s="284"/>
      <c r="AP298" s="1477"/>
      <c r="AQ298" s="1477"/>
      <c r="AR298" s="1477"/>
      <c r="AS298" s="1477"/>
      <c r="AT298" s="1477"/>
      <c r="AU298" s="1477"/>
      <c r="AV298" s="1477"/>
      <c r="AW298" s="1477"/>
      <c r="AX298" s="1477"/>
      <c r="AY298" s="1477"/>
      <c r="AZ298" s="1477"/>
      <c r="BA298" s="1477"/>
      <c r="BB298" s="1477"/>
      <c r="BC298" s="1477"/>
      <c r="BD298" s="1477"/>
      <c r="BE298" s="1477"/>
      <c r="BF298" s="1477"/>
      <c r="BG298" s="1477"/>
      <c r="BH298" s="1477"/>
      <c r="BI298" s="1477"/>
      <c r="BJ298" s="1477"/>
      <c r="BK298" s="1477"/>
      <c r="BL298" s="1477"/>
      <c r="BM298" s="1477"/>
      <c r="BN298" s="1477"/>
      <c r="BO298" s="1477"/>
      <c r="BP298" s="1477"/>
      <c r="BQ298" s="1477"/>
      <c r="BR298" s="1477"/>
      <c r="BS298" s="1477"/>
      <c r="BT298" s="1477"/>
      <c r="BU298" s="1477"/>
      <c r="BV298" s="1477"/>
      <c r="BW298" s="1477"/>
      <c r="BX298" s="1477"/>
      <c r="BY298" s="1477"/>
      <c r="BZ298" s="1477"/>
      <c r="CA298" s="1477"/>
      <c r="CB298" s="1477"/>
      <c r="CC298" s="1477"/>
      <c r="CD298" s="1477"/>
      <c r="CE298" s="1477"/>
      <c r="CF298" s="1477"/>
      <c r="CG298" s="1477"/>
      <c r="CH298" s="1477"/>
    </row>
    <row r="299" spans="2:86">
      <c r="B299" s="1477"/>
      <c r="C299" s="1477"/>
      <c r="D299" s="1477"/>
      <c r="E299" s="1477"/>
      <c r="F299" s="1477"/>
      <c r="G299" s="1477"/>
      <c r="H299" s="1477"/>
      <c r="I299" s="1477"/>
      <c r="J299" s="1477"/>
      <c r="K299" s="1477"/>
      <c r="L299" s="1477"/>
      <c r="M299" s="1477"/>
      <c r="N299" s="1477"/>
      <c r="O299" s="1477"/>
      <c r="P299" s="1477"/>
      <c r="Q299" s="1477"/>
      <c r="R299" s="1477"/>
      <c r="S299" s="1477"/>
      <c r="T299" s="1477"/>
      <c r="U299" s="1477"/>
      <c r="V299" s="1477"/>
      <c r="W299" s="1477"/>
      <c r="X299" s="1477"/>
      <c r="Y299" s="1477"/>
      <c r="Z299" s="1477"/>
      <c r="AA299" s="1477"/>
      <c r="AB299" s="1477"/>
      <c r="AC299" s="1477"/>
      <c r="AD299" s="1477"/>
      <c r="AE299" s="1477"/>
      <c r="AF299" s="1477"/>
      <c r="AG299" s="1477"/>
      <c r="AH299" s="1477"/>
      <c r="AI299" s="1477"/>
      <c r="AJ299" s="1477"/>
      <c r="AK299" s="1477"/>
      <c r="AL299" s="1477"/>
      <c r="AM299" s="1477"/>
      <c r="AN299" s="1477"/>
      <c r="AO299" s="284"/>
      <c r="AP299" s="1477"/>
      <c r="AQ299" s="1477"/>
      <c r="AR299" s="1477"/>
      <c r="AS299" s="1477"/>
      <c r="AT299" s="1477"/>
      <c r="AU299" s="1477"/>
      <c r="AV299" s="1477"/>
      <c r="AW299" s="1477"/>
      <c r="AX299" s="1477"/>
      <c r="AY299" s="1477"/>
      <c r="AZ299" s="1477"/>
      <c r="BA299" s="1477"/>
      <c r="BB299" s="1477"/>
      <c r="BC299" s="1477"/>
      <c r="BD299" s="1477"/>
      <c r="BE299" s="1477"/>
      <c r="BF299" s="1477"/>
      <c r="BG299" s="1477"/>
      <c r="BH299" s="1477"/>
      <c r="BI299" s="1477"/>
      <c r="BJ299" s="1477"/>
      <c r="BK299" s="1477"/>
      <c r="BL299" s="1477"/>
      <c r="BM299" s="1477"/>
      <c r="BN299" s="1477"/>
      <c r="BO299" s="1477"/>
      <c r="BP299" s="1477"/>
      <c r="BQ299" s="1477"/>
      <c r="BR299" s="1477"/>
      <c r="BS299" s="1477"/>
      <c r="BT299" s="1477"/>
      <c r="BU299" s="1477"/>
      <c r="BV299" s="1477"/>
      <c r="BW299" s="1477"/>
      <c r="BX299" s="1477"/>
      <c r="BY299" s="1477"/>
      <c r="BZ299" s="1477"/>
      <c r="CA299" s="1477"/>
      <c r="CB299" s="1477"/>
      <c r="CC299" s="1477"/>
      <c r="CD299" s="1477"/>
      <c r="CE299" s="1477"/>
      <c r="CF299" s="1477"/>
      <c r="CG299" s="1477"/>
      <c r="CH299" s="1477"/>
    </row>
    <row r="300" spans="2:86">
      <c r="B300" s="1477"/>
      <c r="C300" s="1477"/>
      <c r="D300" s="1477"/>
      <c r="E300" s="1477"/>
      <c r="F300" s="1477"/>
      <c r="G300" s="1477"/>
      <c r="H300" s="1477"/>
      <c r="I300" s="1477"/>
      <c r="J300" s="1477"/>
      <c r="K300" s="1477"/>
      <c r="L300" s="1477"/>
      <c r="M300" s="1477"/>
      <c r="N300" s="1477"/>
      <c r="O300" s="1477"/>
      <c r="P300" s="1477"/>
      <c r="Q300" s="1477"/>
      <c r="R300" s="1477"/>
      <c r="S300" s="1477"/>
      <c r="T300" s="1477"/>
      <c r="U300" s="1477"/>
      <c r="V300" s="1477"/>
      <c r="W300" s="1477"/>
      <c r="X300" s="1477"/>
      <c r="Y300" s="1477"/>
      <c r="Z300" s="1477"/>
      <c r="AA300" s="1477"/>
      <c r="AB300" s="1477"/>
      <c r="AC300" s="1477"/>
      <c r="AD300" s="1477"/>
      <c r="AE300" s="1477"/>
      <c r="AF300" s="1477"/>
      <c r="AG300" s="1477"/>
      <c r="AH300" s="1477"/>
      <c r="AI300" s="1477"/>
      <c r="AJ300" s="1477"/>
      <c r="AK300" s="1477"/>
      <c r="AL300" s="1477"/>
      <c r="AM300" s="1477"/>
      <c r="AN300" s="1477"/>
      <c r="AO300" s="284"/>
      <c r="AP300" s="1477"/>
      <c r="AQ300" s="1477"/>
      <c r="AR300" s="1477"/>
      <c r="AS300" s="1477"/>
      <c r="AT300" s="1477"/>
      <c r="AU300" s="1477"/>
      <c r="AV300" s="1477"/>
      <c r="AW300" s="1477"/>
      <c r="AX300" s="1477"/>
      <c r="AY300" s="1477"/>
      <c r="AZ300" s="1477"/>
      <c r="BA300" s="1477"/>
      <c r="BB300" s="1477"/>
      <c r="BC300" s="1477"/>
      <c r="BD300" s="1477"/>
      <c r="BE300" s="1477"/>
      <c r="BF300" s="1477"/>
      <c r="BG300" s="1477"/>
      <c r="BH300" s="1477"/>
      <c r="BI300" s="1477"/>
      <c r="BJ300" s="1477"/>
      <c r="BK300" s="1477"/>
      <c r="BL300" s="1477"/>
      <c r="BM300" s="1477"/>
      <c r="BN300" s="1477"/>
      <c r="BO300" s="1477"/>
      <c r="BP300" s="1477"/>
      <c r="BQ300" s="1477"/>
      <c r="BR300" s="1477"/>
      <c r="BS300" s="1477"/>
      <c r="BT300" s="1477"/>
      <c r="BU300" s="1477"/>
      <c r="BV300" s="1477"/>
      <c r="BW300" s="1477"/>
      <c r="BX300" s="1477"/>
      <c r="BY300" s="1477"/>
      <c r="BZ300" s="1477"/>
      <c r="CA300" s="1477"/>
      <c r="CB300" s="1477"/>
      <c r="CC300" s="1477"/>
      <c r="CD300" s="1477"/>
      <c r="CE300" s="1477"/>
      <c r="CF300" s="1477"/>
      <c r="CG300" s="1477"/>
      <c r="CH300" s="1477"/>
    </row>
    <row r="301" spans="2:86">
      <c r="B301" s="1477"/>
      <c r="C301" s="1477"/>
      <c r="D301" s="1477"/>
      <c r="E301" s="1477"/>
      <c r="F301" s="1477"/>
      <c r="G301" s="1477"/>
      <c r="H301" s="1477"/>
      <c r="I301" s="1477"/>
      <c r="J301" s="1477"/>
      <c r="K301" s="1477"/>
      <c r="L301" s="1477"/>
      <c r="M301" s="1477"/>
      <c r="N301" s="1477"/>
      <c r="O301" s="1477"/>
      <c r="P301" s="1477"/>
      <c r="Q301" s="1477"/>
      <c r="R301" s="1477"/>
      <c r="S301" s="1477"/>
      <c r="T301" s="1477"/>
      <c r="U301" s="1477"/>
      <c r="V301" s="1477"/>
      <c r="W301" s="1477"/>
      <c r="X301" s="1477"/>
      <c r="Y301" s="1477"/>
      <c r="Z301" s="1477"/>
      <c r="AA301" s="1477"/>
      <c r="AB301" s="1477"/>
      <c r="AC301" s="1477"/>
      <c r="AD301" s="1477"/>
      <c r="AE301" s="1477"/>
      <c r="AF301" s="1477"/>
      <c r="AG301" s="1477"/>
      <c r="AH301" s="1477"/>
      <c r="AI301" s="1477"/>
      <c r="AJ301" s="1477"/>
      <c r="AK301" s="1477"/>
      <c r="AL301" s="1477"/>
      <c r="AM301" s="1477"/>
      <c r="AN301" s="1477"/>
      <c r="AO301" s="284"/>
      <c r="AP301" s="1477"/>
      <c r="AQ301" s="1477"/>
      <c r="AR301" s="1477"/>
      <c r="AS301" s="1477"/>
      <c r="AT301" s="1477"/>
      <c r="AU301" s="1477"/>
      <c r="AV301" s="1477"/>
      <c r="AW301" s="1477"/>
      <c r="AX301" s="1477"/>
      <c r="AY301" s="1477"/>
      <c r="AZ301" s="1477"/>
      <c r="BA301" s="1477"/>
      <c r="BB301" s="1477"/>
      <c r="BC301" s="1477"/>
      <c r="BD301" s="1477"/>
      <c r="BE301" s="1477"/>
      <c r="BF301" s="1477"/>
      <c r="BG301" s="1477"/>
      <c r="BH301" s="1477"/>
      <c r="BI301" s="1477"/>
      <c r="BJ301" s="1477"/>
      <c r="BK301" s="1477"/>
      <c r="BL301" s="1477"/>
      <c r="BM301" s="1477"/>
      <c r="BN301" s="1477"/>
      <c r="BO301" s="1477"/>
      <c r="BP301" s="1477"/>
      <c r="BQ301" s="1477"/>
      <c r="BR301" s="1477"/>
      <c r="BS301" s="1477"/>
      <c r="BT301" s="1477"/>
      <c r="BU301" s="1477"/>
      <c r="BV301" s="1477"/>
      <c r="BW301" s="1477"/>
      <c r="BX301" s="1477"/>
      <c r="BY301" s="1477"/>
      <c r="BZ301" s="1477"/>
      <c r="CA301" s="1477"/>
      <c r="CB301" s="1477"/>
      <c r="CC301" s="1477"/>
      <c r="CD301" s="1477"/>
      <c r="CE301" s="1477"/>
      <c r="CF301" s="1477"/>
      <c r="CG301" s="1477"/>
      <c r="CH301" s="1477"/>
    </row>
    <row r="302" spans="2:86">
      <c r="B302" s="1477"/>
      <c r="C302" s="1477"/>
      <c r="D302" s="1477"/>
      <c r="E302" s="1477"/>
      <c r="F302" s="1477"/>
      <c r="G302" s="1477"/>
      <c r="H302" s="1477"/>
      <c r="I302" s="1477"/>
      <c r="J302" s="1477"/>
      <c r="K302" s="1477"/>
      <c r="L302" s="1477"/>
      <c r="M302" s="1477"/>
      <c r="N302" s="1477"/>
      <c r="O302" s="1477"/>
      <c r="P302" s="1477"/>
      <c r="Q302" s="1477"/>
      <c r="R302" s="1477"/>
      <c r="S302" s="1477"/>
      <c r="T302" s="1477"/>
      <c r="U302" s="1477"/>
      <c r="V302" s="1477"/>
      <c r="W302" s="1477"/>
      <c r="X302" s="1477"/>
      <c r="Y302" s="1477"/>
      <c r="Z302" s="1477"/>
      <c r="AA302" s="1477"/>
      <c r="AB302" s="1477"/>
      <c r="AC302" s="1477"/>
      <c r="AD302" s="1477"/>
      <c r="AE302" s="1477"/>
      <c r="AF302" s="1477"/>
      <c r="AG302" s="1477"/>
      <c r="AH302" s="1477"/>
      <c r="AI302" s="1477"/>
      <c r="AJ302" s="1477"/>
      <c r="AK302" s="1477"/>
      <c r="AL302" s="1477"/>
      <c r="AM302" s="1477"/>
      <c r="AN302" s="1477"/>
      <c r="AO302" s="284"/>
      <c r="AP302" s="1477"/>
      <c r="AQ302" s="1477"/>
      <c r="AR302" s="1477"/>
      <c r="AS302" s="1477"/>
      <c r="AT302" s="1477"/>
      <c r="AU302" s="1477"/>
      <c r="AV302" s="1477"/>
      <c r="AW302" s="1477"/>
      <c r="AX302" s="1477"/>
      <c r="AY302" s="1477"/>
      <c r="AZ302" s="1477"/>
      <c r="BA302" s="1477"/>
      <c r="BB302" s="1477"/>
      <c r="BC302" s="1477"/>
      <c r="BD302" s="1477"/>
      <c r="BE302" s="1477"/>
      <c r="BF302" s="1477"/>
      <c r="BG302" s="1477"/>
      <c r="BH302" s="1477"/>
      <c r="BI302" s="1477"/>
      <c r="BJ302" s="1477"/>
      <c r="BK302" s="1477"/>
      <c r="BL302" s="1477"/>
      <c r="BM302" s="1477"/>
      <c r="BN302" s="1477"/>
      <c r="BO302" s="1477"/>
      <c r="BP302" s="1477"/>
      <c r="BQ302" s="1477"/>
      <c r="BR302" s="1477"/>
      <c r="BS302" s="1477"/>
      <c r="BT302" s="1477"/>
      <c r="BU302" s="1477"/>
      <c r="BV302" s="1477"/>
      <c r="BW302" s="1477"/>
      <c r="BX302" s="1477"/>
      <c r="BY302" s="1477"/>
      <c r="BZ302" s="1477"/>
      <c r="CA302" s="1477"/>
      <c r="CB302" s="1477"/>
      <c r="CC302" s="1477"/>
      <c r="CD302" s="1477"/>
      <c r="CE302" s="1477"/>
      <c r="CF302" s="1477"/>
      <c r="CG302" s="1477"/>
      <c r="CH302" s="1477"/>
    </row>
    <row r="303" spans="2:86">
      <c r="B303" s="1477"/>
      <c r="C303" s="1477"/>
      <c r="D303" s="1477"/>
      <c r="E303" s="1477"/>
      <c r="F303" s="1477"/>
      <c r="G303" s="1477"/>
      <c r="H303" s="1477"/>
      <c r="I303" s="1477"/>
      <c r="J303" s="1477"/>
      <c r="K303" s="1477"/>
      <c r="L303" s="1477"/>
      <c r="M303" s="1477"/>
      <c r="N303" s="1477"/>
      <c r="O303" s="1477"/>
      <c r="P303" s="1477"/>
      <c r="Q303" s="1477"/>
      <c r="R303" s="1477"/>
      <c r="S303" s="1477"/>
      <c r="T303" s="1477"/>
      <c r="U303" s="1477"/>
      <c r="V303" s="1477"/>
      <c r="W303" s="1477"/>
      <c r="X303" s="1477"/>
      <c r="Y303" s="1477"/>
      <c r="Z303" s="1477"/>
      <c r="AA303" s="1477"/>
      <c r="AB303" s="1477"/>
      <c r="AC303" s="1477"/>
      <c r="AD303" s="1477"/>
      <c r="AE303" s="1477"/>
      <c r="AF303" s="1477"/>
      <c r="AG303" s="1477"/>
      <c r="AH303" s="1477"/>
      <c r="AI303" s="1477"/>
      <c r="AJ303" s="1477"/>
      <c r="AK303" s="1477"/>
      <c r="AL303" s="1477"/>
      <c r="AM303" s="1477"/>
      <c r="AN303" s="1477"/>
      <c r="AO303" s="284"/>
      <c r="AP303" s="1477"/>
      <c r="AQ303" s="1477"/>
      <c r="AR303" s="1477"/>
      <c r="AS303" s="1477"/>
      <c r="AT303" s="1477"/>
      <c r="AU303" s="1477"/>
      <c r="AV303" s="1477"/>
      <c r="AW303" s="1477"/>
      <c r="AX303" s="1477"/>
      <c r="AY303" s="1477"/>
      <c r="AZ303" s="1477"/>
      <c r="BA303" s="1477"/>
      <c r="BB303" s="1477"/>
      <c r="BC303" s="1477"/>
      <c r="BD303" s="1477"/>
      <c r="BE303" s="1477"/>
      <c r="BF303" s="1477"/>
      <c r="BG303" s="1477"/>
      <c r="BH303" s="1477"/>
      <c r="BI303" s="1477"/>
      <c r="BJ303" s="1477"/>
      <c r="BK303" s="1477"/>
      <c r="BL303" s="1477"/>
      <c r="BM303" s="1477"/>
      <c r="BN303" s="1477"/>
      <c r="BO303" s="1477"/>
      <c r="BP303" s="1477"/>
      <c r="BQ303" s="1477"/>
      <c r="BR303" s="1477"/>
      <c r="BS303" s="1477"/>
      <c r="BT303" s="1477"/>
      <c r="BU303" s="1477"/>
      <c r="BV303" s="1477"/>
      <c r="BW303" s="1477"/>
      <c r="BX303" s="1477"/>
      <c r="BY303" s="1477"/>
      <c r="BZ303" s="1477"/>
      <c r="CA303" s="1477"/>
      <c r="CB303" s="1477"/>
      <c r="CC303" s="1477"/>
      <c r="CD303" s="1477"/>
      <c r="CE303" s="1477"/>
      <c r="CF303" s="1477"/>
      <c r="CG303" s="1477"/>
      <c r="CH303" s="1477"/>
    </row>
    <row r="304" spans="2:86">
      <c r="B304" s="1477"/>
      <c r="C304" s="1477"/>
      <c r="D304" s="1477"/>
      <c r="E304" s="1477"/>
      <c r="F304" s="1477"/>
      <c r="G304" s="1477"/>
      <c r="H304" s="1477"/>
      <c r="I304" s="1477"/>
      <c r="J304" s="1477"/>
      <c r="K304" s="1477"/>
      <c r="L304" s="1477"/>
      <c r="M304" s="1477"/>
      <c r="N304" s="1477"/>
      <c r="O304" s="1477"/>
      <c r="P304" s="1477"/>
      <c r="Q304" s="1477"/>
      <c r="R304" s="1477"/>
      <c r="S304" s="1477"/>
      <c r="T304" s="1477"/>
      <c r="U304" s="1477"/>
      <c r="V304" s="1477"/>
      <c r="W304" s="1477"/>
      <c r="X304" s="1477"/>
      <c r="Y304" s="1477"/>
      <c r="Z304" s="1477"/>
      <c r="AA304" s="1477"/>
      <c r="AB304" s="1477"/>
      <c r="AC304" s="1477"/>
      <c r="AD304" s="1477"/>
      <c r="AE304" s="1477"/>
      <c r="AF304" s="1477"/>
      <c r="AG304" s="1477"/>
      <c r="AH304" s="1477"/>
      <c r="AI304" s="1477"/>
      <c r="AJ304" s="1477"/>
      <c r="AK304" s="1477"/>
      <c r="AL304" s="1477"/>
      <c r="AM304" s="1477"/>
      <c r="AN304" s="1477"/>
      <c r="AO304" s="284"/>
      <c r="AP304" s="1477"/>
      <c r="AQ304" s="1477"/>
      <c r="AR304" s="1477"/>
      <c r="AS304" s="1477"/>
      <c r="AT304" s="1477"/>
      <c r="AU304" s="1477"/>
      <c r="AV304" s="1477"/>
      <c r="AW304" s="1477"/>
      <c r="AX304" s="1477"/>
      <c r="AY304" s="1477"/>
      <c r="AZ304" s="1477"/>
      <c r="BA304" s="1477"/>
      <c r="BB304" s="1477"/>
      <c r="BC304" s="1477"/>
      <c r="BD304" s="1477"/>
      <c r="BE304" s="1477"/>
      <c r="BF304" s="1477"/>
      <c r="BG304" s="1477"/>
      <c r="BH304" s="1477"/>
      <c r="BI304" s="1477"/>
      <c r="BJ304" s="1477"/>
      <c r="BK304" s="1477"/>
      <c r="BL304" s="1477"/>
      <c r="BM304" s="1477"/>
      <c r="BN304" s="1477"/>
      <c r="BO304" s="1477"/>
      <c r="BP304" s="1477"/>
      <c r="BQ304" s="1477"/>
      <c r="BR304" s="1477"/>
      <c r="BS304" s="1477"/>
      <c r="BT304" s="1477"/>
      <c r="BU304" s="1477"/>
      <c r="BV304" s="1477"/>
      <c r="BW304" s="1477"/>
      <c r="BX304" s="1477"/>
      <c r="BY304" s="1477"/>
      <c r="BZ304" s="1477"/>
      <c r="CA304" s="1477"/>
      <c r="CB304" s="1477"/>
      <c r="CC304" s="1477"/>
      <c r="CD304" s="1477"/>
      <c r="CE304" s="1477"/>
      <c r="CF304" s="1477"/>
      <c r="CG304" s="1477"/>
      <c r="CH304" s="1477"/>
    </row>
    <row r="305" spans="2:86">
      <c r="B305" s="1477"/>
      <c r="C305" s="1477"/>
      <c r="D305" s="1477"/>
      <c r="E305" s="1477"/>
      <c r="F305" s="1477"/>
      <c r="G305" s="1477"/>
      <c r="H305" s="1477"/>
      <c r="I305" s="1477"/>
      <c r="J305" s="1477"/>
      <c r="K305" s="1477"/>
      <c r="L305" s="1477"/>
      <c r="M305" s="1477"/>
      <c r="N305" s="1477"/>
      <c r="O305" s="1477"/>
      <c r="P305" s="1477"/>
      <c r="Q305" s="1477"/>
      <c r="R305" s="1477"/>
      <c r="S305" s="1477"/>
      <c r="T305" s="1477"/>
      <c r="U305" s="1477"/>
      <c r="V305" s="1477"/>
      <c r="W305" s="1477"/>
      <c r="X305" s="1477"/>
      <c r="Y305" s="1477"/>
      <c r="Z305" s="1477"/>
      <c r="AA305" s="1477"/>
      <c r="AB305" s="1477"/>
      <c r="AC305" s="1477"/>
      <c r="AD305" s="1477"/>
      <c r="AE305" s="1477"/>
      <c r="AF305" s="1477"/>
      <c r="AG305" s="1477"/>
      <c r="AH305" s="1477"/>
      <c r="AI305" s="1477"/>
      <c r="AJ305" s="1477"/>
      <c r="AK305" s="1477"/>
      <c r="AL305" s="1477"/>
      <c r="AM305" s="1477"/>
      <c r="AN305" s="1477"/>
      <c r="AO305" s="284"/>
      <c r="AP305" s="1477"/>
      <c r="AQ305" s="1477"/>
      <c r="AR305" s="1477"/>
      <c r="AS305" s="1477"/>
      <c r="AT305" s="1477"/>
      <c r="AU305" s="1477"/>
      <c r="AV305" s="1477"/>
      <c r="AW305" s="1477"/>
      <c r="AX305" s="1477"/>
      <c r="AY305" s="1477"/>
      <c r="AZ305" s="1477"/>
      <c r="BA305" s="1477"/>
      <c r="BB305" s="1477"/>
      <c r="BC305" s="1477"/>
      <c r="BD305" s="1477"/>
      <c r="BE305" s="1477"/>
      <c r="BF305" s="1477"/>
      <c r="BG305" s="1477"/>
      <c r="BH305" s="1477"/>
      <c r="BI305" s="1477"/>
      <c r="BJ305" s="1477"/>
      <c r="BK305" s="1477"/>
      <c r="BL305" s="1477"/>
      <c r="BM305" s="1477"/>
      <c r="BN305" s="1477"/>
      <c r="BO305" s="1477"/>
      <c r="BP305" s="1477"/>
      <c r="BQ305" s="1477"/>
      <c r="BR305" s="1477"/>
      <c r="BS305" s="1477"/>
      <c r="BT305" s="1477"/>
      <c r="BU305" s="1477"/>
      <c r="BV305" s="1477"/>
      <c r="BW305" s="1477"/>
      <c r="BX305" s="1477"/>
      <c r="BY305" s="1477"/>
      <c r="BZ305" s="1477"/>
      <c r="CA305" s="1477"/>
      <c r="CB305" s="1477"/>
      <c r="CC305" s="1477"/>
      <c r="CD305" s="1477"/>
      <c r="CE305" s="1477"/>
      <c r="CF305" s="1477"/>
      <c r="CG305" s="1477"/>
      <c r="CH305" s="1477"/>
    </row>
    <row r="306" spans="2:86">
      <c r="B306" s="1477"/>
      <c r="C306" s="1477"/>
      <c r="D306" s="1477"/>
      <c r="E306" s="1477"/>
      <c r="F306" s="1477"/>
      <c r="G306" s="1477"/>
      <c r="H306" s="1477"/>
      <c r="I306" s="1477"/>
      <c r="J306" s="1477"/>
      <c r="K306" s="1477"/>
      <c r="L306" s="1477"/>
      <c r="M306" s="1477"/>
      <c r="N306" s="1477"/>
      <c r="O306" s="1477"/>
      <c r="P306" s="1477"/>
      <c r="Q306" s="1477"/>
      <c r="R306" s="1477"/>
      <c r="S306" s="1477"/>
      <c r="T306" s="1477"/>
      <c r="U306" s="1477"/>
      <c r="V306" s="1477"/>
      <c r="W306" s="1477"/>
      <c r="X306" s="1477"/>
      <c r="Y306" s="1477"/>
      <c r="Z306" s="1477"/>
      <c r="AA306" s="1477"/>
      <c r="AB306" s="1477"/>
      <c r="AC306" s="1477"/>
      <c r="AD306" s="1477"/>
      <c r="AE306" s="1477"/>
      <c r="AF306" s="1477"/>
      <c r="AG306" s="1477"/>
      <c r="AH306" s="1477"/>
      <c r="AI306" s="1477"/>
      <c r="AJ306" s="1477"/>
      <c r="AK306" s="1477"/>
      <c r="AL306" s="1477"/>
      <c r="AM306" s="1477"/>
      <c r="AN306" s="1477"/>
      <c r="AO306" s="284"/>
      <c r="AP306" s="1477"/>
      <c r="AQ306" s="1477"/>
      <c r="AR306" s="1477"/>
      <c r="AS306" s="1477"/>
      <c r="AT306" s="1477"/>
      <c r="AU306" s="1477"/>
      <c r="AV306" s="1477"/>
      <c r="AW306" s="1477"/>
      <c r="AX306" s="1477"/>
      <c r="AY306" s="1477"/>
      <c r="AZ306" s="1477"/>
      <c r="BA306" s="1477"/>
      <c r="BB306" s="1477"/>
      <c r="BC306" s="1477"/>
      <c r="BD306" s="1477"/>
      <c r="BE306" s="1477"/>
      <c r="BF306" s="1477"/>
      <c r="BG306" s="1477"/>
      <c r="BH306" s="1477"/>
      <c r="BI306" s="1477"/>
      <c r="BJ306" s="1477"/>
      <c r="BK306" s="1477"/>
      <c r="BL306" s="1477"/>
      <c r="BM306" s="1477"/>
      <c r="BN306" s="1477"/>
      <c r="BO306" s="1477"/>
      <c r="BP306" s="1477"/>
      <c r="BQ306" s="1477"/>
      <c r="BR306" s="1477"/>
      <c r="BS306" s="1477"/>
      <c r="BT306" s="1477"/>
      <c r="BU306" s="1477"/>
      <c r="BV306" s="1477"/>
      <c r="BW306" s="1477"/>
      <c r="BX306" s="1477"/>
      <c r="BY306" s="1477"/>
      <c r="BZ306" s="1477"/>
      <c r="CA306" s="1477"/>
      <c r="CB306" s="1477"/>
      <c r="CC306" s="1477"/>
      <c r="CD306" s="1477"/>
      <c r="CE306" s="1477"/>
      <c r="CF306" s="1477"/>
      <c r="CG306" s="1477"/>
      <c r="CH306" s="1477"/>
    </row>
    <row r="307" spans="2:86">
      <c r="B307" s="1477"/>
      <c r="C307" s="1477"/>
      <c r="D307" s="1477"/>
      <c r="E307" s="1477"/>
      <c r="F307" s="1477"/>
      <c r="G307" s="1477"/>
      <c r="H307" s="1477"/>
      <c r="I307" s="1477"/>
      <c r="J307" s="1477"/>
      <c r="K307" s="1477"/>
      <c r="L307" s="1477"/>
      <c r="M307" s="1477"/>
      <c r="N307" s="1477"/>
      <c r="O307" s="1477"/>
      <c r="P307" s="1477"/>
      <c r="Q307" s="1477"/>
      <c r="R307" s="1477"/>
      <c r="S307" s="1477"/>
      <c r="T307" s="1477"/>
      <c r="U307" s="1477"/>
      <c r="V307" s="1477"/>
      <c r="W307" s="1477"/>
      <c r="X307" s="1477"/>
      <c r="Y307" s="1477"/>
      <c r="Z307" s="1477"/>
      <c r="AA307" s="1477"/>
      <c r="AB307" s="1477"/>
      <c r="AC307" s="1477"/>
      <c r="AD307" s="1477"/>
      <c r="AE307" s="1477"/>
      <c r="AF307" s="1477"/>
      <c r="AG307" s="1477"/>
      <c r="AH307" s="1477"/>
      <c r="AI307" s="1477"/>
      <c r="AJ307" s="1477"/>
      <c r="AK307" s="1477"/>
      <c r="AL307" s="1477"/>
      <c r="AM307" s="1477"/>
      <c r="AN307" s="1477"/>
      <c r="AO307" s="284"/>
      <c r="AP307" s="1477"/>
      <c r="AQ307" s="1477"/>
      <c r="AR307" s="1477"/>
      <c r="AS307" s="1477"/>
      <c r="AT307" s="1477"/>
      <c r="AU307" s="1477"/>
      <c r="AV307" s="1477"/>
      <c r="AW307" s="1477"/>
      <c r="AX307" s="1477"/>
      <c r="AY307" s="1477"/>
      <c r="AZ307" s="1477"/>
      <c r="BA307" s="1477"/>
      <c r="BB307" s="1477"/>
      <c r="BC307" s="1477"/>
      <c r="BD307" s="1477"/>
      <c r="BE307" s="1477"/>
      <c r="BF307" s="1477"/>
      <c r="BG307" s="1477"/>
      <c r="BH307" s="1477"/>
      <c r="BI307" s="1477"/>
      <c r="BJ307" s="1477"/>
      <c r="BK307" s="1477"/>
      <c r="BL307" s="1477"/>
      <c r="BM307" s="1477"/>
      <c r="BN307" s="1477"/>
      <c r="BO307" s="1477"/>
      <c r="BP307" s="1477"/>
      <c r="BQ307" s="1477"/>
      <c r="BR307" s="1477"/>
      <c r="BS307" s="1477"/>
      <c r="BT307" s="1477"/>
      <c r="BU307" s="1477"/>
      <c r="BV307" s="1477"/>
      <c r="BW307" s="1477"/>
      <c r="BX307" s="1477"/>
      <c r="BY307" s="1477"/>
      <c r="BZ307" s="1477"/>
      <c r="CA307" s="1477"/>
      <c r="CB307" s="1477"/>
      <c r="CC307" s="1477"/>
      <c r="CD307" s="1477"/>
      <c r="CE307" s="1477"/>
      <c r="CF307" s="1477"/>
      <c r="CG307" s="1477"/>
      <c r="CH307" s="1477"/>
    </row>
    <row r="308" spans="2:86">
      <c r="B308" s="1477"/>
      <c r="C308" s="1477"/>
      <c r="D308" s="1477"/>
      <c r="E308" s="1477"/>
      <c r="F308" s="1477"/>
      <c r="G308" s="1477"/>
      <c r="H308" s="1477"/>
      <c r="I308" s="1477"/>
      <c r="J308" s="1477"/>
      <c r="K308" s="1477"/>
      <c r="L308" s="1477"/>
      <c r="M308" s="1477"/>
      <c r="N308" s="1477"/>
      <c r="O308" s="1477"/>
      <c r="P308" s="1477"/>
      <c r="Q308" s="1477"/>
      <c r="R308" s="1477"/>
      <c r="S308" s="1477"/>
      <c r="T308" s="1477"/>
      <c r="U308" s="1477"/>
      <c r="V308" s="1477"/>
      <c r="W308" s="1477"/>
      <c r="X308" s="1477"/>
      <c r="Y308" s="1477"/>
      <c r="Z308" s="1477"/>
      <c r="AA308" s="1477"/>
      <c r="AB308" s="1477"/>
      <c r="AC308" s="1477"/>
      <c r="AD308" s="1477"/>
      <c r="AE308" s="1477"/>
      <c r="AF308" s="1477"/>
      <c r="AG308" s="1477"/>
      <c r="AH308" s="1477"/>
      <c r="AI308" s="1477"/>
      <c r="AJ308" s="1477"/>
      <c r="AK308" s="1477"/>
      <c r="AL308" s="1477"/>
      <c r="AM308" s="1477"/>
      <c r="AN308" s="1477"/>
      <c r="AO308" s="284"/>
      <c r="AP308" s="1477"/>
      <c r="AQ308" s="1477"/>
      <c r="AR308" s="1477"/>
      <c r="AS308" s="1477"/>
      <c r="AT308" s="1477"/>
      <c r="AU308" s="1477"/>
      <c r="AV308" s="1477"/>
      <c r="AW308" s="1477"/>
      <c r="AX308" s="1477"/>
      <c r="AY308" s="1477"/>
      <c r="AZ308" s="1477"/>
      <c r="BA308" s="1477"/>
      <c r="BB308" s="1477"/>
      <c r="BC308" s="1477"/>
      <c r="BD308" s="1477"/>
      <c r="BE308" s="1477"/>
      <c r="BF308" s="1477"/>
      <c r="BG308" s="1477"/>
      <c r="BH308" s="1477"/>
      <c r="BI308" s="1477"/>
      <c r="BJ308" s="1477"/>
      <c r="BK308" s="1477"/>
      <c r="BL308" s="1477"/>
      <c r="BM308" s="1477"/>
      <c r="BN308" s="1477"/>
      <c r="BO308" s="1477"/>
      <c r="BP308" s="1477"/>
      <c r="BQ308" s="1477"/>
      <c r="BR308" s="1477"/>
      <c r="BS308" s="1477"/>
      <c r="BT308" s="1477"/>
      <c r="BU308" s="1477"/>
      <c r="BV308" s="1477"/>
      <c r="BW308" s="1477"/>
      <c r="BX308" s="1477"/>
      <c r="BY308" s="1477"/>
      <c r="BZ308" s="1477"/>
      <c r="CA308" s="1477"/>
      <c r="CB308" s="1477"/>
      <c r="CC308" s="1477"/>
      <c r="CD308" s="1477"/>
      <c r="CE308" s="1477"/>
      <c r="CF308" s="1477"/>
      <c r="CG308" s="1477"/>
      <c r="CH308" s="1477"/>
    </row>
    <row r="309" spans="2:86">
      <c r="B309" s="1477"/>
      <c r="C309" s="1477"/>
      <c r="D309" s="1477"/>
      <c r="E309" s="1477"/>
      <c r="F309" s="1477"/>
      <c r="G309" s="1477"/>
      <c r="H309" s="1477"/>
      <c r="I309" s="1477"/>
      <c r="J309" s="1477"/>
      <c r="K309" s="1477"/>
      <c r="L309" s="1477"/>
      <c r="M309" s="1477"/>
      <c r="N309" s="1477"/>
      <c r="O309" s="1477"/>
      <c r="P309" s="1477"/>
      <c r="Q309" s="1477"/>
      <c r="R309" s="1477"/>
      <c r="S309" s="1477"/>
      <c r="T309" s="1477"/>
      <c r="U309" s="1477"/>
      <c r="V309" s="1477"/>
      <c r="W309" s="1477"/>
      <c r="X309" s="1477"/>
      <c r="Y309" s="1477"/>
      <c r="Z309" s="1477"/>
      <c r="AA309" s="1477"/>
      <c r="AB309" s="1477"/>
      <c r="AC309" s="1477"/>
      <c r="AD309" s="1477"/>
      <c r="AE309" s="1477"/>
      <c r="AF309" s="1477"/>
      <c r="AG309" s="1477"/>
      <c r="AH309" s="1477"/>
      <c r="AI309" s="1477"/>
      <c r="AJ309" s="1477"/>
      <c r="AK309" s="1477"/>
      <c r="AL309" s="1477"/>
      <c r="AM309" s="1477"/>
      <c r="AN309" s="1477"/>
      <c r="AO309" s="284"/>
      <c r="AP309" s="1477"/>
      <c r="AQ309" s="1477"/>
      <c r="AR309" s="1477"/>
      <c r="AS309" s="1477"/>
      <c r="AT309" s="1477"/>
      <c r="AU309" s="1477"/>
      <c r="AV309" s="1477"/>
      <c r="AW309" s="1477"/>
      <c r="AX309" s="1477"/>
      <c r="AY309" s="1477"/>
      <c r="AZ309" s="1477"/>
      <c r="BA309" s="1477"/>
      <c r="BB309" s="1477"/>
      <c r="BC309" s="1477"/>
      <c r="BD309" s="1477"/>
      <c r="BE309" s="1477"/>
      <c r="BF309" s="1477"/>
      <c r="BG309" s="1477"/>
      <c r="BH309" s="1477"/>
      <c r="BI309" s="1477"/>
      <c r="BJ309" s="1477"/>
      <c r="BK309" s="1477"/>
      <c r="BL309" s="1477"/>
      <c r="BM309" s="1477"/>
      <c r="BN309" s="1477"/>
      <c r="BO309" s="1477"/>
      <c r="BP309" s="1477"/>
      <c r="BQ309" s="1477"/>
      <c r="BR309" s="1477"/>
      <c r="BS309" s="1477"/>
      <c r="BT309" s="1477"/>
      <c r="BU309" s="1477"/>
      <c r="BV309" s="1477"/>
      <c r="BW309" s="1477"/>
      <c r="BX309" s="1477"/>
      <c r="BY309" s="1477"/>
      <c r="BZ309" s="1477"/>
      <c r="CA309" s="1477"/>
      <c r="CB309" s="1477"/>
      <c r="CC309" s="1477"/>
      <c r="CD309" s="1477"/>
      <c r="CE309" s="1477"/>
      <c r="CF309" s="1477"/>
      <c r="CG309" s="1477"/>
      <c r="CH309" s="1477"/>
    </row>
    <row r="310" spans="2:86">
      <c r="B310" s="1477"/>
      <c r="C310" s="1477"/>
      <c r="D310" s="1477"/>
      <c r="E310" s="1477"/>
      <c r="F310" s="1477"/>
      <c r="G310" s="1477"/>
      <c r="H310" s="1477"/>
      <c r="I310" s="1477"/>
      <c r="J310" s="1477"/>
      <c r="K310" s="1477"/>
      <c r="L310" s="1477"/>
      <c r="M310" s="1477"/>
      <c r="N310" s="1477"/>
      <c r="O310" s="1477"/>
      <c r="P310" s="1477"/>
      <c r="Q310" s="1477"/>
      <c r="R310" s="1477"/>
      <c r="S310" s="1477"/>
      <c r="T310" s="1477"/>
      <c r="U310" s="1477"/>
      <c r="V310" s="1477"/>
      <c r="W310" s="1477"/>
      <c r="X310" s="1477"/>
      <c r="Y310" s="1477"/>
      <c r="Z310" s="1477"/>
      <c r="AA310" s="1477"/>
      <c r="AB310" s="1477"/>
      <c r="AC310" s="1477"/>
      <c r="AD310" s="1477"/>
      <c r="AE310" s="1477"/>
      <c r="AF310" s="1477"/>
      <c r="AG310" s="1477"/>
      <c r="AH310" s="1477"/>
      <c r="AI310" s="1477"/>
      <c r="AJ310" s="1477"/>
      <c r="AK310" s="1477"/>
      <c r="AL310" s="1477"/>
      <c r="AM310" s="1477"/>
      <c r="AN310" s="1477"/>
      <c r="AO310" s="284"/>
      <c r="AP310" s="1477"/>
      <c r="AQ310" s="1477"/>
      <c r="AR310" s="1477"/>
      <c r="AS310" s="1477"/>
      <c r="AT310" s="1477"/>
      <c r="AU310" s="1477"/>
      <c r="AV310" s="1477"/>
      <c r="AW310" s="1477"/>
      <c r="AX310" s="1477"/>
      <c r="AY310" s="1477"/>
      <c r="AZ310" s="1477"/>
      <c r="BA310" s="1477"/>
      <c r="BB310" s="1477"/>
      <c r="BC310" s="1477"/>
      <c r="BD310" s="1477"/>
      <c r="BE310" s="1477"/>
      <c r="BF310" s="1477"/>
      <c r="BG310" s="1477"/>
      <c r="BH310" s="1477"/>
      <c r="BI310" s="1477"/>
      <c r="BJ310" s="1477"/>
      <c r="BK310" s="1477"/>
      <c r="BL310" s="1477"/>
      <c r="BM310" s="1477"/>
      <c r="BN310" s="1477"/>
      <c r="BO310" s="1477"/>
      <c r="BP310" s="1477"/>
      <c r="BQ310" s="1477"/>
      <c r="BR310" s="1477"/>
      <c r="BS310" s="1477"/>
      <c r="BT310" s="1477"/>
      <c r="BU310" s="1477"/>
      <c r="BV310" s="1477"/>
      <c r="BW310" s="1477"/>
      <c r="BX310" s="1477"/>
      <c r="BY310" s="1477"/>
      <c r="BZ310" s="1477"/>
      <c r="CA310" s="1477"/>
      <c r="CB310" s="1477"/>
      <c r="CC310" s="1477"/>
      <c r="CD310" s="1477"/>
      <c r="CE310" s="1477"/>
      <c r="CF310" s="1477"/>
      <c r="CG310" s="1477"/>
      <c r="CH310" s="1477"/>
    </row>
    <row r="311" spans="2:86">
      <c r="B311" s="1477"/>
      <c r="C311" s="1477"/>
      <c r="D311" s="1477"/>
      <c r="E311" s="1477"/>
      <c r="F311" s="1477"/>
      <c r="G311" s="1477"/>
      <c r="H311" s="1477"/>
      <c r="I311" s="1477"/>
      <c r="J311" s="1477"/>
      <c r="K311" s="1477"/>
      <c r="L311" s="1477"/>
      <c r="M311" s="1477"/>
      <c r="N311" s="1477"/>
      <c r="O311" s="1477"/>
      <c r="P311" s="1477"/>
      <c r="Q311" s="1477"/>
      <c r="R311" s="1477"/>
      <c r="S311" s="1477"/>
      <c r="T311" s="1477"/>
      <c r="U311" s="1477"/>
      <c r="V311" s="1477"/>
      <c r="W311" s="1477"/>
      <c r="X311" s="1477"/>
      <c r="Y311" s="1477"/>
      <c r="Z311" s="1477"/>
      <c r="AA311" s="1477"/>
      <c r="AB311" s="1477"/>
      <c r="AC311" s="1477"/>
      <c r="AD311" s="1477"/>
      <c r="AE311" s="1477"/>
      <c r="AF311" s="1477"/>
      <c r="AG311" s="1477"/>
      <c r="AH311" s="1477"/>
      <c r="AI311" s="1477"/>
      <c r="AJ311" s="1477"/>
      <c r="AK311" s="1477"/>
      <c r="AL311" s="1477"/>
      <c r="AM311" s="1477"/>
      <c r="AN311" s="1477"/>
      <c r="AO311" s="284"/>
      <c r="AP311" s="1477"/>
      <c r="AQ311" s="1477"/>
      <c r="AR311" s="1477"/>
      <c r="AS311" s="1477"/>
      <c r="AT311" s="1477"/>
      <c r="AU311" s="1477"/>
      <c r="AV311" s="1477"/>
      <c r="AW311" s="1477"/>
      <c r="AX311" s="1477"/>
      <c r="AY311" s="1477"/>
      <c r="AZ311" s="1477"/>
      <c r="BA311" s="1477"/>
      <c r="BB311" s="1477"/>
      <c r="BC311" s="1477"/>
      <c r="BD311" s="1477"/>
      <c r="BE311" s="1477"/>
      <c r="BF311" s="1477"/>
      <c r="BG311" s="1477"/>
      <c r="BH311" s="1477"/>
      <c r="BI311" s="1477"/>
      <c r="BJ311" s="1477"/>
      <c r="BK311" s="1477"/>
      <c r="BL311" s="1477"/>
      <c r="BM311" s="1477"/>
      <c r="BN311" s="1477"/>
      <c r="BO311" s="1477"/>
      <c r="BP311" s="1477"/>
      <c r="BQ311" s="1477"/>
      <c r="BR311" s="1477"/>
      <c r="BS311" s="1477"/>
      <c r="BT311" s="1477"/>
      <c r="BU311" s="1477"/>
      <c r="BV311" s="1477"/>
      <c r="BW311" s="1477"/>
      <c r="BX311" s="1477"/>
      <c r="BY311" s="1477"/>
      <c r="BZ311" s="1477"/>
      <c r="CA311" s="1477"/>
      <c r="CB311" s="1477"/>
      <c r="CC311" s="1477"/>
      <c r="CD311" s="1477"/>
      <c r="CE311" s="1477"/>
      <c r="CF311" s="1477"/>
      <c r="CG311" s="1477"/>
      <c r="CH311" s="1477"/>
    </row>
    <row r="312" spans="2:86">
      <c r="B312" s="1477"/>
      <c r="C312" s="1477"/>
      <c r="D312" s="1477"/>
      <c r="E312" s="1477"/>
      <c r="F312" s="1477"/>
      <c r="G312" s="1477"/>
      <c r="H312" s="1477"/>
      <c r="I312" s="1477"/>
      <c r="J312" s="1477"/>
      <c r="K312" s="1477"/>
      <c r="L312" s="1477"/>
      <c r="M312" s="1477"/>
      <c r="N312" s="1477"/>
      <c r="O312" s="1477"/>
      <c r="P312" s="1477"/>
      <c r="Q312" s="1477"/>
      <c r="R312" s="1477"/>
      <c r="S312" s="1477"/>
      <c r="T312" s="1477"/>
      <c r="U312" s="1477"/>
      <c r="V312" s="1477"/>
      <c r="W312" s="1477"/>
      <c r="X312" s="1477"/>
      <c r="Y312" s="1477"/>
      <c r="Z312" s="1477"/>
      <c r="AA312" s="1477"/>
      <c r="AB312" s="1477"/>
      <c r="AC312" s="1477"/>
      <c r="AD312" s="1477"/>
      <c r="AE312" s="1477"/>
      <c r="AF312" s="1477"/>
      <c r="AG312" s="1477"/>
      <c r="AH312" s="1477"/>
      <c r="AI312" s="1477"/>
      <c r="AJ312" s="1477"/>
      <c r="AK312" s="1477"/>
      <c r="AL312" s="1477"/>
      <c r="AM312" s="1477"/>
      <c r="AN312" s="1477"/>
      <c r="AO312" s="284"/>
      <c r="AP312" s="1477"/>
      <c r="AQ312" s="1477"/>
      <c r="AR312" s="1477"/>
      <c r="AS312" s="1477"/>
      <c r="AT312" s="1477"/>
      <c r="AU312" s="1477"/>
      <c r="AV312" s="1477"/>
      <c r="AW312" s="1477"/>
      <c r="AX312" s="1477"/>
      <c r="AY312" s="1477"/>
      <c r="AZ312" s="1477"/>
      <c r="BA312" s="1477"/>
      <c r="BB312" s="1477"/>
      <c r="BC312" s="1477"/>
      <c r="BD312" s="1477"/>
      <c r="BE312" s="1477"/>
      <c r="BF312" s="1477"/>
      <c r="BG312" s="1477"/>
      <c r="BH312" s="1477"/>
      <c r="BI312" s="1477"/>
      <c r="BJ312" s="1477"/>
      <c r="BK312" s="1477"/>
      <c r="BL312" s="1477"/>
      <c r="BM312" s="1477"/>
      <c r="BN312" s="1477"/>
      <c r="BO312" s="1477"/>
      <c r="BP312" s="1477"/>
      <c r="BQ312" s="1477"/>
      <c r="BR312" s="1477"/>
      <c r="BS312" s="1477"/>
      <c r="BT312" s="1477"/>
      <c r="BU312" s="1477"/>
      <c r="BV312" s="1477"/>
      <c r="BW312" s="1477"/>
      <c r="BX312" s="1477"/>
      <c r="BY312" s="1477"/>
      <c r="BZ312" s="1477"/>
      <c r="CA312" s="1477"/>
      <c r="CB312" s="1477"/>
      <c r="CC312" s="1477"/>
      <c r="CD312" s="1477"/>
      <c r="CE312" s="1477"/>
      <c r="CF312" s="1477"/>
      <c r="CG312" s="1477"/>
      <c r="CH312" s="1477"/>
    </row>
    <row r="313" spans="2:86">
      <c r="B313" s="1477"/>
      <c r="C313" s="1477"/>
      <c r="D313" s="1477"/>
      <c r="E313" s="1477"/>
      <c r="F313" s="1477"/>
      <c r="G313" s="1477"/>
      <c r="H313" s="1477"/>
      <c r="I313" s="1477"/>
      <c r="J313" s="1477"/>
      <c r="K313" s="1477"/>
      <c r="L313" s="1477"/>
      <c r="M313" s="1477"/>
      <c r="N313" s="1477"/>
      <c r="O313" s="1477"/>
      <c r="P313" s="1477"/>
      <c r="Q313" s="1477"/>
      <c r="R313" s="1477"/>
      <c r="S313" s="1477"/>
      <c r="T313" s="1477"/>
      <c r="U313" s="1477"/>
      <c r="V313" s="1477"/>
      <c r="W313" s="1477"/>
      <c r="X313" s="1477"/>
      <c r="Y313" s="1477"/>
      <c r="Z313" s="1477"/>
      <c r="AA313" s="1477"/>
      <c r="AB313" s="1477"/>
      <c r="AC313" s="1477"/>
      <c r="AD313" s="1477"/>
      <c r="AE313" s="1477"/>
      <c r="AF313" s="1477"/>
      <c r="AG313" s="1477"/>
      <c r="AH313" s="1477"/>
      <c r="AI313" s="1477"/>
      <c r="AJ313" s="1477"/>
      <c r="AK313" s="1477"/>
      <c r="AL313" s="1477"/>
      <c r="AM313" s="1477"/>
      <c r="AN313" s="1477"/>
      <c r="AO313" s="284"/>
      <c r="AP313" s="1477"/>
      <c r="AQ313" s="1477"/>
      <c r="AR313" s="1477"/>
      <c r="AS313" s="1477"/>
      <c r="AT313" s="1477"/>
      <c r="AU313" s="1477"/>
      <c r="AV313" s="1477"/>
      <c r="AW313" s="1477"/>
      <c r="AX313" s="1477"/>
      <c r="AY313" s="1477"/>
      <c r="AZ313" s="1477"/>
      <c r="BA313" s="1477"/>
      <c r="BB313" s="1477"/>
      <c r="BC313" s="1477"/>
      <c r="BD313" s="1477"/>
      <c r="BE313" s="1477"/>
      <c r="BF313" s="1477"/>
      <c r="BG313" s="1477"/>
      <c r="BH313" s="1477"/>
      <c r="BI313" s="1477"/>
      <c r="BJ313" s="1477"/>
      <c r="BK313" s="1477"/>
      <c r="BL313" s="1477"/>
      <c r="BM313" s="1477"/>
      <c r="BN313" s="1477"/>
      <c r="BO313" s="1477"/>
      <c r="BP313" s="1477"/>
      <c r="BQ313" s="1477"/>
      <c r="BR313" s="1477"/>
      <c r="BS313" s="1477"/>
      <c r="BT313" s="1477"/>
      <c r="BU313" s="1477"/>
      <c r="BV313" s="1477"/>
      <c r="BW313" s="1477"/>
      <c r="BX313" s="1477"/>
      <c r="BY313" s="1477"/>
      <c r="BZ313" s="1477"/>
      <c r="CA313" s="1477"/>
      <c r="CB313" s="1477"/>
      <c r="CC313" s="1477"/>
      <c r="CD313" s="1477"/>
      <c r="CE313" s="1477"/>
      <c r="CF313" s="1477"/>
      <c r="CG313" s="1477"/>
      <c r="CH313" s="1477"/>
    </row>
    <row r="314" spans="2:86">
      <c r="B314" s="1477"/>
      <c r="C314" s="1477"/>
      <c r="D314" s="1477"/>
      <c r="E314" s="1477"/>
      <c r="F314" s="1477"/>
      <c r="G314" s="1477"/>
      <c r="H314" s="1477"/>
      <c r="I314" s="1477"/>
      <c r="J314" s="1477"/>
      <c r="K314" s="1477"/>
      <c r="L314" s="1477"/>
      <c r="M314" s="1477"/>
      <c r="N314" s="1477"/>
      <c r="O314" s="1477"/>
      <c r="P314" s="1477"/>
      <c r="Q314" s="1477"/>
      <c r="R314" s="1477"/>
      <c r="S314" s="1477"/>
      <c r="T314" s="1477"/>
      <c r="U314" s="1477"/>
      <c r="V314" s="1477"/>
      <c r="W314" s="1477"/>
      <c r="X314" s="1477"/>
      <c r="Y314" s="1477"/>
      <c r="Z314" s="1477"/>
      <c r="AA314" s="1477"/>
      <c r="AB314" s="1477"/>
      <c r="AC314" s="1477"/>
      <c r="AD314" s="1477"/>
      <c r="AE314" s="1477"/>
      <c r="AF314" s="1477"/>
      <c r="AG314" s="1477"/>
      <c r="AH314" s="1477"/>
      <c r="AI314" s="1477"/>
      <c r="AJ314" s="1477"/>
      <c r="AK314" s="1477"/>
      <c r="AL314" s="1477"/>
      <c r="AM314" s="1477"/>
      <c r="AN314" s="1477"/>
      <c r="AO314" s="284"/>
      <c r="AP314" s="1477"/>
      <c r="AQ314" s="1477"/>
      <c r="AR314" s="1477"/>
      <c r="AS314" s="1477"/>
      <c r="AT314" s="1477"/>
      <c r="AU314" s="1477"/>
      <c r="AV314" s="1477"/>
      <c r="AW314" s="1477"/>
      <c r="AX314" s="1477"/>
      <c r="AY314" s="1477"/>
      <c r="AZ314" s="1477"/>
      <c r="BA314" s="1477"/>
      <c r="BB314" s="1477"/>
      <c r="BC314" s="1477"/>
      <c r="BD314" s="1477"/>
      <c r="BE314" s="1477"/>
      <c r="BF314" s="1477"/>
      <c r="BG314" s="1477"/>
      <c r="BH314" s="1477"/>
      <c r="BI314" s="1477"/>
      <c r="BJ314" s="1477"/>
      <c r="BK314" s="1477"/>
      <c r="BL314" s="1477"/>
      <c r="BM314" s="1477"/>
      <c r="BN314" s="1477"/>
      <c r="BO314" s="1477"/>
      <c r="BP314" s="1477"/>
      <c r="BQ314" s="1477"/>
      <c r="BR314" s="1477"/>
      <c r="BS314" s="1477"/>
      <c r="BT314" s="1477"/>
      <c r="BU314" s="1477"/>
      <c r="BV314" s="1477"/>
      <c r="BW314" s="1477"/>
      <c r="BX314" s="1477"/>
      <c r="BY314" s="1477"/>
      <c r="BZ314" s="1477"/>
      <c r="CA314" s="1477"/>
      <c r="CB314" s="1477"/>
      <c r="CC314" s="1477"/>
      <c r="CD314" s="1477"/>
      <c r="CE314" s="1477"/>
      <c r="CF314" s="1477"/>
      <c r="CG314" s="1477"/>
      <c r="CH314" s="1477"/>
    </row>
    <row r="315" spans="2:86">
      <c r="B315" s="1477"/>
      <c r="C315" s="1477"/>
      <c r="D315" s="1477"/>
      <c r="E315" s="1477"/>
      <c r="F315" s="1477"/>
      <c r="G315" s="1477"/>
      <c r="H315" s="1477"/>
      <c r="I315" s="1477"/>
      <c r="J315" s="1477"/>
      <c r="K315" s="1477"/>
      <c r="L315" s="1477"/>
      <c r="M315" s="1477"/>
      <c r="N315" s="1477"/>
      <c r="O315" s="1477"/>
      <c r="P315" s="1477"/>
      <c r="Q315" s="1477"/>
      <c r="R315" s="1477"/>
      <c r="S315" s="1477"/>
      <c r="T315" s="1477"/>
      <c r="U315" s="1477"/>
      <c r="V315" s="1477"/>
      <c r="W315" s="1477"/>
      <c r="X315" s="1477"/>
      <c r="Y315" s="1477"/>
      <c r="Z315" s="1477"/>
      <c r="AA315" s="1477"/>
      <c r="AB315" s="1477"/>
      <c r="AC315" s="1477"/>
      <c r="AD315" s="1477"/>
      <c r="AE315" s="1477"/>
      <c r="AF315" s="1477"/>
      <c r="AG315" s="1477"/>
      <c r="AH315" s="1477"/>
      <c r="AI315" s="1477"/>
      <c r="AJ315" s="1477"/>
      <c r="AK315" s="1477"/>
      <c r="AL315" s="1477"/>
      <c r="AM315" s="1477"/>
      <c r="AN315" s="1477"/>
      <c r="AO315" s="284"/>
      <c r="AP315" s="1477"/>
      <c r="AQ315" s="1477"/>
      <c r="AR315" s="1477"/>
      <c r="AS315" s="1477"/>
      <c r="AT315" s="1477"/>
      <c r="AU315" s="1477"/>
      <c r="AV315" s="1477"/>
      <c r="AW315" s="1477"/>
      <c r="AX315" s="1477"/>
      <c r="AY315" s="1477"/>
      <c r="AZ315" s="1477"/>
      <c r="BA315" s="1477"/>
      <c r="BB315" s="1477"/>
      <c r="BC315" s="1477"/>
      <c r="BD315" s="1477"/>
      <c r="BE315" s="1477"/>
      <c r="BF315" s="1477"/>
      <c r="BG315" s="1477"/>
      <c r="BH315" s="1477"/>
      <c r="BI315" s="1477"/>
      <c r="BJ315" s="1477"/>
      <c r="BK315" s="1477"/>
      <c r="BL315" s="1477"/>
      <c r="BM315" s="1477"/>
      <c r="BN315" s="1477"/>
      <c r="BO315" s="1477"/>
      <c r="BP315" s="1477"/>
      <c r="BQ315" s="1477"/>
      <c r="BR315" s="1477"/>
      <c r="BS315" s="1477"/>
      <c r="BT315" s="1477"/>
      <c r="BU315" s="1477"/>
      <c r="BV315" s="1477"/>
      <c r="BW315" s="1477"/>
      <c r="BX315" s="1477"/>
      <c r="BY315" s="1477"/>
      <c r="BZ315" s="1477"/>
      <c r="CA315" s="1477"/>
      <c r="CB315" s="1477"/>
      <c r="CC315" s="1477"/>
      <c r="CD315" s="1477"/>
      <c r="CE315" s="1477"/>
      <c r="CF315" s="1477"/>
      <c r="CG315" s="1477"/>
      <c r="CH315" s="1477"/>
    </row>
    <row r="316" spans="2:86">
      <c r="B316" s="1477"/>
      <c r="C316" s="1477"/>
      <c r="D316" s="1477"/>
      <c r="E316" s="1477"/>
      <c r="F316" s="1477"/>
      <c r="G316" s="1477"/>
      <c r="H316" s="1477"/>
      <c r="I316" s="1477"/>
      <c r="J316" s="1477"/>
      <c r="K316" s="1477"/>
      <c r="L316" s="1477"/>
      <c r="M316" s="1477"/>
      <c r="N316" s="1477"/>
      <c r="O316" s="1477"/>
      <c r="P316" s="1477"/>
      <c r="Q316" s="1477"/>
      <c r="R316" s="1477"/>
      <c r="S316" s="1477"/>
      <c r="T316" s="1477"/>
      <c r="U316" s="1477"/>
      <c r="V316" s="1477"/>
      <c r="W316" s="1477"/>
      <c r="X316" s="1477"/>
      <c r="Y316" s="1477"/>
      <c r="Z316" s="1477"/>
      <c r="AA316" s="1477"/>
      <c r="AB316" s="1477"/>
      <c r="AC316" s="1477"/>
      <c r="AD316" s="1477"/>
      <c r="AE316" s="1477"/>
      <c r="AF316" s="1477"/>
      <c r="AG316" s="1477"/>
      <c r="AH316" s="1477"/>
      <c r="AI316" s="1477"/>
      <c r="AJ316" s="1477"/>
      <c r="AK316" s="1477"/>
      <c r="AL316" s="1477"/>
      <c r="AM316" s="1477"/>
      <c r="AN316" s="1477"/>
      <c r="AO316" s="284"/>
      <c r="AP316" s="1477"/>
      <c r="AQ316" s="1477"/>
      <c r="AR316" s="1477"/>
      <c r="AS316" s="1477"/>
      <c r="AT316" s="1477"/>
      <c r="AU316" s="1477"/>
      <c r="AV316" s="1477"/>
      <c r="AW316" s="1477"/>
      <c r="AX316" s="1477"/>
      <c r="AY316" s="1477"/>
      <c r="AZ316" s="1477"/>
      <c r="BA316" s="1477"/>
      <c r="BB316" s="1477"/>
      <c r="BC316" s="1477"/>
      <c r="BD316" s="1477"/>
      <c r="BE316" s="1477"/>
      <c r="BF316" s="1477"/>
      <c r="BG316" s="1477"/>
      <c r="BH316" s="1477"/>
      <c r="BI316" s="1477"/>
      <c r="BJ316" s="1477"/>
      <c r="BK316" s="1477"/>
      <c r="BL316" s="1477"/>
      <c r="BM316" s="1477"/>
      <c r="BN316" s="1477"/>
      <c r="BO316" s="1477"/>
      <c r="BP316" s="1477"/>
      <c r="BQ316" s="1477"/>
      <c r="BR316" s="1477"/>
      <c r="BS316" s="1477"/>
      <c r="BT316" s="1477"/>
      <c r="BU316" s="1477"/>
      <c r="BV316" s="1477"/>
      <c r="BW316" s="1477"/>
      <c r="BX316" s="1477"/>
      <c r="BY316" s="1477"/>
      <c r="BZ316" s="1477"/>
      <c r="CA316" s="1477"/>
      <c r="CB316" s="1477"/>
      <c r="CC316" s="1477"/>
      <c r="CD316" s="1477"/>
      <c r="CE316" s="1477"/>
      <c r="CF316" s="1477"/>
      <c r="CG316" s="1477"/>
      <c r="CH316" s="1477"/>
    </row>
    <row r="317" spans="2:86">
      <c r="B317" s="1477"/>
      <c r="C317" s="1477"/>
      <c r="D317" s="1477"/>
      <c r="E317" s="1477"/>
      <c r="F317" s="1477"/>
      <c r="G317" s="1477"/>
      <c r="H317" s="1477"/>
      <c r="I317" s="1477"/>
      <c r="J317" s="1477"/>
      <c r="K317" s="1477"/>
      <c r="L317" s="1477"/>
      <c r="M317" s="1477"/>
      <c r="N317" s="1477"/>
      <c r="O317" s="1477"/>
      <c r="P317" s="1477"/>
      <c r="Q317" s="1477"/>
      <c r="R317" s="1477"/>
      <c r="S317" s="1477"/>
      <c r="T317" s="1477"/>
      <c r="U317" s="1477"/>
      <c r="V317" s="1477"/>
      <c r="W317" s="1477"/>
      <c r="X317" s="1477"/>
      <c r="Y317" s="1477"/>
      <c r="Z317" s="1477"/>
      <c r="AA317" s="1477"/>
      <c r="AB317" s="1477"/>
      <c r="AC317" s="1477"/>
      <c r="AD317" s="1477"/>
      <c r="AE317" s="1477"/>
      <c r="AF317" s="1477"/>
      <c r="AG317" s="1477"/>
      <c r="AH317" s="1477"/>
      <c r="AI317" s="1477"/>
      <c r="AJ317" s="1477"/>
      <c r="AK317" s="1477"/>
      <c r="AL317" s="1477"/>
      <c r="AM317" s="1477"/>
      <c r="AN317" s="1477"/>
      <c r="AO317" s="284"/>
      <c r="AP317" s="1477"/>
      <c r="AQ317" s="1477"/>
      <c r="AR317" s="1477"/>
      <c r="AS317" s="1477"/>
      <c r="AT317" s="1477"/>
      <c r="AU317" s="1477"/>
      <c r="AV317" s="1477"/>
      <c r="AW317" s="1477"/>
      <c r="AX317" s="1477"/>
      <c r="AY317" s="1477"/>
      <c r="AZ317" s="1477"/>
      <c r="BA317" s="1477"/>
      <c r="BB317" s="1477"/>
      <c r="BC317" s="1477"/>
      <c r="BD317" s="1477"/>
      <c r="BE317" s="1477"/>
      <c r="BF317" s="1477"/>
      <c r="BG317" s="1477"/>
      <c r="BH317" s="1477"/>
      <c r="BI317" s="1477"/>
      <c r="BJ317" s="1477"/>
      <c r="BK317" s="1477"/>
      <c r="BL317" s="1477"/>
      <c r="BM317" s="1477"/>
      <c r="BN317" s="1477"/>
      <c r="BO317" s="1477"/>
      <c r="BP317" s="1477"/>
      <c r="BQ317" s="1477"/>
      <c r="BR317" s="1477"/>
      <c r="BS317" s="1477"/>
      <c r="BT317" s="1477"/>
      <c r="BU317" s="1477"/>
      <c r="BV317" s="1477"/>
      <c r="BW317" s="1477"/>
      <c r="BX317" s="1477"/>
      <c r="BY317" s="1477"/>
      <c r="BZ317" s="1477"/>
      <c r="CA317" s="1477"/>
      <c r="CB317" s="1477"/>
      <c r="CC317" s="1477"/>
      <c r="CD317" s="1477"/>
      <c r="CE317" s="1477"/>
      <c r="CF317" s="1477"/>
      <c r="CG317" s="1477"/>
      <c r="CH317" s="1477"/>
    </row>
    <row r="318" spans="2:86">
      <c r="B318" s="1477"/>
      <c r="C318" s="1477"/>
      <c r="D318" s="1477"/>
      <c r="E318" s="1477"/>
      <c r="F318" s="1477"/>
      <c r="G318" s="1477"/>
      <c r="H318" s="1477"/>
      <c r="I318" s="1477"/>
      <c r="J318" s="1477"/>
      <c r="K318" s="1477"/>
      <c r="L318" s="1477"/>
      <c r="M318" s="1477"/>
      <c r="N318" s="1477"/>
      <c r="O318" s="1477"/>
      <c r="P318" s="1477"/>
      <c r="Q318" s="1477"/>
      <c r="R318" s="1477"/>
      <c r="S318" s="1477"/>
      <c r="T318" s="1477"/>
      <c r="U318" s="1477"/>
      <c r="V318" s="1477"/>
      <c r="W318" s="1477"/>
      <c r="X318" s="1477"/>
      <c r="Y318" s="1477"/>
      <c r="Z318" s="1477"/>
      <c r="AA318" s="1477"/>
      <c r="AB318" s="1477"/>
      <c r="AC318" s="1477"/>
      <c r="AD318" s="1477"/>
      <c r="AE318" s="1477"/>
      <c r="AF318" s="1477"/>
      <c r="AG318" s="1477"/>
      <c r="AH318" s="1477"/>
      <c r="AI318" s="1477"/>
      <c r="AJ318" s="1477"/>
      <c r="AK318" s="1477"/>
      <c r="AL318" s="1477"/>
      <c r="AM318" s="1477"/>
      <c r="AN318" s="1477"/>
      <c r="AO318" s="284"/>
      <c r="AP318" s="1477"/>
      <c r="AQ318" s="1477"/>
      <c r="AR318" s="1477"/>
      <c r="AS318" s="1477"/>
      <c r="AT318" s="1477"/>
      <c r="AU318" s="1477"/>
      <c r="AV318" s="1477"/>
      <c r="AW318" s="1477"/>
      <c r="AX318" s="1477"/>
      <c r="AY318" s="1477"/>
      <c r="AZ318" s="1477"/>
      <c r="BA318" s="1477"/>
      <c r="BB318" s="1477"/>
      <c r="BC318" s="1477"/>
      <c r="BD318" s="1477"/>
      <c r="BE318" s="1477"/>
      <c r="BF318" s="1477"/>
      <c r="BG318" s="1477"/>
      <c r="BH318" s="1477"/>
      <c r="BI318" s="1477"/>
      <c r="BJ318" s="1477"/>
      <c r="BK318" s="1477"/>
      <c r="BL318" s="1477"/>
      <c r="BM318" s="1477"/>
      <c r="BN318" s="1477"/>
      <c r="BO318" s="1477"/>
      <c r="BP318" s="1477"/>
      <c r="BQ318" s="1477"/>
      <c r="BR318" s="1477"/>
      <c r="BS318" s="1477"/>
      <c r="BT318" s="1477"/>
      <c r="BU318" s="1477"/>
      <c r="BV318" s="1477"/>
      <c r="BW318" s="1477"/>
      <c r="BX318" s="1477"/>
      <c r="BY318" s="1477"/>
      <c r="BZ318" s="1477"/>
      <c r="CA318" s="1477"/>
      <c r="CB318" s="1477"/>
      <c r="CC318" s="1477"/>
      <c r="CD318" s="1477"/>
      <c r="CE318" s="1477"/>
      <c r="CF318" s="1477"/>
      <c r="CG318" s="1477"/>
      <c r="CH318" s="1477"/>
    </row>
    <row r="319" spans="2:86">
      <c r="B319" s="1477"/>
      <c r="C319" s="1477"/>
      <c r="D319" s="1477"/>
      <c r="E319" s="1477"/>
      <c r="F319" s="1477"/>
      <c r="G319" s="1477"/>
      <c r="H319" s="1477"/>
      <c r="I319" s="1477"/>
      <c r="J319" s="1477"/>
      <c r="K319" s="1477"/>
      <c r="L319" s="1477"/>
      <c r="M319" s="1477"/>
      <c r="N319" s="1477"/>
      <c r="O319" s="1477"/>
      <c r="P319" s="1477"/>
      <c r="Q319" s="1477"/>
      <c r="R319" s="1477"/>
      <c r="S319" s="1477"/>
      <c r="T319" s="1477"/>
      <c r="U319" s="1477"/>
      <c r="V319" s="1477"/>
      <c r="W319" s="1477"/>
      <c r="X319" s="1477"/>
      <c r="Y319" s="1477"/>
      <c r="Z319" s="1477"/>
      <c r="AA319" s="1477"/>
      <c r="AB319" s="1477"/>
      <c r="AC319" s="1477"/>
      <c r="AD319" s="1477"/>
      <c r="AE319" s="1477"/>
      <c r="AF319" s="1477"/>
      <c r="AG319" s="1477"/>
      <c r="AH319" s="1477"/>
      <c r="AI319" s="1477"/>
      <c r="AJ319" s="1477"/>
      <c r="AK319" s="1477"/>
      <c r="AL319" s="1477"/>
      <c r="AM319" s="1477"/>
      <c r="AN319" s="1477"/>
      <c r="AO319" s="284"/>
      <c r="AP319" s="1477"/>
      <c r="AQ319" s="1477"/>
      <c r="AR319" s="1477"/>
      <c r="AS319" s="1477"/>
      <c r="AT319" s="1477"/>
      <c r="AU319" s="1477"/>
      <c r="AV319" s="1477"/>
      <c r="AW319" s="1477"/>
      <c r="AX319" s="1477"/>
      <c r="AY319" s="1477"/>
      <c r="AZ319" s="1477"/>
      <c r="BA319" s="1477"/>
      <c r="BB319" s="1477"/>
      <c r="BC319" s="1477"/>
      <c r="BD319" s="1477"/>
      <c r="BE319" s="1477"/>
      <c r="BF319" s="1477"/>
      <c r="BG319" s="1477"/>
      <c r="BH319" s="1477"/>
      <c r="BI319" s="1477"/>
      <c r="BJ319" s="1477"/>
      <c r="BK319" s="1477"/>
      <c r="BL319" s="1477"/>
      <c r="BM319" s="1477"/>
      <c r="BN319" s="1477"/>
      <c r="BO319" s="1477"/>
      <c r="BP319" s="1477"/>
      <c r="BQ319" s="1477"/>
      <c r="BR319" s="1477"/>
      <c r="BS319" s="1477"/>
      <c r="BT319" s="1477"/>
      <c r="BU319" s="1477"/>
      <c r="BV319" s="1477"/>
      <c r="BW319" s="1477"/>
      <c r="BX319" s="1477"/>
      <c r="BY319" s="1477"/>
      <c r="BZ319" s="1477"/>
      <c r="CA319" s="1477"/>
      <c r="CB319" s="1477"/>
      <c r="CC319" s="1477"/>
      <c r="CD319" s="1477"/>
      <c r="CE319" s="1477"/>
      <c r="CF319" s="1477"/>
      <c r="CG319" s="1477"/>
      <c r="CH319" s="1477"/>
    </row>
    <row r="320" spans="2:86">
      <c r="B320" s="1477"/>
      <c r="C320" s="1477"/>
      <c r="D320" s="1477"/>
      <c r="E320" s="1477"/>
      <c r="F320" s="1477"/>
      <c r="G320" s="1477"/>
      <c r="H320" s="1477"/>
      <c r="I320" s="1477"/>
      <c r="J320" s="1477"/>
      <c r="K320" s="1477"/>
      <c r="L320" s="1477"/>
      <c r="M320" s="1477"/>
      <c r="N320" s="1477"/>
      <c r="O320" s="1477"/>
      <c r="P320" s="1477"/>
      <c r="Q320" s="1477"/>
      <c r="R320" s="1477"/>
      <c r="S320" s="1477"/>
      <c r="T320" s="1477"/>
      <c r="U320" s="1477"/>
      <c r="V320" s="1477"/>
      <c r="W320" s="1477"/>
      <c r="X320" s="1477"/>
      <c r="Y320" s="1477"/>
      <c r="Z320" s="1477"/>
      <c r="AA320" s="1477"/>
      <c r="AB320" s="1477"/>
      <c r="AC320" s="1477"/>
      <c r="AD320" s="1477"/>
      <c r="AE320" s="1477"/>
      <c r="AF320" s="1477"/>
      <c r="AG320" s="1477"/>
      <c r="AH320" s="1477"/>
      <c r="AI320" s="1477"/>
      <c r="AJ320" s="1477"/>
      <c r="AK320" s="1477"/>
      <c r="AL320" s="1477"/>
      <c r="AM320" s="1477"/>
      <c r="AN320" s="1477"/>
      <c r="AO320" s="284"/>
      <c r="AP320" s="1477"/>
      <c r="AQ320" s="1477"/>
      <c r="AR320" s="1477"/>
      <c r="AS320" s="1477"/>
      <c r="AT320" s="1477"/>
      <c r="AU320" s="1477"/>
      <c r="AV320" s="1477"/>
      <c r="AW320" s="1477"/>
      <c r="AX320" s="1477"/>
      <c r="AY320" s="1477"/>
      <c r="AZ320" s="1477"/>
      <c r="BA320" s="1477"/>
      <c r="BB320" s="1477"/>
      <c r="BC320" s="1477"/>
      <c r="BD320" s="1477"/>
      <c r="BE320" s="1477"/>
      <c r="BF320" s="1477"/>
      <c r="BG320" s="1477"/>
      <c r="BH320" s="1477"/>
      <c r="BI320" s="1477"/>
      <c r="BJ320" s="1477"/>
      <c r="BK320" s="1477"/>
      <c r="BL320" s="1477"/>
      <c r="BM320" s="1477"/>
      <c r="BN320" s="1477"/>
      <c r="BO320" s="1477"/>
      <c r="BP320" s="1477"/>
      <c r="BQ320" s="1477"/>
      <c r="BR320" s="1477"/>
      <c r="BS320" s="1477"/>
      <c r="BT320" s="1477"/>
      <c r="BU320" s="1477"/>
      <c r="BV320" s="1477"/>
      <c r="BW320" s="1477"/>
      <c r="BX320" s="1477"/>
      <c r="BY320" s="1477"/>
      <c r="BZ320" s="1477"/>
      <c r="CA320" s="1477"/>
      <c r="CB320" s="1477"/>
      <c r="CC320" s="1477"/>
      <c r="CD320" s="1477"/>
      <c r="CE320" s="1477"/>
      <c r="CF320" s="1477"/>
      <c r="CG320" s="1477"/>
      <c r="CH320" s="1477"/>
    </row>
    <row r="321" spans="2:86">
      <c r="B321" s="1477"/>
      <c r="C321" s="1477"/>
      <c r="D321" s="1477"/>
      <c r="E321" s="1477"/>
      <c r="F321" s="1477"/>
      <c r="G321" s="1477"/>
      <c r="H321" s="1477"/>
      <c r="I321" s="1477"/>
      <c r="J321" s="1477"/>
      <c r="K321" s="1477"/>
      <c r="L321" s="1477"/>
      <c r="M321" s="1477"/>
      <c r="N321" s="1477"/>
      <c r="O321" s="1477"/>
      <c r="P321" s="1477"/>
      <c r="Q321" s="1477"/>
      <c r="R321" s="1477"/>
      <c r="S321" s="1477"/>
      <c r="T321" s="1477"/>
      <c r="U321" s="1477"/>
      <c r="V321" s="1477"/>
      <c r="W321" s="1477"/>
      <c r="X321" s="1477"/>
      <c r="Y321" s="1477"/>
      <c r="Z321" s="1477"/>
      <c r="AA321" s="1477"/>
      <c r="AB321" s="1477"/>
      <c r="AC321" s="1477"/>
      <c r="AD321" s="1477"/>
      <c r="AE321" s="1477"/>
      <c r="AF321" s="1477"/>
      <c r="AG321" s="1477"/>
      <c r="AH321" s="1477"/>
      <c r="AI321" s="1477"/>
      <c r="AJ321" s="1477"/>
      <c r="AK321" s="1477"/>
      <c r="AL321" s="1477"/>
      <c r="AM321" s="1477"/>
      <c r="AN321" s="1477"/>
      <c r="AO321" s="284"/>
      <c r="AP321" s="1477"/>
      <c r="AQ321" s="1477"/>
      <c r="AR321" s="1477"/>
      <c r="AS321" s="1477"/>
      <c r="AT321" s="1477"/>
      <c r="AU321" s="1477"/>
      <c r="AV321" s="1477"/>
      <c r="AW321" s="1477"/>
      <c r="AX321" s="1477"/>
      <c r="AY321" s="1477"/>
      <c r="AZ321" s="1477"/>
      <c r="BA321" s="1477"/>
      <c r="BB321" s="1477"/>
      <c r="BC321" s="1477"/>
      <c r="BD321" s="1477"/>
      <c r="BE321" s="1477"/>
      <c r="BF321" s="1477"/>
      <c r="BG321" s="1477"/>
      <c r="BH321" s="1477"/>
      <c r="BI321" s="1477"/>
      <c r="BJ321" s="1477"/>
      <c r="BK321" s="1477"/>
      <c r="BL321" s="1477"/>
      <c r="BM321" s="1477"/>
      <c r="BN321" s="1477"/>
      <c r="BO321" s="1477"/>
      <c r="BP321" s="1477"/>
      <c r="BQ321" s="1477"/>
      <c r="BR321" s="1477"/>
      <c r="BS321" s="1477"/>
      <c r="BT321" s="1477"/>
      <c r="BU321" s="1477"/>
      <c r="BV321" s="1477"/>
      <c r="BW321" s="1477"/>
      <c r="BX321" s="1477"/>
      <c r="BY321" s="1477"/>
      <c r="BZ321" s="1477"/>
      <c r="CA321" s="1477"/>
      <c r="CB321" s="1477"/>
      <c r="CC321" s="1477"/>
      <c r="CD321" s="1477"/>
      <c r="CE321" s="1477"/>
      <c r="CF321" s="1477"/>
      <c r="CG321" s="1477"/>
      <c r="CH321" s="1477"/>
    </row>
    <row r="322" spans="2:86">
      <c r="B322" s="1477"/>
      <c r="C322" s="1477"/>
      <c r="D322" s="1477"/>
      <c r="E322" s="1477"/>
      <c r="F322" s="1477"/>
      <c r="G322" s="1477"/>
      <c r="H322" s="1477"/>
      <c r="I322" s="1477"/>
      <c r="J322" s="1477"/>
      <c r="K322" s="1477"/>
      <c r="L322" s="1477"/>
      <c r="M322" s="1477"/>
      <c r="N322" s="1477"/>
      <c r="O322" s="1477"/>
      <c r="P322" s="1477"/>
      <c r="Q322" s="1477"/>
      <c r="R322" s="1477"/>
      <c r="S322" s="1477"/>
      <c r="T322" s="1477"/>
      <c r="U322" s="1477"/>
      <c r="V322" s="1477"/>
      <c r="W322" s="1477"/>
      <c r="X322" s="1477"/>
      <c r="Y322" s="1477"/>
      <c r="Z322" s="1477"/>
      <c r="AA322" s="1477"/>
      <c r="AB322" s="1477"/>
      <c r="AC322" s="1477"/>
      <c r="AD322" s="1477"/>
      <c r="AE322" s="1477"/>
      <c r="AF322" s="1477"/>
      <c r="AG322" s="1477"/>
      <c r="AH322" s="1477"/>
      <c r="AI322" s="1477"/>
      <c r="AJ322" s="1477"/>
      <c r="AK322" s="1477"/>
      <c r="AL322" s="1477"/>
      <c r="AM322" s="1477"/>
      <c r="AN322" s="1477"/>
      <c r="AO322" s="284"/>
      <c r="AP322" s="1477"/>
      <c r="AQ322" s="1477"/>
      <c r="AR322" s="1477"/>
      <c r="AS322" s="1477"/>
      <c r="AT322" s="1477"/>
      <c r="AU322" s="1477"/>
      <c r="AV322" s="1477"/>
      <c r="AW322" s="1477"/>
      <c r="AX322" s="1477"/>
      <c r="AY322" s="1477"/>
      <c r="AZ322" s="1477"/>
      <c r="BA322" s="1477"/>
      <c r="BB322" s="1477"/>
      <c r="BC322" s="1477"/>
      <c r="BD322" s="1477"/>
      <c r="BE322" s="1477"/>
      <c r="BF322" s="1477"/>
      <c r="BG322" s="1477"/>
      <c r="BH322" s="1477"/>
      <c r="BI322" s="1477"/>
      <c r="BJ322" s="1477"/>
      <c r="BK322" s="1477"/>
      <c r="BL322" s="1477"/>
      <c r="BM322" s="1477"/>
      <c r="BN322" s="1477"/>
      <c r="BO322" s="1477"/>
      <c r="BP322" s="1477"/>
      <c r="BQ322" s="1477"/>
      <c r="BR322" s="1477"/>
      <c r="BS322" s="1477"/>
      <c r="BT322" s="1477"/>
      <c r="BU322" s="1477"/>
      <c r="BV322" s="1477"/>
      <c r="BW322" s="1477"/>
      <c r="BX322" s="1477"/>
      <c r="BY322" s="1477"/>
      <c r="BZ322" s="1477"/>
      <c r="CA322" s="1477"/>
      <c r="CB322" s="1477"/>
      <c r="CC322" s="1477"/>
      <c r="CD322" s="1477"/>
      <c r="CE322" s="1477"/>
      <c r="CF322" s="1477"/>
      <c r="CG322" s="1477"/>
      <c r="CH322" s="1477"/>
    </row>
    <row r="323" spans="2:86">
      <c r="B323" s="1477"/>
      <c r="C323" s="1477"/>
      <c r="D323" s="1477"/>
      <c r="E323" s="1477"/>
      <c r="F323" s="1477"/>
      <c r="G323" s="1477"/>
      <c r="H323" s="1477"/>
      <c r="I323" s="1477"/>
      <c r="J323" s="1477"/>
      <c r="K323" s="1477"/>
      <c r="L323" s="1477"/>
      <c r="M323" s="1477"/>
      <c r="N323" s="1477"/>
      <c r="O323" s="1477"/>
      <c r="P323" s="1477"/>
      <c r="Q323" s="1477"/>
      <c r="R323" s="1477"/>
      <c r="S323" s="1477"/>
      <c r="T323" s="1477"/>
      <c r="U323" s="1477"/>
      <c r="V323" s="1477"/>
      <c r="W323" s="1477"/>
      <c r="X323" s="1477"/>
      <c r="Y323" s="1477"/>
      <c r="Z323" s="1477"/>
      <c r="AA323" s="1477"/>
      <c r="AB323" s="1477"/>
      <c r="AC323" s="1477"/>
      <c r="AD323" s="1477"/>
      <c r="AE323" s="1477"/>
      <c r="AF323" s="1477"/>
      <c r="AG323" s="1477"/>
      <c r="AH323" s="1477"/>
      <c r="AI323" s="1477"/>
      <c r="AJ323" s="1477"/>
      <c r="AK323" s="1477"/>
      <c r="AL323" s="1477"/>
      <c r="AM323" s="1477"/>
      <c r="AN323" s="1477"/>
      <c r="AO323" s="284"/>
      <c r="AP323" s="1477"/>
      <c r="AQ323" s="1477"/>
      <c r="AR323" s="1477"/>
      <c r="AS323" s="1477"/>
      <c r="AT323" s="1477"/>
      <c r="AU323" s="1477"/>
      <c r="AV323" s="1477"/>
      <c r="AW323" s="1477"/>
      <c r="AX323" s="1477"/>
      <c r="AY323" s="1477"/>
      <c r="AZ323" s="1477"/>
      <c r="BA323" s="1477"/>
      <c r="BB323" s="1477"/>
      <c r="BC323" s="1477"/>
      <c r="BD323" s="1477"/>
      <c r="BE323" s="1477"/>
      <c r="BF323" s="1477"/>
      <c r="BG323" s="1477"/>
      <c r="BH323" s="1477"/>
      <c r="BI323" s="1477"/>
      <c r="BJ323" s="1477"/>
      <c r="BK323" s="1477"/>
      <c r="BL323" s="1477"/>
      <c r="BM323" s="1477"/>
      <c r="BN323" s="1477"/>
      <c r="BO323" s="1477"/>
      <c r="BP323" s="1477"/>
      <c r="BQ323" s="1477"/>
      <c r="BR323" s="1477"/>
      <c r="BS323" s="1477"/>
      <c r="BT323" s="1477"/>
      <c r="BU323" s="1477"/>
      <c r="BV323" s="1477"/>
      <c r="BW323" s="1477"/>
      <c r="BX323" s="1477"/>
      <c r="BY323" s="1477"/>
      <c r="BZ323" s="1477"/>
      <c r="CA323" s="1477"/>
      <c r="CB323" s="1477"/>
      <c r="CC323" s="1477"/>
      <c r="CD323" s="1477"/>
      <c r="CE323" s="1477"/>
      <c r="CF323" s="1477"/>
      <c r="CG323" s="1477"/>
      <c r="CH323" s="1477"/>
    </row>
    <row r="324" spans="2:86">
      <c r="B324" s="1477"/>
      <c r="C324" s="1477"/>
      <c r="D324" s="1477"/>
      <c r="E324" s="1477"/>
      <c r="F324" s="1477"/>
      <c r="G324" s="1477"/>
      <c r="H324" s="1477"/>
      <c r="I324" s="1477"/>
      <c r="J324" s="1477"/>
      <c r="K324" s="1477"/>
      <c r="L324" s="1477"/>
      <c r="M324" s="1477"/>
      <c r="N324" s="1477"/>
      <c r="O324" s="1477"/>
      <c r="P324" s="1477"/>
      <c r="Q324" s="1477"/>
      <c r="R324" s="1477"/>
      <c r="S324" s="1477"/>
      <c r="T324" s="1477"/>
      <c r="U324" s="1477"/>
      <c r="V324" s="1477"/>
      <c r="W324" s="1477"/>
      <c r="X324" s="1477"/>
      <c r="Y324" s="1477"/>
      <c r="Z324" s="1477"/>
      <c r="AA324" s="1477"/>
      <c r="AB324" s="1477"/>
      <c r="AC324" s="1477"/>
      <c r="AD324" s="1477"/>
      <c r="AE324" s="1477"/>
      <c r="AF324" s="1477"/>
      <c r="AG324" s="1477"/>
      <c r="AH324" s="1477"/>
      <c r="AI324" s="1477"/>
      <c r="AJ324" s="1477"/>
      <c r="AK324" s="1477"/>
      <c r="AL324" s="1477"/>
      <c r="AM324" s="1477"/>
      <c r="AN324" s="1477"/>
      <c r="AO324" s="284"/>
      <c r="AP324" s="1477"/>
      <c r="AQ324" s="1477"/>
      <c r="AR324" s="1477"/>
      <c r="AS324" s="1477"/>
      <c r="AT324" s="1477"/>
      <c r="AU324" s="1477"/>
      <c r="AV324" s="1477"/>
      <c r="AW324" s="1477"/>
      <c r="AX324" s="1477"/>
      <c r="AY324" s="1477"/>
      <c r="AZ324" s="1477"/>
      <c r="BA324" s="1477"/>
      <c r="BB324" s="1477"/>
      <c r="BC324" s="1477"/>
      <c r="BD324" s="1477"/>
      <c r="BE324" s="1477"/>
      <c r="BF324" s="1477"/>
      <c r="BG324" s="1477"/>
      <c r="BH324" s="1477"/>
      <c r="BI324" s="1477"/>
      <c r="BJ324" s="1477"/>
      <c r="BK324" s="1477"/>
      <c r="BL324" s="1477"/>
      <c r="BM324" s="1477"/>
      <c r="BN324" s="1477"/>
      <c r="BO324" s="1477"/>
      <c r="BP324" s="1477"/>
      <c r="BQ324" s="1477"/>
      <c r="BR324" s="1477"/>
      <c r="BS324" s="1477"/>
      <c r="BT324" s="1477"/>
      <c r="BU324" s="1477"/>
      <c r="BV324" s="1477"/>
      <c r="BW324" s="1477"/>
      <c r="BX324" s="1477"/>
      <c r="BY324" s="1477"/>
      <c r="BZ324" s="1477"/>
      <c r="CA324" s="1477"/>
      <c r="CB324" s="1477"/>
      <c r="CC324" s="1477"/>
      <c r="CD324" s="1477"/>
      <c r="CE324" s="1477"/>
      <c r="CF324" s="1477"/>
      <c r="CG324" s="1477"/>
      <c r="CH324" s="1477"/>
    </row>
    <row r="325" spans="2:86">
      <c r="B325" s="1477"/>
      <c r="C325" s="1477"/>
      <c r="D325" s="1477"/>
      <c r="E325" s="1477"/>
      <c r="F325" s="1477"/>
      <c r="G325" s="1477"/>
      <c r="H325" s="1477"/>
      <c r="I325" s="1477"/>
      <c r="J325" s="1477"/>
      <c r="K325" s="1477"/>
      <c r="L325" s="1477"/>
      <c r="M325" s="1477"/>
      <c r="N325" s="1477"/>
      <c r="O325" s="1477"/>
      <c r="P325" s="1477"/>
      <c r="Q325" s="1477"/>
      <c r="R325" s="1477"/>
      <c r="S325" s="1477"/>
      <c r="T325" s="1477"/>
      <c r="U325" s="1477"/>
      <c r="V325" s="1477"/>
      <c r="W325" s="1477"/>
      <c r="X325" s="1477"/>
      <c r="Y325" s="1477"/>
      <c r="Z325" s="1477"/>
      <c r="AA325" s="1477"/>
      <c r="AB325" s="1477"/>
      <c r="AC325" s="1477"/>
      <c r="AD325" s="1477"/>
      <c r="AE325" s="1477"/>
      <c r="AF325" s="1477"/>
      <c r="AG325" s="1477"/>
      <c r="AH325" s="1477"/>
      <c r="AI325" s="1477"/>
      <c r="AJ325" s="1477"/>
      <c r="AK325" s="1477"/>
      <c r="AL325" s="1477"/>
      <c r="AM325" s="1477"/>
      <c r="AN325" s="1477"/>
      <c r="AO325" s="284"/>
      <c r="AP325" s="1477"/>
      <c r="AQ325" s="1477"/>
      <c r="AR325" s="1477"/>
      <c r="AS325" s="1477"/>
      <c r="AT325" s="1477"/>
      <c r="AU325" s="1477"/>
      <c r="AV325" s="1477"/>
      <c r="AW325" s="1477"/>
      <c r="AX325" s="1477"/>
      <c r="AY325" s="1477"/>
      <c r="AZ325" s="1477"/>
      <c r="BA325" s="1477"/>
      <c r="BB325" s="1477"/>
      <c r="BC325" s="1477"/>
      <c r="BD325" s="1477"/>
      <c r="BE325" s="1477"/>
      <c r="BF325" s="1477"/>
      <c r="BG325" s="1477"/>
      <c r="BH325" s="1477"/>
      <c r="BI325" s="1477"/>
      <c r="BJ325" s="1477"/>
      <c r="BK325" s="1477"/>
      <c r="BL325" s="1477"/>
      <c r="BM325" s="1477"/>
      <c r="BN325" s="1477"/>
      <c r="BO325" s="1477"/>
      <c r="BP325" s="1477"/>
      <c r="BQ325" s="1477"/>
      <c r="BR325" s="1477"/>
      <c r="BS325" s="1477"/>
      <c r="BT325" s="1477"/>
      <c r="BU325" s="1477"/>
      <c r="BV325" s="1477"/>
      <c r="BW325" s="1477"/>
      <c r="BX325" s="1477"/>
      <c r="BY325" s="1477"/>
      <c r="BZ325" s="1477"/>
      <c r="CA325" s="1477"/>
      <c r="CB325" s="1477"/>
      <c r="CC325" s="1477"/>
      <c r="CD325" s="1477"/>
      <c r="CE325" s="1477"/>
      <c r="CF325" s="1477"/>
      <c r="CG325" s="1477"/>
      <c r="CH325" s="1477"/>
    </row>
    <row r="326" spans="2:86">
      <c r="B326" s="1477"/>
      <c r="C326" s="1477"/>
      <c r="D326" s="1477"/>
      <c r="E326" s="1477"/>
      <c r="F326" s="1477"/>
      <c r="G326" s="1477"/>
      <c r="H326" s="1477"/>
      <c r="I326" s="1477"/>
      <c r="J326" s="1477"/>
      <c r="K326" s="1477"/>
      <c r="L326" s="1477"/>
      <c r="M326" s="1477"/>
      <c r="N326" s="1477"/>
      <c r="O326" s="1477"/>
      <c r="P326" s="1477"/>
      <c r="Q326" s="1477"/>
      <c r="R326" s="1477"/>
      <c r="S326" s="1477"/>
      <c r="T326" s="1477"/>
      <c r="U326" s="1477"/>
      <c r="V326" s="1477"/>
      <c r="W326" s="1477"/>
      <c r="X326" s="1477"/>
      <c r="Y326" s="1477"/>
      <c r="Z326" s="1477"/>
      <c r="AA326" s="1477"/>
      <c r="AB326" s="1477"/>
      <c r="AC326" s="1477"/>
      <c r="AD326" s="1477"/>
      <c r="AE326" s="1477"/>
      <c r="AF326" s="1477"/>
      <c r="AG326" s="1477"/>
      <c r="AH326" s="1477"/>
      <c r="AI326" s="1477"/>
      <c r="AJ326" s="1477"/>
      <c r="AK326" s="1477"/>
      <c r="AL326" s="1477"/>
      <c r="AM326" s="1477"/>
      <c r="AN326" s="1477"/>
      <c r="AO326" s="284"/>
      <c r="AP326" s="1477"/>
      <c r="AQ326" s="1477"/>
      <c r="AR326" s="1477"/>
      <c r="AS326" s="1477"/>
      <c r="AT326" s="1477"/>
      <c r="AU326" s="1477"/>
      <c r="AV326" s="1477"/>
      <c r="AW326" s="1477"/>
      <c r="AX326" s="1477"/>
      <c r="AY326" s="1477"/>
      <c r="AZ326" s="1477"/>
      <c r="BA326" s="1477"/>
      <c r="BB326" s="1477"/>
      <c r="BC326" s="1477"/>
      <c r="BD326" s="1477"/>
      <c r="BE326" s="1477"/>
      <c r="BF326" s="1477"/>
      <c r="BG326" s="1477"/>
      <c r="BH326" s="1477"/>
      <c r="BI326" s="1477"/>
      <c r="BJ326" s="1477"/>
      <c r="BK326" s="1477"/>
      <c r="BL326" s="1477"/>
      <c r="BM326" s="1477"/>
      <c r="BN326" s="1477"/>
      <c r="BO326" s="1477"/>
      <c r="BP326" s="1477"/>
      <c r="BQ326" s="1477"/>
      <c r="BR326" s="1477"/>
      <c r="BS326" s="1477"/>
      <c r="BT326" s="1477"/>
      <c r="BU326" s="1477"/>
      <c r="BV326" s="1477"/>
      <c r="BW326" s="1477"/>
      <c r="BX326" s="1477"/>
      <c r="BY326" s="1477"/>
      <c r="BZ326" s="1477"/>
      <c r="CA326" s="1477"/>
      <c r="CB326" s="1477"/>
      <c r="CC326" s="1477"/>
      <c r="CD326" s="1477"/>
      <c r="CE326" s="1477"/>
      <c r="CF326" s="1477"/>
      <c r="CG326" s="1477"/>
      <c r="CH326" s="1477"/>
    </row>
    <row r="327" spans="2:86">
      <c r="B327" s="1477"/>
      <c r="C327" s="1477"/>
      <c r="D327" s="1477"/>
      <c r="E327" s="1477"/>
      <c r="F327" s="1477"/>
      <c r="G327" s="1477"/>
      <c r="H327" s="1477"/>
      <c r="I327" s="1477"/>
      <c r="J327" s="1477"/>
      <c r="K327" s="1477"/>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477"/>
      <c r="AI327" s="1477"/>
      <c r="AJ327" s="1477"/>
      <c r="AK327" s="1477"/>
      <c r="AL327" s="1477"/>
      <c r="AM327" s="1477"/>
      <c r="AN327" s="1477"/>
      <c r="AO327" s="284"/>
      <c r="AP327" s="1477"/>
      <c r="AQ327" s="1477"/>
      <c r="AR327" s="1477"/>
      <c r="AS327" s="1477"/>
      <c r="AT327" s="1477"/>
      <c r="AU327" s="1477"/>
      <c r="AV327" s="1477"/>
      <c r="AW327" s="1477"/>
      <c r="AX327" s="1477"/>
      <c r="AY327" s="1477"/>
      <c r="AZ327" s="1477"/>
      <c r="BA327" s="1477"/>
      <c r="BB327" s="1477"/>
      <c r="BC327" s="1477"/>
      <c r="BD327" s="1477"/>
      <c r="BE327" s="1477"/>
      <c r="BF327" s="1477"/>
      <c r="BG327" s="1477"/>
      <c r="BH327" s="1477"/>
      <c r="BI327" s="1477"/>
      <c r="BJ327" s="1477"/>
      <c r="BK327" s="1477"/>
      <c r="BL327" s="1477"/>
      <c r="BM327" s="1477"/>
      <c r="BN327" s="1477"/>
      <c r="BO327" s="1477"/>
      <c r="BP327" s="1477"/>
      <c r="BQ327" s="1477"/>
      <c r="BR327" s="1477"/>
      <c r="BS327" s="1477"/>
      <c r="BT327" s="1477"/>
      <c r="BU327" s="1477"/>
      <c r="BV327" s="1477"/>
      <c r="BW327" s="1477"/>
      <c r="BX327" s="1477"/>
      <c r="BY327" s="1477"/>
      <c r="BZ327" s="1477"/>
      <c r="CA327" s="1477"/>
      <c r="CB327" s="1477"/>
      <c r="CC327" s="1477"/>
      <c r="CD327" s="1477"/>
      <c r="CE327" s="1477"/>
      <c r="CF327" s="1477"/>
      <c r="CG327" s="1477"/>
      <c r="CH327" s="1477"/>
    </row>
    <row r="328" spans="2:86">
      <c r="B328" s="1477"/>
      <c r="C328" s="1477"/>
      <c r="D328" s="1477"/>
      <c r="E328" s="1477"/>
      <c r="F328" s="1477"/>
      <c r="G328" s="1477"/>
      <c r="H328" s="1477"/>
      <c r="I328" s="1477"/>
      <c r="J328" s="1477"/>
      <c r="K328" s="1477"/>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477"/>
      <c r="AI328" s="1477"/>
      <c r="AJ328" s="1477"/>
      <c r="AK328" s="1477"/>
      <c r="AL328" s="1477"/>
      <c r="AM328" s="1477"/>
      <c r="AN328" s="1477"/>
      <c r="AO328" s="284"/>
      <c r="AP328" s="1477"/>
      <c r="AQ328" s="1477"/>
      <c r="AR328" s="1477"/>
      <c r="AS328" s="1477"/>
      <c r="AT328" s="1477"/>
      <c r="AU328" s="1477"/>
      <c r="AV328" s="1477"/>
      <c r="AW328" s="1477"/>
      <c r="AX328" s="1477"/>
      <c r="AY328" s="1477"/>
      <c r="AZ328" s="1477"/>
      <c r="BA328" s="1477"/>
      <c r="BB328" s="1477"/>
      <c r="BC328" s="1477"/>
      <c r="BD328" s="1477"/>
      <c r="BE328" s="1477"/>
      <c r="BF328" s="1477"/>
      <c r="BG328" s="1477"/>
      <c r="BH328" s="1477"/>
      <c r="BI328" s="1477"/>
      <c r="BJ328" s="1477"/>
      <c r="BK328" s="1477"/>
      <c r="BL328" s="1477"/>
      <c r="BM328" s="1477"/>
      <c r="BN328" s="1477"/>
      <c r="BO328" s="1477"/>
      <c r="BP328" s="1477"/>
      <c r="BQ328" s="1477"/>
      <c r="BR328" s="1477"/>
      <c r="BS328" s="1477"/>
      <c r="BT328" s="1477"/>
      <c r="BU328" s="1477"/>
      <c r="BV328" s="1477"/>
      <c r="BW328" s="1477"/>
      <c r="BX328" s="1477"/>
      <c r="BY328" s="1477"/>
      <c r="BZ328" s="1477"/>
      <c r="CA328" s="1477"/>
      <c r="CB328" s="1477"/>
      <c r="CC328" s="1477"/>
      <c r="CD328" s="1477"/>
      <c r="CE328" s="1477"/>
      <c r="CF328" s="1477"/>
      <c r="CG328" s="1477"/>
      <c r="CH328" s="1477"/>
    </row>
    <row r="329" spans="2:86">
      <c r="B329" s="1477"/>
      <c r="C329" s="1477"/>
      <c r="D329" s="1477"/>
      <c r="E329" s="1477"/>
      <c r="F329" s="1477"/>
      <c r="G329" s="1477"/>
      <c r="H329" s="1477"/>
      <c r="I329" s="1477"/>
      <c r="J329" s="1477"/>
      <c r="K329" s="1477"/>
      <c r="L329" s="1477"/>
      <c r="M329" s="1477"/>
      <c r="N329" s="1477"/>
      <c r="O329" s="1477"/>
      <c r="P329" s="1477"/>
      <c r="Q329" s="1477"/>
      <c r="R329" s="1477"/>
      <c r="S329" s="1477"/>
      <c r="T329" s="1477"/>
      <c r="U329" s="1477"/>
      <c r="V329" s="1477"/>
      <c r="W329" s="1477"/>
      <c r="X329" s="1477"/>
      <c r="Y329" s="1477"/>
      <c r="Z329" s="1477"/>
      <c r="AA329" s="1477"/>
      <c r="AB329" s="1477"/>
      <c r="AC329" s="1477"/>
      <c r="AD329" s="1477"/>
      <c r="AE329" s="1477"/>
      <c r="AF329" s="1477"/>
      <c r="AG329" s="1477"/>
      <c r="AH329" s="1477"/>
      <c r="AI329" s="1477"/>
      <c r="AJ329" s="1477"/>
      <c r="AK329" s="1477"/>
      <c r="AL329" s="1477"/>
      <c r="AM329" s="1477"/>
      <c r="AN329" s="1477"/>
      <c r="AO329" s="284"/>
      <c r="AP329" s="1477"/>
      <c r="AQ329" s="1477"/>
      <c r="AR329" s="1477"/>
      <c r="AS329" s="1477"/>
      <c r="AT329" s="1477"/>
      <c r="AU329" s="1477"/>
      <c r="AV329" s="1477"/>
      <c r="AW329" s="1477"/>
      <c r="AX329" s="1477"/>
      <c r="AY329" s="1477"/>
      <c r="AZ329" s="1477"/>
      <c r="BA329" s="1477"/>
      <c r="BB329" s="1477"/>
      <c r="BC329" s="1477"/>
      <c r="BD329" s="1477"/>
      <c r="BE329" s="1477"/>
      <c r="BF329" s="1477"/>
      <c r="BG329" s="1477"/>
      <c r="BH329" s="1477"/>
      <c r="BI329" s="1477"/>
      <c r="BJ329" s="1477"/>
      <c r="BK329" s="1477"/>
      <c r="BL329" s="1477"/>
      <c r="BM329" s="1477"/>
      <c r="BN329" s="1477"/>
      <c r="BO329" s="1477"/>
      <c r="BP329" s="1477"/>
      <c r="BQ329" s="1477"/>
      <c r="BR329" s="1477"/>
      <c r="BS329" s="1477"/>
      <c r="BT329" s="1477"/>
      <c r="BU329" s="1477"/>
      <c r="BV329" s="1477"/>
      <c r="BW329" s="1477"/>
      <c r="BX329" s="1477"/>
      <c r="BY329" s="1477"/>
      <c r="BZ329" s="1477"/>
      <c r="CA329" s="1477"/>
      <c r="CB329" s="1477"/>
      <c r="CC329" s="1477"/>
      <c r="CD329" s="1477"/>
      <c r="CE329" s="1477"/>
      <c r="CF329" s="1477"/>
      <c r="CG329" s="1477"/>
      <c r="CH329" s="1477"/>
    </row>
    <row r="330" spans="2:86">
      <c r="B330" s="1477"/>
      <c r="C330" s="1477"/>
      <c r="D330" s="1477"/>
      <c r="E330" s="1477"/>
      <c r="F330" s="1477"/>
      <c r="G330" s="1477"/>
      <c r="H330" s="1477"/>
      <c r="I330" s="1477"/>
      <c r="J330" s="1477"/>
      <c r="K330" s="1477"/>
      <c r="L330" s="1477"/>
      <c r="M330" s="1477"/>
      <c r="N330" s="1477"/>
      <c r="O330" s="1477"/>
      <c r="P330" s="1477"/>
      <c r="Q330" s="1477"/>
      <c r="R330" s="1477"/>
      <c r="S330" s="1477"/>
      <c r="T330" s="1477"/>
      <c r="U330" s="1477"/>
      <c r="V330" s="1477"/>
      <c r="W330" s="1477"/>
      <c r="X330" s="1477"/>
      <c r="Y330" s="1477"/>
      <c r="Z330" s="1477"/>
      <c r="AA330" s="1477"/>
      <c r="AB330" s="1477"/>
      <c r="AC330" s="1477"/>
      <c r="AD330" s="1477"/>
      <c r="AE330" s="1477"/>
      <c r="AF330" s="1477"/>
      <c r="AG330" s="1477"/>
      <c r="AH330" s="1477"/>
      <c r="AI330" s="1477"/>
      <c r="AJ330" s="1477"/>
      <c r="AK330" s="1477"/>
      <c r="AL330" s="1477"/>
      <c r="AM330" s="1477"/>
      <c r="AN330" s="1477"/>
      <c r="AO330" s="284"/>
      <c r="AP330" s="1477"/>
      <c r="AQ330" s="1477"/>
      <c r="AR330" s="1477"/>
      <c r="AS330" s="1477"/>
      <c r="AT330" s="1477"/>
      <c r="AU330" s="1477"/>
      <c r="AV330" s="1477"/>
      <c r="AW330" s="1477"/>
      <c r="AX330" s="1477"/>
      <c r="AY330" s="1477"/>
      <c r="AZ330" s="1477"/>
      <c r="BA330" s="1477"/>
      <c r="BB330" s="1477"/>
      <c r="BC330" s="1477"/>
      <c r="BD330" s="1477"/>
      <c r="BE330" s="1477"/>
      <c r="BF330" s="1477"/>
      <c r="BG330" s="1477"/>
      <c r="BH330" s="1477"/>
      <c r="BI330" s="1477"/>
      <c r="BJ330" s="1477"/>
      <c r="BK330" s="1477"/>
      <c r="BL330" s="1477"/>
      <c r="BM330" s="1477"/>
      <c r="BN330" s="1477"/>
      <c r="BO330" s="1477"/>
      <c r="BP330" s="1477"/>
      <c r="BQ330" s="1477"/>
      <c r="BR330" s="1477"/>
      <c r="BS330" s="1477"/>
      <c r="BT330" s="1477"/>
      <c r="BU330" s="1477"/>
      <c r="BV330" s="1477"/>
      <c r="BW330" s="1477"/>
      <c r="BX330" s="1477"/>
      <c r="BY330" s="1477"/>
      <c r="BZ330" s="1477"/>
      <c r="CA330" s="1477"/>
      <c r="CB330" s="1477"/>
      <c r="CC330" s="1477"/>
      <c r="CD330" s="1477"/>
      <c r="CE330" s="1477"/>
      <c r="CF330" s="1477"/>
      <c r="CG330" s="1477"/>
      <c r="CH330" s="1477"/>
    </row>
    <row r="331" spans="2:86">
      <c r="B331" s="1477"/>
      <c r="C331" s="1477"/>
      <c r="D331" s="1477"/>
      <c r="E331" s="1477"/>
      <c r="F331" s="1477"/>
      <c r="G331" s="1477"/>
      <c r="H331" s="1477"/>
      <c r="I331" s="1477"/>
      <c r="J331" s="1477"/>
      <c r="K331" s="1477"/>
      <c r="L331" s="1477"/>
      <c r="M331" s="1477"/>
      <c r="N331" s="1477"/>
      <c r="O331" s="1477"/>
      <c r="P331" s="1477"/>
      <c r="Q331" s="1477"/>
      <c r="R331" s="1477"/>
      <c r="S331" s="1477"/>
      <c r="T331" s="1477"/>
      <c r="U331" s="1477"/>
      <c r="V331" s="1477"/>
      <c r="W331" s="1477"/>
      <c r="X331" s="1477"/>
      <c r="Y331" s="1477"/>
      <c r="Z331" s="1477"/>
      <c r="AA331" s="1477"/>
      <c r="AB331" s="1477"/>
      <c r="AC331" s="1477"/>
      <c r="AD331" s="1477"/>
      <c r="AE331" s="1477"/>
      <c r="AF331" s="1477"/>
      <c r="AG331" s="1477"/>
      <c r="AH331" s="1477"/>
      <c r="AI331" s="1477"/>
      <c r="AJ331" s="1477"/>
      <c r="AK331" s="1477"/>
      <c r="AL331" s="1477"/>
      <c r="AM331" s="1477"/>
      <c r="AN331" s="1477"/>
      <c r="AO331" s="284"/>
      <c r="AP331" s="1477"/>
      <c r="AQ331" s="1477"/>
      <c r="AR331" s="1477"/>
      <c r="AS331" s="1477"/>
      <c r="AT331" s="1477"/>
      <c r="AU331" s="1477"/>
      <c r="AV331" s="1477"/>
      <c r="AW331" s="1477"/>
      <c r="AX331" s="1477"/>
      <c r="AY331" s="1477"/>
      <c r="AZ331" s="1477"/>
      <c r="BA331" s="1477"/>
      <c r="BB331" s="1477"/>
      <c r="BC331" s="1477"/>
      <c r="BD331" s="1477"/>
      <c r="BE331" s="1477"/>
      <c r="BF331" s="1477"/>
      <c r="BG331" s="1477"/>
      <c r="BH331" s="1477"/>
      <c r="BI331" s="1477"/>
      <c r="BJ331" s="1477"/>
      <c r="BK331" s="1477"/>
      <c r="BL331" s="1477"/>
      <c r="BM331" s="1477"/>
      <c r="BN331" s="1477"/>
      <c r="BO331" s="1477"/>
      <c r="BP331" s="1477"/>
      <c r="BQ331" s="1477"/>
      <c r="BR331" s="1477"/>
      <c r="BS331" s="1477"/>
      <c r="BT331" s="1477"/>
      <c r="BU331" s="1477"/>
      <c r="BV331" s="1477"/>
      <c r="BW331" s="1477"/>
      <c r="BX331" s="1477"/>
      <c r="BY331" s="1477"/>
      <c r="BZ331" s="1477"/>
      <c r="CA331" s="1477"/>
      <c r="CB331" s="1477"/>
      <c r="CC331" s="1477"/>
      <c r="CD331" s="1477"/>
      <c r="CE331" s="1477"/>
      <c r="CF331" s="1477"/>
      <c r="CG331" s="1477"/>
      <c r="CH331" s="1477"/>
    </row>
    <row r="332" spans="2:86">
      <c r="B332" s="1477"/>
      <c r="C332" s="1477"/>
      <c r="D332" s="1477"/>
      <c r="E332" s="1477"/>
      <c r="F332" s="1477"/>
      <c r="G332" s="1477"/>
      <c r="H332" s="1477"/>
      <c r="I332" s="1477"/>
      <c r="J332" s="1477"/>
      <c r="K332" s="1477"/>
      <c r="L332" s="1477"/>
      <c r="M332" s="1477"/>
      <c r="N332" s="1477"/>
      <c r="O332" s="1477"/>
      <c r="P332" s="1477"/>
      <c r="Q332" s="1477"/>
      <c r="R332" s="1477"/>
      <c r="S332" s="1477"/>
      <c r="T332" s="1477"/>
      <c r="U332" s="1477"/>
      <c r="V332" s="1477"/>
      <c r="W332" s="1477"/>
      <c r="X332" s="1477"/>
      <c r="Y332" s="1477"/>
      <c r="Z332" s="1477"/>
      <c r="AA332" s="1477"/>
      <c r="AB332" s="1477"/>
      <c r="AC332" s="1477"/>
      <c r="AD332" s="1477"/>
      <c r="AE332" s="1477"/>
      <c r="AF332" s="1477"/>
      <c r="AG332" s="1477"/>
      <c r="AH332" s="1477"/>
      <c r="AI332" s="1477"/>
      <c r="AJ332" s="1477"/>
      <c r="AK332" s="1477"/>
      <c r="AL332" s="1477"/>
      <c r="AM332" s="1477"/>
      <c r="AN332" s="1477"/>
      <c r="AO332" s="284"/>
      <c r="AP332" s="1477"/>
      <c r="AQ332" s="1477"/>
      <c r="AR332" s="1477"/>
      <c r="AS332" s="1477"/>
      <c r="AT332" s="1477"/>
      <c r="AU332" s="1477"/>
      <c r="AV332" s="1477"/>
      <c r="AW332" s="1477"/>
      <c r="AX332" s="1477"/>
      <c r="AY332" s="1477"/>
      <c r="AZ332" s="1477"/>
      <c r="BA332" s="1477"/>
      <c r="BB332" s="1477"/>
      <c r="BC332" s="1477"/>
      <c r="BD332" s="1477"/>
      <c r="BE332" s="1477"/>
      <c r="BF332" s="1477"/>
      <c r="BG332" s="1477"/>
      <c r="BH332" s="1477"/>
      <c r="BI332" s="1477"/>
      <c r="BJ332" s="1477"/>
      <c r="BK332" s="1477"/>
      <c r="BL332" s="1477"/>
      <c r="BM332" s="1477"/>
      <c r="BN332" s="1477"/>
      <c r="BO332" s="1477"/>
      <c r="BP332" s="1477"/>
      <c r="BQ332" s="1477"/>
      <c r="BR332" s="1477"/>
      <c r="BS332" s="1477"/>
      <c r="BT332" s="1477"/>
      <c r="BU332" s="1477"/>
      <c r="BV332" s="1477"/>
      <c r="BW332" s="1477"/>
      <c r="BX332" s="1477"/>
      <c r="BY332" s="1477"/>
      <c r="BZ332" s="1477"/>
      <c r="CA332" s="1477"/>
      <c r="CB332" s="1477"/>
      <c r="CC332" s="1477"/>
      <c r="CD332" s="1477"/>
      <c r="CE332" s="1477"/>
      <c r="CF332" s="1477"/>
      <c r="CG332" s="1477"/>
      <c r="CH332" s="1477"/>
    </row>
    <row r="333" spans="2:86">
      <c r="B333" s="1477"/>
      <c r="C333" s="1477"/>
      <c r="D333" s="1477"/>
      <c r="E333" s="1477"/>
      <c r="F333" s="1477"/>
      <c r="G333" s="1477"/>
      <c r="H333" s="1477"/>
      <c r="I333" s="1477"/>
      <c r="J333" s="1477"/>
      <c r="K333" s="1477"/>
      <c r="L333" s="1477"/>
      <c r="M333" s="1477"/>
      <c r="N333" s="1477"/>
      <c r="O333" s="1477"/>
      <c r="P333" s="1477"/>
      <c r="Q333" s="1477"/>
      <c r="R333" s="1477"/>
      <c r="S333" s="1477"/>
      <c r="T333" s="1477"/>
      <c r="U333" s="1477"/>
      <c r="V333" s="1477"/>
      <c r="W333" s="1477"/>
      <c r="X333" s="1477"/>
      <c r="Y333" s="1477"/>
      <c r="Z333" s="1477"/>
      <c r="AA333" s="1477"/>
      <c r="AB333" s="1477"/>
      <c r="AC333" s="1477"/>
      <c r="AD333" s="1477"/>
      <c r="AE333" s="1477"/>
      <c r="AF333" s="1477"/>
      <c r="AG333" s="1477"/>
      <c r="AH333" s="1477"/>
      <c r="AI333" s="1477"/>
      <c r="AJ333" s="1477"/>
      <c r="AK333" s="1477"/>
      <c r="AL333" s="1477"/>
      <c r="AM333" s="1477"/>
      <c r="AN333" s="1477"/>
      <c r="AO333" s="284"/>
      <c r="AP333" s="1477"/>
      <c r="AQ333" s="1477"/>
      <c r="AR333" s="1477"/>
      <c r="AS333" s="1477"/>
      <c r="AT333" s="1477"/>
      <c r="AU333" s="1477"/>
      <c r="AV333" s="1477"/>
      <c r="AW333" s="1477"/>
      <c r="AX333" s="1477"/>
      <c r="AY333" s="1477"/>
      <c r="AZ333" s="1477"/>
      <c r="BA333" s="1477"/>
      <c r="BB333" s="1477"/>
      <c r="BC333" s="1477"/>
      <c r="BD333" s="1477"/>
      <c r="BE333" s="1477"/>
      <c r="BF333" s="1477"/>
      <c r="BG333" s="1477"/>
      <c r="BH333" s="1477"/>
      <c r="BI333" s="1477"/>
      <c r="BJ333" s="1477"/>
      <c r="BK333" s="1477"/>
      <c r="BL333" s="1477"/>
      <c r="BM333" s="1477"/>
      <c r="BN333" s="1477"/>
      <c r="BO333" s="1477"/>
      <c r="BP333" s="1477"/>
      <c r="BQ333" s="1477"/>
      <c r="BR333" s="1477"/>
      <c r="BS333" s="1477"/>
      <c r="BT333" s="1477"/>
      <c r="BU333" s="1477"/>
      <c r="BV333" s="1477"/>
      <c r="BW333" s="1477"/>
      <c r="BX333" s="1477"/>
      <c r="BY333" s="1477"/>
      <c r="BZ333" s="1477"/>
      <c r="CA333" s="1477"/>
      <c r="CB333" s="1477"/>
      <c r="CC333" s="1477"/>
      <c r="CD333" s="1477"/>
      <c r="CE333" s="1477"/>
      <c r="CF333" s="1477"/>
      <c r="CG333" s="1477"/>
      <c r="CH333" s="1477"/>
    </row>
    <row r="334" spans="2:86">
      <c r="B334" s="1477"/>
      <c r="C334" s="1477"/>
      <c r="D334" s="1477"/>
      <c r="E334" s="1477"/>
      <c r="F334" s="1477"/>
      <c r="G334" s="1477"/>
      <c r="H334" s="1477"/>
      <c r="I334" s="1477"/>
      <c r="J334" s="1477"/>
      <c r="K334" s="1477"/>
      <c r="L334" s="1477"/>
      <c r="M334" s="1477"/>
      <c r="N334" s="1477"/>
      <c r="O334" s="1477"/>
      <c r="P334" s="1477"/>
      <c r="Q334" s="1477"/>
      <c r="R334" s="1477"/>
      <c r="S334" s="1477"/>
      <c r="T334" s="1477"/>
      <c r="U334" s="1477"/>
      <c r="V334" s="1477"/>
      <c r="W334" s="1477"/>
      <c r="X334" s="1477"/>
      <c r="Y334" s="1477"/>
      <c r="Z334" s="1477"/>
      <c r="AA334" s="1477"/>
      <c r="AB334" s="1477"/>
      <c r="AC334" s="1477"/>
      <c r="AD334" s="1477"/>
      <c r="AE334" s="1477"/>
      <c r="AF334" s="1477"/>
      <c r="AG334" s="1477"/>
      <c r="AH334" s="1477"/>
      <c r="AI334" s="1477"/>
      <c r="AJ334" s="1477"/>
      <c r="AK334" s="1477"/>
      <c r="AL334" s="1477"/>
      <c r="AM334" s="1477"/>
      <c r="AN334" s="1477"/>
      <c r="AO334" s="284"/>
      <c r="AP334" s="1477"/>
      <c r="AQ334" s="1477"/>
      <c r="AR334" s="1477"/>
      <c r="AS334" s="1477"/>
      <c r="AT334" s="1477"/>
      <c r="AU334" s="1477"/>
      <c r="AV334" s="1477"/>
      <c r="AW334" s="1477"/>
      <c r="AX334" s="1477"/>
      <c r="AY334" s="1477"/>
      <c r="AZ334" s="1477"/>
      <c r="BA334" s="1477"/>
      <c r="BB334" s="1477"/>
      <c r="BC334" s="1477"/>
      <c r="BD334" s="1477"/>
      <c r="BE334" s="1477"/>
      <c r="BF334" s="1477"/>
      <c r="BG334" s="1477"/>
      <c r="BH334" s="1477"/>
      <c r="BI334" s="1477"/>
      <c r="BJ334" s="1477"/>
      <c r="BK334" s="1477"/>
      <c r="BL334" s="1477"/>
      <c r="BM334" s="1477"/>
      <c r="BN334" s="1477"/>
      <c r="BO334" s="1477"/>
      <c r="BP334" s="1477"/>
      <c r="BQ334" s="1477"/>
      <c r="BR334" s="1477"/>
      <c r="BS334" s="1477"/>
      <c r="BT334" s="1477"/>
      <c r="BU334" s="1477"/>
      <c r="BV334" s="1477"/>
      <c r="BW334" s="1477"/>
      <c r="BX334" s="1477"/>
      <c r="BY334" s="1477"/>
      <c r="BZ334" s="1477"/>
      <c r="CA334" s="1477"/>
      <c r="CB334" s="1477"/>
      <c r="CC334" s="1477"/>
      <c r="CD334" s="1477"/>
      <c r="CE334" s="1477"/>
      <c r="CF334" s="1477"/>
      <c r="CG334" s="1477"/>
      <c r="CH334" s="1477"/>
    </row>
    <row r="335" spans="2:86">
      <c r="B335" s="1477"/>
      <c r="C335" s="1477"/>
      <c r="D335" s="1477"/>
      <c r="E335" s="1477"/>
      <c r="F335" s="1477"/>
      <c r="G335" s="1477"/>
      <c r="H335" s="1477"/>
      <c r="I335" s="1477"/>
      <c r="J335" s="1477"/>
      <c r="K335" s="1477"/>
      <c r="L335" s="1477"/>
      <c r="M335" s="1477"/>
      <c r="N335" s="1477"/>
      <c r="O335" s="1477"/>
      <c r="P335" s="1477"/>
      <c r="Q335" s="1477"/>
      <c r="R335" s="1477"/>
      <c r="S335" s="1477"/>
      <c r="T335" s="1477"/>
      <c r="U335" s="1477"/>
      <c r="V335" s="1477"/>
      <c r="W335" s="1477"/>
      <c r="X335" s="1477"/>
      <c r="Y335" s="1477"/>
      <c r="Z335" s="1477"/>
      <c r="AA335" s="1477"/>
      <c r="AB335" s="1477"/>
      <c r="AC335" s="1477"/>
      <c r="AD335" s="1477"/>
      <c r="AE335" s="1477"/>
      <c r="AF335" s="1477"/>
      <c r="AG335" s="1477"/>
      <c r="AH335" s="1477"/>
      <c r="AI335" s="1477"/>
      <c r="AJ335" s="1477"/>
      <c r="AK335" s="1477"/>
      <c r="AL335" s="1477"/>
      <c r="AM335" s="1477"/>
      <c r="AN335" s="1477"/>
      <c r="AO335" s="284"/>
      <c r="AP335" s="1477"/>
      <c r="AQ335" s="1477"/>
      <c r="AR335" s="1477"/>
      <c r="AS335" s="1477"/>
      <c r="AT335" s="1477"/>
      <c r="AU335" s="1477"/>
      <c r="AV335" s="1477"/>
      <c r="AW335" s="1477"/>
      <c r="AX335" s="1477"/>
      <c r="AY335" s="1477"/>
      <c r="AZ335" s="1477"/>
      <c r="BA335" s="1477"/>
      <c r="BB335" s="1477"/>
      <c r="BC335" s="1477"/>
      <c r="BD335" s="1477"/>
      <c r="BE335" s="1477"/>
      <c r="BF335" s="1477"/>
      <c r="BG335" s="1477"/>
      <c r="BH335" s="1477"/>
      <c r="BI335" s="1477"/>
      <c r="BJ335" s="1477"/>
      <c r="BK335" s="1477"/>
      <c r="BL335" s="1477"/>
      <c r="BM335" s="1477"/>
      <c r="BN335" s="1477"/>
      <c r="BO335" s="1477"/>
      <c r="BP335" s="1477"/>
      <c r="BQ335" s="1477"/>
      <c r="BR335" s="1477"/>
      <c r="BS335" s="1477"/>
      <c r="BT335" s="1477"/>
      <c r="BU335" s="1477"/>
      <c r="BV335" s="1477"/>
      <c r="BW335" s="1477"/>
      <c r="BX335" s="1477"/>
      <c r="BY335" s="1477"/>
      <c r="BZ335" s="1477"/>
      <c r="CA335" s="1477"/>
      <c r="CB335" s="1477"/>
      <c r="CC335" s="1477"/>
      <c r="CD335" s="1477"/>
      <c r="CE335" s="1477"/>
      <c r="CF335" s="1477"/>
      <c r="CG335" s="1477"/>
      <c r="CH335" s="1477"/>
    </row>
    <row r="336" spans="2:86">
      <c r="B336" s="1477"/>
      <c r="C336" s="1477"/>
      <c r="D336" s="1477"/>
      <c r="E336" s="1477"/>
      <c r="F336" s="1477"/>
      <c r="G336" s="1477"/>
      <c r="H336" s="1477"/>
      <c r="I336" s="1477"/>
      <c r="J336" s="1477"/>
      <c r="K336" s="1477"/>
      <c r="L336" s="1477"/>
      <c r="M336" s="1477"/>
      <c r="N336" s="1477"/>
      <c r="O336" s="1477"/>
      <c r="P336" s="1477"/>
      <c r="Q336" s="1477"/>
      <c r="R336" s="1477"/>
      <c r="S336" s="1477"/>
      <c r="T336" s="1477"/>
      <c r="U336" s="1477"/>
      <c r="V336" s="1477"/>
      <c r="W336" s="1477"/>
      <c r="X336" s="1477"/>
      <c r="Y336" s="1477"/>
      <c r="Z336" s="1477"/>
      <c r="AA336" s="1477"/>
      <c r="AB336" s="1477"/>
      <c r="AC336" s="1477"/>
      <c r="AD336" s="1477"/>
      <c r="AE336" s="1477"/>
      <c r="AF336" s="1477"/>
      <c r="AG336" s="1477"/>
      <c r="AH336" s="1477"/>
      <c r="AI336" s="1477"/>
      <c r="AJ336" s="1477"/>
      <c r="AK336" s="1477"/>
      <c r="AL336" s="1477"/>
      <c r="AM336" s="1477"/>
      <c r="AN336" s="1477"/>
      <c r="AO336" s="284"/>
      <c r="AP336" s="1477"/>
      <c r="AQ336" s="1477"/>
      <c r="AR336" s="1477"/>
      <c r="AS336" s="1477"/>
      <c r="AT336" s="1477"/>
      <c r="AU336" s="1477"/>
      <c r="AV336" s="1477"/>
      <c r="AW336" s="1477"/>
      <c r="AX336" s="1477"/>
      <c r="AY336" s="1477"/>
      <c r="AZ336" s="1477"/>
      <c r="BA336" s="1477"/>
      <c r="BB336" s="1477"/>
      <c r="BC336" s="1477"/>
      <c r="BD336" s="1477"/>
      <c r="BE336" s="1477"/>
      <c r="BF336" s="1477"/>
      <c r="BG336" s="1477"/>
      <c r="BH336" s="1477"/>
      <c r="BI336" s="1477"/>
      <c r="BJ336" s="1477"/>
      <c r="BK336" s="1477"/>
      <c r="BL336" s="1477"/>
      <c r="BM336" s="1477"/>
      <c r="BN336" s="1477"/>
      <c r="BO336" s="1477"/>
      <c r="BP336" s="1477"/>
      <c r="BQ336" s="1477"/>
      <c r="BR336" s="1477"/>
      <c r="BS336" s="1477"/>
      <c r="BT336" s="1477"/>
      <c r="BU336" s="1477"/>
      <c r="BV336" s="1477"/>
      <c r="BW336" s="1477"/>
      <c r="BX336" s="1477"/>
      <c r="BY336" s="1477"/>
      <c r="BZ336" s="1477"/>
      <c r="CA336" s="1477"/>
      <c r="CB336" s="1477"/>
      <c r="CC336" s="1477"/>
      <c r="CD336" s="1477"/>
      <c r="CE336" s="1477"/>
      <c r="CF336" s="1477"/>
      <c r="CG336" s="1477"/>
      <c r="CH336" s="1477"/>
    </row>
    <row r="337" spans="2:86">
      <c r="B337" s="1477"/>
      <c r="C337" s="1477"/>
      <c r="D337" s="1477"/>
      <c r="E337" s="1477"/>
      <c r="F337" s="1477"/>
      <c r="G337" s="1477"/>
      <c r="H337" s="1477"/>
      <c r="I337" s="1477"/>
      <c r="J337" s="1477"/>
      <c r="K337" s="1477"/>
      <c r="L337" s="1477"/>
      <c r="M337" s="1477"/>
      <c r="N337" s="1477"/>
      <c r="O337" s="1477"/>
      <c r="P337" s="1477"/>
      <c r="Q337" s="1477"/>
      <c r="R337" s="1477"/>
      <c r="S337" s="1477"/>
      <c r="T337" s="1477"/>
      <c r="U337" s="1477"/>
      <c r="V337" s="1477"/>
      <c r="W337" s="1477"/>
      <c r="X337" s="1477"/>
      <c r="Y337" s="1477"/>
      <c r="Z337" s="1477"/>
      <c r="AA337" s="1477"/>
      <c r="AB337" s="1477"/>
      <c r="AC337" s="1477"/>
      <c r="AD337" s="1477"/>
      <c r="AE337" s="1477"/>
      <c r="AF337" s="1477"/>
      <c r="AG337" s="1477"/>
      <c r="AH337" s="1477"/>
      <c r="AI337" s="1477"/>
      <c r="AJ337" s="1477"/>
      <c r="AK337" s="1477"/>
      <c r="AL337" s="1477"/>
      <c r="AM337" s="1477"/>
      <c r="AN337" s="1477"/>
      <c r="AO337" s="284"/>
      <c r="AP337" s="1477"/>
      <c r="AQ337" s="1477"/>
      <c r="AR337" s="1477"/>
      <c r="AS337" s="1477"/>
      <c r="AT337" s="1477"/>
      <c r="AU337" s="1477"/>
      <c r="AV337" s="1477"/>
      <c r="AW337" s="1477"/>
      <c r="AX337" s="1477"/>
      <c r="AY337" s="1477"/>
      <c r="AZ337" s="1477"/>
      <c r="BA337" s="1477"/>
      <c r="BB337" s="1477"/>
      <c r="BC337" s="1477"/>
      <c r="BD337" s="1477"/>
      <c r="BE337" s="1477"/>
      <c r="BF337" s="1477"/>
      <c r="BG337" s="1477"/>
      <c r="BH337" s="1477"/>
      <c r="BI337" s="1477"/>
      <c r="BJ337" s="1477"/>
      <c r="BK337" s="1477"/>
      <c r="BL337" s="1477"/>
      <c r="BM337" s="1477"/>
      <c r="BN337" s="1477"/>
      <c r="BO337" s="1477"/>
      <c r="BP337" s="1477"/>
      <c r="BQ337" s="1477"/>
      <c r="BR337" s="1477"/>
      <c r="BS337" s="1477"/>
      <c r="BT337" s="1477"/>
      <c r="BU337" s="1477"/>
      <c r="BV337" s="1477"/>
      <c r="BW337" s="1477"/>
      <c r="BX337" s="1477"/>
      <c r="BY337" s="1477"/>
      <c r="BZ337" s="1477"/>
      <c r="CA337" s="1477"/>
      <c r="CB337" s="1477"/>
      <c r="CC337" s="1477"/>
      <c r="CD337" s="1477"/>
      <c r="CE337" s="1477"/>
      <c r="CF337" s="1477"/>
      <c r="CG337" s="1477"/>
      <c r="CH337" s="1477"/>
    </row>
    <row r="338" spans="2:86">
      <c r="B338" s="1477"/>
      <c r="C338" s="1477"/>
      <c r="D338" s="1477"/>
      <c r="E338" s="1477"/>
      <c r="F338" s="1477"/>
      <c r="G338" s="1477"/>
      <c r="H338" s="1477"/>
      <c r="I338" s="1477"/>
      <c r="J338" s="1477"/>
      <c r="K338" s="1477"/>
      <c r="L338" s="1477"/>
      <c r="M338" s="1477"/>
      <c r="N338" s="1477"/>
      <c r="O338" s="1477"/>
      <c r="P338" s="1477"/>
      <c r="Q338" s="1477"/>
      <c r="R338" s="1477"/>
      <c r="S338" s="1477"/>
      <c r="T338" s="1477"/>
      <c r="U338" s="1477"/>
      <c r="V338" s="1477"/>
      <c r="W338" s="1477"/>
      <c r="X338" s="1477"/>
      <c r="Y338" s="1477"/>
      <c r="Z338" s="1477"/>
      <c r="AA338" s="1477"/>
      <c r="AB338" s="1477"/>
      <c r="AC338" s="1477"/>
      <c r="AD338" s="1477"/>
      <c r="AE338" s="1477"/>
      <c r="AF338" s="1477"/>
      <c r="AG338" s="1477"/>
      <c r="AH338" s="1477"/>
      <c r="AI338" s="1477"/>
      <c r="AJ338" s="1477"/>
      <c r="AK338" s="1477"/>
      <c r="AL338" s="1477"/>
      <c r="AM338" s="1477"/>
      <c r="AN338" s="1477"/>
      <c r="AO338" s="284"/>
      <c r="AP338" s="1477"/>
      <c r="AQ338" s="1477"/>
      <c r="AR338" s="1477"/>
      <c r="AS338" s="1477"/>
      <c r="AT338" s="1477"/>
      <c r="AU338" s="1477"/>
      <c r="AV338" s="1477"/>
      <c r="AW338" s="1477"/>
      <c r="AX338" s="1477"/>
      <c r="AY338" s="1477"/>
      <c r="AZ338" s="1477"/>
      <c r="BA338" s="1477"/>
      <c r="BB338" s="1477"/>
      <c r="BC338" s="1477"/>
      <c r="BD338" s="1477"/>
      <c r="BE338" s="1477"/>
      <c r="BF338" s="1477"/>
      <c r="BG338" s="1477"/>
      <c r="BH338" s="1477"/>
      <c r="BI338" s="1477"/>
      <c r="BJ338" s="1477"/>
      <c r="BK338" s="1477"/>
      <c r="BL338" s="1477"/>
      <c r="BM338" s="1477"/>
      <c r="BN338" s="1477"/>
      <c r="BO338" s="1477"/>
      <c r="BP338" s="1477"/>
      <c r="BQ338" s="1477"/>
      <c r="BR338" s="1477"/>
      <c r="BS338" s="1477"/>
      <c r="BT338" s="1477"/>
      <c r="BU338" s="1477"/>
      <c r="BV338" s="1477"/>
      <c r="BW338" s="1477"/>
      <c r="BX338" s="1477"/>
      <c r="BY338" s="1477"/>
      <c r="BZ338" s="1477"/>
      <c r="CA338" s="1477"/>
      <c r="CB338" s="1477"/>
      <c r="CC338" s="1477"/>
      <c r="CD338" s="1477"/>
      <c r="CE338" s="1477"/>
      <c r="CF338" s="1477"/>
      <c r="CG338" s="1477"/>
      <c r="CH338" s="1477"/>
    </row>
    <row r="339" spans="2:86">
      <c r="B339" s="1477"/>
      <c r="C339" s="1477"/>
      <c r="D339" s="1477"/>
      <c r="E339" s="1477"/>
      <c r="F339" s="1477"/>
      <c r="G339" s="1477"/>
      <c r="H339" s="1477"/>
      <c r="I339" s="1477"/>
      <c r="J339" s="1477"/>
      <c r="K339" s="1477"/>
      <c r="L339" s="1477"/>
      <c r="M339" s="1477"/>
      <c r="N339" s="1477"/>
      <c r="O339" s="1477"/>
      <c r="P339" s="1477"/>
      <c r="Q339" s="1477"/>
      <c r="R339" s="1477"/>
      <c r="S339" s="1477"/>
      <c r="T339" s="1477"/>
      <c r="U339" s="1477"/>
      <c r="V339" s="1477"/>
      <c r="W339" s="1477"/>
      <c r="X339" s="1477"/>
      <c r="Y339" s="1477"/>
      <c r="Z339" s="1477"/>
      <c r="AA339" s="1477"/>
      <c r="AB339" s="1477"/>
      <c r="AC339" s="1477"/>
      <c r="AD339" s="1477"/>
      <c r="AE339" s="1477"/>
      <c r="AF339" s="1477"/>
      <c r="AG339" s="1477"/>
      <c r="AH339" s="1477"/>
      <c r="AI339" s="1477"/>
      <c r="AJ339" s="1477"/>
      <c r="AK339" s="1477"/>
      <c r="AL339" s="1477"/>
      <c r="AM339" s="1477"/>
      <c r="AN339" s="1477"/>
      <c r="AO339" s="284"/>
      <c r="AP339" s="1477"/>
      <c r="AQ339" s="1477"/>
      <c r="AR339" s="1477"/>
      <c r="AS339" s="1477"/>
      <c r="AT339" s="1477"/>
      <c r="AU339" s="1477"/>
      <c r="AV339" s="1477"/>
      <c r="AW339" s="1477"/>
      <c r="AX339" s="1477"/>
      <c r="AY339" s="1477"/>
      <c r="AZ339" s="1477"/>
      <c r="BA339" s="1477"/>
      <c r="BB339" s="1477"/>
      <c r="BC339" s="1477"/>
      <c r="BD339" s="1477"/>
      <c r="BE339" s="1477"/>
      <c r="BF339" s="1477"/>
      <c r="BG339" s="1477"/>
      <c r="BH339" s="1477"/>
      <c r="BI339" s="1477"/>
      <c r="BJ339" s="1477"/>
      <c r="BK339" s="1477"/>
      <c r="BL339" s="1477"/>
      <c r="BM339" s="1477"/>
      <c r="BN339" s="1477"/>
      <c r="BO339" s="1477"/>
      <c r="BP339" s="1477"/>
      <c r="BQ339" s="1477"/>
      <c r="BR339" s="1477"/>
      <c r="BS339" s="1477"/>
      <c r="BT339" s="1477"/>
      <c r="BU339" s="1477"/>
      <c r="BV339" s="1477"/>
      <c r="BW339" s="1477"/>
      <c r="BX339" s="1477"/>
      <c r="BY339" s="1477"/>
      <c r="BZ339" s="1477"/>
      <c r="CA339" s="1477"/>
      <c r="CB339" s="1477"/>
      <c r="CC339" s="1477"/>
      <c r="CD339" s="1477"/>
      <c r="CE339" s="1477"/>
      <c r="CF339" s="1477"/>
      <c r="CG339" s="1477"/>
      <c r="CH339" s="1477"/>
    </row>
    <row r="340" spans="2:86">
      <c r="B340" s="1477"/>
      <c r="C340" s="1477"/>
      <c r="D340" s="1477"/>
      <c r="E340" s="1477"/>
      <c r="F340" s="1477"/>
      <c r="G340" s="1477"/>
      <c r="H340" s="1477"/>
      <c r="I340" s="1477"/>
      <c r="J340" s="1477"/>
      <c r="K340" s="1477"/>
      <c r="L340" s="1477"/>
      <c r="M340" s="1477"/>
      <c r="N340" s="1477"/>
      <c r="O340" s="1477"/>
      <c r="P340" s="1477"/>
      <c r="Q340" s="1477"/>
      <c r="R340" s="1477"/>
      <c r="S340" s="1477"/>
      <c r="T340" s="1477"/>
      <c r="U340" s="1477"/>
      <c r="V340" s="1477"/>
      <c r="W340" s="1477"/>
      <c r="X340" s="1477"/>
      <c r="Y340" s="1477"/>
      <c r="Z340" s="1477"/>
      <c r="AA340" s="1477"/>
      <c r="AB340" s="1477"/>
      <c r="AC340" s="1477"/>
      <c r="AD340" s="1477"/>
      <c r="AE340" s="1477"/>
      <c r="AF340" s="1477"/>
      <c r="AG340" s="1477"/>
      <c r="AH340" s="1477"/>
      <c r="AI340" s="1477"/>
      <c r="AJ340" s="1477"/>
      <c r="AK340" s="1477"/>
      <c r="AL340" s="1477"/>
      <c r="AM340" s="1477"/>
      <c r="AN340" s="1477"/>
      <c r="AO340" s="284"/>
      <c r="AP340" s="1477"/>
      <c r="AQ340" s="1477"/>
      <c r="AR340" s="1477"/>
      <c r="AS340" s="1477"/>
      <c r="AT340" s="1477"/>
      <c r="AU340" s="1477"/>
      <c r="AV340" s="1477"/>
      <c r="AW340" s="1477"/>
      <c r="AX340" s="1477"/>
      <c r="AY340" s="1477"/>
      <c r="AZ340" s="1477"/>
      <c r="BA340" s="1477"/>
      <c r="BB340" s="1477"/>
      <c r="BC340" s="1477"/>
      <c r="BD340" s="1477"/>
      <c r="BE340" s="1477"/>
      <c r="BF340" s="1477"/>
      <c r="BG340" s="1477"/>
      <c r="BH340" s="1477"/>
      <c r="BI340" s="1477"/>
      <c r="BJ340" s="1477"/>
      <c r="BK340" s="1477"/>
      <c r="BL340" s="1477"/>
      <c r="BM340" s="1477"/>
      <c r="BN340" s="1477"/>
      <c r="BO340" s="1477"/>
      <c r="BP340" s="1477"/>
      <c r="BQ340" s="1477"/>
      <c r="BR340" s="1477"/>
      <c r="BS340" s="1477"/>
      <c r="BT340" s="1477"/>
      <c r="BU340" s="1477"/>
      <c r="BV340" s="1477"/>
      <c r="BW340" s="1477"/>
      <c r="BX340" s="1477"/>
      <c r="BY340" s="1477"/>
      <c r="BZ340" s="1477"/>
      <c r="CA340" s="1477"/>
      <c r="CB340" s="1477"/>
      <c r="CC340" s="1477"/>
      <c r="CD340" s="1477"/>
      <c r="CE340" s="1477"/>
      <c r="CF340" s="1477"/>
      <c r="CG340" s="1477"/>
      <c r="CH340" s="1477"/>
    </row>
    <row r="341" spans="2:86">
      <c r="B341" s="1477"/>
      <c r="C341" s="1477"/>
      <c r="D341" s="1477"/>
      <c r="E341" s="1477"/>
      <c r="F341" s="1477"/>
      <c r="G341" s="1477"/>
      <c r="H341" s="1477"/>
      <c r="I341" s="1477"/>
      <c r="J341" s="1477"/>
      <c r="K341" s="1477"/>
      <c r="L341" s="1477"/>
      <c r="M341" s="1477"/>
      <c r="N341" s="1477"/>
      <c r="O341" s="1477"/>
      <c r="P341" s="1477"/>
      <c r="Q341" s="1477"/>
      <c r="R341" s="1477"/>
      <c r="S341" s="1477"/>
      <c r="T341" s="1477"/>
      <c r="U341" s="1477"/>
      <c r="V341" s="1477"/>
      <c r="W341" s="1477"/>
      <c r="X341" s="1477"/>
      <c r="Y341" s="1477"/>
      <c r="Z341" s="1477"/>
      <c r="AA341" s="1477"/>
      <c r="AB341" s="1477"/>
      <c r="AC341" s="1477"/>
      <c r="AD341" s="1477"/>
      <c r="AE341" s="1477"/>
      <c r="AF341" s="1477"/>
      <c r="AG341" s="1477"/>
      <c r="AH341" s="1477"/>
      <c r="AI341" s="1477"/>
      <c r="AJ341" s="1477"/>
      <c r="AK341" s="1477"/>
      <c r="AL341" s="1477"/>
      <c r="AM341" s="1477"/>
      <c r="AN341" s="1477"/>
      <c r="AO341" s="284"/>
      <c r="AP341" s="1477"/>
      <c r="AQ341" s="1477"/>
      <c r="AR341" s="1477"/>
      <c r="AS341" s="1477"/>
      <c r="AT341" s="1477"/>
      <c r="AU341" s="1477"/>
      <c r="AV341" s="1477"/>
      <c r="AW341" s="1477"/>
      <c r="AX341" s="1477"/>
      <c r="AY341" s="1477"/>
      <c r="AZ341" s="1477"/>
      <c r="BA341" s="1477"/>
      <c r="BB341" s="1477"/>
      <c r="BC341" s="1477"/>
      <c r="BD341" s="1477"/>
      <c r="BE341" s="1477"/>
      <c r="BF341" s="1477"/>
      <c r="BG341" s="1477"/>
      <c r="BH341" s="1477"/>
      <c r="BI341" s="1477"/>
      <c r="BJ341" s="1477"/>
      <c r="BK341" s="1477"/>
      <c r="BL341" s="1477"/>
      <c r="BM341" s="1477"/>
      <c r="BN341" s="1477"/>
      <c r="BO341" s="1477"/>
      <c r="BP341" s="1477"/>
      <c r="BQ341" s="1477"/>
      <c r="BR341" s="1477"/>
      <c r="BS341" s="1477"/>
      <c r="BT341" s="1477"/>
      <c r="BU341" s="1477"/>
      <c r="BV341" s="1477"/>
      <c r="BW341" s="1477"/>
      <c r="BX341" s="1477"/>
      <c r="BY341" s="1477"/>
      <c r="BZ341" s="1477"/>
      <c r="CA341" s="1477"/>
      <c r="CB341" s="1477"/>
      <c r="CC341" s="1477"/>
      <c r="CD341" s="1477"/>
      <c r="CE341" s="1477"/>
      <c r="CF341" s="1477"/>
      <c r="CG341" s="1477"/>
      <c r="CH341" s="1477"/>
    </row>
    <row r="342" spans="2:86">
      <c r="B342" s="1477"/>
      <c r="C342" s="1477"/>
      <c r="D342" s="1477"/>
      <c r="E342" s="1477"/>
      <c r="F342" s="1477"/>
      <c r="G342" s="1477"/>
      <c r="H342" s="1477"/>
      <c r="I342" s="1477"/>
      <c r="J342" s="1477"/>
      <c r="K342" s="1477"/>
      <c r="L342" s="1477"/>
      <c r="M342" s="1477"/>
      <c r="N342" s="1477"/>
      <c r="O342" s="1477"/>
      <c r="P342" s="1477"/>
      <c r="Q342" s="1477"/>
      <c r="R342" s="1477"/>
      <c r="S342" s="1477"/>
      <c r="T342" s="1477"/>
      <c r="U342" s="1477"/>
      <c r="V342" s="1477"/>
      <c r="W342" s="1477"/>
      <c r="X342" s="1477"/>
      <c r="Y342" s="1477"/>
      <c r="Z342" s="1477"/>
      <c r="AA342" s="1477"/>
      <c r="AB342" s="1477"/>
      <c r="AC342" s="1477"/>
      <c r="AD342" s="1477"/>
      <c r="AE342" s="1477"/>
      <c r="AF342" s="1477"/>
      <c r="AG342" s="1477"/>
      <c r="AH342" s="1477"/>
      <c r="AI342" s="1477"/>
      <c r="AJ342" s="1477"/>
      <c r="AK342" s="1477"/>
      <c r="AL342" s="1477"/>
      <c r="AM342" s="1477"/>
      <c r="AN342" s="1477"/>
      <c r="AO342" s="284"/>
      <c r="AP342" s="1477"/>
      <c r="AQ342" s="1477"/>
      <c r="AR342" s="1477"/>
      <c r="AS342" s="1477"/>
      <c r="AT342" s="1477"/>
      <c r="AU342" s="1477"/>
      <c r="AV342" s="1477"/>
      <c r="AW342" s="1477"/>
      <c r="AX342" s="1477"/>
      <c r="AY342" s="1477"/>
      <c r="AZ342" s="1477"/>
      <c r="BA342" s="1477"/>
      <c r="BB342" s="1477"/>
      <c r="BC342" s="1477"/>
      <c r="BD342" s="1477"/>
      <c r="BE342" s="1477"/>
      <c r="BF342" s="1477"/>
      <c r="BG342" s="1477"/>
      <c r="BH342" s="1477"/>
      <c r="BI342" s="1477"/>
      <c r="BJ342" s="1477"/>
      <c r="BK342" s="1477"/>
      <c r="BL342" s="1477"/>
      <c r="BM342" s="1477"/>
      <c r="BN342" s="1477"/>
      <c r="BO342" s="1477"/>
      <c r="BP342" s="1477"/>
      <c r="BQ342" s="1477"/>
      <c r="BR342" s="1477"/>
      <c r="BS342" s="1477"/>
      <c r="BT342" s="1477"/>
      <c r="BU342" s="1477"/>
      <c r="BV342" s="1477"/>
      <c r="BW342" s="1477"/>
      <c r="BX342" s="1477"/>
      <c r="BY342" s="1477"/>
      <c r="BZ342" s="1477"/>
      <c r="CA342" s="1477"/>
      <c r="CB342" s="1477"/>
      <c r="CC342" s="1477"/>
      <c r="CD342" s="1477"/>
      <c r="CE342" s="1477"/>
      <c r="CF342" s="1477"/>
      <c r="CG342" s="1477"/>
      <c r="CH342" s="1477"/>
    </row>
    <row r="343" spans="2:86">
      <c r="B343" s="1477"/>
      <c r="C343" s="1477"/>
      <c r="D343" s="1477"/>
      <c r="E343" s="1477"/>
      <c r="F343" s="1477"/>
      <c r="G343" s="1477"/>
      <c r="H343" s="1477"/>
      <c r="I343" s="1477"/>
      <c r="J343" s="1477"/>
      <c r="K343" s="1477"/>
      <c r="L343" s="1477"/>
      <c r="M343" s="1477"/>
      <c r="N343" s="1477"/>
      <c r="O343" s="1477"/>
      <c r="P343" s="1477"/>
      <c r="Q343" s="1477"/>
      <c r="R343" s="1477"/>
      <c r="S343" s="1477"/>
      <c r="T343" s="1477"/>
      <c r="U343" s="1477"/>
      <c r="V343" s="1477"/>
      <c r="W343" s="1477"/>
      <c r="X343" s="1477"/>
      <c r="Y343" s="1477"/>
      <c r="Z343" s="1477"/>
      <c r="AA343" s="1477"/>
      <c r="AB343" s="1477"/>
      <c r="AC343" s="1477"/>
      <c r="AD343" s="1477"/>
      <c r="AE343" s="1477"/>
      <c r="AF343" s="1477"/>
      <c r="AG343" s="1477"/>
      <c r="AH343" s="1477"/>
      <c r="AI343" s="1477"/>
      <c r="AJ343" s="1477"/>
      <c r="AK343" s="1477"/>
      <c r="AL343" s="1477"/>
      <c r="AM343" s="1477"/>
      <c r="AN343" s="1477"/>
      <c r="AO343" s="284"/>
      <c r="AP343" s="1477"/>
      <c r="AQ343" s="1477"/>
      <c r="AR343" s="1477"/>
      <c r="AS343" s="1477"/>
      <c r="AT343" s="1477"/>
      <c r="AU343" s="1477"/>
      <c r="AV343" s="1477"/>
      <c r="AW343" s="1477"/>
      <c r="AX343" s="1477"/>
      <c r="AY343" s="1477"/>
      <c r="AZ343" s="1477"/>
      <c r="BA343" s="1477"/>
      <c r="BB343" s="1477"/>
      <c r="BC343" s="1477"/>
      <c r="BD343" s="1477"/>
      <c r="BE343" s="1477"/>
      <c r="BF343" s="1477"/>
      <c r="BG343" s="1477"/>
      <c r="BH343" s="1477"/>
      <c r="BI343" s="1477"/>
      <c r="BJ343" s="1477"/>
      <c r="BK343" s="1477"/>
      <c r="BL343" s="1477"/>
      <c r="BM343" s="1477"/>
      <c r="BN343" s="1477"/>
      <c r="BO343" s="1477"/>
      <c r="BP343" s="1477"/>
      <c r="BQ343" s="1477"/>
      <c r="BR343" s="1477"/>
      <c r="BS343" s="1477"/>
      <c r="BT343" s="1477"/>
      <c r="BU343" s="1477"/>
      <c r="BV343" s="1477"/>
      <c r="BW343" s="1477"/>
      <c r="BX343" s="1477"/>
      <c r="BY343" s="1477"/>
      <c r="BZ343" s="1477"/>
      <c r="CA343" s="1477"/>
      <c r="CB343" s="1477"/>
      <c r="CC343" s="1477"/>
      <c r="CD343" s="1477"/>
      <c r="CE343" s="1477"/>
      <c r="CF343" s="1477"/>
      <c r="CG343" s="1477"/>
      <c r="CH343" s="1477"/>
    </row>
    <row r="344" spans="2:86">
      <c r="B344" s="1477"/>
      <c r="C344" s="1477"/>
      <c r="D344" s="1477"/>
      <c r="E344" s="1477"/>
      <c r="F344" s="1477"/>
      <c r="G344" s="1477"/>
      <c r="H344" s="1477"/>
      <c r="I344" s="1477"/>
      <c r="J344" s="1477"/>
      <c r="K344" s="1477"/>
      <c r="L344" s="1477"/>
      <c r="M344" s="1477"/>
      <c r="N344" s="1477"/>
      <c r="O344" s="1477"/>
      <c r="P344" s="1477"/>
      <c r="Q344" s="1477"/>
      <c r="R344" s="1477"/>
      <c r="S344" s="1477"/>
      <c r="T344" s="1477"/>
      <c r="U344" s="1477"/>
      <c r="V344" s="1477"/>
      <c r="W344" s="1477"/>
      <c r="X344" s="1477"/>
      <c r="Y344" s="1477"/>
      <c r="Z344" s="1477"/>
      <c r="AA344" s="1477"/>
      <c r="AB344" s="1477"/>
      <c r="AC344" s="1477"/>
      <c r="AD344" s="1477"/>
      <c r="AE344" s="1477"/>
      <c r="AF344" s="1477"/>
      <c r="AG344" s="1477"/>
      <c r="AH344" s="1477"/>
      <c r="AI344" s="1477"/>
      <c r="AJ344" s="1477"/>
      <c r="AK344" s="1477"/>
      <c r="AL344" s="1477"/>
      <c r="AM344" s="1477"/>
      <c r="AN344" s="1477"/>
      <c r="AO344" s="284"/>
      <c r="AP344" s="1477"/>
      <c r="AQ344" s="1477"/>
      <c r="AR344" s="1477"/>
      <c r="AS344" s="1477"/>
      <c r="AT344" s="1477"/>
      <c r="AU344" s="1477"/>
      <c r="AV344" s="1477"/>
      <c r="AW344" s="1477"/>
      <c r="AX344" s="1477"/>
      <c r="AY344" s="1477"/>
      <c r="AZ344" s="1477"/>
      <c r="BA344" s="1477"/>
      <c r="BB344" s="1477"/>
      <c r="BC344" s="1477"/>
      <c r="BD344" s="1477"/>
      <c r="BE344" s="1477"/>
      <c r="BF344" s="1477"/>
      <c r="BG344" s="1477"/>
      <c r="BH344" s="1477"/>
      <c r="BI344" s="1477"/>
      <c r="BJ344" s="1477"/>
      <c r="BK344" s="1477"/>
      <c r="BL344" s="1477"/>
      <c r="BM344" s="1477"/>
      <c r="BN344" s="1477"/>
      <c r="BO344" s="1477"/>
      <c r="BP344" s="1477"/>
      <c r="BQ344" s="1477"/>
      <c r="BR344" s="1477"/>
      <c r="BS344" s="1477"/>
      <c r="BT344" s="1477"/>
      <c r="BU344" s="1477"/>
      <c r="BV344" s="1477"/>
      <c r="BW344" s="1477"/>
      <c r="BX344" s="1477"/>
      <c r="BY344" s="1477"/>
      <c r="BZ344" s="1477"/>
      <c r="CA344" s="1477"/>
      <c r="CB344" s="1477"/>
      <c r="CC344" s="1477"/>
      <c r="CD344" s="1477"/>
      <c r="CE344" s="1477"/>
      <c r="CF344" s="1477"/>
      <c r="CG344" s="1477"/>
      <c r="CH344" s="1477"/>
    </row>
    <row r="345" spans="2:86">
      <c r="B345" s="1477"/>
      <c r="C345" s="1477"/>
      <c r="D345" s="1477"/>
      <c r="E345" s="1477"/>
      <c r="F345" s="1477"/>
      <c r="G345" s="1477"/>
      <c r="H345" s="1477"/>
      <c r="I345" s="1477"/>
      <c r="J345" s="1477"/>
      <c r="K345" s="1477"/>
      <c r="L345" s="1477"/>
      <c r="M345" s="1477"/>
      <c r="N345" s="1477"/>
      <c r="O345" s="1477"/>
      <c r="P345" s="1477"/>
      <c r="Q345" s="1477"/>
      <c r="R345" s="1477"/>
      <c r="S345" s="1477"/>
      <c r="T345" s="1477"/>
      <c r="U345" s="1477"/>
      <c r="V345" s="1477"/>
      <c r="W345" s="1477"/>
      <c r="X345" s="1477"/>
      <c r="Y345" s="1477"/>
      <c r="Z345" s="1477"/>
      <c r="AA345" s="1477"/>
      <c r="AB345" s="1477"/>
      <c r="AC345" s="1477"/>
      <c r="AD345" s="1477"/>
      <c r="AE345" s="1477"/>
      <c r="AF345" s="1477"/>
      <c r="AG345" s="1477"/>
      <c r="AH345" s="1477"/>
      <c r="AI345" s="1477"/>
      <c r="AJ345" s="1477"/>
      <c r="AK345" s="1477"/>
      <c r="AL345" s="1477"/>
      <c r="AM345" s="1477"/>
      <c r="AN345" s="1477"/>
      <c r="AO345" s="284"/>
      <c r="AP345" s="1477"/>
      <c r="AQ345" s="1477"/>
      <c r="AR345" s="1477"/>
      <c r="AS345" s="1477"/>
      <c r="AT345" s="1477"/>
      <c r="AU345" s="1477"/>
      <c r="AV345" s="1477"/>
      <c r="AW345" s="1477"/>
      <c r="AX345" s="1477"/>
      <c r="AY345" s="1477"/>
      <c r="AZ345" s="1477"/>
      <c r="BA345" s="1477"/>
      <c r="BB345" s="1477"/>
      <c r="BC345" s="1477"/>
      <c r="BD345" s="1477"/>
      <c r="BE345" s="1477"/>
      <c r="BF345" s="1477"/>
      <c r="BG345" s="1477"/>
      <c r="BH345" s="1477"/>
      <c r="BI345" s="1477"/>
      <c r="BJ345" s="1477"/>
      <c r="BK345" s="1477"/>
      <c r="BL345" s="1477"/>
      <c r="BM345" s="1477"/>
      <c r="BN345" s="1477"/>
      <c r="BO345" s="1477"/>
      <c r="BP345" s="1477"/>
      <c r="BQ345" s="1477"/>
      <c r="BR345" s="1477"/>
      <c r="BS345" s="1477"/>
      <c r="BT345" s="1477"/>
      <c r="BU345" s="1477"/>
      <c r="BV345" s="1477"/>
      <c r="BW345" s="1477"/>
      <c r="BX345" s="1477"/>
      <c r="BY345" s="1477"/>
      <c r="BZ345" s="1477"/>
      <c r="CA345" s="1477"/>
      <c r="CB345" s="1477"/>
      <c r="CC345" s="1477"/>
      <c r="CD345" s="1477"/>
      <c r="CE345" s="1477"/>
      <c r="CF345" s="1477"/>
      <c r="CG345" s="1477"/>
      <c r="CH345" s="1477"/>
    </row>
    <row r="346" spans="2:86">
      <c r="B346" s="1477"/>
      <c r="C346" s="1477"/>
      <c r="D346" s="1477"/>
      <c r="E346" s="1477"/>
      <c r="F346" s="1477"/>
      <c r="G346" s="1477"/>
      <c r="H346" s="1477"/>
      <c r="I346" s="1477"/>
      <c r="J346" s="1477"/>
      <c r="K346" s="1477"/>
      <c r="L346" s="1477"/>
      <c r="M346" s="1477"/>
      <c r="N346" s="1477"/>
      <c r="O346" s="1477"/>
      <c r="P346" s="1477"/>
      <c r="Q346" s="1477"/>
      <c r="R346" s="1477"/>
      <c r="S346" s="1477"/>
      <c r="T346" s="1477"/>
      <c r="U346" s="1477"/>
      <c r="V346" s="1477"/>
      <c r="W346" s="1477"/>
      <c r="X346" s="1477"/>
      <c r="Y346" s="1477"/>
      <c r="Z346" s="1477"/>
      <c r="AA346" s="1477"/>
      <c r="AB346" s="1477"/>
      <c r="AC346" s="1477"/>
      <c r="AD346" s="1477"/>
      <c r="AE346" s="1477"/>
      <c r="AF346" s="1477"/>
      <c r="AG346" s="1477"/>
      <c r="AH346" s="1477"/>
      <c r="AI346" s="1477"/>
      <c r="AJ346" s="1477"/>
      <c r="AK346" s="1477"/>
      <c r="AL346" s="1477"/>
      <c r="AM346" s="1477"/>
      <c r="AN346" s="1477"/>
      <c r="AO346" s="284"/>
      <c r="AP346" s="1477"/>
      <c r="AQ346" s="1477"/>
      <c r="AR346" s="1477"/>
      <c r="AS346" s="1477"/>
      <c r="AT346" s="1477"/>
      <c r="AU346" s="1477"/>
      <c r="AV346" s="1477"/>
      <c r="AW346" s="1477"/>
      <c r="AX346" s="1477"/>
      <c r="AY346" s="1477"/>
      <c r="AZ346" s="1477"/>
      <c r="BA346" s="1477"/>
      <c r="BB346" s="1477"/>
      <c r="BC346" s="1477"/>
      <c r="BD346" s="1477"/>
      <c r="BE346" s="1477"/>
      <c r="BF346" s="1477"/>
      <c r="BG346" s="1477"/>
      <c r="BH346" s="1477"/>
      <c r="BI346" s="1477"/>
      <c r="BJ346" s="1477"/>
      <c r="BK346" s="1477"/>
      <c r="BL346" s="1477"/>
      <c r="BM346" s="1477"/>
      <c r="BN346" s="1477"/>
      <c r="BO346" s="1477"/>
      <c r="BP346" s="1477"/>
      <c r="BQ346" s="1477"/>
      <c r="BR346" s="1477"/>
      <c r="BS346" s="1477"/>
      <c r="BT346" s="1477"/>
      <c r="BU346" s="1477"/>
      <c r="BV346" s="1477"/>
      <c r="BW346" s="1477"/>
      <c r="BX346" s="1477"/>
      <c r="BY346" s="1477"/>
      <c r="BZ346" s="1477"/>
      <c r="CA346" s="1477"/>
      <c r="CB346" s="1477"/>
      <c r="CC346" s="1477"/>
      <c r="CD346" s="1477"/>
      <c r="CE346" s="1477"/>
      <c r="CF346" s="1477"/>
      <c r="CG346" s="1477"/>
      <c r="CH346" s="1477"/>
    </row>
    <row r="347" spans="2:86">
      <c r="B347" s="1477"/>
      <c r="C347" s="1477"/>
      <c r="D347" s="1477"/>
      <c r="E347" s="1477"/>
      <c r="F347" s="1477"/>
      <c r="G347" s="1477"/>
      <c r="H347" s="1477"/>
      <c r="I347" s="1477"/>
      <c r="J347" s="1477"/>
      <c r="K347" s="1477"/>
      <c r="L347" s="1477"/>
      <c r="M347" s="1477"/>
      <c r="N347" s="1477"/>
      <c r="O347" s="1477"/>
      <c r="P347" s="1477"/>
      <c r="Q347" s="1477"/>
      <c r="R347" s="1477"/>
      <c r="S347" s="1477"/>
      <c r="T347" s="1477"/>
      <c r="U347" s="1477"/>
      <c r="V347" s="1477"/>
      <c r="W347" s="1477"/>
      <c r="X347" s="1477"/>
      <c r="Y347" s="1477"/>
      <c r="Z347" s="1477"/>
      <c r="AA347" s="1477"/>
      <c r="AB347" s="1477"/>
      <c r="AC347" s="1477"/>
      <c r="AD347" s="1477"/>
      <c r="AE347" s="1477"/>
      <c r="AF347" s="1477"/>
      <c r="AG347" s="1477"/>
      <c r="AH347" s="1477"/>
      <c r="AI347" s="1477"/>
      <c r="AJ347" s="1477"/>
      <c r="AK347" s="1477"/>
      <c r="AL347" s="1477"/>
      <c r="AM347" s="1477"/>
      <c r="AN347" s="1477"/>
      <c r="AO347" s="284"/>
      <c r="AP347" s="1477"/>
      <c r="AQ347" s="1477"/>
      <c r="AR347" s="1477"/>
      <c r="AS347" s="1477"/>
      <c r="AT347" s="1477"/>
      <c r="AU347" s="1477"/>
      <c r="AV347" s="1477"/>
      <c r="AW347" s="1477"/>
      <c r="AX347" s="1477"/>
      <c r="AY347" s="1477"/>
      <c r="AZ347" s="1477"/>
      <c r="BA347" s="1477"/>
      <c r="BB347" s="1477"/>
      <c r="BC347" s="1477"/>
      <c r="BD347" s="1477"/>
      <c r="BE347" s="1477"/>
      <c r="BF347" s="1477"/>
      <c r="BG347" s="1477"/>
      <c r="BH347" s="1477"/>
      <c r="BI347" s="1477"/>
      <c r="BJ347" s="1477"/>
      <c r="BK347" s="1477"/>
      <c r="BL347" s="1477"/>
      <c r="BM347" s="1477"/>
      <c r="BN347" s="1477"/>
      <c r="BO347" s="1477"/>
      <c r="BP347" s="1477"/>
      <c r="BQ347" s="1477"/>
      <c r="BR347" s="1477"/>
      <c r="BS347" s="1477"/>
      <c r="BT347" s="1477"/>
      <c r="BU347" s="1477"/>
      <c r="BV347" s="1477"/>
      <c r="BW347" s="1477"/>
      <c r="BX347" s="1477"/>
      <c r="BY347" s="1477"/>
      <c r="BZ347" s="1477"/>
      <c r="CA347" s="1477"/>
      <c r="CB347" s="1477"/>
      <c r="CC347" s="1477"/>
      <c r="CD347" s="1477"/>
      <c r="CE347" s="1477"/>
      <c r="CF347" s="1477"/>
      <c r="CG347" s="1477"/>
      <c r="CH347" s="1477"/>
    </row>
    <row r="348" spans="2:86">
      <c r="B348" s="1477"/>
      <c r="C348" s="1477"/>
      <c r="D348" s="1477"/>
      <c r="E348" s="1477"/>
      <c r="F348" s="1477"/>
      <c r="G348" s="1477"/>
      <c r="H348" s="1477"/>
      <c r="I348" s="1477"/>
      <c r="J348" s="1477"/>
      <c r="K348" s="1477"/>
      <c r="L348" s="1477"/>
      <c r="M348" s="1477"/>
      <c r="N348" s="1477"/>
      <c r="O348" s="1477"/>
      <c r="P348" s="1477"/>
      <c r="Q348" s="1477"/>
      <c r="R348" s="1477"/>
      <c r="S348" s="1477"/>
      <c r="T348" s="1477"/>
      <c r="U348" s="1477"/>
      <c r="V348" s="1477"/>
      <c r="W348" s="1477"/>
      <c r="X348" s="1477"/>
      <c r="Y348" s="1477"/>
      <c r="Z348" s="1477"/>
      <c r="AA348" s="1477"/>
      <c r="AB348" s="1477"/>
      <c r="AC348" s="1477"/>
      <c r="AD348" s="1477"/>
      <c r="AE348" s="1477"/>
      <c r="AF348" s="1477"/>
      <c r="AG348" s="1477"/>
      <c r="AH348" s="1477"/>
      <c r="AI348" s="1477"/>
      <c r="AJ348" s="1477"/>
      <c r="AK348" s="1477"/>
      <c r="AL348" s="1477"/>
      <c r="AM348" s="1477"/>
      <c r="AN348" s="1477"/>
      <c r="AO348" s="284"/>
      <c r="AP348" s="1477"/>
      <c r="AQ348" s="1477"/>
      <c r="AR348" s="1477"/>
      <c r="AS348" s="1477"/>
      <c r="AT348" s="1477"/>
      <c r="AU348" s="1477"/>
      <c r="AV348" s="1477"/>
      <c r="AW348" s="1477"/>
      <c r="AX348" s="1477"/>
      <c r="AY348" s="1477"/>
      <c r="AZ348" s="1477"/>
      <c r="BA348" s="1477"/>
      <c r="BB348" s="1477"/>
      <c r="BC348" s="1477"/>
      <c r="BD348" s="1477"/>
      <c r="BE348" s="1477"/>
      <c r="BF348" s="1477"/>
      <c r="BG348" s="1477"/>
      <c r="BH348" s="1477"/>
      <c r="BI348" s="1477"/>
      <c r="BJ348" s="1477"/>
      <c r="BK348" s="1477"/>
      <c r="BL348" s="1477"/>
      <c r="BM348" s="1477"/>
      <c r="BN348" s="1477"/>
      <c r="BO348" s="1477"/>
      <c r="BP348" s="1477"/>
      <c r="BQ348" s="1477"/>
      <c r="BR348" s="1477"/>
      <c r="BS348" s="1477"/>
      <c r="BT348" s="1477"/>
      <c r="BU348" s="1477"/>
      <c r="BV348" s="1477"/>
      <c r="BW348" s="1477"/>
      <c r="BX348" s="1477"/>
      <c r="BY348" s="1477"/>
      <c r="BZ348" s="1477"/>
      <c r="CA348" s="1477"/>
      <c r="CB348" s="1477"/>
      <c r="CC348" s="1477"/>
      <c r="CD348" s="1477"/>
      <c r="CE348" s="1477"/>
      <c r="CF348" s="1477"/>
      <c r="CG348" s="1477"/>
      <c r="CH348" s="1477"/>
    </row>
    <row r="349" spans="2:86">
      <c r="B349" s="1477"/>
      <c r="C349" s="1477"/>
      <c r="D349" s="1477"/>
      <c r="E349" s="1477"/>
      <c r="F349" s="1477"/>
      <c r="G349" s="1477"/>
      <c r="H349" s="1477"/>
      <c r="I349" s="1477"/>
      <c r="J349" s="1477"/>
      <c r="K349" s="1477"/>
      <c r="L349" s="1477"/>
      <c r="M349" s="1477"/>
      <c r="N349" s="1477"/>
      <c r="O349" s="1477"/>
      <c r="P349" s="1477"/>
      <c r="Q349" s="1477"/>
      <c r="R349" s="1477"/>
      <c r="S349" s="1477"/>
      <c r="T349" s="1477"/>
      <c r="U349" s="1477"/>
      <c r="V349" s="1477"/>
      <c r="W349" s="1477"/>
      <c r="X349" s="1477"/>
      <c r="Y349" s="1477"/>
      <c r="Z349" s="1477"/>
      <c r="AA349" s="1477"/>
      <c r="AB349" s="1477"/>
      <c r="AC349" s="1477"/>
      <c r="AD349" s="1477"/>
      <c r="AE349" s="1477"/>
      <c r="AF349" s="1477"/>
      <c r="AG349" s="1477"/>
      <c r="AH349" s="1477"/>
      <c r="AI349" s="1477"/>
      <c r="AJ349" s="1477"/>
      <c r="AK349" s="1477"/>
      <c r="AL349" s="1477"/>
      <c r="AM349" s="1477"/>
      <c r="AN349" s="1477"/>
      <c r="AO349" s="284"/>
      <c r="AP349" s="1477"/>
      <c r="AQ349" s="1477"/>
      <c r="AR349" s="1477"/>
      <c r="AS349" s="1477"/>
      <c r="AT349" s="1477"/>
      <c r="AU349" s="1477"/>
      <c r="AV349" s="1477"/>
      <c r="AW349" s="1477"/>
      <c r="AX349" s="1477"/>
      <c r="AY349" s="1477"/>
      <c r="AZ349" s="1477"/>
      <c r="BA349" s="1477"/>
      <c r="BB349" s="1477"/>
      <c r="BC349" s="1477"/>
      <c r="BD349" s="1477"/>
      <c r="BE349" s="1477"/>
      <c r="BF349" s="1477"/>
      <c r="BG349" s="1477"/>
      <c r="BH349" s="1477"/>
      <c r="BI349" s="1477"/>
      <c r="BJ349" s="1477"/>
      <c r="BK349" s="1477"/>
      <c r="BL349" s="1477"/>
      <c r="BM349" s="1477"/>
      <c r="BN349" s="1477"/>
      <c r="BO349" s="1477"/>
      <c r="BP349" s="1477"/>
      <c r="BQ349" s="1477"/>
      <c r="BR349" s="1477"/>
      <c r="BS349" s="1477"/>
      <c r="BT349" s="1477"/>
      <c r="BU349" s="1477"/>
      <c r="BV349" s="1477"/>
      <c r="BW349" s="1477"/>
      <c r="BX349" s="1477"/>
      <c r="BY349" s="1477"/>
      <c r="BZ349" s="1477"/>
      <c r="CA349" s="1477"/>
      <c r="CB349" s="1477"/>
      <c r="CC349" s="1477"/>
      <c r="CD349" s="1477"/>
      <c r="CE349" s="1477"/>
      <c r="CF349" s="1477"/>
      <c r="CG349" s="1477"/>
      <c r="CH349" s="1477"/>
    </row>
    <row r="350" spans="2:86">
      <c r="B350" s="1477"/>
      <c r="C350" s="1477"/>
      <c r="D350" s="1477"/>
      <c r="E350" s="1477"/>
      <c r="F350" s="1477"/>
      <c r="G350" s="1477"/>
      <c r="H350" s="1477"/>
      <c r="I350" s="1477"/>
      <c r="J350" s="1477"/>
      <c r="K350" s="1477"/>
      <c r="L350" s="1477"/>
      <c r="M350" s="1477"/>
      <c r="N350" s="1477"/>
      <c r="O350" s="1477"/>
      <c r="P350" s="1477"/>
      <c r="Q350" s="1477"/>
      <c r="R350" s="1477"/>
      <c r="S350" s="1477"/>
      <c r="T350" s="1477"/>
      <c r="U350" s="1477"/>
      <c r="V350" s="1477"/>
      <c r="W350" s="1477"/>
      <c r="X350" s="1477"/>
      <c r="Y350" s="1477"/>
      <c r="Z350" s="1477"/>
      <c r="AA350" s="1477"/>
      <c r="AB350" s="1477"/>
      <c r="AC350" s="1477"/>
      <c r="AD350" s="1477"/>
      <c r="AE350" s="1477"/>
      <c r="AF350" s="1477"/>
      <c r="AG350" s="1477"/>
      <c r="AH350" s="1477"/>
      <c r="AI350" s="1477"/>
      <c r="AJ350" s="1477"/>
      <c r="AK350" s="1477"/>
      <c r="AL350" s="1477"/>
      <c r="AM350" s="1477"/>
      <c r="AN350" s="1477"/>
      <c r="AO350" s="284"/>
      <c r="AP350" s="1477"/>
      <c r="AQ350" s="1477"/>
      <c r="AR350" s="1477"/>
      <c r="AS350" s="1477"/>
      <c r="AT350" s="1477"/>
      <c r="AU350" s="1477"/>
      <c r="AV350" s="1477"/>
      <c r="AW350" s="1477"/>
      <c r="AX350" s="1477"/>
      <c r="AY350" s="1477"/>
      <c r="AZ350" s="1477"/>
      <c r="BA350" s="1477"/>
      <c r="BB350" s="1477"/>
      <c r="BC350" s="1477"/>
      <c r="BD350" s="1477"/>
      <c r="BE350" s="1477"/>
      <c r="BF350" s="1477"/>
      <c r="BG350" s="1477"/>
      <c r="BH350" s="1477"/>
      <c r="BI350" s="1477"/>
      <c r="BJ350" s="1477"/>
      <c r="BK350" s="1477"/>
      <c r="BL350" s="1477"/>
      <c r="BM350" s="1477"/>
      <c r="BN350" s="1477"/>
      <c r="BO350" s="1477"/>
      <c r="BP350" s="1477"/>
      <c r="BQ350" s="1477"/>
      <c r="BR350" s="1477"/>
      <c r="BS350" s="1477"/>
      <c r="BT350" s="1477"/>
      <c r="BU350" s="1477"/>
      <c r="BV350" s="1477"/>
      <c r="BW350" s="1477"/>
      <c r="BX350" s="1477"/>
      <c r="BY350" s="1477"/>
      <c r="BZ350" s="1477"/>
      <c r="CA350" s="1477"/>
      <c r="CB350" s="1477"/>
      <c r="CC350" s="1477"/>
      <c r="CD350" s="1477"/>
      <c r="CE350" s="1477"/>
      <c r="CF350" s="1477"/>
      <c r="CG350" s="1477"/>
      <c r="CH350" s="1477"/>
    </row>
    <row r="351" spans="2:86">
      <c r="B351" s="1477"/>
      <c r="C351" s="1477"/>
      <c r="D351" s="1477"/>
      <c r="E351" s="1477"/>
      <c r="F351" s="1477"/>
      <c r="G351" s="1477"/>
      <c r="H351" s="1477"/>
      <c r="I351" s="1477"/>
      <c r="J351" s="1477"/>
      <c r="K351" s="1477"/>
      <c r="L351" s="1477"/>
      <c r="M351" s="1477"/>
      <c r="N351" s="1477"/>
      <c r="O351" s="1477"/>
      <c r="P351" s="1477"/>
      <c r="Q351" s="1477"/>
      <c r="R351" s="1477"/>
      <c r="S351" s="1477"/>
      <c r="T351" s="1477"/>
      <c r="U351" s="1477"/>
      <c r="V351" s="1477"/>
      <c r="W351" s="1477"/>
      <c r="X351" s="1477"/>
      <c r="Y351" s="1477"/>
      <c r="Z351" s="1477"/>
      <c r="AA351" s="1477"/>
      <c r="AB351" s="1477"/>
      <c r="AC351" s="1477"/>
      <c r="AD351" s="1477"/>
      <c r="AE351" s="1477"/>
      <c r="AF351" s="1477"/>
      <c r="AG351" s="1477"/>
      <c r="AH351" s="1477"/>
      <c r="AI351" s="1477"/>
      <c r="AJ351" s="1477"/>
      <c r="AK351" s="1477"/>
      <c r="AL351" s="1477"/>
      <c r="AM351" s="1477"/>
      <c r="AN351" s="1477"/>
      <c r="AO351" s="284"/>
      <c r="AP351" s="1477"/>
      <c r="AQ351" s="1477"/>
      <c r="AR351" s="1477"/>
      <c r="AS351" s="1477"/>
      <c r="AT351" s="1477"/>
      <c r="AU351" s="1477"/>
      <c r="AV351" s="1477"/>
      <c r="AW351" s="1477"/>
      <c r="AX351" s="1477"/>
      <c r="AY351" s="1477"/>
      <c r="AZ351" s="1477"/>
      <c r="BA351" s="1477"/>
      <c r="BB351" s="1477"/>
      <c r="BC351" s="1477"/>
      <c r="BD351" s="1477"/>
      <c r="BE351" s="1477"/>
      <c r="BF351" s="1477"/>
      <c r="BG351" s="1477"/>
      <c r="BH351" s="1477"/>
      <c r="BI351" s="1477"/>
      <c r="BJ351" s="1477"/>
      <c r="BK351" s="1477"/>
      <c r="BL351" s="1477"/>
      <c r="BM351" s="1477"/>
      <c r="BN351" s="1477"/>
      <c r="BO351" s="1477"/>
      <c r="BP351" s="1477"/>
      <c r="BQ351" s="1477"/>
      <c r="BR351" s="1477"/>
      <c r="BS351" s="1477"/>
      <c r="BT351" s="1477"/>
      <c r="BU351" s="1477"/>
      <c r="BV351" s="1477"/>
      <c r="BW351" s="1477"/>
      <c r="BX351" s="1477"/>
      <c r="BY351" s="1477"/>
      <c r="BZ351" s="1477"/>
      <c r="CA351" s="1477"/>
      <c r="CB351" s="1477"/>
      <c r="CC351" s="1477"/>
      <c r="CD351" s="1477"/>
      <c r="CE351" s="1477"/>
      <c r="CF351" s="1477"/>
      <c r="CG351" s="1477"/>
      <c r="CH351" s="1477"/>
    </row>
    <row r="352" spans="2:86">
      <c r="B352" s="1477"/>
      <c r="C352" s="1477"/>
      <c r="D352" s="1477"/>
      <c r="E352" s="1477"/>
      <c r="F352" s="1477"/>
      <c r="G352" s="1477"/>
      <c r="H352" s="1477"/>
      <c r="I352" s="1477"/>
      <c r="J352" s="1477"/>
      <c r="K352" s="1477"/>
      <c r="L352" s="1477"/>
      <c r="M352" s="1477"/>
      <c r="N352" s="1477"/>
      <c r="O352" s="1477"/>
      <c r="P352" s="1477"/>
      <c r="Q352" s="1477"/>
      <c r="R352" s="1477"/>
      <c r="S352" s="1477"/>
      <c r="T352" s="1477"/>
      <c r="U352" s="1477"/>
      <c r="V352" s="1477"/>
      <c r="W352" s="1477"/>
      <c r="X352" s="1477"/>
      <c r="Y352" s="1477"/>
      <c r="Z352" s="1477"/>
      <c r="AA352" s="1477"/>
      <c r="AB352" s="1477"/>
      <c r="AC352" s="1477"/>
      <c r="AD352" s="1477"/>
      <c r="AE352" s="1477"/>
      <c r="AF352" s="1477"/>
      <c r="AG352" s="1477"/>
      <c r="AH352" s="1477"/>
      <c r="AI352" s="1477"/>
      <c r="AJ352" s="1477"/>
      <c r="AK352" s="1477"/>
      <c r="AL352" s="1477"/>
      <c r="AM352" s="1477"/>
      <c r="AN352" s="1477"/>
      <c r="AO352" s="284"/>
      <c r="AP352" s="1477"/>
      <c r="AQ352" s="1477"/>
      <c r="AR352" s="1477"/>
      <c r="AS352" s="1477"/>
      <c r="AT352" s="1477"/>
      <c r="AU352" s="1477"/>
      <c r="AV352" s="1477"/>
      <c r="AW352" s="1477"/>
      <c r="AX352" s="1477"/>
      <c r="AY352" s="1477"/>
      <c r="AZ352" s="1477"/>
      <c r="BA352" s="1477"/>
      <c r="BB352" s="1477"/>
      <c r="BC352" s="1477"/>
      <c r="BD352" s="1477"/>
      <c r="BE352" s="1477"/>
      <c r="BF352" s="1477"/>
      <c r="BG352" s="1477"/>
      <c r="BH352" s="1477"/>
      <c r="BI352" s="1477"/>
      <c r="BJ352" s="1477"/>
      <c r="BK352" s="1477"/>
      <c r="BL352" s="1477"/>
      <c r="BM352" s="1477"/>
      <c r="BN352" s="1477"/>
      <c r="BO352" s="1477"/>
      <c r="BP352" s="1477"/>
      <c r="BQ352" s="1477"/>
      <c r="BR352" s="1477"/>
      <c r="BS352" s="1477"/>
      <c r="BT352" s="1477"/>
      <c r="BU352" s="1477"/>
      <c r="BV352" s="1477"/>
      <c r="BW352" s="1477"/>
      <c r="BX352" s="1477"/>
      <c r="BY352" s="1477"/>
      <c r="BZ352" s="1477"/>
      <c r="CA352" s="1477"/>
      <c r="CB352" s="1477"/>
      <c r="CC352" s="1477"/>
      <c r="CD352" s="1477"/>
      <c r="CE352" s="1477"/>
      <c r="CF352" s="1477"/>
      <c r="CG352" s="1477"/>
      <c r="CH352" s="1477"/>
    </row>
    <row r="353" spans="2:86">
      <c r="B353" s="1477"/>
      <c r="C353" s="1477"/>
      <c r="D353" s="1477"/>
      <c r="E353" s="1477"/>
      <c r="F353" s="1477"/>
      <c r="G353" s="1477"/>
      <c r="H353" s="1477"/>
      <c r="I353" s="1477"/>
      <c r="J353" s="1477"/>
      <c r="K353" s="1477"/>
      <c r="L353" s="1477"/>
      <c r="M353" s="1477"/>
      <c r="N353" s="1477"/>
      <c r="O353" s="1477"/>
      <c r="P353" s="1477"/>
      <c r="Q353" s="1477"/>
      <c r="R353" s="1477"/>
      <c r="S353" s="1477"/>
      <c r="T353" s="1477"/>
      <c r="U353" s="1477"/>
      <c r="V353" s="1477"/>
      <c r="W353" s="1477"/>
      <c r="X353" s="1477"/>
      <c r="Y353" s="1477"/>
      <c r="Z353" s="1477"/>
      <c r="AA353" s="1477"/>
      <c r="AB353" s="1477"/>
      <c r="AC353" s="1477"/>
      <c r="AD353" s="1477"/>
      <c r="AE353" s="1477"/>
      <c r="AF353" s="1477"/>
      <c r="AG353" s="1477"/>
      <c r="AH353" s="1477"/>
      <c r="AI353" s="1477"/>
      <c r="AJ353" s="1477"/>
      <c r="AK353" s="1477"/>
      <c r="AL353" s="1477"/>
      <c r="AM353" s="1477"/>
      <c r="AN353" s="1477"/>
      <c r="AO353" s="284"/>
      <c r="AP353" s="1477"/>
      <c r="AQ353" s="1477"/>
      <c r="AR353" s="1477"/>
      <c r="AS353" s="1477"/>
      <c r="AT353" s="1477"/>
      <c r="AU353" s="1477"/>
      <c r="AV353" s="1477"/>
      <c r="AW353" s="1477"/>
      <c r="AX353" s="1477"/>
      <c r="AY353" s="1477"/>
      <c r="AZ353" s="1477"/>
      <c r="BA353" s="1477"/>
      <c r="BB353" s="1477"/>
      <c r="BC353" s="1477"/>
      <c r="BD353" s="1477"/>
      <c r="BE353" s="1477"/>
      <c r="BF353" s="1477"/>
      <c r="BG353" s="1477"/>
      <c r="BH353" s="1477"/>
      <c r="BI353" s="1477"/>
      <c r="BJ353" s="1477"/>
      <c r="BK353" s="1477"/>
      <c r="BL353" s="1477"/>
      <c r="BM353" s="1477"/>
      <c r="BN353" s="1477"/>
      <c r="BO353" s="1477"/>
      <c r="BP353" s="1477"/>
      <c r="BQ353" s="1477"/>
      <c r="BR353" s="1477"/>
      <c r="BS353" s="1477"/>
      <c r="BT353" s="1477"/>
      <c r="BU353" s="1477"/>
      <c r="BV353" s="1477"/>
      <c r="BW353" s="1477"/>
      <c r="BX353" s="1477"/>
      <c r="BY353" s="1477"/>
      <c r="BZ353" s="1477"/>
      <c r="CA353" s="1477"/>
      <c r="CB353" s="1477"/>
      <c r="CC353" s="1477"/>
      <c r="CD353" s="1477"/>
      <c r="CE353" s="1477"/>
      <c r="CF353" s="1477"/>
      <c r="CG353" s="1477"/>
      <c r="CH353" s="1477"/>
    </row>
    <row r="354" spans="2:86">
      <c r="B354" s="1477"/>
      <c r="C354" s="1477"/>
      <c r="D354" s="1477"/>
      <c r="E354" s="1477"/>
      <c r="F354" s="1477"/>
      <c r="G354" s="1477"/>
      <c r="H354" s="1477"/>
      <c r="I354" s="1477"/>
      <c r="J354" s="1477"/>
      <c r="K354" s="1477"/>
      <c r="L354" s="1477"/>
      <c r="M354" s="1477"/>
      <c r="N354" s="1477"/>
      <c r="O354" s="1477"/>
      <c r="P354" s="1477"/>
      <c r="Q354" s="1477"/>
      <c r="R354" s="1477"/>
      <c r="S354" s="1477"/>
      <c r="T354" s="1477"/>
      <c r="U354" s="1477"/>
      <c r="V354" s="1477"/>
      <c r="W354" s="1477"/>
      <c r="X354" s="1477"/>
      <c r="Y354" s="1477"/>
      <c r="Z354" s="1477"/>
      <c r="AA354" s="1477"/>
      <c r="AB354" s="1477"/>
      <c r="AC354" s="1477"/>
      <c r="AD354" s="1477"/>
      <c r="AE354" s="1477"/>
      <c r="AF354" s="1477"/>
      <c r="AG354" s="1477"/>
      <c r="AH354" s="1477"/>
      <c r="AI354" s="1477"/>
      <c r="AJ354" s="1477"/>
      <c r="AK354" s="1477"/>
      <c r="AL354" s="1477"/>
      <c r="AM354" s="1477"/>
      <c r="AN354" s="1477"/>
      <c r="AO354" s="284"/>
      <c r="AP354" s="1477"/>
      <c r="AQ354" s="1477"/>
      <c r="AR354" s="1477"/>
      <c r="AS354" s="1477"/>
      <c r="AT354" s="1477"/>
      <c r="AU354" s="1477"/>
      <c r="AV354" s="1477"/>
      <c r="AW354" s="1477"/>
      <c r="AX354" s="1477"/>
      <c r="AY354" s="1477"/>
      <c r="AZ354" s="1477"/>
      <c r="BA354" s="1477"/>
      <c r="BB354" s="1477"/>
      <c r="BC354" s="1477"/>
      <c r="BD354" s="1477"/>
      <c r="BE354" s="1477"/>
      <c r="BF354" s="1477"/>
      <c r="BG354" s="1477"/>
      <c r="BH354" s="1477"/>
      <c r="BI354" s="1477"/>
      <c r="BJ354" s="1477"/>
      <c r="BK354" s="1477"/>
      <c r="BL354" s="1477"/>
      <c r="BM354" s="1477"/>
      <c r="BN354" s="1477"/>
      <c r="BO354" s="1477"/>
      <c r="BP354" s="1477"/>
      <c r="BQ354" s="1477"/>
      <c r="BR354" s="1477"/>
      <c r="BS354" s="1477"/>
      <c r="BT354" s="1477"/>
      <c r="BU354" s="1477"/>
      <c r="BV354" s="1477"/>
      <c r="BW354" s="1477"/>
      <c r="BX354" s="1477"/>
      <c r="BY354" s="1477"/>
      <c r="BZ354" s="1477"/>
      <c r="CA354" s="1477"/>
      <c r="CB354" s="1477"/>
      <c r="CC354" s="1477"/>
      <c r="CD354" s="1477"/>
      <c r="CE354" s="1477"/>
      <c r="CF354" s="1477"/>
      <c r="CG354" s="1477"/>
      <c r="CH354" s="1477"/>
    </row>
    <row r="355" spans="2:86">
      <c r="B355" s="1477"/>
      <c r="C355" s="1477"/>
      <c r="D355" s="1477"/>
      <c r="E355" s="1477"/>
      <c r="F355" s="1477"/>
      <c r="G355" s="1477"/>
      <c r="H355" s="1477"/>
      <c r="I355" s="1477"/>
      <c r="J355" s="1477"/>
      <c r="K355" s="1477"/>
      <c r="L355" s="1477"/>
      <c r="M355" s="1477"/>
      <c r="N355" s="1477"/>
      <c r="O355" s="1477"/>
      <c r="P355" s="1477"/>
      <c r="Q355" s="1477"/>
      <c r="R355" s="1477"/>
      <c r="S355" s="1477"/>
      <c r="T355" s="1477"/>
      <c r="U355" s="1477"/>
      <c r="V355" s="1477"/>
      <c r="W355" s="1477"/>
      <c r="X355" s="1477"/>
      <c r="Y355" s="1477"/>
      <c r="Z355" s="1477"/>
      <c r="AA355" s="1477"/>
      <c r="AB355" s="1477"/>
      <c r="AC355" s="1477"/>
      <c r="AD355" s="1477"/>
      <c r="AE355" s="1477"/>
      <c r="AF355" s="1477"/>
      <c r="AG355" s="1477"/>
      <c r="AH355" s="1477"/>
      <c r="AI355" s="1477"/>
      <c r="AJ355" s="1477"/>
      <c r="AK355" s="1477"/>
      <c r="AL355" s="1477"/>
      <c r="AM355" s="1477"/>
      <c r="AN355" s="1477"/>
      <c r="AO355" s="284"/>
      <c r="AP355" s="1477"/>
      <c r="AQ355" s="1477"/>
      <c r="AR355" s="1477"/>
      <c r="AS355" s="1477"/>
      <c r="AT355" s="1477"/>
      <c r="AU355" s="1477"/>
      <c r="AV355" s="1477"/>
      <c r="AW355" s="1477"/>
      <c r="AX355" s="1477"/>
      <c r="AY355" s="1477"/>
      <c r="AZ355" s="1477"/>
      <c r="BA355" s="1477"/>
      <c r="BB355" s="1477"/>
      <c r="BC355" s="1477"/>
      <c r="BD355" s="1477"/>
      <c r="BE355" s="1477"/>
      <c r="BF355" s="1477"/>
      <c r="BG355" s="1477"/>
      <c r="BH355" s="1477"/>
      <c r="BI355" s="1477"/>
      <c r="BJ355" s="1477"/>
      <c r="BK355" s="1477"/>
      <c r="BL355" s="1477"/>
      <c r="BM355" s="1477"/>
      <c r="BN355" s="1477"/>
      <c r="BO355" s="1477"/>
      <c r="BP355" s="1477"/>
      <c r="BQ355" s="1477"/>
      <c r="BR355" s="1477"/>
      <c r="BS355" s="1477"/>
      <c r="BT355" s="1477"/>
      <c r="BU355" s="1477"/>
      <c r="BV355" s="1477"/>
      <c r="BW355" s="1477"/>
      <c r="BX355" s="1477"/>
      <c r="BY355" s="1477"/>
      <c r="BZ355" s="1477"/>
      <c r="CA355" s="1477"/>
      <c r="CB355" s="1477"/>
      <c r="CC355" s="1477"/>
      <c r="CD355" s="1477"/>
      <c r="CE355" s="1477"/>
      <c r="CF355" s="1477"/>
      <c r="CG355" s="1477"/>
      <c r="CH355" s="1477"/>
    </row>
    <row r="356" spans="2:86">
      <c r="B356" s="1477"/>
      <c r="C356" s="1477"/>
      <c r="D356" s="1477"/>
      <c r="E356" s="1477"/>
      <c r="F356" s="1477"/>
      <c r="G356" s="1477"/>
      <c r="H356" s="1477"/>
      <c r="I356" s="1477"/>
      <c r="J356" s="1477"/>
      <c r="K356" s="1477"/>
      <c r="L356" s="1477"/>
      <c r="M356" s="1477"/>
      <c r="N356" s="1477"/>
      <c r="O356" s="1477"/>
      <c r="P356" s="1477"/>
      <c r="Q356" s="1477"/>
      <c r="R356" s="1477"/>
      <c r="S356" s="1477"/>
      <c r="T356" s="1477"/>
      <c r="U356" s="1477"/>
      <c r="V356" s="1477"/>
      <c r="W356" s="1477"/>
      <c r="X356" s="1477"/>
      <c r="Y356" s="1477"/>
      <c r="Z356" s="1477"/>
      <c r="AA356" s="1477"/>
      <c r="AB356" s="1477"/>
      <c r="AC356" s="1477"/>
      <c r="AD356" s="1477"/>
      <c r="AE356" s="1477"/>
      <c r="AF356" s="1477"/>
      <c r="AG356" s="1477"/>
      <c r="AH356" s="1477"/>
      <c r="AI356" s="1477"/>
      <c r="AJ356" s="1477"/>
      <c r="AK356" s="1477"/>
      <c r="AL356" s="1477"/>
      <c r="AM356" s="1477"/>
      <c r="AN356" s="1477"/>
      <c r="AO356" s="284"/>
      <c r="AP356" s="1477"/>
      <c r="AQ356" s="1477"/>
      <c r="AR356" s="1477"/>
      <c r="AS356" s="1477"/>
      <c r="AT356" s="1477"/>
      <c r="AU356" s="1477"/>
      <c r="AV356" s="1477"/>
      <c r="AW356" s="1477"/>
      <c r="AX356" s="1477"/>
      <c r="AY356" s="1477"/>
      <c r="AZ356" s="1477"/>
      <c r="BA356" s="1477"/>
      <c r="BB356" s="1477"/>
      <c r="BC356" s="1477"/>
      <c r="BD356" s="1477"/>
      <c r="BE356" s="1477"/>
      <c r="BF356" s="1477"/>
      <c r="BG356" s="1477"/>
      <c r="BH356" s="1477"/>
      <c r="BI356" s="1477"/>
      <c r="BJ356" s="1477"/>
      <c r="BK356" s="1477"/>
      <c r="BL356" s="1477"/>
      <c r="BM356" s="1477"/>
      <c r="BN356" s="1477"/>
      <c r="BO356" s="1477"/>
      <c r="BP356" s="1477"/>
      <c r="BQ356" s="1477"/>
      <c r="BR356" s="1477"/>
      <c r="BS356" s="1477"/>
      <c r="BT356" s="1477"/>
      <c r="BU356" s="1477"/>
      <c r="BV356" s="1477"/>
      <c r="BW356" s="1477"/>
      <c r="BX356" s="1477"/>
      <c r="BY356" s="1477"/>
      <c r="BZ356" s="1477"/>
      <c r="CA356" s="1477"/>
      <c r="CB356" s="1477"/>
      <c r="CC356" s="1477"/>
      <c r="CD356" s="1477"/>
      <c r="CE356" s="1477"/>
      <c r="CF356" s="1477"/>
      <c r="CG356" s="1477"/>
      <c r="CH356" s="1477"/>
    </row>
    <row r="357" spans="2:86">
      <c r="B357" s="1477"/>
      <c r="C357" s="1477"/>
      <c r="D357" s="1477"/>
      <c r="E357" s="1477"/>
      <c r="F357" s="1477"/>
      <c r="G357" s="1477"/>
      <c r="H357" s="1477"/>
      <c r="I357" s="1477"/>
      <c r="J357" s="1477"/>
      <c r="K357" s="1477"/>
      <c r="L357" s="1477"/>
      <c r="M357" s="1477"/>
      <c r="N357" s="1477"/>
      <c r="O357" s="1477"/>
      <c r="P357" s="1477"/>
      <c r="Q357" s="1477"/>
      <c r="R357" s="1477"/>
      <c r="S357" s="1477"/>
      <c r="T357" s="1477"/>
      <c r="U357" s="1477"/>
      <c r="V357" s="1477"/>
      <c r="W357" s="1477"/>
      <c r="X357" s="1477"/>
      <c r="Y357" s="1477"/>
      <c r="Z357" s="1477"/>
      <c r="AA357" s="1477"/>
      <c r="AB357" s="1477"/>
      <c r="AC357" s="1477"/>
      <c r="AD357" s="1477"/>
      <c r="AE357" s="1477"/>
      <c r="AF357" s="1477"/>
      <c r="AG357" s="1477"/>
      <c r="AH357" s="1477"/>
      <c r="AI357" s="1477"/>
      <c r="AJ357" s="1477"/>
      <c r="AK357" s="1477"/>
      <c r="AL357" s="1477"/>
      <c r="AM357" s="1477"/>
      <c r="AN357" s="1477"/>
      <c r="AO357" s="284"/>
      <c r="AP357" s="1477"/>
      <c r="AQ357" s="1477"/>
      <c r="AR357" s="1477"/>
      <c r="AS357" s="1477"/>
      <c r="AT357" s="1477"/>
      <c r="AU357" s="1477"/>
      <c r="AV357" s="1477"/>
      <c r="AW357" s="1477"/>
      <c r="AX357" s="1477"/>
      <c r="AY357" s="1477"/>
      <c r="AZ357" s="1477"/>
      <c r="BA357" s="1477"/>
      <c r="BB357" s="1477"/>
      <c r="BC357" s="1477"/>
      <c r="BD357" s="1477"/>
      <c r="BE357" s="1477"/>
      <c r="BF357" s="1477"/>
      <c r="BG357" s="1477"/>
      <c r="BH357" s="1477"/>
      <c r="BI357" s="1477"/>
      <c r="BJ357" s="1477"/>
      <c r="BK357" s="1477"/>
      <c r="BL357" s="1477"/>
      <c r="BM357" s="1477"/>
      <c r="BN357" s="1477"/>
      <c r="BO357" s="1477"/>
      <c r="BP357" s="1477"/>
      <c r="BQ357" s="1477"/>
      <c r="BR357" s="1477"/>
      <c r="BS357" s="1477"/>
      <c r="BT357" s="1477"/>
      <c r="BU357" s="1477"/>
      <c r="BV357" s="1477"/>
      <c r="BW357" s="1477"/>
      <c r="BX357" s="1477"/>
      <c r="BY357" s="1477"/>
      <c r="BZ357" s="1477"/>
      <c r="CA357" s="1477"/>
      <c r="CB357" s="1477"/>
      <c r="CC357" s="1477"/>
      <c r="CD357" s="1477"/>
      <c r="CE357" s="1477"/>
      <c r="CF357" s="1477"/>
      <c r="CG357" s="1477"/>
      <c r="CH357" s="1477"/>
    </row>
    <row r="358" spans="2:86">
      <c r="B358" s="1477"/>
      <c r="C358" s="1477"/>
      <c r="D358" s="1477"/>
      <c r="E358" s="1477"/>
      <c r="F358" s="1477"/>
      <c r="G358" s="1477"/>
      <c r="H358" s="1477"/>
      <c r="I358" s="1477"/>
      <c r="J358" s="1477"/>
      <c r="K358" s="1477"/>
      <c r="L358" s="1477"/>
      <c r="M358" s="1477"/>
      <c r="N358" s="1477"/>
      <c r="O358" s="1477"/>
      <c r="P358" s="1477"/>
      <c r="Q358" s="1477"/>
      <c r="R358" s="1477"/>
      <c r="S358" s="1477"/>
      <c r="T358" s="1477"/>
      <c r="U358" s="1477"/>
      <c r="V358" s="1477"/>
      <c r="W358" s="1477"/>
      <c r="X358" s="1477"/>
      <c r="Y358" s="1477"/>
      <c r="Z358" s="1477"/>
      <c r="AA358" s="1477"/>
      <c r="AB358" s="1477"/>
      <c r="AC358" s="1477"/>
      <c r="AD358" s="1477"/>
      <c r="AE358" s="1477"/>
      <c r="AF358" s="1477"/>
      <c r="AG358" s="1477"/>
      <c r="AH358" s="1477"/>
      <c r="AI358" s="1477"/>
      <c r="AJ358" s="1477"/>
      <c r="AK358" s="1477"/>
      <c r="AL358" s="1477"/>
      <c r="AM358" s="1477"/>
      <c r="AN358" s="1477"/>
      <c r="AO358" s="284"/>
      <c r="AP358" s="1477"/>
      <c r="AQ358" s="1477"/>
      <c r="AR358" s="1477"/>
      <c r="AS358" s="1477"/>
      <c r="AT358" s="1477"/>
      <c r="AU358" s="1477"/>
      <c r="AV358" s="1477"/>
      <c r="AW358" s="1477"/>
      <c r="AX358" s="1477"/>
      <c r="AY358" s="1477"/>
      <c r="AZ358" s="1477"/>
      <c r="BA358" s="1477"/>
      <c r="BB358" s="1477"/>
      <c r="BC358" s="1477"/>
      <c r="BD358" s="1477"/>
      <c r="BE358" s="1477"/>
      <c r="BF358" s="1477"/>
      <c r="BG358" s="1477"/>
      <c r="BH358" s="1477"/>
      <c r="BI358" s="1477"/>
      <c r="BJ358" s="1477"/>
      <c r="BK358" s="1477"/>
      <c r="BL358" s="1477"/>
      <c r="BM358" s="1477"/>
      <c r="BN358" s="1477"/>
      <c r="BO358" s="1477"/>
      <c r="BP358" s="1477"/>
      <c r="BQ358" s="1477"/>
      <c r="BR358" s="1477"/>
      <c r="BS358" s="1477"/>
      <c r="BT358" s="1477"/>
      <c r="BU358" s="1477"/>
      <c r="BV358" s="1477"/>
      <c r="BW358" s="1477"/>
      <c r="BX358" s="1477"/>
      <c r="BY358" s="1477"/>
      <c r="BZ358" s="1477"/>
      <c r="CA358" s="1477"/>
      <c r="CB358" s="1477"/>
      <c r="CC358" s="1477"/>
      <c r="CD358" s="1477"/>
      <c r="CE358" s="1477"/>
      <c r="CF358" s="1477"/>
      <c r="CG358" s="1477"/>
      <c r="CH358" s="1477"/>
    </row>
    <row r="359" spans="2:86">
      <c r="B359" s="1477"/>
      <c r="C359" s="1477"/>
      <c r="D359" s="1477"/>
      <c r="E359" s="1477"/>
      <c r="F359" s="1477"/>
      <c r="G359" s="1477"/>
      <c r="H359" s="1477"/>
      <c r="I359" s="1477"/>
      <c r="J359" s="1477"/>
      <c r="K359" s="1477"/>
      <c r="L359" s="1477"/>
      <c r="M359" s="1477"/>
      <c r="N359" s="1477"/>
      <c r="O359" s="1477"/>
      <c r="P359" s="1477"/>
      <c r="Q359" s="1477"/>
      <c r="R359" s="1477"/>
      <c r="S359" s="1477"/>
      <c r="T359" s="1477"/>
      <c r="U359" s="1477"/>
      <c r="V359" s="1477"/>
      <c r="W359" s="1477"/>
      <c r="X359" s="1477"/>
      <c r="Y359" s="1477"/>
      <c r="Z359" s="1477"/>
      <c r="AA359" s="1477"/>
      <c r="AB359" s="1477"/>
      <c r="AC359" s="1477"/>
      <c r="AD359" s="1477"/>
      <c r="AE359" s="1477"/>
      <c r="AF359" s="1477"/>
      <c r="AG359" s="1477"/>
      <c r="AH359" s="1477"/>
      <c r="AI359" s="1477"/>
      <c r="AJ359" s="1477"/>
      <c r="AK359" s="1477"/>
      <c r="AL359" s="1477"/>
      <c r="AM359" s="1477"/>
      <c r="AN359" s="1477"/>
      <c r="AO359" s="284"/>
      <c r="AP359" s="1477"/>
      <c r="AQ359" s="1477"/>
      <c r="AR359" s="1477"/>
      <c r="AS359" s="1477"/>
      <c r="AT359" s="1477"/>
      <c r="AU359" s="1477"/>
      <c r="AV359" s="1477"/>
      <c r="AW359" s="1477"/>
      <c r="AX359" s="1477"/>
      <c r="AY359" s="1477"/>
      <c r="AZ359" s="1477"/>
      <c r="BA359" s="1477"/>
      <c r="BB359" s="1477"/>
      <c r="BC359" s="1477"/>
      <c r="BD359" s="1477"/>
      <c r="BE359" s="1477"/>
      <c r="BF359" s="1477"/>
      <c r="BG359" s="1477"/>
      <c r="BH359" s="1477"/>
      <c r="BI359" s="1477"/>
      <c r="BJ359" s="1477"/>
      <c r="BK359" s="1477"/>
      <c r="BL359" s="1477"/>
      <c r="BM359" s="1477"/>
      <c r="BN359" s="1477"/>
      <c r="BO359" s="1477"/>
      <c r="BP359" s="1477"/>
      <c r="BQ359" s="1477"/>
      <c r="BR359" s="1477"/>
      <c r="BS359" s="1477"/>
      <c r="BT359" s="1477"/>
      <c r="BU359" s="1477"/>
      <c r="BV359" s="1477"/>
      <c r="BW359" s="1477"/>
      <c r="BX359" s="1477"/>
      <c r="BY359" s="1477"/>
      <c r="BZ359" s="1477"/>
      <c r="CA359" s="1477"/>
      <c r="CB359" s="1477"/>
      <c r="CC359" s="1477"/>
      <c r="CD359" s="1477"/>
      <c r="CE359" s="1477"/>
      <c r="CF359" s="1477"/>
      <c r="CG359" s="1477"/>
      <c r="CH359" s="1477"/>
    </row>
    <row r="360" spans="2:86">
      <c r="B360" s="1477"/>
      <c r="C360" s="1477"/>
      <c r="D360" s="1477"/>
      <c r="E360" s="1477"/>
      <c r="F360" s="1477"/>
      <c r="G360" s="1477"/>
      <c r="H360" s="1477"/>
      <c r="I360" s="1477"/>
      <c r="J360" s="1477"/>
      <c r="K360" s="1477"/>
      <c r="L360" s="1477"/>
      <c r="M360" s="1477"/>
      <c r="N360" s="1477"/>
      <c r="O360" s="1477"/>
      <c r="P360" s="1477"/>
      <c r="Q360" s="1477"/>
      <c r="R360" s="1477"/>
      <c r="S360" s="1477"/>
      <c r="T360" s="1477"/>
      <c r="U360" s="1477"/>
      <c r="V360" s="1477"/>
      <c r="W360" s="1477"/>
      <c r="X360" s="1477"/>
      <c r="Y360" s="1477"/>
      <c r="Z360" s="1477"/>
      <c r="AA360" s="1477"/>
      <c r="AB360" s="1477"/>
      <c r="AC360" s="1477"/>
      <c r="AD360" s="1477"/>
      <c r="AE360" s="1477"/>
      <c r="AF360" s="1477"/>
      <c r="AG360" s="1477"/>
      <c r="AH360" s="1477"/>
      <c r="AI360" s="1477"/>
      <c r="AJ360" s="1477"/>
      <c r="AK360" s="1477"/>
      <c r="AL360" s="1477"/>
      <c r="AM360" s="1477"/>
      <c r="AN360" s="1477"/>
      <c r="AO360" s="284"/>
      <c r="AP360" s="1477"/>
      <c r="AQ360" s="1477"/>
      <c r="AR360" s="1477"/>
      <c r="AS360" s="1477"/>
      <c r="AT360" s="1477"/>
      <c r="AU360" s="1477"/>
      <c r="AV360" s="1477"/>
      <c r="AW360" s="1477"/>
      <c r="AX360" s="1477"/>
      <c r="AY360" s="1477"/>
      <c r="AZ360" s="1477"/>
      <c r="BA360" s="1477"/>
      <c r="BB360" s="1477"/>
      <c r="BC360" s="1477"/>
      <c r="BD360" s="1477"/>
      <c r="BE360" s="1477"/>
      <c r="BF360" s="1477"/>
      <c r="BG360" s="1477"/>
      <c r="BH360" s="1477"/>
      <c r="BI360" s="1477"/>
      <c r="BJ360" s="1477"/>
      <c r="BK360" s="1477"/>
      <c r="BL360" s="1477"/>
      <c r="BM360" s="1477"/>
      <c r="BN360" s="1477"/>
      <c r="BO360" s="1477"/>
      <c r="BP360" s="1477"/>
      <c r="BQ360" s="1477"/>
      <c r="BR360" s="1477"/>
      <c r="BS360" s="1477"/>
      <c r="BT360" s="1477"/>
      <c r="BU360" s="1477"/>
      <c r="BV360" s="1477"/>
      <c r="BW360" s="1477"/>
      <c r="BX360" s="1477"/>
      <c r="BY360" s="1477"/>
      <c r="BZ360" s="1477"/>
      <c r="CA360" s="1477"/>
      <c r="CB360" s="1477"/>
      <c r="CC360" s="1477"/>
      <c r="CD360" s="1477"/>
      <c r="CE360" s="1477"/>
      <c r="CF360" s="1477"/>
      <c r="CG360" s="1477"/>
      <c r="CH360" s="1477"/>
    </row>
    <row r="361" spans="2:86">
      <c r="B361" s="1477"/>
      <c r="C361" s="1477"/>
      <c r="D361" s="1477"/>
      <c r="E361" s="1477"/>
      <c r="F361" s="1477"/>
      <c r="G361" s="1477"/>
      <c r="H361" s="1477"/>
      <c r="I361" s="1477"/>
      <c r="J361" s="1477"/>
      <c r="K361" s="1477"/>
      <c r="L361" s="1477"/>
      <c r="M361" s="1477"/>
      <c r="N361" s="1477"/>
      <c r="O361" s="1477"/>
      <c r="P361" s="1477"/>
      <c r="Q361" s="1477"/>
      <c r="R361" s="1477"/>
      <c r="S361" s="1477"/>
      <c r="T361" s="1477"/>
      <c r="U361" s="1477"/>
      <c r="V361" s="1477"/>
      <c r="W361" s="1477"/>
      <c r="X361" s="1477"/>
      <c r="Y361" s="1477"/>
      <c r="Z361" s="1477"/>
      <c r="AA361" s="1477"/>
      <c r="AB361" s="1477"/>
      <c r="AC361" s="1477"/>
      <c r="AD361" s="1477"/>
      <c r="AE361" s="1477"/>
      <c r="AF361" s="1477"/>
      <c r="AG361" s="1477"/>
      <c r="AH361" s="1477"/>
      <c r="AI361" s="1477"/>
      <c r="AJ361" s="1477"/>
      <c r="AK361" s="1477"/>
      <c r="AL361" s="1477"/>
      <c r="AM361" s="1477"/>
      <c r="AN361" s="1477"/>
      <c r="AO361" s="284"/>
      <c r="AP361" s="1477"/>
      <c r="AQ361" s="1477"/>
      <c r="AR361" s="1477"/>
      <c r="AS361" s="1477"/>
      <c r="AT361" s="1477"/>
      <c r="AU361" s="1477"/>
      <c r="AV361" s="1477"/>
      <c r="AW361" s="1477"/>
      <c r="AX361" s="1477"/>
      <c r="AY361" s="1477"/>
      <c r="AZ361" s="1477"/>
      <c r="BA361" s="1477"/>
      <c r="BB361" s="1477"/>
      <c r="BC361" s="1477"/>
      <c r="BD361" s="1477"/>
      <c r="BE361" s="1477"/>
      <c r="BF361" s="1477"/>
      <c r="BG361" s="1477"/>
      <c r="BH361" s="1477"/>
      <c r="BI361" s="1477"/>
      <c r="BJ361" s="1477"/>
      <c r="BK361" s="1477"/>
      <c r="BL361" s="1477"/>
      <c r="BM361" s="1477"/>
      <c r="BN361" s="1477"/>
      <c r="BO361" s="1477"/>
      <c r="BP361" s="1477"/>
      <c r="BQ361" s="1477"/>
      <c r="BR361" s="1477"/>
      <c r="BS361" s="1477"/>
      <c r="BT361" s="1477"/>
      <c r="BU361" s="1477"/>
      <c r="BV361" s="1477"/>
      <c r="BW361" s="1477"/>
      <c r="BX361" s="1477"/>
      <c r="BY361" s="1477"/>
      <c r="BZ361" s="1477"/>
      <c r="CA361" s="1477"/>
      <c r="CB361" s="1477"/>
      <c r="CC361" s="1477"/>
      <c r="CD361" s="1477"/>
      <c r="CE361" s="1477"/>
      <c r="CF361" s="1477"/>
      <c r="CG361" s="1477"/>
      <c r="CH361" s="1477"/>
    </row>
    <row r="362" spans="2:86">
      <c r="B362" s="1477"/>
      <c r="C362" s="1477"/>
      <c r="D362" s="1477"/>
      <c r="E362" s="1477"/>
      <c r="F362" s="1477"/>
      <c r="G362" s="1477"/>
      <c r="H362" s="1477"/>
      <c r="I362" s="1477"/>
      <c r="J362" s="1477"/>
      <c r="K362" s="1477"/>
      <c r="L362" s="1477"/>
      <c r="M362" s="1477"/>
      <c r="N362" s="1477"/>
      <c r="O362" s="1477"/>
      <c r="P362" s="1477"/>
      <c r="Q362" s="1477"/>
      <c r="R362" s="1477"/>
      <c r="S362" s="1477"/>
      <c r="T362" s="1477"/>
      <c r="U362" s="1477"/>
      <c r="V362" s="1477"/>
      <c r="W362" s="1477"/>
      <c r="X362" s="1477"/>
      <c r="Y362" s="1477"/>
      <c r="Z362" s="1477"/>
      <c r="AA362" s="1477"/>
      <c r="AB362" s="1477"/>
      <c r="AC362" s="1477"/>
      <c r="AD362" s="1477"/>
      <c r="AE362" s="1477"/>
      <c r="AF362" s="1477"/>
      <c r="AG362" s="1477"/>
      <c r="AH362" s="1477"/>
      <c r="AI362" s="1477"/>
      <c r="AJ362" s="1477"/>
      <c r="AK362" s="1477"/>
      <c r="AL362" s="1477"/>
      <c r="AM362" s="1477"/>
      <c r="AN362" s="1477"/>
      <c r="AO362" s="284"/>
      <c r="AP362" s="1477"/>
      <c r="AQ362" s="1477"/>
      <c r="AR362" s="1477"/>
      <c r="AS362" s="1477"/>
      <c r="AT362" s="1477"/>
      <c r="AU362" s="1477"/>
      <c r="AV362" s="1477"/>
      <c r="AW362" s="1477"/>
      <c r="AX362" s="1477"/>
      <c r="AY362" s="1477"/>
      <c r="AZ362" s="1477"/>
      <c r="BA362" s="1477"/>
      <c r="BB362" s="1477"/>
      <c r="BC362" s="1477"/>
      <c r="BD362" s="1477"/>
      <c r="BE362" s="1477"/>
      <c r="BF362" s="1477"/>
      <c r="BG362" s="1477"/>
      <c r="BH362" s="1477"/>
      <c r="BI362" s="1477"/>
      <c r="BJ362" s="1477"/>
      <c r="BK362" s="1477"/>
      <c r="BL362" s="1477"/>
      <c r="BM362" s="1477"/>
      <c r="BN362" s="1477"/>
      <c r="BO362" s="1477"/>
      <c r="BP362" s="1477"/>
      <c r="BQ362" s="1477"/>
      <c r="BR362" s="1477"/>
      <c r="BS362" s="1477"/>
      <c r="BT362" s="1477"/>
      <c r="BU362" s="1477"/>
      <c r="BV362" s="1477"/>
      <c r="BW362" s="1477"/>
      <c r="BX362" s="1477"/>
      <c r="BY362" s="1477"/>
      <c r="BZ362" s="1477"/>
      <c r="CA362" s="1477"/>
      <c r="CB362" s="1477"/>
      <c r="CC362" s="1477"/>
      <c r="CD362" s="1477"/>
      <c r="CE362" s="1477"/>
      <c r="CF362" s="1477"/>
      <c r="CG362" s="1477"/>
      <c r="CH362" s="1477"/>
    </row>
    <row r="363" spans="2:86">
      <c r="B363" s="1477"/>
      <c r="C363" s="1477"/>
      <c r="D363" s="1477"/>
      <c r="E363" s="1477"/>
      <c r="F363" s="1477"/>
      <c r="G363" s="1477"/>
      <c r="H363" s="1477"/>
      <c r="I363" s="1477"/>
      <c r="J363" s="1477"/>
      <c r="K363" s="1477"/>
      <c r="L363" s="1477"/>
      <c r="M363" s="1477"/>
      <c r="N363" s="1477"/>
      <c r="O363" s="1477"/>
      <c r="P363" s="1477"/>
      <c r="Q363" s="1477"/>
      <c r="R363" s="1477"/>
      <c r="S363" s="1477"/>
      <c r="T363" s="1477"/>
      <c r="U363" s="1477"/>
      <c r="V363" s="1477"/>
      <c r="W363" s="1477"/>
      <c r="X363" s="1477"/>
      <c r="Y363" s="1477"/>
      <c r="Z363" s="1477"/>
      <c r="AA363" s="1477"/>
      <c r="AB363" s="1477"/>
      <c r="AC363" s="1477"/>
      <c r="AD363" s="1477"/>
      <c r="AE363" s="1477"/>
      <c r="AF363" s="1477"/>
      <c r="AG363" s="1477"/>
      <c r="AH363" s="1477"/>
      <c r="AI363" s="1477"/>
      <c r="AJ363" s="1477"/>
      <c r="AK363" s="1477"/>
      <c r="AL363" s="1477"/>
      <c r="AM363" s="1477"/>
      <c r="AN363" s="1477"/>
      <c r="AO363" s="284"/>
      <c r="AP363" s="1477"/>
      <c r="AQ363" s="1477"/>
      <c r="AR363" s="1477"/>
      <c r="AS363" s="1477"/>
      <c r="AT363" s="1477"/>
      <c r="AU363" s="1477"/>
      <c r="AV363" s="1477"/>
      <c r="AW363" s="1477"/>
      <c r="AX363" s="1477"/>
      <c r="AY363" s="1477"/>
      <c r="AZ363" s="1477"/>
      <c r="BA363" s="1477"/>
      <c r="BB363" s="1477"/>
      <c r="BC363" s="1477"/>
      <c r="BD363" s="1477"/>
      <c r="BE363" s="1477"/>
      <c r="BF363" s="1477"/>
      <c r="BG363" s="1477"/>
      <c r="BH363" s="1477"/>
      <c r="BI363" s="1477"/>
      <c r="BJ363" s="1477"/>
      <c r="BK363" s="1477"/>
      <c r="BL363" s="1477"/>
      <c r="BM363" s="1477"/>
      <c r="BN363" s="1477"/>
      <c r="BO363" s="1477"/>
      <c r="BP363" s="1477"/>
      <c r="BQ363" s="1477"/>
      <c r="BR363" s="1477"/>
      <c r="BS363" s="1477"/>
      <c r="BT363" s="1477"/>
      <c r="BU363" s="1477"/>
      <c r="BV363" s="1477"/>
      <c r="BW363" s="1477"/>
      <c r="BX363" s="1477"/>
      <c r="BY363" s="1477"/>
      <c r="BZ363" s="1477"/>
      <c r="CA363" s="1477"/>
      <c r="CB363" s="1477"/>
      <c r="CC363" s="1477"/>
      <c r="CD363" s="1477"/>
      <c r="CE363" s="1477"/>
      <c r="CF363" s="1477"/>
      <c r="CG363" s="1477"/>
      <c r="CH363" s="1477"/>
    </row>
    <row r="364" spans="2:86">
      <c r="B364" s="1477"/>
      <c r="C364" s="1477"/>
      <c r="D364" s="1477"/>
      <c r="E364" s="1477"/>
      <c r="F364" s="1477"/>
      <c r="G364" s="1477"/>
      <c r="H364" s="1477"/>
      <c r="I364" s="1477"/>
      <c r="J364" s="1477"/>
      <c r="K364" s="1477"/>
      <c r="L364" s="1477"/>
      <c r="M364" s="1477"/>
      <c r="N364" s="1477"/>
      <c r="O364" s="1477"/>
      <c r="P364" s="1477"/>
      <c r="Q364" s="1477"/>
      <c r="R364" s="1477"/>
      <c r="S364" s="1477"/>
      <c r="T364" s="1477"/>
      <c r="U364" s="1477"/>
      <c r="V364" s="1477"/>
      <c r="W364" s="1477"/>
      <c r="X364" s="1477"/>
      <c r="Y364" s="1477"/>
      <c r="Z364" s="1477"/>
      <c r="AA364" s="1477"/>
      <c r="AB364" s="1477"/>
      <c r="AC364" s="1477"/>
      <c r="AD364" s="1477"/>
      <c r="AE364" s="1477"/>
      <c r="AF364" s="1477"/>
      <c r="AG364" s="1477"/>
      <c r="AH364" s="1477"/>
      <c r="AI364" s="1477"/>
      <c r="AJ364" s="1477"/>
      <c r="AK364" s="1477"/>
      <c r="AL364" s="1477"/>
      <c r="AM364" s="1477"/>
      <c r="AN364" s="1477"/>
      <c r="AO364" s="284"/>
      <c r="AP364" s="1477"/>
      <c r="AQ364" s="1477"/>
      <c r="AR364" s="1477"/>
      <c r="AS364" s="1477"/>
      <c r="AT364" s="1477"/>
      <c r="AU364" s="1477"/>
      <c r="AV364" s="1477"/>
      <c r="AW364" s="1477"/>
      <c r="AX364" s="1477"/>
      <c r="AY364" s="1477"/>
      <c r="AZ364" s="1477"/>
      <c r="BA364" s="1477"/>
      <c r="BB364" s="1477"/>
      <c r="BC364" s="1477"/>
      <c r="BD364" s="1477"/>
      <c r="BE364" s="1477"/>
      <c r="BF364" s="1477"/>
      <c r="BG364" s="1477"/>
      <c r="BH364" s="1477"/>
      <c r="BI364" s="1477"/>
      <c r="BJ364" s="1477"/>
      <c r="BK364" s="1477"/>
      <c r="BL364" s="1477"/>
      <c r="BM364" s="1477"/>
      <c r="BN364" s="1477"/>
      <c r="BO364" s="1477"/>
      <c r="BP364" s="1477"/>
      <c r="BQ364" s="1477"/>
      <c r="BR364" s="1477"/>
      <c r="BS364" s="1477"/>
      <c r="BT364" s="1477"/>
      <c r="BU364" s="1477"/>
      <c r="BV364" s="1477"/>
      <c r="BW364" s="1477"/>
      <c r="BX364" s="1477"/>
      <c r="BY364" s="1477"/>
      <c r="BZ364" s="1477"/>
      <c r="CA364" s="1477"/>
      <c r="CB364" s="1477"/>
      <c r="CC364" s="1477"/>
      <c r="CD364" s="1477"/>
      <c r="CE364" s="1477"/>
      <c r="CF364" s="1477"/>
      <c r="CG364" s="1477"/>
      <c r="CH364" s="1477"/>
    </row>
    <row r="365" spans="2:86">
      <c r="B365" s="1477"/>
      <c r="C365" s="1477"/>
      <c r="D365" s="1477"/>
      <c r="E365" s="1477"/>
      <c r="F365" s="1477"/>
      <c r="G365" s="1477"/>
      <c r="H365" s="1477"/>
      <c r="I365" s="1477"/>
      <c r="J365" s="1477"/>
      <c r="K365" s="1477"/>
      <c r="L365" s="1477"/>
      <c r="M365" s="1477"/>
      <c r="N365" s="1477"/>
      <c r="O365" s="1477"/>
      <c r="P365" s="1477"/>
      <c r="Q365" s="1477"/>
      <c r="R365" s="1477"/>
      <c r="S365" s="1477"/>
      <c r="T365" s="1477"/>
      <c r="U365" s="1477"/>
      <c r="V365" s="1477"/>
      <c r="W365" s="1477"/>
      <c r="X365" s="1477"/>
      <c r="Y365" s="1477"/>
      <c r="Z365" s="1477"/>
      <c r="AA365" s="1477"/>
      <c r="AB365" s="1477"/>
      <c r="AC365" s="1477"/>
      <c r="AD365" s="1477"/>
      <c r="AE365" s="1477"/>
      <c r="AF365" s="1477"/>
      <c r="AG365" s="1477"/>
      <c r="AH365" s="1477"/>
      <c r="AI365" s="1477"/>
      <c r="AJ365" s="1477"/>
      <c r="AK365" s="1477"/>
      <c r="AL365" s="1477"/>
      <c r="AM365" s="1477"/>
      <c r="AN365" s="1477"/>
      <c r="AO365" s="284"/>
      <c r="AP365" s="1477"/>
      <c r="AQ365" s="1477"/>
      <c r="AR365" s="1477"/>
      <c r="AS365" s="1477"/>
      <c r="AT365" s="1477"/>
      <c r="AU365" s="1477"/>
      <c r="AV365" s="1477"/>
      <c r="AW365" s="1477"/>
      <c r="AX365" s="1477"/>
      <c r="AY365" s="1477"/>
      <c r="AZ365" s="1477"/>
      <c r="BA365" s="1477"/>
      <c r="BB365" s="1477"/>
      <c r="BC365" s="1477"/>
      <c r="BD365" s="1477"/>
      <c r="BE365" s="1477"/>
      <c r="BF365" s="1477"/>
      <c r="BG365" s="1477"/>
      <c r="BH365" s="1477"/>
      <c r="BI365" s="1477"/>
      <c r="BJ365" s="1477"/>
      <c r="BK365" s="1477"/>
      <c r="BL365" s="1477"/>
      <c r="BM365" s="1477"/>
      <c r="BN365" s="1477"/>
      <c r="BO365" s="1477"/>
      <c r="BP365" s="1477"/>
      <c r="BQ365" s="1477"/>
      <c r="BR365" s="1477"/>
      <c r="BS365" s="1477"/>
      <c r="BT365" s="1477"/>
      <c r="BU365" s="1477"/>
      <c r="BV365" s="1477"/>
      <c r="BW365" s="1477"/>
      <c r="BX365" s="1477"/>
      <c r="BY365" s="1477"/>
      <c r="BZ365" s="1477"/>
      <c r="CA365" s="1477"/>
      <c r="CB365" s="1477"/>
      <c r="CC365" s="1477"/>
      <c r="CD365" s="1477"/>
      <c r="CE365" s="1477"/>
      <c r="CF365" s="1477"/>
      <c r="CG365" s="1477"/>
      <c r="CH365" s="1477"/>
    </row>
    <row r="366" spans="2:86">
      <c r="B366" s="1477"/>
      <c r="C366" s="1477"/>
      <c r="D366" s="1477"/>
      <c r="E366" s="1477"/>
      <c r="F366" s="1477"/>
      <c r="G366" s="1477"/>
      <c r="H366" s="1477"/>
      <c r="I366" s="1477"/>
      <c r="J366" s="1477"/>
      <c r="K366" s="1477"/>
      <c r="L366" s="1477"/>
      <c r="M366" s="1477"/>
      <c r="N366" s="1477"/>
      <c r="O366" s="1477"/>
      <c r="P366" s="1477"/>
      <c r="Q366" s="1477"/>
      <c r="R366" s="1477"/>
      <c r="S366" s="1477"/>
      <c r="T366" s="1477"/>
      <c r="U366" s="1477"/>
      <c r="V366" s="1477"/>
      <c r="W366" s="1477"/>
      <c r="X366" s="1477"/>
      <c r="Y366" s="1477"/>
      <c r="Z366" s="1477"/>
      <c r="AA366" s="1477"/>
      <c r="AB366" s="1477"/>
      <c r="AC366" s="1477"/>
      <c r="AD366" s="1477"/>
      <c r="AE366" s="1477"/>
      <c r="AF366" s="1477"/>
      <c r="AG366" s="1477"/>
      <c r="AH366" s="1477"/>
      <c r="AI366" s="1477"/>
      <c r="AJ366" s="1477"/>
      <c r="AK366" s="1477"/>
      <c r="AL366" s="1477"/>
      <c r="AM366" s="1477"/>
      <c r="AN366" s="1477"/>
      <c r="AO366" s="284"/>
      <c r="AP366" s="1477"/>
      <c r="AQ366" s="1477"/>
      <c r="AR366" s="1477"/>
      <c r="AS366" s="1477"/>
      <c r="AT366" s="1477"/>
      <c r="AU366" s="1477"/>
      <c r="AV366" s="1477"/>
      <c r="AW366" s="1477"/>
      <c r="AX366" s="1477"/>
      <c r="AY366" s="1477"/>
      <c r="AZ366" s="1477"/>
      <c r="BA366" s="1477"/>
      <c r="BB366" s="1477"/>
      <c r="BC366" s="1477"/>
      <c r="BD366" s="1477"/>
      <c r="BE366" s="1477"/>
      <c r="BF366" s="1477"/>
      <c r="BG366" s="1477"/>
      <c r="BH366" s="1477"/>
      <c r="BI366" s="1477"/>
      <c r="BJ366" s="1477"/>
      <c r="BK366" s="1477"/>
      <c r="BL366" s="1477"/>
      <c r="BM366" s="1477"/>
      <c r="BN366" s="1477"/>
      <c r="BO366" s="1477"/>
      <c r="BP366" s="1477"/>
      <c r="BQ366" s="1477"/>
      <c r="BR366" s="1477"/>
      <c r="BS366" s="1477"/>
      <c r="BT366" s="1477"/>
      <c r="BU366" s="1477"/>
      <c r="BV366" s="1477"/>
      <c r="BW366" s="1477"/>
      <c r="BX366" s="1477"/>
      <c r="BY366" s="1477"/>
      <c r="BZ366" s="1477"/>
      <c r="CA366" s="1477"/>
      <c r="CB366" s="1477"/>
      <c r="CC366" s="1477"/>
      <c r="CD366" s="1477"/>
      <c r="CE366" s="1477"/>
      <c r="CF366" s="1477"/>
      <c r="CG366" s="1477"/>
      <c r="CH366" s="1477"/>
    </row>
    <row r="367" spans="2:86">
      <c r="B367" s="1477"/>
      <c r="C367" s="1477"/>
      <c r="D367" s="1477"/>
      <c r="E367" s="1477"/>
      <c r="F367" s="1477"/>
      <c r="G367" s="1477"/>
      <c r="H367" s="1477"/>
      <c r="I367" s="1477"/>
      <c r="J367" s="1477"/>
      <c r="K367" s="1477"/>
      <c r="L367" s="1477"/>
      <c r="M367" s="1477"/>
      <c r="N367" s="1477"/>
      <c r="O367" s="1477"/>
      <c r="P367" s="1477"/>
      <c r="Q367" s="1477"/>
      <c r="R367" s="1477"/>
      <c r="S367" s="1477"/>
      <c r="T367" s="1477"/>
      <c r="U367" s="1477"/>
      <c r="V367" s="1477"/>
      <c r="W367" s="1477"/>
      <c r="X367" s="1477"/>
      <c r="Y367" s="1477"/>
      <c r="Z367" s="1477"/>
      <c r="AA367" s="1477"/>
      <c r="AB367" s="1477"/>
      <c r="AC367" s="1477"/>
      <c r="AD367" s="1477"/>
      <c r="AE367" s="1477"/>
      <c r="AF367" s="1477"/>
      <c r="AG367" s="1477"/>
      <c r="AH367" s="1477"/>
      <c r="AI367" s="1477"/>
      <c r="AJ367" s="1477"/>
      <c r="AK367" s="1477"/>
      <c r="AL367" s="1477"/>
      <c r="AM367" s="1477"/>
      <c r="AN367" s="1477"/>
      <c r="AO367" s="284"/>
      <c r="AP367" s="1477"/>
      <c r="AQ367" s="1477"/>
      <c r="AR367" s="1477"/>
      <c r="AS367" s="1477"/>
      <c r="AT367" s="1477"/>
      <c r="AU367" s="1477"/>
      <c r="AV367" s="1477"/>
      <c r="AW367" s="1477"/>
      <c r="AX367" s="1477"/>
      <c r="AY367" s="1477"/>
      <c r="AZ367" s="1477"/>
      <c r="BA367" s="1477"/>
      <c r="BB367" s="1477"/>
      <c r="BC367" s="1477"/>
      <c r="BD367" s="1477"/>
      <c r="BE367" s="1477"/>
      <c r="BF367" s="1477"/>
      <c r="BG367" s="1477"/>
      <c r="BH367" s="1477"/>
      <c r="BI367" s="1477"/>
      <c r="BJ367" s="1477"/>
      <c r="BK367" s="1477"/>
      <c r="BL367" s="1477"/>
      <c r="BM367" s="1477"/>
      <c r="BN367" s="1477"/>
      <c r="BO367" s="1477"/>
      <c r="BP367" s="1477"/>
      <c r="BQ367" s="1477"/>
      <c r="BR367" s="1477"/>
      <c r="BS367" s="1477"/>
      <c r="BT367" s="1477"/>
      <c r="BU367" s="1477"/>
      <c r="BV367" s="1477"/>
      <c r="BW367" s="1477"/>
      <c r="BX367" s="1477"/>
      <c r="BY367" s="1477"/>
      <c r="BZ367" s="1477"/>
      <c r="CA367" s="1477"/>
      <c r="CB367" s="1477"/>
      <c r="CC367" s="1477"/>
      <c r="CD367" s="1477"/>
      <c r="CE367" s="1477"/>
      <c r="CF367" s="1477"/>
      <c r="CG367" s="1477"/>
      <c r="CH367" s="1477"/>
    </row>
    <row r="368" spans="2:86">
      <c r="B368" s="1477"/>
      <c r="C368" s="1477"/>
      <c r="D368" s="1477"/>
      <c r="E368" s="1477"/>
      <c r="F368" s="1477"/>
      <c r="G368" s="1477"/>
      <c r="H368" s="1477"/>
      <c r="I368" s="1477"/>
      <c r="J368" s="1477"/>
      <c r="K368" s="1477"/>
      <c r="L368" s="1477"/>
      <c r="M368" s="1477"/>
      <c r="N368" s="1477"/>
      <c r="O368" s="1477"/>
      <c r="P368" s="1477"/>
      <c r="Q368" s="1477"/>
      <c r="R368" s="1477"/>
      <c r="S368" s="1477"/>
      <c r="T368" s="1477"/>
      <c r="U368" s="1477"/>
      <c r="V368" s="1477"/>
      <c r="W368" s="1477"/>
      <c r="X368" s="1477"/>
      <c r="Y368" s="1477"/>
      <c r="Z368" s="1477"/>
      <c r="AA368" s="1477"/>
      <c r="AB368" s="1477"/>
      <c r="AC368" s="1477"/>
      <c r="AD368" s="1477"/>
      <c r="AE368" s="1477"/>
      <c r="AF368" s="1477"/>
      <c r="AG368" s="1477"/>
      <c r="AH368" s="1477"/>
      <c r="AI368" s="1477"/>
      <c r="AJ368" s="1477"/>
      <c r="AK368" s="1477"/>
      <c r="AL368" s="1477"/>
      <c r="AM368" s="1477"/>
      <c r="AN368" s="1477"/>
      <c r="AO368" s="284"/>
      <c r="AP368" s="1477"/>
      <c r="AQ368" s="1477"/>
      <c r="AR368" s="1477"/>
      <c r="AS368" s="1477"/>
      <c r="AT368" s="1477"/>
      <c r="AU368" s="1477"/>
      <c r="AV368" s="1477"/>
      <c r="AW368" s="1477"/>
      <c r="AX368" s="1477"/>
      <c r="AY368" s="1477"/>
      <c r="AZ368" s="1477"/>
      <c r="BA368" s="1477"/>
      <c r="BB368" s="1477"/>
      <c r="BC368" s="1477"/>
      <c r="BD368" s="1477"/>
      <c r="BE368" s="1477"/>
      <c r="BF368" s="1477"/>
      <c r="BG368" s="1477"/>
      <c r="BH368" s="1477"/>
      <c r="BI368" s="1477"/>
      <c r="BJ368" s="1477"/>
      <c r="BK368" s="1477"/>
      <c r="BL368" s="1477"/>
      <c r="BM368" s="1477"/>
      <c r="BN368" s="1477"/>
      <c r="BO368" s="1477"/>
      <c r="BP368" s="1477"/>
      <c r="BQ368" s="1477"/>
      <c r="BR368" s="1477"/>
      <c r="BS368" s="1477"/>
      <c r="BT368" s="1477"/>
      <c r="BU368" s="1477"/>
      <c r="BV368" s="1477"/>
      <c r="BW368" s="1477"/>
      <c r="BX368" s="1477"/>
      <c r="BY368" s="1477"/>
      <c r="BZ368" s="1477"/>
      <c r="CA368" s="1477"/>
      <c r="CB368" s="1477"/>
      <c r="CC368" s="1477"/>
      <c r="CD368" s="1477"/>
      <c r="CE368" s="1477"/>
      <c r="CF368" s="1477"/>
      <c r="CG368" s="1477"/>
      <c r="CH368" s="1477"/>
    </row>
    <row r="369" spans="2:86">
      <c r="B369" s="1477"/>
      <c r="C369" s="1477"/>
      <c r="D369" s="1477"/>
      <c r="E369" s="1477"/>
      <c r="F369" s="1477"/>
      <c r="G369" s="1477"/>
      <c r="H369" s="1477"/>
      <c r="I369" s="1477"/>
      <c r="J369" s="1477"/>
      <c r="K369" s="1477"/>
      <c r="L369" s="1477"/>
      <c r="M369" s="1477"/>
      <c r="N369" s="1477"/>
      <c r="O369" s="1477"/>
      <c r="P369" s="1477"/>
      <c r="Q369" s="1477"/>
      <c r="R369" s="1477"/>
      <c r="S369" s="1477"/>
      <c r="T369" s="1477"/>
      <c r="U369" s="1477"/>
      <c r="V369" s="1477"/>
      <c r="W369" s="1477"/>
      <c r="X369" s="1477"/>
      <c r="Y369" s="1477"/>
      <c r="Z369" s="1477"/>
      <c r="AA369" s="1477"/>
      <c r="AB369" s="1477"/>
      <c r="AC369" s="1477"/>
      <c r="AD369" s="1477"/>
      <c r="AE369" s="1477"/>
      <c r="AF369" s="1477"/>
      <c r="AG369" s="1477"/>
      <c r="AH369" s="1477"/>
      <c r="AI369" s="1477"/>
      <c r="AJ369" s="1477"/>
      <c r="AK369" s="1477"/>
      <c r="AL369" s="1477"/>
      <c r="AM369" s="1477"/>
      <c r="AN369" s="1477"/>
      <c r="AO369" s="284"/>
      <c r="AP369" s="1477"/>
      <c r="AQ369" s="1477"/>
      <c r="AR369" s="1477"/>
      <c r="AS369" s="1477"/>
      <c r="AT369" s="1477"/>
      <c r="AU369" s="1477"/>
      <c r="AV369" s="1477"/>
      <c r="AW369" s="1477"/>
      <c r="AX369" s="1477"/>
      <c r="AY369" s="1477"/>
      <c r="AZ369" s="1477"/>
      <c r="BA369" s="1477"/>
      <c r="BB369" s="1477"/>
      <c r="BC369" s="1477"/>
      <c r="BD369" s="1477"/>
      <c r="BE369" s="1477"/>
      <c r="BF369" s="1477"/>
      <c r="BG369" s="1477"/>
      <c r="BH369" s="1477"/>
      <c r="BI369" s="1477"/>
      <c r="BJ369" s="1477"/>
      <c r="BK369" s="1477"/>
      <c r="BL369" s="1477"/>
      <c r="BM369" s="1477"/>
      <c r="BN369" s="1477"/>
      <c r="BO369" s="1477"/>
      <c r="BP369" s="1477"/>
      <c r="BQ369" s="1477"/>
      <c r="BR369" s="1477"/>
      <c r="BS369" s="1477"/>
      <c r="BT369" s="1477"/>
      <c r="BU369" s="1477"/>
      <c r="BV369" s="1477"/>
      <c r="BW369" s="1477"/>
      <c r="BX369" s="1477"/>
      <c r="BY369" s="1477"/>
      <c r="BZ369" s="1477"/>
      <c r="CA369" s="1477"/>
      <c r="CB369" s="1477"/>
      <c r="CC369" s="1477"/>
      <c r="CD369" s="1477"/>
      <c r="CE369" s="1477"/>
      <c r="CF369" s="1477"/>
      <c r="CG369" s="1477"/>
      <c r="CH369" s="1477"/>
    </row>
    <row r="370" spans="2:86">
      <c r="B370" s="1477"/>
      <c r="C370" s="1477"/>
      <c r="D370" s="1477"/>
      <c r="E370" s="1477"/>
      <c r="F370" s="1477"/>
      <c r="G370" s="1477"/>
      <c r="H370" s="1477"/>
      <c r="I370" s="1477"/>
      <c r="J370" s="1477"/>
      <c r="K370" s="1477"/>
      <c r="L370" s="1477"/>
      <c r="M370" s="1477"/>
      <c r="N370" s="1477"/>
      <c r="O370" s="1477"/>
      <c r="P370" s="1477"/>
      <c r="Q370" s="1477"/>
      <c r="R370" s="1477"/>
      <c r="S370" s="1477"/>
      <c r="T370" s="1477"/>
      <c r="U370" s="1477"/>
      <c r="V370" s="1477"/>
      <c r="W370" s="1477"/>
      <c r="X370" s="1477"/>
      <c r="Y370" s="1477"/>
      <c r="Z370" s="1477"/>
      <c r="AA370" s="1477"/>
      <c r="AB370" s="1477"/>
      <c r="AC370" s="1477"/>
      <c r="AD370" s="1477"/>
      <c r="AE370" s="1477"/>
      <c r="AF370" s="1477"/>
      <c r="AG370" s="1477"/>
      <c r="AH370" s="1477"/>
      <c r="AI370" s="1477"/>
      <c r="AJ370" s="1477"/>
      <c r="AK370" s="1477"/>
      <c r="AL370" s="1477"/>
      <c r="AM370" s="1477"/>
      <c r="AN370" s="1477"/>
      <c r="AO370" s="284"/>
      <c r="AP370" s="1477"/>
      <c r="AQ370" s="1477"/>
      <c r="AR370" s="1477"/>
      <c r="AS370" s="1477"/>
      <c r="AT370" s="1477"/>
      <c r="AU370" s="1477"/>
      <c r="AV370" s="1477"/>
      <c r="AW370" s="1477"/>
      <c r="AX370" s="1477"/>
      <c r="AY370" s="1477"/>
      <c r="AZ370" s="1477"/>
      <c r="BA370" s="1477"/>
      <c r="BB370" s="1477"/>
      <c r="BC370" s="1477"/>
      <c r="BD370" s="1477"/>
      <c r="BE370" s="1477"/>
      <c r="BF370" s="1477"/>
      <c r="BG370" s="1477"/>
      <c r="BH370" s="1477"/>
      <c r="BI370" s="1477"/>
      <c r="BJ370" s="1477"/>
      <c r="BK370" s="1477"/>
      <c r="BL370" s="1477"/>
      <c r="BM370" s="1477"/>
      <c r="BN370" s="1477"/>
      <c r="BO370" s="1477"/>
      <c r="BP370" s="1477"/>
      <c r="BQ370" s="1477"/>
      <c r="BR370" s="1477"/>
      <c r="BS370" s="1477"/>
      <c r="BT370" s="1477"/>
      <c r="BU370" s="1477"/>
      <c r="BV370" s="1477"/>
      <c r="BW370" s="1477"/>
      <c r="BX370" s="1477"/>
      <c r="BY370" s="1477"/>
      <c r="BZ370" s="1477"/>
      <c r="CA370" s="1477"/>
      <c r="CB370" s="1477"/>
      <c r="CC370" s="1477"/>
      <c r="CD370" s="1477"/>
      <c r="CE370" s="1477"/>
      <c r="CF370" s="1477"/>
      <c r="CG370" s="1477"/>
      <c r="CH370" s="1477"/>
    </row>
    <row r="371" spans="2:86">
      <c r="B371" s="1477"/>
      <c r="C371" s="1477"/>
      <c r="D371" s="1477"/>
      <c r="E371" s="1477"/>
      <c r="F371" s="1477"/>
      <c r="G371" s="1477"/>
      <c r="H371" s="1477"/>
      <c r="I371" s="1477"/>
      <c r="J371" s="1477"/>
      <c r="K371" s="1477"/>
      <c r="L371" s="1477"/>
      <c r="M371" s="1477"/>
      <c r="N371" s="1477"/>
      <c r="O371" s="1477"/>
      <c r="P371" s="1477"/>
      <c r="Q371" s="1477"/>
      <c r="R371" s="1477"/>
      <c r="S371" s="1477"/>
      <c r="T371" s="1477"/>
      <c r="U371" s="1477"/>
      <c r="V371" s="1477"/>
      <c r="W371" s="1477"/>
      <c r="X371" s="1477"/>
      <c r="Y371" s="1477"/>
      <c r="Z371" s="1477"/>
      <c r="AA371" s="1477"/>
      <c r="AB371" s="1477"/>
      <c r="AC371" s="1477"/>
      <c r="AD371" s="1477"/>
      <c r="AE371" s="1477"/>
      <c r="AF371" s="1477"/>
      <c r="AG371" s="1477"/>
      <c r="AH371" s="1477"/>
      <c r="AI371" s="1477"/>
      <c r="AJ371" s="1477"/>
      <c r="AK371" s="1477"/>
      <c r="AL371" s="1477"/>
      <c r="AM371" s="1477"/>
      <c r="AN371" s="1477"/>
      <c r="AO371" s="284"/>
      <c r="AP371" s="1477"/>
      <c r="AQ371" s="1477"/>
      <c r="AR371" s="1477"/>
      <c r="AS371" s="1477"/>
      <c r="AT371" s="1477"/>
      <c r="AU371" s="1477"/>
      <c r="AV371" s="1477"/>
      <c r="AW371" s="1477"/>
      <c r="AX371" s="1477"/>
      <c r="AY371" s="1477"/>
      <c r="AZ371" s="1477"/>
      <c r="BA371" s="1477"/>
      <c r="BB371" s="1477"/>
      <c r="BC371" s="1477"/>
      <c r="BD371" s="1477"/>
      <c r="BE371" s="1477"/>
      <c r="BF371" s="1477"/>
      <c r="BG371" s="1477"/>
      <c r="BH371" s="1477"/>
      <c r="BI371" s="1477"/>
      <c r="BJ371" s="1477"/>
      <c r="BK371" s="1477"/>
      <c r="BL371" s="1477"/>
      <c r="BM371" s="1477"/>
      <c r="BN371" s="1477"/>
      <c r="BO371" s="1477"/>
      <c r="BP371" s="1477"/>
      <c r="BQ371" s="1477"/>
      <c r="BR371" s="1477"/>
      <c r="BS371" s="1477"/>
      <c r="BT371" s="1477"/>
      <c r="BU371" s="1477"/>
      <c r="BV371" s="1477"/>
      <c r="BW371" s="1477"/>
      <c r="BX371" s="1477"/>
      <c r="BY371" s="1477"/>
      <c r="BZ371" s="1477"/>
      <c r="CA371" s="1477"/>
      <c r="CB371" s="1477"/>
      <c r="CC371" s="1477"/>
      <c r="CD371" s="1477"/>
      <c r="CE371" s="1477"/>
      <c r="CF371" s="1477"/>
      <c r="CG371" s="1477"/>
      <c r="CH371" s="1477"/>
    </row>
    <row r="372" spans="2:86">
      <c r="B372" s="1477"/>
      <c r="C372" s="1477"/>
      <c r="D372" s="1477"/>
      <c r="E372" s="1477"/>
      <c r="F372" s="1477"/>
      <c r="G372" s="1477"/>
      <c r="H372" s="1477"/>
      <c r="I372" s="1477"/>
      <c r="J372" s="1477"/>
      <c r="K372" s="1477"/>
      <c r="L372" s="1477"/>
      <c r="M372" s="1477"/>
      <c r="N372" s="1477"/>
      <c r="O372" s="1477"/>
      <c r="P372" s="1477"/>
      <c r="Q372" s="1477"/>
      <c r="R372" s="1477"/>
      <c r="S372" s="1477"/>
      <c r="T372" s="1477"/>
      <c r="U372" s="1477"/>
      <c r="V372" s="1477"/>
      <c r="W372" s="1477"/>
      <c r="X372" s="1477"/>
      <c r="Y372" s="1477"/>
      <c r="Z372" s="1477"/>
      <c r="AA372" s="1477"/>
      <c r="AB372" s="1477"/>
      <c r="AC372" s="1477"/>
      <c r="AD372" s="1477"/>
      <c r="AE372" s="1477"/>
      <c r="AF372" s="1477"/>
      <c r="AG372" s="1477"/>
      <c r="AH372" s="1477"/>
      <c r="AI372" s="1477"/>
      <c r="AJ372" s="1477"/>
      <c r="AK372" s="1477"/>
      <c r="AL372" s="1477"/>
      <c r="AM372" s="1477"/>
      <c r="AN372" s="1477"/>
      <c r="AO372" s="284"/>
      <c r="AP372" s="1477"/>
      <c r="AQ372" s="1477"/>
      <c r="AR372" s="1477"/>
      <c r="AS372" s="1477"/>
      <c r="AT372" s="1477"/>
      <c r="AU372" s="1477"/>
      <c r="AV372" s="1477"/>
      <c r="AW372" s="1477"/>
      <c r="AX372" s="1477"/>
      <c r="AY372" s="1477"/>
      <c r="AZ372" s="1477"/>
      <c r="BA372" s="1477"/>
      <c r="BB372" s="1477"/>
      <c r="BC372" s="1477"/>
      <c r="BD372" s="1477"/>
      <c r="BE372" s="1477"/>
      <c r="BF372" s="1477"/>
      <c r="BG372" s="1477"/>
      <c r="BH372" s="1477"/>
      <c r="BI372" s="1477"/>
      <c r="BJ372" s="1477"/>
      <c r="BK372" s="1477"/>
      <c r="BL372" s="1477"/>
      <c r="BM372" s="1477"/>
      <c r="BN372" s="1477"/>
      <c r="BO372" s="1477"/>
      <c r="BP372" s="1477"/>
      <c r="BQ372" s="1477"/>
      <c r="BR372" s="1477"/>
      <c r="BS372" s="1477"/>
      <c r="BT372" s="1477"/>
      <c r="BU372" s="1477"/>
      <c r="BV372" s="1477"/>
      <c r="BW372" s="1477"/>
      <c r="BX372" s="1477"/>
      <c r="BY372" s="1477"/>
      <c r="BZ372" s="1477"/>
      <c r="CA372" s="1477"/>
      <c r="CB372" s="1477"/>
      <c r="CC372" s="1477"/>
      <c r="CD372" s="1477"/>
      <c r="CE372" s="1477"/>
      <c r="CF372" s="1477"/>
      <c r="CG372" s="1477"/>
      <c r="CH372" s="1477"/>
    </row>
    <row r="373" spans="2:86">
      <c r="B373" s="1477"/>
      <c r="C373" s="1477"/>
      <c r="D373" s="1477"/>
      <c r="E373" s="1477"/>
      <c r="F373" s="1477"/>
      <c r="G373" s="1477"/>
      <c r="H373" s="1477"/>
      <c r="I373" s="1477"/>
      <c r="J373" s="1477"/>
      <c r="K373" s="1477"/>
      <c r="L373" s="1477"/>
      <c r="M373" s="1477"/>
      <c r="N373" s="1477"/>
      <c r="O373" s="1477"/>
      <c r="P373" s="1477"/>
      <c r="Q373" s="1477"/>
      <c r="R373" s="1477"/>
      <c r="S373" s="1477"/>
      <c r="T373" s="1477"/>
      <c r="U373" s="1477"/>
      <c r="V373" s="1477"/>
      <c r="W373" s="1477"/>
      <c r="X373" s="1477"/>
      <c r="Y373" s="1477"/>
      <c r="Z373" s="1477"/>
      <c r="AA373" s="1477"/>
      <c r="AB373" s="1477"/>
      <c r="AC373" s="1477"/>
      <c r="AD373" s="1477"/>
      <c r="AE373" s="1477"/>
      <c r="AF373" s="1477"/>
      <c r="AG373" s="1477"/>
      <c r="AH373" s="1477"/>
      <c r="AI373" s="1477"/>
      <c r="AJ373" s="1477"/>
      <c r="AK373" s="1477"/>
      <c r="AL373" s="1477"/>
      <c r="AM373" s="1477"/>
      <c r="AN373" s="1477"/>
      <c r="AO373" s="284"/>
      <c r="AP373" s="1477"/>
      <c r="AQ373" s="1477"/>
      <c r="AR373" s="1477"/>
      <c r="AS373" s="1477"/>
      <c r="AT373" s="1477"/>
      <c r="AU373" s="1477"/>
      <c r="AV373" s="1477"/>
      <c r="AW373" s="1477"/>
      <c r="AX373" s="1477"/>
      <c r="AY373" s="1477"/>
      <c r="AZ373" s="1477"/>
      <c r="BA373" s="1477"/>
      <c r="BB373" s="1477"/>
      <c r="BC373" s="1477"/>
      <c r="BD373" s="1477"/>
      <c r="BE373" s="1477"/>
      <c r="BF373" s="1477"/>
      <c r="BG373" s="1477"/>
      <c r="BH373" s="1477"/>
      <c r="BI373" s="1477"/>
      <c r="BJ373" s="1477"/>
      <c r="BK373" s="1477"/>
      <c r="BL373" s="1477"/>
      <c r="BM373" s="1477"/>
      <c r="BN373" s="1477"/>
      <c r="BO373" s="1477"/>
      <c r="BP373" s="1477"/>
      <c r="BQ373" s="1477"/>
      <c r="BR373" s="1477"/>
      <c r="BS373" s="1477"/>
      <c r="BT373" s="1477"/>
      <c r="BU373" s="1477"/>
      <c r="BV373" s="1477"/>
      <c r="BW373" s="1477"/>
      <c r="BX373" s="1477"/>
      <c r="BY373" s="1477"/>
      <c r="BZ373" s="1477"/>
      <c r="CA373" s="1477"/>
      <c r="CB373" s="1477"/>
      <c r="CC373" s="1477"/>
      <c r="CD373" s="1477"/>
      <c r="CE373" s="1477"/>
      <c r="CF373" s="1477"/>
      <c r="CG373" s="1477"/>
      <c r="CH373" s="1477"/>
    </row>
    <row r="374" spans="2:86">
      <c r="B374" s="1477"/>
      <c r="C374" s="1477"/>
      <c r="D374" s="1477"/>
      <c r="E374" s="1477"/>
      <c r="F374" s="1477"/>
      <c r="G374" s="1477"/>
      <c r="H374" s="1477"/>
      <c r="I374" s="1477"/>
      <c r="J374" s="1477"/>
      <c r="K374" s="1477"/>
      <c r="L374" s="1477"/>
      <c r="M374" s="1477"/>
      <c r="N374" s="1477"/>
      <c r="O374" s="1477"/>
      <c r="P374" s="1477"/>
      <c r="Q374" s="1477"/>
      <c r="R374" s="1477"/>
      <c r="S374" s="1477"/>
      <c r="T374" s="1477"/>
      <c r="U374" s="1477"/>
      <c r="V374" s="1477"/>
      <c r="W374" s="1477"/>
      <c r="X374" s="1477"/>
      <c r="Y374" s="1477"/>
      <c r="Z374" s="1477"/>
      <c r="AA374" s="1477"/>
      <c r="AB374" s="1477"/>
      <c r="AC374" s="1477"/>
      <c r="AD374" s="1477"/>
      <c r="AE374" s="1477"/>
      <c r="AF374" s="1477"/>
      <c r="AG374" s="1477"/>
      <c r="AH374" s="1477"/>
      <c r="AI374" s="1477"/>
      <c r="AJ374" s="1477"/>
      <c r="AK374" s="1477"/>
      <c r="AL374" s="1477"/>
      <c r="AM374" s="1477"/>
      <c r="AN374" s="1477"/>
      <c r="AO374" s="284"/>
      <c r="AP374" s="1477"/>
      <c r="AQ374" s="1477"/>
      <c r="AR374" s="1477"/>
      <c r="AS374" s="1477"/>
      <c r="AT374" s="1477"/>
      <c r="AU374" s="1477"/>
      <c r="AV374" s="1477"/>
      <c r="AW374" s="1477"/>
      <c r="AX374" s="1477"/>
      <c r="AY374" s="1477"/>
      <c r="AZ374" s="1477"/>
      <c r="BA374" s="1477"/>
      <c r="BB374" s="1477"/>
      <c r="BC374" s="1477"/>
      <c r="BD374" s="1477"/>
      <c r="BE374" s="1477"/>
      <c r="BF374" s="1477"/>
      <c r="BG374" s="1477"/>
      <c r="BH374" s="1477"/>
      <c r="BI374" s="1477"/>
      <c r="BJ374" s="1477"/>
      <c r="BK374" s="1477"/>
      <c r="BL374" s="1477"/>
      <c r="BM374" s="1477"/>
      <c r="BN374" s="1477"/>
      <c r="BO374" s="1477"/>
      <c r="BP374" s="1477"/>
      <c r="BQ374" s="1477"/>
      <c r="BR374" s="1477"/>
      <c r="BS374" s="1477"/>
      <c r="BT374" s="1477"/>
      <c r="BU374" s="1477"/>
      <c r="BV374" s="1477"/>
      <c r="BW374" s="1477"/>
      <c r="BX374" s="1477"/>
      <c r="BY374" s="1477"/>
      <c r="BZ374" s="1477"/>
      <c r="CA374" s="1477"/>
      <c r="CB374" s="1477"/>
      <c r="CC374" s="1477"/>
      <c r="CD374" s="1477"/>
      <c r="CE374" s="1477"/>
      <c r="CF374" s="1477"/>
      <c r="CG374" s="1477"/>
      <c r="CH374" s="1477"/>
    </row>
    <row r="375" spans="2:86">
      <c r="B375" s="1477"/>
      <c r="C375" s="1477"/>
      <c r="D375" s="1477"/>
      <c r="E375" s="1477"/>
      <c r="F375" s="1477"/>
      <c r="G375" s="1477"/>
      <c r="H375" s="1477"/>
      <c r="I375" s="1477"/>
      <c r="J375" s="1477"/>
      <c r="K375" s="1477"/>
      <c r="L375" s="1477"/>
      <c r="M375" s="1477"/>
      <c r="N375" s="1477"/>
      <c r="O375" s="1477"/>
      <c r="P375" s="1477"/>
      <c r="Q375" s="1477"/>
      <c r="R375" s="1477"/>
      <c r="S375" s="1477"/>
      <c r="T375" s="1477"/>
      <c r="U375" s="1477"/>
      <c r="V375" s="1477"/>
      <c r="W375" s="1477"/>
      <c r="X375" s="1477"/>
      <c r="Y375" s="1477"/>
      <c r="Z375" s="1477"/>
      <c r="AA375" s="1477"/>
      <c r="AB375" s="1477"/>
      <c r="AC375" s="1477"/>
      <c r="AD375" s="1477"/>
      <c r="AE375" s="1477"/>
      <c r="AF375" s="1477"/>
      <c r="AG375" s="1477"/>
      <c r="AH375" s="1477"/>
      <c r="AI375" s="1477"/>
      <c r="AJ375" s="1477"/>
      <c r="AK375" s="1477"/>
      <c r="AL375" s="1477"/>
      <c r="AM375" s="1477"/>
      <c r="AN375" s="1477"/>
      <c r="AO375" s="284"/>
      <c r="AP375" s="1477"/>
      <c r="AQ375" s="1477"/>
      <c r="AR375" s="1477"/>
      <c r="AS375" s="1477"/>
      <c r="AT375" s="1477"/>
      <c r="AU375" s="1477"/>
      <c r="AV375" s="1477"/>
      <c r="AW375" s="1477"/>
      <c r="AX375" s="1477"/>
      <c r="AY375" s="1477"/>
      <c r="AZ375" s="1477"/>
      <c r="BA375" s="1477"/>
      <c r="BB375" s="1477"/>
      <c r="BC375" s="1477"/>
      <c r="BD375" s="1477"/>
      <c r="BE375" s="1477"/>
      <c r="BF375" s="1477"/>
      <c r="BG375" s="1477"/>
      <c r="BH375" s="1477"/>
      <c r="BI375" s="1477"/>
      <c r="BJ375" s="1477"/>
      <c r="BK375" s="1477"/>
      <c r="BL375" s="1477"/>
      <c r="BM375" s="1477"/>
      <c r="BN375" s="1477"/>
      <c r="BO375" s="1477"/>
      <c r="BP375" s="1477"/>
      <c r="BQ375" s="1477"/>
      <c r="BR375" s="1477"/>
      <c r="BS375" s="1477"/>
      <c r="BT375" s="1477"/>
      <c r="BU375" s="1477"/>
      <c r="BV375" s="1477"/>
      <c r="BW375" s="1477"/>
      <c r="BX375" s="1477"/>
      <c r="BY375" s="1477"/>
      <c r="BZ375" s="1477"/>
      <c r="CA375" s="1477"/>
      <c r="CB375" s="1477"/>
      <c r="CC375" s="1477"/>
      <c r="CD375" s="1477"/>
      <c r="CE375" s="1477"/>
      <c r="CF375" s="1477"/>
      <c r="CG375" s="1477"/>
      <c r="CH375" s="1477"/>
    </row>
    <row r="376" spans="2:86">
      <c r="B376" s="1477"/>
      <c r="C376" s="1477"/>
      <c r="D376" s="1477"/>
      <c r="E376" s="1477"/>
      <c r="F376" s="1477"/>
      <c r="G376" s="1477"/>
      <c r="H376" s="1477"/>
      <c r="I376" s="1477"/>
      <c r="J376" s="1477"/>
      <c r="K376" s="1477"/>
      <c r="L376" s="1477"/>
      <c r="M376" s="1477"/>
      <c r="N376" s="1477"/>
      <c r="O376" s="1477"/>
      <c r="P376" s="1477"/>
      <c r="Q376" s="1477"/>
      <c r="R376" s="1477"/>
      <c r="S376" s="1477"/>
      <c r="T376" s="1477"/>
      <c r="U376" s="1477"/>
      <c r="V376" s="1477"/>
      <c r="W376" s="1477"/>
      <c r="X376" s="1477"/>
      <c r="Y376" s="1477"/>
      <c r="Z376" s="1477"/>
      <c r="AA376" s="1477"/>
      <c r="AB376" s="1477"/>
      <c r="AC376" s="1477"/>
      <c r="AD376" s="1477"/>
      <c r="AE376" s="1477"/>
      <c r="AF376" s="1477"/>
      <c r="AG376" s="1477"/>
      <c r="AH376" s="1477"/>
      <c r="AI376" s="1477"/>
      <c r="AJ376" s="1477"/>
      <c r="AK376" s="1477"/>
      <c r="AL376" s="1477"/>
      <c r="AM376" s="1477"/>
      <c r="AN376" s="1477"/>
      <c r="AO376" s="284"/>
      <c r="AP376" s="1477"/>
      <c r="AQ376" s="1477"/>
      <c r="AR376" s="1477"/>
      <c r="AS376" s="1477"/>
      <c r="AT376" s="1477"/>
      <c r="AU376" s="1477"/>
      <c r="AV376" s="1477"/>
      <c r="AW376" s="1477"/>
      <c r="AX376" s="1477"/>
      <c r="AY376" s="1477"/>
      <c r="AZ376" s="1477"/>
      <c r="BA376" s="1477"/>
      <c r="BB376" s="1477"/>
      <c r="BC376" s="1477"/>
      <c r="BD376" s="1477"/>
      <c r="BE376" s="1477"/>
      <c r="BF376" s="1477"/>
      <c r="BG376" s="1477"/>
      <c r="BH376" s="1477"/>
      <c r="BI376" s="1477"/>
      <c r="BJ376" s="1477"/>
      <c r="BK376" s="1477"/>
      <c r="BL376" s="1477"/>
      <c r="BM376" s="1477"/>
      <c r="BN376" s="1477"/>
      <c r="BO376" s="1477"/>
      <c r="BP376" s="1477"/>
      <c r="BQ376" s="1477"/>
      <c r="BR376" s="1477"/>
      <c r="BS376" s="1477"/>
      <c r="BT376" s="1477"/>
      <c r="BU376" s="1477"/>
      <c r="BV376" s="1477"/>
      <c r="BW376" s="1477"/>
      <c r="BX376" s="1477"/>
      <c r="BY376" s="1477"/>
      <c r="BZ376" s="1477"/>
      <c r="CA376" s="1477"/>
      <c r="CB376" s="1477"/>
      <c r="CC376" s="1477"/>
      <c r="CD376" s="1477"/>
      <c r="CE376" s="1477"/>
      <c r="CF376" s="1477"/>
      <c r="CG376" s="1477"/>
      <c r="CH376" s="1477"/>
    </row>
    <row r="377" spans="2:86">
      <c r="B377" s="1477"/>
      <c r="C377" s="1477"/>
      <c r="D377" s="1477"/>
      <c r="E377" s="1477"/>
      <c r="F377" s="1477"/>
      <c r="G377" s="1477"/>
      <c r="H377" s="1477"/>
      <c r="I377" s="1477"/>
      <c r="J377" s="1477"/>
      <c r="K377" s="1477"/>
      <c r="L377" s="1477"/>
      <c r="M377" s="1477"/>
      <c r="N377" s="1477"/>
      <c r="O377" s="1477"/>
      <c r="P377" s="1477"/>
      <c r="Q377" s="1477"/>
      <c r="R377" s="1477"/>
      <c r="S377" s="1477"/>
      <c r="T377" s="1477"/>
      <c r="U377" s="1477"/>
      <c r="V377" s="1477"/>
      <c r="W377" s="1477"/>
      <c r="X377" s="1477"/>
      <c r="Y377" s="1477"/>
      <c r="Z377" s="1477"/>
      <c r="AA377" s="1477"/>
      <c r="AB377" s="1477"/>
      <c r="AC377" s="1477"/>
      <c r="AD377" s="1477"/>
      <c r="AE377" s="1477"/>
      <c r="AF377" s="1477"/>
      <c r="AG377" s="1477"/>
      <c r="AH377" s="1477"/>
      <c r="AI377" s="1477"/>
      <c r="AJ377" s="1477"/>
      <c r="AK377" s="1477"/>
      <c r="AL377" s="1477"/>
      <c r="AM377" s="1477"/>
      <c r="AN377" s="1477"/>
      <c r="AO377" s="284"/>
      <c r="AP377" s="1477"/>
      <c r="AQ377" s="1477"/>
      <c r="AR377" s="1477"/>
      <c r="AS377" s="1477"/>
      <c r="AT377" s="1477"/>
      <c r="AU377" s="1477"/>
      <c r="AV377" s="1477"/>
      <c r="AW377" s="1477"/>
      <c r="AX377" s="1477"/>
      <c r="AY377" s="1477"/>
      <c r="AZ377" s="1477"/>
      <c r="BA377" s="1477"/>
      <c r="BB377" s="1477"/>
      <c r="BC377" s="1477"/>
      <c r="BD377" s="1477"/>
      <c r="BE377" s="1477"/>
      <c r="BF377" s="1477"/>
      <c r="BG377" s="1477"/>
      <c r="BH377" s="1477"/>
      <c r="BI377" s="1477"/>
      <c r="BJ377" s="1477"/>
      <c r="BK377" s="1477"/>
      <c r="BL377" s="1477"/>
      <c r="BM377" s="1477"/>
      <c r="BN377" s="1477"/>
      <c r="BO377" s="1477"/>
      <c r="BP377" s="1477"/>
      <c r="BQ377" s="1477"/>
      <c r="BR377" s="1477"/>
      <c r="BS377" s="1477"/>
      <c r="BT377" s="1477"/>
      <c r="BU377" s="1477"/>
      <c r="BV377" s="1477"/>
      <c r="BW377" s="1477"/>
      <c r="BX377" s="1477"/>
      <c r="BY377" s="1477"/>
      <c r="BZ377" s="1477"/>
      <c r="CA377" s="1477"/>
      <c r="CB377" s="1477"/>
      <c r="CC377" s="1477"/>
      <c r="CD377" s="1477"/>
      <c r="CE377" s="1477"/>
      <c r="CF377" s="1477"/>
      <c r="CG377" s="1477"/>
      <c r="CH377" s="1477"/>
    </row>
    <row r="378" spans="2:86">
      <c r="B378" s="1477"/>
      <c r="C378" s="1477"/>
      <c r="D378" s="1477"/>
      <c r="E378" s="1477"/>
      <c r="F378" s="1477"/>
      <c r="G378" s="1477"/>
      <c r="H378" s="1477"/>
      <c r="I378" s="1477"/>
      <c r="J378" s="1477"/>
      <c r="K378" s="1477"/>
      <c r="L378" s="1477"/>
      <c r="M378" s="1477"/>
      <c r="N378" s="1477"/>
      <c r="O378" s="1477"/>
      <c r="P378" s="1477"/>
      <c r="Q378" s="1477"/>
      <c r="R378" s="1477"/>
      <c r="S378" s="1477"/>
      <c r="T378" s="1477"/>
      <c r="U378" s="1477"/>
      <c r="V378" s="1477"/>
      <c r="W378" s="1477"/>
      <c r="X378" s="1477"/>
      <c r="Y378" s="1477"/>
      <c r="Z378" s="1477"/>
      <c r="AA378" s="1477"/>
      <c r="AB378" s="1477"/>
      <c r="AC378" s="1477"/>
      <c r="AD378" s="1477"/>
      <c r="AE378" s="1477"/>
      <c r="AF378" s="1477"/>
      <c r="AG378" s="1477"/>
      <c r="AH378" s="1477"/>
      <c r="AI378" s="1477"/>
      <c r="AJ378" s="1477"/>
      <c r="AK378" s="1477"/>
      <c r="AL378" s="1477"/>
      <c r="AM378" s="1477"/>
      <c r="AN378" s="1477"/>
      <c r="AO378" s="284"/>
      <c r="AP378" s="1477"/>
      <c r="AQ378" s="1477"/>
      <c r="AR378" s="1477"/>
      <c r="AS378" s="1477"/>
      <c r="AT378" s="1477"/>
      <c r="AU378" s="1477"/>
      <c r="AV378" s="1477"/>
      <c r="AW378" s="1477"/>
      <c r="AX378" s="1477"/>
      <c r="AY378" s="1477"/>
      <c r="AZ378" s="1477"/>
      <c r="BA378" s="1477"/>
      <c r="BB378" s="1477"/>
      <c r="BC378" s="1477"/>
      <c r="BD378" s="1477"/>
      <c r="BE378" s="1477"/>
      <c r="BF378" s="1477"/>
      <c r="BG378" s="1477"/>
      <c r="BH378" s="1477"/>
      <c r="BI378" s="1477"/>
      <c r="BJ378" s="1477"/>
      <c r="BK378" s="1477"/>
      <c r="BL378" s="1477"/>
      <c r="BM378" s="1477"/>
      <c r="BN378" s="1477"/>
      <c r="BO378" s="1477"/>
      <c r="BP378" s="1477"/>
      <c r="BQ378" s="1477"/>
      <c r="BR378" s="1477"/>
      <c r="BS378" s="1477"/>
      <c r="BT378" s="1477"/>
      <c r="BU378" s="1477"/>
      <c r="BV378" s="1477"/>
      <c r="BW378" s="1477"/>
      <c r="BX378" s="1477"/>
      <c r="BY378" s="1477"/>
      <c r="BZ378" s="1477"/>
      <c r="CA378" s="1477"/>
      <c r="CB378" s="1477"/>
      <c r="CC378" s="1477"/>
      <c r="CD378" s="1477"/>
      <c r="CE378" s="1477"/>
      <c r="CF378" s="1477"/>
      <c r="CG378" s="1477"/>
      <c r="CH378" s="1477"/>
    </row>
    <row r="379" spans="2:86">
      <c r="B379" s="1477"/>
      <c r="C379" s="1477"/>
      <c r="D379" s="1477"/>
      <c r="E379" s="1477"/>
      <c r="F379" s="1477"/>
      <c r="G379" s="1477"/>
      <c r="H379" s="1477"/>
      <c r="I379" s="1477"/>
      <c r="J379" s="1477"/>
      <c r="K379" s="1477"/>
      <c r="L379" s="1477"/>
      <c r="M379" s="1477"/>
      <c r="N379" s="1477"/>
      <c r="O379" s="1477"/>
      <c r="P379" s="1477"/>
      <c r="Q379" s="1477"/>
      <c r="R379" s="1477"/>
      <c r="S379" s="1477"/>
      <c r="T379" s="1477"/>
      <c r="U379" s="1477"/>
      <c r="V379" s="1477"/>
      <c r="W379" s="1477"/>
      <c r="X379" s="1477"/>
      <c r="Y379" s="1477"/>
      <c r="Z379" s="1477"/>
      <c r="AA379" s="1477"/>
      <c r="AB379" s="1477"/>
      <c r="AC379" s="1477"/>
      <c r="AD379" s="1477"/>
      <c r="AE379" s="1477"/>
      <c r="AF379" s="1477"/>
      <c r="AG379" s="1477"/>
      <c r="AH379" s="1477"/>
      <c r="AI379" s="1477"/>
      <c r="AJ379" s="1477"/>
      <c r="AK379" s="1477"/>
      <c r="AL379" s="1477"/>
      <c r="AM379" s="1477"/>
      <c r="AN379" s="1477"/>
      <c r="AO379" s="284"/>
      <c r="AP379" s="1477"/>
      <c r="AQ379" s="1477"/>
      <c r="AR379" s="1477"/>
      <c r="AS379" s="1477"/>
      <c r="AT379" s="1477"/>
      <c r="AU379" s="1477"/>
      <c r="AV379" s="1477"/>
      <c r="AW379" s="1477"/>
      <c r="AX379" s="1477"/>
      <c r="AY379" s="1477"/>
      <c r="AZ379" s="1477"/>
      <c r="BA379" s="1477"/>
      <c r="BB379" s="1477"/>
      <c r="BC379" s="1477"/>
      <c r="BD379" s="1477"/>
      <c r="BE379" s="1477"/>
      <c r="BF379" s="1477"/>
      <c r="BG379" s="1477"/>
      <c r="BH379" s="1477"/>
      <c r="BI379" s="1477"/>
      <c r="BJ379" s="1477"/>
      <c r="BK379" s="1477"/>
      <c r="BL379" s="1477"/>
      <c r="BM379" s="1477"/>
      <c r="BN379" s="1477"/>
      <c r="BO379" s="1477"/>
      <c r="BP379" s="1477"/>
      <c r="BQ379" s="1477"/>
      <c r="BR379" s="1477"/>
      <c r="BS379" s="1477"/>
      <c r="BT379" s="1477"/>
      <c r="BU379" s="1477"/>
      <c r="BV379" s="1477"/>
      <c r="BW379" s="1477"/>
      <c r="BX379" s="1477"/>
      <c r="BY379" s="1477"/>
      <c r="BZ379" s="1477"/>
      <c r="CA379" s="1477"/>
      <c r="CB379" s="1477"/>
      <c r="CC379" s="1477"/>
      <c r="CD379" s="1477"/>
      <c r="CE379" s="1477"/>
      <c r="CF379" s="1477"/>
      <c r="CG379" s="1477"/>
      <c r="CH379" s="1477"/>
    </row>
    <row r="380" spans="2:86">
      <c r="B380" s="1477"/>
      <c r="C380" s="1477"/>
      <c r="D380" s="1477"/>
      <c r="E380" s="1477"/>
      <c r="F380" s="1477"/>
      <c r="G380" s="1477"/>
      <c r="H380" s="1477"/>
      <c r="I380" s="1477"/>
      <c r="J380" s="1477"/>
      <c r="K380" s="1477"/>
      <c r="L380" s="1477"/>
      <c r="M380" s="1477"/>
      <c r="N380" s="1477"/>
      <c r="O380" s="1477"/>
      <c r="P380" s="1477"/>
      <c r="Q380" s="1477"/>
      <c r="R380" s="1477"/>
      <c r="S380" s="1477"/>
      <c r="T380" s="1477"/>
      <c r="U380" s="1477"/>
      <c r="V380" s="1477"/>
      <c r="W380" s="1477"/>
      <c r="X380" s="1477"/>
      <c r="Y380" s="1477"/>
      <c r="Z380" s="1477"/>
      <c r="AA380" s="1477"/>
      <c r="AB380" s="1477"/>
      <c r="AC380" s="1477"/>
      <c r="AD380" s="1477"/>
      <c r="AE380" s="1477"/>
      <c r="AF380" s="1477"/>
      <c r="AG380" s="1477"/>
      <c r="AH380" s="1477"/>
      <c r="AI380" s="1477"/>
      <c r="AJ380" s="1477"/>
      <c r="AK380" s="1477"/>
      <c r="AL380" s="1477"/>
      <c r="AM380" s="1477"/>
      <c r="AN380" s="1477"/>
      <c r="AO380" s="284"/>
      <c r="AP380" s="1477"/>
      <c r="AQ380" s="1477"/>
      <c r="AR380" s="1477"/>
      <c r="AS380" s="1477"/>
      <c r="AT380" s="1477"/>
      <c r="AU380" s="1477"/>
      <c r="AV380" s="1477"/>
      <c r="AW380" s="1477"/>
      <c r="AX380" s="1477"/>
      <c r="AY380" s="1477"/>
      <c r="AZ380" s="1477"/>
      <c r="BA380" s="1477"/>
      <c r="BB380" s="1477"/>
      <c r="BC380" s="1477"/>
      <c r="BD380" s="1477"/>
      <c r="BE380" s="1477"/>
      <c r="BF380" s="1477"/>
      <c r="BG380" s="1477"/>
      <c r="BH380" s="1477"/>
      <c r="BI380" s="1477"/>
      <c r="BJ380" s="1477"/>
      <c r="BK380" s="1477"/>
      <c r="BL380" s="1477"/>
      <c r="BM380" s="1477"/>
      <c r="BN380" s="1477"/>
      <c r="BO380" s="1477"/>
      <c r="BP380" s="1477"/>
      <c r="BQ380" s="1477"/>
      <c r="BR380" s="1477"/>
      <c r="BS380" s="1477"/>
      <c r="BT380" s="1477"/>
      <c r="BU380" s="1477"/>
      <c r="BV380" s="1477"/>
      <c r="BW380" s="1477"/>
      <c r="BX380" s="1477"/>
      <c r="BY380" s="1477"/>
      <c r="BZ380" s="1477"/>
      <c r="CA380" s="1477"/>
      <c r="CB380" s="1477"/>
      <c r="CC380" s="1477"/>
      <c r="CD380" s="1477"/>
      <c r="CE380" s="1477"/>
      <c r="CF380" s="1477"/>
      <c r="CG380" s="1477"/>
      <c r="CH380" s="1477"/>
    </row>
    <row r="381" spans="2:86">
      <c r="B381" s="1477"/>
      <c r="C381" s="1477"/>
      <c r="D381" s="1477"/>
      <c r="E381" s="1477"/>
      <c r="F381" s="1477"/>
      <c r="G381" s="1477"/>
      <c r="H381" s="1477"/>
      <c r="I381" s="1477"/>
      <c r="J381" s="1477"/>
      <c r="K381" s="1477"/>
      <c r="L381" s="1477"/>
      <c r="M381" s="1477"/>
      <c r="N381" s="1477"/>
      <c r="O381" s="1477"/>
      <c r="P381" s="1477"/>
      <c r="Q381" s="1477"/>
      <c r="R381" s="1477"/>
      <c r="S381" s="1477"/>
      <c r="T381" s="1477"/>
      <c r="U381" s="1477"/>
      <c r="V381" s="1477"/>
      <c r="W381" s="1477"/>
      <c r="X381" s="1477"/>
      <c r="Y381" s="1477"/>
      <c r="Z381" s="1477"/>
      <c r="AA381" s="1477"/>
      <c r="AB381" s="1477"/>
      <c r="AC381" s="1477"/>
      <c r="AD381" s="1477"/>
      <c r="AE381" s="1477"/>
      <c r="AF381" s="1477"/>
      <c r="AG381" s="1477"/>
      <c r="AH381" s="1477"/>
      <c r="AI381" s="1477"/>
      <c r="AJ381" s="1477"/>
      <c r="AK381" s="1477"/>
      <c r="AL381" s="1477"/>
      <c r="AM381" s="1477"/>
      <c r="AN381" s="1477"/>
      <c r="AO381" s="284"/>
      <c r="AP381" s="1477"/>
      <c r="AQ381" s="1477"/>
      <c r="AR381" s="1477"/>
      <c r="AS381" s="1477"/>
      <c r="AT381" s="1477"/>
      <c r="AU381" s="1477"/>
      <c r="AV381" s="1477"/>
      <c r="AW381" s="1477"/>
      <c r="AX381" s="1477"/>
      <c r="AY381" s="1477"/>
      <c r="AZ381" s="1477"/>
      <c r="BA381" s="1477"/>
      <c r="BB381" s="1477"/>
      <c r="BC381" s="1477"/>
      <c r="BD381" s="1477"/>
      <c r="BE381" s="1477"/>
      <c r="BF381" s="1477"/>
      <c r="BG381" s="1477"/>
      <c r="BH381" s="1477"/>
      <c r="BI381" s="1477"/>
      <c r="BJ381" s="1477"/>
      <c r="BK381" s="1477"/>
      <c r="BL381" s="1477"/>
      <c r="BM381" s="1477"/>
      <c r="BN381" s="1477"/>
      <c r="BO381" s="1477"/>
      <c r="BP381" s="1477"/>
      <c r="BQ381" s="1477"/>
      <c r="BR381" s="1477"/>
      <c r="BS381" s="1477"/>
      <c r="BT381" s="1477"/>
      <c r="BU381" s="1477"/>
      <c r="BV381" s="1477"/>
      <c r="BW381" s="1477"/>
      <c r="BX381" s="1477"/>
      <c r="BY381" s="1477"/>
      <c r="BZ381" s="1477"/>
      <c r="CA381" s="1477"/>
      <c r="CB381" s="1477"/>
      <c r="CC381" s="1477"/>
      <c r="CD381" s="1477"/>
      <c r="CE381" s="1477"/>
      <c r="CF381" s="1477"/>
      <c r="CG381" s="1477"/>
      <c r="CH381" s="1477"/>
    </row>
    <row r="382" spans="2:86">
      <c r="B382" s="1477"/>
      <c r="C382" s="1477"/>
      <c r="D382" s="1477"/>
      <c r="E382" s="1477"/>
      <c r="F382" s="1477"/>
      <c r="G382" s="1477"/>
      <c r="H382" s="1477"/>
      <c r="I382" s="1477"/>
      <c r="J382" s="1477"/>
      <c r="K382" s="1477"/>
      <c r="L382" s="1477"/>
      <c r="M382" s="1477"/>
      <c r="N382" s="1477"/>
      <c r="O382" s="1477"/>
      <c r="P382" s="1477"/>
      <c r="Q382" s="1477"/>
      <c r="R382" s="1477"/>
      <c r="S382" s="1477"/>
      <c r="T382" s="1477"/>
      <c r="U382" s="1477"/>
      <c r="V382" s="1477"/>
      <c r="W382" s="1477"/>
      <c r="X382" s="1477"/>
      <c r="Y382" s="1477"/>
      <c r="Z382" s="1477"/>
      <c r="AA382" s="1477"/>
      <c r="AB382" s="1477"/>
      <c r="AC382" s="1477"/>
      <c r="AD382" s="1477"/>
      <c r="AE382" s="1477"/>
      <c r="AF382" s="1477"/>
      <c r="AG382" s="1477"/>
      <c r="AH382" s="1477"/>
      <c r="AI382" s="1477"/>
      <c r="AJ382" s="1477"/>
      <c r="AK382" s="1477"/>
      <c r="AL382" s="1477"/>
      <c r="AM382" s="1477"/>
      <c r="AN382" s="1477"/>
      <c r="AO382" s="284"/>
      <c r="AP382" s="1477"/>
      <c r="AQ382" s="1477"/>
      <c r="AR382" s="1477"/>
      <c r="AS382" s="1477"/>
      <c r="AT382" s="1477"/>
      <c r="AU382" s="1477"/>
      <c r="AV382" s="1477"/>
      <c r="AW382" s="1477"/>
      <c r="AX382" s="1477"/>
      <c r="AY382" s="1477"/>
      <c r="AZ382" s="1477"/>
      <c r="BA382" s="1477"/>
      <c r="BB382" s="1477"/>
      <c r="BC382" s="1477"/>
      <c r="BD382" s="1477"/>
      <c r="BE382" s="1477"/>
      <c r="BF382" s="1477"/>
      <c r="BG382" s="1477"/>
      <c r="BH382" s="1477"/>
      <c r="BI382" s="1477"/>
      <c r="BJ382" s="1477"/>
      <c r="BK382" s="1477"/>
      <c r="BL382" s="1477"/>
      <c r="BM382" s="1477"/>
      <c r="BN382" s="1477"/>
      <c r="BO382" s="1477"/>
      <c r="BP382" s="1477"/>
      <c r="BQ382" s="1477"/>
      <c r="BR382" s="1477"/>
      <c r="BS382" s="1477"/>
      <c r="BT382" s="1477"/>
      <c r="BU382" s="1477"/>
      <c r="BV382" s="1477"/>
      <c r="BW382" s="1477"/>
      <c r="BX382" s="1477"/>
      <c r="BY382" s="1477"/>
      <c r="BZ382" s="1477"/>
      <c r="CA382" s="1477"/>
      <c r="CB382" s="1477"/>
      <c r="CC382" s="1477"/>
      <c r="CD382" s="1477"/>
      <c r="CE382" s="1477"/>
      <c r="CF382" s="1477"/>
      <c r="CG382" s="1477"/>
      <c r="CH382" s="1477"/>
    </row>
    <row r="383" spans="2:86">
      <c r="B383" s="1477"/>
      <c r="C383" s="1477"/>
      <c r="D383" s="1477"/>
      <c r="E383" s="1477"/>
      <c r="F383" s="1477"/>
      <c r="G383" s="1477"/>
      <c r="H383" s="1477"/>
      <c r="I383" s="1477"/>
      <c r="J383" s="1477"/>
      <c r="K383" s="1477"/>
      <c r="L383" s="1477"/>
      <c r="M383" s="1477"/>
      <c r="N383" s="1477"/>
      <c r="O383" s="1477"/>
      <c r="P383" s="1477"/>
      <c r="Q383" s="1477"/>
      <c r="R383" s="1477"/>
      <c r="S383" s="1477"/>
      <c r="T383" s="1477"/>
      <c r="U383" s="1477"/>
      <c r="V383" s="1477"/>
      <c r="W383" s="1477"/>
      <c r="X383" s="1477"/>
      <c r="Y383" s="1477"/>
      <c r="Z383" s="1477"/>
      <c r="AA383" s="1477"/>
      <c r="AB383" s="1477"/>
      <c r="AC383" s="1477"/>
      <c r="AD383" s="1477"/>
      <c r="AE383" s="1477"/>
      <c r="AF383" s="1477"/>
      <c r="AG383" s="1477"/>
      <c r="AH383" s="1477"/>
      <c r="AI383" s="1477"/>
      <c r="AJ383" s="1477"/>
      <c r="AK383" s="1477"/>
      <c r="AL383" s="1477"/>
      <c r="AM383" s="1477"/>
      <c r="AN383" s="1477"/>
      <c r="AO383" s="284"/>
      <c r="AP383" s="1477"/>
      <c r="AQ383" s="1477"/>
      <c r="AR383" s="1477"/>
      <c r="AS383" s="1477"/>
      <c r="AT383" s="1477"/>
      <c r="AU383" s="1477"/>
      <c r="AV383" s="1477"/>
      <c r="AW383" s="1477"/>
      <c r="AX383" s="1477"/>
      <c r="AY383" s="1477"/>
      <c r="AZ383" s="1477"/>
      <c r="BA383" s="1477"/>
      <c r="BB383" s="1477"/>
      <c r="BC383" s="1477"/>
      <c r="BD383" s="1477"/>
      <c r="BE383" s="1477"/>
      <c r="BF383" s="1477"/>
      <c r="BG383" s="1477"/>
      <c r="BH383" s="1477"/>
      <c r="BI383" s="1477"/>
      <c r="BJ383" s="1477"/>
      <c r="BK383" s="1477"/>
      <c r="BL383" s="1477"/>
      <c r="BM383" s="1477"/>
      <c r="BN383" s="1477"/>
      <c r="BO383" s="1477"/>
      <c r="BP383" s="1477"/>
      <c r="BQ383" s="1477"/>
      <c r="BR383" s="1477"/>
      <c r="BS383" s="1477"/>
      <c r="BT383" s="1477"/>
      <c r="BU383" s="1477"/>
      <c r="BV383" s="1477"/>
      <c r="BW383" s="1477"/>
      <c r="BX383" s="1477"/>
      <c r="BY383" s="1477"/>
      <c r="BZ383" s="1477"/>
      <c r="CA383" s="1477"/>
      <c r="CB383" s="1477"/>
      <c r="CC383" s="1477"/>
      <c r="CD383" s="1477"/>
      <c r="CE383" s="1477"/>
      <c r="CF383" s="1477"/>
      <c r="CG383" s="1477"/>
      <c r="CH383" s="1477"/>
    </row>
    <row r="384" spans="2:86">
      <c r="B384" s="1477"/>
      <c r="C384" s="1477"/>
      <c r="D384" s="1477"/>
      <c r="E384" s="1477"/>
      <c r="F384" s="1477"/>
      <c r="G384" s="1477"/>
      <c r="H384" s="1477"/>
      <c r="I384" s="1477"/>
      <c r="J384" s="1477"/>
      <c r="K384" s="1477"/>
      <c r="L384" s="1477"/>
      <c r="M384" s="1477"/>
      <c r="N384" s="1477"/>
      <c r="O384" s="1477"/>
      <c r="P384" s="1477"/>
      <c r="Q384" s="1477"/>
      <c r="R384" s="1477"/>
      <c r="S384" s="1477"/>
      <c r="T384" s="1477"/>
      <c r="U384" s="1477"/>
      <c r="V384" s="1477"/>
      <c r="W384" s="1477"/>
      <c r="X384" s="1477"/>
      <c r="Y384" s="1477"/>
      <c r="Z384" s="1477"/>
      <c r="AA384" s="1477"/>
      <c r="AB384" s="1477"/>
      <c r="AC384" s="1477"/>
      <c r="AD384" s="1477"/>
      <c r="AE384" s="1477"/>
      <c r="AF384" s="1477"/>
      <c r="AG384" s="1477"/>
      <c r="AH384" s="1477"/>
      <c r="AI384" s="1477"/>
      <c r="AJ384" s="1477"/>
      <c r="AK384" s="1477"/>
      <c r="AL384" s="1477"/>
      <c r="AM384" s="1477"/>
      <c r="AN384" s="1477"/>
      <c r="AO384" s="284"/>
      <c r="AP384" s="1477"/>
      <c r="AQ384" s="1477"/>
      <c r="AR384" s="1477"/>
      <c r="AS384" s="1477"/>
      <c r="AT384" s="1477"/>
      <c r="AU384" s="1477"/>
      <c r="AV384" s="1477"/>
      <c r="AW384" s="1477"/>
      <c r="AX384" s="1477"/>
      <c r="AY384" s="1477"/>
      <c r="AZ384" s="1477"/>
      <c r="BA384" s="1477"/>
      <c r="BB384" s="1477"/>
      <c r="BC384" s="1477"/>
      <c r="BD384" s="1477"/>
      <c r="BE384" s="1477"/>
      <c r="BF384" s="1477"/>
      <c r="BG384" s="1477"/>
      <c r="BH384" s="1477"/>
      <c r="BI384" s="1477"/>
      <c r="BJ384" s="1477"/>
      <c r="BK384" s="1477"/>
      <c r="BL384" s="1477"/>
      <c r="BM384" s="1477"/>
      <c r="BN384" s="1477"/>
      <c r="BO384" s="1477"/>
      <c r="BP384" s="1477"/>
      <c r="BQ384" s="1477"/>
      <c r="BR384" s="1477"/>
      <c r="BS384" s="1477"/>
      <c r="BT384" s="1477"/>
      <c r="BU384" s="1477"/>
      <c r="BV384" s="1477"/>
      <c r="BW384" s="1477"/>
      <c r="BX384" s="1477"/>
      <c r="BY384" s="1477"/>
      <c r="BZ384" s="1477"/>
      <c r="CA384" s="1477"/>
      <c r="CB384" s="1477"/>
      <c r="CC384" s="1477"/>
      <c r="CD384" s="1477"/>
      <c r="CE384" s="1477"/>
      <c r="CF384" s="1477"/>
      <c r="CG384" s="1477"/>
      <c r="CH384" s="1477"/>
    </row>
    <row r="385" spans="2:86">
      <c r="B385" s="1477"/>
      <c r="C385" s="1477"/>
      <c r="D385" s="1477"/>
      <c r="E385" s="1477"/>
      <c r="F385" s="1477"/>
      <c r="G385" s="1477"/>
      <c r="H385" s="1477"/>
      <c r="I385" s="1477"/>
      <c r="J385" s="1477"/>
      <c r="K385" s="1477"/>
      <c r="L385" s="1477"/>
      <c r="M385" s="1477"/>
      <c r="N385" s="1477"/>
      <c r="O385" s="1477"/>
      <c r="P385" s="1477"/>
      <c r="Q385" s="1477"/>
      <c r="R385" s="1477"/>
      <c r="S385" s="1477"/>
      <c r="T385" s="1477"/>
      <c r="U385" s="1477"/>
      <c r="V385" s="1477"/>
      <c r="W385" s="1477"/>
      <c r="X385" s="1477"/>
      <c r="Y385" s="1477"/>
      <c r="Z385" s="1477"/>
      <c r="AA385" s="1477"/>
      <c r="AB385" s="1477"/>
      <c r="AC385" s="1477"/>
      <c r="AD385" s="1477"/>
      <c r="AE385" s="1477"/>
      <c r="AF385" s="1477"/>
      <c r="AG385" s="1477"/>
      <c r="AH385" s="1477"/>
      <c r="AI385" s="1477"/>
      <c r="AJ385" s="1477"/>
      <c r="AK385" s="1477"/>
      <c r="AL385" s="1477"/>
      <c r="AM385" s="1477"/>
      <c r="AN385" s="1477"/>
      <c r="AO385" s="284"/>
      <c r="AP385" s="1477"/>
      <c r="AQ385" s="1477"/>
      <c r="AR385" s="1477"/>
      <c r="AS385" s="1477"/>
      <c r="AT385" s="1477"/>
      <c r="AU385" s="1477"/>
      <c r="AV385" s="1477"/>
      <c r="AW385" s="1477"/>
      <c r="AX385" s="1477"/>
      <c r="AY385" s="1477"/>
      <c r="AZ385" s="1477"/>
      <c r="BA385" s="1477"/>
      <c r="BB385" s="1477"/>
      <c r="BC385" s="1477"/>
      <c r="BD385" s="1477"/>
      <c r="BE385" s="1477"/>
      <c r="BF385" s="1477"/>
      <c r="BG385" s="1477"/>
      <c r="BH385" s="1477"/>
      <c r="BI385" s="1477"/>
      <c r="BJ385" s="1477"/>
      <c r="BK385" s="1477"/>
      <c r="BL385" s="1477"/>
      <c r="BM385" s="1477"/>
      <c r="BN385" s="1477"/>
      <c r="BO385" s="1477"/>
      <c r="BP385" s="1477"/>
      <c r="BQ385" s="1477"/>
      <c r="BR385" s="1477"/>
      <c r="BS385" s="1477"/>
      <c r="BT385" s="1477"/>
      <c r="BU385" s="1477"/>
      <c r="BV385" s="1477"/>
      <c r="BW385" s="1477"/>
      <c r="BX385" s="1477"/>
      <c r="BY385" s="1477"/>
      <c r="BZ385" s="1477"/>
      <c r="CA385" s="1477"/>
      <c r="CB385" s="1477"/>
      <c r="CC385" s="1477"/>
      <c r="CD385" s="1477"/>
      <c r="CE385" s="1477"/>
      <c r="CF385" s="1477"/>
      <c r="CG385" s="1477"/>
      <c r="CH385" s="1477"/>
    </row>
    <row r="386" spans="2:86">
      <c r="B386" s="1477"/>
      <c r="C386" s="1477"/>
      <c r="D386" s="1477"/>
      <c r="E386" s="1477"/>
      <c r="F386" s="1477"/>
      <c r="G386" s="1477"/>
      <c r="H386" s="1477"/>
      <c r="I386" s="1477"/>
      <c r="J386" s="1477"/>
      <c r="K386" s="1477"/>
      <c r="L386" s="1477"/>
      <c r="M386" s="1477"/>
      <c r="N386" s="1477"/>
      <c r="O386" s="1477"/>
      <c r="P386" s="1477"/>
      <c r="Q386" s="1477"/>
      <c r="R386" s="1477"/>
      <c r="S386" s="1477"/>
      <c r="T386" s="1477"/>
      <c r="U386" s="1477"/>
      <c r="V386" s="1477"/>
      <c r="W386" s="1477"/>
      <c r="X386" s="1477"/>
      <c r="Y386" s="1477"/>
      <c r="Z386" s="1477"/>
      <c r="AA386" s="1477"/>
      <c r="AB386" s="1477"/>
      <c r="AC386" s="1477"/>
      <c r="AD386" s="1477"/>
      <c r="AE386" s="1477"/>
      <c r="AF386" s="1477"/>
      <c r="AG386" s="1477"/>
      <c r="AH386" s="1477"/>
      <c r="AI386" s="1477"/>
      <c r="AJ386" s="1477"/>
      <c r="AK386" s="1477"/>
      <c r="AL386" s="1477"/>
      <c r="AM386" s="1477"/>
      <c r="AN386" s="1477"/>
      <c r="AO386" s="284"/>
      <c r="AP386" s="1477"/>
      <c r="AQ386" s="1477"/>
      <c r="AR386" s="1477"/>
      <c r="AS386" s="1477"/>
      <c r="AT386" s="1477"/>
      <c r="AU386" s="1477"/>
      <c r="AV386" s="1477"/>
      <c r="AW386" s="1477"/>
      <c r="AX386" s="1477"/>
      <c r="AY386" s="1477"/>
      <c r="AZ386" s="1477"/>
      <c r="BA386" s="1477"/>
      <c r="BB386" s="1477"/>
      <c r="BC386" s="1477"/>
      <c r="BD386" s="1477"/>
      <c r="BE386" s="1477"/>
      <c r="BF386" s="1477"/>
      <c r="BG386" s="1477"/>
      <c r="BH386" s="1477"/>
      <c r="BI386" s="1477"/>
      <c r="BJ386" s="1477"/>
      <c r="BK386" s="1477"/>
      <c r="BL386" s="1477"/>
      <c r="BM386" s="1477"/>
      <c r="BN386" s="1477"/>
      <c r="BO386" s="1477"/>
      <c r="BP386" s="1477"/>
      <c r="BQ386" s="1477"/>
      <c r="BR386" s="1477"/>
      <c r="BS386" s="1477"/>
      <c r="BT386" s="1477"/>
      <c r="BU386" s="1477"/>
      <c r="BV386" s="1477"/>
      <c r="BW386" s="1477"/>
      <c r="BX386" s="1477"/>
      <c r="BY386" s="1477"/>
      <c r="BZ386" s="1477"/>
      <c r="CA386" s="1477"/>
      <c r="CB386" s="1477"/>
      <c r="CC386" s="1477"/>
      <c r="CD386" s="1477"/>
      <c r="CE386" s="1477"/>
      <c r="CF386" s="1477"/>
      <c r="CG386" s="1477"/>
      <c r="CH386" s="1477"/>
    </row>
    <row r="387" spans="2:86">
      <c r="B387" s="1477"/>
      <c r="C387" s="1477"/>
      <c r="D387" s="1477"/>
      <c r="E387" s="1477"/>
      <c r="F387" s="1477"/>
      <c r="G387" s="1477"/>
      <c r="H387" s="1477"/>
      <c r="I387" s="1477"/>
      <c r="J387" s="1477"/>
      <c r="K387" s="1477"/>
      <c r="L387" s="1477"/>
      <c r="M387" s="1477"/>
      <c r="N387" s="1477"/>
      <c r="O387" s="1477"/>
      <c r="P387" s="1477"/>
      <c r="Q387" s="1477"/>
      <c r="R387" s="1477"/>
      <c r="S387" s="1477"/>
      <c r="T387" s="1477"/>
      <c r="U387" s="1477"/>
      <c r="V387" s="1477"/>
      <c r="W387" s="1477"/>
      <c r="X387" s="1477"/>
      <c r="Y387" s="1477"/>
      <c r="Z387" s="1477"/>
      <c r="AA387" s="1477"/>
      <c r="AB387" s="1477"/>
      <c r="AC387" s="1477"/>
      <c r="AD387" s="1477"/>
      <c r="AE387" s="1477"/>
      <c r="AF387" s="1477"/>
      <c r="AG387" s="1477"/>
      <c r="AH387" s="1477"/>
      <c r="AI387" s="1477"/>
      <c r="AJ387" s="1477"/>
      <c r="AK387" s="1477"/>
      <c r="AL387" s="1477"/>
      <c r="AM387" s="1477"/>
      <c r="AN387" s="1477"/>
      <c r="AO387" s="284"/>
      <c r="AP387" s="1477"/>
      <c r="AQ387" s="1477"/>
      <c r="AR387" s="1477"/>
      <c r="AS387" s="1477"/>
      <c r="AT387" s="1477"/>
      <c r="AU387" s="1477"/>
      <c r="AV387" s="1477"/>
      <c r="AW387" s="1477"/>
      <c r="AX387" s="1477"/>
      <c r="AY387" s="1477"/>
      <c r="AZ387" s="1477"/>
      <c r="BA387" s="1477"/>
      <c r="BB387" s="1477"/>
      <c r="BC387" s="1477"/>
      <c r="BD387" s="1477"/>
      <c r="BE387" s="1477"/>
      <c r="BF387" s="1477"/>
      <c r="BG387" s="1477"/>
      <c r="BH387" s="1477"/>
      <c r="BI387" s="1477"/>
      <c r="BJ387" s="1477"/>
      <c r="BK387" s="1477"/>
      <c r="BL387" s="1477"/>
      <c r="BM387" s="1477"/>
      <c r="BN387" s="1477"/>
      <c r="BO387" s="1477"/>
      <c r="BP387" s="1477"/>
      <c r="BQ387" s="1477"/>
      <c r="BR387" s="1477"/>
      <c r="BS387" s="1477"/>
      <c r="BT387" s="1477"/>
      <c r="BU387" s="1477"/>
      <c r="BV387" s="1477"/>
      <c r="BW387" s="1477"/>
      <c r="BX387" s="1477"/>
      <c r="BY387" s="1477"/>
      <c r="BZ387" s="1477"/>
      <c r="CA387" s="1477"/>
      <c r="CB387" s="1477"/>
      <c r="CC387" s="1477"/>
      <c r="CD387" s="1477"/>
      <c r="CE387" s="1477"/>
      <c r="CF387" s="1477"/>
      <c r="CG387" s="1477"/>
      <c r="CH387" s="1477"/>
    </row>
    <row r="388" spans="2:86">
      <c r="B388" s="1477"/>
      <c r="C388" s="1477"/>
      <c r="D388" s="1477"/>
      <c r="E388" s="1477"/>
      <c r="F388" s="1477"/>
      <c r="G388" s="1477"/>
      <c r="H388" s="1477"/>
      <c r="I388" s="1477"/>
      <c r="J388" s="1477"/>
      <c r="K388" s="1477"/>
      <c r="L388" s="1477"/>
      <c r="M388" s="1477"/>
      <c r="N388" s="1477"/>
      <c r="O388" s="1477"/>
      <c r="P388" s="1477"/>
      <c r="Q388" s="1477"/>
      <c r="R388" s="1477"/>
      <c r="S388" s="1477"/>
      <c r="T388" s="1477"/>
      <c r="U388" s="1477"/>
      <c r="V388" s="1477"/>
      <c r="W388" s="1477"/>
      <c r="X388" s="1477"/>
      <c r="Y388" s="1477"/>
      <c r="Z388" s="1477"/>
      <c r="AA388" s="1477"/>
      <c r="AB388" s="1477"/>
      <c r="AC388" s="1477"/>
      <c r="AD388" s="1477"/>
      <c r="AE388" s="1477"/>
      <c r="AF388" s="1477"/>
      <c r="AG388" s="1477"/>
      <c r="AH388" s="1477"/>
      <c r="AI388" s="1477"/>
      <c r="AJ388" s="1477"/>
      <c r="AK388" s="1477"/>
      <c r="AL388" s="1477"/>
      <c r="AM388" s="1477"/>
      <c r="AN388" s="1477"/>
      <c r="AO388" s="284"/>
      <c r="AP388" s="1477"/>
      <c r="AQ388" s="1477"/>
      <c r="AR388" s="1477"/>
      <c r="AS388" s="1477"/>
      <c r="AT388" s="1477"/>
      <c r="AU388" s="1477"/>
      <c r="AV388" s="1477"/>
      <c r="AW388" s="1477"/>
      <c r="AX388" s="1477"/>
      <c r="AY388" s="1477"/>
      <c r="AZ388" s="1477"/>
      <c r="BA388" s="1477"/>
      <c r="BB388" s="1477"/>
      <c r="BC388" s="1477"/>
      <c r="BD388" s="1477"/>
      <c r="BE388" s="1477"/>
      <c r="BF388" s="1477"/>
      <c r="BG388" s="1477"/>
      <c r="BH388" s="1477"/>
      <c r="BI388" s="1477"/>
      <c r="BJ388" s="1477"/>
      <c r="BK388" s="1477"/>
      <c r="BL388" s="1477"/>
      <c r="BM388" s="1477"/>
      <c r="BN388" s="1477"/>
      <c r="BO388" s="1477"/>
      <c r="BP388" s="1477"/>
      <c r="BQ388" s="1477"/>
      <c r="BR388" s="1477"/>
      <c r="BS388" s="1477"/>
      <c r="BT388" s="1477"/>
      <c r="BU388" s="1477"/>
      <c r="BV388" s="1477"/>
      <c r="BW388" s="1477"/>
      <c r="BX388" s="1477"/>
      <c r="BY388" s="1477"/>
      <c r="BZ388" s="1477"/>
      <c r="CA388" s="1477"/>
      <c r="CB388" s="1477"/>
      <c r="CC388" s="1477"/>
      <c r="CD388" s="1477"/>
      <c r="CE388" s="1477"/>
      <c r="CF388" s="1477"/>
      <c r="CG388" s="1477"/>
      <c r="CH388" s="1477"/>
    </row>
    <row r="389" spans="2:86">
      <c r="B389" s="1477"/>
      <c r="C389" s="1477"/>
      <c r="D389" s="1477"/>
      <c r="E389" s="1477"/>
      <c r="F389" s="1477"/>
      <c r="G389" s="1477"/>
      <c r="H389" s="1477"/>
      <c r="I389" s="1477"/>
      <c r="J389" s="1477"/>
      <c r="K389" s="1477"/>
      <c r="L389" s="1477"/>
      <c r="M389" s="1477"/>
      <c r="N389" s="1477"/>
      <c r="O389" s="1477"/>
      <c r="P389" s="1477"/>
      <c r="Q389" s="1477"/>
      <c r="R389" s="1477"/>
      <c r="S389" s="1477"/>
      <c r="T389" s="1477"/>
      <c r="U389" s="1477"/>
      <c r="V389" s="1477"/>
      <c r="W389" s="1477"/>
      <c r="X389" s="1477"/>
      <c r="Y389" s="1477"/>
      <c r="Z389" s="1477"/>
      <c r="AA389" s="1477"/>
      <c r="AB389" s="1477"/>
      <c r="AC389" s="1477"/>
      <c r="AD389" s="1477"/>
      <c r="AE389" s="1477"/>
      <c r="AF389" s="1477"/>
      <c r="AG389" s="1477"/>
      <c r="AH389" s="1477"/>
      <c r="AI389" s="1477"/>
      <c r="AJ389" s="1477"/>
      <c r="AK389" s="1477"/>
      <c r="AL389" s="1477"/>
      <c r="AM389" s="1477"/>
      <c r="AN389" s="1477"/>
      <c r="AO389" s="284"/>
      <c r="AP389" s="1477"/>
      <c r="AQ389" s="1477"/>
      <c r="AR389" s="1477"/>
      <c r="AS389" s="1477"/>
      <c r="AT389" s="1477"/>
      <c r="AU389" s="1477"/>
      <c r="AV389" s="1477"/>
      <c r="AW389" s="1477"/>
      <c r="AX389" s="1477"/>
      <c r="AY389" s="1477"/>
      <c r="AZ389" s="1477"/>
      <c r="BA389" s="1477"/>
      <c r="BB389" s="1477"/>
      <c r="BC389" s="1477"/>
      <c r="BD389" s="1477"/>
      <c r="BE389" s="1477"/>
      <c r="BF389" s="1477"/>
      <c r="BG389" s="1477"/>
      <c r="BH389" s="1477"/>
      <c r="BI389" s="1477"/>
      <c r="BJ389" s="1477"/>
      <c r="BK389" s="1477"/>
      <c r="BL389" s="1477"/>
      <c r="BM389" s="1477"/>
      <c r="BN389" s="1477"/>
      <c r="BO389" s="1477"/>
      <c r="BP389" s="1477"/>
      <c r="BQ389" s="1477"/>
      <c r="BR389" s="1477"/>
      <c r="BS389" s="1477"/>
      <c r="BT389" s="1477"/>
      <c r="BU389" s="1477"/>
      <c r="BV389" s="1477"/>
      <c r="BW389" s="1477"/>
      <c r="BX389" s="1477"/>
      <c r="BY389" s="1477"/>
      <c r="BZ389" s="1477"/>
      <c r="CA389" s="1477"/>
      <c r="CB389" s="1477"/>
      <c r="CC389" s="1477"/>
      <c r="CD389" s="1477"/>
      <c r="CE389" s="1477"/>
      <c r="CF389" s="1477"/>
      <c r="CG389" s="1477"/>
      <c r="CH389" s="1477"/>
    </row>
    <row r="390" spans="2:86">
      <c r="B390" s="1477"/>
      <c r="C390" s="1477"/>
      <c r="D390" s="1477"/>
      <c r="E390" s="1477"/>
      <c r="F390" s="1477"/>
      <c r="G390" s="1477"/>
      <c r="H390" s="1477"/>
      <c r="I390" s="1477"/>
      <c r="J390" s="1477"/>
      <c r="K390" s="1477"/>
      <c r="L390" s="1477"/>
      <c r="M390" s="1477"/>
      <c r="N390" s="1477"/>
      <c r="O390" s="1477"/>
      <c r="P390" s="1477"/>
      <c r="Q390" s="1477"/>
      <c r="R390" s="1477"/>
      <c r="S390" s="1477"/>
      <c r="T390" s="1477"/>
      <c r="U390" s="1477"/>
      <c r="V390" s="1477"/>
      <c r="W390" s="1477"/>
      <c r="X390" s="1477"/>
      <c r="Y390" s="1477"/>
      <c r="Z390" s="1477"/>
      <c r="AA390" s="1477"/>
      <c r="AB390" s="1477"/>
      <c r="AC390" s="1477"/>
      <c r="AD390" s="1477"/>
      <c r="AE390" s="1477"/>
      <c r="AF390" s="1477"/>
      <c r="AG390" s="1477"/>
      <c r="AH390" s="1477"/>
      <c r="AI390" s="1477"/>
      <c r="AJ390" s="1477"/>
      <c r="AK390" s="1477"/>
      <c r="AL390" s="1477"/>
      <c r="AM390" s="1477"/>
      <c r="AN390" s="1477"/>
      <c r="AO390" s="284"/>
      <c r="AP390" s="1477"/>
      <c r="AQ390" s="1477"/>
      <c r="AR390" s="1477"/>
      <c r="AS390" s="1477"/>
      <c r="AT390" s="1477"/>
      <c r="AU390" s="1477"/>
      <c r="AV390" s="1477"/>
      <c r="AW390" s="1477"/>
      <c r="AX390" s="1477"/>
      <c r="AY390" s="1477"/>
      <c r="AZ390" s="1477"/>
      <c r="BA390" s="1477"/>
      <c r="BB390" s="1477"/>
      <c r="BC390" s="1477"/>
      <c r="BD390" s="1477"/>
      <c r="BE390" s="1477"/>
      <c r="BF390" s="1477"/>
      <c r="BG390" s="1477"/>
      <c r="BH390" s="1477"/>
      <c r="BI390" s="1477"/>
      <c r="BJ390" s="1477"/>
      <c r="BK390" s="1477"/>
      <c r="BL390" s="1477"/>
      <c r="BM390" s="1477"/>
      <c r="BN390" s="1477"/>
      <c r="BO390" s="1477"/>
      <c r="BP390" s="1477"/>
      <c r="BQ390" s="1477"/>
      <c r="BR390" s="1477"/>
      <c r="BS390" s="1477"/>
      <c r="BT390" s="1477"/>
      <c r="BU390" s="1477"/>
      <c r="BV390" s="1477"/>
      <c r="BW390" s="1477"/>
      <c r="BX390" s="1477"/>
      <c r="BY390" s="1477"/>
      <c r="BZ390" s="1477"/>
      <c r="CA390" s="1477"/>
      <c r="CB390" s="1477"/>
      <c r="CC390" s="1477"/>
      <c r="CD390" s="1477"/>
      <c r="CE390" s="1477"/>
      <c r="CF390" s="1477"/>
      <c r="CG390" s="1477"/>
      <c r="CH390" s="1477"/>
    </row>
    <row r="391" spans="2:86">
      <c r="B391" s="1477"/>
      <c r="C391" s="1477"/>
      <c r="D391" s="1477"/>
      <c r="E391" s="1477"/>
      <c r="F391" s="1477"/>
      <c r="G391" s="1477"/>
      <c r="H391" s="1477"/>
      <c r="I391" s="1477"/>
      <c r="J391" s="1477"/>
      <c r="K391" s="1477"/>
      <c r="L391" s="1477"/>
      <c r="M391" s="1477"/>
      <c r="N391" s="1477"/>
      <c r="O391" s="1477"/>
      <c r="P391" s="1477"/>
      <c r="Q391" s="1477"/>
      <c r="R391" s="1477"/>
      <c r="S391" s="1477"/>
      <c r="T391" s="1477"/>
      <c r="U391" s="1477"/>
      <c r="V391" s="1477"/>
      <c r="W391" s="1477"/>
      <c r="X391" s="1477"/>
      <c r="Y391" s="1477"/>
      <c r="Z391" s="1477"/>
      <c r="AA391" s="1477"/>
      <c r="AB391" s="1477"/>
      <c r="AC391" s="1477"/>
      <c r="AD391" s="1477"/>
      <c r="AE391" s="1477"/>
      <c r="AF391" s="1477"/>
      <c r="AG391" s="1477"/>
      <c r="AH391" s="1477"/>
      <c r="AI391" s="1477"/>
      <c r="AJ391" s="1477"/>
      <c r="AK391" s="1477"/>
      <c r="AL391" s="1477"/>
      <c r="AM391" s="1477"/>
      <c r="AN391" s="1477"/>
      <c r="AO391" s="284"/>
      <c r="AP391" s="1477"/>
      <c r="AQ391" s="1477"/>
      <c r="AR391" s="1477"/>
      <c r="AS391" s="1477"/>
      <c r="AT391" s="1477"/>
      <c r="AU391" s="1477"/>
      <c r="AV391" s="1477"/>
      <c r="AW391" s="1477"/>
      <c r="AX391" s="1477"/>
      <c r="AY391" s="1477"/>
      <c r="AZ391" s="1477"/>
      <c r="BA391" s="1477"/>
      <c r="BB391" s="1477"/>
      <c r="BC391" s="1477"/>
      <c r="BD391" s="1477"/>
      <c r="BE391" s="1477"/>
      <c r="BF391" s="1477"/>
      <c r="BG391" s="1477"/>
      <c r="BH391" s="1477"/>
      <c r="BI391" s="1477"/>
      <c r="BJ391" s="1477"/>
      <c r="BK391" s="1477"/>
      <c r="BL391" s="1477"/>
      <c r="BM391" s="1477"/>
      <c r="BN391" s="1477"/>
      <c r="BO391" s="1477"/>
      <c r="BP391" s="1477"/>
      <c r="BQ391" s="1477"/>
      <c r="BR391" s="1477"/>
      <c r="BS391" s="1477"/>
      <c r="BT391" s="1477"/>
      <c r="BU391" s="1477"/>
      <c r="BV391" s="1477"/>
      <c r="BW391" s="1477"/>
      <c r="BX391" s="1477"/>
      <c r="BY391" s="1477"/>
      <c r="BZ391" s="1477"/>
      <c r="CA391" s="1477"/>
      <c r="CB391" s="1477"/>
      <c r="CC391" s="1477"/>
      <c r="CD391" s="1477"/>
      <c r="CE391" s="1477"/>
      <c r="CF391" s="1477"/>
      <c r="CG391" s="1477"/>
      <c r="CH391" s="1477"/>
    </row>
    <row r="392" spans="2:86">
      <c r="B392" s="1477"/>
      <c r="C392" s="1477"/>
      <c r="D392" s="1477"/>
      <c r="E392" s="1477"/>
      <c r="F392" s="1477"/>
      <c r="G392" s="1477"/>
      <c r="H392" s="1477"/>
      <c r="I392" s="1477"/>
      <c r="J392" s="1477"/>
      <c r="K392" s="1477"/>
      <c r="L392" s="1477"/>
      <c r="M392" s="1477"/>
      <c r="N392" s="1477"/>
      <c r="O392" s="1477"/>
      <c r="P392" s="1477"/>
      <c r="Q392" s="1477"/>
      <c r="R392" s="1477"/>
      <c r="S392" s="1477"/>
      <c r="T392" s="1477"/>
      <c r="U392" s="1477"/>
      <c r="V392" s="1477"/>
      <c r="W392" s="1477"/>
      <c r="X392" s="1477"/>
      <c r="Y392" s="1477"/>
      <c r="Z392" s="1477"/>
      <c r="AA392" s="1477"/>
      <c r="AB392" s="1477"/>
      <c r="AC392" s="1477"/>
      <c r="AD392" s="1477"/>
      <c r="AE392" s="1477"/>
      <c r="AF392" s="1477"/>
      <c r="AG392" s="1477"/>
      <c r="AH392" s="1477"/>
      <c r="AI392" s="1477"/>
      <c r="AJ392" s="1477"/>
      <c r="AK392" s="1477"/>
      <c r="AL392" s="1477"/>
      <c r="AM392" s="1477"/>
      <c r="AN392" s="1477"/>
      <c r="AO392" s="284"/>
      <c r="AP392" s="1477"/>
      <c r="AQ392" s="1477"/>
      <c r="AR392" s="1477"/>
      <c r="AS392" s="1477"/>
      <c r="AT392" s="1477"/>
      <c r="AU392" s="1477"/>
      <c r="AV392" s="1477"/>
      <c r="AW392" s="1477"/>
      <c r="AX392" s="1477"/>
      <c r="AY392" s="1477"/>
      <c r="AZ392" s="1477"/>
      <c r="BA392" s="1477"/>
      <c r="BB392" s="1477"/>
      <c r="BC392" s="1477"/>
      <c r="BD392" s="1477"/>
      <c r="BE392" s="1477"/>
      <c r="BF392" s="1477"/>
      <c r="BG392" s="1477"/>
      <c r="BH392" s="1477"/>
      <c r="BI392" s="1477"/>
      <c r="BJ392" s="1477"/>
      <c r="BK392" s="1477"/>
      <c r="BL392" s="1477"/>
      <c r="BM392" s="1477"/>
      <c r="BN392" s="1477"/>
      <c r="BO392" s="1477"/>
      <c r="BP392" s="1477"/>
      <c r="BQ392" s="1477"/>
      <c r="BR392" s="1477"/>
      <c r="BS392" s="1477"/>
      <c r="BT392" s="1477"/>
      <c r="BU392" s="1477"/>
      <c r="BV392" s="1477"/>
      <c r="BW392" s="1477"/>
      <c r="BX392" s="1477"/>
      <c r="BY392" s="1477"/>
      <c r="BZ392" s="1477"/>
      <c r="CA392" s="1477"/>
      <c r="CB392" s="1477"/>
      <c r="CC392" s="1477"/>
      <c r="CD392" s="1477"/>
      <c r="CE392" s="1477"/>
      <c r="CF392" s="1477"/>
      <c r="CG392" s="1477"/>
      <c r="CH392" s="1477"/>
    </row>
    <row r="393" spans="2:86">
      <c r="B393" s="1477"/>
      <c r="C393" s="1477"/>
      <c r="D393" s="1477"/>
      <c r="E393" s="1477"/>
      <c r="F393" s="1477"/>
      <c r="G393" s="1477"/>
      <c r="H393" s="1477"/>
      <c r="I393" s="1477"/>
      <c r="J393" s="1477"/>
      <c r="K393" s="1477"/>
      <c r="L393" s="1477"/>
      <c r="M393" s="1477"/>
      <c r="N393" s="1477"/>
      <c r="O393" s="1477"/>
      <c r="P393" s="1477"/>
      <c r="Q393" s="1477"/>
      <c r="R393" s="1477"/>
      <c r="S393" s="1477"/>
      <c r="T393" s="1477"/>
      <c r="U393" s="1477"/>
      <c r="V393" s="1477"/>
      <c r="W393" s="1477"/>
      <c r="X393" s="1477"/>
      <c r="Y393" s="1477"/>
      <c r="Z393" s="1477"/>
      <c r="AA393" s="1477"/>
      <c r="AB393" s="1477"/>
      <c r="AC393" s="1477"/>
      <c r="AD393" s="1477"/>
      <c r="AE393" s="1477"/>
      <c r="AF393" s="1477"/>
      <c r="AG393" s="1477"/>
      <c r="AH393" s="1477"/>
      <c r="AI393" s="1477"/>
      <c r="AJ393" s="1477"/>
      <c r="AK393" s="1477"/>
      <c r="AL393" s="1477"/>
      <c r="AM393" s="1477"/>
      <c r="AN393" s="1477"/>
      <c r="AO393" s="284"/>
      <c r="AP393" s="1477"/>
      <c r="AQ393" s="1477"/>
      <c r="AR393" s="1477"/>
      <c r="AS393" s="1477"/>
      <c r="AT393" s="1477"/>
      <c r="AU393" s="1477"/>
      <c r="AV393" s="1477"/>
      <c r="AW393" s="1477"/>
      <c r="AX393" s="1477"/>
      <c r="AY393" s="1477"/>
      <c r="AZ393" s="1477"/>
      <c r="BA393" s="1477"/>
      <c r="BB393" s="1477"/>
      <c r="BC393" s="1477"/>
      <c r="BD393" s="1477"/>
      <c r="BE393" s="1477"/>
      <c r="BF393" s="1477"/>
      <c r="BG393" s="1477"/>
      <c r="BH393" s="1477"/>
      <c r="BI393" s="1477"/>
      <c r="BJ393" s="1477"/>
      <c r="BK393" s="1477"/>
      <c r="BL393" s="1477"/>
      <c r="BM393" s="1477"/>
      <c r="BN393" s="1477"/>
      <c r="BO393" s="1477"/>
      <c r="BP393" s="1477"/>
      <c r="BQ393" s="1477"/>
      <c r="BR393" s="1477"/>
      <c r="BS393" s="1477"/>
      <c r="BT393" s="1477"/>
      <c r="BU393" s="1477"/>
      <c r="BV393" s="1477"/>
      <c r="BW393" s="1477"/>
      <c r="BX393" s="1477"/>
      <c r="BY393" s="1477"/>
      <c r="BZ393" s="1477"/>
      <c r="CA393" s="1477"/>
      <c r="CB393" s="1477"/>
      <c r="CC393" s="1477"/>
      <c r="CD393" s="1477"/>
      <c r="CE393" s="1477"/>
      <c r="CF393" s="1477"/>
      <c r="CG393" s="1477"/>
      <c r="CH393" s="1477"/>
    </row>
    <row r="394" spans="2:86">
      <c r="B394" s="1477"/>
      <c r="C394" s="1477"/>
      <c r="D394" s="1477"/>
      <c r="E394" s="1477"/>
      <c r="F394" s="1477"/>
      <c r="G394" s="1477"/>
      <c r="H394" s="1477"/>
      <c r="I394" s="1477"/>
      <c r="J394" s="1477"/>
      <c r="K394" s="1477"/>
      <c r="L394" s="1477"/>
      <c r="M394" s="1477"/>
      <c r="N394" s="1477"/>
      <c r="O394" s="1477"/>
      <c r="P394" s="1477"/>
      <c r="Q394" s="1477"/>
      <c r="R394" s="1477"/>
      <c r="S394" s="1477"/>
      <c r="T394" s="1477"/>
      <c r="U394" s="1477"/>
      <c r="V394" s="1477"/>
      <c r="W394" s="1477"/>
      <c r="X394" s="1477"/>
      <c r="Y394" s="1477"/>
      <c r="Z394" s="1477"/>
      <c r="AA394" s="1477"/>
      <c r="AB394" s="1477"/>
      <c r="AC394" s="1477"/>
      <c r="AD394" s="1477"/>
      <c r="AE394" s="1477"/>
      <c r="AF394" s="1477"/>
      <c r="AG394" s="1477"/>
      <c r="AH394" s="1477"/>
      <c r="AI394" s="1477"/>
      <c r="AJ394" s="1477"/>
      <c r="AK394" s="1477"/>
      <c r="AL394" s="1477"/>
      <c r="AM394" s="1477"/>
      <c r="AN394" s="1477"/>
      <c r="AO394" s="284"/>
      <c r="AP394" s="1477"/>
      <c r="AQ394" s="1477"/>
      <c r="AR394" s="1477"/>
      <c r="AS394" s="1477"/>
      <c r="AT394" s="1477"/>
      <c r="AU394" s="1477"/>
      <c r="AV394" s="1477"/>
      <c r="AW394" s="1477"/>
      <c r="AX394" s="1477"/>
      <c r="AY394" s="1477"/>
      <c r="AZ394" s="1477"/>
      <c r="BA394" s="1477"/>
      <c r="BB394" s="1477"/>
      <c r="BC394" s="1477"/>
      <c r="BD394" s="1477"/>
      <c r="BE394" s="1477"/>
      <c r="BF394" s="1477"/>
      <c r="BG394" s="1477"/>
      <c r="BH394" s="1477"/>
      <c r="BI394" s="1477"/>
      <c r="BJ394" s="1477"/>
      <c r="BK394" s="1477"/>
      <c r="BL394" s="1477"/>
      <c r="BM394" s="1477"/>
      <c r="BN394" s="1477"/>
      <c r="BO394" s="1477"/>
      <c r="BP394" s="1477"/>
      <c r="BQ394" s="1477"/>
      <c r="BR394" s="1477"/>
      <c r="BS394" s="1477"/>
      <c r="BT394" s="1477"/>
      <c r="BU394" s="1477"/>
      <c r="BV394" s="1477"/>
      <c r="BW394" s="1477"/>
      <c r="BX394" s="1477"/>
      <c r="BY394" s="1477"/>
      <c r="BZ394" s="1477"/>
      <c r="CA394" s="1477"/>
      <c r="CB394" s="1477"/>
      <c r="CC394" s="1477"/>
      <c r="CD394" s="1477"/>
      <c r="CE394" s="1477"/>
      <c r="CF394" s="1477"/>
      <c r="CG394" s="1477"/>
      <c r="CH394" s="1477"/>
    </row>
    <row r="395" spans="2:86">
      <c r="B395" s="1477"/>
      <c r="C395" s="1477"/>
      <c r="D395" s="1477"/>
      <c r="E395" s="1477"/>
      <c r="F395" s="1477"/>
      <c r="G395" s="1477"/>
      <c r="H395" s="1477"/>
      <c r="I395" s="1477"/>
      <c r="J395" s="1477"/>
      <c r="K395" s="1477"/>
      <c r="L395" s="1477"/>
      <c r="M395" s="1477"/>
      <c r="N395" s="1477"/>
      <c r="O395" s="1477"/>
      <c r="P395" s="1477"/>
      <c r="Q395" s="1477"/>
      <c r="R395" s="1477"/>
      <c r="S395" s="1477"/>
      <c r="T395" s="1477"/>
      <c r="U395" s="1477"/>
      <c r="V395" s="1477"/>
      <c r="W395" s="1477"/>
      <c r="X395" s="1477"/>
      <c r="Y395" s="1477"/>
      <c r="Z395" s="1477"/>
      <c r="AA395" s="1477"/>
      <c r="AB395" s="1477"/>
      <c r="AC395" s="1477"/>
      <c r="AD395" s="1477"/>
      <c r="AE395" s="1477"/>
      <c r="AF395" s="1477"/>
      <c r="AG395" s="1477"/>
      <c r="AH395" s="1477"/>
      <c r="AI395" s="1477"/>
      <c r="AJ395" s="1477"/>
      <c r="AK395" s="1477"/>
      <c r="AL395" s="1477"/>
      <c r="AM395" s="1477"/>
      <c r="AN395" s="1477"/>
      <c r="AO395" s="284"/>
      <c r="AP395" s="1477"/>
      <c r="AQ395" s="1477"/>
      <c r="AR395" s="1477"/>
      <c r="AS395" s="1477"/>
      <c r="AT395" s="1477"/>
      <c r="AU395" s="1477"/>
      <c r="AV395" s="1477"/>
      <c r="AW395" s="1477"/>
      <c r="AX395" s="1477"/>
      <c r="AY395" s="1477"/>
      <c r="AZ395" s="1477"/>
      <c r="BA395" s="1477"/>
      <c r="BB395" s="1477"/>
      <c r="BC395" s="1477"/>
      <c r="BD395" s="1477"/>
      <c r="BE395" s="1477"/>
      <c r="BF395" s="1477"/>
      <c r="BG395" s="1477"/>
      <c r="BH395" s="1477"/>
      <c r="BI395" s="1477"/>
      <c r="BJ395" s="1477"/>
      <c r="BK395" s="1477"/>
      <c r="BL395" s="1477"/>
      <c r="BM395" s="1477"/>
      <c r="BN395" s="1477"/>
      <c r="BO395" s="1477"/>
      <c r="BP395" s="1477"/>
      <c r="BQ395" s="1477"/>
      <c r="BR395" s="1477"/>
      <c r="BS395" s="1477"/>
      <c r="BT395" s="1477"/>
      <c r="BU395" s="1477"/>
      <c r="BV395" s="1477"/>
      <c r="BW395" s="1477"/>
      <c r="BX395" s="1477"/>
      <c r="BY395" s="1477"/>
      <c r="BZ395" s="1477"/>
      <c r="CA395" s="1477"/>
      <c r="CB395" s="1477"/>
      <c r="CC395" s="1477"/>
      <c r="CD395" s="1477"/>
      <c r="CE395" s="1477"/>
      <c r="CF395" s="1477"/>
      <c r="CG395" s="1477"/>
      <c r="CH395" s="1477"/>
    </row>
    <row r="396" spans="2:86">
      <c r="B396" s="1477"/>
      <c r="C396" s="1477"/>
      <c r="D396" s="1477"/>
      <c r="E396" s="1477"/>
      <c r="F396" s="1477"/>
      <c r="G396" s="1477"/>
      <c r="H396" s="1477"/>
      <c r="I396" s="1477"/>
      <c r="J396" s="1477"/>
      <c r="K396" s="1477"/>
      <c r="L396" s="1477"/>
      <c r="M396" s="1477"/>
      <c r="N396" s="1477"/>
      <c r="O396" s="1477"/>
      <c r="P396" s="1477"/>
      <c r="Q396" s="1477"/>
      <c r="R396" s="1477"/>
      <c r="S396" s="1477"/>
      <c r="T396" s="1477"/>
      <c r="U396" s="1477"/>
      <c r="V396" s="1477"/>
      <c r="W396" s="1477"/>
      <c r="X396" s="1477"/>
      <c r="Y396" s="1477"/>
      <c r="Z396" s="1477"/>
      <c r="AA396" s="1477"/>
      <c r="AB396" s="1477"/>
      <c r="AC396" s="1477"/>
      <c r="AD396" s="1477"/>
      <c r="AE396" s="1477"/>
      <c r="AF396" s="1477"/>
      <c r="AG396" s="1477"/>
      <c r="AH396" s="1477"/>
      <c r="AI396" s="1477"/>
      <c r="AJ396" s="1477"/>
      <c r="AK396" s="1477"/>
      <c r="AL396" s="1477"/>
      <c r="AM396" s="1477"/>
      <c r="AN396" s="1477"/>
      <c r="AO396" s="284"/>
      <c r="AP396" s="1477"/>
      <c r="AQ396" s="1477"/>
      <c r="AR396" s="1477"/>
      <c r="AS396" s="1477"/>
      <c r="AT396" s="1477"/>
      <c r="AU396" s="1477"/>
      <c r="AV396" s="1477"/>
      <c r="AW396" s="1477"/>
      <c r="AX396" s="1477"/>
      <c r="AY396" s="1477"/>
      <c r="AZ396" s="1477"/>
      <c r="BA396" s="1477"/>
      <c r="BB396" s="1477"/>
      <c r="BC396" s="1477"/>
      <c r="BD396" s="1477"/>
      <c r="BE396" s="1477"/>
      <c r="BF396" s="1477"/>
      <c r="BG396" s="1477"/>
      <c r="BH396" s="1477"/>
      <c r="BI396" s="1477"/>
      <c r="BJ396" s="1477"/>
      <c r="BK396" s="1477"/>
      <c r="BL396" s="1477"/>
      <c r="BM396" s="1477"/>
      <c r="BN396" s="1477"/>
      <c r="BO396" s="1477"/>
      <c r="BP396" s="1477"/>
      <c r="BQ396" s="1477"/>
      <c r="BR396" s="1477"/>
      <c r="BS396" s="1477"/>
      <c r="BT396" s="1477"/>
      <c r="BU396" s="1477"/>
      <c r="BV396" s="1477"/>
      <c r="BW396" s="1477"/>
      <c r="BX396" s="1477"/>
      <c r="BY396" s="1477"/>
      <c r="BZ396" s="1477"/>
      <c r="CA396" s="1477"/>
      <c r="CB396" s="1477"/>
      <c r="CC396" s="1477"/>
      <c r="CD396" s="1477"/>
      <c r="CE396" s="1477"/>
      <c r="CF396" s="1477"/>
      <c r="CG396" s="1477"/>
      <c r="CH396" s="1477"/>
    </row>
    <row r="397" spans="2:86">
      <c r="B397" s="1477"/>
      <c r="C397" s="1477"/>
      <c r="D397" s="1477"/>
      <c r="E397" s="1477"/>
      <c r="F397" s="1477"/>
      <c r="G397" s="1477"/>
      <c r="H397" s="1477"/>
      <c r="I397" s="1477"/>
      <c r="J397" s="1477"/>
      <c r="K397" s="1477"/>
      <c r="L397" s="1477"/>
      <c r="M397" s="1477"/>
      <c r="N397" s="1477"/>
      <c r="O397" s="1477"/>
      <c r="P397" s="1477"/>
      <c r="Q397" s="1477"/>
      <c r="R397" s="1477"/>
      <c r="S397" s="1477"/>
      <c r="T397" s="1477"/>
      <c r="U397" s="1477"/>
      <c r="V397" s="1477"/>
      <c r="W397" s="1477"/>
      <c r="X397" s="1477"/>
      <c r="Y397" s="1477"/>
      <c r="Z397" s="1477"/>
      <c r="AA397" s="1477"/>
      <c r="AB397" s="1477"/>
      <c r="AC397" s="1477"/>
      <c r="AD397" s="1477"/>
      <c r="AE397" s="1477"/>
      <c r="AF397" s="1477"/>
      <c r="AG397" s="1477"/>
      <c r="AH397" s="1477"/>
      <c r="AI397" s="1477"/>
      <c r="AJ397" s="1477"/>
      <c r="AK397" s="1477"/>
      <c r="AL397" s="1477"/>
      <c r="AM397" s="1477"/>
      <c r="AN397" s="1477"/>
      <c r="AO397" s="284"/>
      <c r="AP397" s="1477"/>
      <c r="AQ397" s="1477"/>
      <c r="AR397" s="1477"/>
      <c r="AS397" s="1477"/>
      <c r="AT397" s="1477"/>
      <c r="AU397" s="1477"/>
      <c r="AV397" s="1477"/>
      <c r="AW397" s="1477"/>
      <c r="AX397" s="1477"/>
      <c r="AY397" s="1477"/>
      <c r="AZ397" s="1477"/>
      <c r="BA397" s="1477"/>
      <c r="BB397" s="1477"/>
      <c r="BC397" s="1477"/>
      <c r="BD397" s="1477"/>
      <c r="BE397" s="1477"/>
      <c r="BF397" s="1477"/>
      <c r="BG397" s="1477"/>
      <c r="BH397" s="1477"/>
      <c r="BI397" s="1477"/>
      <c r="BJ397" s="1477"/>
      <c r="BK397" s="1477"/>
      <c r="BL397" s="1477"/>
      <c r="BM397" s="1477"/>
      <c r="BN397" s="1477"/>
      <c r="BO397" s="1477"/>
      <c r="BP397" s="1477"/>
      <c r="BQ397" s="1477"/>
      <c r="BR397" s="1477"/>
      <c r="BS397" s="1477"/>
      <c r="BT397" s="1477"/>
      <c r="BU397" s="1477"/>
      <c r="BV397" s="1477"/>
      <c r="BW397" s="1477"/>
      <c r="BX397" s="1477"/>
      <c r="BY397" s="1477"/>
      <c r="BZ397" s="1477"/>
      <c r="CA397" s="1477"/>
      <c r="CB397" s="1477"/>
      <c r="CC397" s="1477"/>
      <c r="CD397" s="1477"/>
      <c r="CE397" s="1477"/>
      <c r="CF397" s="1477"/>
      <c r="CG397" s="1477"/>
      <c r="CH397" s="1477"/>
    </row>
    <row r="398" spans="2:86">
      <c r="B398" s="1477"/>
      <c r="C398" s="1477"/>
      <c r="D398" s="1477"/>
      <c r="E398" s="1477"/>
      <c r="F398" s="1477"/>
      <c r="G398" s="1477"/>
      <c r="H398" s="1477"/>
      <c r="I398" s="1477"/>
      <c r="J398" s="1477"/>
      <c r="K398" s="1477"/>
      <c r="L398" s="1477"/>
      <c r="M398" s="1477"/>
      <c r="N398" s="1477"/>
      <c r="O398" s="1477"/>
      <c r="P398" s="1477"/>
      <c r="Q398" s="1477"/>
      <c r="R398" s="1477"/>
      <c r="S398" s="1477"/>
      <c r="T398" s="1477"/>
      <c r="U398" s="1477"/>
      <c r="V398" s="1477"/>
      <c r="W398" s="1477"/>
      <c r="X398" s="1477"/>
      <c r="Y398" s="1477"/>
      <c r="Z398" s="1477"/>
      <c r="AA398" s="1477"/>
      <c r="AB398" s="1477"/>
      <c r="AC398" s="1477"/>
      <c r="AD398" s="1477"/>
      <c r="AE398" s="1477"/>
      <c r="AF398" s="1477"/>
      <c r="AG398" s="1477"/>
      <c r="AH398" s="1477"/>
      <c r="AI398" s="1477"/>
      <c r="AJ398" s="1477"/>
      <c r="AK398" s="1477"/>
      <c r="AL398" s="1477"/>
      <c r="AM398" s="1477"/>
      <c r="AN398" s="1477"/>
      <c r="AO398" s="284"/>
      <c r="AP398" s="1477"/>
      <c r="AQ398" s="1477"/>
      <c r="AR398" s="1477"/>
      <c r="AS398" s="1477"/>
      <c r="AT398" s="1477"/>
      <c r="AU398" s="1477"/>
      <c r="AV398" s="1477"/>
      <c r="AW398" s="1477"/>
      <c r="AX398" s="1477"/>
      <c r="AY398" s="1477"/>
      <c r="AZ398" s="1477"/>
      <c r="BA398" s="1477"/>
      <c r="BB398" s="1477"/>
      <c r="BC398" s="1477"/>
      <c r="BD398" s="1477"/>
      <c r="BE398" s="1477"/>
      <c r="BF398" s="1477"/>
      <c r="BG398" s="1477"/>
      <c r="BH398" s="1477"/>
      <c r="BI398" s="1477"/>
      <c r="BJ398" s="1477"/>
      <c r="BK398" s="1477"/>
      <c r="BL398" s="1477"/>
      <c r="BM398" s="1477"/>
      <c r="BN398" s="1477"/>
      <c r="BO398" s="1477"/>
      <c r="BP398" s="1477"/>
      <c r="BQ398" s="1477"/>
      <c r="BR398" s="1477"/>
      <c r="BS398" s="1477"/>
      <c r="BT398" s="1477"/>
      <c r="BU398" s="1477"/>
      <c r="BV398" s="1477"/>
      <c r="BW398" s="1477"/>
      <c r="BX398" s="1477"/>
      <c r="BY398" s="1477"/>
      <c r="BZ398" s="1477"/>
      <c r="CA398" s="1477"/>
      <c r="CB398" s="1477"/>
      <c r="CC398" s="1477"/>
      <c r="CD398" s="1477"/>
      <c r="CE398" s="1477"/>
      <c r="CF398" s="1477"/>
      <c r="CG398" s="1477"/>
      <c r="CH398" s="1477"/>
    </row>
    <row r="399" spans="2:86">
      <c r="B399" s="1477"/>
      <c r="C399" s="1477"/>
      <c r="D399" s="1477"/>
      <c r="E399" s="1477"/>
      <c r="F399" s="1477"/>
      <c r="G399" s="1477"/>
      <c r="H399" s="1477"/>
      <c r="I399" s="1477"/>
      <c r="J399" s="1477"/>
      <c r="K399" s="1477"/>
      <c r="L399" s="1477"/>
      <c r="M399" s="1477"/>
      <c r="N399" s="1477"/>
      <c r="O399" s="1477"/>
      <c r="P399" s="1477"/>
      <c r="Q399" s="1477"/>
      <c r="R399" s="1477"/>
      <c r="S399" s="1477"/>
      <c r="T399" s="1477"/>
      <c r="U399" s="1477"/>
      <c r="V399" s="1477"/>
      <c r="W399" s="1477"/>
      <c r="X399" s="1477"/>
      <c r="Y399" s="1477"/>
      <c r="Z399" s="1477"/>
      <c r="AA399" s="1477"/>
      <c r="AB399" s="1477"/>
      <c r="AC399" s="1477"/>
      <c r="AD399" s="1477"/>
      <c r="AE399" s="1477"/>
      <c r="AF399" s="1477"/>
      <c r="AG399" s="1477"/>
      <c r="AH399" s="1477"/>
      <c r="AI399" s="1477"/>
      <c r="AJ399" s="1477"/>
      <c r="AK399" s="1477"/>
      <c r="AL399" s="1477"/>
      <c r="AM399" s="1477"/>
      <c r="AN399" s="1477"/>
      <c r="AO399" s="284"/>
      <c r="AP399" s="1477"/>
      <c r="AQ399" s="1477"/>
      <c r="AR399" s="1477"/>
      <c r="AS399" s="1477"/>
      <c r="AT399" s="1477"/>
      <c r="AU399" s="1477"/>
      <c r="AV399" s="1477"/>
      <c r="AW399" s="1477"/>
      <c r="AX399" s="1477"/>
      <c r="AY399" s="1477"/>
      <c r="AZ399" s="1477"/>
      <c r="BA399" s="1477"/>
      <c r="BB399" s="1477"/>
      <c r="BC399" s="1477"/>
      <c r="BD399" s="1477"/>
      <c r="BE399" s="1477"/>
      <c r="BF399" s="1477"/>
      <c r="BG399" s="1477"/>
      <c r="BH399" s="1477"/>
      <c r="BI399" s="1477"/>
      <c r="BJ399" s="1477"/>
      <c r="BK399" s="1477"/>
      <c r="BL399" s="1477"/>
      <c r="BM399" s="1477"/>
      <c r="BN399" s="1477"/>
      <c r="BO399" s="1477"/>
      <c r="BP399" s="1477"/>
      <c r="BQ399" s="1477"/>
      <c r="BR399" s="1477"/>
      <c r="BS399" s="1477"/>
      <c r="BT399" s="1477"/>
      <c r="BU399" s="1477"/>
      <c r="BV399" s="1477"/>
      <c r="BW399" s="1477"/>
      <c r="BX399" s="1477"/>
      <c r="BY399" s="1477"/>
      <c r="BZ399" s="1477"/>
      <c r="CA399" s="1477"/>
      <c r="CB399" s="1477"/>
      <c r="CC399" s="1477"/>
      <c r="CD399" s="1477"/>
      <c r="CE399" s="1477"/>
      <c r="CF399" s="1477"/>
      <c r="CG399" s="1477"/>
      <c r="CH399" s="1477"/>
    </row>
    <row r="400" spans="2:86">
      <c r="B400" s="1477"/>
      <c r="C400" s="1477"/>
      <c r="D400" s="1477"/>
      <c r="E400" s="1477"/>
      <c r="F400" s="1477"/>
      <c r="G400" s="1477"/>
      <c r="H400" s="1477"/>
      <c r="I400" s="1477"/>
      <c r="J400" s="1477"/>
      <c r="K400" s="1477"/>
      <c r="L400" s="1477"/>
      <c r="M400" s="1477"/>
      <c r="N400" s="1477"/>
      <c r="O400" s="1477"/>
      <c r="P400" s="1477"/>
      <c r="Q400" s="1477"/>
      <c r="R400" s="1477"/>
      <c r="S400" s="1477"/>
      <c r="T400" s="1477"/>
      <c r="U400" s="1477"/>
      <c r="V400" s="1477"/>
      <c r="W400" s="1477"/>
      <c r="X400" s="1477"/>
      <c r="Y400" s="1477"/>
      <c r="Z400" s="1477"/>
      <c r="AA400" s="1477"/>
      <c r="AB400" s="1477"/>
      <c r="AC400" s="1477"/>
      <c r="AD400" s="1477"/>
      <c r="AE400" s="1477"/>
      <c r="AF400" s="1477"/>
      <c r="AG400" s="1477"/>
      <c r="AH400" s="1477"/>
      <c r="AI400" s="1477"/>
      <c r="AJ400" s="1477"/>
      <c r="AK400" s="1477"/>
      <c r="AL400" s="1477"/>
      <c r="AM400" s="1477"/>
      <c r="AN400" s="1477"/>
      <c r="AO400" s="284"/>
      <c r="AP400" s="1477"/>
      <c r="AQ400" s="1477"/>
      <c r="AR400" s="1477"/>
      <c r="AS400" s="1477"/>
      <c r="AT400" s="1477"/>
      <c r="AU400" s="1477"/>
      <c r="AV400" s="1477"/>
      <c r="AW400" s="1477"/>
      <c r="AX400" s="1477"/>
      <c r="AY400" s="1477"/>
      <c r="AZ400" s="1477"/>
      <c r="BA400" s="1477"/>
      <c r="BB400" s="1477"/>
      <c r="BC400" s="1477"/>
      <c r="BD400" s="1477"/>
      <c r="BE400" s="1477"/>
      <c r="BF400" s="1477"/>
      <c r="BG400" s="1477"/>
      <c r="BH400" s="1477"/>
      <c r="BI400" s="1477"/>
      <c r="BJ400" s="1477"/>
      <c r="BK400" s="1477"/>
      <c r="BL400" s="1477"/>
      <c r="BM400" s="1477"/>
      <c r="BN400" s="1477"/>
      <c r="BO400" s="1477"/>
      <c r="BP400" s="1477"/>
      <c r="BQ400" s="1477"/>
      <c r="BR400" s="1477"/>
      <c r="BS400" s="1477"/>
      <c r="BT400" s="1477"/>
      <c r="BU400" s="1477"/>
      <c r="BV400" s="1477"/>
      <c r="BW400" s="1477"/>
      <c r="BX400" s="1477"/>
      <c r="BY400" s="1477"/>
      <c r="BZ400" s="1477"/>
      <c r="CA400" s="1477"/>
      <c r="CB400" s="1477"/>
      <c r="CC400" s="1477"/>
      <c r="CD400" s="1477"/>
      <c r="CE400" s="1477"/>
      <c r="CF400" s="1477"/>
      <c r="CG400" s="1477"/>
      <c r="CH400" s="1477"/>
    </row>
    <row r="401" spans="2:86">
      <c r="B401" s="1477"/>
      <c r="C401" s="1477"/>
      <c r="D401" s="1477"/>
      <c r="E401" s="1477"/>
      <c r="F401" s="1477"/>
      <c r="G401" s="1477"/>
      <c r="H401" s="1477"/>
      <c r="I401" s="1477"/>
      <c r="J401" s="1477"/>
      <c r="K401" s="1477"/>
      <c r="L401" s="1477"/>
      <c r="M401" s="1477"/>
      <c r="N401" s="1477"/>
      <c r="O401" s="1477"/>
      <c r="P401" s="1477"/>
      <c r="Q401" s="1477"/>
      <c r="R401" s="1477"/>
      <c r="S401" s="1477"/>
      <c r="T401" s="1477"/>
      <c r="U401" s="1477"/>
      <c r="V401" s="1477"/>
      <c r="W401" s="1477"/>
      <c r="X401" s="1477"/>
      <c r="Y401" s="1477"/>
      <c r="Z401" s="1477"/>
      <c r="AA401" s="1477"/>
      <c r="AB401" s="1477"/>
      <c r="AC401" s="1477"/>
      <c r="AD401" s="1477"/>
      <c r="AE401" s="1477"/>
      <c r="AF401" s="1477"/>
      <c r="AG401" s="1477"/>
      <c r="AH401" s="1477"/>
      <c r="AI401" s="1477"/>
      <c r="AJ401" s="1477"/>
      <c r="AK401" s="1477"/>
      <c r="AL401" s="1477"/>
      <c r="AM401" s="1477"/>
      <c r="AN401" s="1477"/>
      <c r="AO401" s="284"/>
      <c r="AP401" s="1477"/>
      <c r="AQ401" s="1477"/>
      <c r="AR401" s="1477"/>
      <c r="AS401" s="1477"/>
      <c r="AT401" s="1477"/>
      <c r="AU401" s="1477"/>
      <c r="AV401" s="1477"/>
      <c r="AW401" s="1477"/>
      <c r="AX401" s="1477"/>
      <c r="AY401" s="1477"/>
      <c r="AZ401" s="1477"/>
      <c r="BA401" s="1477"/>
      <c r="BB401" s="1477"/>
      <c r="BC401" s="1477"/>
      <c r="BD401" s="1477"/>
      <c r="BE401" s="1477"/>
      <c r="BF401" s="1477"/>
      <c r="BG401" s="1477"/>
      <c r="BH401" s="1477"/>
      <c r="BI401" s="1477"/>
      <c r="BJ401" s="1477"/>
      <c r="BK401" s="1477"/>
      <c r="BL401" s="1477"/>
      <c r="BM401" s="1477"/>
      <c r="BN401" s="1477"/>
      <c r="BO401" s="1477"/>
      <c r="BP401" s="1477"/>
      <c r="BQ401" s="1477"/>
      <c r="BR401" s="1477"/>
      <c r="BS401" s="1477"/>
      <c r="BT401" s="1477"/>
      <c r="BU401" s="1477"/>
      <c r="BV401" s="1477"/>
      <c r="BW401" s="1477"/>
      <c r="BX401" s="1477"/>
      <c r="BY401" s="1477"/>
      <c r="BZ401" s="1477"/>
      <c r="CA401" s="1477"/>
      <c r="CB401" s="1477"/>
      <c r="CC401" s="1477"/>
      <c r="CD401" s="1477"/>
      <c r="CE401" s="1477"/>
      <c r="CF401" s="1477"/>
      <c r="CG401" s="1477"/>
      <c r="CH401" s="1477"/>
    </row>
    <row r="402" spans="2:86">
      <c r="B402" s="1477"/>
      <c r="C402" s="1477"/>
      <c r="D402" s="1477"/>
      <c r="E402" s="1477"/>
      <c r="F402" s="1477"/>
      <c r="G402" s="1477"/>
      <c r="H402" s="1477"/>
      <c r="I402" s="1477"/>
      <c r="J402" s="1477"/>
      <c r="K402" s="1477"/>
      <c r="L402" s="1477"/>
      <c r="M402" s="1477"/>
      <c r="N402" s="1477"/>
      <c r="O402" s="1477"/>
      <c r="P402" s="1477"/>
      <c r="Q402" s="1477"/>
      <c r="R402" s="1477"/>
      <c r="S402" s="1477"/>
      <c r="T402" s="1477"/>
      <c r="U402" s="1477"/>
      <c r="V402" s="1477"/>
      <c r="W402" s="1477"/>
      <c r="X402" s="1477"/>
      <c r="Y402" s="1477"/>
      <c r="Z402" s="1477"/>
      <c r="AA402" s="1477"/>
      <c r="AB402" s="1477"/>
      <c r="AC402" s="1477"/>
      <c r="AD402" s="1477"/>
      <c r="AE402" s="1477"/>
      <c r="AF402" s="1477"/>
      <c r="AG402" s="1477"/>
      <c r="AH402" s="1477"/>
      <c r="AI402" s="1477"/>
      <c r="AJ402" s="1477"/>
      <c r="AK402" s="1477"/>
      <c r="AL402" s="1477"/>
      <c r="AM402" s="1477"/>
      <c r="AN402" s="1477"/>
      <c r="AO402" s="284"/>
      <c r="AP402" s="1477"/>
      <c r="AQ402" s="1477"/>
      <c r="AR402" s="1477"/>
      <c r="AS402" s="1477"/>
      <c r="AT402" s="1477"/>
      <c r="AU402" s="1477"/>
      <c r="AV402" s="1477"/>
      <c r="AW402" s="1477"/>
      <c r="AX402" s="1477"/>
      <c r="AY402" s="1477"/>
      <c r="AZ402" s="1477"/>
      <c r="BA402" s="1477"/>
      <c r="BB402" s="1477"/>
      <c r="BC402" s="1477"/>
      <c r="BD402" s="1477"/>
      <c r="BE402" s="1477"/>
      <c r="BF402" s="1477"/>
      <c r="BG402" s="1477"/>
      <c r="BH402" s="1477"/>
      <c r="BI402" s="1477"/>
      <c r="BJ402" s="1477"/>
      <c r="BK402" s="1477"/>
      <c r="BL402" s="1477"/>
      <c r="BM402" s="1477"/>
      <c r="BN402" s="1477"/>
      <c r="BO402" s="1477"/>
      <c r="BP402" s="1477"/>
      <c r="BQ402" s="1477"/>
      <c r="BR402" s="1477"/>
      <c r="BS402" s="1477"/>
      <c r="BT402" s="1477"/>
      <c r="BU402" s="1477"/>
      <c r="BV402" s="1477"/>
      <c r="BW402" s="1477"/>
      <c r="BX402" s="1477"/>
      <c r="BY402" s="1477"/>
      <c r="BZ402" s="1477"/>
      <c r="CA402" s="1477"/>
      <c r="CB402" s="1477"/>
      <c r="CC402" s="1477"/>
      <c r="CD402" s="1477"/>
      <c r="CE402" s="1477"/>
      <c r="CF402" s="1477"/>
      <c r="CG402" s="1477"/>
      <c r="CH402" s="1477"/>
    </row>
    <row r="403" spans="2:86">
      <c r="B403" s="1477"/>
      <c r="C403" s="1477"/>
      <c r="D403" s="1477"/>
      <c r="E403" s="1477"/>
      <c r="F403" s="1477"/>
      <c r="G403" s="1477"/>
      <c r="H403" s="1477"/>
      <c r="I403" s="1477"/>
      <c r="J403" s="1477"/>
      <c r="K403" s="1477"/>
      <c r="L403" s="1477"/>
      <c r="M403" s="1477"/>
      <c r="N403" s="1477"/>
      <c r="O403" s="1477"/>
      <c r="P403" s="1477"/>
      <c r="Q403" s="1477"/>
      <c r="R403" s="1477"/>
      <c r="S403" s="1477"/>
      <c r="T403" s="1477"/>
      <c r="U403" s="1477"/>
      <c r="V403" s="1477"/>
      <c r="W403" s="1477"/>
      <c r="X403" s="1477"/>
      <c r="Y403" s="1477"/>
      <c r="Z403" s="1477"/>
      <c r="AA403" s="1477"/>
      <c r="AB403" s="1477"/>
      <c r="AC403" s="1477"/>
      <c r="AD403" s="1477"/>
      <c r="AE403" s="1477"/>
      <c r="AF403" s="1477"/>
      <c r="AG403" s="1477"/>
      <c r="AH403" s="1477"/>
      <c r="AI403" s="1477"/>
      <c r="AJ403" s="1477"/>
      <c r="AK403" s="1477"/>
      <c r="AL403" s="1477"/>
      <c r="AM403" s="1477"/>
      <c r="AN403" s="1477"/>
      <c r="AO403" s="284"/>
      <c r="AP403" s="1477"/>
      <c r="AQ403" s="1477"/>
      <c r="AR403" s="1477"/>
      <c r="AS403" s="1477"/>
      <c r="AT403" s="1477"/>
      <c r="AU403" s="1477"/>
      <c r="AV403" s="1477"/>
      <c r="AW403" s="1477"/>
      <c r="AX403" s="1477"/>
      <c r="AY403" s="1477"/>
      <c r="AZ403" s="1477"/>
      <c r="BA403" s="1477"/>
      <c r="BB403" s="1477"/>
      <c r="BC403" s="1477"/>
      <c r="BD403" s="1477"/>
      <c r="BE403" s="1477"/>
      <c r="BF403" s="1477"/>
      <c r="BG403" s="1477"/>
      <c r="BH403" s="1477"/>
      <c r="BI403" s="1477"/>
      <c r="BJ403" s="1477"/>
      <c r="BK403" s="1477"/>
      <c r="BL403" s="1477"/>
      <c r="BM403" s="1477"/>
      <c r="BN403" s="1477"/>
      <c r="BO403" s="1477"/>
      <c r="BP403" s="1477"/>
      <c r="BQ403" s="1477"/>
      <c r="BR403" s="1477"/>
      <c r="BS403" s="1477"/>
      <c r="BT403" s="1477"/>
      <c r="BU403" s="1477"/>
      <c r="BV403" s="1477"/>
      <c r="BW403" s="1477"/>
      <c r="BX403" s="1477"/>
      <c r="BY403" s="1477"/>
      <c r="BZ403" s="1477"/>
      <c r="CA403" s="1477"/>
      <c r="CB403" s="1477"/>
      <c r="CC403" s="1477"/>
      <c r="CD403" s="1477"/>
      <c r="CE403" s="1477"/>
      <c r="CF403" s="1477"/>
      <c r="CG403" s="1477"/>
      <c r="CH403" s="1477"/>
    </row>
    <row r="404" spans="2:86">
      <c r="B404" s="1477"/>
      <c r="C404" s="1477"/>
      <c r="D404" s="1477"/>
      <c r="E404" s="1477"/>
      <c r="F404" s="1477"/>
      <c r="G404" s="1477"/>
      <c r="H404" s="1477"/>
      <c r="I404" s="1477"/>
      <c r="J404" s="1477"/>
      <c r="K404" s="1477"/>
      <c r="L404" s="1477"/>
      <c r="M404" s="1477"/>
      <c r="N404" s="1477"/>
      <c r="O404" s="1477"/>
      <c r="P404" s="1477"/>
      <c r="Q404" s="1477"/>
      <c r="R404" s="1477"/>
      <c r="S404" s="1477"/>
      <c r="T404" s="1477"/>
      <c r="U404" s="1477"/>
      <c r="V404" s="1477"/>
      <c r="W404" s="1477"/>
      <c r="X404" s="1477"/>
      <c r="Y404" s="1477"/>
      <c r="Z404" s="1477"/>
      <c r="AA404" s="1477"/>
      <c r="AB404" s="1477"/>
      <c r="AC404" s="1477"/>
      <c r="AD404" s="1477"/>
      <c r="AE404" s="1477"/>
      <c r="AF404" s="1477"/>
      <c r="AG404" s="1477"/>
      <c r="AH404" s="1477"/>
      <c r="AI404" s="1477"/>
      <c r="AJ404" s="1477"/>
      <c r="AK404" s="1477"/>
      <c r="AL404" s="1477"/>
      <c r="AM404" s="1477"/>
      <c r="AN404" s="1477"/>
      <c r="AO404" s="284"/>
      <c r="AP404" s="1477"/>
      <c r="AQ404" s="1477"/>
      <c r="AR404" s="1477"/>
      <c r="AS404" s="1477"/>
      <c r="AT404" s="1477"/>
      <c r="AU404" s="1477"/>
      <c r="AV404" s="1477"/>
      <c r="AW404" s="1477"/>
      <c r="AX404" s="1477"/>
      <c r="AY404" s="1477"/>
      <c r="AZ404" s="1477"/>
      <c r="BA404" s="1477"/>
      <c r="BB404" s="1477"/>
      <c r="BC404" s="1477"/>
      <c r="BD404" s="1477"/>
      <c r="BE404" s="1477"/>
      <c r="BF404" s="1477"/>
      <c r="BG404" s="1477"/>
      <c r="BH404" s="1477"/>
      <c r="BI404" s="1477"/>
      <c r="BJ404" s="1477"/>
      <c r="BK404" s="1477"/>
      <c r="BL404" s="1477"/>
      <c r="BM404" s="1477"/>
      <c r="BN404" s="1477"/>
      <c r="BO404" s="1477"/>
      <c r="BP404" s="1477"/>
      <c r="BQ404" s="1477"/>
      <c r="BR404" s="1477"/>
      <c r="BS404" s="1477"/>
      <c r="BT404" s="1477"/>
      <c r="BU404" s="1477"/>
      <c r="BV404" s="1477"/>
      <c r="BW404" s="1477"/>
      <c r="BX404" s="1477"/>
      <c r="BY404" s="1477"/>
      <c r="BZ404" s="1477"/>
      <c r="CA404" s="1477"/>
      <c r="CB404" s="1477"/>
      <c r="CC404" s="1477"/>
      <c r="CD404" s="1477"/>
      <c r="CE404" s="1477"/>
      <c r="CF404" s="1477"/>
      <c r="CG404" s="1477"/>
      <c r="CH404" s="1477"/>
    </row>
    <row r="405" spans="2:86">
      <c r="B405" s="1477"/>
      <c r="C405" s="1477"/>
      <c r="D405" s="1477"/>
      <c r="E405" s="1477"/>
      <c r="F405" s="1477"/>
      <c r="G405" s="1477"/>
      <c r="H405" s="1477"/>
      <c r="I405" s="1477"/>
      <c r="J405" s="1477"/>
      <c r="K405" s="1477"/>
      <c r="L405" s="1477"/>
      <c r="M405" s="1477"/>
      <c r="N405" s="1477"/>
      <c r="O405" s="1477"/>
      <c r="P405" s="1477"/>
      <c r="Q405" s="1477"/>
      <c r="R405" s="1477"/>
      <c r="S405" s="1477"/>
      <c r="T405" s="1477"/>
      <c r="U405" s="1477"/>
      <c r="V405" s="1477"/>
      <c r="W405" s="1477"/>
      <c r="X405" s="1477"/>
      <c r="Y405" s="1477"/>
      <c r="Z405" s="1477"/>
      <c r="AA405" s="1477"/>
      <c r="AB405" s="1477"/>
      <c r="AC405" s="1477"/>
      <c r="AD405" s="1477"/>
      <c r="AE405" s="1477"/>
      <c r="AF405" s="1477"/>
      <c r="AG405" s="1477"/>
      <c r="AH405" s="1477"/>
      <c r="AI405" s="1477"/>
      <c r="AJ405" s="1477"/>
      <c r="AK405" s="1477"/>
      <c r="AL405" s="1477"/>
      <c r="AM405" s="1477"/>
      <c r="AN405" s="1477"/>
      <c r="AO405" s="284"/>
      <c r="AP405" s="1477"/>
      <c r="AQ405" s="1477"/>
      <c r="AR405" s="1477"/>
      <c r="AS405" s="1477"/>
      <c r="AT405" s="1477"/>
      <c r="AU405" s="1477"/>
      <c r="AV405" s="1477"/>
      <c r="AW405" s="1477"/>
      <c r="AX405" s="1477"/>
      <c r="AY405" s="1477"/>
      <c r="AZ405" s="1477"/>
      <c r="BA405" s="1477"/>
      <c r="BB405" s="1477"/>
      <c r="BC405" s="1477"/>
      <c r="BD405" s="1477"/>
      <c r="BE405" s="1477"/>
      <c r="BF405" s="1477"/>
      <c r="BG405" s="1477"/>
      <c r="BH405" s="1477"/>
      <c r="BI405" s="1477"/>
      <c r="BJ405" s="1477"/>
      <c r="BK405" s="1477"/>
      <c r="BL405" s="1477"/>
      <c r="BM405" s="1477"/>
      <c r="BN405" s="1477"/>
      <c r="BO405" s="1477"/>
      <c r="BP405" s="1477"/>
      <c r="BQ405" s="1477"/>
      <c r="BR405" s="1477"/>
      <c r="BS405" s="1477"/>
      <c r="BT405" s="1477"/>
      <c r="BU405" s="1477"/>
      <c r="BV405" s="1477"/>
      <c r="BW405" s="1477"/>
      <c r="BX405" s="1477"/>
      <c r="BY405" s="1477"/>
      <c r="BZ405" s="1477"/>
      <c r="CA405" s="1477"/>
      <c r="CB405" s="1477"/>
      <c r="CC405" s="1477"/>
      <c r="CD405" s="1477"/>
      <c r="CE405" s="1477"/>
      <c r="CF405" s="1477"/>
      <c r="CG405" s="1477"/>
      <c r="CH405" s="1477"/>
    </row>
    <row r="406" spans="2:86">
      <c r="B406" s="1477"/>
      <c r="C406" s="1477"/>
      <c r="D406" s="1477"/>
      <c r="E406" s="1477"/>
      <c r="F406" s="1477"/>
      <c r="G406" s="1477"/>
      <c r="H406" s="1477"/>
      <c r="I406" s="1477"/>
      <c r="J406" s="1477"/>
      <c r="K406" s="1477"/>
      <c r="L406" s="1477"/>
      <c r="M406" s="1477"/>
      <c r="N406" s="1477"/>
      <c r="O406" s="1477"/>
      <c r="P406" s="1477"/>
      <c r="Q406" s="1477"/>
      <c r="R406" s="1477"/>
      <c r="S406" s="1477"/>
      <c r="T406" s="1477"/>
      <c r="U406" s="1477"/>
      <c r="V406" s="1477"/>
      <c r="W406" s="1477"/>
      <c r="X406" s="1477"/>
      <c r="Y406" s="1477"/>
      <c r="Z406" s="1477"/>
      <c r="AA406" s="1477"/>
      <c r="AB406" s="1477"/>
      <c r="AC406" s="1477"/>
      <c r="AD406" s="1477"/>
      <c r="AE406" s="1477"/>
      <c r="AF406" s="1477"/>
      <c r="AG406" s="1477"/>
      <c r="AH406" s="1477"/>
      <c r="AI406" s="1477"/>
      <c r="AJ406" s="1477"/>
      <c r="AK406" s="1477"/>
      <c r="AL406" s="1477"/>
      <c r="AM406" s="1477"/>
      <c r="AN406" s="1477"/>
      <c r="AO406" s="284"/>
      <c r="AP406" s="1477"/>
      <c r="AQ406" s="1477"/>
      <c r="AR406" s="1477"/>
      <c r="AS406" s="1477"/>
      <c r="AT406" s="1477"/>
      <c r="AU406" s="1477"/>
      <c r="AV406" s="1477"/>
      <c r="AW406" s="1477"/>
      <c r="AX406" s="1477"/>
      <c r="AY406" s="1477"/>
      <c r="AZ406" s="1477"/>
      <c r="BA406" s="1477"/>
      <c r="BB406" s="1477"/>
      <c r="BC406" s="1477"/>
      <c r="BD406" s="1477"/>
      <c r="BE406" s="1477"/>
      <c r="BF406" s="1477"/>
      <c r="BG406" s="1477"/>
      <c r="BH406" s="1477"/>
      <c r="BI406" s="1477"/>
      <c r="BJ406" s="1477"/>
      <c r="BK406" s="1477"/>
      <c r="BL406" s="1477"/>
      <c r="BM406" s="1477"/>
      <c r="BN406" s="1477"/>
      <c r="BO406" s="1477"/>
      <c r="BP406" s="1477"/>
      <c r="BQ406" s="1477"/>
      <c r="BR406" s="1477"/>
      <c r="BS406" s="1477"/>
      <c r="BT406" s="1477"/>
      <c r="BU406" s="1477"/>
      <c r="BV406" s="1477"/>
      <c r="BW406" s="1477"/>
      <c r="BX406" s="1477"/>
      <c r="BY406" s="1477"/>
      <c r="BZ406" s="1477"/>
      <c r="CA406" s="1477"/>
      <c r="CB406" s="1477"/>
      <c r="CC406" s="1477"/>
      <c r="CD406" s="1477"/>
      <c r="CE406" s="1477"/>
      <c r="CF406" s="1477"/>
      <c r="CG406" s="1477"/>
      <c r="CH406" s="1477"/>
    </row>
    <row r="407" spans="2:86">
      <c r="B407" s="1477"/>
      <c r="C407" s="1477"/>
      <c r="D407" s="1477"/>
      <c r="E407" s="1477"/>
      <c r="F407" s="1477"/>
      <c r="G407" s="1477"/>
      <c r="H407" s="1477"/>
      <c r="I407" s="1477"/>
      <c r="J407" s="1477"/>
      <c r="K407" s="1477"/>
      <c r="L407" s="1477"/>
      <c r="M407" s="1477"/>
      <c r="N407" s="1477"/>
      <c r="O407" s="1477"/>
      <c r="P407" s="1477"/>
      <c r="Q407" s="1477"/>
      <c r="R407" s="1477"/>
      <c r="S407" s="1477"/>
      <c r="T407" s="1477"/>
      <c r="U407" s="1477"/>
      <c r="V407" s="1477"/>
      <c r="W407" s="1477"/>
      <c r="X407" s="1477"/>
      <c r="Y407" s="1477"/>
      <c r="Z407" s="1477"/>
      <c r="AA407" s="1477"/>
      <c r="AB407" s="1477"/>
      <c r="AC407" s="1477"/>
      <c r="AD407" s="1477"/>
      <c r="AE407" s="1477"/>
      <c r="AF407" s="1477"/>
      <c r="AG407" s="1477"/>
      <c r="AH407" s="1477"/>
      <c r="AI407" s="1477"/>
      <c r="AJ407" s="1477"/>
      <c r="AK407" s="1477"/>
      <c r="AL407" s="1477"/>
      <c r="AM407" s="1477"/>
      <c r="AN407" s="1477"/>
      <c r="AO407" s="284"/>
      <c r="AP407" s="1477"/>
      <c r="AQ407" s="1477"/>
      <c r="AR407" s="1477"/>
      <c r="AS407" s="1477"/>
      <c r="AT407" s="1477"/>
      <c r="AU407" s="1477"/>
      <c r="AV407" s="1477"/>
      <c r="AW407" s="1477"/>
      <c r="AX407" s="1477"/>
      <c r="AY407" s="1477"/>
      <c r="AZ407" s="1477"/>
      <c r="BA407" s="1477"/>
      <c r="BB407" s="1477"/>
      <c r="BC407" s="1477"/>
      <c r="BD407" s="1477"/>
      <c r="BE407" s="1477"/>
      <c r="BF407" s="1477"/>
      <c r="BG407" s="1477"/>
      <c r="BH407" s="1477"/>
      <c r="BI407" s="1477"/>
      <c r="BJ407" s="1477"/>
      <c r="BK407" s="1477"/>
      <c r="BL407" s="1477"/>
      <c r="BM407" s="1477"/>
      <c r="BN407" s="1477"/>
      <c r="BO407" s="1477"/>
      <c r="BP407" s="1477"/>
      <c r="BQ407" s="1477"/>
      <c r="BR407" s="1477"/>
      <c r="BS407" s="1477"/>
      <c r="BT407" s="1477"/>
      <c r="BU407" s="1477"/>
      <c r="BV407" s="1477"/>
      <c r="BW407" s="1477"/>
      <c r="BX407" s="1477"/>
      <c r="BY407" s="1477"/>
      <c r="BZ407" s="1477"/>
      <c r="CA407" s="1477"/>
      <c r="CB407" s="1477"/>
      <c r="CC407" s="1477"/>
      <c r="CD407" s="1477"/>
      <c r="CE407" s="1477"/>
      <c r="CF407" s="1477"/>
      <c r="CG407" s="1477"/>
      <c r="CH407" s="1477"/>
    </row>
    <row r="408" spans="2:86">
      <c r="B408" s="1477"/>
      <c r="C408" s="1477"/>
      <c r="D408" s="1477"/>
      <c r="E408" s="1477"/>
      <c r="F408" s="1477"/>
      <c r="G408" s="1477"/>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c r="AK408" s="1477"/>
      <c r="AL408" s="1477"/>
      <c r="AM408" s="1477"/>
      <c r="AN408" s="1477"/>
      <c r="AO408" s="284"/>
      <c r="AP408" s="1477"/>
      <c r="AQ408" s="1477"/>
      <c r="AR408" s="1477"/>
      <c r="AS408" s="1477"/>
      <c r="AT408" s="1477"/>
      <c r="AU408" s="1477"/>
      <c r="AV408" s="1477"/>
      <c r="AW408" s="1477"/>
      <c r="AX408" s="1477"/>
      <c r="AY408" s="1477"/>
      <c r="AZ408" s="1477"/>
      <c r="BA408" s="1477"/>
      <c r="BB408" s="1477"/>
      <c r="BC408" s="1477"/>
      <c r="BD408" s="1477"/>
      <c r="BE408" s="1477"/>
      <c r="BF408" s="1477"/>
      <c r="BG408" s="1477"/>
      <c r="BH408" s="1477"/>
      <c r="BI408" s="1477"/>
      <c r="BJ408" s="1477"/>
      <c r="BK408" s="1477"/>
      <c r="BL408" s="1477"/>
      <c r="BM408" s="1477"/>
      <c r="BN408" s="1477"/>
      <c r="BO408" s="1477"/>
      <c r="BP408" s="1477"/>
      <c r="BQ408" s="1477"/>
      <c r="BR408" s="1477"/>
      <c r="BS408" s="1477"/>
      <c r="BT408" s="1477"/>
      <c r="BU408" s="1477"/>
      <c r="BV408" s="1477"/>
      <c r="BW408" s="1477"/>
      <c r="BX408" s="1477"/>
      <c r="BY408" s="1477"/>
      <c r="BZ408" s="1477"/>
      <c r="CA408" s="1477"/>
      <c r="CB408" s="1477"/>
      <c r="CC408" s="1477"/>
      <c r="CD408" s="1477"/>
      <c r="CE408" s="1477"/>
      <c r="CF408" s="1477"/>
      <c r="CG408" s="1477"/>
      <c r="CH408" s="1477"/>
    </row>
    <row r="409" spans="2:86">
      <c r="B409" s="1477"/>
      <c r="C409" s="1477"/>
      <c r="D409" s="1477"/>
      <c r="E409" s="1477"/>
      <c r="F409" s="1477"/>
      <c r="G409" s="1477"/>
      <c r="H409" s="1477"/>
      <c r="I409" s="1477"/>
      <c r="J409" s="1477"/>
      <c r="K409" s="1477"/>
      <c r="L409" s="1477"/>
      <c r="M409" s="1477"/>
      <c r="N409" s="1477"/>
      <c r="O409" s="1477"/>
      <c r="P409" s="1477"/>
      <c r="Q409" s="1477"/>
      <c r="R409" s="1477"/>
      <c r="S409" s="1477"/>
      <c r="T409" s="1477"/>
      <c r="U409" s="1477"/>
      <c r="V409" s="1477"/>
      <c r="W409" s="1477"/>
      <c r="X409" s="1477"/>
      <c r="Y409" s="1477"/>
      <c r="Z409" s="1477"/>
      <c r="AA409" s="1477"/>
      <c r="AB409" s="1477"/>
      <c r="AC409" s="1477"/>
      <c r="AD409" s="1477"/>
      <c r="AE409" s="1477"/>
      <c r="AF409" s="1477"/>
      <c r="AG409" s="1477"/>
      <c r="AH409" s="1477"/>
      <c r="AI409" s="1477"/>
      <c r="AJ409" s="1477"/>
      <c r="AK409" s="1477"/>
      <c r="AL409" s="1477"/>
      <c r="AM409" s="1477"/>
      <c r="AN409" s="1477"/>
      <c r="AO409" s="284"/>
      <c r="AP409" s="1477"/>
      <c r="AQ409" s="1477"/>
      <c r="AR409" s="1477"/>
      <c r="AS409" s="1477"/>
      <c r="AT409" s="1477"/>
      <c r="AU409" s="1477"/>
      <c r="AV409" s="1477"/>
      <c r="AW409" s="1477"/>
      <c r="AX409" s="1477"/>
      <c r="AY409" s="1477"/>
      <c r="AZ409" s="1477"/>
      <c r="BA409" s="1477"/>
      <c r="BB409" s="1477"/>
      <c r="BC409" s="1477"/>
      <c r="BD409" s="1477"/>
      <c r="BE409" s="1477"/>
      <c r="BF409" s="1477"/>
      <c r="BG409" s="1477"/>
      <c r="BH409" s="1477"/>
      <c r="BI409" s="1477"/>
      <c r="BJ409" s="1477"/>
      <c r="BK409" s="1477"/>
      <c r="BL409" s="1477"/>
      <c r="BM409" s="1477"/>
      <c r="BN409" s="1477"/>
      <c r="BO409" s="1477"/>
      <c r="BP409" s="1477"/>
      <c r="BQ409" s="1477"/>
      <c r="BR409" s="1477"/>
      <c r="BS409" s="1477"/>
      <c r="BT409" s="1477"/>
      <c r="BU409" s="1477"/>
      <c r="BV409" s="1477"/>
      <c r="BW409" s="1477"/>
      <c r="BX409" s="1477"/>
      <c r="BY409" s="1477"/>
      <c r="BZ409" s="1477"/>
      <c r="CA409" s="1477"/>
      <c r="CB409" s="1477"/>
      <c r="CC409" s="1477"/>
      <c r="CD409" s="1477"/>
      <c r="CE409" s="1477"/>
      <c r="CF409" s="1477"/>
      <c r="CG409" s="1477"/>
      <c r="CH409" s="1477"/>
    </row>
    <row r="410" spans="2:86">
      <c r="B410" s="1477"/>
      <c r="C410" s="1477"/>
      <c r="D410" s="1477"/>
      <c r="E410" s="1477"/>
      <c r="F410" s="1477"/>
      <c r="G410" s="1477"/>
      <c r="H410" s="1477"/>
      <c r="I410" s="1477"/>
      <c r="J410" s="1477"/>
      <c r="K410" s="1477"/>
      <c r="L410" s="1477"/>
      <c r="M410" s="1477"/>
      <c r="N410" s="1477"/>
      <c r="O410" s="1477"/>
      <c r="P410" s="1477"/>
      <c r="Q410" s="1477"/>
      <c r="R410" s="1477"/>
      <c r="S410" s="1477"/>
      <c r="T410" s="1477"/>
      <c r="U410" s="1477"/>
      <c r="V410" s="1477"/>
      <c r="W410" s="1477"/>
      <c r="X410" s="1477"/>
      <c r="Y410" s="1477"/>
      <c r="Z410" s="1477"/>
      <c r="AA410" s="1477"/>
      <c r="AB410" s="1477"/>
      <c r="AC410" s="1477"/>
      <c r="AD410" s="1477"/>
      <c r="AE410" s="1477"/>
      <c r="AF410" s="1477"/>
      <c r="AG410" s="1477"/>
      <c r="AH410" s="1477"/>
      <c r="AI410" s="1477"/>
      <c r="AJ410" s="1477"/>
      <c r="AK410" s="1477"/>
      <c r="AL410" s="1477"/>
      <c r="AM410" s="1477"/>
      <c r="AN410" s="1477"/>
      <c r="AO410" s="284"/>
      <c r="AP410" s="1477"/>
      <c r="AQ410" s="1477"/>
      <c r="AR410" s="1477"/>
      <c r="AS410" s="1477"/>
      <c r="AT410" s="1477"/>
      <c r="AU410" s="1477"/>
      <c r="AV410" s="1477"/>
      <c r="AW410" s="1477"/>
      <c r="AX410" s="1477"/>
      <c r="AY410" s="1477"/>
      <c r="AZ410" s="1477"/>
      <c r="BA410" s="1477"/>
      <c r="BB410" s="1477"/>
      <c r="BC410" s="1477"/>
      <c r="BD410" s="1477"/>
      <c r="BE410" s="1477"/>
      <c r="BF410" s="1477"/>
      <c r="BG410" s="1477"/>
      <c r="BH410" s="1477"/>
      <c r="BI410" s="1477"/>
      <c r="BJ410" s="1477"/>
      <c r="BK410" s="1477"/>
      <c r="BL410" s="1477"/>
      <c r="BM410" s="1477"/>
      <c r="BN410" s="1477"/>
      <c r="BO410" s="1477"/>
      <c r="BP410" s="1477"/>
      <c r="BQ410" s="1477"/>
      <c r="BR410" s="1477"/>
      <c r="BS410" s="1477"/>
      <c r="BT410" s="1477"/>
      <c r="BU410" s="1477"/>
      <c r="BV410" s="1477"/>
      <c r="BW410" s="1477"/>
      <c r="BX410" s="1477"/>
      <c r="BY410" s="1477"/>
      <c r="BZ410" s="1477"/>
      <c r="CA410" s="1477"/>
      <c r="CB410" s="1477"/>
      <c r="CC410" s="1477"/>
      <c r="CD410" s="1477"/>
      <c r="CE410" s="1477"/>
      <c r="CF410" s="1477"/>
      <c r="CG410" s="1477"/>
      <c r="CH410" s="1477"/>
    </row>
    <row r="411" spans="2:86">
      <c r="B411" s="1477"/>
      <c r="C411" s="1477"/>
      <c r="D411" s="1477"/>
      <c r="E411" s="1477"/>
      <c r="F411" s="1477"/>
      <c r="G411" s="1477"/>
      <c r="H411" s="1477"/>
      <c r="I411" s="1477"/>
      <c r="J411" s="1477"/>
      <c r="K411" s="1477"/>
      <c r="L411" s="1477"/>
      <c r="M411" s="1477"/>
      <c r="N411" s="1477"/>
      <c r="O411" s="1477"/>
      <c r="P411" s="1477"/>
      <c r="Q411" s="1477"/>
      <c r="R411" s="1477"/>
      <c r="S411" s="1477"/>
      <c r="T411" s="1477"/>
      <c r="U411" s="1477"/>
      <c r="V411" s="1477"/>
      <c r="W411" s="1477"/>
      <c r="X411" s="1477"/>
      <c r="Y411" s="1477"/>
      <c r="Z411" s="1477"/>
      <c r="AA411" s="1477"/>
      <c r="AB411" s="1477"/>
      <c r="AC411" s="1477"/>
      <c r="AD411" s="1477"/>
      <c r="AE411" s="1477"/>
      <c r="AF411" s="1477"/>
      <c r="AG411" s="1477"/>
      <c r="AH411" s="1477"/>
      <c r="AI411" s="1477"/>
      <c r="AJ411" s="1477"/>
      <c r="AK411" s="1477"/>
      <c r="AL411" s="1477"/>
      <c r="AM411" s="1477"/>
      <c r="AN411" s="1477"/>
      <c r="AO411" s="284"/>
      <c r="AP411" s="1477"/>
      <c r="AQ411" s="1477"/>
      <c r="AR411" s="1477"/>
      <c r="AS411" s="1477"/>
      <c r="AT411" s="1477"/>
      <c r="AU411" s="1477"/>
      <c r="AV411" s="1477"/>
      <c r="AW411" s="1477"/>
      <c r="AX411" s="1477"/>
      <c r="AY411" s="1477"/>
      <c r="AZ411" s="1477"/>
      <c r="BA411" s="1477"/>
      <c r="BB411" s="1477"/>
      <c r="BC411" s="1477"/>
      <c r="BD411" s="1477"/>
      <c r="BE411" s="1477"/>
      <c r="BF411" s="1477"/>
      <c r="BG411" s="1477"/>
      <c r="BH411" s="1477"/>
      <c r="BI411" s="1477"/>
      <c r="BJ411" s="1477"/>
      <c r="BK411" s="1477"/>
      <c r="BL411" s="1477"/>
      <c r="BM411" s="1477"/>
      <c r="BN411" s="1477"/>
      <c r="BO411" s="1477"/>
      <c r="BP411" s="1477"/>
      <c r="BQ411" s="1477"/>
      <c r="BR411" s="1477"/>
      <c r="BS411" s="1477"/>
      <c r="BT411" s="1477"/>
      <c r="BU411" s="1477"/>
      <c r="BV411" s="1477"/>
      <c r="BW411" s="1477"/>
      <c r="BX411" s="1477"/>
      <c r="BY411" s="1477"/>
      <c r="BZ411" s="1477"/>
      <c r="CA411" s="1477"/>
      <c r="CB411" s="1477"/>
      <c r="CC411" s="1477"/>
      <c r="CD411" s="1477"/>
      <c r="CE411" s="1477"/>
      <c r="CF411" s="1477"/>
      <c r="CG411" s="1477"/>
      <c r="CH411" s="1477"/>
    </row>
    <row r="412" spans="2:86">
      <c r="B412" s="1477"/>
      <c r="C412" s="1477"/>
      <c r="D412" s="1477"/>
      <c r="E412" s="1477"/>
      <c r="F412" s="1477"/>
      <c r="G412" s="1477"/>
      <c r="H412" s="1477"/>
      <c r="I412" s="1477"/>
      <c r="J412" s="1477"/>
      <c r="K412" s="1477"/>
      <c r="L412" s="1477"/>
      <c r="M412" s="1477"/>
      <c r="N412" s="1477"/>
      <c r="O412" s="1477"/>
      <c r="P412" s="1477"/>
      <c r="Q412" s="1477"/>
      <c r="R412" s="1477"/>
      <c r="S412" s="1477"/>
      <c r="T412" s="1477"/>
      <c r="U412" s="1477"/>
      <c r="V412" s="1477"/>
      <c r="W412" s="1477"/>
      <c r="X412" s="1477"/>
      <c r="Y412" s="1477"/>
      <c r="Z412" s="1477"/>
      <c r="AA412" s="1477"/>
      <c r="AB412" s="1477"/>
      <c r="AC412" s="1477"/>
      <c r="AD412" s="1477"/>
      <c r="AE412" s="1477"/>
      <c r="AF412" s="1477"/>
      <c r="AG412" s="1477"/>
      <c r="AH412" s="1477"/>
      <c r="AI412" s="1477"/>
      <c r="AJ412" s="1477"/>
      <c r="AK412" s="1477"/>
      <c r="AL412" s="1477"/>
      <c r="AM412" s="1477"/>
      <c r="AN412" s="1477"/>
      <c r="AO412" s="284"/>
      <c r="AP412" s="1477"/>
      <c r="AQ412" s="1477"/>
      <c r="AR412" s="1477"/>
      <c r="AS412" s="1477"/>
      <c r="AT412" s="1477"/>
      <c r="AU412" s="1477"/>
      <c r="AV412" s="1477"/>
      <c r="AW412" s="1477"/>
      <c r="AX412" s="1477"/>
      <c r="AY412" s="1477"/>
      <c r="AZ412" s="1477"/>
      <c r="BA412" s="1477"/>
      <c r="BB412" s="1477"/>
      <c r="BC412" s="1477"/>
      <c r="BD412" s="1477"/>
      <c r="BE412" s="1477"/>
      <c r="BF412" s="1477"/>
      <c r="BG412" s="1477"/>
      <c r="BH412" s="1477"/>
      <c r="BI412" s="1477"/>
      <c r="BJ412" s="1477"/>
      <c r="BK412" s="1477"/>
      <c r="BL412" s="1477"/>
      <c r="BM412" s="1477"/>
      <c r="BN412" s="1477"/>
      <c r="BO412" s="1477"/>
      <c r="BP412" s="1477"/>
      <c r="BQ412" s="1477"/>
      <c r="BR412" s="1477"/>
      <c r="BS412" s="1477"/>
      <c r="BT412" s="1477"/>
      <c r="BU412" s="1477"/>
      <c r="BV412" s="1477"/>
      <c r="BW412" s="1477"/>
      <c r="BX412" s="1477"/>
      <c r="BY412" s="1477"/>
      <c r="BZ412" s="1477"/>
      <c r="CA412" s="1477"/>
      <c r="CB412" s="1477"/>
      <c r="CC412" s="1477"/>
      <c r="CD412" s="1477"/>
      <c r="CE412" s="1477"/>
      <c r="CF412" s="1477"/>
      <c r="CG412" s="1477"/>
      <c r="CH412" s="1477"/>
    </row>
    <row r="413" spans="2:86">
      <c r="B413" s="1477"/>
      <c r="C413" s="1477"/>
      <c r="D413" s="1477"/>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c r="AK413" s="1477"/>
      <c r="AL413" s="1477"/>
      <c r="AM413" s="1477"/>
      <c r="AN413" s="1477"/>
      <c r="AO413" s="284"/>
      <c r="AP413" s="1477"/>
      <c r="AQ413" s="1477"/>
      <c r="AR413" s="1477"/>
      <c r="AS413" s="1477"/>
      <c r="AT413" s="1477"/>
      <c r="AU413" s="1477"/>
      <c r="AV413" s="1477"/>
      <c r="AW413" s="1477"/>
      <c r="AX413" s="1477"/>
      <c r="AY413" s="1477"/>
      <c r="AZ413" s="1477"/>
      <c r="BA413" s="1477"/>
      <c r="BB413" s="1477"/>
      <c r="BC413" s="1477"/>
      <c r="BD413" s="1477"/>
      <c r="BE413" s="1477"/>
      <c r="BF413" s="1477"/>
      <c r="BG413" s="1477"/>
      <c r="BH413" s="1477"/>
      <c r="BI413" s="1477"/>
      <c r="BJ413" s="1477"/>
      <c r="BK413" s="1477"/>
      <c r="BL413" s="1477"/>
      <c r="BM413" s="1477"/>
      <c r="BN413" s="1477"/>
      <c r="BO413" s="1477"/>
      <c r="BP413" s="1477"/>
      <c r="BQ413" s="1477"/>
      <c r="BR413" s="1477"/>
      <c r="BS413" s="1477"/>
      <c r="BT413" s="1477"/>
      <c r="BU413" s="1477"/>
      <c r="BV413" s="1477"/>
      <c r="BW413" s="1477"/>
      <c r="BX413" s="1477"/>
      <c r="BY413" s="1477"/>
      <c r="BZ413" s="1477"/>
      <c r="CA413" s="1477"/>
      <c r="CB413" s="1477"/>
      <c r="CC413" s="1477"/>
      <c r="CD413" s="1477"/>
      <c r="CE413" s="1477"/>
      <c r="CF413" s="1477"/>
      <c r="CG413" s="1477"/>
      <c r="CH413" s="1477"/>
    </row>
    <row r="414" spans="2:86">
      <c r="B414" s="1477"/>
      <c r="C414" s="1477"/>
      <c r="D414" s="1477"/>
      <c r="E414" s="1477"/>
      <c r="F414" s="1477"/>
      <c r="G414" s="1477"/>
      <c r="H414" s="1477"/>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c r="AF414" s="1477"/>
      <c r="AG414" s="1477"/>
      <c r="AH414" s="1477"/>
      <c r="AI414" s="1477"/>
      <c r="AJ414" s="1477"/>
      <c r="AK414" s="1477"/>
      <c r="AL414" s="1477"/>
      <c r="AM414" s="1477"/>
      <c r="AN414" s="1477"/>
      <c r="AO414" s="284"/>
      <c r="AP414" s="1477"/>
      <c r="AQ414" s="1477"/>
      <c r="AR414" s="1477"/>
      <c r="AS414" s="1477"/>
      <c r="AT414" s="1477"/>
      <c r="AU414" s="1477"/>
      <c r="AV414" s="1477"/>
      <c r="AW414" s="1477"/>
      <c r="AX414" s="1477"/>
      <c r="AY414" s="1477"/>
      <c r="AZ414" s="1477"/>
      <c r="BA414" s="1477"/>
      <c r="BB414" s="1477"/>
      <c r="BC414" s="1477"/>
      <c r="BD414" s="1477"/>
      <c r="BE414" s="1477"/>
      <c r="BF414" s="1477"/>
      <c r="BG414" s="1477"/>
      <c r="BH414" s="1477"/>
      <c r="BI414" s="1477"/>
      <c r="BJ414" s="1477"/>
      <c r="BK414" s="1477"/>
      <c r="BL414" s="1477"/>
      <c r="BM414" s="1477"/>
      <c r="BN414" s="1477"/>
      <c r="BO414" s="1477"/>
      <c r="BP414" s="1477"/>
      <c r="BQ414" s="1477"/>
      <c r="BR414" s="1477"/>
      <c r="BS414" s="1477"/>
      <c r="BT414" s="1477"/>
      <c r="BU414" s="1477"/>
      <c r="BV414" s="1477"/>
      <c r="BW414" s="1477"/>
      <c r="BX414" s="1477"/>
      <c r="BY414" s="1477"/>
      <c r="BZ414" s="1477"/>
      <c r="CA414" s="1477"/>
      <c r="CB414" s="1477"/>
      <c r="CC414" s="1477"/>
      <c r="CD414" s="1477"/>
      <c r="CE414" s="1477"/>
      <c r="CF414" s="1477"/>
      <c r="CG414" s="1477"/>
      <c r="CH414" s="1477"/>
    </row>
    <row r="415" spans="2:86">
      <c r="B415" s="1477"/>
      <c r="C415" s="1477"/>
      <c r="D415" s="1477"/>
      <c r="E415" s="1477"/>
      <c r="F415" s="1477"/>
      <c r="G415" s="1477"/>
      <c r="H415" s="1477"/>
      <c r="I415" s="1477"/>
      <c r="J415" s="1477"/>
      <c r="K415" s="1477"/>
      <c r="L415" s="1477"/>
      <c r="M415" s="1477"/>
      <c r="N415" s="1477"/>
      <c r="O415" s="1477"/>
      <c r="P415" s="1477"/>
      <c r="Q415" s="1477"/>
      <c r="R415" s="1477"/>
      <c r="S415" s="1477"/>
      <c r="T415" s="1477"/>
      <c r="U415" s="1477"/>
      <c r="V415" s="1477"/>
      <c r="W415" s="1477"/>
      <c r="X415" s="1477"/>
      <c r="Y415" s="1477"/>
      <c r="Z415" s="1477"/>
      <c r="AA415" s="1477"/>
      <c r="AB415" s="1477"/>
      <c r="AC415" s="1477"/>
      <c r="AD415" s="1477"/>
      <c r="AE415" s="1477"/>
      <c r="AF415" s="1477"/>
      <c r="AG415" s="1477"/>
      <c r="AH415" s="1477"/>
      <c r="AI415" s="1477"/>
      <c r="AJ415" s="1477"/>
      <c r="AK415" s="1477"/>
      <c r="AL415" s="1477"/>
      <c r="AM415" s="1477"/>
      <c r="AN415" s="1477"/>
      <c r="AO415" s="284"/>
      <c r="AP415" s="1477"/>
      <c r="AQ415" s="1477"/>
      <c r="AR415" s="1477"/>
      <c r="AS415" s="1477"/>
      <c r="AT415" s="1477"/>
      <c r="AU415" s="1477"/>
      <c r="AV415" s="1477"/>
      <c r="AW415" s="1477"/>
      <c r="AX415" s="1477"/>
      <c r="AY415" s="1477"/>
      <c r="AZ415" s="1477"/>
      <c r="BA415" s="1477"/>
      <c r="BB415" s="1477"/>
      <c r="BC415" s="1477"/>
      <c r="BD415" s="1477"/>
      <c r="BE415" s="1477"/>
      <c r="BF415" s="1477"/>
      <c r="BG415" s="1477"/>
      <c r="BH415" s="1477"/>
      <c r="BI415" s="1477"/>
      <c r="BJ415" s="1477"/>
      <c r="BK415" s="1477"/>
      <c r="BL415" s="1477"/>
      <c r="BM415" s="1477"/>
      <c r="BN415" s="1477"/>
      <c r="BO415" s="1477"/>
      <c r="BP415" s="1477"/>
      <c r="BQ415" s="1477"/>
      <c r="BR415" s="1477"/>
      <c r="BS415" s="1477"/>
      <c r="BT415" s="1477"/>
      <c r="BU415" s="1477"/>
      <c r="BV415" s="1477"/>
      <c r="BW415" s="1477"/>
      <c r="BX415" s="1477"/>
      <c r="BY415" s="1477"/>
      <c r="BZ415" s="1477"/>
      <c r="CA415" s="1477"/>
      <c r="CB415" s="1477"/>
      <c r="CC415" s="1477"/>
      <c r="CD415" s="1477"/>
      <c r="CE415" s="1477"/>
      <c r="CF415" s="1477"/>
      <c r="CG415" s="1477"/>
      <c r="CH415" s="1477"/>
    </row>
    <row r="416" spans="2:86">
      <c r="B416" s="1477"/>
      <c r="C416" s="1477"/>
      <c r="D416" s="1477"/>
      <c r="E416" s="1477"/>
      <c r="F416" s="1477"/>
      <c r="G416" s="1477"/>
      <c r="H416" s="1477"/>
      <c r="I416" s="1477"/>
      <c r="J416" s="1477"/>
      <c r="K416" s="1477"/>
      <c r="L416" s="1477"/>
      <c r="M416" s="1477"/>
      <c r="N416" s="1477"/>
      <c r="O416" s="1477"/>
      <c r="P416" s="1477"/>
      <c r="Q416" s="1477"/>
      <c r="R416" s="1477"/>
      <c r="S416" s="1477"/>
      <c r="T416" s="1477"/>
      <c r="U416" s="1477"/>
      <c r="V416" s="1477"/>
      <c r="W416" s="1477"/>
      <c r="X416" s="1477"/>
      <c r="Y416" s="1477"/>
      <c r="Z416" s="1477"/>
      <c r="AA416" s="1477"/>
      <c r="AB416" s="1477"/>
      <c r="AC416" s="1477"/>
      <c r="AD416" s="1477"/>
      <c r="AE416" s="1477"/>
      <c r="AF416" s="1477"/>
      <c r="AG416" s="1477"/>
      <c r="AH416" s="1477"/>
      <c r="AI416" s="1477"/>
      <c r="AJ416" s="1477"/>
      <c r="AK416" s="1477"/>
      <c r="AL416" s="1477"/>
      <c r="AM416" s="1477"/>
      <c r="AN416" s="1477"/>
      <c r="AO416" s="284"/>
      <c r="AP416" s="1477"/>
      <c r="AQ416" s="1477"/>
      <c r="AR416" s="1477"/>
      <c r="AS416" s="1477"/>
      <c r="AT416" s="1477"/>
      <c r="AU416" s="1477"/>
      <c r="AV416" s="1477"/>
      <c r="AW416" s="1477"/>
      <c r="AX416" s="1477"/>
      <c r="AY416" s="1477"/>
      <c r="AZ416" s="1477"/>
      <c r="BA416" s="1477"/>
      <c r="BB416" s="1477"/>
      <c r="BC416" s="1477"/>
      <c r="BD416" s="1477"/>
      <c r="BE416" s="1477"/>
      <c r="BF416" s="1477"/>
      <c r="BG416" s="1477"/>
      <c r="BH416" s="1477"/>
      <c r="BI416" s="1477"/>
      <c r="BJ416" s="1477"/>
      <c r="BK416" s="1477"/>
      <c r="BL416" s="1477"/>
      <c r="BM416" s="1477"/>
      <c r="BN416" s="1477"/>
      <c r="BO416" s="1477"/>
      <c r="BP416" s="1477"/>
      <c r="BQ416" s="1477"/>
      <c r="BR416" s="1477"/>
      <c r="BS416" s="1477"/>
      <c r="BT416" s="1477"/>
      <c r="BU416" s="1477"/>
      <c r="BV416" s="1477"/>
      <c r="BW416" s="1477"/>
      <c r="BX416" s="1477"/>
      <c r="BY416" s="1477"/>
      <c r="BZ416" s="1477"/>
      <c r="CA416" s="1477"/>
      <c r="CB416" s="1477"/>
      <c r="CC416" s="1477"/>
      <c r="CD416" s="1477"/>
      <c r="CE416" s="1477"/>
      <c r="CF416" s="1477"/>
      <c r="CG416" s="1477"/>
      <c r="CH416" s="1477"/>
    </row>
    <row r="417" spans="2:86">
      <c r="B417" s="1477"/>
      <c r="C417" s="1477"/>
      <c r="D417" s="1477"/>
      <c r="E417" s="1477"/>
      <c r="F417" s="1477"/>
      <c r="G417" s="1477"/>
      <c r="H417" s="1477"/>
      <c r="I417" s="1477"/>
      <c r="J417" s="1477"/>
      <c r="K417" s="1477"/>
      <c r="L417" s="1477"/>
      <c r="M417" s="1477"/>
      <c r="N417" s="1477"/>
      <c r="O417" s="1477"/>
      <c r="P417" s="1477"/>
      <c r="Q417" s="1477"/>
      <c r="R417" s="1477"/>
      <c r="S417" s="1477"/>
      <c r="T417" s="1477"/>
      <c r="U417" s="1477"/>
      <c r="V417" s="1477"/>
      <c r="W417" s="1477"/>
      <c r="X417" s="1477"/>
      <c r="Y417" s="1477"/>
      <c r="Z417" s="1477"/>
      <c r="AA417" s="1477"/>
      <c r="AB417" s="1477"/>
      <c r="AC417" s="1477"/>
      <c r="AD417" s="1477"/>
      <c r="AE417" s="1477"/>
      <c r="AF417" s="1477"/>
      <c r="AG417" s="1477"/>
      <c r="AH417" s="1477"/>
      <c r="AI417" s="1477"/>
      <c r="AJ417" s="1477"/>
      <c r="AK417" s="1477"/>
      <c r="AL417" s="1477"/>
      <c r="AM417" s="1477"/>
      <c r="AN417" s="1477"/>
      <c r="AO417" s="284"/>
      <c r="AP417" s="1477"/>
      <c r="AQ417" s="1477"/>
      <c r="AR417" s="1477"/>
      <c r="AS417" s="1477"/>
      <c r="AT417" s="1477"/>
      <c r="AU417" s="1477"/>
      <c r="AV417" s="1477"/>
      <c r="AW417" s="1477"/>
      <c r="AX417" s="1477"/>
      <c r="AY417" s="1477"/>
      <c r="AZ417" s="1477"/>
      <c r="BA417" s="1477"/>
      <c r="BB417" s="1477"/>
      <c r="BC417" s="1477"/>
      <c r="BD417" s="1477"/>
      <c r="BE417" s="1477"/>
      <c r="BF417" s="1477"/>
      <c r="BG417" s="1477"/>
      <c r="BH417" s="1477"/>
      <c r="BI417" s="1477"/>
      <c r="BJ417" s="1477"/>
      <c r="BK417" s="1477"/>
      <c r="BL417" s="1477"/>
      <c r="BM417" s="1477"/>
      <c r="BN417" s="1477"/>
      <c r="BO417" s="1477"/>
      <c r="BP417" s="1477"/>
      <c r="BQ417" s="1477"/>
      <c r="BR417" s="1477"/>
      <c r="BS417" s="1477"/>
      <c r="BT417" s="1477"/>
      <c r="BU417" s="1477"/>
      <c r="BV417" s="1477"/>
      <c r="BW417" s="1477"/>
      <c r="BX417" s="1477"/>
      <c r="BY417" s="1477"/>
      <c r="BZ417" s="1477"/>
      <c r="CA417" s="1477"/>
      <c r="CB417" s="1477"/>
      <c r="CC417" s="1477"/>
      <c r="CD417" s="1477"/>
      <c r="CE417" s="1477"/>
      <c r="CF417" s="1477"/>
      <c r="CG417" s="1477"/>
      <c r="CH417" s="1477"/>
    </row>
    <row r="418" spans="2:86">
      <c r="B418" s="1477"/>
      <c r="C418" s="1477"/>
      <c r="D418" s="1477"/>
      <c r="E418" s="1477"/>
      <c r="F418" s="1477"/>
      <c r="G418" s="1477"/>
      <c r="H418" s="1477"/>
      <c r="I418" s="1477"/>
      <c r="J418" s="1477"/>
      <c r="K418" s="1477"/>
      <c r="L418" s="1477"/>
      <c r="M418" s="1477"/>
      <c r="N418" s="1477"/>
      <c r="O418" s="1477"/>
      <c r="P418" s="1477"/>
      <c r="Q418" s="1477"/>
      <c r="R418" s="1477"/>
      <c r="S418" s="1477"/>
      <c r="T418" s="1477"/>
      <c r="U418" s="1477"/>
      <c r="V418" s="1477"/>
      <c r="W418" s="1477"/>
      <c r="X418" s="1477"/>
      <c r="Y418" s="1477"/>
      <c r="Z418" s="1477"/>
      <c r="AA418" s="1477"/>
      <c r="AB418" s="1477"/>
      <c r="AC418" s="1477"/>
      <c r="AD418" s="1477"/>
      <c r="AE418" s="1477"/>
      <c r="AF418" s="1477"/>
      <c r="AG418" s="1477"/>
      <c r="AH418" s="1477"/>
      <c r="AI418" s="1477"/>
      <c r="AJ418" s="1477"/>
      <c r="AK418" s="1477"/>
      <c r="AL418" s="1477"/>
      <c r="AM418" s="1477"/>
      <c r="AN418" s="1477"/>
      <c r="AO418" s="284"/>
      <c r="AP418" s="1477"/>
      <c r="AQ418" s="1477"/>
      <c r="AR418" s="1477"/>
      <c r="AS418" s="1477"/>
      <c r="AT418" s="1477"/>
      <c r="AU418" s="1477"/>
      <c r="AV418" s="1477"/>
      <c r="AW418" s="1477"/>
      <c r="AX418" s="1477"/>
      <c r="AY418" s="1477"/>
      <c r="AZ418" s="1477"/>
      <c r="BA418" s="1477"/>
      <c r="BB418" s="1477"/>
      <c r="BC418" s="1477"/>
      <c r="BD418" s="1477"/>
      <c r="BE418" s="1477"/>
      <c r="BF418" s="1477"/>
      <c r="BG418" s="1477"/>
      <c r="BH418" s="1477"/>
      <c r="BI418" s="1477"/>
      <c r="BJ418" s="1477"/>
      <c r="BK418" s="1477"/>
      <c r="BL418" s="1477"/>
      <c r="BM418" s="1477"/>
      <c r="BN418" s="1477"/>
      <c r="BO418" s="1477"/>
      <c r="BP418" s="1477"/>
      <c r="BQ418" s="1477"/>
      <c r="BR418" s="1477"/>
      <c r="BS418" s="1477"/>
      <c r="BT418" s="1477"/>
      <c r="BU418" s="1477"/>
      <c r="BV418" s="1477"/>
      <c r="BW418" s="1477"/>
      <c r="BX418" s="1477"/>
      <c r="BY418" s="1477"/>
      <c r="BZ418" s="1477"/>
      <c r="CA418" s="1477"/>
      <c r="CB418" s="1477"/>
      <c r="CC418" s="1477"/>
      <c r="CD418" s="1477"/>
      <c r="CE418" s="1477"/>
      <c r="CF418" s="1477"/>
      <c r="CG418" s="1477"/>
      <c r="CH418" s="1477"/>
    </row>
    <row r="419" spans="2:86">
      <c r="B419" s="1477"/>
      <c r="C419" s="1477"/>
      <c r="D419" s="1477"/>
      <c r="E419" s="1477"/>
      <c r="F419" s="1477"/>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E419" s="1477"/>
      <c r="AF419" s="1477"/>
      <c r="AG419" s="1477"/>
      <c r="AH419" s="1477"/>
      <c r="AI419" s="1477"/>
      <c r="AJ419" s="1477"/>
      <c r="AK419" s="1477"/>
      <c r="AL419" s="1477"/>
      <c r="AM419" s="1477"/>
      <c r="AN419" s="1477"/>
      <c r="AO419" s="284"/>
      <c r="AP419" s="1477"/>
      <c r="AQ419" s="1477"/>
      <c r="AR419" s="1477"/>
      <c r="AS419" s="1477"/>
      <c r="AT419" s="1477"/>
      <c r="AU419" s="1477"/>
      <c r="AV419" s="1477"/>
      <c r="AW419" s="1477"/>
      <c r="AX419" s="1477"/>
      <c r="AY419" s="1477"/>
      <c r="AZ419" s="1477"/>
      <c r="BA419" s="1477"/>
      <c r="BB419" s="1477"/>
      <c r="BC419" s="1477"/>
      <c r="BD419" s="1477"/>
      <c r="BE419" s="1477"/>
      <c r="BF419" s="1477"/>
      <c r="BG419" s="1477"/>
      <c r="BH419" s="1477"/>
      <c r="BI419" s="1477"/>
      <c r="BJ419" s="1477"/>
      <c r="BK419" s="1477"/>
      <c r="BL419" s="1477"/>
      <c r="BM419" s="1477"/>
      <c r="BN419" s="1477"/>
      <c r="BO419" s="1477"/>
      <c r="BP419" s="1477"/>
      <c r="BQ419" s="1477"/>
      <c r="BR419" s="1477"/>
      <c r="BS419" s="1477"/>
      <c r="BT419" s="1477"/>
      <c r="BU419" s="1477"/>
      <c r="BV419" s="1477"/>
      <c r="BW419" s="1477"/>
      <c r="BX419" s="1477"/>
      <c r="BY419" s="1477"/>
      <c r="BZ419" s="1477"/>
      <c r="CA419" s="1477"/>
      <c r="CB419" s="1477"/>
      <c r="CC419" s="1477"/>
      <c r="CD419" s="1477"/>
      <c r="CE419" s="1477"/>
      <c r="CF419" s="1477"/>
      <c r="CG419" s="1477"/>
      <c r="CH419" s="1477"/>
    </row>
    <row r="420" spans="2:86">
      <c r="B420" s="1477"/>
      <c r="C420" s="1477"/>
      <c r="D420" s="1477"/>
      <c r="E420" s="1477"/>
      <c r="F420" s="1477"/>
      <c r="G420" s="1477"/>
      <c r="H420" s="1477"/>
      <c r="I420" s="1477"/>
      <c r="J420" s="1477"/>
      <c r="K420" s="1477"/>
      <c r="L420" s="1477"/>
      <c r="M420" s="1477"/>
      <c r="N420" s="1477"/>
      <c r="O420" s="1477"/>
      <c r="P420" s="1477"/>
      <c r="Q420" s="1477"/>
      <c r="R420" s="1477"/>
      <c r="S420" s="1477"/>
      <c r="T420" s="1477"/>
      <c r="U420" s="1477"/>
      <c r="V420" s="1477"/>
      <c r="W420" s="1477"/>
      <c r="X420" s="1477"/>
      <c r="Y420" s="1477"/>
      <c r="Z420" s="1477"/>
      <c r="AA420" s="1477"/>
      <c r="AB420" s="1477"/>
      <c r="AC420" s="1477"/>
      <c r="AD420" s="1477"/>
      <c r="AE420" s="1477"/>
      <c r="AF420" s="1477"/>
      <c r="AG420" s="1477"/>
      <c r="AH420" s="1477"/>
      <c r="AI420" s="1477"/>
      <c r="AJ420" s="1477"/>
      <c r="AK420" s="1477"/>
      <c r="AL420" s="1477"/>
      <c r="AM420" s="1477"/>
      <c r="AN420" s="1477"/>
      <c r="AO420" s="284"/>
      <c r="AP420" s="1477"/>
      <c r="AQ420" s="1477"/>
      <c r="AR420" s="1477"/>
      <c r="AS420" s="1477"/>
      <c r="AT420" s="1477"/>
      <c r="AU420" s="1477"/>
      <c r="AV420" s="1477"/>
      <c r="AW420" s="1477"/>
      <c r="AX420" s="1477"/>
      <c r="AY420" s="1477"/>
      <c r="AZ420" s="1477"/>
      <c r="BA420" s="1477"/>
      <c r="BB420" s="1477"/>
      <c r="BC420" s="1477"/>
      <c r="BD420" s="1477"/>
      <c r="BE420" s="1477"/>
      <c r="BF420" s="1477"/>
      <c r="BG420" s="1477"/>
      <c r="BH420" s="1477"/>
      <c r="BI420" s="1477"/>
      <c r="BJ420" s="1477"/>
      <c r="BK420" s="1477"/>
      <c r="BL420" s="1477"/>
      <c r="BM420" s="1477"/>
      <c r="BN420" s="1477"/>
      <c r="BO420" s="1477"/>
      <c r="BP420" s="1477"/>
      <c r="BQ420" s="1477"/>
      <c r="BR420" s="1477"/>
      <c r="BS420" s="1477"/>
      <c r="BT420" s="1477"/>
      <c r="BU420" s="1477"/>
      <c r="BV420" s="1477"/>
      <c r="BW420" s="1477"/>
      <c r="BX420" s="1477"/>
      <c r="BY420" s="1477"/>
      <c r="BZ420" s="1477"/>
      <c r="CA420" s="1477"/>
      <c r="CB420" s="1477"/>
      <c r="CC420" s="1477"/>
      <c r="CD420" s="1477"/>
      <c r="CE420" s="1477"/>
      <c r="CF420" s="1477"/>
      <c r="CG420" s="1477"/>
      <c r="CH420" s="1477"/>
    </row>
    <row r="421" spans="2:86">
      <c r="B421" s="1477"/>
      <c r="C421" s="1477"/>
      <c r="D421" s="1477"/>
      <c r="E421" s="1477"/>
      <c r="F421" s="1477"/>
      <c r="G421" s="1477"/>
      <c r="H421" s="1477"/>
      <c r="I421" s="1477"/>
      <c r="J421" s="1477"/>
      <c r="K421" s="1477"/>
      <c r="L421" s="1477"/>
      <c r="M421" s="1477"/>
      <c r="N421" s="1477"/>
      <c r="O421" s="1477"/>
      <c r="P421" s="1477"/>
      <c r="Q421" s="1477"/>
      <c r="R421" s="1477"/>
      <c r="S421" s="1477"/>
      <c r="T421" s="1477"/>
      <c r="U421" s="1477"/>
      <c r="V421" s="1477"/>
      <c r="W421" s="1477"/>
      <c r="X421" s="1477"/>
      <c r="Y421" s="1477"/>
      <c r="Z421" s="1477"/>
      <c r="AA421" s="1477"/>
      <c r="AB421" s="1477"/>
      <c r="AC421" s="1477"/>
      <c r="AD421" s="1477"/>
      <c r="AE421" s="1477"/>
      <c r="AF421" s="1477"/>
      <c r="AG421" s="1477"/>
      <c r="AH421" s="1477"/>
      <c r="AI421" s="1477"/>
      <c r="AJ421" s="1477"/>
      <c r="AK421" s="1477"/>
      <c r="AL421" s="1477"/>
      <c r="AM421" s="1477"/>
      <c r="AN421" s="1477"/>
      <c r="AO421" s="284"/>
      <c r="AP421" s="1477"/>
      <c r="AQ421" s="1477"/>
      <c r="AR421" s="1477"/>
      <c r="AS421" s="1477"/>
      <c r="AT421" s="1477"/>
      <c r="AU421" s="1477"/>
      <c r="AV421" s="1477"/>
      <c r="AW421" s="1477"/>
      <c r="AX421" s="1477"/>
      <c r="AY421" s="1477"/>
      <c r="AZ421" s="1477"/>
      <c r="BA421" s="1477"/>
      <c r="BB421" s="1477"/>
      <c r="BC421" s="1477"/>
      <c r="BD421" s="1477"/>
      <c r="BE421" s="1477"/>
      <c r="BF421" s="1477"/>
      <c r="BG421" s="1477"/>
      <c r="BH421" s="1477"/>
      <c r="BI421" s="1477"/>
      <c r="BJ421" s="1477"/>
      <c r="BK421" s="1477"/>
      <c r="BL421" s="1477"/>
      <c r="BM421" s="1477"/>
      <c r="BN421" s="1477"/>
      <c r="BO421" s="1477"/>
      <c r="BP421" s="1477"/>
      <c r="BQ421" s="1477"/>
      <c r="BR421" s="1477"/>
      <c r="BS421" s="1477"/>
      <c r="BT421" s="1477"/>
      <c r="BU421" s="1477"/>
      <c r="BV421" s="1477"/>
      <c r="BW421" s="1477"/>
      <c r="BX421" s="1477"/>
      <c r="BY421" s="1477"/>
      <c r="BZ421" s="1477"/>
      <c r="CA421" s="1477"/>
      <c r="CB421" s="1477"/>
      <c r="CC421" s="1477"/>
      <c r="CD421" s="1477"/>
      <c r="CE421" s="1477"/>
      <c r="CF421" s="1477"/>
      <c r="CG421" s="1477"/>
      <c r="CH421" s="1477"/>
    </row>
    <row r="422" spans="2:86">
      <c r="B422" s="1477"/>
      <c r="C422" s="1477"/>
      <c r="D422" s="1477"/>
      <c r="E422" s="1477"/>
      <c r="F422" s="1477"/>
      <c r="G422" s="1477"/>
      <c r="H422" s="1477"/>
      <c r="I422" s="1477"/>
      <c r="J422" s="1477"/>
      <c r="K422" s="1477"/>
      <c r="L422" s="1477"/>
      <c r="M422" s="1477"/>
      <c r="N422" s="1477"/>
      <c r="O422" s="1477"/>
      <c r="P422" s="1477"/>
      <c r="Q422" s="1477"/>
      <c r="R422" s="1477"/>
      <c r="S422" s="1477"/>
      <c r="T422" s="1477"/>
      <c r="U422" s="1477"/>
      <c r="V422" s="1477"/>
      <c r="W422" s="1477"/>
      <c r="X422" s="1477"/>
      <c r="Y422" s="1477"/>
      <c r="Z422" s="1477"/>
      <c r="AA422" s="1477"/>
      <c r="AB422" s="1477"/>
      <c r="AC422" s="1477"/>
      <c r="AD422" s="1477"/>
      <c r="AE422" s="1477"/>
      <c r="AF422" s="1477"/>
      <c r="AG422" s="1477"/>
      <c r="AH422" s="1477"/>
      <c r="AI422" s="1477"/>
      <c r="AJ422" s="1477"/>
      <c r="AK422" s="1477"/>
      <c r="AL422" s="1477"/>
      <c r="AM422" s="1477"/>
      <c r="AN422" s="1477"/>
      <c r="AO422" s="284"/>
      <c r="AP422" s="1477"/>
      <c r="AQ422" s="1477"/>
      <c r="AR422" s="1477"/>
      <c r="AS422" s="1477"/>
      <c r="AT422" s="1477"/>
      <c r="AU422" s="1477"/>
      <c r="AV422" s="1477"/>
      <c r="AW422" s="1477"/>
      <c r="AX422" s="1477"/>
      <c r="AY422" s="1477"/>
      <c r="AZ422" s="1477"/>
      <c r="BA422" s="1477"/>
      <c r="BB422" s="1477"/>
      <c r="BC422" s="1477"/>
      <c r="BD422" s="1477"/>
      <c r="BE422" s="1477"/>
      <c r="BF422" s="1477"/>
      <c r="BG422" s="1477"/>
      <c r="BH422" s="1477"/>
      <c r="BI422" s="1477"/>
      <c r="BJ422" s="1477"/>
      <c r="BK422" s="1477"/>
      <c r="BL422" s="1477"/>
      <c r="BM422" s="1477"/>
      <c r="BN422" s="1477"/>
      <c r="BO422" s="1477"/>
      <c r="BP422" s="1477"/>
      <c r="BQ422" s="1477"/>
      <c r="BR422" s="1477"/>
      <c r="BS422" s="1477"/>
      <c r="BT422" s="1477"/>
      <c r="BU422" s="1477"/>
      <c r="BV422" s="1477"/>
      <c r="BW422" s="1477"/>
      <c r="BX422" s="1477"/>
      <c r="BY422" s="1477"/>
      <c r="BZ422" s="1477"/>
      <c r="CA422" s="1477"/>
      <c r="CB422" s="1477"/>
      <c r="CC422" s="1477"/>
      <c r="CD422" s="1477"/>
      <c r="CE422" s="1477"/>
      <c r="CF422" s="1477"/>
      <c r="CG422" s="1477"/>
      <c r="CH422" s="1477"/>
    </row>
    <row r="423" spans="2:86">
      <c r="B423" s="1477"/>
      <c r="C423" s="1477"/>
      <c r="D423" s="1477"/>
      <c r="E423" s="1477"/>
      <c r="F423" s="1477"/>
      <c r="G423" s="1477"/>
      <c r="H423" s="1477"/>
      <c r="I423" s="1477"/>
      <c r="J423" s="1477"/>
      <c r="K423" s="1477"/>
      <c r="L423" s="1477"/>
      <c r="M423" s="1477"/>
      <c r="N423" s="1477"/>
      <c r="O423" s="1477"/>
      <c r="P423" s="1477"/>
      <c r="Q423" s="1477"/>
      <c r="R423" s="1477"/>
      <c r="S423" s="1477"/>
      <c r="T423" s="1477"/>
      <c r="U423" s="1477"/>
      <c r="V423" s="1477"/>
      <c r="W423" s="1477"/>
      <c r="X423" s="1477"/>
      <c r="Y423" s="1477"/>
      <c r="Z423" s="1477"/>
      <c r="AA423" s="1477"/>
      <c r="AB423" s="1477"/>
      <c r="AC423" s="1477"/>
      <c r="AD423" s="1477"/>
      <c r="AE423" s="1477"/>
      <c r="AF423" s="1477"/>
      <c r="AG423" s="1477"/>
      <c r="AH423" s="1477"/>
      <c r="AI423" s="1477"/>
      <c r="AJ423" s="1477"/>
      <c r="AK423" s="1477"/>
      <c r="AL423" s="1477"/>
      <c r="AM423" s="1477"/>
      <c r="AN423" s="1477"/>
      <c r="AO423" s="284"/>
      <c r="AP423" s="1477"/>
      <c r="AQ423" s="1477"/>
      <c r="AR423" s="1477"/>
      <c r="AS423" s="1477"/>
      <c r="AT423" s="1477"/>
      <c r="AU423" s="1477"/>
      <c r="AV423" s="1477"/>
      <c r="AW423" s="1477"/>
      <c r="AX423" s="1477"/>
      <c r="AY423" s="1477"/>
      <c r="AZ423" s="1477"/>
      <c r="BA423" s="1477"/>
      <c r="BB423" s="1477"/>
      <c r="BC423" s="1477"/>
      <c r="BD423" s="1477"/>
      <c r="BE423" s="1477"/>
      <c r="BF423" s="1477"/>
      <c r="BG423" s="1477"/>
      <c r="BH423" s="1477"/>
      <c r="BI423" s="1477"/>
      <c r="BJ423" s="1477"/>
      <c r="BK423" s="1477"/>
      <c r="BL423" s="1477"/>
      <c r="BM423" s="1477"/>
      <c r="BN423" s="1477"/>
      <c r="BO423" s="1477"/>
      <c r="BP423" s="1477"/>
      <c r="BQ423" s="1477"/>
      <c r="BR423" s="1477"/>
      <c r="BS423" s="1477"/>
      <c r="BT423" s="1477"/>
      <c r="BU423" s="1477"/>
      <c r="BV423" s="1477"/>
      <c r="BW423" s="1477"/>
      <c r="BX423" s="1477"/>
      <c r="BY423" s="1477"/>
      <c r="BZ423" s="1477"/>
      <c r="CA423" s="1477"/>
      <c r="CB423" s="1477"/>
      <c r="CC423" s="1477"/>
      <c r="CD423" s="1477"/>
      <c r="CE423" s="1477"/>
      <c r="CF423" s="1477"/>
      <c r="CG423" s="1477"/>
      <c r="CH423" s="1477"/>
    </row>
    <row r="424" spans="2:86">
      <c r="B424" s="1477"/>
      <c r="C424" s="1477"/>
      <c r="D424" s="1477"/>
      <c r="E424" s="1477"/>
      <c r="F424" s="1477"/>
      <c r="G424" s="1477"/>
      <c r="H424" s="1477"/>
      <c r="I424" s="1477"/>
      <c r="J424" s="1477"/>
      <c r="K424" s="1477"/>
      <c r="L424" s="1477"/>
      <c r="M424" s="1477"/>
      <c r="N424" s="1477"/>
      <c r="O424" s="1477"/>
      <c r="P424" s="1477"/>
      <c r="Q424" s="1477"/>
      <c r="R424" s="1477"/>
      <c r="S424" s="1477"/>
      <c r="T424" s="1477"/>
      <c r="U424" s="1477"/>
      <c r="V424" s="1477"/>
      <c r="W424" s="1477"/>
      <c r="X424" s="1477"/>
      <c r="Y424" s="1477"/>
      <c r="Z424" s="1477"/>
      <c r="AA424" s="1477"/>
      <c r="AB424" s="1477"/>
      <c r="AC424" s="1477"/>
      <c r="AD424" s="1477"/>
      <c r="AE424" s="1477"/>
      <c r="AF424" s="1477"/>
      <c r="AG424" s="1477"/>
      <c r="AH424" s="1477"/>
      <c r="AI424" s="1477"/>
      <c r="AJ424" s="1477"/>
      <c r="AK424" s="1477"/>
      <c r="AL424" s="1477"/>
      <c r="AM424" s="1477"/>
      <c r="AN424" s="1477"/>
      <c r="AO424" s="284"/>
      <c r="AP424" s="1477"/>
      <c r="AQ424" s="1477"/>
      <c r="AR424" s="1477"/>
      <c r="AS424" s="1477"/>
      <c r="AT424" s="1477"/>
      <c r="AU424" s="1477"/>
      <c r="AV424" s="1477"/>
      <c r="AW424" s="1477"/>
      <c r="AX424" s="1477"/>
      <c r="AY424" s="1477"/>
      <c r="AZ424" s="1477"/>
      <c r="BA424" s="1477"/>
      <c r="BB424" s="1477"/>
      <c r="BC424" s="1477"/>
      <c r="BD424" s="1477"/>
      <c r="BE424" s="1477"/>
      <c r="BF424" s="1477"/>
      <c r="BG424" s="1477"/>
      <c r="BH424" s="1477"/>
      <c r="BI424" s="1477"/>
      <c r="BJ424" s="1477"/>
      <c r="BK424" s="1477"/>
      <c r="BL424" s="1477"/>
      <c r="BM424" s="1477"/>
      <c r="BN424" s="1477"/>
      <c r="BO424" s="1477"/>
      <c r="BP424" s="1477"/>
      <c r="BQ424" s="1477"/>
      <c r="BR424" s="1477"/>
      <c r="BS424" s="1477"/>
      <c r="BT424" s="1477"/>
      <c r="BU424" s="1477"/>
      <c r="BV424" s="1477"/>
      <c r="BW424" s="1477"/>
      <c r="BX424" s="1477"/>
      <c r="BY424" s="1477"/>
      <c r="BZ424" s="1477"/>
      <c r="CA424" s="1477"/>
      <c r="CB424" s="1477"/>
      <c r="CC424" s="1477"/>
      <c r="CD424" s="1477"/>
      <c r="CE424" s="1477"/>
      <c r="CF424" s="1477"/>
      <c r="CG424" s="1477"/>
      <c r="CH424" s="1477"/>
    </row>
    <row r="425" spans="2:86">
      <c r="B425" s="1477"/>
      <c r="C425" s="1477"/>
      <c r="D425" s="1477"/>
      <c r="E425" s="1477"/>
      <c r="F425" s="1477"/>
      <c r="G425" s="1477"/>
      <c r="H425" s="1477"/>
      <c r="I425" s="1477"/>
      <c r="J425" s="1477"/>
      <c r="K425" s="1477"/>
      <c r="L425" s="1477"/>
      <c r="M425" s="1477"/>
      <c r="N425" s="1477"/>
      <c r="O425" s="1477"/>
      <c r="P425" s="1477"/>
      <c r="Q425" s="1477"/>
      <c r="R425" s="1477"/>
      <c r="S425" s="1477"/>
      <c r="T425" s="1477"/>
      <c r="U425" s="1477"/>
      <c r="V425" s="1477"/>
      <c r="W425" s="1477"/>
      <c r="X425" s="1477"/>
      <c r="Y425" s="1477"/>
      <c r="Z425" s="1477"/>
      <c r="AA425" s="1477"/>
      <c r="AB425" s="1477"/>
      <c r="AC425" s="1477"/>
      <c r="AD425" s="1477"/>
      <c r="AE425" s="1477"/>
      <c r="AF425" s="1477"/>
      <c r="AG425" s="1477"/>
      <c r="AH425" s="1477"/>
      <c r="AI425" s="1477"/>
      <c r="AJ425" s="1477"/>
      <c r="AK425" s="1477"/>
      <c r="AL425" s="1477"/>
      <c r="AM425" s="1477"/>
      <c r="AN425" s="1477"/>
      <c r="AO425" s="284"/>
      <c r="AP425" s="1477"/>
      <c r="AQ425" s="1477"/>
      <c r="AR425" s="1477"/>
      <c r="AS425" s="1477"/>
      <c r="AT425" s="1477"/>
      <c r="AU425" s="1477"/>
      <c r="AV425" s="1477"/>
      <c r="AW425" s="1477"/>
      <c r="AX425" s="1477"/>
      <c r="AY425" s="1477"/>
      <c r="AZ425" s="1477"/>
      <c r="BA425" s="1477"/>
      <c r="BB425" s="1477"/>
      <c r="BC425" s="1477"/>
      <c r="BD425" s="1477"/>
      <c r="BE425" s="1477"/>
      <c r="BF425" s="1477"/>
      <c r="BG425" s="1477"/>
      <c r="BH425" s="1477"/>
      <c r="BI425" s="1477"/>
      <c r="BJ425" s="1477"/>
      <c r="BK425" s="1477"/>
      <c r="BL425" s="1477"/>
      <c r="BM425" s="1477"/>
      <c r="BN425" s="1477"/>
      <c r="BO425" s="1477"/>
      <c r="BP425" s="1477"/>
      <c r="BQ425" s="1477"/>
      <c r="BR425" s="1477"/>
      <c r="BS425" s="1477"/>
      <c r="BT425" s="1477"/>
      <c r="BU425" s="1477"/>
      <c r="BV425" s="1477"/>
      <c r="BW425" s="1477"/>
      <c r="BX425" s="1477"/>
      <c r="BY425" s="1477"/>
      <c r="BZ425" s="1477"/>
      <c r="CA425" s="1477"/>
      <c r="CB425" s="1477"/>
      <c r="CC425" s="1477"/>
      <c r="CD425" s="1477"/>
      <c r="CE425" s="1477"/>
      <c r="CF425" s="1477"/>
      <c r="CG425" s="1477"/>
      <c r="CH425" s="1477"/>
    </row>
    <row r="426" spans="2:86">
      <c r="B426" s="1477"/>
      <c r="C426" s="1477"/>
      <c r="D426" s="1477"/>
      <c r="E426" s="1477"/>
      <c r="F426" s="1477"/>
      <c r="G426" s="1477"/>
      <c r="H426" s="1477"/>
      <c r="I426" s="1477"/>
      <c r="J426" s="1477"/>
      <c r="K426" s="1477"/>
      <c r="L426" s="1477"/>
      <c r="M426" s="1477"/>
      <c r="N426" s="1477"/>
      <c r="O426" s="1477"/>
      <c r="P426" s="1477"/>
      <c r="Q426" s="1477"/>
      <c r="R426" s="1477"/>
      <c r="S426" s="1477"/>
      <c r="T426" s="1477"/>
      <c r="U426" s="1477"/>
      <c r="V426" s="1477"/>
      <c r="W426" s="1477"/>
      <c r="X426" s="1477"/>
      <c r="Y426" s="1477"/>
      <c r="Z426" s="1477"/>
      <c r="AA426" s="1477"/>
      <c r="AB426" s="1477"/>
      <c r="AC426" s="1477"/>
      <c r="AD426" s="1477"/>
      <c r="AE426" s="1477"/>
      <c r="AF426" s="1477"/>
      <c r="AG426" s="1477"/>
      <c r="AH426" s="1477"/>
      <c r="AI426" s="1477"/>
      <c r="AJ426" s="1477"/>
      <c r="AK426" s="1477"/>
      <c r="AL426" s="1477"/>
      <c r="AM426" s="1477"/>
      <c r="AN426" s="1477"/>
      <c r="AO426" s="284"/>
      <c r="AP426" s="1477"/>
      <c r="AQ426" s="1477"/>
      <c r="AR426" s="1477"/>
      <c r="AS426" s="1477"/>
      <c r="AT426" s="1477"/>
      <c r="AU426" s="1477"/>
      <c r="AV426" s="1477"/>
      <c r="AW426" s="1477"/>
      <c r="AX426" s="1477"/>
      <c r="AY426" s="1477"/>
      <c r="AZ426" s="1477"/>
      <c r="BA426" s="1477"/>
      <c r="BB426" s="1477"/>
      <c r="BC426" s="1477"/>
      <c r="BD426" s="1477"/>
      <c r="BE426" s="1477"/>
      <c r="BF426" s="1477"/>
      <c r="BG426" s="1477"/>
      <c r="BH426" s="1477"/>
      <c r="BI426" s="1477"/>
      <c r="BJ426" s="1477"/>
      <c r="BK426" s="1477"/>
      <c r="BL426" s="1477"/>
      <c r="BM426" s="1477"/>
      <c r="BN426" s="1477"/>
      <c r="BO426" s="1477"/>
      <c r="BP426" s="1477"/>
      <c r="BQ426" s="1477"/>
      <c r="BR426" s="1477"/>
      <c r="BS426" s="1477"/>
      <c r="BT426" s="1477"/>
      <c r="BU426" s="1477"/>
      <c r="BV426" s="1477"/>
      <c r="BW426" s="1477"/>
      <c r="BX426" s="1477"/>
      <c r="BY426" s="1477"/>
      <c r="BZ426" s="1477"/>
      <c r="CA426" s="1477"/>
      <c r="CB426" s="1477"/>
      <c r="CC426" s="1477"/>
      <c r="CD426" s="1477"/>
      <c r="CE426" s="1477"/>
      <c r="CF426" s="1477"/>
      <c r="CG426" s="1477"/>
      <c r="CH426" s="1477"/>
    </row>
    <row r="427" spans="2:86">
      <c r="B427" s="1477"/>
      <c r="C427" s="1477"/>
      <c r="D427" s="1477"/>
      <c r="E427" s="1477"/>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c r="AI427" s="1477"/>
      <c r="AJ427" s="1477"/>
      <c r="AK427" s="1477"/>
      <c r="AL427" s="1477"/>
      <c r="AM427" s="1477"/>
      <c r="AN427" s="1477"/>
      <c r="AO427" s="284"/>
      <c r="AP427" s="1477"/>
      <c r="AQ427" s="1477"/>
      <c r="AR427" s="1477"/>
      <c r="AS427" s="1477"/>
      <c r="AT427" s="1477"/>
      <c r="AU427" s="1477"/>
      <c r="AV427" s="1477"/>
      <c r="AW427" s="1477"/>
      <c r="AX427" s="1477"/>
      <c r="AY427" s="1477"/>
      <c r="AZ427" s="1477"/>
      <c r="BA427" s="1477"/>
      <c r="BB427" s="1477"/>
      <c r="BC427" s="1477"/>
      <c r="BD427" s="1477"/>
      <c r="BE427" s="1477"/>
      <c r="BF427" s="1477"/>
      <c r="BG427" s="1477"/>
      <c r="BH427" s="1477"/>
      <c r="BI427" s="1477"/>
      <c r="BJ427" s="1477"/>
      <c r="BK427" s="1477"/>
      <c r="BL427" s="1477"/>
      <c r="BM427" s="1477"/>
      <c r="BN427" s="1477"/>
      <c r="BO427" s="1477"/>
      <c r="BP427" s="1477"/>
      <c r="BQ427" s="1477"/>
      <c r="BR427" s="1477"/>
      <c r="BS427" s="1477"/>
      <c r="BT427" s="1477"/>
      <c r="BU427" s="1477"/>
      <c r="BV427" s="1477"/>
      <c r="BW427" s="1477"/>
      <c r="BX427" s="1477"/>
      <c r="BY427" s="1477"/>
      <c r="BZ427" s="1477"/>
      <c r="CA427" s="1477"/>
      <c r="CB427" s="1477"/>
      <c r="CC427" s="1477"/>
      <c r="CD427" s="1477"/>
      <c r="CE427" s="1477"/>
      <c r="CF427" s="1477"/>
      <c r="CG427" s="1477"/>
      <c r="CH427" s="1477"/>
    </row>
    <row r="428" spans="2:86">
      <c r="B428" s="1477"/>
      <c r="C428" s="1477"/>
      <c r="D428" s="1477"/>
      <c r="E428" s="1477"/>
      <c r="F428" s="1477"/>
      <c r="G428" s="1477"/>
      <c r="H428" s="1477"/>
      <c r="I428" s="1477"/>
      <c r="J428" s="1477"/>
      <c r="K428" s="1477"/>
      <c r="L428" s="1477"/>
      <c r="M428" s="1477"/>
      <c r="N428" s="1477"/>
      <c r="O428" s="1477"/>
      <c r="P428" s="1477"/>
      <c r="Q428" s="1477"/>
      <c r="R428" s="1477"/>
      <c r="S428" s="1477"/>
      <c r="T428" s="1477"/>
      <c r="U428" s="1477"/>
      <c r="V428" s="1477"/>
      <c r="W428" s="1477"/>
      <c r="X428" s="1477"/>
      <c r="Y428" s="1477"/>
      <c r="Z428" s="1477"/>
      <c r="AA428" s="1477"/>
      <c r="AB428" s="1477"/>
      <c r="AC428" s="1477"/>
      <c r="AD428" s="1477"/>
      <c r="AE428" s="1477"/>
      <c r="AF428" s="1477"/>
      <c r="AG428" s="1477"/>
      <c r="AH428" s="1477"/>
      <c r="AI428" s="1477"/>
      <c r="AJ428" s="1477"/>
      <c r="AK428" s="1477"/>
      <c r="AL428" s="1477"/>
      <c r="AM428" s="1477"/>
      <c r="AN428" s="1477"/>
      <c r="AO428" s="284"/>
      <c r="AP428" s="1477"/>
      <c r="AQ428" s="1477"/>
      <c r="AR428" s="1477"/>
      <c r="AS428" s="1477"/>
      <c r="AT428" s="1477"/>
      <c r="AU428" s="1477"/>
      <c r="AV428" s="1477"/>
      <c r="AW428" s="1477"/>
      <c r="AX428" s="1477"/>
      <c r="AY428" s="1477"/>
      <c r="AZ428" s="1477"/>
      <c r="BA428" s="1477"/>
      <c r="BB428" s="1477"/>
      <c r="BC428" s="1477"/>
      <c r="BD428" s="1477"/>
      <c r="BE428" s="1477"/>
      <c r="BF428" s="1477"/>
      <c r="BG428" s="1477"/>
      <c r="BH428" s="1477"/>
      <c r="BI428" s="1477"/>
      <c r="BJ428" s="1477"/>
      <c r="BK428" s="1477"/>
      <c r="BL428" s="1477"/>
      <c r="BM428" s="1477"/>
      <c r="BN428" s="1477"/>
      <c r="BO428" s="1477"/>
      <c r="BP428" s="1477"/>
      <c r="BQ428" s="1477"/>
      <c r="BR428" s="1477"/>
      <c r="BS428" s="1477"/>
      <c r="BT428" s="1477"/>
      <c r="BU428" s="1477"/>
      <c r="BV428" s="1477"/>
      <c r="BW428" s="1477"/>
      <c r="BX428" s="1477"/>
      <c r="BY428" s="1477"/>
      <c r="BZ428" s="1477"/>
      <c r="CA428" s="1477"/>
      <c r="CB428" s="1477"/>
      <c r="CC428" s="1477"/>
      <c r="CD428" s="1477"/>
      <c r="CE428" s="1477"/>
      <c r="CF428" s="1477"/>
      <c r="CG428" s="1477"/>
      <c r="CH428" s="1477"/>
    </row>
    <row r="429" spans="2:86">
      <c r="B429" s="1477"/>
      <c r="C429" s="1477"/>
      <c r="D429" s="1477"/>
      <c r="E429" s="1477"/>
      <c r="F429" s="1477"/>
      <c r="G429" s="1477"/>
      <c r="H429" s="1477"/>
      <c r="I429" s="1477"/>
      <c r="J429" s="1477"/>
      <c r="K429" s="1477"/>
      <c r="L429" s="1477"/>
      <c r="M429" s="1477"/>
      <c r="N429" s="1477"/>
      <c r="O429" s="1477"/>
      <c r="P429" s="1477"/>
      <c r="Q429" s="1477"/>
      <c r="R429" s="1477"/>
      <c r="S429" s="1477"/>
      <c r="T429" s="1477"/>
      <c r="U429" s="1477"/>
      <c r="V429" s="1477"/>
      <c r="W429" s="1477"/>
      <c r="X429" s="1477"/>
      <c r="Y429" s="1477"/>
      <c r="Z429" s="1477"/>
      <c r="AA429" s="1477"/>
      <c r="AB429" s="1477"/>
      <c r="AC429" s="1477"/>
      <c r="AD429" s="1477"/>
      <c r="AE429" s="1477"/>
      <c r="AF429" s="1477"/>
      <c r="AG429" s="1477"/>
      <c r="AH429" s="1477"/>
      <c r="AI429" s="1477"/>
      <c r="AJ429" s="1477"/>
      <c r="AK429" s="1477"/>
      <c r="AL429" s="1477"/>
      <c r="AM429" s="1477"/>
      <c r="AN429" s="1477"/>
      <c r="AO429" s="284"/>
      <c r="AP429" s="1477"/>
      <c r="AQ429" s="1477"/>
      <c r="AR429" s="1477"/>
      <c r="AS429" s="1477"/>
      <c r="AT429" s="1477"/>
      <c r="AU429" s="1477"/>
      <c r="AV429" s="1477"/>
      <c r="AW429" s="1477"/>
      <c r="AX429" s="1477"/>
      <c r="AY429" s="1477"/>
      <c r="AZ429" s="1477"/>
      <c r="BA429" s="1477"/>
      <c r="BB429" s="1477"/>
      <c r="BC429" s="1477"/>
      <c r="BD429" s="1477"/>
      <c r="BE429" s="1477"/>
      <c r="BF429" s="1477"/>
      <c r="BG429" s="1477"/>
      <c r="BH429" s="1477"/>
      <c r="BI429" s="1477"/>
      <c r="BJ429" s="1477"/>
      <c r="BK429" s="1477"/>
      <c r="BL429" s="1477"/>
      <c r="BM429" s="1477"/>
      <c r="BN429" s="1477"/>
      <c r="BO429" s="1477"/>
      <c r="BP429" s="1477"/>
      <c r="BQ429" s="1477"/>
      <c r="BR429" s="1477"/>
      <c r="BS429" s="1477"/>
      <c r="BT429" s="1477"/>
      <c r="BU429" s="1477"/>
      <c r="BV429" s="1477"/>
      <c r="BW429" s="1477"/>
      <c r="BX429" s="1477"/>
      <c r="BY429" s="1477"/>
      <c r="BZ429" s="1477"/>
      <c r="CA429" s="1477"/>
      <c r="CB429" s="1477"/>
      <c r="CC429" s="1477"/>
      <c r="CD429" s="1477"/>
      <c r="CE429" s="1477"/>
      <c r="CF429" s="1477"/>
      <c r="CG429" s="1477"/>
      <c r="CH429" s="1477"/>
    </row>
    <row r="430" spans="2:86">
      <c r="B430" s="1477"/>
      <c r="C430" s="1477"/>
      <c r="D430" s="1477"/>
      <c r="E430" s="1477"/>
      <c r="F430" s="1477"/>
      <c r="G430" s="1477"/>
      <c r="H430" s="1477"/>
      <c r="I430" s="1477"/>
      <c r="J430" s="1477"/>
      <c r="K430" s="1477"/>
      <c r="L430" s="1477"/>
      <c r="M430" s="1477"/>
      <c r="N430" s="1477"/>
      <c r="O430" s="1477"/>
      <c r="P430" s="1477"/>
      <c r="Q430" s="1477"/>
      <c r="R430" s="1477"/>
      <c r="S430" s="1477"/>
      <c r="T430" s="1477"/>
      <c r="U430" s="1477"/>
      <c r="V430" s="1477"/>
      <c r="W430" s="1477"/>
      <c r="X430" s="1477"/>
      <c r="Y430" s="1477"/>
      <c r="Z430" s="1477"/>
      <c r="AA430" s="1477"/>
      <c r="AB430" s="1477"/>
      <c r="AC430" s="1477"/>
      <c r="AD430" s="1477"/>
      <c r="AE430" s="1477"/>
      <c r="AF430" s="1477"/>
      <c r="AG430" s="1477"/>
      <c r="AH430" s="1477"/>
      <c r="AI430" s="1477"/>
      <c r="AJ430" s="1477"/>
      <c r="AK430" s="1477"/>
      <c r="AL430" s="1477"/>
      <c r="AM430" s="1477"/>
      <c r="AN430" s="1477"/>
      <c r="AO430" s="284"/>
      <c r="AP430" s="1477"/>
      <c r="AQ430" s="1477"/>
      <c r="AR430" s="1477"/>
      <c r="AS430" s="1477"/>
      <c r="AT430" s="1477"/>
      <c r="AU430" s="1477"/>
      <c r="AV430" s="1477"/>
      <c r="AW430" s="1477"/>
      <c r="AX430" s="1477"/>
      <c r="AY430" s="1477"/>
      <c r="AZ430" s="1477"/>
      <c r="BA430" s="1477"/>
      <c r="BB430" s="1477"/>
      <c r="BC430" s="1477"/>
      <c r="BD430" s="1477"/>
      <c r="BE430" s="1477"/>
      <c r="BF430" s="1477"/>
      <c r="BG430" s="1477"/>
      <c r="BH430" s="1477"/>
      <c r="BI430" s="1477"/>
      <c r="BJ430" s="1477"/>
      <c r="BK430" s="1477"/>
      <c r="BL430" s="1477"/>
      <c r="BM430" s="1477"/>
      <c r="BN430" s="1477"/>
      <c r="BO430" s="1477"/>
      <c r="BP430" s="1477"/>
      <c r="BQ430" s="1477"/>
      <c r="BR430" s="1477"/>
      <c r="BS430" s="1477"/>
      <c r="BT430" s="1477"/>
      <c r="BU430" s="1477"/>
      <c r="BV430" s="1477"/>
      <c r="BW430" s="1477"/>
      <c r="BX430" s="1477"/>
      <c r="BY430" s="1477"/>
      <c r="BZ430" s="1477"/>
      <c r="CA430" s="1477"/>
      <c r="CB430" s="1477"/>
      <c r="CC430" s="1477"/>
      <c r="CD430" s="1477"/>
      <c r="CE430" s="1477"/>
      <c r="CF430" s="1477"/>
      <c r="CG430" s="1477"/>
      <c r="CH430" s="1477"/>
    </row>
    <row r="431" spans="2:86">
      <c r="B431" s="1477"/>
      <c r="C431" s="1477"/>
      <c r="D431" s="1477"/>
      <c r="E431" s="1477"/>
      <c r="F431" s="1477"/>
      <c r="G431" s="1477"/>
      <c r="H431" s="1477"/>
      <c r="I431" s="1477"/>
      <c r="J431" s="1477"/>
      <c r="K431" s="1477"/>
      <c r="L431" s="1477"/>
      <c r="M431" s="1477"/>
      <c r="N431" s="1477"/>
      <c r="O431" s="1477"/>
      <c r="P431" s="1477"/>
      <c r="Q431" s="1477"/>
      <c r="R431" s="1477"/>
      <c r="S431" s="1477"/>
      <c r="T431" s="1477"/>
      <c r="U431" s="1477"/>
      <c r="V431" s="1477"/>
      <c r="W431" s="1477"/>
      <c r="X431" s="1477"/>
      <c r="Y431" s="1477"/>
      <c r="Z431" s="1477"/>
      <c r="AA431" s="1477"/>
      <c r="AB431" s="1477"/>
      <c r="AC431" s="1477"/>
      <c r="AD431" s="1477"/>
      <c r="AE431" s="1477"/>
      <c r="AF431" s="1477"/>
      <c r="AG431" s="1477"/>
      <c r="AH431" s="1477"/>
      <c r="AI431" s="1477"/>
      <c r="AJ431" s="1477"/>
      <c r="AK431" s="1477"/>
      <c r="AL431" s="1477"/>
      <c r="AM431" s="1477"/>
      <c r="AN431" s="1477"/>
      <c r="AO431" s="284"/>
      <c r="AP431" s="1477"/>
      <c r="AQ431" s="1477"/>
      <c r="AR431" s="1477"/>
      <c r="AS431" s="1477"/>
      <c r="AT431" s="1477"/>
      <c r="AU431" s="1477"/>
      <c r="AV431" s="1477"/>
      <c r="AW431" s="1477"/>
      <c r="AX431" s="1477"/>
      <c r="AY431" s="1477"/>
      <c r="AZ431" s="1477"/>
      <c r="BA431" s="1477"/>
      <c r="BB431" s="1477"/>
      <c r="BC431" s="1477"/>
      <c r="BD431" s="1477"/>
      <c r="BE431" s="1477"/>
      <c r="BF431" s="1477"/>
      <c r="BG431" s="1477"/>
      <c r="BH431" s="1477"/>
      <c r="BI431" s="1477"/>
      <c r="BJ431" s="1477"/>
      <c r="BK431" s="1477"/>
      <c r="BL431" s="1477"/>
      <c r="BM431" s="1477"/>
      <c r="BN431" s="1477"/>
      <c r="BO431" s="1477"/>
      <c r="BP431" s="1477"/>
      <c r="BQ431" s="1477"/>
      <c r="BR431" s="1477"/>
      <c r="BS431" s="1477"/>
      <c r="BT431" s="1477"/>
      <c r="BU431" s="1477"/>
      <c r="BV431" s="1477"/>
      <c r="BW431" s="1477"/>
      <c r="BX431" s="1477"/>
      <c r="BY431" s="1477"/>
      <c r="BZ431" s="1477"/>
      <c r="CA431" s="1477"/>
      <c r="CB431" s="1477"/>
      <c r="CC431" s="1477"/>
      <c r="CD431" s="1477"/>
      <c r="CE431" s="1477"/>
      <c r="CF431" s="1477"/>
      <c r="CG431" s="1477"/>
      <c r="CH431" s="1477"/>
    </row>
    <row r="432" spans="2:86">
      <c r="B432" s="1477"/>
      <c r="C432" s="1477"/>
      <c r="D432" s="1477"/>
      <c r="E432" s="1477"/>
      <c r="F432" s="1477"/>
      <c r="G432" s="1477"/>
      <c r="H432" s="1477"/>
      <c r="I432" s="1477"/>
      <c r="J432" s="1477"/>
      <c r="K432" s="1477"/>
      <c r="L432" s="1477"/>
      <c r="M432" s="1477"/>
      <c r="N432" s="1477"/>
      <c r="O432" s="1477"/>
      <c r="P432" s="1477"/>
      <c r="Q432" s="1477"/>
      <c r="R432" s="1477"/>
      <c r="S432" s="1477"/>
      <c r="T432" s="1477"/>
      <c r="U432" s="1477"/>
      <c r="V432" s="1477"/>
      <c r="W432" s="1477"/>
      <c r="X432" s="1477"/>
      <c r="Y432" s="1477"/>
      <c r="Z432" s="1477"/>
      <c r="AA432" s="1477"/>
      <c r="AB432" s="1477"/>
      <c r="AC432" s="1477"/>
      <c r="AD432" s="1477"/>
      <c r="AE432" s="1477"/>
      <c r="AF432" s="1477"/>
      <c r="AG432" s="1477"/>
      <c r="AH432" s="1477"/>
      <c r="AI432" s="1477"/>
      <c r="AJ432" s="1477"/>
      <c r="AK432" s="1477"/>
      <c r="AL432" s="1477"/>
      <c r="AM432" s="1477"/>
      <c r="AN432" s="1477"/>
      <c r="AO432" s="284"/>
      <c r="AP432" s="1477"/>
      <c r="AQ432" s="1477"/>
      <c r="AR432" s="1477"/>
      <c r="AS432" s="1477"/>
      <c r="AT432" s="1477"/>
      <c r="AU432" s="1477"/>
      <c r="AV432" s="1477"/>
      <c r="AW432" s="1477"/>
      <c r="AX432" s="1477"/>
      <c r="AY432" s="1477"/>
      <c r="AZ432" s="1477"/>
      <c r="BA432" s="1477"/>
      <c r="BB432" s="1477"/>
      <c r="BC432" s="1477"/>
      <c r="BD432" s="1477"/>
      <c r="BE432" s="1477"/>
      <c r="BF432" s="1477"/>
      <c r="BG432" s="1477"/>
      <c r="BH432" s="1477"/>
      <c r="BI432" s="1477"/>
      <c r="BJ432" s="1477"/>
      <c r="BK432" s="1477"/>
      <c r="BL432" s="1477"/>
      <c r="BM432" s="1477"/>
      <c r="BN432" s="1477"/>
      <c r="BO432" s="1477"/>
      <c r="BP432" s="1477"/>
      <c r="BQ432" s="1477"/>
      <c r="BR432" s="1477"/>
      <c r="BS432" s="1477"/>
      <c r="BT432" s="1477"/>
      <c r="BU432" s="1477"/>
      <c r="BV432" s="1477"/>
      <c r="BW432" s="1477"/>
      <c r="BX432" s="1477"/>
      <c r="BY432" s="1477"/>
      <c r="BZ432" s="1477"/>
      <c r="CA432" s="1477"/>
      <c r="CB432" s="1477"/>
      <c r="CC432" s="1477"/>
      <c r="CD432" s="1477"/>
      <c r="CE432" s="1477"/>
      <c r="CF432" s="1477"/>
      <c r="CG432" s="1477"/>
      <c r="CH432" s="1477"/>
    </row>
    <row r="433" spans="2:86">
      <c r="B433" s="1477"/>
      <c r="C433" s="1477"/>
      <c r="D433" s="1477"/>
      <c r="E433" s="1477"/>
      <c r="F433" s="1477"/>
      <c r="G433" s="1477"/>
      <c r="H433" s="1477"/>
      <c r="I433" s="1477"/>
      <c r="J433" s="1477"/>
      <c r="K433" s="1477"/>
      <c r="L433" s="1477"/>
      <c r="M433" s="1477"/>
      <c r="N433" s="1477"/>
      <c r="O433" s="1477"/>
      <c r="P433" s="1477"/>
      <c r="Q433" s="1477"/>
      <c r="R433" s="1477"/>
      <c r="S433" s="1477"/>
      <c r="T433" s="1477"/>
      <c r="U433" s="1477"/>
      <c r="V433" s="1477"/>
      <c r="W433" s="1477"/>
      <c r="X433" s="1477"/>
      <c r="Y433" s="1477"/>
      <c r="Z433" s="1477"/>
      <c r="AA433" s="1477"/>
      <c r="AB433" s="1477"/>
      <c r="AC433" s="1477"/>
      <c r="AD433" s="1477"/>
      <c r="AE433" s="1477"/>
      <c r="AF433" s="1477"/>
      <c r="AG433" s="1477"/>
      <c r="AH433" s="1477"/>
      <c r="AI433" s="1477"/>
      <c r="AJ433" s="1477"/>
      <c r="AK433" s="1477"/>
      <c r="AL433" s="1477"/>
      <c r="AM433" s="1477"/>
      <c r="AN433" s="1477"/>
      <c r="AO433" s="284"/>
      <c r="AP433" s="1477"/>
      <c r="AQ433" s="1477"/>
      <c r="AR433" s="1477"/>
      <c r="AS433" s="1477"/>
      <c r="AT433" s="1477"/>
      <c r="AU433" s="1477"/>
      <c r="AV433" s="1477"/>
      <c r="AW433" s="1477"/>
      <c r="AX433" s="1477"/>
      <c r="AY433" s="1477"/>
      <c r="AZ433" s="1477"/>
      <c r="BA433" s="1477"/>
      <c r="BB433" s="1477"/>
      <c r="BC433" s="1477"/>
      <c r="BD433" s="1477"/>
      <c r="BE433" s="1477"/>
      <c r="BF433" s="1477"/>
      <c r="BG433" s="1477"/>
      <c r="BH433" s="1477"/>
      <c r="BI433" s="1477"/>
      <c r="BJ433" s="1477"/>
      <c r="BK433" s="1477"/>
      <c r="BL433" s="1477"/>
      <c r="BM433" s="1477"/>
      <c r="BN433" s="1477"/>
      <c r="BO433" s="1477"/>
      <c r="BP433" s="1477"/>
      <c r="BQ433" s="1477"/>
      <c r="BR433" s="1477"/>
      <c r="BS433" s="1477"/>
      <c r="BT433" s="1477"/>
      <c r="BU433" s="1477"/>
      <c r="BV433" s="1477"/>
      <c r="BW433" s="1477"/>
      <c r="BX433" s="1477"/>
      <c r="BY433" s="1477"/>
      <c r="BZ433" s="1477"/>
      <c r="CA433" s="1477"/>
      <c r="CB433" s="1477"/>
      <c r="CC433" s="1477"/>
      <c r="CD433" s="1477"/>
      <c r="CE433" s="1477"/>
      <c r="CF433" s="1477"/>
      <c r="CG433" s="1477"/>
      <c r="CH433" s="1477"/>
    </row>
    <row r="434" spans="2:86">
      <c r="B434" s="1477"/>
      <c r="C434" s="1477"/>
      <c r="D434" s="1477"/>
      <c r="E434" s="1477"/>
      <c r="F434" s="1477"/>
      <c r="G434" s="1477"/>
      <c r="H434" s="1477"/>
      <c r="I434" s="1477"/>
      <c r="J434" s="1477"/>
      <c r="K434" s="1477"/>
      <c r="L434" s="1477"/>
      <c r="M434" s="1477"/>
      <c r="N434" s="1477"/>
      <c r="O434" s="1477"/>
      <c r="P434" s="1477"/>
      <c r="Q434" s="1477"/>
      <c r="R434" s="1477"/>
      <c r="S434" s="1477"/>
      <c r="T434" s="1477"/>
      <c r="U434" s="1477"/>
      <c r="V434" s="1477"/>
      <c r="W434" s="1477"/>
      <c r="X434" s="1477"/>
      <c r="Y434" s="1477"/>
      <c r="Z434" s="1477"/>
      <c r="AA434" s="1477"/>
      <c r="AB434" s="1477"/>
      <c r="AC434" s="1477"/>
      <c r="AD434" s="1477"/>
      <c r="AE434" s="1477"/>
      <c r="AF434" s="1477"/>
      <c r="AG434" s="1477"/>
      <c r="AH434" s="1477"/>
      <c r="AI434" s="1477"/>
      <c r="AJ434" s="1477"/>
      <c r="AK434" s="1477"/>
      <c r="AL434" s="1477"/>
      <c r="AM434" s="1477"/>
      <c r="AN434" s="1477"/>
      <c r="AO434" s="284"/>
      <c r="AP434" s="1477"/>
      <c r="AQ434" s="1477"/>
      <c r="AR434" s="1477"/>
      <c r="AS434" s="1477"/>
      <c r="AT434" s="1477"/>
      <c r="AU434" s="1477"/>
      <c r="AV434" s="1477"/>
      <c r="AW434" s="1477"/>
      <c r="AX434" s="1477"/>
      <c r="AY434" s="1477"/>
      <c r="AZ434" s="1477"/>
      <c r="BA434" s="1477"/>
      <c r="BB434" s="1477"/>
      <c r="BC434" s="1477"/>
      <c r="BD434" s="1477"/>
      <c r="BE434" s="1477"/>
      <c r="BF434" s="1477"/>
      <c r="BG434" s="1477"/>
      <c r="BH434" s="1477"/>
      <c r="BI434" s="1477"/>
      <c r="BJ434" s="1477"/>
      <c r="BK434" s="1477"/>
      <c r="BL434" s="1477"/>
      <c r="BM434" s="1477"/>
      <c r="BN434" s="1477"/>
      <c r="BO434" s="1477"/>
      <c r="BP434" s="1477"/>
      <c r="BQ434" s="1477"/>
      <c r="BR434" s="1477"/>
      <c r="BS434" s="1477"/>
      <c r="BT434" s="1477"/>
      <c r="BU434" s="1477"/>
      <c r="BV434" s="1477"/>
      <c r="BW434" s="1477"/>
      <c r="BX434" s="1477"/>
      <c r="BY434" s="1477"/>
      <c r="BZ434" s="1477"/>
      <c r="CA434" s="1477"/>
      <c r="CB434" s="1477"/>
      <c r="CC434" s="1477"/>
      <c r="CD434" s="1477"/>
      <c r="CE434" s="1477"/>
      <c r="CF434" s="1477"/>
      <c r="CG434" s="1477"/>
      <c r="CH434" s="1477"/>
    </row>
    <row r="435" spans="2:86">
      <c r="B435" s="1477"/>
      <c r="C435" s="1477"/>
      <c r="D435" s="1477"/>
      <c r="E435" s="1477"/>
      <c r="F435" s="1477"/>
      <c r="G435" s="1477"/>
      <c r="H435" s="1477"/>
      <c r="I435" s="1477"/>
      <c r="J435" s="1477"/>
      <c r="K435" s="1477"/>
      <c r="L435" s="1477"/>
      <c r="M435" s="1477"/>
      <c r="N435" s="1477"/>
      <c r="O435" s="1477"/>
      <c r="P435" s="1477"/>
      <c r="Q435" s="1477"/>
      <c r="R435" s="1477"/>
      <c r="S435" s="1477"/>
      <c r="T435" s="1477"/>
      <c r="U435" s="1477"/>
      <c r="V435" s="1477"/>
      <c r="W435" s="1477"/>
      <c r="X435" s="1477"/>
      <c r="Y435" s="1477"/>
      <c r="Z435" s="1477"/>
      <c r="AA435" s="1477"/>
      <c r="AB435" s="1477"/>
      <c r="AC435" s="1477"/>
      <c r="AD435" s="1477"/>
      <c r="AE435" s="1477"/>
      <c r="AF435" s="1477"/>
      <c r="AG435" s="1477"/>
      <c r="AH435" s="1477"/>
      <c r="AI435" s="1477"/>
      <c r="AJ435" s="1477"/>
      <c r="AK435" s="1477"/>
      <c r="AL435" s="1477"/>
      <c r="AM435" s="1477"/>
      <c r="AN435" s="1477"/>
      <c r="AO435" s="284"/>
      <c r="AP435" s="1477"/>
      <c r="AQ435" s="1477"/>
      <c r="AR435" s="1477"/>
      <c r="AS435" s="1477"/>
      <c r="AT435" s="1477"/>
      <c r="AU435" s="1477"/>
      <c r="AV435" s="1477"/>
      <c r="AW435" s="1477"/>
      <c r="AX435" s="1477"/>
      <c r="AY435" s="1477"/>
      <c r="AZ435" s="1477"/>
      <c r="BA435" s="1477"/>
      <c r="BB435" s="1477"/>
      <c r="BC435" s="1477"/>
      <c r="BD435" s="1477"/>
      <c r="BE435" s="1477"/>
      <c r="BF435" s="1477"/>
      <c r="BG435" s="1477"/>
      <c r="BH435" s="1477"/>
      <c r="BI435" s="1477"/>
      <c r="BJ435" s="1477"/>
      <c r="BK435" s="1477"/>
      <c r="BL435" s="1477"/>
      <c r="BM435" s="1477"/>
      <c r="BN435" s="1477"/>
      <c r="BO435" s="1477"/>
      <c r="BP435" s="1477"/>
      <c r="BQ435" s="1477"/>
      <c r="BR435" s="1477"/>
      <c r="BS435" s="1477"/>
      <c r="BT435" s="1477"/>
      <c r="BU435" s="1477"/>
      <c r="BV435" s="1477"/>
      <c r="BW435" s="1477"/>
      <c r="BX435" s="1477"/>
      <c r="BY435" s="1477"/>
      <c r="BZ435" s="1477"/>
      <c r="CA435" s="1477"/>
      <c r="CB435" s="1477"/>
      <c r="CC435" s="1477"/>
      <c r="CD435" s="1477"/>
      <c r="CE435" s="1477"/>
      <c r="CF435" s="1477"/>
      <c r="CG435" s="1477"/>
      <c r="CH435" s="1477"/>
    </row>
    <row r="436" spans="2:86">
      <c r="B436" s="1477"/>
      <c r="C436" s="1477"/>
      <c r="D436" s="1477"/>
      <c r="E436" s="1477"/>
      <c r="F436" s="1477"/>
      <c r="G436" s="1477"/>
      <c r="H436" s="1477"/>
      <c r="I436" s="1477"/>
      <c r="J436" s="1477"/>
      <c r="K436" s="1477"/>
      <c r="L436" s="1477"/>
      <c r="M436" s="1477"/>
      <c r="N436" s="1477"/>
      <c r="O436" s="1477"/>
      <c r="P436" s="1477"/>
      <c r="Q436" s="1477"/>
      <c r="R436" s="1477"/>
      <c r="S436" s="1477"/>
      <c r="T436" s="1477"/>
      <c r="U436" s="1477"/>
      <c r="V436" s="1477"/>
      <c r="W436" s="1477"/>
      <c r="X436" s="1477"/>
      <c r="Y436" s="1477"/>
      <c r="Z436" s="1477"/>
      <c r="AA436" s="1477"/>
      <c r="AB436" s="1477"/>
      <c r="AC436" s="1477"/>
      <c r="AD436" s="1477"/>
      <c r="AE436" s="1477"/>
      <c r="AF436" s="1477"/>
      <c r="AG436" s="1477"/>
      <c r="AH436" s="1477"/>
      <c r="AI436" s="1477"/>
      <c r="AJ436" s="1477"/>
      <c r="AK436" s="1477"/>
      <c r="AL436" s="1477"/>
      <c r="AM436" s="1477"/>
      <c r="AN436" s="1477"/>
      <c r="AO436" s="284"/>
      <c r="AP436" s="1477"/>
      <c r="AQ436" s="1477"/>
      <c r="AR436" s="1477"/>
      <c r="AS436" s="1477"/>
      <c r="AT436" s="1477"/>
      <c r="AU436" s="1477"/>
      <c r="AV436" s="1477"/>
      <c r="AW436" s="1477"/>
      <c r="AX436" s="1477"/>
      <c r="AY436" s="1477"/>
      <c r="AZ436" s="1477"/>
      <c r="BA436" s="1477"/>
      <c r="BB436" s="1477"/>
      <c r="BC436" s="1477"/>
      <c r="BD436" s="1477"/>
      <c r="BE436" s="1477"/>
      <c r="BF436" s="1477"/>
      <c r="BG436" s="1477"/>
      <c r="BH436" s="1477"/>
      <c r="BI436" s="1477"/>
      <c r="BJ436" s="1477"/>
      <c r="BK436" s="1477"/>
      <c r="BL436" s="1477"/>
      <c r="BM436" s="1477"/>
      <c r="BN436" s="1477"/>
      <c r="BO436" s="1477"/>
      <c r="BP436" s="1477"/>
      <c r="BQ436" s="1477"/>
      <c r="BR436" s="1477"/>
      <c r="BS436" s="1477"/>
      <c r="BT436" s="1477"/>
      <c r="BU436" s="1477"/>
      <c r="BV436" s="1477"/>
      <c r="BW436" s="1477"/>
      <c r="BX436" s="1477"/>
      <c r="BY436" s="1477"/>
      <c r="BZ436" s="1477"/>
      <c r="CA436" s="1477"/>
      <c r="CB436" s="1477"/>
      <c r="CC436" s="1477"/>
      <c r="CD436" s="1477"/>
      <c r="CE436" s="1477"/>
      <c r="CF436" s="1477"/>
      <c r="CG436" s="1477"/>
      <c r="CH436" s="1477"/>
    </row>
    <row r="437" spans="2:86">
      <c r="B437" s="1477"/>
      <c r="C437" s="1477"/>
      <c r="D437" s="1477"/>
      <c r="E437" s="1477"/>
      <c r="F437" s="1477"/>
      <c r="G437" s="1477"/>
      <c r="H437" s="1477"/>
      <c r="I437" s="1477"/>
      <c r="J437" s="1477"/>
      <c r="K437" s="1477"/>
      <c r="L437" s="1477"/>
      <c r="M437" s="1477"/>
      <c r="N437" s="1477"/>
      <c r="O437" s="1477"/>
      <c r="P437" s="1477"/>
      <c r="Q437" s="1477"/>
      <c r="R437" s="1477"/>
      <c r="S437" s="1477"/>
      <c r="T437" s="1477"/>
      <c r="U437" s="1477"/>
      <c r="V437" s="1477"/>
      <c r="W437" s="1477"/>
      <c r="X437" s="1477"/>
      <c r="Y437" s="1477"/>
      <c r="Z437" s="1477"/>
      <c r="AA437" s="1477"/>
      <c r="AB437" s="1477"/>
      <c r="AC437" s="1477"/>
      <c r="AD437" s="1477"/>
      <c r="AE437" s="1477"/>
      <c r="AF437" s="1477"/>
      <c r="AG437" s="1477"/>
      <c r="AH437" s="1477"/>
      <c r="AI437" s="1477"/>
      <c r="AJ437" s="1477"/>
      <c r="AK437" s="1477"/>
      <c r="AL437" s="1477"/>
      <c r="AM437" s="1477"/>
      <c r="AN437" s="1477"/>
      <c r="AO437" s="284"/>
      <c r="AP437" s="1477"/>
      <c r="AQ437" s="1477"/>
      <c r="AR437" s="1477"/>
      <c r="AS437" s="1477"/>
      <c r="AT437" s="1477"/>
      <c r="AU437" s="1477"/>
      <c r="AV437" s="1477"/>
      <c r="AW437" s="1477"/>
      <c r="AX437" s="1477"/>
      <c r="AY437" s="1477"/>
      <c r="AZ437" s="1477"/>
      <c r="BA437" s="1477"/>
      <c r="BB437" s="1477"/>
      <c r="BC437" s="1477"/>
      <c r="BD437" s="1477"/>
      <c r="BE437" s="1477"/>
      <c r="BF437" s="1477"/>
      <c r="BG437" s="1477"/>
      <c r="BH437" s="1477"/>
      <c r="BI437" s="1477"/>
      <c r="BJ437" s="1477"/>
      <c r="BK437" s="1477"/>
      <c r="BL437" s="1477"/>
      <c r="BM437" s="1477"/>
      <c r="BN437" s="1477"/>
      <c r="BO437" s="1477"/>
      <c r="BP437" s="1477"/>
      <c r="BQ437" s="1477"/>
      <c r="BR437" s="1477"/>
      <c r="BS437" s="1477"/>
      <c r="BT437" s="1477"/>
      <c r="BU437" s="1477"/>
      <c r="BV437" s="1477"/>
      <c r="BW437" s="1477"/>
      <c r="BX437" s="1477"/>
      <c r="BY437" s="1477"/>
      <c r="BZ437" s="1477"/>
      <c r="CA437" s="1477"/>
      <c r="CB437" s="1477"/>
      <c r="CC437" s="1477"/>
      <c r="CD437" s="1477"/>
      <c r="CE437" s="1477"/>
      <c r="CF437" s="1477"/>
      <c r="CG437" s="1477"/>
      <c r="CH437" s="1477"/>
    </row>
    <row r="438" spans="2:86">
      <c r="B438" s="1477"/>
      <c r="C438" s="1477"/>
      <c r="D438" s="1477"/>
      <c r="E438" s="1477"/>
      <c r="F438" s="1477"/>
      <c r="G438" s="1477"/>
      <c r="H438" s="1477"/>
      <c r="I438" s="1477"/>
      <c r="J438" s="1477"/>
      <c r="K438" s="1477"/>
      <c r="L438" s="1477"/>
      <c r="M438" s="1477"/>
      <c r="N438" s="1477"/>
      <c r="O438" s="1477"/>
      <c r="P438" s="1477"/>
      <c r="Q438" s="1477"/>
      <c r="R438" s="1477"/>
      <c r="S438" s="1477"/>
      <c r="T438" s="1477"/>
      <c r="U438" s="1477"/>
      <c r="V438" s="1477"/>
      <c r="W438" s="1477"/>
      <c r="X438" s="1477"/>
      <c r="Y438" s="1477"/>
      <c r="Z438" s="1477"/>
      <c r="AA438" s="1477"/>
      <c r="AB438" s="1477"/>
      <c r="AC438" s="1477"/>
      <c r="AD438" s="1477"/>
      <c r="AE438" s="1477"/>
      <c r="AF438" s="1477"/>
      <c r="AG438" s="1477"/>
      <c r="AH438" s="1477"/>
      <c r="AI438" s="1477"/>
      <c r="AJ438" s="1477"/>
      <c r="AK438" s="1477"/>
      <c r="AL438" s="1477"/>
      <c r="AM438" s="1477"/>
      <c r="AN438" s="1477"/>
      <c r="AO438" s="284"/>
      <c r="AP438" s="1477"/>
      <c r="AQ438" s="1477"/>
      <c r="AR438" s="1477"/>
      <c r="AS438" s="1477"/>
      <c r="AT438" s="1477"/>
      <c r="AU438" s="1477"/>
      <c r="AV438" s="1477"/>
      <c r="AW438" s="1477"/>
      <c r="AX438" s="1477"/>
      <c r="AY438" s="1477"/>
      <c r="AZ438" s="1477"/>
      <c r="BA438" s="1477"/>
      <c r="BB438" s="1477"/>
      <c r="BC438" s="1477"/>
      <c r="BD438" s="1477"/>
      <c r="BE438" s="1477"/>
      <c r="BF438" s="1477"/>
      <c r="BG438" s="1477"/>
      <c r="BH438" s="1477"/>
      <c r="BI438" s="1477"/>
      <c r="BJ438" s="1477"/>
      <c r="BK438" s="1477"/>
      <c r="BL438" s="1477"/>
      <c r="BM438" s="1477"/>
      <c r="BN438" s="1477"/>
      <c r="BO438" s="1477"/>
      <c r="BP438" s="1477"/>
      <c r="BQ438" s="1477"/>
      <c r="BR438" s="1477"/>
      <c r="BS438" s="1477"/>
      <c r="BT438" s="1477"/>
      <c r="BU438" s="1477"/>
      <c r="BV438" s="1477"/>
      <c r="BW438" s="1477"/>
      <c r="BX438" s="1477"/>
      <c r="BY438" s="1477"/>
      <c r="BZ438" s="1477"/>
      <c r="CA438" s="1477"/>
      <c r="CB438" s="1477"/>
      <c r="CC438" s="1477"/>
      <c r="CD438" s="1477"/>
      <c r="CE438" s="1477"/>
      <c r="CF438" s="1477"/>
      <c r="CG438" s="1477"/>
      <c r="CH438" s="1477"/>
    </row>
    <row r="439" spans="2:86">
      <c r="B439" s="1477"/>
      <c r="C439" s="1477"/>
      <c r="D439" s="1477"/>
      <c r="E439" s="1477"/>
      <c r="F439" s="1477"/>
      <c r="G439" s="1477"/>
      <c r="H439" s="1477"/>
      <c r="I439" s="1477"/>
      <c r="J439" s="1477"/>
      <c r="K439" s="1477"/>
      <c r="L439" s="1477"/>
      <c r="M439" s="1477"/>
      <c r="N439" s="1477"/>
      <c r="O439" s="1477"/>
      <c r="P439" s="1477"/>
      <c r="Q439" s="1477"/>
      <c r="R439" s="1477"/>
      <c r="S439" s="1477"/>
      <c r="T439" s="1477"/>
      <c r="U439" s="1477"/>
      <c r="V439" s="1477"/>
      <c r="W439" s="1477"/>
      <c r="X439" s="1477"/>
      <c r="Y439" s="1477"/>
      <c r="Z439" s="1477"/>
      <c r="AA439" s="1477"/>
      <c r="AB439" s="1477"/>
      <c r="AC439" s="1477"/>
      <c r="AD439" s="1477"/>
      <c r="AE439" s="1477"/>
      <c r="AF439" s="1477"/>
      <c r="AG439" s="1477"/>
      <c r="AH439" s="1477"/>
      <c r="AI439" s="1477"/>
      <c r="AJ439" s="1477"/>
      <c r="AK439" s="1477"/>
      <c r="AL439" s="1477"/>
      <c r="AM439" s="1477"/>
      <c r="AN439" s="1477"/>
      <c r="AO439" s="284"/>
      <c r="AP439" s="1477"/>
      <c r="AQ439" s="1477"/>
      <c r="AR439" s="1477"/>
      <c r="AS439" s="1477"/>
      <c r="AT439" s="1477"/>
      <c r="AU439" s="1477"/>
      <c r="AV439" s="1477"/>
      <c r="AW439" s="1477"/>
      <c r="AX439" s="1477"/>
      <c r="AY439" s="1477"/>
      <c r="AZ439" s="1477"/>
      <c r="BA439" s="1477"/>
      <c r="BB439" s="1477"/>
      <c r="BC439" s="1477"/>
      <c r="BD439" s="1477"/>
      <c r="BE439" s="1477"/>
      <c r="BF439" s="1477"/>
      <c r="BG439" s="1477"/>
      <c r="BH439" s="1477"/>
      <c r="BI439" s="1477"/>
      <c r="BJ439" s="1477"/>
      <c r="BK439" s="1477"/>
      <c r="BL439" s="1477"/>
      <c r="BM439" s="1477"/>
      <c r="BN439" s="1477"/>
      <c r="BO439" s="1477"/>
      <c r="BP439" s="1477"/>
      <c r="BQ439" s="1477"/>
      <c r="BR439" s="1477"/>
      <c r="BS439" s="1477"/>
      <c r="BT439" s="1477"/>
      <c r="BU439" s="1477"/>
      <c r="BV439" s="1477"/>
      <c r="BW439" s="1477"/>
      <c r="BX439" s="1477"/>
      <c r="BY439" s="1477"/>
      <c r="BZ439" s="1477"/>
      <c r="CA439" s="1477"/>
      <c r="CB439" s="1477"/>
      <c r="CC439" s="1477"/>
      <c r="CD439" s="1477"/>
      <c r="CE439" s="1477"/>
      <c r="CF439" s="1477"/>
      <c r="CG439" s="1477"/>
      <c r="CH439" s="1477"/>
    </row>
    <row r="440" spans="2:86">
      <c r="B440" s="1477"/>
      <c r="C440" s="1477"/>
      <c r="D440" s="1477"/>
      <c r="E440" s="1477"/>
      <c r="F440" s="1477"/>
      <c r="G440" s="1477"/>
      <c r="H440" s="1477"/>
      <c r="I440" s="1477"/>
      <c r="J440" s="1477"/>
      <c r="K440" s="1477"/>
      <c r="L440" s="1477"/>
      <c r="M440" s="1477"/>
      <c r="N440" s="1477"/>
      <c r="O440" s="1477"/>
      <c r="P440" s="1477"/>
      <c r="Q440" s="1477"/>
      <c r="R440" s="1477"/>
      <c r="S440" s="1477"/>
      <c r="T440" s="1477"/>
      <c r="U440" s="1477"/>
      <c r="V440" s="1477"/>
      <c r="W440" s="1477"/>
      <c r="X440" s="1477"/>
      <c r="Y440" s="1477"/>
      <c r="Z440" s="1477"/>
      <c r="AA440" s="1477"/>
      <c r="AB440" s="1477"/>
      <c r="AC440" s="1477"/>
      <c r="AD440" s="1477"/>
      <c r="AE440" s="1477"/>
      <c r="AF440" s="1477"/>
      <c r="AG440" s="1477"/>
      <c r="AH440" s="1477"/>
      <c r="AI440" s="1477"/>
      <c r="AJ440" s="1477"/>
      <c r="AK440" s="1477"/>
      <c r="AL440" s="1477"/>
      <c r="AM440" s="1477"/>
      <c r="AN440" s="1477"/>
      <c r="AO440" s="284"/>
      <c r="AP440" s="1477"/>
      <c r="AQ440" s="1477"/>
      <c r="AR440" s="1477"/>
      <c r="AS440" s="1477"/>
      <c r="AT440" s="1477"/>
      <c r="AU440" s="1477"/>
      <c r="AV440" s="1477"/>
      <c r="AW440" s="1477"/>
      <c r="AX440" s="1477"/>
      <c r="AY440" s="1477"/>
      <c r="AZ440" s="1477"/>
      <c r="BA440" s="1477"/>
      <c r="BB440" s="1477"/>
      <c r="BC440" s="1477"/>
      <c r="BD440" s="1477"/>
      <c r="BE440" s="1477"/>
      <c r="BF440" s="1477"/>
      <c r="BG440" s="1477"/>
      <c r="BH440" s="1477"/>
      <c r="BI440" s="1477"/>
      <c r="BJ440" s="1477"/>
      <c r="BK440" s="1477"/>
      <c r="BL440" s="1477"/>
      <c r="BM440" s="1477"/>
      <c r="BN440" s="1477"/>
      <c r="BO440" s="1477"/>
      <c r="BP440" s="1477"/>
      <c r="BQ440" s="1477"/>
      <c r="BR440" s="1477"/>
      <c r="BS440" s="1477"/>
      <c r="BT440" s="1477"/>
      <c r="BU440" s="1477"/>
      <c r="BV440" s="1477"/>
      <c r="BW440" s="1477"/>
      <c r="BX440" s="1477"/>
      <c r="BY440" s="1477"/>
      <c r="BZ440" s="1477"/>
      <c r="CA440" s="1477"/>
      <c r="CB440" s="1477"/>
      <c r="CC440" s="1477"/>
      <c r="CD440" s="1477"/>
      <c r="CE440" s="1477"/>
      <c r="CF440" s="1477"/>
      <c r="CG440" s="1477"/>
      <c r="CH440" s="1477"/>
    </row>
    <row r="441" spans="2:86">
      <c r="B441" s="1477"/>
      <c r="C441" s="1477"/>
      <c r="D441" s="1477"/>
      <c r="E441" s="1477"/>
      <c r="F441" s="1477"/>
      <c r="G441" s="1477"/>
      <c r="H441" s="1477"/>
      <c r="I441" s="1477"/>
      <c r="J441" s="1477"/>
      <c r="K441" s="1477"/>
      <c r="L441" s="1477"/>
      <c r="M441" s="1477"/>
      <c r="N441" s="1477"/>
      <c r="O441" s="1477"/>
      <c r="P441" s="1477"/>
      <c r="Q441" s="1477"/>
      <c r="R441" s="1477"/>
      <c r="S441" s="1477"/>
      <c r="T441" s="1477"/>
      <c r="U441" s="1477"/>
      <c r="V441" s="1477"/>
      <c r="W441" s="1477"/>
      <c r="X441" s="1477"/>
      <c r="Y441" s="1477"/>
      <c r="Z441" s="1477"/>
      <c r="AA441" s="1477"/>
      <c r="AB441" s="1477"/>
      <c r="AC441" s="1477"/>
      <c r="AD441" s="1477"/>
      <c r="AE441" s="1477"/>
      <c r="AF441" s="1477"/>
      <c r="AG441" s="1477"/>
      <c r="AH441" s="1477"/>
      <c r="AI441" s="1477"/>
      <c r="AJ441" s="1477"/>
      <c r="AK441" s="1477"/>
      <c r="AL441" s="1477"/>
      <c r="AM441" s="1477"/>
      <c r="AN441" s="1477"/>
      <c r="AO441" s="284"/>
      <c r="AP441" s="1477"/>
      <c r="AQ441" s="1477"/>
      <c r="AR441" s="1477"/>
      <c r="AS441" s="1477"/>
      <c r="AT441" s="1477"/>
      <c r="AU441" s="1477"/>
      <c r="AV441" s="1477"/>
      <c r="AW441" s="1477"/>
      <c r="AX441" s="1477"/>
      <c r="AY441" s="1477"/>
      <c r="AZ441" s="1477"/>
      <c r="BA441" s="1477"/>
      <c r="BB441" s="1477"/>
      <c r="BC441" s="1477"/>
      <c r="BD441" s="1477"/>
      <c r="BE441" s="1477"/>
      <c r="BF441" s="1477"/>
      <c r="BG441" s="1477"/>
      <c r="BH441" s="1477"/>
      <c r="BI441" s="1477"/>
      <c r="BJ441" s="1477"/>
      <c r="BK441" s="1477"/>
      <c r="BL441" s="1477"/>
      <c r="BM441" s="1477"/>
      <c r="BN441" s="1477"/>
      <c r="BO441" s="1477"/>
      <c r="BP441" s="1477"/>
      <c r="BQ441" s="1477"/>
      <c r="BR441" s="1477"/>
      <c r="BS441" s="1477"/>
      <c r="BT441" s="1477"/>
      <c r="BU441" s="1477"/>
      <c r="BV441" s="1477"/>
      <c r="BW441" s="1477"/>
      <c r="BX441" s="1477"/>
      <c r="BY441" s="1477"/>
      <c r="BZ441" s="1477"/>
      <c r="CA441" s="1477"/>
      <c r="CB441" s="1477"/>
      <c r="CC441" s="1477"/>
      <c r="CD441" s="1477"/>
      <c r="CE441" s="1477"/>
      <c r="CF441" s="1477"/>
      <c r="CG441" s="1477"/>
      <c r="CH441" s="1477"/>
    </row>
    <row r="442" spans="2:86">
      <c r="B442" s="1477"/>
      <c r="C442" s="1477"/>
      <c r="D442" s="1477"/>
      <c r="E442" s="1477"/>
      <c r="F442" s="1477"/>
      <c r="G442" s="1477"/>
      <c r="H442" s="1477"/>
      <c r="I442" s="1477"/>
      <c r="J442" s="1477"/>
      <c r="K442" s="1477"/>
      <c r="L442" s="1477"/>
      <c r="M442" s="1477"/>
      <c r="N442" s="1477"/>
      <c r="O442" s="1477"/>
      <c r="P442" s="1477"/>
      <c r="Q442" s="1477"/>
      <c r="R442" s="1477"/>
      <c r="S442" s="1477"/>
      <c r="T442" s="1477"/>
      <c r="U442" s="1477"/>
      <c r="V442" s="1477"/>
      <c r="W442" s="1477"/>
      <c r="X442" s="1477"/>
      <c r="Y442" s="1477"/>
      <c r="Z442" s="1477"/>
      <c r="AA442" s="1477"/>
      <c r="AB442" s="1477"/>
      <c r="AC442" s="1477"/>
      <c r="AD442" s="1477"/>
      <c r="AE442" s="1477"/>
      <c r="AF442" s="1477"/>
      <c r="AG442" s="1477"/>
      <c r="AH442" s="1477"/>
      <c r="AI442" s="1477"/>
      <c r="AJ442" s="1477"/>
      <c r="AK442" s="1477"/>
      <c r="AL442" s="1477"/>
      <c r="AM442" s="1477"/>
      <c r="AN442" s="1477"/>
      <c r="AO442" s="284"/>
      <c r="AP442" s="1477"/>
      <c r="AQ442" s="1477"/>
      <c r="AR442" s="1477"/>
      <c r="AS442" s="1477"/>
      <c r="AT442" s="1477"/>
      <c r="AU442" s="1477"/>
      <c r="AV442" s="1477"/>
      <c r="AW442" s="1477"/>
      <c r="AX442" s="1477"/>
      <c r="AY442" s="1477"/>
      <c r="AZ442" s="1477"/>
      <c r="BA442" s="1477"/>
      <c r="BB442" s="1477"/>
      <c r="BC442" s="1477"/>
      <c r="BD442" s="1477"/>
      <c r="BE442" s="1477"/>
      <c r="BF442" s="1477"/>
      <c r="BG442" s="1477"/>
      <c r="BH442" s="1477"/>
      <c r="BI442" s="1477"/>
      <c r="BJ442" s="1477"/>
      <c r="BK442" s="1477"/>
      <c r="BL442" s="1477"/>
      <c r="BM442" s="1477"/>
      <c r="BN442" s="1477"/>
      <c r="BO442" s="1477"/>
      <c r="BP442" s="1477"/>
      <c r="BQ442" s="1477"/>
      <c r="BR442" s="1477"/>
      <c r="BS442" s="1477"/>
      <c r="BT442" s="1477"/>
      <c r="BU442" s="1477"/>
      <c r="BV442" s="1477"/>
      <c r="BW442" s="1477"/>
      <c r="BX442" s="1477"/>
      <c r="BY442" s="1477"/>
      <c r="BZ442" s="1477"/>
      <c r="CA442" s="1477"/>
      <c r="CB442" s="1477"/>
      <c r="CC442" s="1477"/>
      <c r="CD442" s="1477"/>
      <c r="CE442" s="1477"/>
      <c r="CF442" s="1477"/>
      <c r="CG442" s="1477"/>
      <c r="CH442" s="1477"/>
    </row>
    <row r="443" spans="2:86">
      <c r="B443" s="1477"/>
      <c r="C443" s="1477"/>
      <c r="D443" s="1477"/>
      <c r="E443" s="1477"/>
      <c r="F443" s="1477"/>
      <c r="G443" s="1477"/>
      <c r="H443" s="1477"/>
      <c r="I443" s="1477"/>
      <c r="J443" s="1477"/>
      <c r="K443" s="1477"/>
      <c r="L443" s="1477"/>
      <c r="M443" s="1477"/>
      <c r="N443" s="1477"/>
      <c r="O443" s="1477"/>
      <c r="P443" s="1477"/>
      <c r="Q443" s="1477"/>
      <c r="R443" s="1477"/>
      <c r="S443" s="1477"/>
      <c r="T443" s="1477"/>
      <c r="U443" s="1477"/>
      <c r="V443" s="1477"/>
      <c r="W443" s="1477"/>
      <c r="X443" s="1477"/>
      <c r="Y443" s="1477"/>
      <c r="Z443" s="1477"/>
      <c r="AA443" s="1477"/>
      <c r="AB443" s="1477"/>
      <c r="AC443" s="1477"/>
      <c r="AD443" s="1477"/>
      <c r="AE443" s="1477"/>
      <c r="AF443" s="1477"/>
      <c r="AG443" s="1477"/>
      <c r="AH443" s="1477"/>
      <c r="AI443" s="1477"/>
      <c r="AJ443" s="1477"/>
      <c r="AK443" s="1477"/>
      <c r="AL443" s="1477"/>
      <c r="AM443" s="1477"/>
      <c r="AN443" s="1477"/>
      <c r="AO443" s="284"/>
      <c r="AP443" s="1477"/>
      <c r="AQ443" s="1477"/>
      <c r="AR443" s="1477"/>
      <c r="AS443" s="1477"/>
      <c r="AT443" s="1477"/>
      <c r="AU443" s="1477"/>
      <c r="AV443" s="1477"/>
      <c r="AW443" s="1477"/>
      <c r="AX443" s="1477"/>
      <c r="AY443" s="1477"/>
      <c r="AZ443" s="1477"/>
      <c r="BA443" s="1477"/>
      <c r="BB443" s="1477"/>
      <c r="BC443" s="1477"/>
      <c r="BD443" s="1477"/>
      <c r="BE443" s="1477"/>
      <c r="BF443" s="1477"/>
      <c r="BG443" s="1477"/>
      <c r="BH443" s="1477"/>
      <c r="BI443" s="1477"/>
      <c r="BJ443" s="1477"/>
      <c r="BK443" s="1477"/>
      <c r="BL443" s="1477"/>
      <c r="BM443" s="1477"/>
      <c r="BN443" s="1477"/>
      <c r="BO443" s="1477"/>
      <c r="BP443" s="1477"/>
      <c r="BQ443" s="1477"/>
      <c r="BR443" s="1477"/>
      <c r="BS443" s="1477"/>
      <c r="BT443" s="1477"/>
      <c r="BU443" s="1477"/>
      <c r="BV443" s="1477"/>
      <c r="BW443" s="1477"/>
      <c r="BX443" s="1477"/>
      <c r="BY443" s="1477"/>
      <c r="BZ443" s="1477"/>
      <c r="CA443" s="1477"/>
      <c r="CB443" s="1477"/>
      <c r="CC443" s="1477"/>
      <c r="CD443" s="1477"/>
      <c r="CE443" s="1477"/>
      <c r="CF443" s="1477"/>
      <c r="CG443" s="1477"/>
      <c r="CH443" s="1477"/>
    </row>
    <row r="444" spans="2:86">
      <c r="B444" s="1477"/>
      <c r="C444" s="1477"/>
      <c r="D444" s="1477"/>
      <c r="E444" s="1477"/>
      <c r="F444" s="1477"/>
      <c r="G444" s="1477"/>
      <c r="H444" s="1477"/>
      <c r="I444" s="1477"/>
      <c r="J444" s="1477"/>
      <c r="K444" s="1477"/>
      <c r="L444" s="1477"/>
      <c r="M444" s="1477"/>
      <c r="N444" s="1477"/>
      <c r="O444" s="1477"/>
      <c r="P444" s="1477"/>
      <c r="Q444" s="1477"/>
      <c r="R444" s="1477"/>
      <c r="S444" s="1477"/>
      <c r="T444" s="1477"/>
      <c r="U444" s="1477"/>
      <c r="V444" s="1477"/>
      <c r="W444" s="1477"/>
      <c r="X444" s="1477"/>
      <c r="Y444" s="1477"/>
      <c r="Z444" s="1477"/>
      <c r="AA444" s="1477"/>
      <c r="AB444" s="1477"/>
      <c r="AC444" s="1477"/>
      <c r="AD444" s="1477"/>
      <c r="AE444" s="1477"/>
      <c r="AF444" s="1477"/>
      <c r="AG444" s="1477"/>
      <c r="AH444" s="1477"/>
      <c r="AI444" s="1477"/>
      <c r="AJ444" s="1477"/>
      <c r="AK444" s="1477"/>
      <c r="AL444" s="1477"/>
      <c r="AM444" s="1477"/>
      <c r="AN444" s="1477"/>
      <c r="AO444" s="284"/>
      <c r="AP444" s="1477"/>
      <c r="AQ444" s="1477"/>
      <c r="AR444" s="1477"/>
      <c r="AS444" s="1477"/>
      <c r="AT444" s="1477"/>
      <c r="AU444" s="1477"/>
      <c r="AV444" s="1477"/>
      <c r="AW444" s="1477"/>
      <c r="AX444" s="1477"/>
      <c r="AY444" s="1477"/>
      <c r="AZ444" s="1477"/>
      <c r="BA444" s="1477"/>
      <c r="BB444" s="1477"/>
      <c r="BC444" s="1477"/>
      <c r="BD444" s="1477"/>
      <c r="BE444" s="1477"/>
      <c r="BF444" s="1477"/>
      <c r="BG444" s="1477"/>
      <c r="BH444" s="1477"/>
      <c r="BI444" s="1477"/>
      <c r="BJ444" s="1477"/>
      <c r="BK444" s="1477"/>
      <c r="BL444" s="1477"/>
      <c r="BM444" s="1477"/>
      <c r="BN444" s="1477"/>
      <c r="BO444" s="1477"/>
      <c r="BP444" s="1477"/>
      <c r="BQ444" s="1477"/>
      <c r="BR444" s="1477"/>
      <c r="BS444" s="1477"/>
      <c r="BT444" s="1477"/>
      <c r="BU444" s="1477"/>
      <c r="BV444" s="1477"/>
      <c r="BW444" s="1477"/>
      <c r="BX444" s="1477"/>
      <c r="BY444" s="1477"/>
      <c r="BZ444" s="1477"/>
      <c r="CA444" s="1477"/>
      <c r="CB444" s="1477"/>
      <c r="CC444" s="1477"/>
      <c r="CD444" s="1477"/>
      <c r="CE444" s="1477"/>
      <c r="CF444" s="1477"/>
      <c r="CG444" s="1477"/>
      <c r="CH444" s="1477"/>
    </row>
    <row r="445" spans="2:86">
      <c r="B445" s="1477"/>
      <c r="C445" s="1477"/>
      <c r="D445" s="1477"/>
      <c r="E445" s="1477"/>
      <c r="F445" s="1477"/>
      <c r="G445" s="1477"/>
      <c r="H445" s="1477"/>
      <c r="I445" s="1477"/>
      <c r="J445" s="1477"/>
      <c r="K445" s="1477"/>
      <c r="L445" s="1477"/>
      <c r="M445" s="1477"/>
      <c r="N445" s="1477"/>
      <c r="O445" s="1477"/>
      <c r="P445" s="1477"/>
      <c r="Q445" s="1477"/>
      <c r="R445" s="1477"/>
      <c r="S445" s="1477"/>
      <c r="T445" s="1477"/>
      <c r="U445" s="1477"/>
      <c r="V445" s="1477"/>
      <c r="W445" s="1477"/>
      <c r="X445" s="1477"/>
      <c r="Y445" s="1477"/>
      <c r="Z445" s="1477"/>
      <c r="AA445" s="1477"/>
      <c r="AB445" s="1477"/>
      <c r="AC445" s="1477"/>
      <c r="AD445" s="1477"/>
      <c r="AE445" s="1477"/>
      <c r="AF445" s="1477"/>
      <c r="AG445" s="1477"/>
      <c r="AH445" s="1477"/>
      <c r="AI445" s="1477"/>
      <c r="AJ445" s="1477"/>
      <c r="AK445" s="1477"/>
      <c r="AL445" s="1477"/>
      <c r="AM445" s="1477"/>
      <c r="AN445" s="1477"/>
      <c r="AO445" s="284"/>
      <c r="AP445" s="1477"/>
      <c r="AQ445" s="1477"/>
      <c r="AR445" s="1477"/>
      <c r="AS445" s="1477"/>
      <c r="AT445" s="1477"/>
      <c r="AU445" s="1477"/>
      <c r="AV445" s="1477"/>
      <c r="AW445" s="1477"/>
      <c r="AX445" s="1477"/>
      <c r="AY445" s="1477"/>
      <c r="AZ445" s="1477"/>
      <c r="BA445" s="1477"/>
      <c r="BB445" s="1477"/>
      <c r="BC445" s="1477"/>
      <c r="BD445" s="1477"/>
      <c r="BE445" s="1477"/>
      <c r="BF445" s="1477"/>
      <c r="BG445" s="1477"/>
      <c r="BH445" s="1477"/>
      <c r="BI445" s="1477"/>
      <c r="BJ445" s="1477"/>
      <c r="BK445" s="1477"/>
      <c r="BL445" s="1477"/>
      <c r="BM445" s="1477"/>
      <c r="BN445" s="1477"/>
      <c r="BO445" s="1477"/>
      <c r="BP445" s="1477"/>
      <c r="BQ445" s="1477"/>
      <c r="BR445" s="1477"/>
      <c r="BS445" s="1477"/>
      <c r="BT445" s="1477"/>
      <c r="BU445" s="1477"/>
      <c r="BV445" s="1477"/>
      <c r="BW445" s="1477"/>
      <c r="BX445" s="1477"/>
      <c r="BY445" s="1477"/>
      <c r="BZ445" s="1477"/>
      <c r="CA445" s="1477"/>
      <c r="CB445" s="1477"/>
      <c r="CC445" s="1477"/>
      <c r="CD445" s="1477"/>
      <c r="CE445" s="1477"/>
      <c r="CF445" s="1477"/>
      <c r="CG445" s="1477"/>
      <c r="CH445" s="1477"/>
    </row>
    <row r="446" spans="2:86">
      <c r="B446" s="1477"/>
      <c r="C446" s="1477"/>
      <c r="D446" s="1477"/>
      <c r="E446" s="1477"/>
      <c r="F446" s="1477"/>
      <c r="G446" s="1477"/>
      <c r="H446" s="1477"/>
      <c r="I446" s="1477"/>
      <c r="J446" s="1477"/>
      <c r="K446" s="1477"/>
      <c r="L446" s="1477"/>
      <c r="M446" s="1477"/>
      <c r="N446" s="1477"/>
      <c r="O446" s="1477"/>
      <c r="P446" s="1477"/>
      <c r="Q446" s="1477"/>
      <c r="R446" s="1477"/>
      <c r="S446" s="1477"/>
      <c r="T446" s="1477"/>
      <c r="U446" s="1477"/>
      <c r="V446" s="1477"/>
      <c r="W446" s="1477"/>
      <c r="X446" s="1477"/>
      <c r="Y446" s="1477"/>
      <c r="Z446" s="1477"/>
      <c r="AA446" s="1477"/>
      <c r="AB446" s="1477"/>
      <c r="AC446" s="1477"/>
      <c r="AD446" s="1477"/>
      <c r="AE446" s="1477"/>
      <c r="AF446" s="1477"/>
      <c r="AG446" s="1477"/>
      <c r="AH446" s="1477"/>
      <c r="AI446" s="1477"/>
      <c r="AJ446" s="1477"/>
      <c r="AK446" s="1477"/>
      <c r="AL446" s="1477"/>
      <c r="AM446" s="1477"/>
      <c r="AN446" s="1477"/>
      <c r="AO446" s="284"/>
      <c r="AP446" s="1477"/>
      <c r="AQ446" s="1477"/>
      <c r="AR446" s="1477"/>
      <c r="AS446" s="1477"/>
      <c r="AT446" s="1477"/>
      <c r="AU446" s="1477"/>
      <c r="AV446" s="1477"/>
      <c r="AW446" s="1477"/>
      <c r="AX446" s="1477"/>
      <c r="AY446" s="1477"/>
      <c r="AZ446" s="1477"/>
      <c r="BA446" s="1477"/>
      <c r="BB446" s="1477"/>
      <c r="BC446" s="1477"/>
      <c r="BD446" s="1477"/>
      <c r="BE446" s="1477"/>
      <c r="BF446" s="1477"/>
      <c r="BG446" s="1477"/>
      <c r="BH446" s="1477"/>
      <c r="BI446" s="1477"/>
      <c r="BJ446" s="1477"/>
      <c r="BK446" s="1477"/>
      <c r="BL446" s="1477"/>
      <c r="BM446" s="1477"/>
      <c r="BN446" s="1477"/>
      <c r="BO446" s="1477"/>
      <c r="BP446" s="1477"/>
      <c r="BQ446" s="1477"/>
      <c r="BR446" s="1477"/>
      <c r="BS446" s="1477"/>
      <c r="BT446" s="1477"/>
      <c r="BU446" s="1477"/>
      <c r="BV446" s="1477"/>
      <c r="BW446" s="1477"/>
      <c r="BX446" s="1477"/>
      <c r="BY446" s="1477"/>
      <c r="BZ446" s="1477"/>
      <c r="CA446" s="1477"/>
      <c r="CB446" s="1477"/>
      <c r="CC446" s="1477"/>
      <c r="CD446" s="1477"/>
      <c r="CE446" s="1477"/>
      <c r="CF446" s="1477"/>
      <c r="CG446" s="1477"/>
      <c r="CH446" s="1477"/>
    </row>
    <row r="447" spans="2:86">
      <c r="B447" s="1477"/>
      <c r="C447" s="1477"/>
      <c r="D447" s="1477"/>
      <c r="E447" s="1477"/>
      <c r="F447" s="1477"/>
      <c r="G447" s="1477"/>
      <c r="H447" s="1477"/>
      <c r="I447" s="1477"/>
      <c r="J447" s="1477"/>
      <c r="K447" s="1477"/>
      <c r="L447" s="1477"/>
      <c r="M447" s="1477"/>
      <c r="N447" s="1477"/>
      <c r="O447" s="1477"/>
      <c r="P447" s="1477"/>
      <c r="Q447" s="1477"/>
      <c r="R447" s="1477"/>
      <c r="S447" s="1477"/>
      <c r="T447" s="1477"/>
      <c r="U447" s="1477"/>
      <c r="V447" s="1477"/>
      <c r="W447" s="1477"/>
      <c r="X447" s="1477"/>
      <c r="Y447" s="1477"/>
      <c r="Z447" s="1477"/>
      <c r="AA447" s="1477"/>
      <c r="AB447" s="1477"/>
      <c r="AC447" s="1477"/>
      <c r="AD447" s="1477"/>
      <c r="AE447" s="1477"/>
      <c r="AF447" s="1477"/>
      <c r="AG447" s="1477"/>
      <c r="AH447" s="1477"/>
      <c r="AI447" s="1477"/>
      <c r="AJ447" s="1477"/>
      <c r="AK447" s="1477"/>
      <c r="AL447" s="1477"/>
      <c r="AM447" s="1477"/>
      <c r="AN447" s="1477"/>
      <c r="AO447" s="284"/>
      <c r="AP447" s="1477"/>
      <c r="AQ447" s="1477"/>
      <c r="AR447" s="1477"/>
      <c r="AS447" s="1477"/>
      <c r="AT447" s="1477"/>
      <c r="AU447" s="1477"/>
      <c r="AV447" s="1477"/>
      <c r="AW447" s="1477"/>
      <c r="AX447" s="1477"/>
      <c r="AY447" s="1477"/>
      <c r="AZ447" s="1477"/>
      <c r="BA447" s="1477"/>
      <c r="BB447" s="1477"/>
      <c r="BC447" s="1477"/>
      <c r="BD447" s="1477"/>
      <c r="BE447" s="1477"/>
      <c r="BF447" s="1477"/>
      <c r="BG447" s="1477"/>
      <c r="BH447" s="1477"/>
      <c r="BI447" s="1477"/>
      <c r="BJ447" s="1477"/>
      <c r="BK447" s="1477"/>
      <c r="BL447" s="1477"/>
      <c r="BM447" s="1477"/>
      <c r="BN447" s="1477"/>
      <c r="BO447" s="1477"/>
      <c r="BP447" s="1477"/>
      <c r="BQ447" s="1477"/>
      <c r="BR447" s="1477"/>
      <c r="BS447" s="1477"/>
      <c r="BT447" s="1477"/>
      <c r="BU447" s="1477"/>
      <c r="BV447" s="1477"/>
      <c r="BW447" s="1477"/>
      <c r="BX447" s="1477"/>
      <c r="BY447" s="1477"/>
      <c r="BZ447" s="1477"/>
      <c r="CA447" s="1477"/>
      <c r="CB447" s="1477"/>
      <c r="CC447" s="1477"/>
      <c r="CD447" s="1477"/>
      <c r="CE447" s="1477"/>
      <c r="CF447" s="1477"/>
      <c r="CG447" s="1477"/>
      <c r="CH447" s="1477"/>
    </row>
    <row r="448" spans="2:86">
      <c r="B448" s="1477"/>
      <c r="C448" s="1477"/>
      <c r="D448" s="1477"/>
      <c r="E448" s="1477"/>
      <c r="F448" s="1477"/>
      <c r="G448" s="1477"/>
      <c r="H448" s="1477"/>
      <c r="I448" s="1477"/>
      <c r="J448" s="1477"/>
      <c r="K448" s="1477"/>
      <c r="L448" s="1477"/>
      <c r="M448" s="1477"/>
      <c r="N448" s="1477"/>
      <c r="O448" s="1477"/>
      <c r="P448" s="1477"/>
      <c r="Q448" s="1477"/>
      <c r="R448" s="1477"/>
      <c r="S448" s="1477"/>
      <c r="T448" s="1477"/>
      <c r="U448" s="1477"/>
      <c r="V448" s="1477"/>
      <c r="W448" s="1477"/>
      <c r="X448" s="1477"/>
      <c r="Y448" s="1477"/>
      <c r="Z448" s="1477"/>
      <c r="AA448" s="1477"/>
      <c r="AB448" s="1477"/>
      <c r="AC448" s="1477"/>
      <c r="AD448" s="1477"/>
      <c r="AE448" s="1477"/>
      <c r="AF448" s="1477"/>
      <c r="AG448" s="1477"/>
      <c r="AH448" s="1477"/>
      <c r="AI448" s="1477"/>
      <c r="AJ448" s="1477"/>
      <c r="AK448" s="1477"/>
      <c r="AL448" s="1477"/>
      <c r="AM448" s="1477"/>
      <c r="AN448" s="1477"/>
      <c r="AO448" s="284"/>
      <c r="AP448" s="1477"/>
      <c r="AQ448" s="1477"/>
      <c r="AR448" s="1477"/>
      <c r="AS448" s="1477"/>
      <c r="AT448" s="1477"/>
      <c r="AU448" s="1477"/>
      <c r="AV448" s="1477"/>
      <c r="AW448" s="1477"/>
      <c r="AX448" s="1477"/>
      <c r="AY448" s="1477"/>
      <c r="AZ448" s="1477"/>
      <c r="BA448" s="1477"/>
      <c r="BB448" s="1477"/>
      <c r="BC448" s="1477"/>
      <c r="BD448" s="1477"/>
      <c r="BE448" s="1477"/>
      <c r="BF448" s="1477"/>
      <c r="BG448" s="1477"/>
      <c r="BH448" s="1477"/>
      <c r="BI448" s="1477"/>
      <c r="BJ448" s="1477"/>
      <c r="BK448" s="1477"/>
      <c r="BL448" s="1477"/>
      <c r="BM448" s="1477"/>
      <c r="BN448" s="1477"/>
      <c r="BO448" s="1477"/>
      <c r="BP448" s="1477"/>
      <c r="BQ448" s="1477"/>
      <c r="BR448" s="1477"/>
      <c r="BS448" s="1477"/>
      <c r="BT448" s="1477"/>
      <c r="BU448" s="1477"/>
      <c r="BV448" s="1477"/>
      <c r="BW448" s="1477"/>
      <c r="BX448" s="1477"/>
      <c r="BY448" s="1477"/>
      <c r="BZ448" s="1477"/>
      <c r="CA448" s="1477"/>
      <c r="CB448" s="1477"/>
      <c r="CC448" s="1477"/>
      <c r="CD448" s="1477"/>
      <c r="CE448" s="1477"/>
      <c r="CF448" s="1477"/>
      <c r="CG448" s="1477"/>
      <c r="CH448" s="1477"/>
    </row>
    <row r="449" spans="2:86">
      <c r="B449" s="1477"/>
      <c r="C449" s="1477"/>
      <c r="D449" s="1477"/>
      <c r="E449" s="1477"/>
      <c r="F449" s="1477"/>
      <c r="G449" s="1477"/>
      <c r="H449" s="1477"/>
      <c r="I449" s="1477"/>
      <c r="J449" s="1477"/>
      <c r="K449" s="1477"/>
      <c r="L449" s="1477"/>
      <c r="M449" s="1477"/>
      <c r="N449" s="1477"/>
      <c r="O449" s="1477"/>
      <c r="P449" s="1477"/>
      <c r="Q449" s="1477"/>
      <c r="R449" s="1477"/>
      <c r="S449" s="1477"/>
      <c r="T449" s="1477"/>
      <c r="U449" s="1477"/>
      <c r="V449" s="1477"/>
      <c r="W449" s="1477"/>
      <c r="X449" s="1477"/>
      <c r="Y449" s="1477"/>
      <c r="Z449" s="1477"/>
      <c r="AA449" s="1477"/>
      <c r="AB449" s="1477"/>
      <c r="AC449" s="1477"/>
      <c r="AD449" s="1477"/>
      <c r="AE449" s="1477"/>
      <c r="AF449" s="1477"/>
      <c r="AG449" s="1477"/>
      <c r="AH449" s="1477"/>
      <c r="AI449" s="1477"/>
      <c r="AJ449" s="1477"/>
      <c r="AK449" s="1477"/>
      <c r="AL449" s="1477"/>
      <c r="AM449" s="1477"/>
      <c r="AN449" s="1477"/>
      <c r="AO449" s="284"/>
      <c r="AP449" s="1477"/>
      <c r="AQ449" s="1477"/>
      <c r="AR449" s="1477"/>
      <c r="AS449" s="1477"/>
      <c r="AT449" s="1477"/>
      <c r="AU449" s="1477"/>
      <c r="AV449" s="1477"/>
      <c r="AW449" s="1477"/>
      <c r="AX449" s="1477"/>
      <c r="AY449" s="1477"/>
      <c r="AZ449" s="1477"/>
      <c r="BA449" s="1477"/>
      <c r="BB449" s="1477"/>
      <c r="BC449" s="1477"/>
      <c r="BD449" s="1477"/>
      <c r="BE449" s="1477"/>
      <c r="BF449" s="1477"/>
      <c r="BG449" s="1477"/>
      <c r="BH449" s="1477"/>
      <c r="BI449" s="1477"/>
      <c r="BJ449" s="1477"/>
      <c r="BK449" s="1477"/>
      <c r="BL449" s="1477"/>
      <c r="BM449" s="1477"/>
      <c r="BN449" s="1477"/>
      <c r="BO449" s="1477"/>
      <c r="BP449" s="1477"/>
      <c r="BQ449" s="1477"/>
      <c r="BR449" s="1477"/>
      <c r="BS449" s="1477"/>
      <c r="BT449" s="1477"/>
      <c r="BU449" s="1477"/>
      <c r="BV449" s="1477"/>
      <c r="BW449" s="1477"/>
      <c r="BX449" s="1477"/>
      <c r="BY449" s="1477"/>
      <c r="BZ449" s="1477"/>
      <c r="CA449" s="1477"/>
      <c r="CB449" s="1477"/>
      <c r="CC449" s="1477"/>
      <c r="CD449" s="1477"/>
      <c r="CE449" s="1477"/>
      <c r="CF449" s="1477"/>
      <c r="CG449" s="1477"/>
      <c r="CH449" s="1477"/>
    </row>
    <row r="450" spans="2:86">
      <c r="B450" s="1477"/>
      <c r="C450" s="1477"/>
      <c r="D450" s="1477"/>
      <c r="E450" s="1477"/>
      <c r="F450" s="1477"/>
      <c r="G450" s="1477"/>
      <c r="H450" s="1477"/>
      <c r="I450" s="1477"/>
      <c r="J450" s="1477"/>
      <c r="K450" s="1477"/>
      <c r="L450" s="1477"/>
      <c r="M450" s="1477"/>
      <c r="N450" s="1477"/>
      <c r="O450" s="1477"/>
      <c r="P450" s="1477"/>
      <c r="Q450" s="1477"/>
      <c r="R450" s="1477"/>
      <c r="S450" s="1477"/>
      <c r="T450" s="1477"/>
      <c r="U450" s="1477"/>
      <c r="V450" s="1477"/>
      <c r="W450" s="1477"/>
      <c r="X450" s="1477"/>
      <c r="Y450" s="1477"/>
      <c r="Z450" s="1477"/>
      <c r="AA450" s="1477"/>
      <c r="AB450" s="1477"/>
      <c r="AC450" s="1477"/>
      <c r="AD450" s="1477"/>
      <c r="AE450" s="1477"/>
      <c r="AF450" s="1477"/>
      <c r="AG450" s="1477"/>
      <c r="AH450" s="1477"/>
      <c r="AI450" s="1477"/>
      <c r="AJ450" s="1477"/>
      <c r="AK450" s="1477"/>
      <c r="AL450" s="1477"/>
      <c r="AM450" s="1477"/>
      <c r="AN450" s="1477"/>
      <c r="AO450" s="284"/>
      <c r="AP450" s="1477"/>
      <c r="AQ450" s="1477"/>
      <c r="AR450" s="1477"/>
      <c r="AS450" s="1477"/>
      <c r="AT450" s="1477"/>
      <c r="AU450" s="1477"/>
      <c r="AV450" s="1477"/>
      <c r="AW450" s="1477"/>
      <c r="AX450" s="1477"/>
      <c r="AY450" s="1477"/>
      <c r="AZ450" s="1477"/>
      <c r="BA450" s="1477"/>
      <c r="BB450" s="1477"/>
      <c r="BC450" s="1477"/>
      <c r="BD450" s="1477"/>
      <c r="BE450" s="1477"/>
      <c r="BF450" s="1477"/>
      <c r="BG450" s="1477"/>
      <c r="BH450" s="1477"/>
      <c r="BI450" s="1477"/>
      <c r="BJ450" s="1477"/>
      <c r="BK450" s="1477"/>
      <c r="BL450" s="1477"/>
      <c r="BM450" s="1477"/>
      <c r="BN450" s="1477"/>
      <c r="BO450" s="1477"/>
      <c r="BP450" s="1477"/>
      <c r="BQ450" s="1477"/>
      <c r="BR450" s="1477"/>
      <c r="BS450" s="1477"/>
      <c r="BT450" s="1477"/>
      <c r="BU450" s="1477"/>
      <c r="BV450" s="1477"/>
      <c r="BW450" s="1477"/>
      <c r="BX450" s="1477"/>
      <c r="BY450" s="1477"/>
      <c r="BZ450" s="1477"/>
      <c r="CA450" s="1477"/>
      <c r="CB450" s="1477"/>
      <c r="CC450" s="1477"/>
      <c r="CD450" s="1477"/>
      <c r="CE450" s="1477"/>
      <c r="CF450" s="1477"/>
      <c r="CG450" s="1477"/>
      <c r="CH450" s="1477"/>
    </row>
    <row r="451" spans="2:86">
      <c r="B451" s="1477"/>
      <c r="C451" s="1477"/>
      <c r="D451" s="1477"/>
      <c r="E451" s="1477"/>
      <c r="F451" s="1477"/>
      <c r="G451" s="1477"/>
      <c r="H451" s="1477"/>
      <c r="I451" s="1477"/>
      <c r="J451" s="1477"/>
      <c r="K451" s="1477"/>
      <c r="L451" s="1477"/>
      <c r="M451" s="1477"/>
      <c r="N451" s="1477"/>
      <c r="O451" s="1477"/>
      <c r="P451" s="1477"/>
      <c r="Q451" s="1477"/>
      <c r="R451" s="1477"/>
      <c r="S451" s="1477"/>
      <c r="T451" s="1477"/>
      <c r="U451" s="1477"/>
      <c r="V451" s="1477"/>
      <c r="W451" s="1477"/>
      <c r="X451" s="1477"/>
      <c r="Y451" s="1477"/>
      <c r="Z451" s="1477"/>
      <c r="AA451" s="1477"/>
      <c r="AB451" s="1477"/>
      <c r="AC451" s="1477"/>
      <c r="AD451" s="1477"/>
      <c r="AE451" s="1477"/>
      <c r="AF451" s="1477"/>
      <c r="AG451" s="1477"/>
      <c r="AH451" s="1477"/>
      <c r="AI451" s="1477"/>
      <c r="AJ451" s="1477"/>
      <c r="AK451" s="1477"/>
      <c r="AL451" s="1477"/>
      <c r="AM451" s="1477"/>
      <c r="AN451" s="1477"/>
      <c r="AO451" s="284"/>
      <c r="AP451" s="1477"/>
      <c r="AQ451" s="1477"/>
      <c r="AR451" s="1477"/>
      <c r="AS451" s="1477"/>
      <c r="AT451" s="1477"/>
      <c r="AU451" s="1477"/>
      <c r="AV451" s="1477"/>
      <c r="AW451" s="1477"/>
      <c r="AX451" s="1477"/>
      <c r="AY451" s="1477"/>
      <c r="AZ451" s="1477"/>
      <c r="BA451" s="1477"/>
      <c r="BB451" s="1477"/>
      <c r="BC451" s="1477"/>
      <c r="BD451" s="1477"/>
      <c r="BE451" s="1477"/>
      <c r="BF451" s="1477"/>
      <c r="BG451" s="1477"/>
      <c r="BH451" s="1477"/>
      <c r="BI451" s="1477"/>
      <c r="BJ451" s="1477"/>
      <c r="BK451" s="1477"/>
      <c r="BL451" s="1477"/>
      <c r="BM451" s="1477"/>
      <c r="BN451" s="1477"/>
      <c r="BO451" s="1477"/>
      <c r="BP451" s="1477"/>
      <c r="BQ451" s="1477"/>
      <c r="BR451" s="1477"/>
      <c r="BS451" s="1477"/>
      <c r="BT451" s="1477"/>
      <c r="BU451" s="1477"/>
      <c r="BV451" s="1477"/>
      <c r="BW451" s="1477"/>
      <c r="BX451" s="1477"/>
      <c r="BY451" s="1477"/>
      <c r="BZ451" s="1477"/>
      <c r="CA451" s="1477"/>
      <c r="CB451" s="1477"/>
      <c r="CC451" s="1477"/>
      <c r="CD451" s="1477"/>
      <c r="CE451" s="1477"/>
      <c r="CF451" s="1477"/>
      <c r="CG451" s="1477"/>
      <c r="CH451" s="1477"/>
    </row>
    <row r="452" spans="2:86">
      <c r="B452" s="1477"/>
      <c r="C452" s="1477"/>
      <c r="D452" s="1477"/>
      <c r="E452" s="1477"/>
      <c r="F452" s="1477"/>
      <c r="G452" s="1477"/>
      <c r="H452" s="1477"/>
      <c r="I452" s="1477"/>
      <c r="J452" s="1477"/>
      <c r="K452" s="1477"/>
      <c r="L452" s="1477"/>
      <c r="M452" s="1477"/>
      <c r="N452" s="1477"/>
      <c r="O452" s="1477"/>
      <c r="P452" s="1477"/>
      <c r="Q452" s="1477"/>
      <c r="R452" s="1477"/>
      <c r="S452" s="1477"/>
      <c r="T452" s="1477"/>
      <c r="U452" s="1477"/>
      <c r="V452" s="1477"/>
      <c r="W452" s="1477"/>
      <c r="X452" s="1477"/>
      <c r="Y452" s="1477"/>
      <c r="Z452" s="1477"/>
      <c r="AA452" s="1477"/>
      <c r="AB452" s="1477"/>
      <c r="AC452" s="1477"/>
      <c r="AD452" s="1477"/>
      <c r="AE452" s="1477"/>
      <c r="AF452" s="1477"/>
      <c r="AG452" s="1477"/>
      <c r="AH452" s="1477"/>
      <c r="AI452" s="1477"/>
      <c r="AJ452" s="1477"/>
      <c r="AK452" s="1477"/>
      <c r="AL452" s="1477"/>
      <c r="AM452" s="1477"/>
      <c r="AN452" s="1477"/>
      <c r="AO452" s="284"/>
      <c r="AP452" s="1477"/>
      <c r="AQ452" s="1477"/>
      <c r="AR452" s="1477"/>
      <c r="AS452" s="1477"/>
      <c r="AT452" s="1477"/>
      <c r="AU452" s="1477"/>
      <c r="AV452" s="1477"/>
      <c r="AW452" s="1477"/>
      <c r="AX452" s="1477"/>
      <c r="AY452" s="1477"/>
      <c r="AZ452" s="1477"/>
      <c r="BA452" s="1477"/>
      <c r="BB452" s="1477"/>
      <c r="BC452" s="1477"/>
      <c r="BD452" s="1477"/>
      <c r="BE452" s="1477"/>
      <c r="BF452" s="1477"/>
      <c r="BG452" s="1477"/>
      <c r="BH452" s="1477"/>
      <c r="BI452" s="1477"/>
      <c r="BJ452" s="1477"/>
      <c r="BK452" s="1477"/>
      <c r="BL452" s="1477"/>
      <c r="BM452" s="1477"/>
      <c r="BN452" s="1477"/>
      <c r="BO452" s="1477"/>
      <c r="BP452" s="1477"/>
      <c r="BQ452" s="1477"/>
      <c r="BR452" s="1477"/>
      <c r="BS452" s="1477"/>
      <c r="BT452" s="1477"/>
      <c r="BU452" s="1477"/>
      <c r="BV452" s="1477"/>
      <c r="BW452" s="1477"/>
      <c r="BX452" s="1477"/>
      <c r="BY452" s="1477"/>
      <c r="BZ452" s="1477"/>
      <c r="CA452" s="1477"/>
      <c r="CB452" s="1477"/>
      <c r="CC452" s="1477"/>
      <c r="CD452" s="1477"/>
      <c r="CE452" s="1477"/>
      <c r="CF452" s="1477"/>
      <c r="CG452" s="1477"/>
      <c r="CH452" s="1477"/>
    </row>
    <row r="453" spans="2:86">
      <c r="B453" s="1477"/>
      <c r="C453" s="1477"/>
      <c r="D453" s="1477"/>
      <c r="E453" s="1477"/>
      <c r="F453" s="1477"/>
      <c r="G453" s="1477"/>
      <c r="H453" s="1477"/>
      <c r="I453" s="1477"/>
      <c r="J453" s="1477"/>
      <c r="K453" s="1477"/>
      <c r="L453" s="1477"/>
      <c r="M453" s="1477"/>
      <c r="N453" s="1477"/>
      <c r="O453" s="1477"/>
      <c r="P453" s="1477"/>
      <c r="Q453" s="1477"/>
      <c r="R453" s="1477"/>
      <c r="S453" s="1477"/>
      <c r="T453" s="1477"/>
      <c r="U453" s="1477"/>
      <c r="V453" s="1477"/>
      <c r="W453" s="1477"/>
      <c r="X453" s="1477"/>
      <c r="Y453" s="1477"/>
      <c r="Z453" s="1477"/>
      <c r="AA453" s="1477"/>
      <c r="AB453" s="1477"/>
      <c r="AC453" s="1477"/>
      <c r="AD453" s="1477"/>
      <c r="AE453" s="1477"/>
      <c r="AF453" s="1477"/>
      <c r="AG453" s="1477"/>
      <c r="AH453" s="1477"/>
      <c r="AI453" s="1477"/>
      <c r="AJ453" s="1477"/>
      <c r="AK453" s="1477"/>
      <c r="AL453" s="1477"/>
      <c r="AM453" s="1477"/>
      <c r="AN453" s="1477"/>
      <c r="AO453" s="284"/>
      <c r="AP453" s="1477"/>
      <c r="AQ453" s="1477"/>
      <c r="AR453" s="1477"/>
      <c r="AS453" s="1477"/>
      <c r="AT453" s="1477"/>
      <c r="AU453" s="1477"/>
      <c r="AV453" s="1477"/>
      <c r="AW453" s="1477"/>
      <c r="AX453" s="1477"/>
      <c r="AY453" s="1477"/>
      <c r="AZ453" s="1477"/>
      <c r="BA453" s="1477"/>
      <c r="BB453" s="1477"/>
      <c r="BC453" s="1477"/>
      <c r="BD453" s="1477"/>
      <c r="BE453" s="1477"/>
      <c r="BF453" s="1477"/>
      <c r="BG453" s="1477"/>
      <c r="BH453" s="1477"/>
      <c r="BI453" s="1477"/>
      <c r="BJ453" s="1477"/>
      <c r="BK453" s="1477"/>
      <c r="BL453" s="1477"/>
      <c r="BM453" s="1477"/>
      <c r="BN453" s="1477"/>
      <c r="BO453" s="1477"/>
      <c r="BP453" s="1477"/>
      <c r="BQ453" s="1477"/>
      <c r="BR453" s="1477"/>
      <c r="BS453" s="1477"/>
      <c r="BT453" s="1477"/>
      <c r="BU453" s="1477"/>
      <c r="BV453" s="1477"/>
      <c r="BW453" s="1477"/>
      <c r="BX453" s="1477"/>
      <c r="BY453" s="1477"/>
      <c r="BZ453" s="1477"/>
      <c r="CA453" s="1477"/>
      <c r="CB453" s="1477"/>
      <c r="CC453" s="1477"/>
      <c r="CD453" s="1477"/>
      <c r="CE453" s="1477"/>
      <c r="CF453" s="1477"/>
      <c r="CG453" s="1477"/>
      <c r="CH453" s="1477"/>
    </row>
    <row r="454" spans="2:86">
      <c r="B454" s="1477"/>
      <c r="C454" s="1477"/>
      <c r="D454" s="1477"/>
      <c r="E454" s="1477"/>
      <c r="F454" s="1477"/>
      <c r="G454" s="1477"/>
      <c r="H454" s="1477"/>
      <c r="I454" s="1477"/>
      <c r="J454" s="1477"/>
      <c r="K454" s="1477"/>
      <c r="L454" s="1477"/>
      <c r="M454" s="1477"/>
      <c r="N454" s="1477"/>
      <c r="O454" s="1477"/>
      <c r="P454" s="1477"/>
      <c r="Q454" s="1477"/>
      <c r="R454" s="1477"/>
      <c r="S454" s="1477"/>
      <c r="T454" s="1477"/>
      <c r="U454" s="1477"/>
      <c r="V454" s="1477"/>
      <c r="W454" s="1477"/>
      <c r="X454" s="1477"/>
      <c r="Y454" s="1477"/>
      <c r="Z454" s="1477"/>
      <c r="AA454" s="1477"/>
      <c r="AB454" s="1477"/>
      <c r="AC454" s="1477"/>
      <c r="AD454" s="1477"/>
      <c r="AE454" s="1477"/>
      <c r="AF454" s="1477"/>
      <c r="AG454" s="1477"/>
      <c r="AH454" s="1477"/>
      <c r="AI454" s="1477"/>
      <c r="AJ454" s="1477"/>
      <c r="AK454" s="1477"/>
      <c r="AL454" s="1477"/>
      <c r="AM454" s="1477"/>
      <c r="AN454" s="1477"/>
      <c r="AO454" s="284"/>
      <c r="AP454" s="1477"/>
      <c r="AQ454" s="1477"/>
      <c r="AR454" s="1477"/>
      <c r="AS454" s="1477"/>
      <c r="AT454" s="1477"/>
      <c r="AU454" s="1477"/>
      <c r="AV454" s="1477"/>
      <c r="AW454" s="1477"/>
      <c r="AX454" s="1477"/>
      <c r="AY454" s="1477"/>
      <c r="AZ454" s="1477"/>
      <c r="BA454" s="1477"/>
      <c r="BB454" s="1477"/>
      <c r="BC454" s="1477"/>
      <c r="BD454" s="1477"/>
      <c r="BE454" s="1477"/>
      <c r="BF454" s="1477"/>
      <c r="BG454" s="1477"/>
      <c r="BH454" s="1477"/>
      <c r="BI454" s="1477"/>
      <c r="BJ454" s="1477"/>
      <c r="BK454" s="1477"/>
      <c r="BL454" s="1477"/>
      <c r="BM454" s="1477"/>
      <c r="BN454" s="1477"/>
      <c r="BO454" s="1477"/>
      <c r="BP454" s="1477"/>
      <c r="BQ454" s="1477"/>
      <c r="BR454" s="1477"/>
      <c r="BS454" s="1477"/>
      <c r="BT454" s="1477"/>
      <c r="BU454" s="1477"/>
      <c r="BV454" s="1477"/>
      <c r="BW454" s="1477"/>
      <c r="BX454" s="1477"/>
      <c r="BY454" s="1477"/>
      <c r="BZ454" s="1477"/>
      <c r="CA454" s="1477"/>
      <c r="CB454" s="1477"/>
      <c r="CC454" s="1477"/>
      <c r="CD454" s="1477"/>
      <c r="CE454" s="1477"/>
      <c r="CF454" s="1477"/>
      <c r="CG454" s="1477"/>
      <c r="CH454" s="1477"/>
    </row>
    <row r="455" spans="2:86">
      <c r="B455" s="1477"/>
      <c r="C455" s="1477"/>
      <c r="D455" s="1477"/>
      <c r="E455" s="1477"/>
      <c r="F455" s="1477"/>
      <c r="G455" s="1477"/>
      <c r="H455" s="1477"/>
      <c r="I455" s="1477"/>
      <c r="J455" s="1477"/>
      <c r="K455" s="1477"/>
      <c r="L455" s="1477"/>
      <c r="M455" s="1477"/>
      <c r="N455" s="1477"/>
      <c r="O455" s="1477"/>
      <c r="P455" s="1477"/>
      <c r="Q455" s="1477"/>
      <c r="R455" s="1477"/>
      <c r="S455" s="1477"/>
      <c r="T455" s="1477"/>
      <c r="U455" s="1477"/>
      <c r="V455" s="1477"/>
      <c r="W455" s="1477"/>
      <c r="X455" s="1477"/>
      <c r="Y455" s="1477"/>
      <c r="Z455" s="1477"/>
      <c r="AA455" s="1477"/>
      <c r="AB455" s="1477"/>
      <c r="AC455" s="1477"/>
      <c r="AD455" s="1477"/>
      <c r="AE455" s="1477"/>
      <c r="AF455" s="1477"/>
      <c r="AG455" s="1477"/>
      <c r="AH455" s="1477"/>
      <c r="AI455" s="1477"/>
      <c r="AJ455" s="1477"/>
      <c r="AK455" s="1477"/>
      <c r="AL455" s="1477"/>
      <c r="AM455" s="1477"/>
      <c r="AN455" s="1477"/>
      <c r="AO455" s="284"/>
      <c r="AP455" s="1477"/>
      <c r="AQ455" s="1477"/>
      <c r="AR455" s="1477"/>
      <c r="AS455" s="1477"/>
      <c r="AT455" s="1477"/>
      <c r="AU455" s="1477"/>
      <c r="AV455" s="1477"/>
      <c r="AW455" s="1477"/>
      <c r="AX455" s="1477"/>
      <c r="AY455" s="1477"/>
      <c r="AZ455" s="1477"/>
      <c r="BA455" s="1477"/>
      <c r="BB455" s="1477"/>
      <c r="BC455" s="1477"/>
      <c r="BD455" s="1477"/>
      <c r="BE455" s="1477"/>
      <c r="BF455" s="1477"/>
      <c r="BG455" s="1477"/>
      <c r="BH455" s="1477"/>
      <c r="BI455" s="1477"/>
      <c r="BJ455" s="1477"/>
      <c r="BK455" s="1477"/>
      <c r="BL455" s="1477"/>
      <c r="BM455" s="1477"/>
      <c r="BN455" s="1477"/>
      <c r="BO455" s="1477"/>
      <c r="BP455" s="1477"/>
      <c r="BQ455" s="1477"/>
      <c r="BR455" s="1477"/>
      <c r="BS455" s="1477"/>
      <c r="BT455" s="1477"/>
      <c r="BU455" s="1477"/>
      <c r="BV455" s="1477"/>
      <c r="BW455" s="1477"/>
      <c r="BX455" s="1477"/>
      <c r="BY455" s="1477"/>
      <c r="BZ455" s="1477"/>
      <c r="CA455" s="1477"/>
      <c r="CB455" s="1477"/>
      <c r="CC455" s="1477"/>
      <c r="CD455" s="1477"/>
      <c r="CE455" s="1477"/>
      <c r="CF455" s="1477"/>
      <c r="CG455" s="1477"/>
      <c r="CH455" s="1477"/>
    </row>
    <row r="456" spans="2:86">
      <c r="B456" s="1477"/>
      <c r="C456" s="1477"/>
      <c r="D456" s="1477"/>
      <c r="E456" s="1477"/>
      <c r="F456" s="1477"/>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1477"/>
      <c r="AD456" s="1477"/>
      <c r="AE456" s="1477"/>
      <c r="AF456" s="1477"/>
      <c r="AG456" s="1477"/>
      <c r="AH456" s="1477"/>
      <c r="AI456" s="1477"/>
      <c r="AJ456" s="1477"/>
      <c r="AK456" s="1477"/>
      <c r="AL456" s="1477"/>
      <c r="AM456" s="1477"/>
      <c r="AN456" s="1477"/>
      <c r="AO456" s="284"/>
      <c r="AP456" s="1477"/>
      <c r="AQ456" s="1477"/>
      <c r="AR456" s="1477"/>
      <c r="AS456" s="1477"/>
      <c r="AT456" s="1477"/>
      <c r="AU456" s="1477"/>
      <c r="AV456" s="1477"/>
      <c r="AW456" s="1477"/>
      <c r="AX456" s="1477"/>
      <c r="AY456" s="1477"/>
      <c r="AZ456" s="1477"/>
      <c r="BA456" s="1477"/>
      <c r="BB456" s="1477"/>
      <c r="BC456" s="1477"/>
      <c r="BD456" s="1477"/>
      <c r="BE456" s="1477"/>
      <c r="BF456" s="1477"/>
      <c r="BG456" s="1477"/>
      <c r="BH456" s="1477"/>
      <c r="BI456" s="1477"/>
      <c r="BJ456" s="1477"/>
      <c r="BK456" s="1477"/>
      <c r="BL456" s="1477"/>
      <c r="BM456" s="1477"/>
      <c r="BN456" s="1477"/>
      <c r="BO456" s="1477"/>
      <c r="BP456" s="1477"/>
      <c r="BQ456" s="1477"/>
      <c r="BR456" s="1477"/>
      <c r="BS456" s="1477"/>
      <c r="BT456" s="1477"/>
      <c r="BU456" s="1477"/>
      <c r="BV456" s="1477"/>
      <c r="BW456" s="1477"/>
      <c r="BX456" s="1477"/>
      <c r="BY456" s="1477"/>
      <c r="BZ456" s="1477"/>
      <c r="CA456" s="1477"/>
      <c r="CB456" s="1477"/>
      <c r="CC456" s="1477"/>
      <c r="CD456" s="1477"/>
      <c r="CE456" s="1477"/>
      <c r="CF456" s="1477"/>
      <c r="CG456" s="1477"/>
      <c r="CH456" s="1477"/>
    </row>
    <row r="457" spans="2:86">
      <c r="B457" s="1477"/>
      <c r="C457" s="1477"/>
      <c r="D457" s="1477"/>
      <c r="E457" s="1477"/>
      <c r="F457" s="1477"/>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1477"/>
      <c r="AD457" s="1477"/>
      <c r="AE457" s="1477"/>
      <c r="AF457" s="1477"/>
      <c r="AG457" s="1477"/>
      <c r="AH457" s="1477"/>
      <c r="AI457" s="1477"/>
      <c r="AJ457" s="1477"/>
      <c r="AK457" s="1477"/>
      <c r="AL457" s="1477"/>
      <c r="AM457" s="1477"/>
      <c r="AN457" s="1477"/>
      <c r="AO457" s="284"/>
      <c r="AP457" s="1477"/>
      <c r="AQ457" s="1477"/>
      <c r="AR457" s="1477"/>
      <c r="AS457" s="1477"/>
      <c r="AT457" s="1477"/>
      <c r="AU457" s="1477"/>
      <c r="AV457" s="1477"/>
      <c r="AW457" s="1477"/>
      <c r="AX457" s="1477"/>
      <c r="AY457" s="1477"/>
      <c r="AZ457" s="1477"/>
      <c r="BA457" s="1477"/>
      <c r="BB457" s="1477"/>
      <c r="BC457" s="1477"/>
      <c r="BD457" s="1477"/>
      <c r="BE457" s="1477"/>
      <c r="BF457" s="1477"/>
      <c r="BG457" s="1477"/>
      <c r="BH457" s="1477"/>
      <c r="BI457" s="1477"/>
      <c r="BJ457" s="1477"/>
      <c r="BK457" s="1477"/>
      <c r="BL457" s="1477"/>
      <c r="BM457" s="1477"/>
      <c r="BN457" s="1477"/>
      <c r="BO457" s="1477"/>
      <c r="BP457" s="1477"/>
      <c r="BQ457" s="1477"/>
      <c r="BR457" s="1477"/>
      <c r="BS457" s="1477"/>
      <c r="BT457" s="1477"/>
      <c r="BU457" s="1477"/>
      <c r="BV457" s="1477"/>
      <c r="BW457" s="1477"/>
      <c r="BX457" s="1477"/>
      <c r="BY457" s="1477"/>
      <c r="BZ457" s="1477"/>
      <c r="CA457" s="1477"/>
      <c r="CB457" s="1477"/>
      <c r="CC457" s="1477"/>
      <c r="CD457" s="1477"/>
      <c r="CE457" s="1477"/>
      <c r="CF457" s="1477"/>
      <c r="CG457" s="1477"/>
      <c r="CH457" s="1477"/>
    </row>
    <row r="458" spans="2:86">
      <c r="B458" s="1477"/>
      <c r="C458" s="1477"/>
      <c r="D458" s="1477"/>
      <c r="E458" s="1477"/>
      <c r="F458" s="1477"/>
      <c r="G458" s="1477"/>
      <c r="H458" s="1477"/>
      <c r="I458" s="1477"/>
      <c r="J458" s="1477"/>
      <c r="K458" s="1477"/>
      <c r="L458" s="1477"/>
      <c r="M458" s="1477"/>
      <c r="N458" s="1477"/>
      <c r="O458" s="1477"/>
      <c r="P458" s="1477"/>
      <c r="Q458" s="1477"/>
      <c r="R458" s="1477"/>
      <c r="S458" s="1477"/>
      <c r="T458" s="1477"/>
      <c r="U458" s="1477"/>
      <c r="V458" s="1477"/>
      <c r="W458" s="1477"/>
      <c r="X458" s="1477"/>
      <c r="Y458" s="1477"/>
      <c r="Z458" s="1477"/>
      <c r="AA458" s="1477"/>
      <c r="AB458" s="1477"/>
      <c r="AC458" s="1477"/>
      <c r="AD458" s="1477"/>
      <c r="AE458" s="1477"/>
      <c r="AF458" s="1477"/>
      <c r="AG458" s="1477"/>
      <c r="AH458" s="1477"/>
      <c r="AI458" s="1477"/>
      <c r="AJ458" s="1477"/>
      <c r="AK458" s="1477"/>
      <c r="AL458" s="1477"/>
      <c r="AM458" s="1477"/>
      <c r="AN458" s="1477"/>
      <c r="AO458" s="284"/>
      <c r="AP458" s="1477"/>
      <c r="AQ458" s="1477"/>
      <c r="AR458" s="1477"/>
      <c r="AS458" s="1477"/>
      <c r="AT458" s="1477"/>
      <c r="AU458" s="1477"/>
      <c r="AV458" s="1477"/>
      <c r="AW458" s="1477"/>
      <c r="AX458" s="1477"/>
      <c r="AY458" s="1477"/>
      <c r="AZ458" s="1477"/>
      <c r="BA458" s="1477"/>
      <c r="BB458" s="1477"/>
      <c r="BC458" s="1477"/>
      <c r="BD458" s="1477"/>
      <c r="BE458" s="1477"/>
      <c r="BF458" s="1477"/>
      <c r="BG458" s="1477"/>
      <c r="BH458" s="1477"/>
      <c r="BI458" s="1477"/>
      <c r="BJ458" s="1477"/>
      <c r="BK458" s="1477"/>
      <c r="BL458" s="1477"/>
      <c r="BM458" s="1477"/>
      <c r="BN458" s="1477"/>
      <c r="BO458" s="1477"/>
      <c r="BP458" s="1477"/>
      <c r="BQ458" s="1477"/>
      <c r="BR458" s="1477"/>
      <c r="BS458" s="1477"/>
      <c r="BT458" s="1477"/>
      <c r="BU458" s="1477"/>
      <c r="BV458" s="1477"/>
      <c r="BW458" s="1477"/>
      <c r="BX458" s="1477"/>
      <c r="BY458" s="1477"/>
      <c r="BZ458" s="1477"/>
      <c r="CA458" s="1477"/>
      <c r="CB458" s="1477"/>
      <c r="CC458" s="1477"/>
      <c r="CD458" s="1477"/>
      <c r="CE458" s="1477"/>
      <c r="CF458" s="1477"/>
      <c r="CG458" s="1477"/>
      <c r="CH458" s="1477"/>
    </row>
    <row r="459" spans="2:86">
      <c r="B459" s="1477"/>
      <c r="C459" s="1477"/>
      <c r="D459" s="1477"/>
      <c r="E459" s="1477"/>
      <c r="F459" s="1477"/>
      <c r="G459" s="1477"/>
      <c r="H459" s="1477"/>
      <c r="I459" s="1477"/>
      <c r="J459" s="1477"/>
      <c r="K459" s="1477"/>
      <c r="L459" s="1477"/>
      <c r="M459" s="1477"/>
      <c r="N459" s="1477"/>
      <c r="O459" s="1477"/>
      <c r="P459" s="1477"/>
      <c r="Q459" s="1477"/>
      <c r="R459" s="1477"/>
      <c r="S459" s="1477"/>
      <c r="T459" s="1477"/>
      <c r="U459" s="1477"/>
      <c r="V459" s="1477"/>
      <c r="W459" s="1477"/>
      <c r="X459" s="1477"/>
      <c r="Y459" s="1477"/>
      <c r="Z459" s="1477"/>
      <c r="AA459" s="1477"/>
      <c r="AB459" s="1477"/>
      <c r="AC459" s="1477"/>
      <c r="AD459" s="1477"/>
      <c r="AE459" s="1477"/>
      <c r="AF459" s="1477"/>
      <c r="AG459" s="1477"/>
      <c r="AH459" s="1477"/>
      <c r="AI459" s="1477"/>
      <c r="AJ459" s="1477"/>
      <c r="AK459" s="1477"/>
      <c r="AL459" s="1477"/>
      <c r="AM459" s="1477"/>
      <c r="AN459" s="1477"/>
      <c r="AO459" s="284"/>
      <c r="AP459" s="1477"/>
      <c r="AQ459" s="1477"/>
      <c r="AR459" s="1477"/>
      <c r="AS459" s="1477"/>
      <c r="AT459" s="1477"/>
      <c r="AU459" s="1477"/>
      <c r="AV459" s="1477"/>
      <c r="AW459" s="1477"/>
      <c r="AX459" s="1477"/>
      <c r="AY459" s="1477"/>
      <c r="AZ459" s="1477"/>
      <c r="BA459" s="1477"/>
      <c r="BB459" s="1477"/>
      <c r="BC459" s="1477"/>
      <c r="BD459" s="1477"/>
      <c r="BE459" s="1477"/>
      <c r="BF459" s="1477"/>
      <c r="BG459" s="1477"/>
      <c r="BH459" s="1477"/>
      <c r="BI459" s="1477"/>
      <c r="BJ459" s="1477"/>
      <c r="BK459" s="1477"/>
      <c r="BL459" s="1477"/>
      <c r="BM459" s="1477"/>
      <c r="BN459" s="1477"/>
      <c r="BO459" s="1477"/>
      <c r="BP459" s="1477"/>
      <c r="BQ459" s="1477"/>
      <c r="BR459" s="1477"/>
      <c r="BS459" s="1477"/>
      <c r="BT459" s="1477"/>
      <c r="BU459" s="1477"/>
      <c r="BV459" s="1477"/>
      <c r="BW459" s="1477"/>
      <c r="BX459" s="1477"/>
      <c r="BY459" s="1477"/>
      <c r="BZ459" s="1477"/>
      <c r="CA459" s="1477"/>
      <c r="CB459" s="1477"/>
      <c r="CC459" s="1477"/>
      <c r="CD459" s="1477"/>
      <c r="CE459" s="1477"/>
      <c r="CF459" s="1477"/>
      <c r="CG459" s="1477"/>
      <c r="CH459" s="1477"/>
    </row>
    <row r="460" spans="2:86">
      <c r="B460" s="1477"/>
      <c r="C460" s="1477"/>
      <c r="D460" s="1477"/>
      <c r="E460" s="1477"/>
      <c r="F460" s="1477"/>
      <c r="G460" s="1477"/>
      <c r="H460" s="1477"/>
      <c r="I460" s="1477"/>
      <c r="J460" s="1477"/>
      <c r="K460" s="1477"/>
      <c r="L460" s="1477"/>
      <c r="M460" s="1477"/>
      <c r="N460" s="1477"/>
      <c r="O460" s="1477"/>
      <c r="P460" s="1477"/>
      <c r="Q460" s="1477"/>
      <c r="R460" s="1477"/>
      <c r="S460" s="1477"/>
      <c r="T460" s="1477"/>
      <c r="U460" s="1477"/>
      <c r="V460" s="1477"/>
      <c r="W460" s="1477"/>
      <c r="X460" s="1477"/>
      <c r="Y460" s="1477"/>
      <c r="Z460" s="1477"/>
      <c r="AA460" s="1477"/>
      <c r="AB460" s="1477"/>
      <c r="AC460" s="1477"/>
      <c r="AD460" s="1477"/>
      <c r="AE460" s="1477"/>
      <c r="AF460" s="1477"/>
      <c r="AG460" s="1477"/>
      <c r="AH460" s="1477"/>
      <c r="AI460" s="1477"/>
      <c r="AJ460" s="1477"/>
      <c r="AK460" s="1477"/>
      <c r="AL460" s="1477"/>
      <c r="AM460" s="1477"/>
      <c r="AN460" s="1477"/>
      <c r="AO460" s="284"/>
      <c r="AP460" s="1477"/>
      <c r="AQ460" s="1477"/>
      <c r="AR460" s="1477"/>
      <c r="AS460" s="1477"/>
      <c r="AT460" s="1477"/>
      <c r="AU460" s="1477"/>
      <c r="AV460" s="1477"/>
      <c r="AW460" s="1477"/>
      <c r="AX460" s="1477"/>
      <c r="AY460" s="1477"/>
      <c r="AZ460" s="1477"/>
      <c r="BA460" s="1477"/>
      <c r="BB460" s="1477"/>
      <c r="BC460" s="1477"/>
      <c r="BD460" s="1477"/>
      <c r="BE460" s="1477"/>
      <c r="BF460" s="1477"/>
      <c r="BG460" s="1477"/>
      <c r="BH460" s="1477"/>
      <c r="BI460" s="1477"/>
      <c r="BJ460" s="1477"/>
      <c r="BK460" s="1477"/>
      <c r="BL460" s="1477"/>
      <c r="BM460" s="1477"/>
      <c r="BN460" s="1477"/>
      <c r="BO460" s="1477"/>
      <c r="BP460" s="1477"/>
      <c r="BQ460" s="1477"/>
      <c r="BR460" s="1477"/>
      <c r="BS460" s="1477"/>
      <c r="BT460" s="1477"/>
      <c r="BU460" s="1477"/>
      <c r="BV460" s="1477"/>
      <c r="BW460" s="1477"/>
      <c r="BX460" s="1477"/>
      <c r="BY460" s="1477"/>
      <c r="BZ460" s="1477"/>
      <c r="CA460" s="1477"/>
      <c r="CB460" s="1477"/>
      <c r="CC460" s="1477"/>
      <c r="CD460" s="1477"/>
      <c r="CE460" s="1477"/>
      <c r="CF460" s="1477"/>
      <c r="CG460" s="1477"/>
      <c r="CH460" s="1477"/>
    </row>
    <row r="461" spans="2:86">
      <c r="B461" s="1477"/>
      <c r="C461" s="1477"/>
      <c r="D461" s="1477"/>
      <c r="E461" s="1477"/>
      <c r="F461" s="1477"/>
      <c r="G461" s="1477"/>
      <c r="H461" s="1477"/>
      <c r="I461" s="1477"/>
      <c r="J461" s="1477"/>
      <c r="K461" s="1477"/>
      <c r="L461" s="1477"/>
      <c r="M461" s="1477"/>
      <c r="N461" s="1477"/>
      <c r="O461" s="1477"/>
      <c r="P461" s="1477"/>
      <c r="Q461" s="1477"/>
      <c r="R461" s="1477"/>
      <c r="S461" s="1477"/>
      <c r="T461" s="1477"/>
      <c r="U461" s="1477"/>
      <c r="V461" s="1477"/>
      <c r="W461" s="1477"/>
      <c r="X461" s="1477"/>
      <c r="Y461" s="1477"/>
      <c r="Z461" s="1477"/>
      <c r="AA461" s="1477"/>
      <c r="AB461" s="1477"/>
      <c r="AC461" s="1477"/>
      <c r="AD461" s="1477"/>
      <c r="AE461" s="1477"/>
      <c r="AF461" s="1477"/>
      <c r="AG461" s="1477"/>
      <c r="AH461" s="1477"/>
      <c r="AI461" s="1477"/>
      <c r="AJ461" s="1477"/>
      <c r="AK461" s="1477"/>
      <c r="AL461" s="1477"/>
      <c r="AM461" s="1477"/>
      <c r="AN461" s="1477"/>
      <c r="AO461" s="284"/>
      <c r="AP461" s="1477"/>
      <c r="AQ461" s="1477"/>
      <c r="AR461" s="1477"/>
      <c r="AS461" s="1477"/>
      <c r="AT461" s="1477"/>
      <c r="AU461" s="1477"/>
      <c r="AV461" s="1477"/>
      <c r="AW461" s="1477"/>
      <c r="AX461" s="1477"/>
      <c r="AY461" s="1477"/>
      <c r="AZ461" s="1477"/>
      <c r="BA461" s="1477"/>
      <c r="BB461" s="1477"/>
      <c r="BC461" s="1477"/>
      <c r="BD461" s="1477"/>
      <c r="BE461" s="1477"/>
      <c r="BF461" s="1477"/>
      <c r="BG461" s="1477"/>
      <c r="BH461" s="1477"/>
      <c r="BI461" s="1477"/>
      <c r="BJ461" s="1477"/>
      <c r="BK461" s="1477"/>
      <c r="BL461" s="1477"/>
      <c r="BM461" s="1477"/>
      <c r="BN461" s="1477"/>
      <c r="BO461" s="1477"/>
      <c r="BP461" s="1477"/>
      <c r="BQ461" s="1477"/>
      <c r="BR461" s="1477"/>
      <c r="BS461" s="1477"/>
      <c r="BT461" s="1477"/>
      <c r="BU461" s="1477"/>
      <c r="BV461" s="1477"/>
      <c r="BW461" s="1477"/>
      <c r="BX461" s="1477"/>
      <c r="BY461" s="1477"/>
      <c r="BZ461" s="1477"/>
      <c r="CA461" s="1477"/>
      <c r="CB461" s="1477"/>
      <c r="CC461" s="1477"/>
      <c r="CD461" s="1477"/>
      <c r="CE461" s="1477"/>
      <c r="CF461" s="1477"/>
      <c r="CG461" s="1477"/>
      <c r="CH461" s="1477"/>
    </row>
    <row r="462" spans="2:86">
      <c r="B462" s="1477"/>
      <c r="C462" s="1477"/>
      <c r="D462" s="1477"/>
      <c r="E462" s="1477"/>
      <c r="F462" s="1477"/>
      <c r="G462" s="1477"/>
      <c r="H462" s="1477"/>
      <c r="I462" s="1477"/>
      <c r="J462" s="1477"/>
      <c r="K462" s="1477"/>
      <c r="L462" s="1477"/>
      <c r="M462" s="1477"/>
      <c r="N462" s="1477"/>
      <c r="O462" s="1477"/>
      <c r="P462" s="1477"/>
      <c r="Q462" s="1477"/>
      <c r="R462" s="1477"/>
      <c r="S462" s="1477"/>
      <c r="T462" s="1477"/>
      <c r="U462" s="1477"/>
      <c r="V462" s="1477"/>
      <c r="W462" s="1477"/>
      <c r="X462" s="1477"/>
      <c r="Y462" s="1477"/>
      <c r="Z462" s="1477"/>
      <c r="AA462" s="1477"/>
      <c r="AB462" s="1477"/>
      <c r="AC462" s="1477"/>
      <c r="AD462" s="1477"/>
      <c r="AE462" s="1477"/>
      <c r="AF462" s="1477"/>
      <c r="AG462" s="1477"/>
      <c r="AH462" s="1477"/>
      <c r="AI462" s="1477"/>
      <c r="AJ462" s="1477"/>
      <c r="AK462" s="1477"/>
      <c r="AL462" s="1477"/>
      <c r="AM462" s="1477"/>
      <c r="AN462" s="1477"/>
      <c r="AO462" s="284"/>
      <c r="AP462" s="1477"/>
      <c r="AQ462" s="1477"/>
      <c r="AR462" s="1477"/>
      <c r="AS462" s="1477"/>
      <c r="AT462" s="1477"/>
      <c r="AU462" s="1477"/>
      <c r="AV462" s="1477"/>
      <c r="AW462" s="1477"/>
      <c r="AX462" s="1477"/>
      <c r="AY462" s="1477"/>
      <c r="AZ462" s="1477"/>
      <c r="BA462" s="1477"/>
      <c r="BB462" s="1477"/>
      <c r="BC462" s="1477"/>
      <c r="BD462" s="1477"/>
      <c r="BE462" s="1477"/>
      <c r="BF462" s="1477"/>
      <c r="BG462" s="1477"/>
      <c r="BH462" s="1477"/>
      <c r="BI462" s="1477"/>
      <c r="BJ462" s="1477"/>
      <c r="BK462" s="1477"/>
      <c r="BL462" s="1477"/>
      <c r="BM462" s="1477"/>
      <c r="BN462" s="1477"/>
      <c r="BO462" s="1477"/>
      <c r="BP462" s="1477"/>
      <c r="BQ462" s="1477"/>
      <c r="BR462" s="1477"/>
      <c r="BS462" s="1477"/>
      <c r="BT462" s="1477"/>
      <c r="BU462" s="1477"/>
      <c r="BV462" s="1477"/>
      <c r="BW462" s="1477"/>
      <c r="BX462" s="1477"/>
      <c r="BY462" s="1477"/>
      <c r="BZ462" s="1477"/>
      <c r="CA462" s="1477"/>
      <c r="CB462" s="1477"/>
      <c r="CC462" s="1477"/>
      <c r="CD462" s="1477"/>
      <c r="CE462" s="1477"/>
      <c r="CF462" s="1477"/>
      <c r="CG462" s="1477"/>
      <c r="CH462" s="1477"/>
    </row>
    <row r="463" spans="2:86">
      <c r="B463" s="1477"/>
      <c r="C463" s="1477"/>
      <c r="D463" s="1477"/>
      <c r="E463" s="1477"/>
      <c r="F463" s="1477"/>
      <c r="G463" s="1477"/>
      <c r="H463" s="1477"/>
      <c r="I463" s="1477"/>
      <c r="J463" s="1477"/>
      <c r="K463" s="1477"/>
      <c r="L463" s="1477"/>
      <c r="M463" s="1477"/>
      <c r="N463" s="1477"/>
      <c r="O463" s="1477"/>
      <c r="P463" s="1477"/>
      <c r="Q463" s="1477"/>
      <c r="R463" s="1477"/>
      <c r="S463" s="1477"/>
      <c r="T463" s="1477"/>
      <c r="U463" s="1477"/>
      <c r="V463" s="1477"/>
      <c r="W463" s="1477"/>
      <c r="X463" s="1477"/>
      <c r="Y463" s="1477"/>
      <c r="Z463" s="1477"/>
      <c r="AA463" s="1477"/>
      <c r="AB463" s="1477"/>
      <c r="AC463" s="1477"/>
      <c r="AD463" s="1477"/>
      <c r="AE463" s="1477"/>
      <c r="AF463" s="1477"/>
      <c r="AG463" s="1477"/>
      <c r="AH463" s="1477"/>
      <c r="AI463" s="1477"/>
      <c r="AJ463" s="1477"/>
      <c r="AK463" s="1477"/>
      <c r="AL463" s="1477"/>
      <c r="AM463" s="1477"/>
      <c r="AN463" s="1477"/>
      <c r="AO463" s="284"/>
      <c r="AP463" s="1477"/>
      <c r="AQ463" s="1477"/>
      <c r="AR463" s="1477"/>
      <c r="AS463" s="1477"/>
      <c r="AT463" s="1477"/>
      <c r="AU463" s="1477"/>
      <c r="AV463" s="1477"/>
      <c r="AW463" s="1477"/>
      <c r="AX463" s="1477"/>
      <c r="AY463" s="1477"/>
      <c r="AZ463" s="1477"/>
      <c r="BA463" s="1477"/>
      <c r="BB463" s="1477"/>
      <c r="BC463" s="1477"/>
      <c r="BD463" s="1477"/>
      <c r="BE463" s="1477"/>
      <c r="BF463" s="1477"/>
      <c r="BG463" s="1477"/>
      <c r="BH463" s="1477"/>
      <c r="BI463" s="1477"/>
      <c r="BJ463" s="1477"/>
      <c r="BK463" s="1477"/>
      <c r="BL463" s="1477"/>
      <c r="BM463" s="1477"/>
      <c r="BN463" s="1477"/>
      <c r="BO463" s="1477"/>
      <c r="BP463" s="1477"/>
      <c r="BQ463" s="1477"/>
      <c r="BR463" s="1477"/>
      <c r="BS463" s="1477"/>
      <c r="BT463" s="1477"/>
      <c r="BU463" s="1477"/>
      <c r="BV463" s="1477"/>
      <c r="BW463" s="1477"/>
      <c r="BX463" s="1477"/>
      <c r="BY463" s="1477"/>
      <c r="BZ463" s="1477"/>
      <c r="CA463" s="1477"/>
      <c r="CB463" s="1477"/>
      <c r="CC463" s="1477"/>
      <c r="CD463" s="1477"/>
      <c r="CE463" s="1477"/>
      <c r="CF463" s="1477"/>
      <c r="CG463" s="1477"/>
      <c r="CH463" s="1477"/>
    </row>
    <row r="464" spans="2:86">
      <c r="B464" s="1477"/>
      <c r="C464" s="1477"/>
      <c r="D464" s="1477"/>
      <c r="E464" s="1477"/>
      <c r="F464" s="1477"/>
      <c r="G464" s="1477"/>
      <c r="H464" s="1477"/>
      <c r="I464" s="1477"/>
      <c r="J464" s="1477"/>
      <c r="K464" s="1477"/>
      <c r="L464" s="1477"/>
      <c r="M464" s="1477"/>
      <c r="N464" s="1477"/>
      <c r="O464" s="1477"/>
      <c r="P464" s="1477"/>
      <c r="Q464" s="1477"/>
      <c r="R464" s="1477"/>
      <c r="S464" s="1477"/>
      <c r="T464" s="1477"/>
      <c r="U464" s="1477"/>
      <c r="V464" s="1477"/>
      <c r="W464" s="1477"/>
      <c r="X464" s="1477"/>
      <c r="Y464" s="1477"/>
      <c r="Z464" s="1477"/>
      <c r="AA464" s="1477"/>
      <c r="AB464" s="1477"/>
      <c r="AC464" s="1477"/>
      <c r="AD464" s="1477"/>
      <c r="AE464" s="1477"/>
      <c r="AF464" s="1477"/>
      <c r="AG464" s="1477"/>
      <c r="AH464" s="1477"/>
      <c r="AI464" s="1477"/>
      <c r="AJ464" s="1477"/>
      <c r="AK464" s="1477"/>
      <c r="AL464" s="1477"/>
      <c r="AM464" s="1477"/>
      <c r="AN464" s="1477"/>
      <c r="AO464" s="284"/>
      <c r="AP464" s="1477"/>
      <c r="AQ464" s="1477"/>
      <c r="AR464" s="1477"/>
      <c r="AS464" s="1477"/>
      <c r="AT464" s="1477"/>
      <c r="AU464" s="1477"/>
      <c r="AV464" s="1477"/>
      <c r="AW464" s="1477"/>
      <c r="AX464" s="1477"/>
      <c r="AY464" s="1477"/>
      <c r="AZ464" s="1477"/>
      <c r="BA464" s="1477"/>
      <c r="BB464" s="1477"/>
      <c r="BC464" s="1477"/>
      <c r="BD464" s="1477"/>
      <c r="BE464" s="1477"/>
      <c r="BF464" s="1477"/>
      <c r="BG464" s="1477"/>
      <c r="BH464" s="1477"/>
      <c r="BI464" s="1477"/>
      <c r="BJ464" s="1477"/>
      <c r="BK464" s="1477"/>
      <c r="BL464" s="1477"/>
      <c r="BM464" s="1477"/>
      <c r="BN464" s="1477"/>
      <c r="BO464" s="1477"/>
      <c r="BP464" s="1477"/>
      <c r="BQ464" s="1477"/>
      <c r="BR464" s="1477"/>
      <c r="BS464" s="1477"/>
      <c r="BT464" s="1477"/>
      <c r="BU464" s="1477"/>
      <c r="BV464" s="1477"/>
      <c r="BW464" s="1477"/>
      <c r="BX464" s="1477"/>
      <c r="BY464" s="1477"/>
      <c r="BZ464" s="1477"/>
      <c r="CA464" s="1477"/>
      <c r="CB464" s="1477"/>
      <c r="CC464" s="1477"/>
      <c r="CD464" s="1477"/>
      <c r="CE464" s="1477"/>
      <c r="CF464" s="1477"/>
      <c r="CG464" s="1477"/>
      <c r="CH464" s="1477"/>
    </row>
    <row r="465" spans="2:86">
      <c r="B465" s="1477"/>
      <c r="C465" s="1477"/>
      <c r="D465" s="1477"/>
      <c r="E465" s="1477"/>
      <c r="F465" s="1477"/>
      <c r="G465" s="1477"/>
      <c r="H465" s="1477"/>
      <c r="I465" s="1477"/>
      <c r="J465" s="1477"/>
      <c r="K465" s="1477"/>
      <c r="L465" s="1477"/>
      <c r="M465" s="1477"/>
      <c r="N465" s="1477"/>
      <c r="O465" s="1477"/>
      <c r="P465" s="1477"/>
      <c r="Q465" s="1477"/>
      <c r="R465" s="1477"/>
      <c r="S465" s="1477"/>
      <c r="T465" s="1477"/>
      <c r="U465" s="1477"/>
      <c r="V465" s="1477"/>
      <c r="W465" s="1477"/>
      <c r="X465" s="1477"/>
      <c r="Y465" s="1477"/>
      <c r="Z465" s="1477"/>
      <c r="AA465" s="1477"/>
      <c r="AB465" s="1477"/>
      <c r="AC465" s="1477"/>
      <c r="AD465" s="1477"/>
      <c r="AE465" s="1477"/>
      <c r="AF465" s="1477"/>
      <c r="AG465" s="1477"/>
      <c r="AH465" s="1477"/>
      <c r="AI465" s="1477"/>
      <c r="AJ465" s="1477"/>
      <c r="AK465" s="1477"/>
      <c r="AL465" s="1477"/>
      <c r="AM465" s="1477"/>
      <c r="AN465" s="1477"/>
      <c r="AO465" s="284"/>
      <c r="AP465" s="1477"/>
      <c r="AQ465" s="1477"/>
      <c r="AR465" s="1477"/>
      <c r="AS465" s="1477"/>
      <c r="AT465" s="1477"/>
      <c r="AU465" s="1477"/>
      <c r="AV465" s="1477"/>
      <c r="AW465" s="1477"/>
      <c r="AX465" s="1477"/>
      <c r="AY465" s="1477"/>
      <c r="AZ465" s="1477"/>
      <c r="BA465" s="1477"/>
      <c r="BB465" s="1477"/>
      <c r="BC465" s="1477"/>
      <c r="BD465" s="1477"/>
      <c r="BE465" s="1477"/>
      <c r="BF465" s="1477"/>
      <c r="BG465" s="1477"/>
      <c r="BH465" s="1477"/>
      <c r="BI465" s="1477"/>
      <c r="BJ465" s="1477"/>
      <c r="BK465" s="1477"/>
      <c r="BL465" s="1477"/>
      <c r="BM465" s="1477"/>
      <c r="BN465" s="1477"/>
      <c r="BO465" s="1477"/>
      <c r="BP465" s="1477"/>
      <c r="BQ465" s="1477"/>
      <c r="BR465" s="1477"/>
      <c r="BS465" s="1477"/>
      <c r="BT465" s="1477"/>
      <c r="BU465" s="1477"/>
      <c r="BV465" s="1477"/>
      <c r="BW465" s="1477"/>
      <c r="BX465" s="1477"/>
      <c r="BY465" s="1477"/>
      <c r="BZ465" s="1477"/>
      <c r="CA465" s="1477"/>
      <c r="CB465" s="1477"/>
      <c r="CC465" s="1477"/>
      <c r="CD465" s="1477"/>
      <c r="CE465" s="1477"/>
      <c r="CF465" s="1477"/>
      <c r="CG465" s="1477"/>
      <c r="CH465" s="1477"/>
    </row>
    <row r="466" spans="2:86">
      <c r="B466" s="1477"/>
      <c r="C466" s="1477"/>
      <c r="D466" s="1477"/>
      <c r="E466" s="1477"/>
      <c r="F466" s="1477"/>
      <c r="G466" s="1477"/>
      <c r="H466" s="1477"/>
      <c r="I466" s="1477"/>
      <c r="J466" s="1477"/>
      <c r="K466" s="1477"/>
      <c r="L466" s="1477"/>
      <c r="M466" s="1477"/>
      <c r="N466" s="1477"/>
      <c r="O466" s="1477"/>
      <c r="P466" s="1477"/>
      <c r="Q466" s="1477"/>
      <c r="R466" s="1477"/>
      <c r="S466" s="1477"/>
      <c r="T466" s="1477"/>
      <c r="U466" s="1477"/>
      <c r="V466" s="1477"/>
      <c r="W466" s="1477"/>
      <c r="X466" s="1477"/>
      <c r="Y466" s="1477"/>
      <c r="Z466" s="1477"/>
      <c r="AA466" s="1477"/>
      <c r="AB466" s="1477"/>
      <c r="AC466" s="1477"/>
      <c r="AD466" s="1477"/>
      <c r="AE466" s="1477"/>
      <c r="AF466" s="1477"/>
      <c r="AG466" s="1477"/>
      <c r="AH466" s="1477"/>
      <c r="AI466" s="1477"/>
      <c r="AJ466" s="1477"/>
      <c r="AK466" s="1477"/>
      <c r="AL466" s="1477"/>
      <c r="AM466" s="1477"/>
      <c r="AN466" s="1477"/>
      <c r="AO466" s="284"/>
      <c r="AP466" s="1477"/>
      <c r="AQ466" s="1477"/>
      <c r="AR466" s="1477"/>
      <c r="AS466" s="1477"/>
      <c r="AT466" s="1477"/>
      <c r="AU466" s="1477"/>
      <c r="AV466" s="1477"/>
      <c r="AW466" s="1477"/>
      <c r="AX466" s="1477"/>
      <c r="AY466" s="1477"/>
      <c r="AZ466" s="1477"/>
      <c r="BA466" s="1477"/>
      <c r="BB466" s="1477"/>
      <c r="BC466" s="1477"/>
      <c r="BD466" s="1477"/>
      <c r="BE466" s="1477"/>
      <c r="BF466" s="1477"/>
      <c r="BG466" s="1477"/>
      <c r="BH466" s="1477"/>
      <c r="BI466" s="1477"/>
      <c r="BJ466" s="1477"/>
      <c r="BK466" s="1477"/>
      <c r="BL466" s="1477"/>
      <c r="BM466" s="1477"/>
      <c r="BN466" s="1477"/>
      <c r="BO466" s="1477"/>
      <c r="BP466" s="1477"/>
      <c r="BQ466" s="1477"/>
      <c r="BR466" s="1477"/>
      <c r="BS466" s="1477"/>
      <c r="BT466" s="1477"/>
      <c r="BU466" s="1477"/>
      <c r="BV466" s="1477"/>
      <c r="BW466" s="1477"/>
      <c r="BX466" s="1477"/>
      <c r="BY466" s="1477"/>
      <c r="BZ466" s="1477"/>
      <c r="CA466" s="1477"/>
      <c r="CB466" s="1477"/>
      <c r="CC466" s="1477"/>
      <c r="CD466" s="1477"/>
      <c r="CE466" s="1477"/>
      <c r="CF466" s="1477"/>
      <c r="CG466" s="1477"/>
      <c r="CH466" s="1477"/>
    </row>
    <row r="467" spans="2:86">
      <c r="B467" s="1477"/>
      <c r="C467" s="1477"/>
      <c r="D467" s="1477"/>
      <c r="E467" s="1477"/>
      <c r="F467" s="1477"/>
      <c r="G467" s="1477"/>
      <c r="H467" s="1477"/>
      <c r="I467" s="1477"/>
      <c r="J467" s="1477"/>
      <c r="K467" s="1477"/>
      <c r="L467" s="1477"/>
      <c r="M467" s="1477"/>
      <c r="N467" s="1477"/>
      <c r="O467" s="1477"/>
      <c r="P467" s="1477"/>
      <c r="Q467" s="1477"/>
      <c r="R467" s="1477"/>
      <c r="S467" s="1477"/>
      <c r="T467" s="1477"/>
      <c r="U467" s="1477"/>
      <c r="V467" s="1477"/>
      <c r="W467" s="1477"/>
      <c r="X467" s="1477"/>
      <c r="Y467" s="1477"/>
      <c r="Z467" s="1477"/>
      <c r="AA467" s="1477"/>
      <c r="AB467" s="1477"/>
      <c r="AC467" s="1477"/>
      <c r="AD467" s="1477"/>
      <c r="AE467" s="1477"/>
      <c r="AF467" s="1477"/>
      <c r="AG467" s="1477"/>
      <c r="AH467" s="1477"/>
      <c r="AI467" s="1477"/>
      <c r="AJ467" s="1477"/>
      <c r="AK467" s="1477"/>
      <c r="AL467" s="1477"/>
      <c r="AM467" s="1477"/>
      <c r="AN467" s="1477"/>
      <c r="AO467" s="284"/>
      <c r="AP467" s="1477"/>
      <c r="AQ467" s="1477"/>
      <c r="AR467" s="1477"/>
      <c r="AS467" s="1477"/>
      <c r="AT467" s="1477"/>
      <c r="AU467" s="1477"/>
      <c r="AV467" s="1477"/>
      <c r="AW467" s="1477"/>
      <c r="AX467" s="1477"/>
      <c r="AY467" s="1477"/>
      <c r="AZ467" s="1477"/>
      <c r="BA467" s="1477"/>
      <c r="BB467" s="1477"/>
      <c r="BC467" s="1477"/>
      <c r="BD467" s="1477"/>
      <c r="BE467" s="1477"/>
      <c r="BF467" s="1477"/>
      <c r="BG467" s="1477"/>
      <c r="BH467" s="1477"/>
      <c r="BI467" s="1477"/>
      <c r="BJ467" s="1477"/>
      <c r="BK467" s="1477"/>
      <c r="BL467" s="1477"/>
      <c r="BM467" s="1477"/>
      <c r="BN467" s="1477"/>
      <c r="BO467" s="1477"/>
      <c r="BP467" s="1477"/>
      <c r="BQ467" s="1477"/>
      <c r="BR467" s="1477"/>
      <c r="BS467" s="1477"/>
      <c r="BT467" s="1477"/>
      <c r="BU467" s="1477"/>
      <c r="BV467" s="1477"/>
      <c r="BW467" s="1477"/>
      <c r="BX467" s="1477"/>
      <c r="BY467" s="1477"/>
      <c r="BZ467" s="1477"/>
      <c r="CA467" s="1477"/>
      <c r="CB467" s="1477"/>
      <c r="CC467" s="1477"/>
      <c r="CD467" s="1477"/>
      <c r="CE467" s="1477"/>
      <c r="CF467" s="1477"/>
      <c r="CG467" s="1477"/>
      <c r="CH467" s="1477"/>
    </row>
    <row r="468" spans="2:86">
      <c r="B468" s="1477"/>
      <c r="C468" s="1477"/>
      <c r="D468" s="1477"/>
      <c r="E468" s="1477"/>
      <c r="F468" s="1477"/>
      <c r="G468" s="1477"/>
      <c r="H468" s="1477"/>
      <c r="I468" s="1477"/>
      <c r="J468" s="1477"/>
      <c r="K468" s="1477"/>
      <c r="L468" s="1477"/>
      <c r="M468" s="1477"/>
      <c r="N468" s="1477"/>
      <c r="O468" s="1477"/>
      <c r="P468" s="1477"/>
      <c r="Q468" s="1477"/>
      <c r="R468" s="1477"/>
      <c r="S468" s="1477"/>
      <c r="T468" s="1477"/>
      <c r="U468" s="1477"/>
      <c r="V468" s="1477"/>
      <c r="W468" s="1477"/>
      <c r="X468" s="1477"/>
      <c r="Y468" s="1477"/>
      <c r="Z468" s="1477"/>
      <c r="AA468" s="1477"/>
      <c r="AB468" s="1477"/>
      <c r="AC468" s="1477"/>
      <c r="AD468" s="1477"/>
      <c r="AE468" s="1477"/>
      <c r="AF468" s="1477"/>
      <c r="AG468" s="1477"/>
      <c r="AH468" s="1477"/>
      <c r="AI468" s="1477"/>
      <c r="AJ468" s="1477"/>
      <c r="AK468" s="1477"/>
      <c r="AL468" s="1477"/>
      <c r="AM468" s="1477"/>
      <c r="AN468" s="1477"/>
      <c r="AO468" s="284"/>
      <c r="AP468" s="1477"/>
      <c r="AQ468" s="1477"/>
      <c r="AR468" s="1477"/>
      <c r="AS468" s="1477"/>
      <c r="AT468" s="1477"/>
      <c r="AU468" s="1477"/>
      <c r="AV468" s="1477"/>
      <c r="AW468" s="1477"/>
      <c r="AX468" s="1477"/>
      <c r="AY468" s="1477"/>
      <c r="AZ468" s="1477"/>
      <c r="BA468" s="1477"/>
      <c r="BB468" s="1477"/>
      <c r="BC468" s="1477"/>
      <c r="BD468" s="1477"/>
      <c r="BE468" s="1477"/>
      <c r="BF468" s="1477"/>
      <c r="BG468" s="1477"/>
      <c r="BH468" s="1477"/>
      <c r="BI468" s="1477"/>
      <c r="BJ468" s="1477"/>
      <c r="BK468" s="1477"/>
      <c r="BL468" s="1477"/>
      <c r="BM468" s="1477"/>
      <c r="BN468" s="1477"/>
      <c r="BO468" s="1477"/>
      <c r="BP468" s="1477"/>
      <c r="BQ468" s="1477"/>
      <c r="BR468" s="1477"/>
      <c r="BS468" s="1477"/>
      <c r="BT468" s="1477"/>
      <c r="BU468" s="1477"/>
      <c r="BV468" s="1477"/>
      <c r="BW468" s="1477"/>
      <c r="BX468" s="1477"/>
      <c r="BY468" s="1477"/>
      <c r="BZ468" s="1477"/>
      <c r="CA468" s="1477"/>
      <c r="CB468" s="1477"/>
      <c r="CC468" s="1477"/>
      <c r="CD468" s="1477"/>
      <c r="CE468" s="1477"/>
      <c r="CF468" s="1477"/>
      <c r="CG468" s="1477"/>
      <c r="CH468" s="1477"/>
    </row>
    <row r="469" spans="2:86">
      <c r="B469" s="1477"/>
      <c r="C469" s="1477"/>
      <c r="D469" s="1477"/>
      <c r="E469" s="1477"/>
      <c r="F469" s="1477"/>
      <c r="G469" s="1477"/>
      <c r="H469" s="1477"/>
      <c r="I469" s="1477"/>
      <c r="J469" s="1477"/>
      <c r="K469" s="1477"/>
      <c r="L469" s="1477"/>
      <c r="M469" s="1477"/>
      <c r="N469" s="1477"/>
      <c r="O469" s="1477"/>
      <c r="P469" s="1477"/>
      <c r="Q469" s="1477"/>
      <c r="R469" s="1477"/>
      <c r="S469" s="1477"/>
      <c r="T469" s="1477"/>
      <c r="U469" s="1477"/>
      <c r="V469" s="1477"/>
      <c r="W469" s="1477"/>
      <c r="X469" s="1477"/>
      <c r="Y469" s="1477"/>
      <c r="Z469" s="1477"/>
      <c r="AA469" s="1477"/>
      <c r="AB469" s="1477"/>
      <c r="AC469" s="1477"/>
      <c r="AD469" s="1477"/>
      <c r="AE469" s="1477"/>
      <c r="AF469" s="1477"/>
      <c r="AG469" s="1477"/>
      <c r="AH469" s="1477"/>
      <c r="AI469" s="1477"/>
      <c r="AJ469" s="1477"/>
      <c r="AK469" s="1477"/>
      <c r="AL469" s="1477"/>
      <c r="AM469" s="1477"/>
      <c r="AN469" s="1477"/>
      <c r="AO469" s="284"/>
      <c r="AP469" s="1477"/>
      <c r="AQ469" s="1477"/>
      <c r="AR469" s="1477"/>
      <c r="AS469" s="1477"/>
      <c r="AT469" s="1477"/>
      <c r="AU469" s="1477"/>
      <c r="AV469" s="1477"/>
      <c r="AW469" s="1477"/>
      <c r="AX469" s="1477"/>
      <c r="AY469" s="1477"/>
      <c r="AZ469" s="1477"/>
      <c r="BA469" s="1477"/>
      <c r="BB469" s="1477"/>
      <c r="BC469" s="1477"/>
      <c r="BD469" s="1477"/>
      <c r="BE469" s="1477"/>
      <c r="BF469" s="1477"/>
      <c r="BG469" s="1477"/>
      <c r="BH469" s="1477"/>
      <c r="BI469" s="1477"/>
      <c r="BJ469" s="1477"/>
      <c r="BK469" s="1477"/>
      <c r="BL469" s="1477"/>
      <c r="BM469" s="1477"/>
      <c r="BN469" s="1477"/>
      <c r="BO469" s="1477"/>
      <c r="BP469" s="1477"/>
      <c r="BQ469" s="1477"/>
      <c r="BR469" s="1477"/>
      <c r="BS469" s="1477"/>
      <c r="BT469" s="1477"/>
      <c r="BU469" s="1477"/>
      <c r="BV469" s="1477"/>
      <c r="BW469" s="1477"/>
      <c r="BX469" s="1477"/>
      <c r="BY469" s="1477"/>
      <c r="BZ469" s="1477"/>
      <c r="CA469" s="1477"/>
      <c r="CB469" s="1477"/>
      <c r="CC469" s="1477"/>
      <c r="CD469" s="1477"/>
      <c r="CE469" s="1477"/>
      <c r="CF469" s="1477"/>
      <c r="CG469" s="1477"/>
      <c r="CH469" s="1477"/>
    </row>
    <row r="470" spans="2:86">
      <c r="B470" s="1477"/>
      <c r="C470" s="1477"/>
      <c r="D470" s="1477"/>
      <c r="E470" s="1477"/>
      <c r="F470" s="1477"/>
      <c r="G470" s="1477"/>
      <c r="H470" s="1477"/>
      <c r="I470" s="1477"/>
      <c r="J470" s="1477"/>
      <c r="K470" s="1477"/>
      <c r="L470" s="1477"/>
      <c r="M470" s="1477"/>
      <c r="N470" s="1477"/>
      <c r="O470" s="1477"/>
      <c r="P470" s="1477"/>
      <c r="Q470" s="1477"/>
      <c r="R470" s="1477"/>
      <c r="S470" s="1477"/>
      <c r="T470" s="1477"/>
      <c r="U470" s="1477"/>
      <c r="V470" s="1477"/>
      <c r="W470" s="1477"/>
      <c r="X470" s="1477"/>
      <c r="Y470" s="1477"/>
      <c r="Z470" s="1477"/>
      <c r="AA470" s="1477"/>
      <c r="AB470" s="1477"/>
      <c r="AC470" s="1477"/>
      <c r="AD470" s="1477"/>
      <c r="AE470" s="1477"/>
      <c r="AF470" s="1477"/>
      <c r="AG470" s="1477"/>
      <c r="AH470" s="1477"/>
      <c r="AI470" s="1477"/>
      <c r="AJ470" s="1477"/>
      <c r="AK470" s="1477"/>
      <c r="AL470" s="1477"/>
      <c r="AM470" s="1477"/>
      <c r="AN470" s="1477"/>
      <c r="AO470" s="284"/>
      <c r="AP470" s="1477"/>
      <c r="AQ470" s="1477"/>
      <c r="AR470" s="1477"/>
      <c r="AS470" s="1477"/>
      <c r="AT470" s="1477"/>
      <c r="AU470" s="1477"/>
      <c r="AV470" s="1477"/>
      <c r="AW470" s="1477"/>
      <c r="AX470" s="1477"/>
      <c r="AY470" s="1477"/>
      <c r="AZ470" s="1477"/>
      <c r="BA470" s="1477"/>
      <c r="BB470" s="1477"/>
      <c r="BC470" s="1477"/>
      <c r="BD470" s="1477"/>
      <c r="BE470" s="1477"/>
      <c r="BF470" s="1477"/>
      <c r="BG470" s="1477"/>
      <c r="BH470" s="1477"/>
      <c r="BI470" s="1477"/>
      <c r="BJ470" s="1477"/>
      <c r="BK470" s="1477"/>
      <c r="BL470" s="1477"/>
      <c r="BM470" s="1477"/>
      <c r="BN470" s="1477"/>
      <c r="BO470" s="1477"/>
      <c r="BP470" s="1477"/>
      <c r="BQ470" s="1477"/>
      <c r="BR470" s="1477"/>
      <c r="BS470" s="1477"/>
      <c r="BT470" s="1477"/>
      <c r="BU470" s="1477"/>
      <c r="BV470" s="1477"/>
      <c r="BW470" s="1477"/>
      <c r="BX470" s="1477"/>
      <c r="BY470" s="1477"/>
      <c r="BZ470" s="1477"/>
      <c r="CA470" s="1477"/>
      <c r="CB470" s="1477"/>
      <c r="CC470" s="1477"/>
      <c r="CD470" s="1477"/>
      <c r="CE470" s="1477"/>
      <c r="CF470" s="1477"/>
      <c r="CG470" s="1477"/>
      <c r="CH470" s="1477"/>
    </row>
    <row r="471" spans="2:86">
      <c r="B471" s="1477"/>
      <c r="C471" s="1477"/>
      <c r="D471" s="1477"/>
      <c r="E471" s="1477"/>
      <c r="F471" s="1477"/>
      <c r="G471" s="1477"/>
      <c r="H471" s="1477"/>
      <c r="I471" s="1477"/>
      <c r="J471" s="1477"/>
      <c r="K471" s="1477"/>
      <c r="L471" s="1477"/>
      <c r="M471" s="1477"/>
      <c r="N471" s="1477"/>
      <c r="O471" s="1477"/>
      <c r="P471" s="1477"/>
      <c r="Q471" s="1477"/>
      <c r="R471" s="1477"/>
      <c r="S471" s="1477"/>
      <c r="T471" s="1477"/>
      <c r="U471" s="1477"/>
      <c r="V471" s="1477"/>
      <c r="W471" s="1477"/>
      <c r="X471" s="1477"/>
      <c r="Y471" s="1477"/>
      <c r="Z471" s="1477"/>
      <c r="AA471" s="1477"/>
      <c r="AB471" s="1477"/>
      <c r="AC471" s="1477"/>
      <c r="AD471" s="1477"/>
      <c r="AE471" s="1477"/>
      <c r="AF471" s="1477"/>
      <c r="AG471" s="1477"/>
      <c r="AH471" s="1477"/>
      <c r="AI471" s="1477"/>
      <c r="AJ471" s="1477"/>
      <c r="AK471" s="1477"/>
      <c r="AL471" s="1477"/>
      <c r="AM471" s="1477"/>
      <c r="AN471" s="1477"/>
      <c r="AO471" s="284"/>
      <c r="AP471" s="1477"/>
      <c r="AQ471" s="1477"/>
      <c r="AR471" s="1477"/>
      <c r="AS471" s="1477"/>
      <c r="AT471" s="1477"/>
      <c r="AU471" s="1477"/>
      <c r="AV471" s="1477"/>
      <c r="AW471" s="1477"/>
      <c r="AX471" s="1477"/>
      <c r="AY471" s="1477"/>
      <c r="AZ471" s="1477"/>
      <c r="BA471" s="1477"/>
      <c r="BB471" s="1477"/>
      <c r="BC471" s="1477"/>
      <c r="BD471" s="1477"/>
      <c r="BE471" s="1477"/>
      <c r="BF471" s="1477"/>
      <c r="BG471" s="1477"/>
      <c r="BH471" s="1477"/>
      <c r="BI471" s="1477"/>
      <c r="BJ471" s="1477"/>
      <c r="BK471" s="1477"/>
      <c r="BL471" s="1477"/>
      <c r="BM471" s="1477"/>
      <c r="BN471" s="1477"/>
      <c r="BO471" s="1477"/>
      <c r="BP471" s="1477"/>
      <c r="BQ471" s="1477"/>
      <c r="BR471" s="1477"/>
      <c r="BS471" s="1477"/>
      <c r="BT471" s="1477"/>
      <c r="BU471" s="1477"/>
      <c r="BV471" s="1477"/>
      <c r="BW471" s="1477"/>
      <c r="BX471" s="1477"/>
      <c r="BY471" s="1477"/>
      <c r="BZ471" s="1477"/>
      <c r="CA471" s="1477"/>
      <c r="CB471" s="1477"/>
      <c r="CC471" s="1477"/>
      <c r="CD471" s="1477"/>
      <c r="CE471" s="1477"/>
      <c r="CF471" s="1477"/>
      <c r="CG471" s="1477"/>
      <c r="CH471" s="1477"/>
    </row>
    <row r="472" spans="2:86">
      <c r="B472" s="1477"/>
      <c r="C472" s="1477"/>
      <c r="D472" s="1477"/>
      <c r="E472" s="1477"/>
      <c r="F472" s="1477"/>
      <c r="G472" s="1477"/>
      <c r="H472" s="1477"/>
      <c r="I472" s="1477"/>
      <c r="J472" s="1477"/>
      <c r="K472" s="1477"/>
      <c r="L472" s="1477"/>
      <c r="M472" s="1477"/>
      <c r="N472" s="1477"/>
      <c r="O472" s="1477"/>
      <c r="P472" s="1477"/>
      <c r="Q472" s="1477"/>
      <c r="R472" s="1477"/>
      <c r="S472" s="1477"/>
      <c r="T472" s="1477"/>
      <c r="U472" s="1477"/>
      <c r="V472" s="1477"/>
      <c r="W472" s="1477"/>
      <c r="X472" s="1477"/>
      <c r="Y472" s="1477"/>
      <c r="Z472" s="1477"/>
      <c r="AA472" s="1477"/>
      <c r="AB472" s="1477"/>
      <c r="AC472" s="1477"/>
      <c r="AD472" s="1477"/>
      <c r="AE472" s="1477"/>
      <c r="AF472" s="1477"/>
      <c r="AG472" s="1477"/>
      <c r="AH472" s="1477"/>
      <c r="AI472" s="1477"/>
      <c r="AJ472" s="1477"/>
      <c r="AK472" s="1477"/>
      <c r="AL472" s="1477"/>
      <c r="AM472" s="1477"/>
      <c r="AN472" s="1477"/>
      <c r="AO472" s="284"/>
      <c r="AP472" s="1477"/>
      <c r="AQ472" s="1477"/>
      <c r="AR472" s="1477"/>
      <c r="AS472" s="1477"/>
      <c r="AT472" s="1477"/>
      <c r="AU472" s="1477"/>
      <c r="AV472" s="1477"/>
      <c r="AW472" s="1477"/>
      <c r="AX472" s="1477"/>
      <c r="AY472" s="1477"/>
      <c r="AZ472" s="1477"/>
      <c r="BA472" s="1477"/>
      <c r="BB472" s="1477"/>
      <c r="BC472" s="1477"/>
      <c r="BD472" s="1477"/>
      <c r="BE472" s="1477"/>
      <c r="BF472" s="1477"/>
      <c r="BG472" s="1477"/>
      <c r="BH472" s="1477"/>
      <c r="BI472" s="1477"/>
      <c r="BJ472" s="1477"/>
      <c r="BK472" s="1477"/>
      <c r="BL472" s="1477"/>
      <c r="BM472" s="1477"/>
      <c r="BN472" s="1477"/>
      <c r="BO472" s="1477"/>
      <c r="BP472" s="1477"/>
      <c r="BQ472" s="1477"/>
      <c r="BR472" s="1477"/>
      <c r="BS472" s="1477"/>
      <c r="BT472" s="1477"/>
      <c r="BU472" s="1477"/>
      <c r="BV472" s="1477"/>
      <c r="BW472" s="1477"/>
      <c r="BX472" s="1477"/>
      <c r="BY472" s="1477"/>
      <c r="BZ472" s="1477"/>
      <c r="CA472" s="1477"/>
      <c r="CB472" s="1477"/>
      <c r="CC472" s="1477"/>
      <c r="CD472" s="1477"/>
      <c r="CE472" s="1477"/>
      <c r="CF472" s="1477"/>
      <c r="CG472" s="1477"/>
      <c r="CH472" s="1477"/>
    </row>
    <row r="473" spans="2:86">
      <c r="B473" s="1477"/>
      <c r="C473" s="1477"/>
      <c r="D473" s="1477"/>
      <c r="E473" s="1477"/>
      <c r="F473" s="1477"/>
      <c r="G473" s="1477"/>
      <c r="H473" s="1477"/>
      <c r="I473" s="1477"/>
      <c r="J473" s="1477"/>
      <c r="K473" s="1477"/>
      <c r="L473" s="1477"/>
      <c r="M473" s="1477"/>
      <c r="N473" s="1477"/>
      <c r="O473" s="1477"/>
      <c r="P473" s="1477"/>
      <c r="Q473" s="1477"/>
      <c r="R473" s="1477"/>
      <c r="S473" s="1477"/>
      <c r="T473" s="1477"/>
      <c r="U473" s="1477"/>
      <c r="V473" s="1477"/>
      <c r="W473" s="1477"/>
      <c r="X473" s="1477"/>
      <c r="Y473" s="1477"/>
      <c r="Z473" s="1477"/>
      <c r="AA473" s="1477"/>
      <c r="AB473" s="1477"/>
      <c r="AC473" s="1477"/>
      <c r="AD473" s="1477"/>
      <c r="AE473" s="1477"/>
      <c r="AF473" s="1477"/>
      <c r="AG473" s="1477"/>
      <c r="AH473" s="1477"/>
      <c r="AI473" s="1477"/>
      <c r="AJ473" s="1477"/>
      <c r="AK473" s="1477"/>
      <c r="AL473" s="1477"/>
      <c r="AM473" s="1477"/>
      <c r="AN473" s="1477"/>
      <c r="AO473" s="284"/>
      <c r="AP473" s="1477"/>
      <c r="AQ473" s="1477"/>
      <c r="AR473" s="1477"/>
      <c r="AS473" s="1477"/>
      <c r="AT473" s="1477"/>
      <c r="AU473" s="1477"/>
      <c r="AV473" s="1477"/>
      <c r="AW473" s="1477"/>
      <c r="AX473" s="1477"/>
      <c r="AY473" s="1477"/>
      <c r="AZ473" s="1477"/>
      <c r="BA473" s="1477"/>
      <c r="BB473" s="1477"/>
      <c r="BC473" s="1477"/>
      <c r="BD473" s="1477"/>
      <c r="BE473" s="1477"/>
      <c r="BF473" s="1477"/>
      <c r="BG473" s="1477"/>
      <c r="BH473" s="1477"/>
      <c r="BI473" s="1477"/>
      <c r="BJ473" s="1477"/>
      <c r="BK473" s="1477"/>
      <c r="BL473" s="1477"/>
      <c r="BM473" s="1477"/>
      <c r="BN473" s="1477"/>
      <c r="BO473" s="1477"/>
      <c r="BP473" s="1477"/>
      <c r="BQ473" s="1477"/>
      <c r="BR473" s="1477"/>
      <c r="BS473" s="1477"/>
      <c r="BT473" s="1477"/>
      <c r="BU473" s="1477"/>
      <c r="BV473" s="1477"/>
      <c r="BW473" s="1477"/>
      <c r="BX473" s="1477"/>
      <c r="BY473" s="1477"/>
      <c r="BZ473" s="1477"/>
      <c r="CA473" s="1477"/>
      <c r="CB473" s="1477"/>
      <c r="CC473" s="1477"/>
      <c r="CD473" s="1477"/>
      <c r="CE473" s="1477"/>
      <c r="CF473" s="1477"/>
      <c r="CG473" s="1477"/>
      <c r="CH473" s="1477"/>
    </row>
    <row r="474" spans="2:86">
      <c r="B474" s="1477"/>
      <c r="C474" s="1477"/>
      <c r="D474" s="1477"/>
      <c r="E474" s="1477"/>
      <c r="F474" s="1477"/>
      <c r="G474" s="1477"/>
      <c r="H474" s="1477"/>
      <c r="I474" s="1477"/>
      <c r="J474" s="1477"/>
      <c r="K474" s="1477"/>
      <c r="L474" s="1477"/>
      <c r="M474" s="1477"/>
      <c r="N474" s="1477"/>
      <c r="O474" s="1477"/>
      <c r="P474" s="1477"/>
      <c r="Q474" s="1477"/>
      <c r="R474" s="1477"/>
      <c r="S474" s="1477"/>
      <c r="T474" s="1477"/>
      <c r="U474" s="1477"/>
      <c r="V474" s="1477"/>
      <c r="W474" s="1477"/>
      <c r="X474" s="1477"/>
      <c r="Y474" s="1477"/>
      <c r="Z474" s="1477"/>
      <c r="AA474" s="1477"/>
      <c r="AB474" s="1477"/>
      <c r="AC474" s="1477"/>
      <c r="AD474" s="1477"/>
      <c r="AE474" s="1477"/>
      <c r="AF474" s="1477"/>
      <c r="AG474" s="1477"/>
      <c r="AH474" s="1477"/>
      <c r="AI474" s="1477"/>
      <c r="AJ474" s="1477"/>
      <c r="AK474" s="1477"/>
      <c r="AL474" s="1477"/>
      <c r="AM474" s="1477"/>
      <c r="AN474" s="1477"/>
      <c r="AO474" s="284"/>
      <c r="AP474" s="1477"/>
      <c r="AQ474" s="1477"/>
      <c r="AR474" s="1477"/>
      <c r="AS474" s="1477"/>
      <c r="AT474" s="1477"/>
      <c r="AU474" s="1477"/>
      <c r="AV474" s="1477"/>
      <c r="AW474" s="1477"/>
      <c r="AX474" s="1477"/>
      <c r="AY474" s="1477"/>
      <c r="AZ474" s="1477"/>
      <c r="BA474" s="1477"/>
      <c r="BB474" s="1477"/>
      <c r="BC474" s="1477"/>
      <c r="BD474" s="1477"/>
      <c r="BE474" s="1477"/>
      <c r="BF474" s="1477"/>
      <c r="BG474" s="1477"/>
      <c r="BH474" s="1477"/>
      <c r="BI474" s="1477"/>
      <c r="BJ474" s="1477"/>
      <c r="BK474" s="1477"/>
      <c r="BL474" s="1477"/>
      <c r="BM474" s="1477"/>
      <c r="BN474" s="1477"/>
      <c r="BO474" s="1477"/>
      <c r="BP474" s="1477"/>
      <c r="BQ474" s="1477"/>
      <c r="BR474" s="1477"/>
      <c r="BS474" s="1477"/>
      <c r="BT474" s="1477"/>
      <c r="BU474" s="1477"/>
      <c r="BV474" s="1477"/>
      <c r="BW474" s="1477"/>
      <c r="BX474" s="1477"/>
      <c r="BY474" s="1477"/>
      <c r="BZ474" s="1477"/>
      <c r="CA474" s="1477"/>
      <c r="CB474" s="1477"/>
      <c r="CC474" s="1477"/>
      <c r="CD474" s="1477"/>
      <c r="CE474" s="1477"/>
      <c r="CF474" s="1477"/>
      <c r="CG474" s="1477"/>
      <c r="CH474" s="1477"/>
    </row>
    <row r="475" spans="2:86">
      <c r="B475" s="1477"/>
      <c r="C475" s="1477"/>
      <c r="D475" s="1477"/>
      <c r="E475" s="1477"/>
      <c r="F475" s="1477"/>
      <c r="G475" s="1477"/>
      <c r="H475" s="1477"/>
      <c r="I475" s="1477"/>
      <c r="J475" s="1477"/>
      <c r="K475" s="1477"/>
      <c r="L475" s="1477"/>
      <c r="M475" s="1477"/>
      <c r="N475" s="1477"/>
      <c r="O475" s="1477"/>
      <c r="P475" s="1477"/>
      <c r="Q475" s="1477"/>
      <c r="R475" s="1477"/>
      <c r="S475" s="1477"/>
      <c r="T475" s="1477"/>
      <c r="U475" s="1477"/>
      <c r="V475" s="1477"/>
      <c r="W475" s="1477"/>
      <c r="X475" s="1477"/>
      <c r="Y475" s="1477"/>
      <c r="Z475" s="1477"/>
      <c r="AA475" s="1477"/>
      <c r="AB475" s="1477"/>
      <c r="AC475" s="1477"/>
      <c r="AD475" s="1477"/>
      <c r="AE475" s="1477"/>
      <c r="AF475" s="1477"/>
      <c r="AG475" s="1477"/>
      <c r="AH475" s="1477"/>
      <c r="AI475" s="1477"/>
      <c r="AJ475" s="1477"/>
      <c r="AK475" s="1477"/>
      <c r="AL475" s="1477"/>
      <c r="AM475" s="1477"/>
      <c r="AN475" s="1477"/>
      <c r="AO475" s="284"/>
      <c r="AP475" s="1477"/>
      <c r="AQ475" s="1477"/>
      <c r="AR475" s="1477"/>
      <c r="AS475" s="1477"/>
      <c r="AT475" s="1477"/>
      <c r="AU475" s="1477"/>
      <c r="AV475" s="1477"/>
      <c r="AW475" s="1477"/>
      <c r="AX475" s="1477"/>
      <c r="AY475" s="1477"/>
      <c r="AZ475" s="1477"/>
      <c r="BA475" s="1477"/>
      <c r="BB475" s="1477"/>
      <c r="BC475" s="1477"/>
      <c r="BD475" s="1477"/>
      <c r="BE475" s="1477"/>
      <c r="BF475" s="1477"/>
      <c r="BG475" s="1477"/>
      <c r="BH475" s="1477"/>
      <c r="BI475" s="1477"/>
      <c r="BJ475" s="1477"/>
      <c r="BK475" s="1477"/>
      <c r="BL475" s="1477"/>
      <c r="BM475" s="1477"/>
      <c r="BN475" s="1477"/>
      <c r="BO475" s="1477"/>
      <c r="BP475" s="1477"/>
      <c r="BQ475" s="1477"/>
      <c r="BR475" s="1477"/>
      <c r="BS475" s="1477"/>
      <c r="BT475" s="1477"/>
      <c r="BU475" s="1477"/>
      <c r="BV475" s="1477"/>
      <c r="BW475" s="1477"/>
      <c r="BX475" s="1477"/>
      <c r="BY475" s="1477"/>
      <c r="BZ475" s="1477"/>
      <c r="CA475" s="1477"/>
      <c r="CB475" s="1477"/>
      <c r="CC475" s="1477"/>
      <c r="CD475" s="1477"/>
      <c r="CE475" s="1477"/>
      <c r="CF475" s="1477"/>
      <c r="CG475" s="1477"/>
      <c r="CH475" s="1477"/>
    </row>
    <row r="476" spans="2:86">
      <c r="B476" s="1477"/>
      <c r="C476" s="1477"/>
      <c r="D476" s="1477"/>
      <c r="E476" s="1477"/>
      <c r="F476" s="1477"/>
      <c r="G476" s="1477"/>
      <c r="H476" s="1477"/>
      <c r="I476" s="1477"/>
      <c r="J476" s="1477"/>
      <c r="K476" s="1477"/>
      <c r="L476" s="1477"/>
      <c r="M476" s="1477"/>
      <c r="N476" s="1477"/>
      <c r="O476" s="1477"/>
      <c r="P476" s="1477"/>
      <c r="Q476" s="1477"/>
      <c r="R476" s="1477"/>
      <c r="S476" s="1477"/>
      <c r="T476" s="1477"/>
      <c r="U476" s="1477"/>
      <c r="V476" s="1477"/>
      <c r="W476" s="1477"/>
      <c r="X476" s="1477"/>
      <c r="Y476" s="1477"/>
      <c r="Z476" s="1477"/>
      <c r="AA476" s="1477"/>
      <c r="AB476" s="1477"/>
      <c r="AC476" s="1477"/>
      <c r="AD476" s="1477"/>
      <c r="AE476" s="1477"/>
      <c r="AF476" s="1477"/>
      <c r="AG476" s="1477"/>
      <c r="AH476" s="1477"/>
      <c r="AI476" s="1477"/>
      <c r="AJ476" s="1477"/>
      <c r="AK476" s="1477"/>
      <c r="AL476" s="1477"/>
      <c r="AM476" s="1477"/>
      <c r="AN476" s="1477"/>
      <c r="AO476" s="284"/>
      <c r="AP476" s="1477"/>
      <c r="AQ476" s="1477"/>
      <c r="AR476" s="1477"/>
      <c r="AS476" s="1477"/>
      <c r="AT476" s="1477"/>
      <c r="AU476" s="1477"/>
      <c r="AV476" s="1477"/>
      <c r="AW476" s="1477"/>
      <c r="AX476" s="1477"/>
      <c r="AY476" s="1477"/>
      <c r="AZ476" s="1477"/>
      <c r="BA476" s="1477"/>
      <c r="BB476" s="1477"/>
      <c r="BC476" s="1477"/>
      <c r="BD476" s="1477"/>
      <c r="BE476" s="1477"/>
      <c r="BF476" s="1477"/>
      <c r="BG476" s="1477"/>
      <c r="BH476" s="1477"/>
      <c r="BI476" s="1477"/>
      <c r="BJ476" s="1477"/>
      <c r="BK476" s="1477"/>
      <c r="BL476" s="1477"/>
      <c r="BM476" s="1477"/>
      <c r="BN476" s="1477"/>
      <c r="BO476" s="1477"/>
      <c r="BP476" s="1477"/>
      <c r="BQ476" s="1477"/>
      <c r="BR476" s="1477"/>
      <c r="BS476" s="1477"/>
      <c r="BT476" s="1477"/>
      <c r="BU476" s="1477"/>
      <c r="BV476" s="1477"/>
      <c r="BW476" s="1477"/>
      <c r="BX476" s="1477"/>
      <c r="BY476" s="1477"/>
      <c r="BZ476" s="1477"/>
      <c r="CA476" s="1477"/>
      <c r="CB476" s="1477"/>
      <c r="CC476" s="1477"/>
      <c r="CD476" s="1477"/>
      <c r="CE476" s="1477"/>
      <c r="CF476" s="1477"/>
      <c r="CG476" s="1477"/>
      <c r="CH476" s="1477"/>
    </row>
    <row r="477" spans="2:86">
      <c r="B477" s="1477"/>
      <c r="C477" s="1477"/>
      <c r="D477" s="1477"/>
      <c r="E477" s="1477"/>
      <c r="F477" s="1477"/>
      <c r="G477" s="1477"/>
      <c r="H477" s="1477"/>
      <c r="I477" s="1477"/>
      <c r="J477" s="1477"/>
      <c r="K477" s="1477"/>
      <c r="L477" s="1477"/>
      <c r="M477" s="1477"/>
      <c r="N477" s="1477"/>
      <c r="O477" s="1477"/>
      <c r="P477" s="1477"/>
      <c r="Q477" s="1477"/>
      <c r="R477" s="1477"/>
      <c r="S477" s="1477"/>
      <c r="T477" s="1477"/>
      <c r="U477" s="1477"/>
      <c r="V477" s="1477"/>
      <c r="W477" s="1477"/>
      <c r="X477" s="1477"/>
      <c r="Y477" s="1477"/>
      <c r="Z477" s="1477"/>
      <c r="AA477" s="1477"/>
      <c r="AB477" s="1477"/>
      <c r="AC477" s="1477"/>
      <c r="AD477" s="1477"/>
      <c r="AE477" s="1477"/>
      <c r="AF477" s="1477"/>
      <c r="AG477" s="1477"/>
      <c r="AH477" s="1477"/>
      <c r="AI477" s="1477"/>
      <c r="AJ477" s="1477"/>
      <c r="AK477" s="1477"/>
      <c r="AL477" s="1477"/>
      <c r="AM477" s="1477"/>
      <c r="AN477" s="1477"/>
      <c r="AO477" s="284"/>
      <c r="AP477" s="1477"/>
      <c r="AQ477" s="1477"/>
      <c r="AR477" s="1477"/>
      <c r="AS477" s="1477"/>
      <c r="AT477" s="1477"/>
      <c r="AU477" s="1477"/>
      <c r="AV477" s="1477"/>
      <c r="AW477" s="1477"/>
      <c r="AX477" s="1477"/>
      <c r="AY477" s="1477"/>
      <c r="AZ477" s="1477"/>
      <c r="BA477" s="1477"/>
      <c r="BB477" s="1477"/>
      <c r="BC477" s="1477"/>
      <c r="BD477" s="1477"/>
      <c r="BE477" s="1477"/>
      <c r="BF477" s="1477"/>
      <c r="BG477" s="1477"/>
      <c r="BH477" s="1477"/>
      <c r="BI477" s="1477"/>
      <c r="BJ477" s="1477"/>
      <c r="BK477" s="1477"/>
      <c r="BL477" s="1477"/>
      <c r="BM477" s="1477"/>
      <c r="BN477" s="1477"/>
      <c r="BO477" s="1477"/>
      <c r="BP477" s="1477"/>
      <c r="BQ477" s="1477"/>
      <c r="BR477" s="1477"/>
      <c r="BS477" s="1477"/>
      <c r="BT477" s="1477"/>
      <c r="BU477" s="1477"/>
      <c r="BV477" s="1477"/>
      <c r="BW477" s="1477"/>
      <c r="BX477" s="1477"/>
      <c r="BY477" s="1477"/>
      <c r="BZ477" s="1477"/>
      <c r="CA477" s="1477"/>
      <c r="CB477" s="1477"/>
      <c r="CC477" s="1477"/>
      <c r="CD477" s="1477"/>
      <c r="CE477" s="1477"/>
      <c r="CF477" s="1477"/>
      <c r="CG477" s="1477"/>
      <c r="CH477" s="1477"/>
    </row>
    <row r="478" spans="2:86">
      <c r="B478" s="1477"/>
      <c r="C478" s="1477"/>
      <c r="D478" s="1477"/>
      <c r="E478" s="1477"/>
      <c r="F478" s="1477"/>
      <c r="G478" s="1477"/>
      <c r="H478" s="1477"/>
      <c r="I478" s="1477"/>
      <c r="J478" s="1477"/>
      <c r="K478" s="1477"/>
      <c r="L478" s="1477"/>
      <c r="M478" s="1477"/>
      <c r="N478" s="1477"/>
      <c r="O478" s="1477"/>
      <c r="P478" s="1477"/>
      <c r="Q478" s="1477"/>
      <c r="R478" s="1477"/>
      <c r="S478" s="1477"/>
      <c r="T478" s="1477"/>
      <c r="U478" s="1477"/>
      <c r="V478" s="1477"/>
      <c r="W478" s="1477"/>
      <c r="X478" s="1477"/>
      <c r="Y478" s="1477"/>
      <c r="Z478" s="1477"/>
      <c r="AA478" s="1477"/>
      <c r="AB478" s="1477"/>
      <c r="AC478" s="1477"/>
      <c r="AD478" s="1477"/>
      <c r="AE478" s="1477"/>
      <c r="AF478" s="1477"/>
      <c r="AG478" s="1477"/>
      <c r="AH478" s="1477"/>
      <c r="AI478" s="1477"/>
      <c r="AJ478" s="1477"/>
      <c r="AK478" s="1477"/>
      <c r="AL478" s="1477"/>
      <c r="AM478" s="1477"/>
      <c r="AN478" s="1477"/>
      <c r="AO478" s="284"/>
      <c r="AP478" s="1477"/>
      <c r="AQ478" s="1477"/>
      <c r="AR478" s="1477"/>
      <c r="AS478" s="1477"/>
      <c r="AT478" s="1477"/>
      <c r="AU478" s="1477"/>
      <c r="AV478" s="1477"/>
      <c r="AW478" s="1477"/>
      <c r="AX478" s="1477"/>
      <c r="AY478" s="1477"/>
      <c r="AZ478" s="1477"/>
      <c r="BA478" s="1477"/>
      <c r="BB478" s="1477"/>
      <c r="BC478" s="1477"/>
      <c r="BD478" s="1477"/>
      <c r="BE478" s="1477"/>
      <c r="BF478" s="1477"/>
      <c r="BG478" s="1477"/>
      <c r="BH478" s="1477"/>
      <c r="BI478" s="1477"/>
      <c r="BJ478" s="1477"/>
      <c r="BK478" s="1477"/>
      <c r="BL478" s="1477"/>
      <c r="BM478" s="1477"/>
      <c r="BN478" s="1477"/>
      <c r="BO478" s="1477"/>
      <c r="BP478" s="1477"/>
      <c r="BQ478" s="1477"/>
      <c r="BR478" s="1477"/>
      <c r="BS478" s="1477"/>
      <c r="BT478" s="1477"/>
      <c r="BU478" s="1477"/>
      <c r="BV478" s="1477"/>
      <c r="BW478" s="1477"/>
      <c r="BX478" s="1477"/>
      <c r="BY478" s="1477"/>
      <c r="BZ478" s="1477"/>
      <c r="CA478" s="1477"/>
      <c r="CB478" s="1477"/>
      <c r="CC478" s="1477"/>
      <c r="CD478" s="1477"/>
      <c r="CE478" s="1477"/>
      <c r="CF478" s="1477"/>
      <c r="CG478" s="1477"/>
      <c r="CH478" s="1477"/>
    </row>
    <row r="479" spans="2:86">
      <c r="B479" s="1477"/>
      <c r="C479" s="1477"/>
      <c r="D479" s="1477"/>
      <c r="E479" s="1477"/>
      <c r="F479" s="1477"/>
      <c r="G479" s="1477"/>
      <c r="H479" s="1477"/>
      <c r="I479" s="1477"/>
      <c r="J479" s="1477"/>
      <c r="K479" s="1477"/>
      <c r="L479" s="1477"/>
      <c r="M479" s="1477"/>
      <c r="N479" s="1477"/>
      <c r="O479" s="1477"/>
      <c r="P479" s="1477"/>
      <c r="Q479" s="1477"/>
      <c r="R479" s="1477"/>
      <c r="S479" s="1477"/>
      <c r="T479" s="1477"/>
      <c r="U479" s="1477"/>
      <c r="V479" s="1477"/>
      <c r="W479" s="1477"/>
      <c r="X479" s="1477"/>
      <c r="Y479" s="1477"/>
      <c r="Z479" s="1477"/>
      <c r="AA479" s="1477"/>
      <c r="AB479" s="1477"/>
      <c r="AC479" s="1477"/>
      <c r="AD479" s="1477"/>
      <c r="AE479" s="1477"/>
      <c r="AF479" s="1477"/>
      <c r="AG479" s="1477"/>
      <c r="AH479" s="1477"/>
      <c r="AI479" s="1477"/>
      <c r="AJ479" s="1477"/>
      <c r="AK479" s="1477"/>
      <c r="AL479" s="1477"/>
      <c r="AM479" s="1477"/>
      <c r="AN479" s="1477"/>
      <c r="AO479" s="284"/>
      <c r="AP479" s="1477"/>
      <c r="AQ479" s="1477"/>
      <c r="AR479" s="1477"/>
      <c r="AS479" s="1477"/>
      <c r="AT479" s="1477"/>
      <c r="AU479" s="1477"/>
      <c r="AV479" s="1477"/>
      <c r="AW479" s="1477"/>
      <c r="AX479" s="1477"/>
      <c r="AY479" s="1477"/>
      <c r="AZ479" s="1477"/>
      <c r="BA479" s="1477"/>
      <c r="BB479" s="1477"/>
      <c r="BC479" s="1477"/>
      <c r="BD479" s="1477"/>
      <c r="BE479" s="1477"/>
      <c r="BF479" s="1477"/>
      <c r="BG479" s="1477"/>
      <c r="BH479" s="1477"/>
      <c r="BI479" s="1477"/>
      <c r="BJ479" s="1477"/>
      <c r="BK479" s="1477"/>
      <c r="BL479" s="1477"/>
      <c r="BM479" s="1477"/>
      <c r="BN479" s="1477"/>
      <c r="BO479" s="1477"/>
      <c r="BP479" s="1477"/>
      <c r="BQ479" s="1477"/>
      <c r="BR479" s="1477"/>
      <c r="BS479" s="1477"/>
      <c r="BT479" s="1477"/>
      <c r="BU479" s="1477"/>
      <c r="BV479" s="1477"/>
      <c r="BW479" s="1477"/>
      <c r="BX479" s="1477"/>
      <c r="BY479" s="1477"/>
      <c r="BZ479" s="1477"/>
      <c r="CA479" s="1477"/>
      <c r="CB479" s="1477"/>
      <c r="CC479" s="1477"/>
      <c r="CD479" s="1477"/>
      <c r="CE479" s="1477"/>
      <c r="CF479" s="1477"/>
      <c r="CG479" s="1477"/>
      <c r="CH479" s="1477"/>
    </row>
    <row r="480" spans="2:86">
      <c r="B480" s="1477"/>
      <c r="C480" s="1477"/>
      <c r="D480" s="1477"/>
      <c r="E480" s="1477"/>
      <c r="F480" s="1477"/>
      <c r="G480" s="1477"/>
      <c r="H480" s="1477"/>
      <c r="I480" s="1477"/>
      <c r="J480" s="1477"/>
      <c r="K480" s="1477"/>
      <c r="L480" s="1477"/>
      <c r="M480" s="1477"/>
      <c r="N480" s="1477"/>
      <c r="O480" s="1477"/>
      <c r="P480" s="1477"/>
      <c r="Q480" s="1477"/>
      <c r="R480" s="1477"/>
      <c r="S480" s="1477"/>
      <c r="T480" s="1477"/>
      <c r="U480" s="1477"/>
      <c r="V480" s="1477"/>
      <c r="W480" s="1477"/>
      <c r="X480" s="1477"/>
      <c r="Y480" s="1477"/>
      <c r="Z480" s="1477"/>
      <c r="AA480" s="1477"/>
      <c r="AB480" s="1477"/>
      <c r="AC480" s="1477"/>
      <c r="AD480" s="1477"/>
      <c r="AE480" s="1477"/>
      <c r="AF480" s="1477"/>
      <c r="AG480" s="1477"/>
      <c r="AH480" s="1477"/>
      <c r="AI480" s="1477"/>
      <c r="AJ480" s="1477"/>
      <c r="AK480" s="1477"/>
      <c r="AL480" s="1477"/>
      <c r="AM480" s="1477"/>
      <c r="AN480" s="1477"/>
      <c r="AO480" s="284"/>
      <c r="AP480" s="1477"/>
      <c r="AQ480" s="1477"/>
      <c r="AR480" s="1477"/>
      <c r="AS480" s="1477"/>
      <c r="AT480" s="1477"/>
      <c r="AU480" s="1477"/>
      <c r="AV480" s="1477"/>
      <c r="AW480" s="1477"/>
      <c r="AX480" s="1477"/>
      <c r="AY480" s="1477"/>
      <c r="AZ480" s="1477"/>
      <c r="BA480" s="1477"/>
      <c r="BB480" s="1477"/>
      <c r="BC480" s="1477"/>
      <c r="BD480" s="1477"/>
      <c r="BE480" s="1477"/>
      <c r="BF480" s="1477"/>
      <c r="BG480" s="1477"/>
      <c r="BH480" s="1477"/>
      <c r="BI480" s="1477"/>
      <c r="BJ480" s="1477"/>
      <c r="BK480" s="1477"/>
      <c r="BL480" s="1477"/>
      <c r="BM480" s="1477"/>
      <c r="BN480" s="1477"/>
      <c r="BO480" s="1477"/>
      <c r="BP480" s="1477"/>
      <c r="BQ480" s="1477"/>
      <c r="BR480" s="1477"/>
      <c r="BS480" s="1477"/>
      <c r="BT480" s="1477"/>
      <c r="BU480" s="1477"/>
      <c r="BV480" s="1477"/>
      <c r="BW480" s="1477"/>
      <c r="BX480" s="1477"/>
      <c r="BY480" s="1477"/>
      <c r="BZ480" s="1477"/>
      <c r="CA480" s="1477"/>
      <c r="CB480" s="1477"/>
      <c r="CC480" s="1477"/>
      <c r="CD480" s="1477"/>
      <c r="CE480" s="1477"/>
      <c r="CF480" s="1477"/>
      <c r="CG480" s="1477"/>
      <c r="CH480" s="1477"/>
    </row>
    <row r="481" spans="2:86">
      <c r="B481" s="1477"/>
      <c r="C481" s="1477"/>
      <c r="D481" s="1477"/>
      <c r="E481" s="1477"/>
      <c r="F481" s="1477"/>
      <c r="G481" s="1477"/>
      <c r="H481" s="1477"/>
      <c r="I481" s="1477"/>
      <c r="J481" s="1477"/>
      <c r="K481" s="1477"/>
      <c r="L481" s="1477"/>
      <c r="M481" s="1477"/>
      <c r="N481" s="1477"/>
      <c r="O481" s="1477"/>
      <c r="P481" s="1477"/>
      <c r="Q481" s="1477"/>
      <c r="R481" s="1477"/>
      <c r="S481" s="1477"/>
      <c r="T481" s="1477"/>
      <c r="U481" s="1477"/>
      <c r="V481" s="1477"/>
      <c r="W481" s="1477"/>
      <c r="X481" s="1477"/>
      <c r="Y481" s="1477"/>
      <c r="Z481" s="1477"/>
      <c r="AA481" s="1477"/>
      <c r="AB481" s="1477"/>
      <c r="AC481" s="1477"/>
      <c r="AD481" s="1477"/>
      <c r="AE481" s="1477"/>
      <c r="AF481" s="1477"/>
      <c r="AG481" s="1477"/>
      <c r="AH481" s="1477"/>
      <c r="AI481" s="1477"/>
      <c r="AJ481" s="1477"/>
      <c r="AK481" s="1477"/>
      <c r="AL481" s="1477"/>
      <c r="AM481" s="1477"/>
      <c r="AN481" s="1477"/>
      <c r="AO481" s="284"/>
      <c r="AP481" s="1477"/>
      <c r="AQ481" s="1477"/>
      <c r="AR481" s="1477"/>
      <c r="AS481" s="1477"/>
      <c r="AT481" s="1477"/>
      <c r="AU481" s="1477"/>
      <c r="AV481" s="1477"/>
      <c r="AW481" s="1477"/>
      <c r="AX481" s="1477"/>
      <c r="AY481" s="1477"/>
      <c r="AZ481" s="1477"/>
      <c r="BA481" s="1477"/>
      <c r="BB481" s="1477"/>
      <c r="BC481" s="1477"/>
      <c r="BD481" s="1477"/>
      <c r="BE481" s="1477"/>
      <c r="BF481" s="1477"/>
      <c r="BG481" s="1477"/>
      <c r="BH481" s="1477"/>
      <c r="BI481" s="1477"/>
      <c r="BJ481" s="1477"/>
      <c r="BK481" s="1477"/>
      <c r="BL481" s="1477"/>
      <c r="BM481" s="1477"/>
      <c r="BN481" s="1477"/>
      <c r="BO481" s="1477"/>
      <c r="BP481" s="1477"/>
      <c r="BQ481" s="1477"/>
      <c r="BR481" s="1477"/>
      <c r="BS481" s="1477"/>
      <c r="BT481" s="1477"/>
      <c r="BU481" s="1477"/>
      <c r="BV481" s="1477"/>
      <c r="BW481" s="1477"/>
      <c r="BX481" s="1477"/>
      <c r="BY481" s="1477"/>
      <c r="BZ481" s="1477"/>
      <c r="CA481" s="1477"/>
      <c r="CB481" s="1477"/>
      <c r="CC481" s="1477"/>
      <c r="CD481" s="1477"/>
      <c r="CE481" s="1477"/>
      <c r="CF481" s="1477"/>
      <c r="CG481" s="1477"/>
      <c r="CH481" s="1477"/>
    </row>
    <row r="482" spans="2:86">
      <c r="B482" s="1477"/>
      <c r="C482" s="1477"/>
      <c r="D482" s="1477"/>
      <c r="E482" s="1477"/>
      <c r="F482" s="1477"/>
      <c r="G482" s="1477"/>
      <c r="H482" s="1477"/>
      <c r="I482" s="1477"/>
      <c r="J482" s="1477"/>
      <c r="K482" s="1477"/>
      <c r="L482" s="1477"/>
      <c r="M482" s="1477"/>
      <c r="N482" s="1477"/>
      <c r="O482" s="1477"/>
      <c r="P482" s="1477"/>
      <c r="Q482" s="1477"/>
      <c r="R482" s="1477"/>
      <c r="S482" s="1477"/>
      <c r="T482" s="1477"/>
      <c r="U482" s="1477"/>
      <c r="V482" s="1477"/>
      <c r="W482" s="1477"/>
      <c r="X482" s="1477"/>
      <c r="Y482" s="1477"/>
      <c r="Z482" s="1477"/>
      <c r="AA482" s="1477"/>
      <c r="AB482" s="1477"/>
      <c r="AC482" s="1477"/>
      <c r="AD482" s="1477"/>
      <c r="AE482" s="1477"/>
      <c r="AF482" s="1477"/>
      <c r="AG482" s="1477"/>
      <c r="AH482" s="1477"/>
      <c r="AI482" s="1477"/>
      <c r="AJ482" s="1477"/>
      <c r="AK482" s="1477"/>
      <c r="AL482" s="1477"/>
      <c r="AM482" s="1477"/>
      <c r="AN482" s="1477"/>
      <c r="AO482" s="284"/>
      <c r="AP482" s="1477"/>
      <c r="AQ482" s="1477"/>
      <c r="AR482" s="1477"/>
      <c r="AS482" s="1477"/>
      <c r="AT482" s="1477"/>
      <c r="AU482" s="1477"/>
      <c r="AV482" s="1477"/>
      <c r="AW482" s="1477"/>
      <c r="AX482" s="1477"/>
      <c r="AY482" s="1477"/>
      <c r="AZ482" s="1477"/>
      <c r="BA482" s="1477"/>
      <c r="BB482" s="1477"/>
      <c r="BC482" s="1477"/>
      <c r="BD482" s="1477"/>
      <c r="BE482" s="1477"/>
      <c r="BF482" s="1477"/>
      <c r="BG482" s="1477"/>
      <c r="BH482" s="1477"/>
      <c r="BI482" s="1477"/>
      <c r="BJ482" s="1477"/>
      <c r="BK482" s="1477"/>
      <c r="BL482" s="1477"/>
      <c r="BM482" s="1477"/>
      <c r="BN482" s="1477"/>
      <c r="BO482" s="1477"/>
      <c r="BP482" s="1477"/>
      <c r="BQ482" s="1477"/>
      <c r="BR482" s="1477"/>
      <c r="BS482" s="1477"/>
      <c r="BT482" s="1477"/>
      <c r="BU482" s="1477"/>
      <c r="BV482" s="1477"/>
      <c r="BW482" s="1477"/>
      <c r="BX482" s="1477"/>
      <c r="BY482" s="1477"/>
      <c r="BZ482" s="1477"/>
      <c r="CA482" s="1477"/>
      <c r="CB482" s="1477"/>
      <c r="CC482" s="1477"/>
      <c r="CD482" s="1477"/>
      <c r="CE482" s="1477"/>
      <c r="CF482" s="1477"/>
      <c r="CG482" s="1477"/>
      <c r="CH482" s="1477"/>
    </row>
    <row r="483" spans="2:86">
      <c r="B483" s="1477"/>
      <c r="C483" s="1477"/>
      <c r="D483" s="1477"/>
      <c r="E483" s="1477"/>
      <c r="F483" s="1477"/>
      <c r="G483" s="1477"/>
      <c r="H483" s="1477"/>
      <c r="I483" s="1477"/>
      <c r="J483" s="1477"/>
      <c r="K483" s="1477"/>
      <c r="L483" s="1477"/>
      <c r="M483" s="1477"/>
      <c r="N483" s="1477"/>
      <c r="O483" s="1477"/>
      <c r="P483" s="1477"/>
      <c r="Q483" s="1477"/>
      <c r="R483" s="1477"/>
      <c r="S483" s="1477"/>
      <c r="T483" s="1477"/>
      <c r="U483" s="1477"/>
      <c r="V483" s="1477"/>
      <c r="W483" s="1477"/>
      <c r="X483" s="1477"/>
      <c r="Y483" s="1477"/>
      <c r="Z483" s="1477"/>
      <c r="AA483" s="1477"/>
      <c r="AB483" s="1477"/>
      <c r="AC483" s="1477"/>
      <c r="AD483" s="1477"/>
      <c r="AE483" s="1477"/>
      <c r="AF483" s="1477"/>
      <c r="AG483" s="1477"/>
      <c r="AH483" s="1477"/>
      <c r="AI483" s="1477"/>
      <c r="AJ483" s="1477"/>
      <c r="AK483" s="1477"/>
      <c r="AL483" s="1477"/>
      <c r="AM483" s="1477"/>
      <c r="AN483" s="1477"/>
      <c r="AO483" s="284"/>
      <c r="AP483" s="1477"/>
      <c r="AQ483" s="1477"/>
      <c r="AR483" s="1477"/>
      <c r="AS483" s="1477"/>
      <c r="AT483" s="1477"/>
      <c r="AU483" s="1477"/>
      <c r="AV483" s="1477"/>
      <c r="AW483" s="1477"/>
      <c r="AX483" s="1477"/>
      <c r="AY483" s="1477"/>
      <c r="AZ483" s="1477"/>
      <c r="BA483" s="1477"/>
      <c r="BB483" s="1477"/>
      <c r="BC483" s="1477"/>
      <c r="BD483" s="1477"/>
      <c r="BE483" s="1477"/>
      <c r="BF483" s="1477"/>
      <c r="BG483" s="1477"/>
      <c r="BH483" s="1477"/>
      <c r="BI483" s="1477"/>
      <c r="BJ483" s="1477"/>
      <c r="BK483" s="1477"/>
      <c r="BL483" s="1477"/>
      <c r="BM483" s="1477"/>
      <c r="BN483" s="1477"/>
      <c r="BO483" s="1477"/>
      <c r="BP483" s="1477"/>
      <c r="BQ483" s="1477"/>
      <c r="BR483" s="1477"/>
      <c r="BS483" s="1477"/>
      <c r="BT483" s="1477"/>
      <c r="BU483" s="1477"/>
      <c r="BV483" s="1477"/>
      <c r="BW483" s="1477"/>
      <c r="BX483" s="1477"/>
      <c r="BY483" s="1477"/>
      <c r="BZ483" s="1477"/>
      <c r="CA483" s="1477"/>
      <c r="CB483" s="1477"/>
      <c r="CC483" s="1477"/>
      <c r="CD483" s="1477"/>
      <c r="CE483" s="1477"/>
      <c r="CF483" s="1477"/>
      <c r="CG483" s="1477"/>
      <c r="CH483" s="1477"/>
    </row>
    <row r="484" spans="2:86">
      <c r="B484" s="1477"/>
      <c r="C484" s="1477"/>
      <c r="D484" s="1477"/>
      <c r="E484" s="1477"/>
      <c r="F484" s="1477"/>
      <c r="G484" s="1477"/>
      <c r="H484" s="1477"/>
      <c r="I484" s="1477"/>
      <c r="J484" s="1477"/>
      <c r="K484" s="1477"/>
      <c r="L484" s="1477"/>
      <c r="M484" s="1477"/>
      <c r="N484" s="1477"/>
      <c r="O484" s="1477"/>
      <c r="P484" s="1477"/>
      <c r="Q484" s="1477"/>
      <c r="R484" s="1477"/>
      <c r="S484" s="1477"/>
      <c r="T484" s="1477"/>
      <c r="U484" s="1477"/>
      <c r="V484" s="1477"/>
      <c r="W484" s="1477"/>
      <c r="X484" s="1477"/>
      <c r="Y484" s="1477"/>
      <c r="Z484" s="1477"/>
      <c r="AA484" s="1477"/>
      <c r="AB484" s="1477"/>
      <c r="AC484" s="1477"/>
      <c r="AD484" s="1477"/>
      <c r="AE484" s="1477"/>
      <c r="AF484" s="1477"/>
      <c r="AG484" s="1477"/>
      <c r="AH484" s="1477"/>
      <c r="AI484" s="1477"/>
      <c r="AJ484" s="1477"/>
      <c r="AK484" s="1477"/>
      <c r="AL484" s="1477"/>
      <c r="AM484" s="1477"/>
      <c r="AN484" s="1477"/>
      <c r="AO484" s="284"/>
      <c r="AP484" s="1477"/>
      <c r="AQ484" s="1477"/>
      <c r="AR484" s="1477"/>
      <c r="AS484" s="1477"/>
      <c r="AT484" s="1477"/>
      <c r="AU484" s="1477"/>
      <c r="AV484" s="1477"/>
      <c r="AW484" s="1477"/>
      <c r="AX484" s="1477"/>
      <c r="AY484" s="1477"/>
      <c r="AZ484" s="1477"/>
      <c r="BA484" s="1477"/>
      <c r="BB484" s="1477"/>
      <c r="BC484" s="1477"/>
      <c r="BD484" s="1477"/>
      <c r="BE484" s="1477"/>
      <c r="BF484" s="1477"/>
      <c r="BG484" s="1477"/>
      <c r="BH484" s="1477"/>
      <c r="BI484" s="1477"/>
      <c r="BJ484" s="1477"/>
      <c r="BK484" s="1477"/>
      <c r="BL484" s="1477"/>
      <c r="BM484" s="1477"/>
      <c r="BN484" s="1477"/>
      <c r="BO484" s="1477"/>
      <c r="BP484" s="1477"/>
      <c r="BQ484" s="1477"/>
      <c r="BR484" s="1477"/>
      <c r="BS484" s="1477"/>
      <c r="BT484" s="1477"/>
      <c r="BU484" s="1477"/>
      <c r="BV484" s="1477"/>
      <c r="BW484" s="1477"/>
      <c r="BX484" s="1477"/>
      <c r="BY484" s="1477"/>
      <c r="BZ484" s="1477"/>
      <c r="CA484" s="1477"/>
      <c r="CB484" s="1477"/>
      <c r="CC484" s="1477"/>
      <c r="CD484" s="1477"/>
      <c r="CE484" s="1477"/>
      <c r="CF484" s="1477"/>
      <c r="CG484" s="1477"/>
      <c r="CH484" s="1477"/>
    </row>
    <row r="485" spans="2:86">
      <c r="B485" s="1477"/>
      <c r="C485" s="1477"/>
      <c r="D485" s="1477"/>
      <c r="E485" s="1477"/>
      <c r="F485" s="1477"/>
      <c r="G485" s="1477"/>
      <c r="H485" s="1477"/>
      <c r="I485" s="1477"/>
      <c r="J485" s="1477"/>
      <c r="K485" s="1477"/>
      <c r="L485" s="1477"/>
      <c r="M485" s="1477"/>
      <c r="N485" s="1477"/>
      <c r="O485" s="1477"/>
      <c r="P485" s="1477"/>
      <c r="Q485" s="1477"/>
      <c r="R485" s="1477"/>
      <c r="S485" s="1477"/>
      <c r="T485" s="1477"/>
      <c r="U485" s="1477"/>
      <c r="V485" s="1477"/>
      <c r="W485" s="1477"/>
      <c r="X485" s="1477"/>
      <c r="Y485" s="1477"/>
      <c r="Z485" s="1477"/>
      <c r="AA485" s="1477"/>
      <c r="AB485" s="1477"/>
      <c r="AC485" s="1477"/>
      <c r="AD485" s="1477"/>
      <c r="AE485" s="1477"/>
      <c r="AF485" s="1477"/>
      <c r="AG485" s="1477"/>
      <c r="AH485" s="1477"/>
      <c r="AI485" s="1477"/>
      <c r="AJ485" s="1477"/>
      <c r="AK485" s="1477"/>
      <c r="AL485" s="1477"/>
      <c r="AM485" s="1477"/>
      <c r="AN485" s="1477"/>
      <c r="AO485" s="284"/>
      <c r="AP485" s="1477"/>
      <c r="AQ485" s="1477"/>
      <c r="AR485" s="1477"/>
      <c r="AS485" s="1477"/>
      <c r="AT485" s="1477"/>
      <c r="AU485" s="1477"/>
      <c r="AV485" s="1477"/>
      <c r="AW485" s="1477"/>
      <c r="AX485" s="1477"/>
      <c r="AY485" s="1477"/>
      <c r="AZ485" s="1477"/>
      <c r="BA485" s="1477"/>
      <c r="BB485" s="1477"/>
      <c r="BC485" s="1477"/>
      <c r="BD485" s="1477"/>
      <c r="BE485" s="1477"/>
      <c r="BF485" s="1477"/>
      <c r="BG485" s="1477"/>
      <c r="BH485" s="1477"/>
      <c r="BI485" s="1477"/>
      <c r="BJ485" s="1477"/>
      <c r="BK485" s="1477"/>
      <c r="BL485" s="1477"/>
      <c r="BM485" s="1477"/>
      <c r="BN485" s="1477"/>
      <c r="BO485" s="1477"/>
      <c r="BP485" s="1477"/>
      <c r="BQ485" s="1477"/>
      <c r="BR485" s="1477"/>
      <c r="BS485" s="1477"/>
      <c r="BT485" s="1477"/>
      <c r="BU485" s="1477"/>
      <c r="BV485" s="1477"/>
      <c r="BW485" s="1477"/>
      <c r="BX485" s="1477"/>
      <c r="BY485" s="1477"/>
      <c r="BZ485" s="1477"/>
      <c r="CA485" s="1477"/>
      <c r="CB485" s="1477"/>
      <c r="CC485" s="1477"/>
      <c r="CD485" s="1477"/>
      <c r="CE485" s="1477"/>
      <c r="CF485" s="1477"/>
      <c r="CG485" s="1477"/>
      <c r="CH485" s="1477"/>
    </row>
    <row r="486" spans="2:86">
      <c r="B486" s="1477"/>
      <c r="C486" s="1477"/>
      <c r="D486" s="1477"/>
      <c r="E486" s="1477"/>
      <c r="F486" s="1477"/>
      <c r="G486" s="1477"/>
      <c r="H486" s="1477"/>
      <c r="I486" s="1477"/>
      <c r="J486" s="1477"/>
      <c r="K486" s="1477"/>
      <c r="L486" s="1477"/>
      <c r="M486" s="1477"/>
      <c r="N486" s="1477"/>
      <c r="O486" s="1477"/>
      <c r="P486" s="1477"/>
      <c r="Q486" s="1477"/>
      <c r="R486" s="1477"/>
      <c r="S486" s="1477"/>
      <c r="T486" s="1477"/>
      <c r="U486" s="1477"/>
      <c r="V486" s="1477"/>
      <c r="W486" s="1477"/>
      <c r="X486" s="1477"/>
      <c r="Y486" s="1477"/>
      <c r="Z486" s="1477"/>
      <c r="AA486" s="1477"/>
      <c r="AB486" s="1477"/>
      <c r="AC486" s="1477"/>
      <c r="AD486" s="1477"/>
      <c r="AE486" s="1477"/>
      <c r="AF486" s="1477"/>
      <c r="AG486" s="1477"/>
      <c r="AH486" s="1477"/>
      <c r="AI486" s="1477"/>
      <c r="AJ486" s="1477"/>
      <c r="AK486" s="1477"/>
      <c r="AL486" s="1477"/>
      <c r="AM486" s="1477"/>
      <c r="AN486" s="1477"/>
      <c r="AO486" s="284"/>
      <c r="AP486" s="1477"/>
      <c r="AQ486" s="1477"/>
      <c r="AR486" s="1477"/>
      <c r="AS486" s="1477"/>
      <c r="AT486" s="1477"/>
      <c r="AU486" s="1477"/>
      <c r="AV486" s="1477"/>
      <c r="AW486" s="1477"/>
      <c r="AX486" s="1477"/>
      <c r="AY486" s="1477"/>
      <c r="AZ486" s="1477"/>
      <c r="BA486" s="1477"/>
      <c r="BB486" s="1477"/>
      <c r="BC486" s="1477"/>
      <c r="BD486" s="1477"/>
      <c r="BE486" s="1477"/>
      <c r="BF486" s="1477"/>
      <c r="BG486" s="1477"/>
      <c r="BH486" s="1477"/>
      <c r="BI486" s="1477"/>
      <c r="BJ486" s="1477"/>
      <c r="BK486" s="1477"/>
      <c r="BL486" s="1477"/>
      <c r="BM486" s="1477"/>
      <c r="BN486" s="1477"/>
      <c r="BO486" s="1477"/>
      <c r="BP486" s="1477"/>
      <c r="BQ486" s="1477"/>
      <c r="BR486" s="1477"/>
      <c r="BS486" s="1477"/>
      <c r="BT486" s="1477"/>
      <c r="BU486" s="1477"/>
      <c r="BV486" s="1477"/>
      <c r="BW486" s="1477"/>
      <c r="BX486" s="1477"/>
      <c r="BY486" s="1477"/>
      <c r="BZ486" s="1477"/>
      <c r="CA486" s="1477"/>
      <c r="CB486" s="1477"/>
      <c r="CC486" s="1477"/>
      <c r="CD486" s="1477"/>
      <c r="CE486" s="1477"/>
      <c r="CF486" s="1477"/>
      <c r="CG486" s="1477"/>
      <c r="CH486" s="1477"/>
    </row>
    <row r="487" spans="2:86">
      <c r="B487" s="1477"/>
      <c r="C487" s="1477"/>
      <c r="D487" s="1477"/>
      <c r="E487" s="1477"/>
      <c r="F487" s="1477"/>
      <c r="G487" s="1477"/>
      <c r="H487" s="1477"/>
      <c r="I487" s="1477"/>
      <c r="J487" s="1477"/>
      <c r="K487" s="1477"/>
      <c r="L487" s="1477"/>
      <c r="M487" s="1477"/>
      <c r="N487" s="1477"/>
      <c r="O487" s="1477"/>
      <c r="P487" s="1477"/>
      <c r="Q487" s="1477"/>
      <c r="R487" s="1477"/>
      <c r="S487" s="1477"/>
      <c r="T487" s="1477"/>
      <c r="U487" s="1477"/>
      <c r="V487" s="1477"/>
      <c r="W487" s="1477"/>
      <c r="X487" s="1477"/>
      <c r="Y487" s="1477"/>
      <c r="Z487" s="1477"/>
      <c r="AA487" s="1477"/>
      <c r="AB487" s="1477"/>
      <c r="AC487" s="1477"/>
      <c r="AD487" s="1477"/>
      <c r="AE487" s="1477"/>
      <c r="AF487" s="1477"/>
      <c r="AG487" s="1477"/>
      <c r="AH487" s="1477"/>
      <c r="AI487" s="1477"/>
      <c r="AJ487" s="1477"/>
      <c r="AK487" s="1477"/>
      <c r="AL487" s="1477"/>
      <c r="AM487" s="1477"/>
      <c r="AN487" s="1477"/>
      <c r="AO487" s="284"/>
      <c r="AP487" s="1477"/>
      <c r="AQ487" s="1477"/>
      <c r="AR487" s="1477"/>
      <c r="AS487" s="1477"/>
      <c r="AT487" s="1477"/>
      <c r="AU487" s="1477"/>
      <c r="AV487" s="1477"/>
      <c r="AW487" s="1477"/>
      <c r="AX487" s="1477"/>
      <c r="AY487" s="1477"/>
      <c r="AZ487" s="1477"/>
      <c r="BA487" s="1477"/>
      <c r="BB487" s="1477"/>
      <c r="BC487" s="1477"/>
      <c r="BD487" s="1477"/>
      <c r="BE487" s="1477"/>
      <c r="BF487" s="1477"/>
      <c r="BG487" s="1477"/>
      <c r="BH487" s="1477"/>
      <c r="BI487" s="1477"/>
      <c r="BJ487" s="1477"/>
      <c r="BK487" s="1477"/>
      <c r="BL487" s="1477"/>
      <c r="BM487" s="1477"/>
      <c r="BN487" s="1477"/>
      <c r="BO487" s="1477"/>
      <c r="BP487" s="1477"/>
      <c r="BQ487" s="1477"/>
      <c r="BR487" s="1477"/>
      <c r="BS487" s="1477"/>
      <c r="BT487" s="1477"/>
      <c r="BU487" s="1477"/>
      <c r="BV487" s="1477"/>
      <c r="BW487" s="1477"/>
      <c r="BX487" s="1477"/>
      <c r="BY487" s="1477"/>
      <c r="BZ487" s="1477"/>
      <c r="CA487" s="1477"/>
      <c r="CB487" s="1477"/>
      <c r="CC487" s="1477"/>
      <c r="CD487" s="1477"/>
      <c r="CE487" s="1477"/>
      <c r="CF487" s="1477"/>
      <c r="CG487" s="1477"/>
      <c r="CH487" s="1477"/>
    </row>
    <row r="488" spans="2:86">
      <c r="B488" s="1477"/>
      <c r="C488" s="1477"/>
      <c r="D488" s="1477"/>
      <c r="E488" s="1477"/>
      <c r="F488" s="1477"/>
      <c r="G488" s="1477"/>
      <c r="H488" s="1477"/>
      <c r="I488" s="1477"/>
      <c r="J488" s="1477"/>
      <c r="K488" s="1477"/>
      <c r="L488" s="1477"/>
      <c r="M488" s="1477"/>
      <c r="N488" s="1477"/>
      <c r="O488" s="1477"/>
      <c r="P488" s="1477"/>
      <c r="Q488" s="1477"/>
      <c r="R488" s="1477"/>
      <c r="S488" s="1477"/>
      <c r="T488" s="1477"/>
      <c r="U488" s="1477"/>
      <c r="V488" s="1477"/>
      <c r="W488" s="1477"/>
      <c r="X488" s="1477"/>
      <c r="Y488" s="1477"/>
      <c r="Z488" s="1477"/>
      <c r="AA488" s="1477"/>
      <c r="AB488" s="1477"/>
      <c r="AC488" s="1477"/>
      <c r="AD488" s="1477"/>
      <c r="AE488" s="1477"/>
      <c r="AF488" s="1477"/>
      <c r="AG488" s="1477"/>
      <c r="AH488" s="1477"/>
      <c r="AI488" s="1477"/>
      <c r="AJ488" s="1477"/>
      <c r="AK488" s="1477"/>
      <c r="AL488" s="1477"/>
      <c r="AM488" s="1477"/>
      <c r="AN488" s="1477"/>
      <c r="AO488" s="284"/>
      <c r="AP488" s="1477"/>
      <c r="AQ488" s="1477"/>
      <c r="AR488" s="1477"/>
      <c r="AS488" s="1477"/>
      <c r="AT488" s="1477"/>
      <c r="AU488" s="1477"/>
      <c r="AV488" s="1477"/>
      <c r="AW488" s="1477"/>
      <c r="AX488" s="1477"/>
      <c r="AY488" s="1477"/>
      <c r="AZ488" s="1477"/>
      <c r="BA488" s="1477"/>
      <c r="BB488" s="1477"/>
      <c r="BC488" s="1477"/>
      <c r="BD488" s="1477"/>
      <c r="BE488" s="1477"/>
      <c r="BF488" s="1477"/>
      <c r="BG488" s="1477"/>
      <c r="BH488" s="1477"/>
      <c r="BI488" s="1477"/>
      <c r="BJ488" s="1477"/>
      <c r="BK488" s="1477"/>
      <c r="BL488" s="1477"/>
      <c r="BM488" s="1477"/>
      <c r="BN488" s="1477"/>
      <c r="BO488" s="1477"/>
      <c r="BP488" s="1477"/>
      <c r="BQ488" s="1477"/>
      <c r="BR488" s="1477"/>
      <c r="BS488" s="1477"/>
      <c r="BT488" s="1477"/>
      <c r="BU488" s="1477"/>
      <c r="BV488" s="1477"/>
      <c r="BW488" s="1477"/>
      <c r="BX488" s="1477"/>
      <c r="BY488" s="1477"/>
      <c r="BZ488" s="1477"/>
      <c r="CA488" s="1477"/>
      <c r="CB488" s="1477"/>
      <c r="CC488" s="1477"/>
      <c r="CD488" s="1477"/>
      <c r="CE488" s="1477"/>
      <c r="CF488" s="1477"/>
      <c r="CG488" s="1477"/>
      <c r="CH488" s="1477"/>
    </row>
    <row r="489" spans="2:86">
      <c r="B489" s="1477"/>
      <c r="C489" s="1477"/>
      <c r="D489" s="1477"/>
      <c r="E489" s="1477"/>
      <c r="F489" s="1477"/>
      <c r="G489" s="1477"/>
      <c r="H489" s="1477"/>
      <c r="I489" s="1477"/>
      <c r="J489" s="1477"/>
      <c r="K489" s="1477"/>
      <c r="L489" s="1477"/>
      <c r="M489" s="1477"/>
      <c r="N489" s="1477"/>
      <c r="O489" s="1477"/>
      <c r="P489" s="1477"/>
      <c r="Q489" s="1477"/>
      <c r="R489" s="1477"/>
      <c r="S489" s="1477"/>
      <c r="T489" s="1477"/>
      <c r="U489" s="1477"/>
      <c r="V489" s="1477"/>
      <c r="W489" s="1477"/>
      <c r="X489" s="1477"/>
      <c r="Y489" s="1477"/>
      <c r="Z489" s="1477"/>
      <c r="AA489" s="1477"/>
      <c r="AB489" s="1477"/>
      <c r="AC489" s="1477"/>
      <c r="AD489" s="1477"/>
      <c r="AE489" s="1477"/>
      <c r="AF489" s="1477"/>
      <c r="AG489" s="1477"/>
      <c r="AH489" s="1477"/>
      <c r="AI489" s="1477"/>
      <c r="AJ489" s="1477"/>
      <c r="AK489" s="1477"/>
      <c r="AL489" s="1477"/>
      <c r="AM489" s="1477"/>
      <c r="AN489" s="1477"/>
      <c r="AO489" s="284"/>
      <c r="AP489" s="1477"/>
      <c r="AQ489" s="1477"/>
      <c r="AR489" s="1477"/>
      <c r="AS489" s="1477"/>
      <c r="AT489" s="1477"/>
      <c r="AU489" s="1477"/>
      <c r="AV489" s="1477"/>
      <c r="AW489" s="1477"/>
      <c r="AX489" s="1477"/>
      <c r="AY489" s="1477"/>
      <c r="AZ489" s="1477"/>
      <c r="BA489" s="1477"/>
      <c r="BB489" s="1477"/>
      <c r="BC489" s="1477"/>
      <c r="BD489" s="1477"/>
      <c r="BE489" s="1477"/>
      <c r="BF489" s="1477"/>
      <c r="BG489" s="1477"/>
      <c r="BH489" s="1477"/>
      <c r="BI489" s="1477"/>
      <c r="BJ489" s="1477"/>
      <c r="BK489" s="1477"/>
      <c r="BL489" s="1477"/>
      <c r="BM489" s="1477"/>
      <c r="BN489" s="1477"/>
      <c r="BO489" s="1477"/>
      <c r="BP489" s="1477"/>
      <c r="BQ489" s="1477"/>
      <c r="BR489" s="1477"/>
      <c r="BS489" s="1477"/>
      <c r="BT489" s="1477"/>
      <c r="BU489" s="1477"/>
      <c r="BV489" s="1477"/>
      <c r="BW489" s="1477"/>
      <c r="BX489" s="1477"/>
      <c r="BY489" s="1477"/>
      <c r="BZ489" s="1477"/>
      <c r="CA489" s="1477"/>
      <c r="CB489" s="1477"/>
      <c r="CC489" s="1477"/>
      <c r="CD489" s="1477"/>
      <c r="CE489" s="1477"/>
      <c r="CF489" s="1477"/>
      <c r="CG489" s="1477"/>
      <c r="CH489" s="1477"/>
    </row>
    <row r="490" spans="2:86">
      <c r="B490" s="1477"/>
      <c r="C490" s="1477"/>
      <c r="D490" s="1477"/>
      <c r="E490" s="1477"/>
      <c r="F490" s="1477"/>
      <c r="G490" s="1477"/>
      <c r="H490" s="1477"/>
      <c r="I490" s="1477"/>
      <c r="J490" s="1477"/>
      <c r="K490" s="1477"/>
      <c r="L490" s="1477"/>
      <c r="M490" s="1477"/>
      <c r="N490" s="1477"/>
      <c r="O490" s="1477"/>
      <c r="P490" s="1477"/>
      <c r="Q490" s="1477"/>
      <c r="R490" s="1477"/>
      <c r="S490" s="1477"/>
      <c r="T490" s="1477"/>
      <c r="U490" s="1477"/>
      <c r="V490" s="1477"/>
      <c r="W490" s="1477"/>
      <c r="X490" s="1477"/>
      <c r="Y490" s="1477"/>
      <c r="Z490" s="1477"/>
      <c r="AA490" s="1477"/>
      <c r="AB490" s="1477"/>
      <c r="AC490" s="1477"/>
      <c r="AD490" s="1477"/>
      <c r="AE490" s="1477"/>
      <c r="AF490" s="1477"/>
      <c r="AG490" s="1477"/>
      <c r="AH490" s="1477"/>
      <c r="AI490" s="1477"/>
      <c r="AJ490" s="1477"/>
      <c r="AK490" s="1477"/>
      <c r="AL490" s="1477"/>
      <c r="AM490" s="1477"/>
      <c r="AN490" s="1477"/>
      <c r="AO490" s="284"/>
      <c r="AP490" s="1477"/>
      <c r="AQ490" s="1477"/>
      <c r="AR490" s="1477"/>
      <c r="AS490" s="1477"/>
      <c r="AT490" s="1477"/>
      <c r="AU490" s="1477"/>
      <c r="AV490" s="1477"/>
      <c r="AW490" s="1477"/>
      <c r="AX490" s="1477"/>
      <c r="AY490" s="1477"/>
      <c r="AZ490" s="1477"/>
      <c r="BA490" s="1477"/>
      <c r="BB490" s="1477"/>
      <c r="BC490" s="1477"/>
      <c r="BD490" s="1477"/>
      <c r="BE490" s="1477"/>
      <c r="BF490" s="1477"/>
      <c r="BG490" s="1477"/>
      <c r="BH490" s="1477"/>
      <c r="BI490" s="1477"/>
      <c r="BJ490" s="1477"/>
      <c r="BK490" s="1477"/>
      <c r="BL490" s="1477"/>
      <c r="BM490" s="1477"/>
      <c r="BN490" s="1477"/>
      <c r="BO490" s="1477"/>
      <c r="BP490" s="1477"/>
      <c r="BQ490" s="1477"/>
      <c r="BR490" s="1477"/>
      <c r="BS490" s="1477"/>
      <c r="BT490" s="1477"/>
      <c r="BU490" s="1477"/>
      <c r="BV490" s="1477"/>
      <c r="BW490" s="1477"/>
      <c r="BX490" s="1477"/>
      <c r="BY490" s="1477"/>
      <c r="BZ490" s="1477"/>
      <c r="CA490" s="1477"/>
      <c r="CB490" s="1477"/>
      <c r="CC490" s="1477"/>
      <c r="CD490" s="1477"/>
      <c r="CE490" s="1477"/>
      <c r="CF490" s="1477"/>
      <c r="CG490" s="1477"/>
      <c r="CH490" s="1477"/>
    </row>
    <row r="491" spans="2:86">
      <c r="B491" s="1477"/>
      <c r="C491" s="1477"/>
      <c r="D491" s="1477"/>
      <c r="E491" s="1477"/>
      <c r="F491" s="1477"/>
      <c r="G491" s="1477"/>
      <c r="H491" s="1477"/>
      <c r="I491" s="1477"/>
      <c r="J491" s="1477"/>
      <c r="K491" s="1477"/>
      <c r="L491" s="1477"/>
      <c r="M491" s="1477"/>
      <c r="N491" s="1477"/>
      <c r="O491" s="1477"/>
      <c r="P491" s="1477"/>
      <c r="Q491" s="1477"/>
      <c r="R491" s="1477"/>
      <c r="S491" s="1477"/>
      <c r="T491" s="1477"/>
      <c r="U491" s="1477"/>
      <c r="V491" s="1477"/>
      <c r="W491" s="1477"/>
      <c r="X491" s="1477"/>
      <c r="Y491" s="1477"/>
      <c r="Z491" s="1477"/>
      <c r="AA491" s="1477"/>
      <c r="AB491" s="1477"/>
      <c r="AC491" s="1477"/>
      <c r="AD491" s="1477"/>
      <c r="AE491" s="1477"/>
      <c r="AF491" s="1477"/>
      <c r="AG491" s="1477"/>
      <c r="AH491" s="1477"/>
      <c r="AI491" s="1477"/>
      <c r="AJ491" s="1477"/>
      <c r="AK491" s="1477"/>
      <c r="AL491" s="1477"/>
      <c r="AM491" s="1477"/>
      <c r="AN491" s="1477"/>
      <c r="AO491" s="284"/>
      <c r="AP491" s="1477"/>
      <c r="AQ491" s="1477"/>
      <c r="AR491" s="1477"/>
      <c r="AS491" s="1477"/>
      <c r="AT491" s="1477"/>
      <c r="AU491" s="1477"/>
      <c r="AV491" s="1477"/>
      <c r="AW491" s="1477"/>
      <c r="AX491" s="1477"/>
      <c r="AY491" s="1477"/>
      <c r="AZ491" s="1477"/>
      <c r="BA491" s="1477"/>
      <c r="BB491" s="1477"/>
      <c r="BC491" s="1477"/>
      <c r="BD491" s="1477"/>
      <c r="BE491" s="1477"/>
      <c r="BF491" s="1477"/>
      <c r="BG491" s="1477"/>
      <c r="BH491" s="1477"/>
      <c r="BI491" s="1477"/>
      <c r="BJ491" s="1477"/>
      <c r="BK491" s="1477"/>
      <c r="BL491" s="1477"/>
      <c r="BM491" s="1477"/>
      <c r="BN491" s="1477"/>
      <c r="BO491" s="1477"/>
      <c r="BP491" s="1477"/>
      <c r="BQ491" s="1477"/>
      <c r="BR491" s="1477"/>
      <c r="BS491" s="1477"/>
      <c r="BT491" s="1477"/>
      <c r="BU491" s="1477"/>
      <c r="BV491" s="1477"/>
      <c r="BW491" s="1477"/>
      <c r="BX491" s="1477"/>
      <c r="BY491" s="1477"/>
      <c r="BZ491" s="1477"/>
      <c r="CA491" s="1477"/>
      <c r="CB491" s="1477"/>
      <c r="CC491" s="1477"/>
      <c r="CD491" s="1477"/>
      <c r="CE491" s="1477"/>
      <c r="CF491" s="1477"/>
      <c r="CG491" s="1477"/>
      <c r="CH491" s="1477"/>
    </row>
    <row r="492" spans="2:86">
      <c r="B492" s="1477"/>
      <c r="C492" s="1477"/>
      <c r="D492" s="1477"/>
      <c r="E492" s="1477"/>
      <c r="F492" s="1477"/>
      <c r="G492" s="1477"/>
      <c r="H492" s="1477"/>
      <c r="I492" s="1477"/>
      <c r="J492" s="1477"/>
      <c r="K492" s="1477"/>
      <c r="L492" s="1477"/>
      <c r="M492" s="1477"/>
      <c r="N492" s="1477"/>
      <c r="O492" s="1477"/>
      <c r="P492" s="1477"/>
      <c r="Q492" s="1477"/>
      <c r="R492" s="1477"/>
      <c r="S492" s="1477"/>
      <c r="T492" s="1477"/>
      <c r="U492" s="1477"/>
      <c r="V492" s="1477"/>
      <c r="W492" s="1477"/>
      <c r="X492" s="1477"/>
      <c r="Y492" s="1477"/>
      <c r="Z492" s="1477"/>
      <c r="AA492" s="1477"/>
      <c r="AB492" s="1477"/>
      <c r="AC492" s="1477"/>
      <c r="AD492" s="1477"/>
      <c r="AE492" s="1477"/>
      <c r="AF492" s="1477"/>
      <c r="AG492" s="1477"/>
      <c r="AH492" s="1477"/>
      <c r="AI492" s="1477"/>
      <c r="AJ492" s="1477"/>
      <c r="AK492" s="1477"/>
      <c r="AL492" s="1477"/>
      <c r="AM492" s="1477"/>
      <c r="AN492" s="1477"/>
      <c r="AO492" s="284"/>
      <c r="AP492" s="1477"/>
      <c r="AQ492" s="1477"/>
      <c r="AR492" s="1477"/>
      <c r="AS492" s="1477"/>
      <c r="AT492" s="1477"/>
      <c r="AU492" s="1477"/>
      <c r="AV492" s="1477"/>
      <c r="AW492" s="1477"/>
      <c r="AX492" s="1477"/>
      <c r="AY492" s="1477"/>
      <c r="AZ492" s="1477"/>
      <c r="BA492" s="1477"/>
      <c r="BB492" s="1477"/>
      <c r="BC492" s="1477"/>
      <c r="BD492" s="1477"/>
      <c r="BE492" s="1477"/>
      <c r="BF492" s="1477"/>
      <c r="BG492" s="1477"/>
      <c r="BH492" s="1477"/>
      <c r="BI492" s="1477"/>
      <c r="BJ492" s="1477"/>
      <c r="BK492" s="1477"/>
      <c r="BL492" s="1477"/>
      <c r="BM492" s="1477"/>
      <c r="BN492" s="1477"/>
      <c r="BO492" s="1477"/>
      <c r="BP492" s="1477"/>
      <c r="BQ492" s="1477"/>
      <c r="BR492" s="1477"/>
      <c r="BS492" s="1477"/>
      <c r="BT492" s="1477"/>
      <c r="BU492" s="1477"/>
      <c r="BV492" s="1477"/>
      <c r="BW492" s="1477"/>
      <c r="BX492" s="1477"/>
      <c r="BY492" s="1477"/>
      <c r="BZ492" s="1477"/>
      <c r="CA492" s="1477"/>
      <c r="CB492" s="1477"/>
      <c r="CC492" s="1477"/>
      <c r="CD492" s="1477"/>
      <c r="CE492" s="1477"/>
      <c r="CF492" s="1477"/>
      <c r="CG492" s="1477"/>
      <c r="CH492" s="1477"/>
    </row>
    <row r="493" spans="2:86">
      <c r="B493" s="1477"/>
      <c r="C493" s="1477"/>
      <c r="D493" s="1477"/>
      <c r="E493" s="1477"/>
      <c r="F493" s="1477"/>
      <c r="G493" s="1477"/>
      <c r="H493" s="1477"/>
      <c r="I493" s="1477"/>
      <c r="J493" s="1477"/>
      <c r="K493" s="1477"/>
      <c r="L493" s="1477"/>
      <c r="M493" s="1477"/>
      <c r="N493" s="1477"/>
      <c r="O493" s="1477"/>
      <c r="P493" s="1477"/>
      <c r="Q493" s="1477"/>
      <c r="R493" s="1477"/>
      <c r="S493" s="1477"/>
      <c r="T493" s="1477"/>
      <c r="U493" s="1477"/>
      <c r="V493" s="1477"/>
      <c r="W493" s="1477"/>
      <c r="X493" s="1477"/>
      <c r="Y493" s="1477"/>
      <c r="Z493" s="1477"/>
      <c r="AA493" s="1477"/>
      <c r="AB493" s="1477"/>
      <c r="AC493" s="1477"/>
      <c r="AD493" s="1477"/>
      <c r="AE493" s="1477"/>
      <c r="AF493" s="1477"/>
      <c r="AG493" s="1477"/>
      <c r="AH493" s="1477"/>
      <c r="AI493" s="1477"/>
      <c r="AJ493" s="1477"/>
      <c r="AK493" s="1477"/>
      <c r="AL493" s="1477"/>
      <c r="AM493" s="1477"/>
      <c r="AN493" s="1477"/>
      <c r="AO493" s="284"/>
      <c r="AP493" s="1477"/>
      <c r="AQ493" s="1477"/>
      <c r="AR493" s="1477"/>
      <c r="AS493" s="1477"/>
      <c r="AT493" s="1477"/>
      <c r="AU493" s="1477"/>
      <c r="AV493" s="1477"/>
      <c r="AW493" s="1477"/>
      <c r="AX493" s="1477"/>
      <c r="AY493" s="1477"/>
      <c r="AZ493" s="1477"/>
      <c r="BA493" s="1477"/>
      <c r="BB493" s="1477"/>
      <c r="BC493" s="1477"/>
      <c r="BD493" s="1477"/>
      <c r="BE493" s="1477"/>
      <c r="BF493" s="1477"/>
      <c r="BG493" s="1477"/>
      <c r="BH493" s="1477"/>
      <c r="BI493" s="1477"/>
      <c r="BJ493" s="1477"/>
      <c r="BK493" s="1477"/>
      <c r="BL493" s="1477"/>
      <c r="BM493" s="1477"/>
      <c r="BN493" s="1477"/>
      <c r="BO493" s="1477"/>
      <c r="BP493" s="1477"/>
      <c r="BQ493" s="1477"/>
      <c r="BR493" s="1477"/>
      <c r="BS493" s="1477"/>
      <c r="BT493" s="1477"/>
      <c r="BU493" s="1477"/>
      <c r="BV493" s="1477"/>
      <c r="BW493" s="1477"/>
      <c r="BX493" s="1477"/>
      <c r="BY493" s="1477"/>
      <c r="BZ493" s="1477"/>
      <c r="CA493" s="1477"/>
      <c r="CB493" s="1477"/>
      <c r="CC493" s="1477"/>
      <c r="CD493" s="1477"/>
      <c r="CE493" s="1477"/>
      <c r="CF493" s="1477"/>
      <c r="CG493" s="1477"/>
      <c r="CH493" s="1477"/>
    </row>
    <row r="494" spans="2:86">
      <c r="B494" s="1477"/>
      <c r="C494" s="1477"/>
      <c r="D494" s="1477"/>
      <c r="E494" s="1477"/>
      <c r="F494" s="1477"/>
      <c r="G494" s="1477"/>
      <c r="H494" s="1477"/>
      <c r="I494" s="1477"/>
      <c r="J494" s="1477"/>
      <c r="K494" s="1477"/>
      <c r="L494" s="1477"/>
      <c r="M494" s="1477"/>
      <c r="N494" s="1477"/>
      <c r="O494" s="1477"/>
      <c r="P494" s="1477"/>
      <c r="Q494" s="1477"/>
      <c r="R494" s="1477"/>
      <c r="S494" s="1477"/>
      <c r="T494" s="1477"/>
      <c r="U494" s="1477"/>
      <c r="V494" s="1477"/>
      <c r="W494" s="1477"/>
      <c r="X494" s="1477"/>
      <c r="Y494" s="1477"/>
      <c r="Z494" s="1477"/>
      <c r="AA494" s="1477"/>
      <c r="AB494" s="1477"/>
      <c r="AC494" s="1477"/>
      <c r="AD494" s="1477"/>
      <c r="AE494" s="1477"/>
      <c r="AF494" s="1477"/>
      <c r="AG494" s="1477"/>
      <c r="AH494" s="1477"/>
      <c r="AI494" s="1477"/>
      <c r="AJ494" s="1477"/>
      <c r="AK494" s="1477"/>
      <c r="AL494" s="1477"/>
      <c r="AM494" s="1477"/>
      <c r="AN494" s="1477"/>
      <c r="AO494" s="284"/>
      <c r="AP494" s="1477"/>
      <c r="AQ494" s="1477"/>
      <c r="AR494" s="1477"/>
      <c r="AS494" s="1477"/>
      <c r="AT494" s="1477"/>
      <c r="AU494" s="1477"/>
      <c r="AV494" s="1477"/>
      <c r="AW494" s="1477"/>
      <c r="AX494" s="1477"/>
      <c r="AY494" s="1477"/>
      <c r="AZ494" s="1477"/>
      <c r="BA494" s="1477"/>
      <c r="BB494" s="1477"/>
      <c r="BC494" s="1477"/>
      <c r="BD494" s="1477"/>
      <c r="BE494" s="1477"/>
      <c r="BF494" s="1477"/>
      <c r="BG494" s="1477"/>
      <c r="BH494" s="1477"/>
      <c r="BI494" s="1477"/>
      <c r="BJ494" s="1477"/>
      <c r="BK494" s="1477"/>
      <c r="BL494" s="1477"/>
      <c r="BM494" s="1477"/>
      <c r="BN494" s="1477"/>
      <c r="BO494" s="1477"/>
      <c r="BP494" s="1477"/>
      <c r="BQ494" s="1477"/>
      <c r="BR494" s="1477"/>
      <c r="BS494" s="1477"/>
      <c r="BT494" s="1477"/>
      <c r="BU494" s="1477"/>
      <c r="BV494" s="1477"/>
      <c r="BW494" s="1477"/>
      <c r="BX494" s="1477"/>
      <c r="BY494" s="1477"/>
      <c r="BZ494" s="1477"/>
      <c r="CA494" s="1477"/>
      <c r="CB494" s="1477"/>
      <c r="CC494" s="1477"/>
      <c r="CD494" s="1477"/>
      <c r="CE494" s="1477"/>
      <c r="CF494" s="1477"/>
      <c r="CG494" s="1477"/>
      <c r="CH494" s="1477"/>
    </row>
    <row r="495" spans="2:86">
      <c r="B495" s="1477"/>
      <c r="C495" s="1477"/>
      <c r="D495" s="1477"/>
      <c r="E495" s="1477"/>
      <c r="F495" s="1477"/>
      <c r="G495" s="1477"/>
      <c r="H495" s="1477"/>
      <c r="I495" s="1477"/>
      <c r="J495" s="1477"/>
      <c r="K495" s="1477"/>
      <c r="L495" s="1477"/>
      <c r="M495" s="1477"/>
      <c r="N495" s="1477"/>
      <c r="O495" s="1477"/>
      <c r="P495" s="1477"/>
      <c r="Q495" s="1477"/>
      <c r="R495" s="1477"/>
      <c r="S495" s="1477"/>
      <c r="T495" s="1477"/>
      <c r="U495" s="1477"/>
      <c r="V495" s="1477"/>
      <c r="W495" s="1477"/>
      <c r="X495" s="1477"/>
      <c r="Y495" s="1477"/>
      <c r="Z495" s="1477"/>
      <c r="AA495" s="1477"/>
      <c r="AB495" s="1477"/>
      <c r="AC495" s="1477"/>
      <c r="AD495" s="1477"/>
      <c r="AE495" s="1477"/>
      <c r="AF495" s="1477"/>
      <c r="AG495" s="1477"/>
      <c r="AH495" s="1477"/>
      <c r="AI495" s="1477"/>
      <c r="AJ495" s="1477"/>
      <c r="AK495" s="1477"/>
      <c r="AL495" s="1477"/>
      <c r="AM495" s="1477"/>
      <c r="AN495" s="1477"/>
      <c r="AO495" s="284"/>
      <c r="AP495" s="1477"/>
      <c r="AQ495" s="1477"/>
      <c r="AR495" s="1477"/>
      <c r="AS495" s="1477"/>
      <c r="AT495" s="1477"/>
      <c r="AU495" s="1477"/>
      <c r="AV495" s="1477"/>
      <c r="AW495" s="1477"/>
      <c r="AX495" s="1477"/>
      <c r="AY495" s="1477"/>
      <c r="AZ495" s="1477"/>
      <c r="BA495" s="1477"/>
      <c r="BB495" s="1477"/>
      <c r="BC495" s="1477"/>
      <c r="BD495" s="1477"/>
      <c r="BE495" s="1477"/>
      <c r="BF495" s="1477"/>
      <c r="BG495" s="1477"/>
      <c r="BH495" s="1477"/>
      <c r="BI495" s="1477"/>
      <c r="BJ495" s="1477"/>
      <c r="BK495" s="1477"/>
      <c r="BL495" s="1477"/>
      <c r="BM495" s="1477"/>
      <c r="BN495" s="1477"/>
      <c r="BO495" s="1477"/>
      <c r="BP495" s="1477"/>
      <c r="BQ495" s="1477"/>
      <c r="BR495" s="1477"/>
      <c r="BS495" s="1477"/>
      <c r="BT495" s="1477"/>
      <c r="BU495" s="1477"/>
      <c r="BV495" s="1477"/>
      <c r="BW495" s="1477"/>
      <c r="BX495" s="1477"/>
      <c r="BY495" s="1477"/>
      <c r="BZ495" s="1477"/>
      <c r="CA495" s="1477"/>
      <c r="CB495" s="1477"/>
      <c r="CC495" s="1477"/>
      <c r="CD495" s="1477"/>
      <c r="CE495" s="1477"/>
      <c r="CF495" s="1477"/>
      <c r="CG495" s="1477"/>
      <c r="CH495" s="1477"/>
    </row>
    <row r="496" spans="2:86">
      <c r="B496" s="1477"/>
      <c r="C496" s="1477"/>
      <c r="D496" s="1477"/>
      <c r="E496" s="1477"/>
      <c r="F496" s="1477"/>
      <c r="G496" s="1477"/>
      <c r="H496" s="1477"/>
      <c r="I496" s="1477"/>
      <c r="J496" s="1477"/>
      <c r="K496" s="1477"/>
      <c r="L496" s="1477"/>
      <c r="M496" s="1477"/>
      <c r="N496" s="1477"/>
      <c r="O496" s="1477"/>
      <c r="P496" s="1477"/>
      <c r="Q496" s="1477"/>
      <c r="R496" s="1477"/>
      <c r="S496" s="1477"/>
      <c r="T496" s="1477"/>
      <c r="U496" s="1477"/>
      <c r="V496" s="1477"/>
      <c r="W496" s="1477"/>
      <c r="X496" s="1477"/>
      <c r="Y496" s="1477"/>
      <c r="Z496" s="1477"/>
      <c r="AA496" s="1477"/>
      <c r="AB496" s="1477"/>
      <c r="AC496" s="1477"/>
      <c r="AD496" s="1477"/>
      <c r="AE496" s="1477"/>
      <c r="AF496" s="1477"/>
      <c r="AG496" s="1477"/>
      <c r="AH496" s="1477"/>
      <c r="AI496" s="1477"/>
      <c r="AJ496" s="1477"/>
      <c r="AK496" s="1477"/>
      <c r="AL496" s="1477"/>
      <c r="AM496" s="1477"/>
      <c r="AN496" s="1477"/>
      <c r="AO496" s="284"/>
      <c r="AP496" s="1477"/>
      <c r="AQ496" s="1477"/>
      <c r="AR496" s="1477"/>
      <c r="AS496" s="1477"/>
      <c r="AT496" s="1477"/>
      <c r="AU496" s="1477"/>
      <c r="AV496" s="1477"/>
      <c r="AW496" s="1477"/>
      <c r="AX496" s="1477"/>
      <c r="AY496" s="1477"/>
      <c r="AZ496" s="1477"/>
      <c r="BA496" s="1477"/>
      <c r="BB496" s="1477"/>
      <c r="BC496" s="1477"/>
      <c r="BD496" s="1477"/>
      <c r="BE496" s="1477"/>
      <c r="BF496" s="1477"/>
      <c r="BG496" s="1477"/>
      <c r="BH496" s="1477"/>
      <c r="BI496" s="1477"/>
      <c r="BJ496" s="1477"/>
      <c r="BK496" s="1477"/>
      <c r="BL496" s="1477"/>
      <c r="BM496" s="1477"/>
      <c r="BN496" s="1477"/>
      <c r="BO496" s="1477"/>
      <c r="BP496" s="1477"/>
      <c r="BQ496" s="1477"/>
      <c r="BR496" s="1477"/>
      <c r="BS496" s="1477"/>
      <c r="BT496" s="1477"/>
      <c r="BU496" s="1477"/>
      <c r="BV496" s="1477"/>
      <c r="BW496" s="1477"/>
      <c r="BX496" s="1477"/>
      <c r="BY496" s="1477"/>
      <c r="BZ496" s="1477"/>
      <c r="CA496" s="1477"/>
      <c r="CB496" s="1477"/>
      <c r="CC496" s="1477"/>
      <c r="CD496" s="1477"/>
      <c r="CE496" s="1477"/>
      <c r="CF496" s="1477"/>
      <c r="CG496" s="1477"/>
      <c r="CH496" s="1477"/>
    </row>
    <row r="497" spans="2:86">
      <c r="B497" s="1477"/>
      <c r="C497" s="1477"/>
      <c r="D497" s="1477"/>
      <c r="E497" s="1477"/>
      <c r="F497" s="1477"/>
      <c r="G497" s="1477"/>
      <c r="H497" s="1477"/>
      <c r="I497" s="1477"/>
      <c r="J497" s="1477"/>
      <c r="K497" s="1477"/>
      <c r="L497" s="1477"/>
      <c r="M497" s="1477"/>
      <c r="N497" s="1477"/>
      <c r="O497" s="1477"/>
      <c r="P497" s="1477"/>
      <c r="Q497" s="1477"/>
      <c r="R497" s="1477"/>
      <c r="S497" s="1477"/>
      <c r="T497" s="1477"/>
      <c r="U497" s="1477"/>
      <c r="V497" s="1477"/>
      <c r="W497" s="1477"/>
      <c r="X497" s="1477"/>
      <c r="Y497" s="1477"/>
      <c r="Z497" s="1477"/>
      <c r="AA497" s="1477"/>
      <c r="AB497" s="1477"/>
      <c r="AC497" s="1477"/>
      <c r="AD497" s="1477"/>
      <c r="AE497" s="1477"/>
      <c r="AF497" s="1477"/>
      <c r="AG497" s="1477"/>
      <c r="AH497" s="1477"/>
      <c r="AI497" s="1477"/>
      <c r="AJ497" s="1477"/>
      <c r="AK497" s="1477"/>
      <c r="AL497" s="1477"/>
      <c r="AM497" s="1477"/>
      <c r="AN497" s="1477"/>
      <c r="AO497" s="284"/>
      <c r="AP497" s="1477"/>
      <c r="AQ497" s="1477"/>
      <c r="AR497" s="1477"/>
      <c r="AS497" s="1477"/>
      <c r="AT497" s="1477"/>
      <c r="AU497" s="1477"/>
      <c r="AV497" s="1477"/>
      <c r="AW497" s="1477"/>
      <c r="AX497" s="1477"/>
      <c r="AY497" s="1477"/>
      <c r="AZ497" s="1477"/>
      <c r="BA497" s="1477"/>
      <c r="BB497" s="1477"/>
      <c r="BC497" s="1477"/>
      <c r="BD497" s="1477"/>
      <c r="BE497" s="1477"/>
      <c r="BF497" s="1477"/>
      <c r="BG497" s="1477"/>
      <c r="BH497" s="1477"/>
      <c r="BI497" s="1477"/>
      <c r="BJ497" s="1477"/>
      <c r="BK497" s="1477"/>
      <c r="BL497" s="1477"/>
      <c r="BM497" s="1477"/>
      <c r="BN497" s="1477"/>
      <c r="BO497" s="1477"/>
      <c r="BP497" s="1477"/>
      <c r="BQ497" s="1477"/>
      <c r="BR497" s="1477"/>
      <c r="BS497" s="1477"/>
      <c r="BT497" s="1477"/>
      <c r="BU497" s="1477"/>
      <c r="BV497" s="1477"/>
      <c r="BW497" s="1477"/>
      <c r="BX497" s="1477"/>
      <c r="BY497" s="1477"/>
      <c r="BZ497" s="1477"/>
      <c r="CA497" s="1477"/>
      <c r="CB497" s="1477"/>
      <c r="CC497" s="1477"/>
      <c r="CD497" s="1477"/>
      <c r="CE497" s="1477"/>
      <c r="CF497" s="1477"/>
      <c r="CG497" s="1477"/>
      <c r="CH497" s="1477"/>
    </row>
    <row r="498" spans="2:86">
      <c r="B498" s="1477"/>
      <c r="C498" s="1477"/>
      <c r="D498" s="1477"/>
      <c r="E498" s="1477"/>
      <c r="F498" s="1477"/>
      <c r="G498" s="1477"/>
      <c r="H498" s="1477"/>
      <c r="I498" s="1477"/>
      <c r="J498" s="1477"/>
      <c r="K498" s="1477"/>
      <c r="L498" s="1477"/>
      <c r="M498" s="1477"/>
      <c r="N498" s="1477"/>
      <c r="O498" s="1477"/>
      <c r="P498" s="1477"/>
      <c r="Q498" s="1477"/>
      <c r="R498" s="1477"/>
      <c r="S498" s="1477"/>
      <c r="T498" s="1477"/>
      <c r="U498" s="1477"/>
      <c r="V498" s="1477"/>
      <c r="W498" s="1477"/>
      <c r="X498" s="1477"/>
      <c r="Y498" s="1477"/>
      <c r="Z498" s="1477"/>
      <c r="AA498" s="1477"/>
      <c r="AB498" s="1477"/>
      <c r="AC498" s="1477"/>
      <c r="AD498" s="1477"/>
      <c r="AE498" s="1477"/>
      <c r="AF498" s="1477"/>
      <c r="AG498" s="1477"/>
      <c r="AH498" s="1477"/>
      <c r="AI498" s="1477"/>
      <c r="AJ498" s="1477"/>
      <c r="AK498" s="1477"/>
      <c r="AL498" s="1477"/>
      <c r="AM498" s="1477"/>
      <c r="AN498" s="1477"/>
      <c r="AO498" s="284"/>
      <c r="AP498" s="1477"/>
      <c r="AQ498" s="1477"/>
      <c r="AR498" s="1477"/>
      <c r="AS498" s="1477"/>
      <c r="AT498" s="1477"/>
      <c r="AU498" s="1477"/>
      <c r="AV498" s="1477"/>
      <c r="AW498" s="1477"/>
      <c r="AX498" s="1477"/>
      <c r="AY498" s="1477"/>
      <c r="AZ498" s="1477"/>
      <c r="BA498" s="1477"/>
      <c r="BB498" s="1477"/>
      <c r="BC498" s="1477"/>
      <c r="BD498" s="1477"/>
      <c r="BE498" s="1477"/>
      <c r="BF498" s="1477"/>
      <c r="BG498" s="1477"/>
      <c r="BH498" s="1477"/>
      <c r="BI498" s="1477"/>
      <c r="BJ498" s="1477"/>
      <c r="BK498" s="1477"/>
      <c r="BL498" s="1477"/>
      <c r="BM498" s="1477"/>
      <c r="BN498" s="1477"/>
      <c r="BO498" s="1477"/>
      <c r="BP498" s="1477"/>
      <c r="BQ498" s="1477"/>
      <c r="BR498" s="1477"/>
      <c r="BS498" s="1477"/>
      <c r="BT498" s="1477"/>
      <c r="BU498" s="1477"/>
      <c r="BV498" s="1477"/>
      <c r="BW498" s="1477"/>
      <c r="BX498" s="1477"/>
      <c r="BY498" s="1477"/>
      <c r="BZ498" s="1477"/>
      <c r="CA498" s="1477"/>
      <c r="CB498" s="1477"/>
      <c r="CC498" s="1477"/>
      <c r="CD498" s="1477"/>
      <c r="CE498" s="1477"/>
      <c r="CF498" s="1477"/>
      <c r="CG498" s="1477"/>
      <c r="CH498" s="1477"/>
    </row>
    <row r="499" spans="2:86">
      <c r="B499" s="1477"/>
      <c r="C499" s="1477"/>
      <c r="D499" s="1477"/>
      <c r="E499" s="1477"/>
      <c r="F499" s="1477"/>
      <c r="G499" s="1477"/>
      <c r="H499" s="1477"/>
      <c r="I499" s="1477"/>
      <c r="J499" s="1477"/>
      <c r="K499" s="1477"/>
      <c r="L499" s="1477"/>
      <c r="M499" s="1477"/>
      <c r="N499" s="1477"/>
      <c r="O499" s="1477"/>
      <c r="P499" s="1477"/>
      <c r="Q499" s="1477"/>
      <c r="R499" s="1477"/>
      <c r="S499" s="1477"/>
      <c r="T499" s="1477"/>
      <c r="U499" s="1477"/>
      <c r="V499" s="1477"/>
      <c r="W499" s="1477"/>
      <c r="X499" s="1477"/>
      <c r="Y499" s="1477"/>
      <c r="Z499" s="1477"/>
      <c r="AA499" s="1477"/>
      <c r="AB499" s="1477"/>
      <c r="AC499" s="1477"/>
      <c r="AD499" s="1477"/>
      <c r="AE499" s="1477"/>
      <c r="AF499" s="1477"/>
      <c r="AG499" s="1477"/>
      <c r="AH499" s="1477"/>
      <c r="AI499" s="1477"/>
      <c r="AJ499" s="1477"/>
      <c r="AK499" s="1477"/>
      <c r="AL499" s="1477"/>
      <c r="AM499" s="1477"/>
      <c r="AN499" s="1477"/>
      <c r="AO499" s="284"/>
      <c r="AP499" s="1477"/>
      <c r="AQ499" s="1477"/>
      <c r="AR499" s="1477"/>
      <c r="AS499" s="1477"/>
      <c r="AT499" s="1477"/>
      <c r="AU499" s="1477"/>
      <c r="AV499" s="1477"/>
      <c r="AW499" s="1477"/>
      <c r="AX499" s="1477"/>
      <c r="AY499" s="1477"/>
      <c r="AZ499" s="1477"/>
      <c r="BA499" s="1477"/>
      <c r="BB499" s="1477"/>
      <c r="BC499" s="1477"/>
      <c r="BD499" s="1477"/>
      <c r="BE499" s="1477"/>
      <c r="BF499" s="1477"/>
      <c r="BG499" s="1477"/>
      <c r="BH499" s="1477"/>
      <c r="BI499" s="1477"/>
      <c r="BJ499" s="1477"/>
      <c r="BK499" s="1477"/>
      <c r="BL499" s="1477"/>
      <c r="BM499" s="1477"/>
      <c r="BN499" s="1477"/>
      <c r="BO499" s="1477"/>
      <c r="BP499" s="1477"/>
      <c r="BQ499" s="1477"/>
      <c r="BR499" s="1477"/>
      <c r="BS499" s="1477"/>
      <c r="BT499" s="1477"/>
      <c r="BU499" s="1477"/>
      <c r="BV499" s="1477"/>
      <c r="BW499" s="1477"/>
      <c r="BX499" s="1477"/>
      <c r="BY499" s="1477"/>
      <c r="BZ499" s="1477"/>
      <c r="CA499" s="1477"/>
      <c r="CB499" s="1477"/>
      <c r="CC499" s="1477"/>
      <c r="CD499" s="1477"/>
      <c r="CE499" s="1477"/>
      <c r="CF499" s="1477"/>
      <c r="CG499" s="1477"/>
      <c r="CH499" s="1477"/>
    </row>
    <row r="500" spans="2:86">
      <c r="B500" s="1477"/>
      <c r="C500" s="1477"/>
      <c r="D500" s="1477"/>
      <c r="E500" s="1477"/>
      <c r="F500" s="1477"/>
      <c r="G500" s="1477"/>
      <c r="H500" s="1477"/>
      <c r="I500" s="1477"/>
      <c r="J500" s="1477"/>
      <c r="K500" s="1477"/>
      <c r="L500" s="1477"/>
      <c r="M500" s="1477"/>
      <c r="N500" s="1477"/>
      <c r="O500" s="1477"/>
      <c r="P500" s="1477"/>
      <c r="Q500" s="1477"/>
      <c r="R500" s="1477"/>
      <c r="S500" s="1477"/>
      <c r="T500" s="1477"/>
      <c r="U500" s="1477"/>
      <c r="V500" s="1477"/>
      <c r="W500" s="1477"/>
      <c r="X500" s="1477"/>
      <c r="Y500" s="1477"/>
      <c r="Z500" s="1477"/>
      <c r="AA500" s="1477"/>
      <c r="AB500" s="1477"/>
      <c r="AC500" s="1477"/>
      <c r="AD500" s="1477"/>
      <c r="AE500" s="1477"/>
      <c r="AF500" s="1477"/>
      <c r="AG500" s="1477"/>
      <c r="AH500" s="1477"/>
      <c r="AI500" s="1477"/>
      <c r="AJ500" s="1477"/>
      <c r="AK500" s="1477"/>
      <c r="AL500" s="1477"/>
      <c r="AM500" s="1477"/>
      <c r="AN500" s="1477"/>
      <c r="AO500" s="284"/>
      <c r="AP500" s="1477"/>
      <c r="AQ500" s="1477"/>
      <c r="AR500" s="1477"/>
      <c r="AS500" s="1477"/>
      <c r="AT500" s="1477"/>
      <c r="AU500" s="1477"/>
      <c r="AV500" s="1477"/>
      <c r="AW500" s="1477"/>
      <c r="AX500" s="1477"/>
      <c r="AY500" s="1477"/>
      <c r="AZ500" s="1477"/>
      <c r="BA500" s="1477"/>
      <c r="BB500" s="1477"/>
      <c r="BC500" s="1477"/>
      <c r="BD500" s="1477"/>
      <c r="BE500" s="1477"/>
      <c r="BF500" s="1477"/>
      <c r="BG500" s="1477"/>
      <c r="BH500" s="1477"/>
      <c r="BI500" s="1477"/>
      <c r="BJ500" s="1477"/>
      <c r="BK500" s="1477"/>
      <c r="BL500" s="1477"/>
      <c r="BM500" s="1477"/>
      <c r="BN500" s="1477"/>
      <c r="BO500" s="1477"/>
      <c r="BP500" s="1477"/>
      <c r="BQ500" s="1477"/>
      <c r="BR500" s="1477"/>
      <c r="BS500" s="1477"/>
      <c r="BT500" s="1477"/>
      <c r="BU500" s="1477"/>
      <c r="BV500" s="1477"/>
      <c r="BW500" s="1477"/>
      <c r="BX500" s="1477"/>
      <c r="BY500" s="1477"/>
      <c r="BZ500" s="1477"/>
      <c r="CA500" s="1477"/>
      <c r="CB500" s="1477"/>
      <c r="CC500" s="1477"/>
      <c r="CD500" s="1477"/>
      <c r="CE500" s="1477"/>
      <c r="CF500" s="1477"/>
      <c r="CG500" s="1477"/>
      <c r="CH500" s="1477"/>
    </row>
    <row r="501" spans="2:86">
      <c r="B501" s="1477"/>
      <c r="C501" s="1477"/>
      <c r="D501" s="1477"/>
      <c r="E501" s="1477"/>
      <c r="F501" s="1477"/>
      <c r="G501" s="1477"/>
      <c r="H501" s="1477"/>
      <c r="I501" s="1477"/>
      <c r="J501" s="1477"/>
      <c r="K501" s="1477"/>
      <c r="L501" s="1477"/>
      <c r="M501" s="1477"/>
      <c r="N501" s="1477"/>
      <c r="O501" s="1477"/>
      <c r="P501" s="1477"/>
      <c r="Q501" s="1477"/>
      <c r="R501" s="1477"/>
      <c r="S501" s="1477"/>
      <c r="T501" s="1477"/>
      <c r="U501" s="1477"/>
      <c r="V501" s="1477"/>
      <c r="W501" s="1477"/>
      <c r="X501" s="1477"/>
      <c r="Y501" s="1477"/>
      <c r="Z501" s="1477"/>
      <c r="AA501" s="1477"/>
      <c r="AB501" s="1477"/>
      <c r="AC501" s="1477"/>
      <c r="AD501" s="1477"/>
      <c r="AE501" s="1477"/>
      <c r="AF501" s="1477"/>
      <c r="AG501" s="1477"/>
      <c r="AH501" s="1477"/>
      <c r="AI501" s="1477"/>
      <c r="AJ501" s="1477"/>
      <c r="AK501" s="1477"/>
      <c r="AL501" s="1477"/>
      <c r="AM501" s="1477"/>
      <c r="AN501" s="1477"/>
      <c r="AO501" s="284"/>
      <c r="AP501" s="1477"/>
      <c r="AQ501" s="1477"/>
      <c r="AR501" s="1477"/>
      <c r="AS501" s="1477"/>
      <c r="AT501" s="1477"/>
      <c r="AU501" s="1477"/>
      <c r="AV501" s="1477"/>
      <c r="AW501" s="1477"/>
      <c r="AX501" s="1477"/>
      <c r="AY501" s="1477"/>
      <c r="AZ501" s="1477"/>
      <c r="BA501" s="1477"/>
      <c r="BB501" s="1477"/>
      <c r="BC501" s="1477"/>
      <c r="BD501" s="1477"/>
      <c r="BE501" s="1477"/>
      <c r="BF501" s="1477"/>
      <c r="BG501" s="1477"/>
      <c r="BH501" s="1477"/>
      <c r="BI501" s="1477"/>
      <c r="BJ501" s="1477"/>
      <c r="BK501" s="1477"/>
      <c r="BL501" s="1477"/>
      <c r="BM501" s="1477"/>
      <c r="BN501" s="1477"/>
      <c r="BO501" s="1477"/>
      <c r="BP501" s="1477"/>
      <c r="BQ501" s="1477"/>
      <c r="BR501" s="1477"/>
      <c r="BS501" s="1477"/>
      <c r="BT501" s="1477"/>
      <c r="BU501" s="1477"/>
      <c r="BV501" s="1477"/>
      <c r="BW501" s="1477"/>
      <c r="BX501" s="1477"/>
      <c r="BY501" s="1477"/>
      <c r="BZ501" s="1477"/>
      <c r="CA501" s="1477"/>
      <c r="CB501" s="1477"/>
      <c r="CC501" s="1477"/>
      <c r="CD501" s="1477"/>
      <c r="CE501" s="1477"/>
      <c r="CF501" s="1477"/>
      <c r="CG501" s="1477"/>
      <c r="CH501" s="1477"/>
    </row>
    <row r="502" spans="2:86">
      <c r="B502" s="1477"/>
      <c r="C502" s="1477"/>
      <c r="D502" s="1477"/>
      <c r="E502" s="1477"/>
      <c r="F502" s="1477"/>
      <c r="G502" s="1477"/>
      <c r="H502" s="1477"/>
      <c r="I502" s="1477"/>
      <c r="J502" s="1477"/>
      <c r="K502" s="1477"/>
      <c r="L502" s="1477"/>
      <c r="M502" s="1477"/>
      <c r="N502" s="1477"/>
      <c r="O502" s="1477"/>
      <c r="P502" s="1477"/>
      <c r="Q502" s="1477"/>
      <c r="R502" s="1477"/>
      <c r="S502" s="1477"/>
      <c r="T502" s="1477"/>
      <c r="U502" s="1477"/>
      <c r="V502" s="1477"/>
      <c r="W502" s="1477"/>
      <c r="X502" s="1477"/>
      <c r="Y502" s="1477"/>
      <c r="Z502" s="1477"/>
      <c r="AA502" s="1477"/>
      <c r="AB502" s="1477"/>
      <c r="AC502" s="1477"/>
      <c r="AD502" s="1477"/>
      <c r="AE502" s="1477"/>
      <c r="AF502" s="1477"/>
      <c r="AG502" s="1477"/>
      <c r="AH502" s="1477"/>
      <c r="AI502" s="1477"/>
      <c r="AJ502" s="1477"/>
      <c r="AK502" s="1477"/>
      <c r="AL502" s="1477"/>
      <c r="AM502" s="1477"/>
      <c r="AN502" s="1477"/>
      <c r="AO502" s="284"/>
      <c r="AP502" s="1477"/>
      <c r="AQ502" s="1477"/>
      <c r="AR502" s="1477"/>
      <c r="AS502" s="1477"/>
      <c r="AT502" s="1477"/>
      <c r="AU502" s="1477"/>
      <c r="AV502" s="1477"/>
      <c r="AW502" s="1477"/>
      <c r="AX502" s="1477"/>
      <c r="AY502" s="1477"/>
      <c r="AZ502" s="1477"/>
      <c r="BA502" s="1477"/>
      <c r="BB502" s="1477"/>
      <c r="BC502" s="1477"/>
      <c r="BD502" s="1477"/>
      <c r="BE502" s="1477"/>
      <c r="BF502" s="1477"/>
      <c r="BG502" s="1477"/>
      <c r="BH502" s="1477"/>
      <c r="BI502" s="1477"/>
      <c r="BJ502" s="1477"/>
      <c r="BK502" s="1477"/>
      <c r="BL502" s="1477"/>
      <c r="BM502" s="1477"/>
      <c r="BN502" s="1477"/>
      <c r="BO502" s="1477"/>
      <c r="BP502" s="1477"/>
      <c r="BQ502" s="1477"/>
      <c r="BR502" s="1477"/>
      <c r="BS502" s="1477"/>
      <c r="BT502" s="1477"/>
      <c r="BU502" s="1477"/>
      <c r="BV502" s="1477"/>
      <c r="BW502" s="1477"/>
      <c r="BX502" s="1477"/>
      <c r="BY502" s="1477"/>
      <c r="BZ502" s="1477"/>
      <c r="CA502" s="1477"/>
      <c r="CB502" s="1477"/>
      <c r="CC502" s="1477"/>
      <c r="CD502" s="1477"/>
      <c r="CE502" s="1477"/>
      <c r="CF502" s="1477"/>
      <c r="CG502" s="1477"/>
      <c r="CH502" s="1477"/>
    </row>
    <row r="503" spans="2:86">
      <c r="B503" s="1477"/>
      <c r="C503" s="1477"/>
      <c r="D503" s="1477"/>
      <c r="E503" s="1477"/>
      <c r="F503" s="1477"/>
      <c r="G503" s="1477"/>
      <c r="H503" s="1477"/>
      <c r="I503" s="1477"/>
      <c r="J503" s="1477"/>
      <c r="K503" s="1477"/>
      <c r="L503" s="1477"/>
      <c r="M503" s="1477"/>
      <c r="N503" s="1477"/>
      <c r="O503" s="1477"/>
      <c r="P503" s="1477"/>
      <c r="Q503" s="1477"/>
      <c r="R503" s="1477"/>
      <c r="S503" s="1477"/>
      <c r="T503" s="1477"/>
      <c r="U503" s="1477"/>
      <c r="V503" s="1477"/>
      <c r="W503" s="1477"/>
      <c r="X503" s="1477"/>
      <c r="Y503" s="1477"/>
      <c r="Z503" s="1477"/>
      <c r="AA503" s="1477"/>
      <c r="AB503" s="1477"/>
      <c r="AC503" s="1477"/>
      <c r="AD503" s="1477"/>
      <c r="AE503" s="1477"/>
      <c r="AF503" s="1477"/>
      <c r="AG503" s="1477"/>
      <c r="AH503" s="1477"/>
      <c r="AI503" s="1477"/>
      <c r="AJ503" s="1477"/>
      <c r="AK503" s="1477"/>
      <c r="AL503" s="1477"/>
      <c r="AM503" s="1477"/>
      <c r="AN503" s="1477"/>
      <c r="AO503" s="284"/>
      <c r="AP503" s="1477"/>
      <c r="AQ503" s="1477"/>
      <c r="AR503" s="1477"/>
      <c r="AS503" s="1477"/>
      <c r="AT503" s="1477"/>
      <c r="AU503" s="1477"/>
      <c r="AV503" s="1477"/>
      <c r="AW503" s="1477"/>
      <c r="AX503" s="1477"/>
      <c r="AY503" s="1477"/>
      <c r="AZ503" s="1477"/>
      <c r="BA503" s="1477"/>
      <c r="BB503" s="1477"/>
      <c r="BC503" s="1477"/>
      <c r="BD503" s="1477"/>
      <c r="BE503" s="1477"/>
      <c r="BF503" s="1477"/>
      <c r="BG503" s="1477"/>
      <c r="BH503" s="1477"/>
      <c r="BI503" s="1477"/>
      <c r="BJ503" s="1477"/>
      <c r="BK503" s="1477"/>
      <c r="BL503" s="1477"/>
      <c r="BM503" s="1477"/>
      <c r="BN503" s="1477"/>
      <c r="BO503" s="1477"/>
      <c r="BP503" s="1477"/>
      <c r="BQ503" s="1477"/>
      <c r="BR503" s="1477"/>
      <c r="BS503" s="1477"/>
      <c r="BT503" s="1477"/>
      <c r="BU503" s="1477"/>
      <c r="BV503" s="1477"/>
      <c r="BW503" s="1477"/>
      <c r="BX503" s="1477"/>
      <c r="BY503" s="1477"/>
      <c r="BZ503" s="1477"/>
      <c r="CA503" s="1477"/>
      <c r="CB503" s="1477"/>
      <c r="CC503" s="1477"/>
      <c r="CD503" s="1477"/>
      <c r="CE503" s="1477"/>
      <c r="CF503" s="1477"/>
      <c r="CG503" s="1477"/>
      <c r="CH503" s="1477"/>
    </row>
    <row r="504" spans="2:86">
      <c r="B504" s="1477"/>
      <c r="C504" s="1477"/>
      <c r="D504" s="1477"/>
      <c r="E504" s="1477"/>
      <c r="F504" s="1477"/>
      <c r="G504" s="1477"/>
      <c r="H504" s="1477"/>
      <c r="I504" s="1477"/>
      <c r="J504" s="1477"/>
      <c r="K504" s="1477"/>
      <c r="L504" s="1477"/>
      <c r="M504" s="1477"/>
      <c r="N504" s="1477"/>
      <c r="O504" s="1477"/>
      <c r="P504" s="1477"/>
      <c r="Q504" s="1477"/>
      <c r="R504" s="1477"/>
      <c r="S504" s="1477"/>
      <c r="T504" s="1477"/>
      <c r="U504" s="1477"/>
      <c r="V504" s="1477"/>
      <c r="W504" s="1477"/>
      <c r="X504" s="1477"/>
      <c r="Y504" s="1477"/>
      <c r="Z504" s="1477"/>
      <c r="AA504" s="1477"/>
      <c r="AB504" s="1477"/>
      <c r="AC504" s="1477"/>
      <c r="AD504" s="1477"/>
      <c r="AE504" s="1477"/>
      <c r="AF504" s="1477"/>
      <c r="AG504" s="1477"/>
      <c r="AH504" s="1477"/>
      <c r="AI504" s="1477"/>
      <c r="AJ504" s="1477"/>
      <c r="AK504" s="1477"/>
      <c r="AL504" s="1477"/>
      <c r="AM504" s="1477"/>
      <c r="AN504" s="1477"/>
      <c r="AO504" s="284"/>
      <c r="AP504" s="1477"/>
      <c r="AQ504" s="1477"/>
      <c r="AR504" s="1477"/>
      <c r="AS504" s="1477"/>
      <c r="AT504" s="1477"/>
      <c r="AU504" s="1477"/>
      <c r="AV504" s="1477"/>
      <c r="AW504" s="1477"/>
      <c r="AX504" s="1477"/>
      <c r="AY504" s="1477"/>
      <c r="AZ504" s="1477"/>
      <c r="BA504" s="1477"/>
      <c r="BB504" s="1477"/>
      <c r="BC504" s="1477"/>
      <c r="BD504" s="1477"/>
      <c r="BE504" s="1477"/>
      <c r="BF504" s="1477"/>
      <c r="BG504" s="1477"/>
      <c r="BH504" s="1477"/>
      <c r="BI504" s="1477"/>
      <c r="BJ504" s="1477"/>
      <c r="BK504" s="1477"/>
      <c r="BL504" s="1477"/>
      <c r="BM504" s="1477"/>
      <c r="BN504" s="1477"/>
      <c r="BO504" s="1477"/>
      <c r="BP504" s="1477"/>
      <c r="BQ504" s="1477"/>
      <c r="BR504" s="1477"/>
      <c r="BS504" s="1477"/>
      <c r="BT504" s="1477"/>
      <c r="BU504" s="1477"/>
      <c r="BV504" s="1477"/>
      <c r="BW504" s="1477"/>
      <c r="BX504" s="1477"/>
      <c r="BY504" s="1477"/>
      <c r="BZ504" s="1477"/>
      <c r="CA504" s="1477"/>
      <c r="CB504" s="1477"/>
      <c r="CC504" s="1477"/>
      <c r="CD504" s="1477"/>
      <c r="CE504" s="1477"/>
      <c r="CF504" s="1477"/>
      <c r="CG504" s="1477"/>
      <c r="CH504" s="1477"/>
    </row>
    <row r="505" spans="2:86">
      <c r="B505" s="1477"/>
      <c r="C505" s="1477"/>
      <c r="D505" s="1477"/>
      <c r="E505" s="1477"/>
      <c r="F505" s="1477"/>
      <c r="G505" s="1477"/>
      <c r="H505" s="1477"/>
      <c r="I505" s="1477"/>
      <c r="J505" s="1477"/>
      <c r="K505" s="1477"/>
      <c r="L505" s="1477"/>
      <c r="M505" s="1477"/>
      <c r="N505" s="1477"/>
      <c r="O505" s="1477"/>
      <c r="P505" s="1477"/>
      <c r="Q505" s="1477"/>
      <c r="R505" s="1477"/>
      <c r="S505" s="1477"/>
      <c r="T505" s="1477"/>
      <c r="U505" s="1477"/>
      <c r="V505" s="1477"/>
      <c r="W505" s="1477"/>
      <c r="X505" s="1477"/>
      <c r="Y505" s="1477"/>
      <c r="Z505" s="1477"/>
      <c r="AA505" s="1477"/>
      <c r="AB505" s="1477"/>
      <c r="AC505" s="1477"/>
      <c r="AD505" s="1477"/>
      <c r="AE505" s="1477"/>
      <c r="AF505" s="1477"/>
      <c r="AG505" s="1477"/>
      <c r="AH505" s="1477"/>
      <c r="AI505" s="1477"/>
      <c r="AJ505" s="1477"/>
      <c r="AK505" s="1477"/>
      <c r="AL505" s="1477"/>
      <c r="AM505" s="1477"/>
      <c r="AN505" s="1477"/>
      <c r="AO505" s="284"/>
      <c r="AP505" s="1477"/>
      <c r="AQ505" s="1477"/>
      <c r="AR505" s="1477"/>
      <c r="AS505" s="1477"/>
      <c r="AT505" s="1477"/>
      <c r="AU505" s="1477"/>
      <c r="AV505" s="1477"/>
      <c r="AW505" s="1477"/>
      <c r="AX505" s="1477"/>
      <c r="AY505" s="1477"/>
      <c r="AZ505" s="1477"/>
      <c r="BA505" s="1477"/>
      <c r="BB505" s="1477"/>
      <c r="BC505" s="1477"/>
      <c r="BD505" s="1477"/>
      <c r="BE505" s="1477"/>
      <c r="BF505" s="1477"/>
      <c r="BG505" s="1477"/>
      <c r="BH505" s="1477"/>
      <c r="BI505" s="1477"/>
      <c r="BJ505" s="1477"/>
      <c r="BK505" s="1477"/>
      <c r="BL505" s="1477"/>
      <c r="BM505" s="1477"/>
      <c r="BN505" s="1477"/>
      <c r="BO505" s="1477"/>
      <c r="BP505" s="1477"/>
      <c r="BQ505" s="1477"/>
      <c r="BR505" s="1477"/>
      <c r="BS505" s="1477"/>
      <c r="BT505" s="1477"/>
      <c r="BU505" s="1477"/>
      <c r="BV505" s="1477"/>
      <c r="BW505" s="1477"/>
      <c r="BX505" s="1477"/>
      <c r="BY505" s="1477"/>
      <c r="BZ505" s="1477"/>
      <c r="CA505" s="1477"/>
      <c r="CB505" s="1477"/>
      <c r="CC505" s="1477"/>
      <c r="CD505" s="1477"/>
      <c r="CE505" s="1477"/>
      <c r="CF505" s="1477"/>
      <c r="CG505" s="1477"/>
      <c r="CH505" s="1477"/>
    </row>
    <row r="506" spans="2:86">
      <c r="B506" s="1477"/>
      <c r="C506" s="1477"/>
      <c r="D506" s="1477"/>
      <c r="E506" s="1477"/>
      <c r="F506" s="1477"/>
      <c r="G506" s="1477"/>
      <c r="H506" s="1477"/>
      <c r="I506" s="1477"/>
      <c r="J506" s="1477"/>
      <c r="K506" s="1477"/>
      <c r="L506" s="1477"/>
      <c r="M506" s="1477"/>
      <c r="N506" s="1477"/>
      <c r="O506" s="1477"/>
      <c r="P506" s="1477"/>
      <c r="Q506" s="1477"/>
      <c r="R506" s="1477"/>
      <c r="S506" s="1477"/>
      <c r="T506" s="1477"/>
      <c r="U506" s="1477"/>
      <c r="V506" s="1477"/>
      <c r="W506" s="1477"/>
      <c r="X506" s="1477"/>
      <c r="Y506" s="1477"/>
      <c r="Z506" s="1477"/>
      <c r="AA506" s="1477"/>
      <c r="AB506" s="1477"/>
      <c r="AC506" s="1477"/>
      <c r="AD506" s="1477"/>
      <c r="AE506" s="1477"/>
      <c r="AF506" s="1477"/>
      <c r="AG506" s="1477"/>
      <c r="AH506" s="1477"/>
      <c r="AI506" s="1477"/>
      <c r="AJ506" s="1477"/>
      <c r="AK506" s="1477"/>
      <c r="AL506" s="1477"/>
      <c r="AM506" s="1477"/>
      <c r="AN506" s="1477"/>
      <c r="AO506" s="284"/>
      <c r="AP506" s="1477"/>
      <c r="AQ506" s="1477"/>
      <c r="AR506" s="1477"/>
      <c r="AS506" s="1477"/>
      <c r="AT506" s="1477"/>
      <c r="AU506" s="1477"/>
      <c r="AV506" s="1477"/>
      <c r="AW506" s="1477"/>
      <c r="AX506" s="1477"/>
      <c r="AY506" s="1477"/>
      <c r="AZ506" s="1477"/>
      <c r="BA506" s="1477"/>
      <c r="BB506" s="1477"/>
      <c r="BC506" s="1477"/>
      <c r="BD506" s="1477"/>
      <c r="BE506" s="1477"/>
      <c r="BF506" s="1477"/>
      <c r="BG506" s="1477"/>
      <c r="BH506" s="1477"/>
      <c r="BI506" s="1477"/>
      <c r="BJ506" s="1477"/>
      <c r="BK506" s="1477"/>
      <c r="BL506" s="1477"/>
      <c r="BM506" s="1477"/>
      <c r="BN506" s="1477"/>
      <c r="BO506" s="1477"/>
      <c r="BP506" s="1477"/>
      <c r="BQ506" s="1477"/>
      <c r="BR506" s="1477"/>
      <c r="BS506" s="1477"/>
      <c r="BT506" s="1477"/>
      <c r="BU506" s="1477"/>
      <c r="BV506" s="1477"/>
      <c r="BW506" s="1477"/>
      <c r="BX506" s="1477"/>
      <c r="BY506" s="1477"/>
      <c r="BZ506" s="1477"/>
      <c r="CA506" s="1477"/>
      <c r="CB506" s="1477"/>
      <c r="CC506" s="1477"/>
      <c r="CD506" s="1477"/>
      <c r="CE506" s="1477"/>
      <c r="CF506" s="1477"/>
      <c r="CG506" s="1477"/>
      <c r="CH506" s="1477"/>
    </row>
    <row r="507" spans="2:86">
      <c r="B507" s="1477"/>
      <c r="C507" s="1477"/>
      <c r="D507" s="1477"/>
      <c r="E507" s="1477"/>
      <c r="F507" s="1477"/>
      <c r="G507" s="1477"/>
      <c r="H507" s="1477"/>
      <c r="I507" s="1477"/>
      <c r="J507" s="1477"/>
      <c r="K507" s="1477"/>
      <c r="L507" s="1477"/>
      <c r="M507" s="1477"/>
      <c r="N507" s="1477"/>
      <c r="O507" s="1477"/>
      <c r="P507" s="1477"/>
      <c r="Q507" s="1477"/>
      <c r="R507" s="1477"/>
      <c r="S507" s="1477"/>
      <c r="T507" s="1477"/>
      <c r="U507" s="1477"/>
      <c r="V507" s="1477"/>
      <c r="W507" s="1477"/>
      <c r="X507" s="1477"/>
      <c r="Y507" s="1477"/>
      <c r="Z507" s="1477"/>
      <c r="AA507" s="1477"/>
      <c r="AB507" s="1477"/>
      <c r="AC507" s="1477"/>
      <c r="AD507" s="1477"/>
      <c r="AE507" s="1477"/>
      <c r="AF507" s="1477"/>
      <c r="AG507" s="1477"/>
      <c r="AH507" s="1477"/>
      <c r="AI507" s="1477"/>
      <c r="AJ507" s="1477"/>
      <c r="AK507" s="1477"/>
      <c r="AL507" s="1477"/>
      <c r="AM507" s="1477"/>
      <c r="AN507" s="1477"/>
      <c r="AO507" s="284"/>
      <c r="AP507" s="1477"/>
      <c r="AQ507" s="1477"/>
      <c r="AR507" s="1477"/>
      <c r="AS507" s="1477"/>
      <c r="AT507" s="1477"/>
      <c r="AU507" s="1477"/>
      <c r="AV507" s="1477"/>
      <c r="AW507" s="1477"/>
      <c r="AX507" s="1477"/>
      <c r="AY507" s="1477"/>
      <c r="AZ507" s="1477"/>
      <c r="BA507" s="1477"/>
      <c r="BB507" s="1477"/>
      <c r="BC507" s="1477"/>
      <c r="BD507" s="1477"/>
      <c r="BE507" s="1477"/>
      <c r="BF507" s="1477"/>
      <c r="BG507" s="1477"/>
      <c r="BH507" s="1477"/>
      <c r="BI507" s="1477"/>
      <c r="BJ507" s="1477"/>
      <c r="BK507" s="1477"/>
      <c r="BL507" s="1477"/>
      <c r="BM507" s="1477"/>
      <c r="BN507" s="1477"/>
      <c r="BO507" s="1477"/>
      <c r="BP507" s="1477"/>
      <c r="BQ507" s="1477"/>
      <c r="BR507" s="1477"/>
      <c r="BS507" s="1477"/>
      <c r="BT507" s="1477"/>
      <c r="BU507" s="1477"/>
      <c r="BV507" s="1477"/>
      <c r="BW507" s="1477"/>
      <c r="BX507" s="1477"/>
      <c r="BY507" s="1477"/>
      <c r="BZ507" s="1477"/>
      <c r="CA507" s="1477"/>
      <c r="CB507" s="1477"/>
      <c r="CC507" s="1477"/>
      <c r="CD507" s="1477"/>
      <c r="CE507" s="1477"/>
      <c r="CF507" s="1477"/>
      <c r="CG507" s="1477"/>
      <c r="CH507" s="1477"/>
    </row>
    <row r="508" spans="2:86">
      <c r="B508" s="1477"/>
      <c r="C508" s="1477"/>
      <c r="D508" s="1477"/>
      <c r="E508" s="1477"/>
      <c r="F508" s="1477"/>
      <c r="G508" s="1477"/>
      <c r="H508" s="1477"/>
      <c r="I508" s="1477"/>
      <c r="J508" s="1477"/>
      <c r="K508" s="1477"/>
      <c r="L508" s="1477"/>
      <c r="M508" s="1477"/>
      <c r="N508" s="1477"/>
      <c r="O508" s="1477"/>
      <c r="P508" s="1477"/>
      <c r="Q508" s="1477"/>
      <c r="R508" s="1477"/>
      <c r="S508" s="1477"/>
      <c r="T508" s="1477"/>
      <c r="U508" s="1477"/>
      <c r="V508" s="1477"/>
      <c r="W508" s="1477"/>
      <c r="X508" s="1477"/>
      <c r="Y508" s="1477"/>
      <c r="Z508" s="1477"/>
      <c r="AA508" s="1477"/>
      <c r="AB508" s="1477"/>
      <c r="AC508" s="1477"/>
      <c r="AD508" s="1477"/>
      <c r="AE508" s="1477"/>
      <c r="AF508" s="1477"/>
      <c r="AG508" s="1477"/>
      <c r="AH508" s="1477"/>
      <c r="AI508" s="1477"/>
      <c r="AJ508" s="1477"/>
      <c r="AK508" s="1477"/>
      <c r="AL508" s="1477"/>
      <c r="AM508" s="1477"/>
      <c r="AN508" s="1477"/>
      <c r="AO508" s="284"/>
      <c r="AP508" s="1477"/>
      <c r="AQ508" s="1477"/>
      <c r="AR508" s="1477"/>
      <c r="AS508" s="1477"/>
      <c r="AT508" s="1477"/>
      <c r="AU508" s="1477"/>
      <c r="AV508" s="1477"/>
      <c r="AW508" s="1477"/>
      <c r="AX508" s="1477"/>
      <c r="AY508" s="1477"/>
      <c r="AZ508" s="1477"/>
      <c r="BA508" s="1477"/>
      <c r="BB508" s="1477"/>
      <c r="BC508" s="1477"/>
      <c r="BD508" s="1477"/>
      <c r="BE508" s="1477"/>
      <c r="BF508" s="1477"/>
      <c r="BG508" s="1477"/>
      <c r="BH508" s="1477"/>
      <c r="BI508" s="1477"/>
      <c r="BJ508" s="1477"/>
      <c r="BK508" s="1477"/>
      <c r="BL508" s="1477"/>
      <c r="BM508" s="1477"/>
      <c r="BN508" s="1477"/>
      <c r="BO508" s="1477"/>
      <c r="BP508" s="1477"/>
      <c r="BQ508" s="1477"/>
      <c r="BR508" s="1477"/>
      <c r="BS508" s="1477"/>
      <c r="BT508" s="1477"/>
      <c r="BU508" s="1477"/>
      <c r="BV508" s="1477"/>
      <c r="BW508" s="1477"/>
      <c r="BX508" s="1477"/>
      <c r="BY508" s="1477"/>
      <c r="BZ508" s="1477"/>
      <c r="CA508" s="1477"/>
      <c r="CB508" s="1477"/>
      <c r="CC508" s="1477"/>
      <c r="CD508" s="1477"/>
      <c r="CE508" s="1477"/>
      <c r="CF508" s="1477"/>
      <c r="CG508" s="1477"/>
      <c r="CH508" s="1477"/>
    </row>
    <row r="509" spans="2:86">
      <c r="B509" s="1477"/>
      <c r="C509" s="1477"/>
      <c r="D509" s="1477"/>
      <c r="E509" s="1477"/>
      <c r="F509" s="1477"/>
      <c r="G509" s="1477"/>
      <c r="H509" s="1477"/>
      <c r="I509" s="1477"/>
      <c r="J509" s="1477"/>
      <c r="K509" s="1477"/>
      <c r="L509" s="1477"/>
      <c r="M509" s="1477"/>
      <c r="N509" s="1477"/>
      <c r="O509" s="1477"/>
      <c r="P509" s="1477"/>
      <c r="Q509" s="1477"/>
      <c r="R509" s="1477"/>
      <c r="S509" s="1477"/>
      <c r="T509" s="1477"/>
      <c r="U509" s="1477"/>
      <c r="V509" s="1477"/>
      <c r="W509" s="1477"/>
      <c r="X509" s="1477"/>
      <c r="Y509" s="1477"/>
      <c r="Z509" s="1477"/>
      <c r="AA509" s="1477"/>
      <c r="AB509" s="1477"/>
      <c r="AC509" s="1477"/>
      <c r="AD509" s="1477"/>
      <c r="AE509" s="1477"/>
      <c r="AF509" s="1477"/>
      <c r="AG509" s="1477"/>
      <c r="AH509" s="1477"/>
      <c r="AI509" s="1477"/>
      <c r="AJ509" s="1477"/>
      <c r="AK509" s="1477"/>
      <c r="AL509" s="1477"/>
      <c r="AM509" s="1477"/>
      <c r="AN509" s="1477"/>
      <c r="AO509" s="284"/>
      <c r="AP509" s="1477"/>
      <c r="AQ509" s="1477"/>
      <c r="AR509" s="1477"/>
      <c r="AS509" s="1477"/>
      <c r="AT509" s="1477"/>
      <c r="AU509" s="1477"/>
      <c r="AV509" s="1477"/>
      <c r="AW509" s="1477"/>
      <c r="AX509" s="1477"/>
      <c r="AY509" s="1477"/>
      <c r="AZ509" s="1477"/>
      <c r="BA509" s="1477"/>
      <c r="BB509" s="1477"/>
      <c r="BC509" s="1477"/>
      <c r="BD509" s="1477"/>
      <c r="BE509" s="1477"/>
      <c r="BF509" s="1477"/>
      <c r="BG509" s="1477"/>
      <c r="BH509" s="1477"/>
      <c r="BI509" s="1477"/>
      <c r="BJ509" s="1477"/>
      <c r="BK509" s="1477"/>
      <c r="BL509" s="1477"/>
      <c r="BM509" s="1477"/>
      <c r="BN509" s="1477"/>
      <c r="BO509" s="1477"/>
      <c r="BP509" s="1477"/>
      <c r="BQ509" s="1477"/>
      <c r="BR509" s="1477"/>
      <c r="BS509" s="1477"/>
      <c r="BT509" s="1477"/>
      <c r="BU509" s="1477"/>
      <c r="BV509" s="1477"/>
      <c r="BW509" s="1477"/>
      <c r="BX509" s="1477"/>
      <c r="BY509" s="1477"/>
      <c r="BZ509" s="1477"/>
      <c r="CA509" s="1477"/>
      <c r="CB509" s="1477"/>
      <c r="CC509" s="1477"/>
      <c r="CD509" s="1477"/>
      <c r="CE509" s="1477"/>
      <c r="CF509" s="1477"/>
      <c r="CG509" s="1477"/>
      <c r="CH509" s="1477"/>
    </row>
    <row r="510" spans="2:86">
      <c r="B510" s="1477"/>
      <c r="C510" s="1477"/>
      <c r="D510" s="1477"/>
      <c r="E510" s="1477"/>
      <c r="F510" s="1477"/>
      <c r="G510" s="1477"/>
      <c r="H510" s="1477"/>
      <c r="I510" s="1477"/>
      <c r="J510" s="1477"/>
      <c r="K510" s="1477"/>
      <c r="L510" s="1477"/>
      <c r="M510" s="1477"/>
      <c r="N510" s="1477"/>
      <c r="O510" s="1477"/>
      <c r="P510" s="1477"/>
      <c r="Q510" s="1477"/>
      <c r="R510" s="1477"/>
      <c r="S510" s="1477"/>
      <c r="T510" s="1477"/>
      <c r="U510" s="1477"/>
      <c r="V510" s="1477"/>
      <c r="W510" s="1477"/>
      <c r="X510" s="1477"/>
      <c r="Y510" s="1477"/>
      <c r="Z510" s="1477"/>
      <c r="AA510" s="1477"/>
      <c r="AB510" s="1477"/>
      <c r="AC510" s="1477"/>
      <c r="AD510" s="1477"/>
      <c r="AE510" s="1477"/>
      <c r="AF510" s="1477"/>
      <c r="AG510" s="1477"/>
      <c r="AH510" s="1477"/>
      <c r="AI510" s="1477"/>
      <c r="AJ510" s="1477"/>
      <c r="AK510" s="1477"/>
      <c r="AL510" s="1477"/>
      <c r="AM510" s="1477"/>
      <c r="AN510" s="1477"/>
      <c r="AO510" s="284"/>
      <c r="AP510" s="1477"/>
      <c r="AQ510" s="1477"/>
      <c r="AR510" s="1477"/>
      <c r="AS510" s="1477"/>
      <c r="AT510" s="1477"/>
      <c r="AU510" s="1477"/>
      <c r="AV510" s="1477"/>
      <c r="AW510" s="1477"/>
      <c r="AX510" s="1477"/>
      <c r="AY510" s="1477"/>
      <c r="AZ510" s="1477"/>
      <c r="BA510" s="1477"/>
      <c r="BB510" s="1477"/>
      <c r="BC510" s="1477"/>
      <c r="BD510" s="1477"/>
      <c r="BE510" s="1477"/>
      <c r="BF510" s="1477"/>
      <c r="BG510" s="1477"/>
      <c r="BH510" s="1477"/>
      <c r="BI510" s="1477"/>
      <c r="BJ510" s="1477"/>
      <c r="BK510" s="1477"/>
      <c r="BL510" s="1477"/>
      <c r="BM510" s="1477"/>
      <c r="BN510" s="1477"/>
      <c r="BO510" s="1477"/>
      <c r="BP510" s="1477"/>
      <c r="BQ510" s="1477"/>
      <c r="BR510" s="1477"/>
      <c r="BS510" s="1477"/>
      <c r="BT510" s="1477"/>
      <c r="BU510" s="1477"/>
      <c r="BV510" s="1477"/>
      <c r="BW510" s="1477"/>
      <c r="BX510" s="1477"/>
      <c r="BY510" s="1477"/>
      <c r="BZ510" s="1477"/>
      <c r="CA510" s="1477"/>
      <c r="CB510" s="1477"/>
      <c r="CC510" s="1477"/>
      <c r="CD510" s="1477"/>
      <c r="CE510" s="1477"/>
      <c r="CF510" s="1477"/>
      <c r="CG510" s="1477"/>
      <c r="CH510" s="1477"/>
    </row>
    <row r="511" spans="2:86">
      <c r="B511" s="1477"/>
      <c r="C511" s="1477"/>
      <c r="D511" s="1477"/>
      <c r="E511" s="1477"/>
      <c r="F511" s="1477"/>
      <c r="G511" s="1477"/>
      <c r="H511" s="1477"/>
      <c r="I511" s="1477"/>
      <c r="J511" s="1477"/>
      <c r="K511" s="1477"/>
      <c r="L511" s="1477"/>
      <c r="M511" s="1477"/>
      <c r="N511" s="1477"/>
      <c r="O511" s="1477"/>
      <c r="P511" s="1477"/>
      <c r="Q511" s="1477"/>
      <c r="R511" s="1477"/>
      <c r="S511" s="1477"/>
      <c r="T511" s="1477"/>
      <c r="U511" s="1477"/>
      <c r="V511" s="1477"/>
      <c r="W511" s="1477"/>
      <c r="X511" s="1477"/>
      <c r="Y511" s="1477"/>
      <c r="Z511" s="1477"/>
      <c r="AA511" s="1477"/>
      <c r="AB511" s="1477"/>
      <c r="AC511" s="1477"/>
      <c r="AD511" s="1477"/>
      <c r="AE511" s="1477"/>
      <c r="AF511" s="1477"/>
      <c r="AG511" s="1477"/>
      <c r="AH511" s="1477"/>
      <c r="AI511" s="1477"/>
      <c r="AJ511" s="1477"/>
      <c r="AK511" s="1477"/>
      <c r="AL511" s="1477"/>
      <c r="AM511" s="1477"/>
      <c r="AN511" s="1477"/>
      <c r="AO511" s="284"/>
      <c r="AP511" s="1477"/>
      <c r="AQ511" s="1477"/>
      <c r="AR511" s="1477"/>
      <c r="AS511" s="1477"/>
      <c r="AT511" s="1477"/>
      <c r="AU511" s="1477"/>
      <c r="AV511" s="1477"/>
      <c r="AW511" s="1477"/>
      <c r="AX511" s="1477"/>
      <c r="AY511" s="1477"/>
      <c r="AZ511" s="1477"/>
      <c r="BA511" s="1477"/>
      <c r="BB511" s="1477"/>
      <c r="BC511" s="1477"/>
      <c r="BD511" s="1477"/>
      <c r="BE511" s="1477"/>
      <c r="BF511" s="1477"/>
      <c r="BG511" s="1477"/>
      <c r="BH511" s="1477"/>
      <c r="BI511" s="1477"/>
      <c r="BJ511" s="1477"/>
      <c r="BK511" s="1477"/>
      <c r="BL511" s="1477"/>
      <c r="BM511" s="1477"/>
      <c r="BN511" s="1477"/>
      <c r="BO511" s="1477"/>
      <c r="BP511" s="1477"/>
      <c r="BQ511" s="1477"/>
      <c r="BR511" s="1477"/>
      <c r="BS511" s="1477"/>
      <c r="BT511" s="1477"/>
      <c r="BU511" s="1477"/>
      <c r="BV511" s="1477"/>
      <c r="BW511" s="1477"/>
      <c r="BX511" s="1477"/>
      <c r="BY511" s="1477"/>
      <c r="BZ511" s="1477"/>
      <c r="CA511" s="1477"/>
      <c r="CB511" s="1477"/>
      <c r="CC511" s="1477"/>
      <c r="CD511" s="1477"/>
      <c r="CE511" s="1477"/>
      <c r="CF511" s="1477"/>
      <c r="CG511" s="1477"/>
      <c r="CH511" s="1477"/>
    </row>
    <row r="512" spans="2:86">
      <c r="B512" s="1477"/>
      <c r="C512" s="1477"/>
      <c r="D512" s="1477"/>
      <c r="E512" s="1477"/>
      <c r="F512" s="1477"/>
      <c r="G512" s="1477"/>
      <c r="H512" s="1477"/>
      <c r="I512" s="1477"/>
      <c r="J512" s="1477"/>
      <c r="K512" s="1477"/>
      <c r="L512" s="1477"/>
      <c r="M512" s="1477"/>
      <c r="N512" s="1477"/>
      <c r="O512" s="1477"/>
      <c r="P512" s="1477"/>
      <c r="Q512" s="1477"/>
      <c r="R512" s="1477"/>
      <c r="S512" s="1477"/>
      <c r="T512" s="1477"/>
      <c r="U512" s="1477"/>
      <c r="V512" s="1477"/>
      <c r="W512" s="1477"/>
      <c r="X512" s="1477"/>
      <c r="Y512" s="1477"/>
      <c r="Z512" s="1477"/>
      <c r="AA512" s="1477"/>
      <c r="AB512" s="1477"/>
      <c r="AC512" s="1477"/>
      <c r="AD512" s="1477"/>
      <c r="AE512" s="1477"/>
      <c r="AF512" s="1477"/>
      <c r="AG512" s="1477"/>
      <c r="AH512" s="1477"/>
      <c r="AI512" s="1477"/>
      <c r="AJ512" s="1477"/>
      <c r="AK512" s="1477"/>
      <c r="AL512" s="1477"/>
      <c r="AM512" s="1477"/>
      <c r="AN512" s="1477"/>
      <c r="AO512" s="284"/>
      <c r="AP512" s="1477"/>
      <c r="AQ512" s="1477"/>
      <c r="AR512" s="1477"/>
      <c r="AS512" s="1477"/>
      <c r="AT512" s="1477"/>
      <c r="AU512" s="1477"/>
      <c r="AV512" s="1477"/>
      <c r="AW512" s="1477"/>
      <c r="AX512" s="1477"/>
      <c r="AY512" s="1477"/>
      <c r="AZ512" s="1477"/>
      <c r="BA512" s="1477"/>
      <c r="BB512" s="1477"/>
      <c r="BC512" s="1477"/>
      <c r="BD512" s="1477"/>
      <c r="BE512" s="1477"/>
      <c r="BF512" s="1477"/>
      <c r="BG512" s="1477"/>
      <c r="BH512" s="1477"/>
      <c r="BI512" s="1477"/>
      <c r="BJ512" s="1477"/>
      <c r="BK512" s="1477"/>
      <c r="BL512" s="1477"/>
      <c r="BM512" s="1477"/>
      <c r="BN512" s="1477"/>
      <c r="BO512" s="1477"/>
      <c r="BP512" s="1477"/>
      <c r="BQ512" s="1477"/>
      <c r="BR512" s="1477"/>
      <c r="BS512" s="1477"/>
      <c r="BT512" s="1477"/>
      <c r="BU512" s="1477"/>
      <c r="BV512" s="1477"/>
      <c r="BW512" s="1477"/>
      <c r="BX512" s="1477"/>
      <c r="BY512" s="1477"/>
      <c r="BZ512" s="1477"/>
      <c r="CA512" s="1477"/>
      <c r="CB512" s="1477"/>
      <c r="CC512" s="1477"/>
      <c r="CD512" s="1477"/>
      <c r="CE512" s="1477"/>
      <c r="CF512" s="1477"/>
      <c r="CG512" s="1477"/>
      <c r="CH512" s="1477"/>
    </row>
    <row r="513" spans="2:86">
      <c r="B513" s="1477"/>
      <c r="C513" s="1477"/>
      <c r="D513" s="1477"/>
      <c r="E513" s="1477"/>
      <c r="F513" s="1477"/>
      <c r="G513" s="1477"/>
      <c r="H513" s="1477"/>
      <c r="I513" s="1477"/>
      <c r="J513" s="1477"/>
      <c r="K513" s="1477"/>
      <c r="L513" s="1477"/>
      <c r="M513" s="1477"/>
      <c r="N513" s="1477"/>
      <c r="O513" s="1477"/>
      <c r="P513" s="1477"/>
      <c r="Q513" s="1477"/>
      <c r="R513" s="1477"/>
      <c r="S513" s="1477"/>
      <c r="T513" s="1477"/>
      <c r="U513" s="1477"/>
      <c r="V513" s="1477"/>
      <c r="W513" s="1477"/>
      <c r="X513" s="1477"/>
      <c r="Y513" s="1477"/>
      <c r="Z513" s="1477"/>
      <c r="AA513" s="1477"/>
      <c r="AB513" s="1477"/>
      <c r="AC513" s="1477"/>
      <c r="AD513" s="1477"/>
      <c r="AE513" s="1477"/>
      <c r="AF513" s="1477"/>
      <c r="AG513" s="1477"/>
      <c r="AH513" s="1477"/>
      <c r="AI513" s="1477"/>
      <c r="AJ513" s="1477"/>
      <c r="AK513" s="1477"/>
      <c r="AL513" s="1477"/>
      <c r="AM513" s="1477"/>
      <c r="AN513" s="1477"/>
      <c r="AO513" s="284"/>
      <c r="AP513" s="1477"/>
      <c r="AQ513" s="1477"/>
      <c r="AR513" s="1477"/>
      <c r="AS513" s="1477"/>
      <c r="AT513" s="1477"/>
      <c r="AU513" s="1477"/>
      <c r="AV513" s="1477"/>
      <c r="AW513" s="1477"/>
      <c r="AX513" s="1477"/>
      <c r="AY513" s="1477"/>
      <c r="AZ513" s="1477"/>
      <c r="BA513" s="1477"/>
      <c r="BB513" s="1477"/>
      <c r="BC513" s="1477"/>
      <c r="BD513" s="1477"/>
      <c r="BE513" s="1477"/>
      <c r="BF513" s="1477"/>
      <c r="BG513" s="1477"/>
      <c r="BH513" s="1477"/>
      <c r="BI513" s="1477"/>
      <c r="BJ513" s="1477"/>
      <c r="BK513" s="1477"/>
      <c r="BL513" s="1477"/>
      <c r="BM513" s="1477"/>
      <c r="BN513" s="1477"/>
      <c r="BO513" s="1477"/>
      <c r="BP513" s="1477"/>
      <c r="BQ513" s="1477"/>
      <c r="BR513" s="1477"/>
      <c r="BS513" s="1477"/>
      <c r="BT513" s="1477"/>
      <c r="BU513" s="1477"/>
      <c r="BV513" s="1477"/>
      <c r="BW513" s="1477"/>
      <c r="BX513" s="1477"/>
      <c r="BY513" s="1477"/>
      <c r="BZ513" s="1477"/>
      <c r="CA513" s="1477"/>
      <c r="CB513" s="1477"/>
      <c r="CC513" s="1477"/>
      <c r="CD513" s="1477"/>
      <c r="CE513" s="1477"/>
      <c r="CF513" s="1477"/>
      <c r="CG513" s="1477"/>
      <c r="CH513" s="1477"/>
    </row>
    <row r="514" spans="2:86">
      <c r="B514" s="1477"/>
      <c r="C514" s="1477"/>
      <c r="D514" s="1477"/>
      <c r="E514" s="1477"/>
      <c r="F514" s="1477"/>
      <c r="G514" s="1477"/>
      <c r="H514" s="1477"/>
      <c r="I514" s="1477"/>
      <c r="J514" s="1477"/>
      <c r="K514" s="1477"/>
      <c r="L514" s="1477"/>
      <c r="M514" s="1477"/>
      <c r="N514" s="1477"/>
      <c r="O514" s="1477"/>
      <c r="P514" s="1477"/>
      <c r="Q514" s="1477"/>
      <c r="R514" s="1477"/>
      <c r="S514" s="1477"/>
      <c r="T514" s="1477"/>
      <c r="U514" s="1477"/>
      <c r="V514" s="1477"/>
      <c r="W514" s="1477"/>
      <c r="X514" s="1477"/>
      <c r="Y514" s="1477"/>
      <c r="Z514" s="1477"/>
      <c r="AA514" s="1477"/>
      <c r="AB514" s="1477"/>
      <c r="AC514" s="1477"/>
      <c r="AD514" s="1477"/>
      <c r="AE514" s="1477"/>
      <c r="AF514" s="1477"/>
      <c r="AG514" s="1477"/>
      <c r="AH514" s="1477"/>
      <c r="AI514" s="1477"/>
      <c r="AJ514" s="1477"/>
      <c r="AK514" s="1477"/>
      <c r="AL514" s="1477"/>
      <c r="AM514" s="1477"/>
      <c r="AN514" s="1477"/>
      <c r="AO514" s="284"/>
      <c r="AP514" s="1477"/>
      <c r="AQ514" s="1477"/>
      <c r="AR514" s="1477"/>
      <c r="AS514" s="1477"/>
      <c r="AT514" s="1477"/>
      <c r="AU514" s="1477"/>
      <c r="AV514" s="1477"/>
      <c r="AW514" s="1477"/>
      <c r="AX514" s="1477"/>
      <c r="AY514" s="1477"/>
      <c r="AZ514" s="1477"/>
      <c r="BA514" s="1477"/>
      <c r="BB514" s="1477"/>
      <c r="BC514" s="1477"/>
      <c r="BD514" s="1477"/>
      <c r="BE514" s="1477"/>
      <c r="BF514" s="1477"/>
      <c r="BG514" s="1477"/>
      <c r="BH514" s="1477"/>
      <c r="BI514" s="1477"/>
      <c r="BJ514" s="1477"/>
      <c r="BK514" s="1477"/>
      <c r="BL514" s="1477"/>
      <c r="BM514" s="1477"/>
      <c r="BN514" s="1477"/>
      <c r="BO514" s="1477"/>
      <c r="BP514" s="1477"/>
      <c r="BQ514" s="1477"/>
      <c r="BR514" s="1477"/>
      <c r="BS514" s="1477"/>
      <c r="BT514" s="1477"/>
      <c r="BU514" s="1477"/>
      <c r="BV514" s="1477"/>
      <c r="BW514" s="1477"/>
      <c r="BX514" s="1477"/>
      <c r="BY514" s="1477"/>
      <c r="BZ514" s="1477"/>
      <c r="CA514" s="1477"/>
      <c r="CB514" s="1477"/>
      <c r="CC514" s="1477"/>
      <c r="CD514" s="1477"/>
      <c r="CE514" s="1477"/>
      <c r="CF514" s="1477"/>
      <c r="CG514" s="1477"/>
      <c r="CH514" s="1477"/>
    </row>
    <row r="515" spans="2:86">
      <c r="B515" s="1477"/>
      <c r="C515" s="1477"/>
      <c r="D515" s="1477"/>
      <c r="E515" s="1477"/>
      <c r="F515" s="1477"/>
      <c r="G515" s="1477"/>
      <c r="H515" s="1477"/>
      <c r="I515" s="1477"/>
      <c r="J515" s="1477"/>
      <c r="K515" s="1477"/>
      <c r="L515" s="1477"/>
      <c r="M515" s="1477"/>
      <c r="N515" s="1477"/>
      <c r="O515" s="1477"/>
      <c r="P515" s="1477"/>
      <c r="Q515" s="1477"/>
      <c r="R515" s="1477"/>
      <c r="S515" s="1477"/>
      <c r="T515" s="1477"/>
      <c r="U515" s="1477"/>
      <c r="V515" s="1477"/>
      <c r="W515" s="1477"/>
      <c r="X515" s="1477"/>
      <c r="Y515" s="1477"/>
      <c r="Z515" s="1477"/>
      <c r="AA515" s="1477"/>
      <c r="AB515" s="1477"/>
      <c r="AC515" s="1477"/>
      <c r="AD515" s="1477"/>
      <c r="AE515" s="1477"/>
      <c r="AF515" s="1477"/>
      <c r="AG515" s="1477"/>
      <c r="AH515" s="1477"/>
      <c r="AI515" s="1477"/>
      <c r="AJ515" s="1477"/>
      <c r="AK515" s="1477"/>
      <c r="AL515" s="1477"/>
      <c r="AM515" s="1477"/>
      <c r="AN515" s="1477"/>
      <c r="AO515" s="284"/>
      <c r="AP515" s="1477"/>
      <c r="AQ515" s="1477"/>
      <c r="AR515" s="1477"/>
      <c r="AS515" s="1477"/>
      <c r="AT515" s="1477"/>
      <c r="AU515" s="1477"/>
      <c r="AV515" s="1477"/>
      <c r="AW515" s="1477"/>
      <c r="AX515" s="1477"/>
      <c r="AY515" s="1477"/>
      <c r="AZ515" s="1477"/>
      <c r="BA515" s="1477"/>
      <c r="BB515" s="1477"/>
      <c r="BC515" s="1477"/>
      <c r="BD515" s="1477"/>
      <c r="BE515" s="1477"/>
      <c r="BF515" s="1477"/>
      <c r="BG515" s="1477"/>
      <c r="BH515" s="1477"/>
      <c r="BI515" s="1477"/>
      <c r="BJ515" s="1477"/>
      <c r="BK515" s="1477"/>
      <c r="BL515" s="1477"/>
      <c r="BM515" s="1477"/>
      <c r="BN515" s="1477"/>
      <c r="BO515" s="1477"/>
      <c r="BP515" s="1477"/>
      <c r="BQ515" s="1477"/>
      <c r="BR515" s="1477"/>
      <c r="BS515" s="1477"/>
      <c r="BT515" s="1477"/>
      <c r="BU515" s="1477"/>
      <c r="BV515" s="1477"/>
      <c r="BW515" s="1477"/>
      <c r="BX515" s="1477"/>
      <c r="BY515" s="1477"/>
      <c r="BZ515" s="1477"/>
      <c r="CA515" s="1477"/>
      <c r="CB515" s="1477"/>
      <c r="CC515" s="1477"/>
      <c r="CD515" s="1477"/>
      <c r="CE515" s="1477"/>
      <c r="CF515" s="1477"/>
      <c r="CG515" s="1477"/>
      <c r="CH515" s="1477"/>
    </row>
    <row r="516" spans="2:86">
      <c r="B516" s="1477"/>
      <c r="C516" s="1477"/>
      <c r="D516" s="1477"/>
      <c r="E516" s="1477"/>
      <c r="F516" s="1477"/>
      <c r="G516" s="1477"/>
      <c r="H516" s="1477"/>
      <c r="I516" s="1477"/>
      <c r="J516" s="1477"/>
      <c r="K516" s="1477"/>
      <c r="L516" s="1477"/>
      <c r="M516" s="1477"/>
      <c r="N516" s="1477"/>
      <c r="O516" s="1477"/>
      <c r="P516" s="1477"/>
      <c r="Q516" s="1477"/>
      <c r="R516" s="1477"/>
      <c r="S516" s="1477"/>
      <c r="T516" s="1477"/>
      <c r="U516" s="1477"/>
      <c r="V516" s="1477"/>
      <c r="W516" s="1477"/>
      <c r="X516" s="1477"/>
      <c r="Y516" s="1477"/>
      <c r="Z516" s="1477"/>
      <c r="AA516" s="1477"/>
      <c r="AB516" s="1477"/>
      <c r="AC516" s="1477"/>
      <c r="AD516" s="1477"/>
      <c r="AE516" s="1477"/>
      <c r="AF516" s="1477"/>
      <c r="AG516" s="1477"/>
      <c r="AH516" s="1477"/>
      <c r="AI516" s="1477"/>
      <c r="AJ516" s="1477"/>
      <c r="AK516" s="1477"/>
      <c r="AL516" s="1477"/>
      <c r="AM516" s="1477"/>
      <c r="AN516" s="1477"/>
      <c r="AO516" s="284"/>
      <c r="AP516" s="1477"/>
      <c r="AQ516" s="1477"/>
      <c r="AR516" s="1477"/>
      <c r="AS516" s="1477"/>
      <c r="AT516" s="1477"/>
      <c r="AU516" s="1477"/>
      <c r="AV516" s="1477"/>
      <c r="AW516" s="1477"/>
      <c r="AX516" s="1477"/>
      <c r="AY516" s="1477"/>
      <c r="AZ516" s="1477"/>
      <c r="BA516" s="1477"/>
      <c r="BB516" s="1477"/>
      <c r="BC516" s="1477"/>
      <c r="BD516" s="1477"/>
      <c r="BE516" s="1477"/>
      <c r="BF516" s="1477"/>
      <c r="BG516" s="1477"/>
      <c r="BH516" s="1477"/>
      <c r="BI516" s="1477"/>
      <c r="BJ516" s="1477"/>
      <c r="BK516" s="1477"/>
      <c r="BL516" s="1477"/>
      <c r="BM516" s="1477"/>
      <c r="BN516" s="1477"/>
      <c r="BO516" s="1477"/>
      <c r="BP516" s="1477"/>
      <c r="BQ516" s="1477"/>
      <c r="BR516" s="1477"/>
      <c r="BS516" s="1477"/>
      <c r="BT516" s="1477"/>
      <c r="BU516" s="1477"/>
      <c r="BV516" s="1477"/>
      <c r="BW516" s="1477"/>
      <c r="BX516" s="1477"/>
      <c r="BY516" s="1477"/>
      <c r="BZ516" s="1477"/>
      <c r="CA516" s="1477"/>
      <c r="CB516" s="1477"/>
      <c r="CC516" s="1477"/>
      <c r="CD516" s="1477"/>
      <c r="CE516" s="1477"/>
      <c r="CF516" s="1477"/>
      <c r="CG516" s="1477"/>
      <c r="CH516" s="1477"/>
    </row>
    <row r="517" spans="2:86">
      <c r="B517" s="1477"/>
      <c r="C517" s="1477"/>
      <c r="D517" s="1477"/>
      <c r="E517" s="1477"/>
      <c r="F517" s="1477"/>
      <c r="G517" s="1477"/>
      <c r="H517" s="1477"/>
      <c r="I517" s="1477"/>
      <c r="J517" s="1477"/>
      <c r="K517" s="1477"/>
      <c r="L517" s="1477"/>
      <c r="M517" s="1477"/>
      <c r="N517" s="1477"/>
      <c r="O517" s="1477"/>
      <c r="P517" s="1477"/>
      <c r="Q517" s="1477"/>
      <c r="R517" s="1477"/>
      <c r="S517" s="1477"/>
      <c r="T517" s="1477"/>
      <c r="U517" s="1477"/>
      <c r="V517" s="1477"/>
      <c r="W517" s="1477"/>
      <c r="X517" s="1477"/>
      <c r="Y517" s="1477"/>
      <c r="Z517" s="1477"/>
      <c r="AA517" s="1477"/>
      <c r="AB517" s="1477"/>
      <c r="AC517" s="1477"/>
      <c r="AD517" s="1477"/>
      <c r="AE517" s="1477"/>
      <c r="AF517" s="1477"/>
      <c r="AG517" s="1477"/>
      <c r="AH517" s="1477"/>
      <c r="AI517" s="1477"/>
      <c r="AJ517" s="1477"/>
      <c r="AK517" s="1477"/>
      <c r="AL517" s="1477"/>
      <c r="AM517" s="1477"/>
      <c r="AN517" s="1477"/>
      <c r="AO517" s="284"/>
      <c r="AP517" s="1477"/>
      <c r="AQ517" s="1477"/>
      <c r="AR517" s="1477"/>
      <c r="AS517" s="1477"/>
      <c r="AT517" s="1477"/>
      <c r="AU517" s="1477"/>
      <c r="AV517" s="1477"/>
      <c r="AW517" s="1477"/>
      <c r="AX517" s="1477"/>
      <c r="AY517" s="1477"/>
      <c r="AZ517" s="1477"/>
      <c r="BA517" s="1477"/>
      <c r="BB517" s="1477"/>
      <c r="BC517" s="1477"/>
      <c r="BD517" s="1477"/>
      <c r="BE517" s="1477"/>
      <c r="BF517" s="1477"/>
      <c r="BG517" s="1477"/>
      <c r="BH517" s="1477"/>
      <c r="BI517" s="1477"/>
      <c r="BJ517" s="1477"/>
      <c r="BK517" s="1477"/>
      <c r="BL517" s="1477"/>
      <c r="BM517" s="1477"/>
      <c r="BN517" s="1477"/>
      <c r="BO517" s="1477"/>
      <c r="BP517" s="1477"/>
      <c r="BQ517" s="1477"/>
      <c r="BR517" s="1477"/>
      <c r="BS517" s="1477"/>
      <c r="BT517" s="1477"/>
      <c r="BU517" s="1477"/>
      <c r="BV517" s="1477"/>
      <c r="BW517" s="1477"/>
      <c r="BX517" s="1477"/>
      <c r="BY517" s="1477"/>
      <c r="BZ517" s="1477"/>
      <c r="CA517" s="1477"/>
      <c r="CB517" s="1477"/>
      <c r="CC517" s="1477"/>
      <c r="CD517" s="1477"/>
      <c r="CE517" s="1477"/>
      <c r="CF517" s="1477"/>
      <c r="CG517" s="1477"/>
      <c r="CH517" s="1477"/>
    </row>
    <row r="518" spans="2:86">
      <c r="B518" s="1477"/>
      <c r="C518" s="1477"/>
      <c r="D518" s="1477"/>
      <c r="E518" s="1477"/>
      <c r="F518" s="1477"/>
      <c r="G518" s="1477"/>
      <c r="H518" s="1477"/>
      <c r="I518" s="1477"/>
      <c r="J518" s="1477"/>
      <c r="K518" s="1477"/>
      <c r="L518" s="1477"/>
      <c r="M518" s="1477"/>
      <c r="N518" s="1477"/>
      <c r="O518" s="1477"/>
      <c r="P518" s="1477"/>
      <c r="Q518" s="1477"/>
      <c r="R518" s="1477"/>
      <c r="S518" s="1477"/>
      <c r="T518" s="1477"/>
      <c r="U518" s="1477"/>
      <c r="V518" s="1477"/>
      <c r="W518" s="1477"/>
      <c r="X518" s="1477"/>
      <c r="Y518" s="1477"/>
      <c r="Z518" s="1477"/>
      <c r="AA518" s="1477"/>
      <c r="AB518" s="1477"/>
      <c r="AC518" s="1477"/>
      <c r="AD518" s="1477"/>
      <c r="AE518" s="1477"/>
      <c r="AF518" s="1477"/>
      <c r="AG518" s="1477"/>
      <c r="AH518" s="1477"/>
      <c r="AI518" s="1477"/>
      <c r="AJ518" s="1477"/>
      <c r="AK518" s="1477"/>
      <c r="AL518" s="1477"/>
      <c r="AM518" s="1477"/>
      <c r="AN518" s="1477"/>
      <c r="AO518" s="284"/>
      <c r="AP518" s="1477"/>
      <c r="AQ518" s="1477"/>
      <c r="AR518" s="1477"/>
      <c r="AS518" s="1477"/>
      <c r="AT518" s="1477"/>
      <c r="AU518" s="1477"/>
      <c r="AV518" s="1477"/>
      <c r="AW518" s="1477"/>
      <c r="AX518" s="1477"/>
      <c r="AY518" s="1477"/>
      <c r="AZ518" s="1477"/>
      <c r="BA518" s="1477"/>
      <c r="BB518" s="1477"/>
      <c r="BC518" s="1477"/>
      <c r="BD518" s="1477"/>
      <c r="BE518" s="1477"/>
      <c r="BF518" s="1477"/>
      <c r="BG518" s="1477"/>
      <c r="BH518" s="1477"/>
      <c r="BI518" s="1477"/>
      <c r="BJ518" s="1477"/>
      <c r="BK518" s="1477"/>
      <c r="BL518" s="1477"/>
      <c r="BM518" s="1477"/>
      <c r="BN518" s="1477"/>
      <c r="BO518" s="1477"/>
      <c r="BP518" s="1477"/>
      <c r="BQ518" s="1477"/>
      <c r="BR518" s="1477"/>
      <c r="BS518" s="1477"/>
      <c r="BT518" s="1477"/>
      <c r="BU518" s="1477"/>
      <c r="BV518" s="1477"/>
      <c r="BW518" s="1477"/>
      <c r="BX518" s="1477"/>
      <c r="BY518" s="1477"/>
      <c r="BZ518" s="1477"/>
      <c r="CA518" s="1477"/>
      <c r="CB518" s="1477"/>
      <c r="CC518" s="1477"/>
      <c r="CD518" s="1477"/>
      <c r="CE518" s="1477"/>
      <c r="CF518" s="1477"/>
      <c r="CG518" s="1477"/>
      <c r="CH518" s="1477"/>
    </row>
    <row r="519" spans="2:86">
      <c r="B519" s="1477"/>
      <c r="C519" s="1477"/>
      <c r="D519" s="1477"/>
      <c r="E519" s="1477"/>
      <c r="F519" s="1477"/>
      <c r="G519" s="1477"/>
      <c r="H519" s="1477"/>
      <c r="I519" s="1477"/>
      <c r="J519" s="1477"/>
      <c r="K519" s="1477"/>
      <c r="L519" s="1477"/>
      <c r="M519" s="1477"/>
      <c r="N519" s="1477"/>
      <c r="O519" s="1477"/>
      <c r="P519" s="1477"/>
      <c r="Q519" s="1477"/>
      <c r="R519" s="1477"/>
      <c r="S519" s="1477"/>
      <c r="T519" s="1477"/>
      <c r="U519" s="1477"/>
      <c r="V519" s="1477"/>
      <c r="W519" s="1477"/>
      <c r="X519" s="1477"/>
      <c r="Y519" s="1477"/>
      <c r="Z519" s="1477"/>
      <c r="AA519" s="1477"/>
      <c r="AB519" s="1477"/>
      <c r="AC519" s="1477"/>
      <c r="AD519" s="1477"/>
      <c r="AE519" s="1477"/>
      <c r="AF519" s="1477"/>
      <c r="AG519" s="1477"/>
      <c r="AH519" s="1477"/>
      <c r="AI519" s="1477"/>
      <c r="AJ519" s="1477"/>
      <c r="AK519" s="1477"/>
      <c r="AL519" s="1477"/>
      <c r="AM519" s="1477"/>
      <c r="AN519" s="1477"/>
      <c r="AO519" s="284"/>
      <c r="AP519" s="1477"/>
      <c r="AQ519" s="1477"/>
      <c r="AR519" s="1477"/>
      <c r="AS519" s="1477"/>
      <c r="AT519" s="1477"/>
      <c r="AU519" s="1477"/>
      <c r="AV519" s="1477"/>
      <c r="AW519" s="1477"/>
      <c r="AX519" s="1477"/>
      <c r="AY519" s="1477"/>
      <c r="AZ519" s="1477"/>
      <c r="BA519" s="1477"/>
      <c r="BB519" s="1477"/>
      <c r="BC519" s="1477"/>
      <c r="BD519" s="1477"/>
      <c r="BE519" s="1477"/>
      <c r="BF519" s="1477"/>
      <c r="BG519" s="1477"/>
      <c r="BH519" s="1477"/>
      <c r="BI519" s="1477"/>
      <c r="BJ519" s="1477"/>
      <c r="BK519" s="1477"/>
      <c r="BL519" s="1477"/>
      <c r="BM519" s="1477"/>
      <c r="BN519" s="1477"/>
      <c r="BO519" s="1477"/>
      <c r="BP519" s="1477"/>
      <c r="BQ519" s="1477"/>
      <c r="BR519" s="1477"/>
      <c r="BS519" s="1477"/>
      <c r="BT519" s="1477"/>
      <c r="BU519" s="1477"/>
      <c r="BV519" s="1477"/>
      <c r="BW519" s="1477"/>
      <c r="BX519" s="1477"/>
      <c r="BY519" s="1477"/>
      <c r="BZ519" s="1477"/>
      <c r="CA519" s="1477"/>
      <c r="CB519" s="1477"/>
      <c r="CC519" s="1477"/>
      <c r="CD519" s="1477"/>
      <c r="CE519" s="1477"/>
      <c r="CF519" s="1477"/>
      <c r="CG519" s="1477"/>
      <c r="CH519" s="1477"/>
    </row>
    <row r="520" spans="2:86">
      <c r="B520" s="1477"/>
      <c r="C520" s="1477"/>
      <c r="D520" s="1477"/>
      <c r="E520" s="1477"/>
      <c r="F520" s="1477"/>
      <c r="G520" s="1477"/>
      <c r="H520" s="1477"/>
      <c r="I520" s="1477"/>
      <c r="J520" s="1477"/>
      <c r="K520" s="1477"/>
      <c r="L520" s="1477"/>
      <c r="M520" s="1477"/>
      <c r="N520" s="1477"/>
      <c r="O520" s="1477"/>
      <c r="P520" s="1477"/>
      <c r="Q520" s="1477"/>
      <c r="R520" s="1477"/>
      <c r="S520" s="1477"/>
      <c r="T520" s="1477"/>
      <c r="U520" s="1477"/>
      <c r="V520" s="1477"/>
      <c r="W520" s="1477"/>
      <c r="X520" s="1477"/>
      <c r="Y520" s="1477"/>
      <c r="Z520" s="1477"/>
      <c r="AA520" s="1477"/>
      <c r="AB520" s="1477"/>
      <c r="AC520" s="1477"/>
      <c r="AD520" s="1477"/>
      <c r="AE520" s="1477"/>
      <c r="AF520" s="1477"/>
      <c r="AG520" s="1477"/>
      <c r="AH520" s="1477"/>
      <c r="AI520" s="1477"/>
      <c r="AJ520" s="1477"/>
      <c r="AK520" s="1477"/>
      <c r="AL520" s="1477"/>
      <c r="AM520" s="1477"/>
      <c r="AN520" s="1477"/>
      <c r="AO520" s="284"/>
      <c r="AP520" s="1477"/>
      <c r="AQ520" s="1477"/>
      <c r="AR520" s="1477"/>
      <c r="AS520" s="1477"/>
      <c r="AT520" s="1477"/>
      <c r="AU520" s="1477"/>
      <c r="AV520" s="1477"/>
      <c r="AW520" s="1477"/>
      <c r="AX520" s="1477"/>
      <c r="AY520" s="1477"/>
      <c r="AZ520" s="1477"/>
      <c r="BA520" s="1477"/>
      <c r="BB520" s="1477"/>
      <c r="BC520" s="1477"/>
      <c r="BD520" s="1477"/>
      <c r="BE520" s="1477"/>
      <c r="BF520" s="1477"/>
      <c r="BG520" s="1477"/>
      <c r="BH520" s="1477"/>
      <c r="BI520" s="1477"/>
      <c r="BJ520" s="1477"/>
      <c r="BK520" s="1477"/>
      <c r="BL520" s="1477"/>
      <c r="BM520" s="1477"/>
      <c r="BN520" s="1477"/>
      <c r="BO520" s="1477"/>
      <c r="BP520" s="1477"/>
      <c r="BQ520" s="1477"/>
      <c r="BR520" s="1477"/>
      <c r="BS520" s="1477"/>
      <c r="BT520" s="1477"/>
      <c r="BU520" s="1477"/>
      <c r="BV520" s="1477"/>
      <c r="BW520" s="1477"/>
      <c r="BX520" s="1477"/>
      <c r="BY520" s="1477"/>
      <c r="BZ520" s="1477"/>
      <c r="CA520" s="1477"/>
      <c r="CB520" s="1477"/>
      <c r="CC520" s="1477"/>
      <c r="CD520" s="1477"/>
      <c r="CE520" s="1477"/>
      <c r="CF520" s="1477"/>
      <c r="CG520" s="1477"/>
      <c r="CH520" s="1477"/>
    </row>
    <row r="521" spans="2:86">
      <c r="B521" s="1477"/>
      <c r="C521" s="1477"/>
      <c r="D521" s="1477"/>
      <c r="E521" s="1477"/>
      <c r="F521" s="1477"/>
      <c r="G521" s="1477"/>
      <c r="H521" s="1477"/>
      <c r="I521" s="1477"/>
      <c r="J521" s="1477"/>
      <c r="K521" s="1477"/>
      <c r="L521" s="1477"/>
      <c r="M521" s="1477"/>
      <c r="N521" s="1477"/>
      <c r="O521" s="1477"/>
      <c r="P521" s="1477"/>
      <c r="Q521" s="1477"/>
      <c r="R521" s="1477"/>
      <c r="S521" s="1477"/>
      <c r="T521" s="1477"/>
      <c r="U521" s="1477"/>
      <c r="V521" s="1477"/>
      <c r="W521" s="1477"/>
      <c r="X521" s="1477"/>
      <c r="Y521" s="1477"/>
      <c r="Z521" s="1477"/>
      <c r="AA521" s="1477"/>
      <c r="AB521" s="1477"/>
      <c r="AC521" s="1477"/>
      <c r="AD521" s="1477"/>
      <c r="AE521" s="1477"/>
      <c r="AF521" s="1477"/>
      <c r="AG521" s="1477"/>
      <c r="AH521" s="1477"/>
      <c r="AI521" s="1477"/>
      <c r="AJ521" s="1477"/>
      <c r="AK521" s="1477"/>
      <c r="AL521" s="1477"/>
      <c r="AM521" s="1477"/>
      <c r="AN521" s="1477"/>
      <c r="AO521" s="284"/>
      <c r="AP521" s="1477"/>
      <c r="AQ521" s="1477"/>
      <c r="AR521" s="1477"/>
      <c r="AS521" s="1477"/>
      <c r="AT521" s="1477"/>
      <c r="AU521" s="1477"/>
      <c r="AV521" s="1477"/>
      <c r="AW521" s="1477"/>
      <c r="AX521" s="1477"/>
      <c r="AY521" s="1477"/>
      <c r="AZ521" s="1477"/>
      <c r="BA521" s="1477"/>
      <c r="BB521" s="1477"/>
      <c r="BC521" s="1477"/>
      <c r="BD521" s="1477"/>
      <c r="BE521" s="1477"/>
      <c r="BF521" s="1477"/>
      <c r="BG521" s="1477"/>
      <c r="BH521" s="1477"/>
      <c r="BI521" s="1477"/>
      <c r="BJ521" s="1477"/>
      <c r="BK521" s="1477"/>
      <c r="BL521" s="1477"/>
      <c r="BM521" s="1477"/>
      <c r="BN521" s="1477"/>
      <c r="BO521" s="1477"/>
      <c r="BP521" s="1477"/>
      <c r="BQ521" s="1477"/>
      <c r="BR521" s="1477"/>
      <c r="BS521" s="1477"/>
      <c r="BT521" s="1477"/>
      <c r="BU521" s="1477"/>
      <c r="BV521" s="1477"/>
      <c r="BW521" s="1477"/>
      <c r="BX521" s="1477"/>
      <c r="BY521" s="1477"/>
      <c r="BZ521" s="1477"/>
      <c r="CA521" s="1477"/>
      <c r="CB521" s="1477"/>
      <c r="CC521" s="1477"/>
      <c r="CD521" s="1477"/>
      <c r="CE521" s="1477"/>
      <c r="CF521" s="1477"/>
      <c r="CG521" s="1477"/>
      <c r="CH521" s="1477"/>
    </row>
    <row r="522" spans="2:86">
      <c r="B522" s="1477"/>
      <c r="C522" s="1477"/>
      <c r="D522" s="1477"/>
      <c r="E522" s="1477"/>
      <c r="F522" s="1477"/>
      <c r="G522" s="1477"/>
      <c r="H522" s="1477"/>
      <c r="I522" s="1477"/>
      <c r="J522" s="1477"/>
      <c r="K522" s="1477"/>
      <c r="L522" s="1477"/>
      <c r="M522" s="1477"/>
      <c r="N522" s="1477"/>
      <c r="O522" s="1477"/>
      <c r="P522" s="1477"/>
      <c r="Q522" s="1477"/>
      <c r="R522" s="1477"/>
      <c r="S522" s="1477"/>
      <c r="T522" s="1477"/>
      <c r="U522" s="1477"/>
      <c r="V522" s="1477"/>
      <c r="W522" s="1477"/>
      <c r="X522" s="1477"/>
      <c r="Y522" s="1477"/>
      <c r="Z522" s="1477"/>
      <c r="AA522" s="1477"/>
      <c r="AB522" s="1477"/>
      <c r="AC522" s="1477"/>
      <c r="AD522" s="1477"/>
      <c r="AE522" s="1477"/>
      <c r="AF522" s="1477"/>
      <c r="AG522" s="1477"/>
      <c r="AH522" s="1477"/>
      <c r="AI522" s="1477"/>
      <c r="AJ522" s="1477"/>
      <c r="AK522" s="1477"/>
      <c r="AL522" s="1477"/>
      <c r="AM522" s="1477"/>
      <c r="AN522" s="1477"/>
      <c r="AO522" s="284"/>
      <c r="AP522" s="1477"/>
      <c r="AQ522" s="1477"/>
      <c r="AR522" s="1477"/>
      <c r="AS522" s="1477"/>
      <c r="AT522" s="1477"/>
      <c r="AU522" s="1477"/>
      <c r="AV522" s="1477"/>
      <c r="AW522" s="1477"/>
      <c r="AX522" s="1477"/>
      <c r="AY522" s="1477"/>
      <c r="AZ522" s="1477"/>
      <c r="BA522" s="1477"/>
      <c r="BB522" s="1477"/>
      <c r="BC522" s="1477"/>
      <c r="BD522" s="1477"/>
      <c r="BE522" s="1477"/>
      <c r="BF522" s="1477"/>
      <c r="BG522" s="1477"/>
      <c r="BH522" s="1477"/>
      <c r="BI522" s="1477"/>
      <c r="BJ522" s="1477"/>
      <c r="BK522" s="1477"/>
      <c r="BL522" s="1477"/>
      <c r="BM522" s="1477"/>
      <c r="BN522" s="1477"/>
      <c r="BO522" s="1477"/>
      <c r="BP522" s="1477"/>
      <c r="BQ522" s="1477"/>
      <c r="BR522" s="1477"/>
      <c r="BS522" s="1477"/>
      <c r="BT522" s="1477"/>
      <c r="BU522" s="1477"/>
      <c r="BV522" s="1477"/>
      <c r="BW522" s="1477"/>
      <c r="BX522" s="1477"/>
      <c r="BY522" s="1477"/>
      <c r="BZ522" s="1477"/>
      <c r="CA522" s="1477"/>
      <c r="CB522" s="1477"/>
      <c r="CC522" s="1477"/>
      <c r="CD522" s="1477"/>
      <c r="CE522" s="1477"/>
      <c r="CF522" s="1477"/>
      <c r="CG522" s="1477"/>
      <c r="CH522" s="1477"/>
    </row>
    <row r="523" spans="2:86">
      <c r="B523" s="1477"/>
      <c r="C523" s="1477"/>
      <c r="D523" s="1477"/>
      <c r="E523" s="1477"/>
      <c r="F523" s="1477"/>
      <c r="G523" s="1477"/>
      <c r="H523" s="1477"/>
      <c r="I523" s="1477"/>
      <c r="J523" s="1477"/>
      <c r="K523" s="1477"/>
      <c r="L523" s="1477"/>
      <c r="M523" s="1477"/>
      <c r="N523" s="1477"/>
      <c r="O523" s="1477"/>
      <c r="P523" s="1477"/>
      <c r="Q523" s="1477"/>
      <c r="R523" s="1477"/>
      <c r="S523" s="1477"/>
      <c r="T523" s="1477"/>
      <c r="U523" s="1477"/>
      <c r="V523" s="1477"/>
      <c r="W523" s="1477"/>
      <c r="X523" s="1477"/>
      <c r="Y523" s="1477"/>
      <c r="Z523" s="1477"/>
      <c r="AA523" s="1477"/>
      <c r="AB523" s="1477"/>
      <c r="AC523" s="1477"/>
      <c r="AD523" s="1477"/>
      <c r="AE523" s="1477"/>
      <c r="AF523" s="1477"/>
      <c r="AG523" s="1477"/>
      <c r="AH523" s="1477"/>
      <c r="AI523" s="1477"/>
      <c r="AJ523" s="1477"/>
      <c r="AK523" s="1477"/>
      <c r="AL523" s="1477"/>
      <c r="AM523" s="1477"/>
      <c r="AN523" s="1477"/>
      <c r="AO523" s="284"/>
      <c r="AP523" s="1477"/>
      <c r="AQ523" s="1477"/>
      <c r="AR523" s="1477"/>
      <c r="AS523" s="1477"/>
      <c r="AT523" s="1477"/>
      <c r="AU523" s="1477"/>
      <c r="AV523" s="1477"/>
      <c r="AW523" s="1477"/>
      <c r="AX523" s="1477"/>
      <c r="AY523" s="1477"/>
      <c r="AZ523" s="1477"/>
      <c r="BA523" s="1477"/>
      <c r="BB523" s="1477"/>
      <c r="BC523" s="1477"/>
      <c r="BD523" s="1477"/>
      <c r="BE523" s="1477"/>
      <c r="BF523" s="1477"/>
      <c r="BG523" s="1477"/>
      <c r="BH523" s="1477"/>
      <c r="BI523" s="1477"/>
      <c r="BJ523" s="1477"/>
      <c r="BK523" s="1477"/>
      <c r="BL523" s="1477"/>
      <c r="BM523" s="1477"/>
      <c r="BN523" s="1477"/>
      <c r="BO523" s="1477"/>
      <c r="BP523" s="1477"/>
      <c r="BQ523" s="1477"/>
      <c r="BR523" s="1477"/>
      <c r="BS523" s="1477"/>
      <c r="BT523" s="1477"/>
      <c r="BU523" s="1477"/>
      <c r="BV523" s="1477"/>
      <c r="BW523" s="1477"/>
      <c r="BX523" s="1477"/>
      <c r="BY523" s="1477"/>
      <c r="BZ523" s="1477"/>
      <c r="CA523" s="1477"/>
      <c r="CB523" s="1477"/>
      <c r="CC523" s="1477"/>
      <c r="CD523" s="1477"/>
      <c r="CE523" s="1477"/>
      <c r="CF523" s="1477"/>
      <c r="CG523" s="1477"/>
      <c r="CH523" s="1477"/>
    </row>
    <row r="524" spans="2:86">
      <c r="B524" s="1477"/>
      <c r="C524" s="1477"/>
      <c r="D524" s="1477"/>
      <c r="E524" s="1477"/>
      <c r="F524" s="1477"/>
      <c r="G524" s="1477"/>
      <c r="H524" s="1477"/>
      <c r="I524" s="1477"/>
      <c r="J524" s="1477"/>
      <c r="K524" s="1477"/>
      <c r="L524" s="1477"/>
      <c r="M524" s="1477"/>
      <c r="N524" s="1477"/>
      <c r="O524" s="1477"/>
      <c r="P524" s="1477"/>
      <c r="Q524" s="1477"/>
      <c r="R524" s="1477"/>
      <c r="S524" s="1477"/>
      <c r="T524" s="1477"/>
      <c r="U524" s="1477"/>
      <c r="V524" s="1477"/>
      <c r="W524" s="1477"/>
      <c r="X524" s="1477"/>
      <c r="Y524" s="1477"/>
      <c r="Z524" s="1477"/>
      <c r="AA524" s="1477"/>
      <c r="AB524" s="1477"/>
      <c r="AC524" s="1477"/>
      <c r="AD524" s="1477"/>
      <c r="AE524" s="1477"/>
      <c r="AF524" s="1477"/>
      <c r="AG524" s="1477"/>
      <c r="AH524" s="1477"/>
      <c r="AI524" s="1477"/>
      <c r="AJ524" s="1477"/>
      <c r="AK524" s="1477"/>
      <c r="AL524" s="1477"/>
      <c r="AM524" s="1477"/>
      <c r="AN524" s="1477"/>
      <c r="AO524" s="284"/>
      <c r="AP524" s="1477"/>
      <c r="AQ524" s="1477"/>
      <c r="AR524" s="1477"/>
      <c r="AS524" s="1477"/>
      <c r="AT524" s="1477"/>
      <c r="AU524" s="1477"/>
      <c r="AV524" s="1477"/>
      <c r="AW524" s="1477"/>
      <c r="AX524" s="1477"/>
      <c r="AY524" s="1477"/>
      <c r="AZ524" s="1477"/>
      <c r="BA524" s="1477"/>
      <c r="BB524" s="1477"/>
      <c r="BC524" s="1477"/>
      <c r="BD524" s="1477"/>
      <c r="BE524" s="1477"/>
      <c r="BF524" s="1477"/>
      <c r="BG524" s="1477"/>
      <c r="BH524" s="1477"/>
      <c r="BI524" s="1477"/>
      <c r="BJ524" s="1477"/>
      <c r="BK524" s="1477"/>
      <c r="BL524" s="1477"/>
      <c r="BM524" s="1477"/>
      <c r="BN524" s="1477"/>
      <c r="BO524" s="1477"/>
      <c r="BP524" s="1477"/>
      <c r="BQ524" s="1477"/>
      <c r="BR524" s="1477"/>
      <c r="BS524" s="1477"/>
      <c r="BT524" s="1477"/>
      <c r="BU524" s="1477"/>
      <c r="BV524" s="1477"/>
      <c r="BW524" s="1477"/>
      <c r="BX524" s="1477"/>
      <c r="BY524" s="1477"/>
      <c r="BZ524" s="1477"/>
      <c r="CA524" s="1477"/>
      <c r="CB524" s="1477"/>
      <c r="CC524" s="1477"/>
      <c r="CD524" s="1477"/>
      <c r="CE524" s="1477"/>
      <c r="CF524" s="1477"/>
      <c r="CG524" s="1477"/>
      <c r="CH524" s="1477"/>
    </row>
    <row r="525" spans="2:86">
      <c r="B525" s="1477"/>
      <c r="C525" s="1477"/>
      <c r="D525" s="1477"/>
      <c r="E525" s="1477"/>
      <c r="F525" s="1477"/>
      <c r="G525" s="1477"/>
      <c r="H525" s="1477"/>
      <c r="I525" s="1477"/>
      <c r="J525" s="1477"/>
      <c r="K525" s="1477"/>
      <c r="L525" s="1477"/>
      <c r="M525" s="1477"/>
      <c r="N525" s="1477"/>
      <c r="O525" s="1477"/>
      <c r="P525" s="1477"/>
      <c r="Q525" s="1477"/>
      <c r="R525" s="1477"/>
      <c r="S525" s="1477"/>
      <c r="T525" s="1477"/>
      <c r="U525" s="1477"/>
      <c r="V525" s="1477"/>
      <c r="W525" s="1477"/>
      <c r="X525" s="1477"/>
      <c r="Y525" s="1477"/>
      <c r="Z525" s="1477"/>
      <c r="AA525" s="1477"/>
      <c r="AB525" s="1477"/>
      <c r="AC525" s="1477"/>
      <c r="AD525" s="1477"/>
      <c r="AE525" s="1477"/>
      <c r="AF525" s="1477"/>
      <c r="AG525" s="1477"/>
      <c r="AH525" s="1477"/>
      <c r="AI525" s="1477"/>
      <c r="AJ525" s="1477"/>
      <c r="AK525" s="1477"/>
      <c r="AL525" s="1477"/>
      <c r="AM525" s="1477"/>
      <c r="AN525" s="1477"/>
      <c r="AO525" s="284"/>
      <c r="AP525" s="1477"/>
      <c r="AQ525" s="1477"/>
      <c r="AR525" s="1477"/>
      <c r="AS525" s="1477"/>
      <c r="AT525" s="1477"/>
      <c r="AU525" s="1477"/>
      <c r="AV525" s="1477"/>
      <c r="AW525" s="1477"/>
      <c r="AX525" s="1477"/>
      <c r="AY525" s="1477"/>
      <c r="AZ525" s="1477"/>
      <c r="BA525" s="1477"/>
      <c r="BB525" s="1477"/>
      <c r="BC525" s="1477"/>
      <c r="BD525" s="1477"/>
      <c r="BE525" s="1477"/>
      <c r="BF525" s="1477"/>
      <c r="BG525" s="1477"/>
      <c r="BH525" s="1477"/>
      <c r="BI525" s="1477"/>
      <c r="BJ525" s="1477"/>
      <c r="BK525" s="1477"/>
      <c r="BL525" s="1477"/>
      <c r="BM525" s="1477"/>
      <c r="BN525" s="1477"/>
      <c r="BO525" s="1477"/>
      <c r="BP525" s="1477"/>
      <c r="BQ525" s="1477"/>
      <c r="BR525" s="1477"/>
      <c r="BS525" s="1477"/>
      <c r="BT525" s="1477"/>
      <c r="BU525" s="1477"/>
      <c r="BV525" s="1477"/>
      <c r="BW525" s="1477"/>
      <c r="BX525" s="1477"/>
      <c r="BY525" s="1477"/>
      <c r="BZ525" s="1477"/>
      <c r="CA525" s="1477"/>
      <c r="CB525" s="1477"/>
      <c r="CC525" s="1477"/>
      <c r="CD525" s="1477"/>
      <c r="CE525" s="1477"/>
      <c r="CF525" s="1477"/>
      <c r="CG525" s="1477"/>
      <c r="CH525" s="1477"/>
    </row>
    <row r="526" spans="2:86">
      <c r="B526" s="1477"/>
      <c r="C526" s="1477"/>
      <c r="D526" s="1477"/>
      <c r="E526" s="1477"/>
      <c r="F526" s="1477"/>
      <c r="G526" s="1477"/>
      <c r="H526" s="1477"/>
      <c r="I526" s="1477"/>
      <c r="J526" s="1477"/>
      <c r="K526" s="1477"/>
      <c r="L526" s="1477"/>
      <c r="M526" s="1477"/>
      <c r="N526" s="1477"/>
      <c r="O526" s="1477"/>
      <c r="P526" s="1477"/>
      <c r="Q526" s="1477"/>
      <c r="R526" s="1477"/>
      <c r="S526" s="1477"/>
      <c r="T526" s="1477"/>
      <c r="U526" s="1477"/>
      <c r="V526" s="1477"/>
      <c r="W526" s="1477"/>
      <c r="X526" s="1477"/>
      <c r="Y526" s="1477"/>
      <c r="Z526" s="1477"/>
      <c r="AA526" s="1477"/>
      <c r="AB526" s="1477"/>
      <c r="AC526" s="1477"/>
      <c r="AD526" s="1477"/>
      <c r="AE526" s="1477"/>
      <c r="AF526" s="1477"/>
      <c r="AG526" s="1477"/>
      <c r="AH526" s="1477"/>
      <c r="AI526" s="1477"/>
      <c r="AJ526" s="1477"/>
      <c r="AK526" s="1477"/>
      <c r="AL526" s="1477"/>
      <c r="AM526" s="1477"/>
      <c r="AN526" s="1477"/>
      <c r="AO526" s="284"/>
      <c r="AP526" s="1477"/>
      <c r="AQ526" s="1477"/>
      <c r="AR526" s="1477"/>
      <c r="AS526" s="1477"/>
      <c r="AT526" s="1477"/>
      <c r="AU526" s="1477"/>
      <c r="AV526" s="1477"/>
      <c r="AW526" s="1477"/>
      <c r="AX526" s="1477"/>
      <c r="AY526" s="1477"/>
      <c r="AZ526" s="1477"/>
      <c r="BA526" s="1477"/>
      <c r="BB526" s="1477"/>
      <c r="BC526" s="1477"/>
      <c r="BD526" s="1477"/>
      <c r="BE526" s="1477"/>
      <c r="BF526" s="1477"/>
      <c r="BG526" s="1477"/>
      <c r="BH526" s="1477"/>
      <c r="BI526" s="1477"/>
      <c r="BJ526" s="1477"/>
      <c r="BK526" s="1477"/>
      <c r="BL526" s="1477"/>
      <c r="BM526" s="1477"/>
      <c r="BN526" s="1477"/>
      <c r="BO526" s="1477"/>
      <c r="BP526" s="1477"/>
      <c r="BQ526" s="1477"/>
      <c r="BR526" s="1477"/>
      <c r="BS526" s="1477"/>
      <c r="BT526" s="1477"/>
      <c r="BU526" s="1477"/>
      <c r="BV526" s="1477"/>
      <c r="BW526" s="1477"/>
      <c r="BX526" s="1477"/>
      <c r="BY526" s="1477"/>
      <c r="BZ526" s="1477"/>
      <c r="CA526" s="1477"/>
      <c r="CB526" s="1477"/>
      <c r="CC526" s="1477"/>
      <c r="CD526" s="1477"/>
      <c r="CE526" s="1477"/>
      <c r="CF526" s="1477"/>
      <c r="CG526" s="1477"/>
      <c r="CH526" s="1477"/>
    </row>
    <row r="527" spans="2:86">
      <c r="B527" s="1477"/>
      <c r="C527" s="1477"/>
      <c r="D527" s="1477"/>
      <c r="E527" s="1477"/>
      <c r="F527" s="1477"/>
      <c r="G527" s="1477"/>
      <c r="H527" s="1477"/>
      <c r="I527" s="1477"/>
      <c r="J527" s="1477"/>
      <c r="K527" s="1477"/>
      <c r="L527" s="1477"/>
      <c r="M527" s="1477"/>
      <c r="N527" s="1477"/>
      <c r="O527" s="1477"/>
      <c r="P527" s="1477"/>
      <c r="Q527" s="1477"/>
      <c r="R527" s="1477"/>
      <c r="S527" s="1477"/>
      <c r="T527" s="1477"/>
      <c r="U527" s="1477"/>
      <c r="V527" s="1477"/>
      <c r="W527" s="1477"/>
      <c r="X527" s="1477"/>
      <c r="Y527" s="1477"/>
      <c r="Z527" s="1477"/>
      <c r="AA527" s="1477"/>
      <c r="AB527" s="1477"/>
      <c r="AC527" s="1477"/>
      <c r="AD527" s="1477"/>
      <c r="AE527" s="1477"/>
      <c r="AF527" s="1477"/>
      <c r="AG527" s="1477"/>
      <c r="AH527" s="1477"/>
      <c r="AI527" s="1477"/>
      <c r="AJ527" s="1477"/>
      <c r="AK527" s="1477"/>
      <c r="AL527" s="1477"/>
      <c r="AM527" s="1477"/>
      <c r="AN527" s="1477"/>
      <c r="AO527" s="284"/>
      <c r="AP527" s="1477"/>
      <c r="AQ527" s="1477"/>
      <c r="AR527" s="1477"/>
      <c r="AS527" s="1477"/>
      <c r="AT527" s="1477"/>
      <c r="AU527" s="1477"/>
      <c r="AV527" s="1477"/>
      <c r="AW527" s="1477"/>
      <c r="AX527" s="1477"/>
      <c r="AY527" s="1477"/>
      <c r="AZ527" s="1477"/>
      <c r="BA527" s="1477"/>
      <c r="BB527" s="1477"/>
      <c r="BC527" s="1477"/>
      <c r="BD527" s="1477"/>
      <c r="BE527" s="1477"/>
      <c r="BF527" s="1477"/>
      <c r="BG527" s="1477"/>
      <c r="BH527" s="1477"/>
      <c r="BI527" s="1477"/>
      <c r="BJ527" s="1477"/>
      <c r="BK527" s="1477"/>
      <c r="BL527" s="1477"/>
      <c r="BM527" s="1477"/>
      <c r="BN527" s="1477"/>
      <c r="BO527" s="1477"/>
      <c r="BP527" s="1477"/>
      <c r="BQ527" s="1477"/>
      <c r="BR527" s="1477"/>
      <c r="BS527" s="1477"/>
      <c r="BT527" s="1477"/>
      <c r="BU527" s="1477"/>
      <c r="BV527" s="1477"/>
      <c r="BW527" s="1477"/>
      <c r="BX527" s="1477"/>
      <c r="BY527" s="1477"/>
      <c r="BZ527" s="1477"/>
      <c r="CA527" s="1477"/>
      <c r="CB527" s="1477"/>
      <c r="CC527" s="1477"/>
      <c r="CD527" s="1477"/>
      <c r="CE527" s="1477"/>
      <c r="CF527" s="1477"/>
      <c r="CG527" s="1477"/>
      <c r="CH527" s="1477"/>
    </row>
    <row r="528" spans="2:86">
      <c r="B528" s="1477"/>
      <c r="C528" s="1477"/>
      <c r="D528" s="1477"/>
      <c r="E528" s="1477"/>
      <c r="F528" s="1477"/>
      <c r="G528" s="1477"/>
      <c r="H528" s="1477"/>
      <c r="I528" s="1477"/>
      <c r="J528" s="1477"/>
      <c r="K528" s="1477"/>
      <c r="L528" s="1477"/>
      <c r="M528" s="1477"/>
      <c r="N528" s="1477"/>
      <c r="O528" s="1477"/>
      <c r="P528" s="1477"/>
      <c r="Q528" s="1477"/>
      <c r="R528" s="1477"/>
      <c r="S528" s="1477"/>
      <c r="T528" s="1477"/>
      <c r="U528" s="1477"/>
      <c r="V528" s="1477"/>
      <c r="W528" s="1477"/>
      <c r="X528" s="1477"/>
      <c r="Y528" s="1477"/>
      <c r="Z528" s="1477"/>
      <c r="AA528" s="1477"/>
      <c r="AB528" s="1477"/>
      <c r="AC528" s="1477"/>
      <c r="AD528" s="1477"/>
      <c r="AE528" s="1477"/>
      <c r="AF528" s="1477"/>
      <c r="AG528" s="1477"/>
      <c r="AH528" s="1477"/>
      <c r="AI528" s="1477"/>
      <c r="AJ528" s="1477"/>
      <c r="AK528" s="1477"/>
      <c r="AL528" s="1477"/>
      <c r="AM528" s="1477"/>
      <c r="AN528" s="1477"/>
      <c r="AO528" s="284"/>
      <c r="AP528" s="1477"/>
      <c r="AQ528" s="1477"/>
      <c r="AR528" s="1477"/>
      <c r="AS528" s="1477"/>
      <c r="AT528" s="1477"/>
      <c r="AU528" s="1477"/>
      <c r="AV528" s="1477"/>
      <c r="AW528" s="1477"/>
      <c r="AX528" s="1477"/>
      <c r="AY528" s="1477"/>
      <c r="AZ528" s="1477"/>
      <c r="BA528" s="1477"/>
      <c r="BB528" s="1477"/>
      <c r="BC528" s="1477"/>
      <c r="BD528" s="1477"/>
      <c r="BE528" s="1477"/>
      <c r="BF528" s="1477"/>
      <c r="BG528" s="1477"/>
      <c r="BH528" s="1477"/>
      <c r="BI528" s="1477"/>
      <c r="BJ528" s="1477"/>
      <c r="BK528" s="1477"/>
      <c r="BL528" s="1477"/>
      <c r="BM528" s="1477"/>
      <c r="BN528" s="1477"/>
      <c r="BO528" s="1477"/>
      <c r="BP528" s="1477"/>
      <c r="BQ528" s="1477"/>
      <c r="BR528" s="1477"/>
      <c r="BS528" s="1477"/>
      <c r="BT528" s="1477"/>
      <c r="BU528" s="1477"/>
      <c r="BV528" s="1477"/>
      <c r="BW528" s="1477"/>
      <c r="BX528" s="1477"/>
      <c r="BY528" s="1477"/>
      <c r="BZ528" s="1477"/>
      <c r="CA528" s="1477"/>
      <c r="CB528" s="1477"/>
      <c r="CC528" s="1477"/>
      <c r="CD528" s="1477"/>
      <c r="CE528" s="1477"/>
      <c r="CF528" s="1477"/>
      <c r="CG528" s="1477"/>
      <c r="CH528" s="1477"/>
    </row>
    <row r="529" spans="2:86">
      <c r="B529" s="1477"/>
      <c r="C529" s="1477"/>
      <c r="D529" s="1477"/>
      <c r="E529" s="1477"/>
      <c r="F529" s="1477"/>
      <c r="G529" s="1477"/>
      <c r="H529" s="1477"/>
      <c r="I529" s="1477"/>
      <c r="J529" s="1477"/>
      <c r="K529" s="1477"/>
      <c r="L529" s="1477"/>
      <c r="M529" s="1477"/>
      <c r="N529" s="1477"/>
      <c r="O529" s="1477"/>
      <c r="P529" s="1477"/>
      <c r="Q529" s="1477"/>
      <c r="R529" s="1477"/>
      <c r="S529" s="1477"/>
      <c r="T529" s="1477"/>
      <c r="U529" s="1477"/>
      <c r="V529" s="1477"/>
      <c r="W529" s="1477"/>
      <c r="X529" s="1477"/>
      <c r="Y529" s="1477"/>
      <c r="Z529" s="1477"/>
      <c r="AA529" s="1477"/>
      <c r="AB529" s="1477"/>
      <c r="AC529" s="1477"/>
      <c r="AD529" s="1477"/>
      <c r="AE529" s="1477"/>
      <c r="AF529" s="1477"/>
      <c r="AG529" s="1477"/>
      <c r="AH529" s="1477"/>
      <c r="AI529" s="1477"/>
      <c r="AJ529" s="1477"/>
      <c r="AK529" s="1477"/>
      <c r="AL529" s="1477"/>
      <c r="AM529" s="1477"/>
      <c r="AN529" s="1477"/>
      <c r="AO529" s="284"/>
      <c r="AP529" s="1477"/>
      <c r="AQ529" s="1477"/>
      <c r="AR529" s="1477"/>
      <c r="AS529" s="1477"/>
      <c r="AT529" s="1477"/>
      <c r="AU529" s="1477"/>
      <c r="AV529" s="1477"/>
      <c r="AW529" s="1477"/>
      <c r="AX529" s="1477"/>
      <c r="AY529" s="1477"/>
      <c r="AZ529" s="1477"/>
      <c r="BA529" s="1477"/>
      <c r="BB529" s="1477"/>
      <c r="BC529" s="1477"/>
      <c r="BD529" s="1477"/>
      <c r="BE529" s="1477"/>
      <c r="BF529" s="1477"/>
      <c r="BG529" s="1477"/>
      <c r="BH529" s="1477"/>
      <c r="BI529" s="1477"/>
      <c r="BJ529" s="1477"/>
      <c r="BK529" s="1477"/>
      <c r="BL529" s="1477"/>
      <c r="BM529" s="1477"/>
      <c r="BN529" s="1477"/>
      <c r="BO529" s="1477"/>
      <c r="BP529" s="1477"/>
      <c r="BQ529" s="1477"/>
      <c r="BR529" s="1477"/>
      <c r="BS529" s="1477"/>
      <c r="BT529" s="1477"/>
      <c r="BU529" s="1477"/>
      <c r="BV529" s="1477"/>
      <c r="BW529" s="1477"/>
      <c r="BX529" s="1477"/>
      <c r="BY529" s="1477"/>
      <c r="BZ529" s="1477"/>
      <c r="CA529" s="1477"/>
      <c r="CB529" s="1477"/>
      <c r="CC529" s="1477"/>
      <c r="CD529" s="1477"/>
      <c r="CE529" s="1477"/>
      <c r="CF529" s="1477"/>
      <c r="CG529" s="1477"/>
      <c r="CH529" s="1477"/>
    </row>
    <row r="530" spans="2:86">
      <c r="B530" s="1477"/>
      <c r="C530" s="1477"/>
      <c r="D530" s="1477"/>
      <c r="E530" s="1477"/>
      <c r="F530" s="1477"/>
      <c r="G530" s="1477"/>
      <c r="H530" s="1477"/>
      <c r="I530" s="1477"/>
      <c r="J530" s="1477"/>
      <c r="K530" s="1477"/>
      <c r="L530" s="1477"/>
      <c r="M530" s="1477"/>
      <c r="N530" s="1477"/>
      <c r="O530" s="1477"/>
      <c r="P530" s="1477"/>
      <c r="Q530" s="1477"/>
      <c r="R530" s="1477"/>
      <c r="S530" s="1477"/>
      <c r="T530" s="1477"/>
      <c r="U530" s="1477"/>
      <c r="V530" s="1477"/>
      <c r="W530" s="1477"/>
      <c r="X530" s="1477"/>
      <c r="Y530" s="1477"/>
      <c r="Z530" s="1477"/>
      <c r="AA530" s="1477"/>
      <c r="AB530" s="1477"/>
      <c r="AC530" s="1477"/>
      <c r="AD530" s="1477"/>
      <c r="AE530" s="1477"/>
      <c r="AF530" s="1477"/>
      <c r="AG530" s="1477"/>
      <c r="AH530" s="1477"/>
      <c r="AI530" s="1477"/>
      <c r="AJ530" s="1477"/>
      <c r="AK530" s="1477"/>
      <c r="AL530" s="1477"/>
      <c r="AM530" s="1477"/>
      <c r="AN530" s="1477"/>
      <c r="AO530" s="284"/>
      <c r="AP530" s="1477"/>
      <c r="AQ530" s="1477"/>
      <c r="AR530" s="1477"/>
      <c r="AS530" s="1477"/>
      <c r="AT530" s="1477"/>
      <c r="AU530" s="1477"/>
      <c r="AV530" s="1477"/>
      <c r="AW530" s="1477"/>
      <c r="AX530" s="1477"/>
      <c r="AY530" s="1477"/>
      <c r="AZ530" s="1477"/>
      <c r="BA530" s="1477"/>
      <c r="BB530" s="1477"/>
      <c r="BC530" s="1477"/>
      <c r="BD530" s="1477"/>
      <c r="BE530" s="1477"/>
      <c r="BF530" s="1477"/>
      <c r="BG530" s="1477"/>
      <c r="BH530" s="1477"/>
      <c r="BI530" s="1477"/>
      <c r="BJ530" s="1477"/>
      <c r="BK530" s="1477"/>
      <c r="BL530" s="1477"/>
      <c r="BM530" s="1477"/>
      <c r="BN530" s="1477"/>
      <c r="BO530" s="1477"/>
      <c r="BP530" s="1477"/>
      <c r="BQ530" s="1477"/>
      <c r="BR530" s="1477"/>
      <c r="BS530" s="1477"/>
      <c r="BT530" s="1477"/>
      <c r="BU530" s="1477"/>
      <c r="BV530" s="1477"/>
      <c r="BW530" s="1477"/>
      <c r="BX530" s="1477"/>
      <c r="BY530" s="1477"/>
      <c r="BZ530" s="1477"/>
      <c r="CA530" s="1477"/>
      <c r="CB530" s="1477"/>
      <c r="CC530" s="1477"/>
      <c r="CD530" s="1477"/>
      <c r="CE530" s="1477"/>
      <c r="CF530" s="1477"/>
      <c r="CG530" s="1477"/>
      <c r="CH530" s="1477"/>
    </row>
    <row r="531" spans="2:86">
      <c r="B531" s="1477"/>
      <c r="C531" s="1477"/>
      <c r="D531" s="1477"/>
      <c r="E531" s="1477"/>
      <c r="F531" s="1477"/>
      <c r="G531" s="1477"/>
      <c r="H531" s="1477"/>
      <c r="I531" s="1477"/>
      <c r="J531" s="1477"/>
      <c r="K531" s="1477"/>
      <c r="L531" s="1477"/>
      <c r="M531" s="1477"/>
      <c r="N531" s="1477"/>
      <c r="O531" s="1477"/>
      <c r="P531" s="1477"/>
      <c r="Q531" s="1477"/>
      <c r="R531" s="1477"/>
      <c r="S531" s="1477"/>
      <c r="T531" s="1477"/>
      <c r="U531" s="1477"/>
      <c r="V531" s="1477"/>
      <c r="W531" s="1477"/>
      <c r="X531" s="1477"/>
      <c r="Y531" s="1477"/>
      <c r="Z531" s="1477"/>
      <c r="AA531" s="1477"/>
      <c r="AB531" s="1477"/>
      <c r="AC531" s="1477"/>
      <c r="AD531" s="1477"/>
      <c r="AE531" s="1477"/>
      <c r="AF531" s="1477"/>
      <c r="AG531" s="1477"/>
      <c r="AH531" s="1477"/>
      <c r="AI531" s="1477"/>
      <c r="AJ531" s="1477"/>
      <c r="AK531" s="1477"/>
      <c r="AL531" s="1477"/>
      <c r="AM531" s="1477"/>
      <c r="AN531" s="1477"/>
      <c r="AO531" s="284"/>
      <c r="AP531" s="1477"/>
      <c r="AQ531" s="1477"/>
      <c r="AR531" s="1477"/>
      <c r="AS531" s="1477"/>
      <c r="AT531" s="1477"/>
      <c r="AU531" s="1477"/>
      <c r="AV531" s="1477"/>
      <c r="AW531" s="1477"/>
      <c r="AX531" s="1477"/>
      <c r="AY531" s="1477"/>
      <c r="AZ531" s="1477"/>
      <c r="BA531" s="1477"/>
      <c r="BB531" s="1477"/>
      <c r="BC531" s="1477"/>
      <c r="BD531" s="1477"/>
      <c r="BE531" s="1477"/>
      <c r="BF531" s="1477"/>
      <c r="BG531" s="1477"/>
      <c r="BH531" s="1477"/>
      <c r="BI531" s="1477"/>
      <c r="BJ531" s="1477"/>
      <c r="BK531" s="1477"/>
      <c r="BL531" s="1477"/>
      <c r="BM531" s="1477"/>
      <c r="BN531" s="1477"/>
      <c r="BO531" s="1477"/>
      <c r="BP531" s="1477"/>
      <c r="BQ531" s="1477"/>
      <c r="BR531" s="1477"/>
      <c r="BS531" s="1477"/>
      <c r="BT531" s="1477"/>
      <c r="BU531" s="1477"/>
      <c r="BV531" s="1477"/>
      <c r="BW531" s="1477"/>
      <c r="BX531" s="1477"/>
      <c r="BY531" s="1477"/>
      <c r="BZ531" s="1477"/>
      <c r="CA531" s="1477"/>
      <c r="CB531" s="1477"/>
      <c r="CC531" s="1477"/>
      <c r="CD531" s="1477"/>
      <c r="CE531" s="1477"/>
      <c r="CF531" s="1477"/>
      <c r="CG531" s="1477"/>
      <c r="CH531" s="1477"/>
    </row>
    <row r="532" spans="2:86">
      <c r="B532" s="1477"/>
      <c r="C532" s="1477"/>
      <c r="D532" s="1477"/>
      <c r="E532" s="1477"/>
      <c r="F532" s="1477"/>
      <c r="G532" s="1477"/>
      <c r="H532" s="1477"/>
      <c r="I532" s="1477"/>
      <c r="J532" s="1477"/>
      <c r="K532" s="1477"/>
      <c r="L532" s="1477"/>
      <c r="M532" s="1477"/>
      <c r="N532" s="1477"/>
      <c r="O532" s="1477"/>
      <c r="P532" s="1477"/>
      <c r="Q532" s="1477"/>
      <c r="R532" s="1477"/>
      <c r="S532" s="1477"/>
      <c r="T532" s="1477"/>
      <c r="U532" s="1477"/>
      <c r="V532" s="1477"/>
      <c r="W532" s="1477"/>
      <c r="X532" s="1477"/>
      <c r="Y532" s="1477"/>
      <c r="Z532" s="1477"/>
      <c r="AA532" s="1477"/>
      <c r="AB532" s="1477"/>
      <c r="AC532" s="1477"/>
      <c r="AD532" s="1477"/>
      <c r="AE532" s="1477"/>
      <c r="AF532" s="1477"/>
      <c r="AG532" s="1477"/>
      <c r="AH532" s="1477"/>
      <c r="AI532" s="1477"/>
      <c r="AJ532" s="1477"/>
      <c r="AK532" s="1477"/>
      <c r="AL532" s="1477"/>
      <c r="AM532" s="1477"/>
      <c r="AN532" s="1477"/>
      <c r="AO532" s="284"/>
      <c r="AP532" s="1477"/>
      <c r="AQ532" s="1477"/>
      <c r="AR532" s="1477"/>
      <c r="AS532" s="1477"/>
      <c r="AT532" s="1477"/>
      <c r="AU532" s="1477"/>
      <c r="AV532" s="1477"/>
      <c r="AW532" s="1477"/>
      <c r="AX532" s="1477"/>
      <c r="AY532" s="1477"/>
      <c r="AZ532" s="1477"/>
      <c r="BA532" s="1477"/>
      <c r="BB532" s="1477"/>
      <c r="BC532" s="1477"/>
      <c r="BD532" s="1477"/>
      <c r="BE532" s="1477"/>
      <c r="BF532" s="1477"/>
      <c r="BG532" s="1477"/>
      <c r="BH532" s="1477"/>
      <c r="BI532" s="1477"/>
      <c r="BJ532" s="1477"/>
      <c r="BK532" s="1477"/>
      <c r="BL532" s="1477"/>
      <c r="BM532" s="1477"/>
      <c r="BN532" s="1477"/>
      <c r="BO532" s="1477"/>
      <c r="BP532" s="1477"/>
      <c r="BQ532" s="1477"/>
      <c r="BR532" s="1477"/>
      <c r="BS532" s="1477"/>
      <c r="BT532" s="1477"/>
      <c r="BU532" s="1477"/>
      <c r="BV532" s="1477"/>
      <c r="BW532" s="1477"/>
      <c r="BX532" s="1477"/>
      <c r="BY532" s="1477"/>
      <c r="BZ532" s="1477"/>
      <c r="CA532" s="1477"/>
      <c r="CB532" s="1477"/>
      <c r="CC532" s="1477"/>
      <c r="CD532" s="1477"/>
      <c r="CE532" s="1477"/>
      <c r="CF532" s="1477"/>
      <c r="CG532" s="1477"/>
      <c r="CH532" s="1477"/>
    </row>
    <row r="533" spans="2:86">
      <c r="B533" s="1477"/>
      <c r="C533" s="1477"/>
      <c r="D533" s="1477"/>
      <c r="E533" s="1477"/>
      <c r="F533" s="1477"/>
      <c r="G533" s="1477"/>
      <c r="H533" s="1477"/>
      <c r="I533" s="1477"/>
      <c r="J533" s="1477"/>
      <c r="K533" s="1477"/>
      <c r="L533" s="1477"/>
      <c r="M533" s="1477"/>
      <c r="N533" s="1477"/>
      <c r="O533" s="1477"/>
      <c r="P533" s="1477"/>
      <c r="Q533" s="1477"/>
      <c r="R533" s="1477"/>
      <c r="S533" s="1477"/>
      <c r="T533" s="1477"/>
      <c r="U533" s="1477"/>
      <c r="V533" s="1477"/>
      <c r="W533" s="1477"/>
      <c r="X533" s="1477"/>
      <c r="Y533" s="1477"/>
      <c r="Z533" s="1477"/>
      <c r="AA533" s="1477"/>
      <c r="AB533" s="1477"/>
      <c r="AC533" s="1477"/>
      <c r="AD533" s="1477"/>
      <c r="AE533" s="1477"/>
      <c r="AF533" s="1477"/>
      <c r="AG533" s="1477"/>
      <c r="AH533" s="1477"/>
      <c r="AI533" s="1477"/>
      <c r="AJ533" s="1477"/>
      <c r="AK533" s="1477"/>
      <c r="AL533" s="1477"/>
      <c r="AM533" s="1477"/>
      <c r="AN533" s="1477"/>
      <c r="AO533" s="284"/>
      <c r="AP533" s="1477"/>
      <c r="AQ533" s="1477"/>
      <c r="AR533" s="1477"/>
      <c r="AS533" s="1477"/>
      <c r="AT533" s="1477"/>
      <c r="AU533" s="1477"/>
      <c r="AV533" s="1477"/>
      <c r="AW533" s="1477"/>
      <c r="AX533" s="1477"/>
      <c r="AY533" s="1477"/>
      <c r="AZ533" s="1477"/>
      <c r="BA533" s="1477"/>
      <c r="BB533" s="1477"/>
      <c r="BC533" s="1477"/>
      <c r="BD533" s="1477"/>
      <c r="BE533" s="1477"/>
      <c r="BF533" s="1477"/>
      <c r="BG533" s="1477"/>
      <c r="BH533" s="1477"/>
      <c r="BI533" s="1477"/>
      <c r="BJ533" s="1477"/>
      <c r="BK533" s="1477"/>
      <c r="BL533" s="1477"/>
      <c r="BM533" s="1477"/>
      <c r="BN533" s="1477"/>
      <c r="BO533" s="1477"/>
      <c r="BP533" s="1477"/>
      <c r="BQ533" s="1477"/>
      <c r="BR533" s="1477"/>
      <c r="BS533" s="1477"/>
      <c r="BT533" s="1477"/>
      <c r="BU533" s="1477"/>
      <c r="BV533" s="1477"/>
      <c r="BW533" s="1477"/>
      <c r="BX533" s="1477"/>
      <c r="BY533" s="1477"/>
      <c r="BZ533" s="1477"/>
      <c r="CA533" s="1477"/>
      <c r="CB533" s="1477"/>
      <c r="CC533" s="1477"/>
      <c r="CD533" s="1477"/>
      <c r="CE533" s="1477"/>
      <c r="CF533" s="1477"/>
      <c r="CG533" s="1477"/>
      <c r="CH533" s="1477"/>
    </row>
    <row r="534" spans="2:86">
      <c r="B534" s="1477"/>
      <c r="C534" s="1477"/>
      <c r="D534" s="1477"/>
      <c r="E534" s="1477"/>
      <c r="F534" s="1477"/>
      <c r="G534" s="1477"/>
      <c r="H534" s="1477"/>
      <c r="I534" s="1477"/>
      <c r="J534" s="1477"/>
      <c r="K534" s="1477"/>
      <c r="L534" s="1477"/>
      <c r="M534" s="1477"/>
      <c r="N534" s="1477"/>
      <c r="O534" s="1477"/>
      <c r="P534" s="1477"/>
      <c r="Q534" s="1477"/>
      <c r="R534" s="1477"/>
      <c r="S534" s="1477"/>
      <c r="T534" s="1477"/>
      <c r="U534" s="1477"/>
      <c r="V534" s="1477"/>
      <c r="W534" s="1477"/>
      <c r="X534" s="1477"/>
      <c r="Y534" s="1477"/>
      <c r="Z534" s="1477"/>
      <c r="AA534" s="1477"/>
      <c r="AB534" s="1477"/>
      <c r="AC534" s="1477"/>
      <c r="AD534" s="1477"/>
      <c r="AE534" s="1477"/>
      <c r="AF534" s="1477"/>
      <c r="AG534" s="1477"/>
      <c r="AH534" s="1477"/>
      <c r="AI534" s="1477"/>
      <c r="AJ534" s="1477"/>
      <c r="AK534" s="1477"/>
      <c r="AL534" s="1477"/>
      <c r="AM534" s="1477"/>
      <c r="AN534" s="1477"/>
      <c r="AO534" s="284"/>
      <c r="AP534" s="1477"/>
      <c r="AQ534" s="1477"/>
      <c r="AR534" s="1477"/>
      <c r="AS534" s="1477"/>
      <c r="AT534" s="1477"/>
      <c r="AU534" s="1477"/>
      <c r="AV534" s="1477"/>
      <c r="AW534" s="1477"/>
      <c r="AX534" s="1477"/>
      <c r="AY534" s="1477"/>
      <c r="AZ534" s="1477"/>
      <c r="BA534" s="1477"/>
      <c r="BB534" s="1477"/>
      <c r="BC534" s="1477"/>
      <c r="BD534" s="1477"/>
      <c r="BE534" s="1477"/>
      <c r="BF534" s="1477"/>
      <c r="BG534" s="1477"/>
      <c r="BH534" s="1477"/>
      <c r="BI534" s="1477"/>
      <c r="BJ534" s="1477"/>
      <c r="BK534" s="1477"/>
      <c r="BL534" s="1477"/>
      <c r="BM534" s="1477"/>
      <c r="BN534" s="1477"/>
      <c r="BO534" s="1477"/>
      <c r="BP534" s="1477"/>
      <c r="BQ534" s="1477"/>
      <c r="BR534" s="1477"/>
      <c r="BS534" s="1477"/>
      <c r="BT534" s="1477"/>
      <c r="BU534" s="1477"/>
      <c r="BV534" s="1477"/>
      <c r="BW534" s="1477"/>
      <c r="BX534" s="1477"/>
      <c r="BY534" s="1477"/>
      <c r="BZ534" s="1477"/>
      <c r="CA534" s="1477"/>
      <c r="CB534" s="1477"/>
      <c r="CC534" s="1477"/>
      <c r="CD534" s="1477"/>
      <c r="CE534" s="1477"/>
      <c r="CF534" s="1477"/>
      <c r="CG534" s="1477"/>
      <c r="CH534" s="1477"/>
    </row>
    <row r="535" spans="2:86">
      <c r="B535" s="1477"/>
      <c r="C535" s="1477"/>
      <c r="D535" s="1477"/>
      <c r="E535" s="1477"/>
      <c r="F535" s="1477"/>
      <c r="G535" s="1477"/>
      <c r="H535" s="1477"/>
      <c r="I535" s="1477"/>
      <c r="J535" s="1477"/>
      <c r="K535" s="1477"/>
      <c r="L535" s="1477"/>
      <c r="M535" s="1477"/>
      <c r="N535" s="1477"/>
      <c r="O535" s="1477"/>
      <c r="P535" s="1477"/>
      <c r="Q535" s="1477"/>
      <c r="R535" s="1477"/>
      <c r="S535" s="1477"/>
      <c r="T535" s="1477"/>
      <c r="U535" s="1477"/>
      <c r="V535" s="1477"/>
      <c r="W535" s="1477"/>
      <c r="X535" s="1477"/>
      <c r="Y535" s="1477"/>
      <c r="Z535" s="1477"/>
      <c r="AA535" s="1477"/>
      <c r="AB535" s="1477"/>
      <c r="AC535" s="1477"/>
      <c r="AD535" s="1477"/>
      <c r="AE535" s="1477"/>
      <c r="AF535" s="1477"/>
      <c r="AG535" s="1477"/>
      <c r="AH535" s="1477"/>
      <c r="AI535" s="1477"/>
      <c r="AJ535" s="1477"/>
      <c r="AK535" s="1477"/>
      <c r="AL535" s="1477"/>
      <c r="AM535" s="1477"/>
      <c r="AN535" s="1477"/>
      <c r="AO535" s="284"/>
      <c r="AP535" s="1477"/>
      <c r="AQ535" s="1477"/>
      <c r="AR535" s="1477"/>
      <c r="AS535" s="1477"/>
      <c r="AT535" s="1477"/>
      <c r="AU535" s="1477"/>
      <c r="AV535" s="1477"/>
      <c r="AW535" s="1477"/>
      <c r="AX535" s="1477"/>
      <c r="AY535" s="1477"/>
      <c r="AZ535" s="1477"/>
      <c r="BA535" s="1477"/>
      <c r="BB535" s="1477"/>
      <c r="BC535" s="1477"/>
      <c r="BD535" s="1477"/>
      <c r="BE535" s="1477"/>
      <c r="BF535" s="1477"/>
      <c r="BG535" s="1477"/>
      <c r="BH535" s="1477"/>
      <c r="BI535" s="1477"/>
      <c r="BJ535" s="1477"/>
      <c r="BK535" s="1477"/>
      <c r="BL535" s="1477"/>
      <c r="BM535" s="1477"/>
      <c r="BN535" s="1477"/>
      <c r="BO535" s="1477"/>
      <c r="BP535" s="1477"/>
      <c r="BQ535" s="1477"/>
      <c r="BR535" s="1477"/>
      <c r="BS535" s="1477"/>
      <c r="BT535" s="1477"/>
      <c r="BU535" s="1477"/>
      <c r="BV535" s="1477"/>
      <c r="BW535" s="1477"/>
      <c r="BX535" s="1477"/>
      <c r="BY535" s="1477"/>
      <c r="BZ535" s="1477"/>
      <c r="CA535" s="1477"/>
      <c r="CB535" s="1477"/>
      <c r="CC535" s="1477"/>
      <c r="CD535" s="1477"/>
      <c r="CE535" s="1477"/>
      <c r="CF535" s="1477"/>
      <c r="CG535" s="1477"/>
      <c r="CH535" s="1477"/>
    </row>
    <row r="536" spans="2:86">
      <c r="B536" s="1477"/>
      <c r="C536" s="1477"/>
      <c r="D536" s="1477"/>
      <c r="E536" s="1477"/>
      <c r="F536" s="1477"/>
      <c r="G536" s="1477"/>
      <c r="H536" s="1477"/>
      <c r="I536" s="1477"/>
      <c r="J536" s="1477"/>
      <c r="K536" s="1477"/>
      <c r="L536" s="1477"/>
      <c r="M536" s="1477"/>
      <c r="N536" s="1477"/>
      <c r="O536" s="1477"/>
      <c r="P536" s="1477"/>
      <c r="Q536" s="1477"/>
      <c r="R536" s="1477"/>
      <c r="S536" s="1477"/>
      <c r="T536" s="1477"/>
      <c r="U536" s="1477"/>
      <c r="V536" s="1477"/>
      <c r="W536" s="1477"/>
      <c r="X536" s="1477"/>
      <c r="Y536" s="1477"/>
      <c r="Z536" s="1477"/>
      <c r="AA536" s="1477"/>
      <c r="AB536" s="1477"/>
      <c r="AC536" s="1477"/>
      <c r="AD536" s="1477"/>
      <c r="AE536" s="1477"/>
      <c r="AF536" s="1477"/>
      <c r="AG536" s="1477"/>
      <c r="AH536" s="1477"/>
      <c r="AI536" s="1477"/>
      <c r="AJ536" s="1477"/>
      <c r="AK536" s="1477"/>
      <c r="AL536" s="1477"/>
      <c r="AM536" s="1477"/>
      <c r="AN536" s="1477"/>
      <c r="AO536" s="284"/>
      <c r="AP536" s="1477"/>
      <c r="AQ536" s="1477"/>
      <c r="AR536" s="1477"/>
      <c r="AS536" s="1477"/>
      <c r="AT536" s="1477"/>
      <c r="AU536" s="1477"/>
      <c r="AV536" s="1477"/>
      <c r="AW536" s="1477"/>
      <c r="AX536" s="1477"/>
      <c r="AY536" s="1477"/>
      <c r="AZ536" s="1477"/>
      <c r="BA536" s="1477"/>
      <c r="BB536" s="1477"/>
      <c r="BC536" s="1477"/>
      <c r="BD536" s="1477"/>
      <c r="BE536" s="1477"/>
      <c r="BF536" s="1477"/>
      <c r="BG536" s="1477"/>
      <c r="BH536" s="1477"/>
      <c r="BI536" s="1477"/>
      <c r="BJ536" s="1477"/>
      <c r="BK536" s="1477"/>
      <c r="BL536" s="1477"/>
      <c r="BM536" s="1477"/>
      <c r="BN536" s="1477"/>
      <c r="BO536" s="1477"/>
      <c r="BP536" s="1477"/>
      <c r="BQ536" s="1477"/>
      <c r="BR536" s="1477"/>
      <c r="BS536" s="1477"/>
      <c r="BT536" s="1477"/>
      <c r="BU536" s="1477"/>
      <c r="BV536" s="1477"/>
      <c r="BW536" s="1477"/>
      <c r="BX536" s="1477"/>
      <c r="BY536" s="1477"/>
      <c r="BZ536" s="1477"/>
      <c r="CA536" s="1477"/>
      <c r="CB536" s="1477"/>
      <c r="CC536" s="1477"/>
      <c r="CD536" s="1477"/>
      <c r="CE536" s="1477"/>
      <c r="CF536" s="1477"/>
      <c r="CG536" s="1477"/>
      <c r="CH536" s="1477"/>
    </row>
    <row r="537" spans="2:86">
      <c r="B537" s="1477"/>
      <c r="C537" s="1477"/>
      <c r="D537" s="1477"/>
      <c r="E537" s="1477"/>
      <c r="F537" s="1477"/>
      <c r="G537" s="1477"/>
      <c r="H537" s="1477"/>
      <c r="I537" s="1477"/>
      <c r="J537" s="1477"/>
      <c r="K537" s="1477"/>
      <c r="L537" s="1477"/>
      <c r="M537" s="1477"/>
      <c r="N537" s="1477"/>
      <c r="O537" s="1477"/>
      <c r="P537" s="1477"/>
      <c r="Q537" s="1477"/>
      <c r="R537" s="1477"/>
      <c r="S537" s="1477"/>
      <c r="T537" s="1477"/>
      <c r="U537" s="1477"/>
      <c r="V537" s="1477"/>
      <c r="W537" s="1477"/>
      <c r="X537" s="1477"/>
      <c r="Y537" s="1477"/>
      <c r="Z537" s="1477"/>
      <c r="AA537" s="1477"/>
      <c r="AB537" s="1477"/>
      <c r="AC537" s="1477"/>
      <c r="AD537" s="1477"/>
      <c r="AE537" s="1477"/>
      <c r="AF537" s="1477"/>
      <c r="AG537" s="1477"/>
      <c r="AH537" s="1477"/>
      <c r="AI537" s="1477"/>
      <c r="AJ537" s="1477"/>
      <c r="AK537" s="1477"/>
      <c r="AL537" s="1477"/>
      <c r="AM537" s="1477"/>
      <c r="AN537" s="1477"/>
      <c r="AO537" s="284"/>
      <c r="AP537" s="1477"/>
      <c r="AQ537" s="1477"/>
      <c r="AR537" s="1477"/>
      <c r="AS537" s="1477"/>
      <c r="AT537" s="1477"/>
      <c r="AU537" s="1477"/>
      <c r="AV537" s="1477"/>
      <c r="AW537" s="1477"/>
      <c r="AX537" s="1477"/>
      <c r="AY537" s="1477"/>
      <c r="AZ537" s="1477"/>
      <c r="BA537" s="1477"/>
      <c r="BB537" s="1477"/>
      <c r="BC537" s="1477"/>
      <c r="BD537" s="1477"/>
      <c r="BE537" s="1477"/>
      <c r="BF537" s="1477"/>
      <c r="BG537" s="1477"/>
      <c r="BH537" s="1477"/>
      <c r="BI537" s="1477"/>
      <c r="BJ537" s="1477"/>
      <c r="BK537" s="1477"/>
      <c r="BL537" s="1477"/>
      <c r="BM537" s="1477"/>
      <c r="BN537" s="1477"/>
      <c r="BO537" s="1477"/>
      <c r="BP537" s="1477"/>
      <c r="BQ537" s="1477"/>
      <c r="BR537" s="1477"/>
      <c r="BS537" s="1477"/>
      <c r="BT537" s="1477"/>
      <c r="BU537" s="1477"/>
      <c r="BV537" s="1477"/>
      <c r="BW537" s="1477"/>
      <c r="BX537" s="1477"/>
      <c r="BY537" s="1477"/>
      <c r="BZ537" s="1477"/>
      <c r="CA537" s="1477"/>
      <c r="CB537" s="1477"/>
      <c r="CC537" s="1477"/>
      <c r="CD537" s="1477"/>
      <c r="CE537" s="1477"/>
      <c r="CF537" s="1477"/>
      <c r="CG537" s="1477"/>
      <c r="CH537" s="1477"/>
    </row>
    <row r="538" spans="2:86">
      <c r="B538" s="1477"/>
      <c r="C538" s="1477"/>
      <c r="D538" s="1477"/>
      <c r="E538" s="1477"/>
      <c r="F538" s="1477"/>
      <c r="G538" s="1477"/>
      <c r="H538" s="1477"/>
      <c r="I538" s="1477"/>
      <c r="J538" s="1477"/>
      <c r="K538" s="1477"/>
      <c r="L538" s="1477"/>
      <c r="M538" s="1477"/>
      <c r="N538" s="1477"/>
      <c r="O538" s="1477"/>
      <c r="P538" s="1477"/>
      <c r="Q538" s="1477"/>
      <c r="R538" s="1477"/>
      <c r="S538" s="1477"/>
      <c r="T538" s="1477"/>
      <c r="U538" s="1477"/>
      <c r="V538" s="1477"/>
      <c r="W538" s="1477"/>
      <c r="X538" s="1477"/>
      <c r="Y538" s="1477"/>
      <c r="Z538" s="1477"/>
      <c r="AA538" s="1477"/>
      <c r="AB538" s="1477"/>
      <c r="AC538" s="1477"/>
      <c r="AD538" s="1477"/>
      <c r="AE538" s="1477"/>
      <c r="AF538" s="1477"/>
      <c r="AG538" s="1477"/>
      <c r="AH538" s="1477"/>
      <c r="AI538" s="1477"/>
      <c r="AJ538" s="1477"/>
      <c r="AK538" s="1477"/>
      <c r="AL538" s="1477"/>
      <c r="AM538" s="1477"/>
      <c r="AN538" s="1477"/>
      <c r="AO538" s="284"/>
      <c r="AP538" s="1477"/>
      <c r="AQ538" s="1477"/>
      <c r="AR538" s="1477"/>
      <c r="AS538" s="1477"/>
      <c r="AT538" s="1477"/>
      <c r="AU538" s="1477"/>
      <c r="AV538" s="1477"/>
      <c r="AW538" s="1477"/>
      <c r="AX538" s="1477"/>
      <c r="AY538" s="1477"/>
      <c r="AZ538" s="1477"/>
      <c r="BA538" s="1477"/>
      <c r="BB538" s="1477"/>
      <c r="BC538" s="1477"/>
      <c r="BD538" s="1477"/>
      <c r="BE538" s="1477"/>
      <c r="BF538" s="1477"/>
      <c r="BG538" s="1477"/>
      <c r="BH538" s="1477"/>
      <c r="BI538" s="1477"/>
      <c r="BJ538" s="1477"/>
      <c r="BK538" s="1477"/>
      <c r="BL538" s="1477"/>
      <c r="BM538" s="1477"/>
      <c r="BN538" s="1477"/>
      <c r="BO538" s="1477"/>
      <c r="BP538" s="1477"/>
      <c r="BQ538" s="1477"/>
      <c r="BR538" s="1477"/>
      <c r="BS538" s="1477"/>
      <c r="BT538" s="1477"/>
      <c r="BU538" s="1477"/>
      <c r="BV538" s="1477"/>
      <c r="BW538" s="1477"/>
      <c r="BX538" s="1477"/>
      <c r="BY538" s="1477"/>
      <c r="BZ538" s="1477"/>
      <c r="CA538" s="1477"/>
      <c r="CB538" s="1477"/>
      <c r="CC538" s="1477"/>
      <c r="CD538" s="1477"/>
      <c r="CE538" s="1477"/>
      <c r="CF538" s="1477"/>
      <c r="CG538" s="1477"/>
      <c r="CH538" s="1477"/>
    </row>
    <row r="539" spans="2:86">
      <c r="B539" s="1477"/>
      <c r="C539" s="1477"/>
      <c r="D539" s="1477"/>
      <c r="E539" s="1477"/>
      <c r="F539" s="1477"/>
      <c r="G539" s="1477"/>
      <c r="H539" s="1477"/>
      <c r="I539" s="1477"/>
      <c r="J539" s="1477"/>
      <c r="K539" s="1477"/>
      <c r="L539" s="1477"/>
      <c r="M539" s="1477"/>
      <c r="N539" s="1477"/>
      <c r="O539" s="1477"/>
      <c r="P539" s="1477"/>
      <c r="Q539" s="1477"/>
      <c r="R539" s="1477"/>
      <c r="S539" s="1477"/>
      <c r="T539" s="1477"/>
      <c r="U539" s="1477"/>
      <c r="V539" s="1477"/>
      <c r="W539" s="1477"/>
      <c r="X539" s="1477"/>
      <c r="Y539" s="1477"/>
      <c r="Z539" s="1477"/>
      <c r="AA539" s="1477"/>
      <c r="AB539" s="1477"/>
      <c r="AC539" s="1477"/>
      <c r="AD539" s="1477"/>
      <c r="AE539" s="1477"/>
      <c r="AF539" s="1477"/>
      <c r="AG539" s="1477"/>
      <c r="AH539" s="1477"/>
      <c r="AI539" s="1477"/>
      <c r="AJ539" s="1477"/>
      <c r="AK539" s="1477"/>
      <c r="AL539" s="1477"/>
      <c r="AM539" s="1477"/>
      <c r="AN539" s="1477"/>
      <c r="AO539" s="284"/>
      <c r="AP539" s="1477"/>
      <c r="AQ539" s="1477"/>
      <c r="AR539" s="1477"/>
      <c r="AS539" s="1477"/>
      <c r="AT539" s="1477"/>
      <c r="AU539" s="1477"/>
      <c r="AV539" s="1477"/>
      <c r="AW539" s="1477"/>
      <c r="AX539" s="1477"/>
      <c r="AY539" s="1477"/>
      <c r="AZ539" s="1477"/>
      <c r="BA539" s="1477"/>
      <c r="BB539" s="1477"/>
      <c r="BC539" s="1477"/>
      <c r="BD539" s="1477"/>
      <c r="BE539" s="1477"/>
      <c r="BF539" s="1477"/>
      <c r="BG539" s="1477"/>
      <c r="BH539" s="1477"/>
      <c r="BI539" s="1477"/>
      <c r="BJ539" s="1477"/>
      <c r="BK539" s="1477"/>
      <c r="BL539" s="1477"/>
      <c r="BM539" s="1477"/>
      <c r="BN539" s="1477"/>
      <c r="BO539" s="1477"/>
      <c r="BP539" s="1477"/>
      <c r="BQ539" s="1477"/>
      <c r="BR539" s="1477"/>
      <c r="BS539" s="1477"/>
      <c r="BT539" s="1477"/>
      <c r="BU539" s="1477"/>
      <c r="BV539" s="1477"/>
      <c r="BW539" s="1477"/>
      <c r="BX539" s="1477"/>
      <c r="BY539" s="1477"/>
      <c r="BZ539" s="1477"/>
      <c r="CA539" s="1477"/>
      <c r="CB539" s="1477"/>
      <c r="CC539" s="1477"/>
      <c r="CD539" s="1477"/>
      <c r="CE539" s="1477"/>
      <c r="CF539" s="1477"/>
      <c r="CG539" s="1477"/>
      <c r="CH539" s="1477"/>
    </row>
    <row r="540" spans="2:86">
      <c r="B540" s="1477"/>
      <c r="C540" s="1477"/>
      <c r="D540" s="1477"/>
      <c r="E540" s="1477"/>
      <c r="F540" s="1477"/>
      <c r="G540" s="1477"/>
      <c r="H540" s="1477"/>
      <c r="I540" s="1477"/>
      <c r="J540" s="1477"/>
      <c r="K540" s="1477"/>
      <c r="L540" s="1477"/>
      <c r="M540" s="1477"/>
      <c r="N540" s="1477"/>
      <c r="O540" s="1477"/>
      <c r="P540" s="1477"/>
      <c r="Q540" s="1477"/>
      <c r="R540" s="1477"/>
      <c r="S540" s="1477"/>
      <c r="T540" s="1477"/>
      <c r="U540" s="1477"/>
      <c r="V540" s="1477"/>
      <c r="W540" s="1477"/>
      <c r="X540" s="1477"/>
      <c r="Y540" s="1477"/>
      <c r="Z540" s="1477"/>
      <c r="AA540" s="1477"/>
      <c r="AB540" s="1477"/>
      <c r="AC540" s="1477"/>
      <c r="AD540" s="1477"/>
      <c r="AE540" s="1477"/>
      <c r="AF540" s="1477"/>
      <c r="AG540" s="1477"/>
      <c r="AH540" s="1477"/>
      <c r="AI540" s="1477"/>
      <c r="AJ540" s="1477"/>
      <c r="AK540" s="1477"/>
      <c r="AL540" s="1477"/>
      <c r="AM540" s="1477"/>
      <c r="AN540" s="1477"/>
      <c r="AO540" s="284"/>
      <c r="AP540" s="1477"/>
      <c r="AQ540" s="1477"/>
      <c r="AR540" s="1477"/>
      <c r="AS540" s="1477"/>
      <c r="AT540" s="1477"/>
      <c r="AU540" s="1477"/>
      <c r="AV540" s="1477"/>
      <c r="AW540" s="1477"/>
      <c r="AX540" s="1477"/>
      <c r="AY540" s="1477"/>
      <c r="AZ540" s="1477"/>
      <c r="BA540" s="1477"/>
      <c r="BB540" s="1477"/>
      <c r="BC540" s="1477"/>
      <c r="BD540" s="1477"/>
      <c r="BE540" s="1477"/>
      <c r="BF540" s="1477"/>
      <c r="BG540" s="1477"/>
      <c r="BH540" s="1477"/>
      <c r="BI540" s="1477"/>
      <c r="BJ540" s="1477"/>
      <c r="BK540" s="1477"/>
      <c r="BL540" s="1477"/>
      <c r="BM540" s="1477"/>
      <c r="BN540" s="1477"/>
      <c r="BO540" s="1477"/>
      <c r="BP540" s="1477"/>
      <c r="BQ540" s="1477"/>
      <c r="BR540" s="1477"/>
      <c r="BS540" s="1477"/>
      <c r="BT540" s="1477"/>
      <c r="BU540" s="1477"/>
      <c r="BV540" s="1477"/>
      <c r="BW540" s="1477"/>
      <c r="BX540" s="1477"/>
      <c r="BY540" s="1477"/>
      <c r="BZ540" s="1477"/>
      <c r="CA540" s="1477"/>
      <c r="CB540" s="1477"/>
      <c r="CC540" s="1477"/>
      <c r="CD540" s="1477"/>
      <c r="CE540" s="1477"/>
      <c r="CF540" s="1477"/>
      <c r="CG540" s="1477"/>
      <c r="CH540" s="1477"/>
    </row>
    <row r="541" spans="2:86">
      <c r="B541" s="1477"/>
      <c r="C541" s="1477"/>
      <c r="D541" s="1477"/>
      <c r="E541" s="1477"/>
      <c r="F541" s="1477"/>
      <c r="G541" s="1477"/>
      <c r="H541" s="1477"/>
      <c r="I541" s="1477"/>
      <c r="J541" s="1477"/>
      <c r="K541" s="1477"/>
      <c r="L541" s="1477"/>
      <c r="M541" s="1477"/>
      <c r="N541" s="1477"/>
      <c r="O541" s="1477"/>
      <c r="P541" s="1477"/>
      <c r="Q541" s="1477"/>
      <c r="R541" s="1477"/>
      <c r="S541" s="1477"/>
      <c r="T541" s="1477"/>
      <c r="U541" s="1477"/>
      <c r="V541" s="1477"/>
      <c r="W541" s="1477"/>
      <c r="X541" s="1477"/>
      <c r="Y541" s="1477"/>
      <c r="Z541" s="1477"/>
      <c r="AA541" s="1477"/>
      <c r="AB541" s="1477"/>
      <c r="AC541" s="1477"/>
      <c r="AD541" s="1477"/>
      <c r="AE541" s="1477"/>
      <c r="AF541" s="1477"/>
      <c r="AG541" s="1477"/>
      <c r="AH541" s="1477"/>
      <c r="AI541" s="1477"/>
      <c r="AJ541" s="1477"/>
      <c r="AK541" s="1477"/>
      <c r="AL541" s="1477"/>
      <c r="AM541" s="1477"/>
      <c r="AN541" s="1477"/>
      <c r="AO541" s="284"/>
      <c r="AP541" s="1477"/>
      <c r="AQ541" s="1477"/>
      <c r="AR541" s="1477"/>
      <c r="AS541" s="1477"/>
      <c r="AT541" s="1477"/>
      <c r="AU541" s="1477"/>
      <c r="AV541" s="1477"/>
      <c r="AW541" s="1477"/>
      <c r="AX541" s="1477"/>
      <c r="AY541" s="1477"/>
      <c r="AZ541" s="1477"/>
      <c r="BA541" s="1477"/>
      <c r="BB541" s="1477"/>
      <c r="BC541" s="1477"/>
      <c r="BD541" s="1477"/>
      <c r="BE541" s="1477"/>
      <c r="BF541" s="1477"/>
      <c r="BG541" s="1477"/>
      <c r="BH541" s="1477"/>
      <c r="BI541" s="1477"/>
      <c r="BJ541" s="1477"/>
      <c r="BK541" s="1477"/>
      <c r="BL541" s="1477"/>
      <c r="BM541" s="1477"/>
      <c r="BN541" s="1477"/>
      <c r="BO541" s="1477"/>
      <c r="BP541" s="1477"/>
      <c r="BQ541" s="1477"/>
      <c r="BR541" s="1477"/>
      <c r="BS541" s="1477"/>
      <c r="BT541" s="1477"/>
      <c r="BU541" s="1477"/>
      <c r="BV541" s="1477"/>
      <c r="BW541" s="1477"/>
      <c r="BX541" s="1477"/>
      <c r="BY541" s="1477"/>
      <c r="BZ541" s="1477"/>
      <c r="CA541" s="1477"/>
      <c r="CB541" s="1477"/>
      <c r="CC541" s="1477"/>
      <c r="CD541" s="1477"/>
      <c r="CE541" s="1477"/>
      <c r="CF541" s="1477"/>
      <c r="CG541" s="1477"/>
      <c r="CH541" s="1477"/>
    </row>
    <row r="542" spans="2:86">
      <c r="B542" s="1477"/>
      <c r="C542" s="1477"/>
      <c r="D542" s="1477"/>
      <c r="E542" s="1477"/>
      <c r="F542" s="1477"/>
      <c r="G542" s="1477"/>
      <c r="H542" s="1477"/>
      <c r="I542" s="1477"/>
      <c r="J542" s="1477"/>
      <c r="K542" s="1477"/>
      <c r="L542" s="1477"/>
      <c r="M542" s="1477"/>
      <c r="N542" s="1477"/>
      <c r="O542" s="1477"/>
      <c r="P542" s="1477"/>
      <c r="Q542" s="1477"/>
      <c r="R542" s="1477"/>
      <c r="S542" s="1477"/>
      <c r="T542" s="1477"/>
      <c r="U542" s="1477"/>
      <c r="V542" s="1477"/>
      <c r="W542" s="1477"/>
      <c r="X542" s="1477"/>
      <c r="Y542" s="1477"/>
      <c r="Z542" s="1477"/>
      <c r="AA542" s="1477"/>
      <c r="AB542" s="1477"/>
      <c r="AC542" s="1477"/>
      <c r="AD542" s="1477"/>
      <c r="AE542" s="1477"/>
      <c r="AF542" s="1477"/>
      <c r="AG542" s="1477"/>
      <c r="AH542" s="1477"/>
      <c r="AI542" s="1477"/>
      <c r="AJ542" s="1477"/>
      <c r="AK542" s="1477"/>
      <c r="AL542" s="1477"/>
      <c r="AM542" s="1477"/>
      <c r="AN542" s="1477"/>
      <c r="AO542" s="284"/>
      <c r="AP542" s="1477"/>
      <c r="AQ542" s="1477"/>
      <c r="AR542" s="1477"/>
      <c r="AS542" s="1477"/>
      <c r="AT542" s="1477"/>
      <c r="AU542" s="1477"/>
      <c r="AV542" s="1477"/>
      <c r="AW542" s="1477"/>
      <c r="AX542" s="1477"/>
      <c r="AY542" s="1477"/>
      <c r="AZ542" s="1477"/>
      <c r="BA542" s="1477"/>
      <c r="BB542" s="1477"/>
      <c r="BC542" s="1477"/>
      <c r="BD542" s="1477"/>
      <c r="BE542" s="1477"/>
      <c r="BF542" s="1477"/>
      <c r="BG542" s="1477"/>
      <c r="BH542" s="1477"/>
      <c r="BI542" s="1477"/>
      <c r="BJ542" s="1477"/>
      <c r="BK542" s="1477"/>
      <c r="BL542" s="1477"/>
      <c r="BM542" s="1477"/>
      <c r="BN542" s="1477"/>
      <c r="BO542" s="1477"/>
      <c r="BP542" s="1477"/>
      <c r="BQ542" s="1477"/>
      <c r="BR542" s="1477"/>
      <c r="BS542" s="1477"/>
      <c r="BT542" s="1477"/>
      <c r="BU542" s="1477"/>
      <c r="BV542" s="1477"/>
      <c r="BW542" s="1477"/>
      <c r="BX542" s="1477"/>
      <c r="BY542" s="1477"/>
      <c r="BZ542" s="1477"/>
      <c r="CA542" s="1477"/>
      <c r="CB542" s="1477"/>
      <c r="CC542" s="1477"/>
      <c r="CD542" s="1477"/>
      <c r="CE542" s="1477"/>
      <c r="CF542" s="1477"/>
      <c r="CG542" s="1477"/>
      <c r="CH542" s="1477"/>
    </row>
    <row r="543" spans="2:86">
      <c r="B543" s="1477"/>
      <c r="C543" s="1477"/>
      <c r="D543" s="1477"/>
      <c r="E543" s="1477"/>
      <c r="F543" s="1477"/>
      <c r="G543" s="1477"/>
      <c r="H543" s="1477"/>
      <c r="I543" s="1477"/>
      <c r="J543" s="1477"/>
      <c r="K543" s="1477"/>
      <c r="L543" s="1477"/>
      <c r="M543" s="1477"/>
      <c r="N543" s="1477"/>
      <c r="O543" s="1477"/>
      <c r="P543" s="1477"/>
      <c r="Q543" s="1477"/>
      <c r="R543" s="1477"/>
      <c r="S543" s="1477"/>
      <c r="T543" s="1477"/>
      <c r="U543" s="1477"/>
      <c r="V543" s="1477"/>
      <c r="W543" s="1477"/>
      <c r="X543" s="1477"/>
      <c r="Y543" s="1477"/>
      <c r="Z543" s="1477"/>
      <c r="AA543" s="1477"/>
      <c r="AB543" s="1477"/>
      <c r="AC543" s="1477"/>
      <c r="AD543" s="1477"/>
      <c r="AE543" s="1477"/>
      <c r="AF543" s="1477"/>
      <c r="AG543" s="1477"/>
      <c r="AH543" s="1477"/>
      <c r="AI543" s="1477"/>
      <c r="AJ543" s="1477"/>
      <c r="AK543" s="1477"/>
      <c r="AL543" s="1477"/>
      <c r="AM543" s="1477"/>
      <c r="AN543" s="1477"/>
      <c r="AO543" s="284"/>
      <c r="AP543" s="1477"/>
      <c r="AQ543" s="1477"/>
      <c r="AR543" s="1477"/>
      <c r="AS543" s="1477"/>
      <c r="AT543" s="1477"/>
      <c r="AU543" s="1477"/>
      <c r="AV543" s="1477"/>
      <c r="AW543" s="1477"/>
      <c r="AX543" s="1477"/>
      <c r="AY543" s="1477"/>
      <c r="AZ543" s="1477"/>
      <c r="BA543" s="1477"/>
      <c r="BB543" s="1477"/>
      <c r="BC543" s="1477"/>
      <c r="BD543" s="1477"/>
      <c r="BE543" s="1477"/>
      <c r="BF543" s="1477"/>
      <c r="BG543" s="1477"/>
      <c r="BH543" s="1477"/>
      <c r="BI543" s="1477"/>
      <c r="BJ543" s="1477"/>
      <c r="BK543" s="1477"/>
      <c r="BL543" s="1477"/>
      <c r="BM543" s="1477"/>
      <c r="BN543" s="1477"/>
      <c r="BO543" s="1477"/>
      <c r="BP543" s="1477"/>
      <c r="BQ543" s="1477"/>
      <c r="BR543" s="1477"/>
      <c r="BS543" s="1477"/>
      <c r="BT543" s="1477"/>
      <c r="BU543" s="1477"/>
      <c r="BV543" s="1477"/>
      <c r="BW543" s="1477"/>
      <c r="BX543" s="1477"/>
      <c r="BY543" s="1477"/>
      <c r="BZ543" s="1477"/>
      <c r="CA543" s="1477"/>
      <c r="CB543" s="1477"/>
      <c r="CC543" s="1477"/>
      <c r="CD543" s="1477"/>
      <c r="CE543" s="1477"/>
      <c r="CF543" s="1477"/>
      <c r="CG543" s="1477"/>
      <c r="CH543" s="1477"/>
    </row>
    <row r="544" spans="2:86">
      <c r="B544" s="1477"/>
      <c r="C544" s="1477"/>
      <c r="D544" s="1477"/>
      <c r="E544" s="1477"/>
      <c r="F544" s="1477"/>
      <c r="G544" s="1477"/>
      <c r="H544" s="1477"/>
      <c r="I544" s="1477"/>
      <c r="J544" s="1477"/>
      <c r="K544" s="1477"/>
      <c r="L544" s="1477"/>
      <c r="M544" s="1477"/>
      <c r="N544" s="1477"/>
      <c r="O544" s="1477"/>
      <c r="P544" s="1477"/>
      <c r="Q544" s="1477"/>
      <c r="R544" s="1477"/>
      <c r="S544" s="1477"/>
      <c r="T544" s="1477"/>
      <c r="U544" s="1477"/>
      <c r="V544" s="1477"/>
      <c r="W544" s="1477"/>
      <c r="X544" s="1477"/>
      <c r="Y544" s="1477"/>
      <c r="Z544" s="1477"/>
      <c r="AA544" s="1477"/>
      <c r="AB544" s="1477"/>
      <c r="AC544" s="1477"/>
      <c r="AD544" s="1477"/>
      <c r="AE544" s="1477"/>
      <c r="AF544" s="1477"/>
      <c r="AG544" s="1477"/>
      <c r="AH544" s="1477"/>
      <c r="AI544" s="1477"/>
      <c r="AJ544" s="1477"/>
      <c r="AK544" s="1477"/>
      <c r="AL544" s="1477"/>
      <c r="AM544" s="1477"/>
      <c r="AN544" s="1477"/>
      <c r="AO544" s="284"/>
      <c r="AP544" s="1477"/>
      <c r="AQ544" s="1477"/>
      <c r="AR544" s="1477"/>
      <c r="AS544" s="1477"/>
      <c r="AT544" s="1477"/>
      <c r="AU544" s="1477"/>
      <c r="AV544" s="1477"/>
      <c r="AW544" s="1477"/>
      <c r="AX544" s="1477"/>
      <c r="AY544" s="1477"/>
      <c r="AZ544" s="1477"/>
      <c r="BA544" s="1477"/>
      <c r="BB544" s="1477"/>
      <c r="BC544" s="1477"/>
      <c r="BD544" s="1477"/>
      <c r="BE544" s="1477"/>
      <c r="BF544" s="1477"/>
      <c r="BG544" s="1477"/>
      <c r="BH544" s="1477"/>
      <c r="BI544" s="1477"/>
      <c r="BJ544" s="1477"/>
      <c r="BK544" s="1477"/>
      <c r="BL544" s="1477"/>
      <c r="BM544" s="1477"/>
      <c r="BN544" s="1477"/>
      <c r="BO544" s="1477"/>
      <c r="BP544" s="1477"/>
      <c r="BQ544" s="1477"/>
      <c r="BR544" s="1477"/>
      <c r="BS544" s="1477"/>
      <c r="BT544" s="1477"/>
      <c r="BU544" s="1477"/>
      <c r="BV544" s="1477"/>
      <c r="BW544" s="1477"/>
      <c r="BX544" s="1477"/>
      <c r="BY544" s="1477"/>
      <c r="BZ544" s="1477"/>
      <c r="CA544" s="1477"/>
      <c r="CB544" s="1477"/>
      <c r="CC544" s="1477"/>
      <c r="CD544" s="1477"/>
      <c r="CE544" s="1477"/>
      <c r="CF544" s="1477"/>
      <c r="CG544" s="1477"/>
      <c r="CH544" s="1477"/>
    </row>
    <row r="545" spans="2:86">
      <c r="B545" s="1477"/>
      <c r="C545" s="1477"/>
      <c r="D545" s="1477"/>
      <c r="E545" s="1477"/>
      <c r="F545" s="1477"/>
      <c r="G545" s="1477"/>
      <c r="H545" s="1477"/>
      <c r="I545" s="1477"/>
      <c r="J545" s="1477"/>
      <c r="K545" s="1477"/>
      <c r="L545" s="1477"/>
      <c r="M545" s="1477"/>
      <c r="N545" s="1477"/>
      <c r="O545" s="1477"/>
      <c r="P545" s="1477"/>
      <c r="Q545" s="1477"/>
      <c r="R545" s="1477"/>
      <c r="S545" s="1477"/>
      <c r="T545" s="1477"/>
      <c r="U545" s="1477"/>
      <c r="V545" s="1477"/>
      <c r="W545" s="1477"/>
      <c r="X545" s="1477"/>
      <c r="Y545" s="1477"/>
      <c r="Z545" s="1477"/>
      <c r="AA545" s="1477"/>
      <c r="AB545" s="1477"/>
      <c r="AC545" s="1477"/>
      <c r="AD545" s="1477"/>
      <c r="AE545" s="1477"/>
      <c r="AF545" s="1477"/>
      <c r="AG545" s="1477"/>
      <c r="AH545" s="1477"/>
      <c r="AI545" s="1477"/>
      <c r="AJ545" s="1477"/>
      <c r="AK545" s="1477"/>
      <c r="AL545" s="1477"/>
      <c r="AM545" s="1477"/>
      <c r="AN545" s="1477"/>
      <c r="AO545" s="284"/>
      <c r="AP545" s="1477"/>
      <c r="AQ545" s="1477"/>
      <c r="AR545" s="1477"/>
      <c r="AS545" s="1477"/>
      <c r="AT545" s="1477"/>
      <c r="AU545" s="1477"/>
      <c r="AV545" s="1477"/>
      <c r="AW545" s="1477"/>
      <c r="AX545" s="1477"/>
      <c r="AY545" s="1477"/>
      <c r="AZ545" s="1477"/>
      <c r="BA545" s="1477"/>
      <c r="BB545" s="1477"/>
      <c r="BC545" s="1477"/>
      <c r="BD545" s="1477"/>
      <c r="BE545" s="1477"/>
      <c r="BF545" s="1477"/>
      <c r="BG545" s="1477"/>
      <c r="BH545" s="1477"/>
      <c r="BI545" s="1477"/>
      <c r="BJ545" s="1477"/>
      <c r="BK545" s="1477"/>
      <c r="BL545" s="1477"/>
      <c r="BM545" s="1477"/>
      <c r="BN545" s="1477"/>
      <c r="BO545" s="1477"/>
      <c r="BP545" s="1477"/>
      <c r="BQ545" s="1477"/>
      <c r="BR545" s="1477"/>
      <c r="BS545" s="1477"/>
      <c r="BT545" s="1477"/>
      <c r="BU545" s="1477"/>
      <c r="BV545" s="1477"/>
      <c r="BW545" s="1477"/>
      <c r="BX545" s="1477"/>
      <c r="BY545" s="1477"/>
      <c r="BZ545" s="1477"/>
      <c r="CA545" s="1477"/>
      <c r="CB545" s="1477"/>
      <c r="CC545" s="1477"/>
      <c r="CD545" s="1477"/>
      <c r="CE545" s="1477"/>
      <c r="CF545" s="1477"/>
      <c r="CG545" s="1477"/>
      <c r="CH545" s="1477"/>
    </row>
    <row r="546" spans="2:86">
      <c r="B546" s="1477"/>
      <c r="C546" s="1477"/>
      <c r="D546" s="1477"/>
      <c r="E546" s="1477"/>
      <c r="F546" s="1477"/>
      <c r="G546" s="1477"/>
      <c r="H546" s="1477"/>
      <c r="I546" s="1477"/>
      <c r="J546" s="1477"/>
      <c r="K546" s="1477"/>
      <c r="L546" s="1477"/>
      <c r="M546" s="1477"/>
      <c r="N546" s="1477"/>
      <c r="O546" s="1477"/>
      <c r="P546" s="1477"/>
      <c r="Q546" s="1477"/>
      <c r="R546" s="1477"/>
      <c r="S546" s="1477"/>
      <c r="T546" s="1477"/>
      <c r="U546" s="1477"/>
      <c r="V546" s="1477"/>
      <c r="W546" s="1477"/>
      <c r="X546" s="1477"/>
      <c r="Y546" s="1477"/>
      <c r="Z546" s="1477"/>
      <c r="AA546" s="1477"/>
      <c r="AB546" s="1477"/>
      <c r="AC546" s="1477"/>
      <c r="AD546" s="1477"/>
      <c r="AE546" s="1477"/>
      <c r="AF546" s="1477"/>
      <c r="AG546" s="1477"/>
      <c r="AH546" s="1477"/>
      <c r="AI546" s="1477"/>
      <c r="AJ546" s="1477"/>
      <c r="AK546" s="1477"/>
      <c r="AL546" s="1477"/>
      <c r="AM546" s="1477"/>
      <c r="AN546" s="1477"/>
      <c r="AO546" s="284"/>
      <c r="AP546" s="1477"/>
      <c r="AQ546" s="1477"/>
      <c r="AR546" s="1477"/>
      <c r="AS546" s="1477"/>
      <c r="AT546" s="1477"/>
      <c r="AU546" s="1477"/>
      <c r="AV546" s="1477"/>
      <c r="AW546" s="1477"/>
      <c r="AX546" s="1477"/>
      <c r="AY546" s="1477"/>
      <c r="AZ546" s="1477"/>
      <c r="BA546" s="1477"/>
      <c r="BB546" s="1477"/>
      <c r="BC546" s="1477"/>
      <c r="BD546" s="1477"/>
      <c r="BE546" s="1477"/>
      <c r="BF546" s="1477"/>
      <c r="BG546" s="1477"/>
      <c r="BH546" s="1477"/>
      <c r="BI546" s="1477"/>
      <c r="BJ546" s="1477"/>
      <c r="BK546" s="1477"/>
      <c r="BL546" s="1477"/>
      <c r="BM546" s="1477"/>
      <c r="BN546" s="1477"/>
      <c r="BO546" s="1477"/>
      <c r="BP546" s="1477"/>
      <c r="BQ546" s="1477"/>
      <c r="BR546" s="1477"/>
      <c r="BS546" s="1477"/>
      <c r="BT546" s="1477"/>
      <c r="BU546" s="1477"/>
      <c r="BV546" s="1477"/>
      <c r="BW546" s="1477"/>
      <c r="BX546" s="1477"/>
      <c r="BY546" s="1477"/>
      <c r="BZ546" s="1477"/>
      <c r="CA546" s="1477"/>
      <c r="CB546" s="1477"/>
      <c r="CC546" s="1477"/>
      <c r="CD546" s="1477"/>
      <c r="CE546" s="1477"/>
      <c r="CF546" s="1477"/>
      <c r="CG546" s="1477"/>
      <c r="CH546" s="1477"/>
    </row>
    <row r="547" spans="2:86">
      <c r="B547" s="1477"/>
      <c r="C547" s="1477"/>
      <c r="D547" s="1477"/>
      <c r="E547" s="1477"/>
      <c r="F547" s="1477"/>
      <c r="G547" s="1477"/>
      <c r="H547" s="1477"/>
      <c r="I547" s="1477"/>
      <c r="J547" s="1477"/>
      <c r="K547" s="1477"/>
      <c r="L547" s="1477"/>
      <c r="M547" s="1477"/>
      <c r="N547" s="1477"/>
      <c r="O547" s="1477"/>
      <c r="P547" s="1477"/>
      <c r="Q547" s="1477"/>
      <c r="R547" s="1477"/>
      <c r="S547" s="1477"/>
      <c r="T547" s="1477"/>
      <c r="U547" s="1477"/>
      <c r="V547" s="1477"/>
      <c r="W547" s="1477"/>
      <c r="X547" s="1477"/>
      <c r="Y547" s="1477"/>
      <c r="Z547" s="1477"/>
      <c r="AA547" s="1477"/>
      <c r="AB547" s="1477"/>
      <c r="AC547" s="1477"/>
      <c r="AD547" s="1477"/>
      <c r="AE547" s="1477"/>
      <c r="AF547" s="1477"/>
      <c r="AG547" s="1477"/>
      <c r="AH547" s="1477"/>
      <c r="AI547" s="1477"/>
      <c r="AJ547" s="1477"/>
      <c r="AK547" s="1477"/>
      <c r="AL547" s="1477"/>
      <c r="AM547" s="1477"/>
      <c r="AN547" s="1477"/>
      <c r="AO547" s="284"/>
      <c r="AP547" s="1477"/>
      <c r="AQ547" s="1477"/>
      <c r="AR547" s="1477"/>
      <c r="AS547" s="1477"/>
      <c r="AT547" s="1477"/>
      <c r="AU547" s="1477"/>
      <c r="AV547" s="1477"/>
      <c r="AW547" s="1477"/>
      <c r="AX547" s="1477"/>
      <c r="AY547" s="1477"/>
      <c r="AZ547" s="1477"/>
      <c r="BA547" s="1477"/>
      <c r="BB547" s="1477"/>
      <c r="BC547" s="1477"/>
      <c r="BD547" s="1477"/>
      <c r="BE547" s="1477"/>
      <c r="BF547" s="1477"/>
      <c r="BG547" s="1477"/>
      <c r="BH547" s="1477"/>
      <c r="BI547" s="1477"/>
      <c r="BJ547" s="1477"/>
      <c r="BK547" s="1477"/>
      <c r="BL547" s="1477"/>
      <c r="BM547" s="1477"/>
      <c r="BN547" s="1477"/>
      <c r="BO547" s="1477"/>
      <c r="BP547" s="1477"/>
      <c r="BQ547" s="1477"/>
      <c r="BR547" s="1477"/>
      <c r="BS547" s="1477"/>
      <c r="BT547" s="1477"/>
      <c r="BU547" s="1477"/>
      <c r="BV547" s="1477"/>
      <c r="BW547" s="1477"/>
      <c r="BX547" s="1477"/>
      <c r="BY547" s="1477"/>
      <c r="BZ547" s="1477"/>
      <c r="CA547" s="1477"/>
      <c r="CB547" s="1477"/>
      <c r="CC547" s="1477"/>
      <c r="CD547" s="1477"/>
      <c r="CE547" s="1477"/>
      <c r="CF547" s="1477"/>
      <c r="CG547" s="1477"/>
      <c r="CH547" s="1477"/>
    </row>
    <row r="548" spans="2:86">
      <c r="B548" s="1477"/>
      <c r="C548" s="1477"/>
      <c r="D548" s="1477"/>
      <c r="E548" s="1477"/>
      <c r="F548" s="1477"/>
      <c r="G548" s="1477"/>
      <c r="H548" s="1477"/>
      <c r="I548" s="1477"/>
      <c r="J548" s="1477"/>
      <c r="K548" s="1477"/>
      <c r="L548" s="1477"/>
      <c r="M548" s="1477"/>
      <c r="N548" s="1477"/>
      <c r="O548" s="1477"/>
      <c r="P548" s="1477"/>
      <c r="Q548" s="1477"/>
      <c r="R548" s="1477"/>
      <c r="S548" s="1477"/>
      <c r="T548" s="1477"/>
      <c r="U548" s="1477"/>
      <c r="V548" s="1477"/>
      <c r="W548" s="1477"/>
      <c r="X548" s="1477"/>
      <c r="Y548" s="1477"/>
      <c r="Z548" s="1477"/>
      <c r="AA548" s="1477"/>
      <c r="AB548" s="1477"/>
      <c r="AC548" s="1477"/>
      <c r="AD548" s="1477"/>
      <c r="AE548" s="1477"/>
      <c r="AF548" s="1477"/>
      <c r="AG548" s="1477"/>
      <c r="AH548" s="1477"/>
      <c r="AI548" s="1477"/>
      <c r="AJ548" s="1477"/>
      <c r="AK548" s="1477"/>
      <c r="AL548" s="1477"/>
      <c r="AM548" s="1477"/>
      <c r="AN548" s="1477"/>
      <c r="AO548" s="284"/>
      <c r="AP548" s="1477"/>
      <c r="AQ548" s="1477"/>
      <c r="AR548" s="1477"/>
      <c r="AS548" s="1477"/>
      <c r="AT548" s="1477"/>
      <c r="AU548" s="1477"/>
      <c r="AV548" s="1477"/>
      <c r="AW548" s="1477"/>
      <c r="AX548" s="1477"/>
      <c r="AY548" s="1477"/>
      <c r="AZ548" s="1477"/>
      <c r="BA548" s="1477"/>
      <c r="BB548" s="1477"/>
      <c r="BC548" s="1477"/>
      <c r="BD548" s="1477"/>
      <c r="BE548" s="1477"/>
      <c r="BF548" s="1477"/>
      <c r="BG548" s="1477"/>
      <c r="BH548" s="1477"/>
      <c r="BI548" s="1477"/>
      <c r="BJ548" s="1477"/>
      <c r="BK548" s="1477"/>
      <c r="BL548" s="1477"/>
      <c r="BM548" s="1477"/>
      <c r="BN548" s="1477"/>
      <c r="BO548" s="1477"/>
      <c r="BP548" s="1477"/>
      <c r="BQ548" s="1477"/>
      <c r="BR548" s="1477"/>
      <c r="BS548" s="1477"/>
      <c r="BT548" s="1477"/>
      <c r="BU548" s="1477"/>
      <c r="BV548" s="1477"/>
      <c r="BW548" s="1477"/>
      <c r="BX548" s="1477"/>
      <c r="BY548" s="1477"/>
      <c r="BZ548" s="1477"/>
      <c r="CA548" s="1477"/>
      <c r="CB548" s="1477"/>
      <c r="CC548" s="1477"/>
      <c r="CD548" s="1477"/>
      <c r="CE548" s="1477"/>
      <c r="CF548" s="1477"/>
      <c r="CG548" s="1477"/>
      <c r="CH548" s="1477"/>
    </row>
    <row r="549" spans="2:86">
      <c r="B549" s="1477"/>
      <c r="C549" s="1477"/>
      <c r="D549" s="1477"/>
      <c r="E549" s="1477"/>
      <c r="F549" s="1477"/>
      <c r="G549" s="1477"/>
      <c r="H549" s="1477"/>
      <c r="I549" s="1477"/>
      <c r="J549" s="1477"/>
      <c r="K549" s="1477"/>
      <c r="L549" s="1477"/>
      <c r="M549" s="1477"/>
      <c r="N549" s="1477"/>
      <c r="O549" s="1477"/>
      <c r="P549" s="1477"/>
      <c r="Q549" s="1477"/>
      <c r="R549" s="1477"/>
      <c r="S549" s="1477"/>
      <c r="T549" s="1477"/>
      <c r="U549" s="1477"/>
      <c r="V549" s="1477"/>
      <c r="W549" s="1477"/>
      <c r="X549" s="1477"/>
      <c r="Y549" s="1477"/>
      <c r="Z549" s="1477"/>
      <c r="AA549" s="1477"/>
      <c r="AB549" s="1477"/>
      <c r="AC549" s="1477"/>
      <c r="AD549" s="1477"/>
      <c r="AE549" s="1477"/>
      <c r="AF549" s="1477"/>
      <c r="AG549" s="1477"/>
      <c r="AH549" s="1477"/>
      <c r="AI549" s="1477"/>
      <c r="AJ549" s="1477"/>
      <c r="AK549" s="1477"/>
      <c r="AL549" s="1477"/>
      <c r="AM549" s="1477"/>
      <c r="AN549" s="1477"/>
      <c r="AO549" s="284"/>
      <c r="AP549" s="1477"/>
      <c r="AQ549" s="1477"/>
      <c r="AR549" s="1477"/>
      <c r="AS549" s="1477"/>
      <c r="AT549" s="1477"/>
      <c r="AU549" s="1477"/>
      <c r="AV549" s="1477"/>
      <c r="AW549" s="1477"/>
      <c r="AX549" s="1477"/>
      <c r="AY549" s="1477"/>
      <c r="AZ549" s="1477"/>
      <c r="BA549" s="1477"/>
      <c r="BB549" s="1477"/>
      <c r="BC549" s="1477"/>
      <c r="BD549" s="1477"/>
      <c r="BE549" s="1477"/>
      <c r="BF549" s="1477"/>
      <c r="BG549" s="1477"/>
      <c r="BH549" s="1477"/>
      <c r="BI549" s="1477"/>
      <c r="BJ549" s="1477"/>
      <c r="BK549" s="1477"/>
      <c r="BL549" s="1477"/>
      <c r="BM549" s="1477"/>
      <c r="BN549" s="1477"/>
      <c r="BO549" s="1477"/>
      <c r="BP549" s="1477"/>
      <c r="BQ549" s="1477"/>
      <c r="BR549" s="1477"/>
      <c r="BS549" s="1477"/>
      <c r="BT549" s="1477"/>
      <c r="BU549" s="1477"/>
      <c r="BV549" s="1477"/>
      <c r="BW549" s="1477"/>
      <c r="BX549" s="1477"/>
      <c r="BY549" s="1477"/>
      <c r="BZ549" s="1477"/>
      <c r="CA549" s="1477"/>
      <c r="CB549" s="1477"/>
      <c r="CC549" s="1477"/>
      <c r="CD549" s="1477"/>
      <c r="CE549" s="1477"/>
      <c r="CF549" s="1477"/>
      <c r="CG549" s="1477"/>
      <c r="CH549" s="1477"/>
    </row>
    <row r="550" spans="2:86">
      <c r="B550" s="1477"/>
      <c r="C550" s="1477"/>
      <c r="D550" s="1477"/>
      <c r="E550" s="1477"/>
      <c r="F550" s="1477"/>
      <c r="G550" s="1477"/>
      <c r="H550" s="1477"/>
      <c r="I550" s="1477"/>
      <c r="J550" s="1477"/>
      <c r="K550" s="1477"/>
      <c r="L550" s="1477"/>
      <c r="M550" s="1477"/>
      <c r="N550" s="1477"/>
      <c r="O550" s="1477"/>
      <c r="P550" s="1477"/>
      <c r="Q550" s="1477"/>
      <c r="R550" s="1477"/>
      <c r="S550" s="1477"/>
      <c r="T550" s="1477"/>
      <c r="U550" s="1477"/>
      <c r="V550" s="1477"/>
      <c r="W550" s="1477"/>
      <c r="X550" s="1477"/>
      <c r="Y550" s="1477"/>
      <c r="Z550" s="1477"/>
      <c r="AA550" s="1477"/>
      <c r="AB550" s="1477"/>
      <c r="AC550" s="1477"/>
      <c r="AD550" s="1477"/>
      <c r="AE550" s="1477"/>
      <c r="AF550" s="1477"/>
      <c r="AG550" s="1477"/>
      <c r="AH550" s="1477"/>
      <c r="AI550" s="1477"/>
      <c r="AJ550" s="1477"/>
      <c r="AK550" s="1477"/>
      <c r="AL550" s="1477"/>
      <c r="AM550" s="1477"/>
      <c r="AN550" s="1477"/>
      <c r="AO550" s="284"/>
      <c r="AP550" s="1477"/>
      <c r="AQ550" s="1477"/>
      <c r="AR550" s="1477"/>
      <c r="AS550" s="1477"/>
      <c r="AT550" s="1477"/>
      <c r="AU550" s="1477"/>
      <c r="AV550" s="1477"/>
      <c r="AW550" s="1477"/>
      <c r="AX550" s="1477"/>
      <c r="AY550" s="1477"/>
      <c r="AZ550" s="1477"/>
      <c r="BA550" s="1477"/>
      <c r="BB550" s="1477"/>
      <c r="BC550" s="1477"/>
      <c r="BD550" s="1477"/>
      <c r="BE550" s="1477"/>
      <c r="BF550" s="1477"/>
      <c r="BG550" s="1477"/>
      <c r="BH550" s="1477"/>
      <c r="BI550" s="1477"/>
      <c r="BJ550" s="1477"/>
      <c r="BK550" s="1477"/>
      <c r="BL550" s="1477"/>
      <c r="BM550" s="1477"/>
      <c r="BN550" s="1477"/>
      <c r="BO550" s="1477"/>
      <c r="BP550" s="1477"/>
      <c r="BQ550" s="1477"/>
      <c r="BR550" s="1477"/>
      <c r="BS550" s="1477"/>
      <c r="BT550" s="1477"/>
      <c r="BU550" s="1477"/>
      <c r="BV550" s="1477"/>
      <c r="BW550" s="1477"/>
      <c r="BX550" s="1477"/>
      <c r="BY550" s="1477"/>
      <c r="BZ550" s="1477"/>
      <c r="CA550" s="1477"/>
      <c r="CB550" s="1477"/>
      <c r="CC550" s="1477"/>
      <c r="CD550" s="1477"/>
      <c r="CE550" s="1477"/>
      <c r="CF550" s="1477"/>
      <c r="CG550" s="1477"/>
      <c r="CH550" s="1477"/>
    </row>
    <row r="551" spans="2:86">
      <c r="B551" s="1477"/>
      <c r="C551" s="1477"/>
      <c r="D551" s="1477"/>
      <c r="E551" s="1477"/>
      <c r="F551" s="1477"/>
      <c r="G551" s="1477"/>
      <c r="H551" s="1477"/>
      <c r="I551" s="1477"/>
      <c r="J551" s="1477"/>
      <c r="K551" s="1477"/>
      <c r="L551" s="1477"/>
      <c r="M551" s="1477"/>
      <c r="N551" s="1477"/>
      <c r="O551" s="1477"/>
      <c r="P551" s="1477"/>
      <c r="Q551" s="1477"/>
      <c r="R551" s="1477"/>
      <c r="S551" s="1477"/>
      <c r="T551" s="1477"/>
      <c r="U551" s="1477"/>
      <c r="V551" s="1477"/>
      <c r="W551" s="1477"/>
      <c r="X551" s="1477"/>
      <c r="Y551" s="1477"/>
      <c r="Z551" s="1477"/>
      <c r="AA551" s="1477"/>
      <c r="AB551" s="1477"/>
      <c r="AC551" s="1477"/>
      <c r="AD551" s="1477"/>
      <c r="AE551" s="1477"/>
      <c r="AF551" s="1477"/>
      <c r="AG551" s="1477"/>
      <c r="AH551" s="1477"/>
      <c r="AI551" s="1477"/>
      <c r="AJ551" s="1477"/>
      <c r="AK551" s="1477"/>
      <c r="AL551" s="1477"/>
      <c r="AM551" s="1477"/>
      <c r="AN551" s="1477"/>
      <c r="AO551" s="284"/>
      <c r="AP551" s="1477"/>
      <c r="AQ551" s="1477"/>
      <c r="AR551" s="1477"/>
      <c r="AS551" s="1477"/>
      <c r="AT551" s="1477"/>
      <c r="AU551" s="1477"/>
      <c r="AV551" s="1477"/>
      <c r="AW551" s="1477"/>
      <c r="AX551" s="1477"/>
      <c r="AY551" s="1477"/>
      <c r="AZ551" s="1477"/>
      <c r="BA551" s="1477"/>
      <c r="BB551" s="1477"/>
      <c r="BC551" s="1477"/>
      <c r="BD551" s="1477"/>
      <c r="BE551" s="1477"/>
      <c r="BF551" s="1477"/>
      <c r="BG551" s="1477"/>
      <c r="BH551" s="1477"/>
      <c r="BI551" s="1477"/>
      <c r="BJ551" s="1477"/>
      <c r="BK551" s="1477"/>
      <c r="BL551" s="1477"/>
      <c r="BM551" s="1477"/>
      <c r="BN551" s="1477"/>
      <c r="BO551" s="1477"/>
      <c r="BP551" s="1477"/>
      <c r="BQ551" s="1477"/>
      <c r="BR551" s="1477"/>
      <c r="BS551" s="1477"/>
      <c r="BT551" s="1477"/>
      <c r="BU551" s="1477"/>
      <c r="BV551" s="1477"/>
      <c r="BW551" s="1477"/>
      <c r="BX551" s="1477"/>
      <c r="BY551" s="1477"/>
      <c r="BZ551" s="1477"/>
      <c r="CA551" s="1477"/>
      <c r="CB551" s="1477"/>
      <c r="CC551" s="1477"/>
      <c r="CD551" s="1477"/>
      <c r="CE551" s="1477"/>
      <c r="CF551" s="1477"/>
      <c r="CG551" s="1477"/>
      <c r="CH551" s="1477"/>
    </row>
    <row r="552" spans="2:86">
      <c r="B552" s="1477"/>
      <c r="C552" s="1477"/>
      <c r="D552" s="1477"/>
      <c r="E552" s="1477"/>
      <c r="F552" s="1477"/>
      <c r="G552" s="1477"/>
      <c r="H552" s="1477"/>
      <c r="I552" s="1477"/>
      <c r="J552" s="1477"/>
      <c r="K552" s="1477"/>
      <c r="L552" s="1477"/>
      <c r="M552" s="1477"/>
      <c r="N552" s="1477"/>
      <c r="O552" s="1477"/>
      <c r="P552" s="1477"/>
      <c r="Q552" s="1477"/>
      <c r="R552" s="1477"/>
      <c r="S552" s="1477"/>
      <c r="T552" s="1477"/>
      <c r="U552" s="1477"/>
      <c r="V552" s="1477"/>
      <c r="W552" s="1477"/>
      <c r="X552" s="1477"/>
      <c r="Y552" s="1477"/>
      <c r="Z552" s="1477"/>
      <c r="AA552" s="1477"/>
      <c r="AB552" s="1477"/>
      <c r="AC552" s="1477"/>
      <c r="AD552" s="1477"/>
      <c r="AE552" s="1477"/>
      <c r="AF552" s="1477"/>
      <c r="AG552" s="1477"/>
      <c r="AH552" s="1477"/>
      <c r="AI552" s="1477"/>
      <c r="AJ552" s="1477"/>
      <c r="AK552" s="1477"/>
      <c r="AL552" s="1477"/>
      <c r="AM552" s="1477"/>
      <c r="AN552" s="1477"/>
      <c r="AO552" s="284"/>
      <c r="AP552" s="1477"/>
      <c r="AQ552" s="1477"/>
      <c r="AR552" s="1477"/>
      <c r="AS552" s="1477"/>
      <c r="AT552" s="1477"/>
      <c r="AU552" s="1477"/>
      <c r="AV552" s="1477"/>
      <c r="AW552" s="1477"/>
      <c r="AX552" s="1477"/>
      <c r="AY552" s="1477"/>
      <c r="AZ552" s="1477"/>
      <c r="BA552" s="1477"/>
      <c r="BB552" s="1477"/>
      <c r="BC552" s="1477"/>
      <c r="BD552" s="1477"/>
      <c r="BE552" s="1477"/>
      <c r="BF552" s="1477"/>
      <c r="BG552" s="1477"/>
      <c r="BH552" s="1477"/>
      <c r="BI552" s="1477"/>
      <c r="BJ552" s="1477"/>
      <c r="BK552" s="1477"/>
      <c r="BL552" s="1477"/>
      <c r="BM552" s="1477"/>
      <c r="BN552" s="1477"/>
      <c r="BO552" s="1477"/>
      <c r="BP552" s="1477"/>
      <c r="BQ552" s="1477"/>
      <c r="BR552" s="1477"/>
      <c r="BS552" s="1477"/>
      <c r="BT552" s="1477"/>
      <c r="BU552" s="1477"/>
      <c r="BV552" s="1477"/>
      <c r="BW552" s="1477"/>
      <c r="BX552" s="1477"/>
      <c r="BY552" s="1477"/>
      <c r="BZ552" s="1477"/>
      <c r="CA552" s="1477"/>
      <c r="CB552" s="1477"/>
      <c r="CC552" s="1477"/>
      <c r="CD552" s="1477"/>
      <c r="CE552" s="1477"/>
      <c r="CF552" s="1477"/>
      <c r="CG552" s="1477"/>
      <c r="CH552" s="1477"/>
    </row>
    <row r="553" spans="2:86">
      <c r="B553" s="1477"/>
      <c r="C553" s="1477"/>
      <c r="D553" s="1477"/>
      <c r="E553" s="1477"/>
      <c r="F553" s="1477"/>
      <c r="G553" s="1477"/>
      <c r="H553" s="1477"/>
      <c r="I553" s="1477"/>
      <c r="J553" s="1477"/>
      <c r="K553" s="1477"/>
      <c r="L553" s="1477"/>
      <c r="M553" s="1477"/>
      <c r="N553" s="1477"/>
      <c r="O553" s="1477"/>
      <c r="P553" s="1477"/>
      <c r="Q553" s="1477"/>
      <c r="R553" s="1477"/>
      <c r="S553" s="1477"/>
      <c r="T553" s="1477"/>
      <c r="U553" s="1477"/>
      <c r="V553" s="1477"/>
      <c r="W553" s="1477"/>
      <c r="X553" s="1477"/>
      <c r="Y553" s="1477"/>
      <c r="Z553" s="1477"/>
      <c r="AA553" s="1477"/>
      <c r="AB553" s="1477"/>
      <c r="AC553" s="1477"/>
      <c r="AD553" s="1477"/>
      <c r="AE553" s="1477"/>
      <c r="AF553" s="1477"/>
      <c r="AG553" s="1477"/>
      <c r="AH553" s="1477"/>
      <c r="AI553" s="1477"/>
      <c r="AJ553" s="1477"/>
      <c r="AK553" s="1477"/>
      <c r="AL553" s="1477"/>
      <c r="AM553" s="1477"/>
      <c r="AN553" s="1477"/>
      <c r="AO553" s="284"/>
      <c r="AP553" s="1477"/>
      <c r="AQ553" s="1477"/>
      <c r="AR553" s="1477"/>
      <c r="AS553" s="1477"/>
      <c r="AT553" s="1477"/>
      <c r="AU553" s="1477"/>
      <c r="AV553" s="1477"/>
      <c r="AW553" s="1477"/>
      <c r="AX553" s="1477"/>
      <c r="AY553" s="1477"/>
      <c r="AZ553" s="1477"/>
      <c r="BA553" s="1477"/>
      <c r="BB553" s="1477"/>
      <c r="BC553" s="1477"/>
      <c r="BD553" s="1477"/>
      <c r="BE553" s="1477"/>
      <c r="BF553" s="1477"/>
      <c r="BG553" s="1477"/>
      <c r="BH553" s="1477"/>
      <c r="BI553" s="1477"/>
      <c r="BJ553" s="1477"/>
      <c r="BK553" s="1477"/>
      <c r="BL553" s="1477"/>
      <c r="BM553" s="1477"/>
      <c r="BN553" s="1477"/>
      <c r="BO553" s="1477"/>
      <c r="BP553" s="1477"/>
      <c r="BQ553" s="1477"/>
      <c r="BR553" s="1477"/>
      <c r="BS553" s="1477"/>
      <c r="BT553" s="1477"/>
      <c r="BU553" s="1477"/>
      <c r="BV553" s="1477"/>
      <c r="BW553" s="1477"/>
      <c r="BX553" s="1477"/>
      <c r="BY553" s="1477"/>
      <c r="BZ553" s="1477"/>
      <c r="CA553" s="1477"/>
      <c r="CB553" s="1477"/>
      <c r="CC553" s="1477"/>
      <c r="CD553" s="1477"/>
      <c r="CE553" s="1477"/>
      <c r="CF553" s="1477"/>
      <c r="CG553" s="1477"/>
      <c r="CH553" s="1477"/>
    </row>
    <row r="554" spans="2:86">
      <c r="B554" s="1477"/>
      <c r="C554" s="1477"/>
      <c r="D554" s="1477"/>
      <c r="E554" s="1477"/>
      <c r="F554" s="1477"/>
      <c r="G554" s="1477"/>
      <c r="H554" s="1477"/>
      <c r="I554" s="1477"/>
      <c r="J554" s="1477"/>
      <c r="K554" s="1477"/>
      <c r="L554" s="1477"/>
      <c r="M554" s="1477"/>
      <c r="N554" s="1477"/>
      <c r="O554" s="1477"/>
      <c r="P554" s="1477"/>
      <c r="Q554" s="1477"/>
      <c r="R554" s="1477"/>
      <c r="S554" s="1477"/>
      <c r="T554" s="1477"/>
      <c r="U554" s="1477"/>
      <c r="V554" s="1477"/>
      <c r="W554" s="1477"/>
      <c r="X554" s="1477"/>
      <c r="Y554" s="1477"/>
      <c r="Z554" s="1477"/>
      <c r="AA554" s="1477"/>
      <c r="AB554" s="1477"/>
      <c r="AC554" s="1477"/>
      <c r="AD554" s="1477"/>
      <c r="AE554" s="1477"/>
      <c r="AF554" s="1477"/>
      <c r="AG554" s="1477"/>
      <c r="AH554" s="1477"/>
      <c r="AI554" s="1477"/>
      <c r="AJ554" s="1477"/>
      <c r="AK554" s="1477"/>
      <c r="AL554" s="1477"/>
      <c r="AM554" s="1477"/>
      <c r="AN554" s="1477"/>
      <c r="AO554" s="284"/>
      <c r="AP554" s="1477"/>
      <c r="AQ554" s="1477"/>
      <c r="AR554" s="1477"/>
      <c r="AS554" s="1477"/>
      <c r="AT554" s="1477"/>
      <c r="AU554" s="1477"/>
      <c r="AV554" s="1477"/>
      <c r="AW554" s="1477"/>
      <c r="AX554" s="1477"/>
      <c r="AY554" s="1477"/>
      <c r="AZ554" s="1477"/>
      <c r="BA554" s="1477"/>
      <c r="BB554" s="1477"/>
      <c r="BC554" s="1477"/>
      <c r="BD554" s="1477"/>
      <c r="BE554" s="1477"/>
      <c r="BF554" s="1477"/>
      <c r="BG554" s="1477"/>
      <c r="BH554" s="1477"/>
      <c r="BI554" s="1477"/>
      <c r="BJ554" s="1477"/>
      <c r="BK554" s="1477"/>
      <c r="BL554" s="1477"/>
      <c r="BM554" s="1477"/>
      <c r="BN554" s="1477"/>
      <c r="BO554" s="1477"/>
      <c r="BP554" s="1477"/>
      <c r="BQ554" s="1477"/>
      <c r="BR554" s="1477"/>
      <c r="BS554" s="1477"/>
      <c r="BT554" s="1477"/>
      <c r="BU554" s="1477"/>
      <c r="BV554" s="1477"/>
      <c r="BW554" s="1477"/>
      <c r="BX554" s="1477"/>
      <c r="BY554" s="1477"/>
      <c r="BZ554" s="1477"/>
      <c r="CA554" s="1477"/>
      <c r="CB554" s="1477"/>
      <c r="CC554" s="1477"/>
      <c r="CD554" s="1477"/>
      <c r="CE554" s="1477"/>
      <c r="CF554" s="1477"/>
      <c r="CG554" s="1477"/>
      <c r="CH554" s="1477"/>
    </row>
    <row r="555" spans="2:86">
      <c r="B555" s="1477"/>
      <c r="C555" s="1477"/>
      <c r="D555" s="1477"/>
      <c r="E555" s="1477"/>
      <c r="F555" s="1477"/>
      <c r="G555" s="1477"/>
      <c r="H555" s="1477"/>
      <c r="I555" s="1477"/>
      <c r="J555" s="1477"/>
      <c r="K555" s="1477"/>
      <c r="L555" s="1477"/>
      <c r="M555" s="1477"/>
      <c r="N555" s="1477"/>
      <c r="O555" s="1477"/>
      <c r="P555" s="1477"/>
      <c r="Q555" s="1477"/>
      <c r="R555" s="1477"/>
      <c r="S555" s="1477"/>
      <c r="T555" s="1477"/>
      <c r="U555" s="1477"/>
      <c r="V555" s="1477"/>
      <c r="W555" s="1477"/>
      <c r="X555" s="1477"/>
      <c r="Y555" s="1477"/>
      <c r="Z555" s="1477"/>
      <c r="AA555" s="1477"/>
      <c r="AB555" s="1477"/>
      <c r="AC555" s="1477"/>
      <c r="AD555" s="1477"/>
      <c r="AE555" s="1477"/>
      <c r="AF555" s="1477"/>
      <c r="AG555" s="1477"/>
      <c r="AH555" s="1477"/>
      <c r="AI555" s="1477"/>
      <c r="AJ555" s="1477"/>
      <c r="AK555" s="1477"/>
      <c r="AL555" s="1477"/>
      <c r="AM555" s="1477"/>
      <c r="AN555" s="1477"/>
      <c r="AO555" s="284"/>
      <c r="AP555" s="1477"/>
      <c r="AQ555" s="1477"/>
      <c r="AR555" s="1477"/>
      <c r="AS555" s="1477"/>
      <c r="AT555" s="1477"/>
      <c r="AU555" s="1477"/>
      <c r="AV555" s="1477"/>
      <c r="AW555" s="1477"/>
      <c r="AX555" s="1477"/>
      <c r="AY555" s="1477"/>
      <c r="AZ555" s="1477"/>
      <c r="BA555" s="1477"/>
      <c r="BB555" s="1477"/>
      <c r="BC555" s="1477"/>
      <c r="BD555" s="1477"/>
      <c r="BE555" s="1477"/>
      <c r="BF555" s="1477"/>
      <c r="BG555" s="1477"/>
      <c r="BH555" s="1477"/>
      <c r="BI555" s="1477"/>
      <c r="BJ555" s="1477"/>
      <c r="BK555" s="1477"/>
      <c r="BL555" s="1477"/>
      <c r="BM555" s="1477"/>
      <c r="BN555" s="1477"/>
      <c r="BO555" s="1477"/>
      <c r="BP555" s="1477"/>
      <c r="BQ555" s="1477"/>
      <c r="BR555" s="1477"/>
      <c r="BS555" s="1477"/>
      <c r="BT555" s="1477"/>
      <c r="BU555" s="1477"/>
      <c r="BV555" s="1477"/>
      <c r="BW555" s="1477"/>
      <c r="BX555" s="1477"/>
      <c r="BY555" s="1477"/>
      <c r="BZ555" s="1477"/>
      <c r="CA555" s="1477"/>
      <c r="CB555" s="1477"/>
      <c r="CC555" s="1477"/>
      <c r="CD555" s="1477"/>
      <c r="CE555" s="1477"/>
      <c r="CF555" s="1477"/>
      <c r="CG555" s="1477"/>
      <c r="CH555" s="1477"/>
    </row>
    <row r="556" spans="2:86">
      <c r="B556" s="1477"/>
      <c r="C556" s="1477"/>
      <c r="D556" s="1477"/>
      <c r="E556" s="1477"/>
      <c r="F556" s="1477"/>
      <c r="G556" s="1477"/>
      <c r="H556" s="1477"/>
      <c r="I556" s="1477"/>
      <c r="J556" s="1477"/>
      <c r="K556" s="1477"/>
      <c r="L556" s="1477"/>
      <c r="M556" s="1477"/>
      <c r="N556" s="1477"/>
      <c r="O556" s="1477"/>
      <c r="P556" s="1477"/>
      <c r="Q556" s="1477"/>
      <c r="R556" s="1477"/>
      <c r="S556" s="1477"/>
      <c r="T556" s="1477"/>
      <c r="U556" s="1477"/>
      <c r="V556" s="1477"/>
      <c r="W556" s="1477"/>
      <c r="X556" s="1477"/>
      <c r="Y556" s="1477"/>
      <c r="Z556" s="1477"/>
      <c r="AA556" s="1477"/>
      <c r="AB556" s="1477"/>
      <c r="AC556" s="1477"/>
      <c r="AD556" s="1477"/>
      <c r="AE556" s="1477"/>
      <c r="AF556" s="1477"/>
      <c r="AG556" s="1477"/>
      <c r="AH556" s="1477"/>
      <c r="AI556" s="1477"/>
      <c r="AJ556" s="1477"/>
      <c r="AK556" s="1477"/>
      <c r="AL556" s="1477"/>
      <c r="AM556" s="1477"/>
      <c r="AN556" s="1477"/>
      <c r="AO556" s="284"/>
      <c r="AP556" s="1477"/>
      <c r="AQ556" s="1477"/>
      <c r="AR556" s="1477"/>
      <c r="AS556" s="1477"/>
      <c r="AT556" s="1477"/>
      <c r="AU556" s="1477"/>
      <c r="AV556" s="1477"/>
      <c r="AW556" s="1477"/>
      <c r="AX556" s="1477"/>
      <c r="AY556" s="1477"/>
      <c r="AZ556" s="1477"/>
      <c r="BA556" s="1477"/>
      <c r="BB556" s="1477"/>
      <c r="BC556" s="1477"/>
      <c r="BD556" s="1477"/>
      <c r="BE556" s="1477"/>
      <c r="BF556" s="1477"/>
      <c r="BG556" s="1477"/>
      <c r="BH556" s="1477"/>
      <c r="BI556" s="1477"/>
      <c r="BJ556" s="1477"/>
      <c r="BK556" s="1477"/>
      <c r="BL556" s="1477"/>
      <c r="BM556" s="1477"/>
      <c r="BN556" s="1477"/>
      <c r="BO556" s="1477"/>
      <c r="BP556" s="1477"/>
      <c r="BQ556" s="1477"/>
      <c r="BR556" s="1477"/>
      <c r="BS556" s="1477"/>
      <c r="BT556" s="1477"/>
      <c r="BU556" s="1477"/>
      <c r="BV556" s="1477"/>
      <c r="BW556" s="1477"/>
      <c r="BX556" s="1477"/>
      <c r="BY556" s="1477"/>
      <c r="BZ556" s="1477"/>
      <c r="CA556" s="1477"/>
      <c r="CB556" s="1477"/>
      <c r="CC556" s="1477"/>
      <c r="CD556" s="1477"/>
      <c r="CE556" s="1477"/>
      <c r="CF556" s="1477"/>
      <c r="CG556" s="1477"/>
      <c r="CH556" s="1477"/>
    </row>
    <row r="557" spans="2:86">
      <c r="B557" s="1477"/>
      <c r="C557" s="1477"/>
      <c r="D557" s="1477"/>
      <c r="E557" s="1477"/>
      <c r="F557" s="1477"/>
      <c r="G557" s="1477"/>
      <c r="H557" s="1477"/>
      <c r="I557" s="1477"/>
      <c r="J557" s="1477"/>
      <c r="K557" s="1477"/>
      <c r="L557" s="1477"/>
      <c r="M557" s="1477"/>
      <c r="N557" s="1477"/>
      <c r="O557" s="1477"/>
      <c r="P557" s="1477"/>
      <c r="Q557" s="1477"/>
      <c r="R557" s="1477"/>
      <c r="S557" s="1477"/>
      <c r="T557" s="1477"/>
      <c r="U557" s="1477"/>
      <c r="V557" s="1477"/>
      <c r="W557" s="1477"/>
      <c r="X557" s="1477"/>
      <c r="Y557" s="1477"/>
      <c r="Z557" s="1477"/>
      <c r="AA557" s="1477"/>
      <c r="AB557" s="1477"/>
      <c r="AC557" s="1477"/>
      <c r="AD557" s="1477"/>
      <c r="AE557" s="1477"/>
      <c r="AF557" s="1477"/>
      <c r="AG557" s="1477"/>
      <c r="AH557" s="1477"/>
      <c r="AI557" s="1477"/>
      <c r="AJ557" s="1477"/>
      <c r="AK557" s="1477"/>
      <c r="AL557" s="1477"/>
      <c r="AM557" s="1477"/>
      <c r="AN557" s="1477"/>
      <c r="AO557" s="284"/>
      <c r="AP557" s="1477"/>
      <c r="AQ557" s="1477"/>
      <c r="AR557" s="1477"/>
      <c r="AS557" s="1477"/>
      <c r="AT557" s="1477"/>
      <c r="AU557" s="1477"/>
      <c r="AV557" s="1477"/>
      <c r="AW557" s="1477"/>
      <c r="AX557" s="1477"/>
      <c r="AY557" s="1477"/>
      <c r="AZ557" s="1477"/>
      <c r="BA557" s="1477"/>
      <c r="BB557" s="1477"/>
      <c r="BC557" s="1477"/>
      <c r="BD557" s="1477"/>
      <c r="BE557" s="1477"/>
      <c r="BF557" s="1477"/>
      <c r="BG557" s="1477"/>
      <c r="BH557" s="1477"/>
      <c r="BI557" s="1477"/>
      <c r="BJ557" s="1477"/>
      <c r="BK557" s="1477"/>
      <c r="BL557" s="1477"/>
      <c r="BM557" s="1477"/>
      <c r="BN557" s="1477"/>
      <c r="BO557" s="1477"/>
      <c r="BP557" s="1477"/>
      <c r="BQ557" s="1477"/>
      <c r="BR557" s="1477"/>
      <c r="BS557" s="1477"/>
      <c r="BT557" s="1477"/>
      <c r="BU557" s="1477"/>
      <c r="BV557" s="1477"/>
      <c r="BW557" s="1477"/>
      <c r="BX557" s="1477"/>
      <c r="BY557" s="1477"/>
      <c r="BZ557" s="1477"/>
      <c r="CA557" s="1477"/>
      <c r="CB557" s="1477"/>
      <c r="CC557" s="1477"/>
      <c r="CD557" s="1477"/>
      <c r="CE557" s="1477"/>
      <c r="CF557" s="1477"/>
      <c r="CG557" s="1477"/>
      <c r="CH557" s="1477"/>
    </row>
    <row r="558" spans="2:86">
      <c r="B558" s="1477"/>
      <c r="C558" s="1477"/>
      <c r="D558" s="1477"/>
      <c r="E558" s="1477"/>
      <c r="F558" s="1477"/>
      <c r="G558" s="1477"/>
      <c r="H558" s="1477"/>
      <c r="I558" s="1477"/>
      <c r="J558" s="1477"/>
      <c r="K558" s="1477"/>
      <c r="L558" s="1477"/>
      <c r="M558" s="1477"/>
      <c r="N558" s="1477"/>
      <c r="O558" s="1477"/>
      <c r="P558" s="1477"/>
      <c r="Q558" s="1477"/>
      <c r="R558" s="1477"/>
      <c r="S558" s="1477"/>
      <c r="T558" s="1477"/>
      <c r="U558" s="1477"/>
      <c r="V558" s="1477"/>
      <c r="W558" s="1477"/>
      <c r="X558" s="1477"/>
      <c r="Y558" s="1477"/>
      <c r="Z558" s="1477"/>
      <c r="AA558" s="1477"/>
      <c r="AB558" s="1477"/>
      <c r="AC558" s="1477"/>
      <c r="AD558" s="1477"/>
      <c r="AE558" s="1477"/>
      <c r="AF558" s="1477"/>
      <c r="AG558" s="1477"/>
      <c r="AH558" s="1477"/>
      <c r="AI558" s="1477"/>
      <c r="AJ558" s="1477"/>
      <c r="AK558" s="1477"/>
      <c r="AL558" s="1477"/>
      <c r="AM558" s="1477"/>
      <c r="AN558" s="1477"/>
      <c r="AO558" s="284"/>
      <c r="AP558" s="1477"/>
      <c r="AQ558" s="1477"/>
      <c r="AR558" s="1477"/>
      <c r="AS558" s="1477"/>
      <c r="AT558" s="1477"/>
      <c r="AU558" s="1477"/>
      <c r="AV558" s="1477"/>
      <c r="AW558" s="1477"/>
      <c r="AX558" s="1477"/>
      <c r="AY558" s="1477"/>
      <c r="AZ558" s="1477"/>
      <c r="BA558" s="1477"/>
      <c r="BB558" s="1477"/>
      <c r="BC558" s="1477"/>
      <c r="BD558" s="1477"/>
      <c r="BE558" s="1477"/>
      <c r="BF558" s="1477"/>
      <c r="BG558" s="1477"/>
      <c r="BH558" s="1477"/>
      <c r="BI558" s="1477"/>
      <c r="BJ558" s="1477"/>
      <c r="BK558" s="1477"/>
      <c r="BL558" s="1477"/>
      <c r="BM558" s="1477"/>
      <c r="BN558" s="1477"/>
      <c r="BO558" s="1477"/>
      <c r="BP558" s="1477"/>
      <c r="BQ558" s="1477"/>
      <c r="BR558" s="1477"/>
      <c r="BS558" s="1477"/>
      <c r="BT558" s="1477"/>
      <c r="BU558" s="1477"/>
      <c r="BV558" s="1477"/>
      <c r="BW558" s="1477"/>
      <c r="BX558" s="1477"/>
      <c r="BY558" s="1477"/>
      <c r="BZ558" s="1477"/>
      <c r="CA558" s="1477"/>
      <c r="CB558" s="1477"/>
      <c r="CC558" s="1477"/>
      <c r="CD558" s="1477"/>
      <c r="CE558" s="1477"/>
      <c r="CF558" s="1477"/>
      <c r="CG558" s="1477"/>
      <c r="CH558" s="1477"/>
    </row>
    <row r="559" spans="2:86">
      <c r="B559" s="1477"/>
      <c r="C559" s="1477"/>
      <c r="D559" s="1477"/>
      <c r="E559" s="1477"/>
      <c r="F559" s="1477"/>
      <c r="G559" s="1477"/>
      <c r="H559" s="1477"/>
      <c r="I559" s="1477"/>
      <c r="J559" s="1477"/>
      <c r="K559" s="1477"/>
      <c r="L559" s="1477"/>
      <c r="M559" s="1477"/>
      <c r="N559" s="1477"/>
      <c r="O559" s="1477"/>
      <c r="P559" s="1477"/>
      <c r="Q559" s="1477"/>
      <c r="R559" s="1477"/>
      <c r="S559" s="1477"/>
      <c r="T559" s="1477"/>
      <c r="U559" s="1477"/>
      <c r="V559" s="1477"/>
      <c r="W559" s="1477"/>
      <c r="X559" s="1477"/>
      <c r="Y559" s="1477"/>
      <c r="Z559" s="1477"/>
      <c r="AA559" s="1477"/>
      <c r="AB559" s="1477"/>
      <c r="AC559" s="1477"/>
      <c r="AD559" s="1477"/>
      <c r="AE559" s="1477"/>
      <c r="AF559" s="1477"/>
      <c r="AG559" s="1477"/>
      <c r="AH559" s="1477"/>
      <c r="AI559" s="1477"/>
      <c r="AJ559" s="1477"/>
      <c r="AK559" s="1477"/>
      <c r="AL559" s="1477"/>
      <c r="AM559" s="1477"/>
      <c r="AN559" s="1477"/>
      <c r="AO559" s="284"/>
      <c r="AP559" s="1477"/>
      <c r="AQ559" s="1477"/>
      <c r="AR559" s="1477"/>
      <c r="AS559" s="1477"/>
      <c r="AT559" s="1477"/>
      <c r="AU559" s="1477"/>
      <c r="AV559" s="1477"/>
      <c r="AW559" s="1477"/>
      <c r="AX559" s="1477"/>
      <c r="AY559" s="1477"/>
      <c r="AZ559" s="1477"/>
      <c r="BA559" s="1477"/>
      <c r="BB559" s="1477"/>
      <c r="BC559" s="1477"/>
      <c r="BD559" s="1477"/>
      <c r="BE559" s="1477"/>
      <c r="BF559" s="1477"/>
      <c r="BG559" s="1477"/>
      <c r="BH559" s="1477"/>
      <c r="BI559" s="1477"/>
      <c r="BJ559" s="1477"/>
      <c r="BK559" s="1477"/>
      <c r="BL559" s="1477"/>
      <c r="BM559" s="1477"/>
      <c r="BN559" s="1477"/>
      <c r="BO559" s="1477"/>
      <c r="BP559" s="1477"/>
      <c r="BQ559" s="1477"/>
      <c r="BR559" s="1477"/>
      <c r="BS559" s="1477"/>
      <c r="BT559" s="1477"/>
      <c r="BU559" s="1477"/>
      <c r="BV559" s="1477"/>
      <c r="BW559" s="1477"/>
      <c r="BX559" s="1477"/>
      <c r="BY559" s="1477"/>
      <c r="BZ559" s="1477"/>
      <c r="CA559" s="1477"/>
      <c r="CB559" s="1477"/>
      <c r="CC559" s="1477"/>
      <c r="CD559" s="1477"/>
      <c r="CE559" s="1477"/>
      <c r="CF559" s="1477"/>
      <c r="CG559" s="1477"/>
      <c r="CH559" s="1477"/>
    </row>
    <row r="560" spans="2:86">
      <c r="B560" s="1477"/>
      <c r="C560" s="1477"/>
      <c r="D560" s="1477"/>
      <c r="E560" s="1477"/>
      <c r="F560" s="1477"/>
      <c r="G560" s="1477"/>
      <c r="H560" s="1477"/>
      <c r="I560" s="1477"/>
      <c r="J560" s="1477"/>
      <c r="K560" s="1477"/>
      <c r="L560" s="1477"/>
      <c r="M560" s="1477"/>
      <c r="N560" s="1477"/>
      <c r="O560" s="1477"/>
      <c r="P560" s="1477"/>
      <c r="Q560" s="1477"/>
      <c r="R560" s="1477"/>
      <c r="S560" s="1477"/>
      <c r="T560" s="1477"/>
      <c r="U560" s="1477"/>
      <c r="V560" s="1477"/>
      <c r="W560" s="1477"/>
      <c r="X560" s="1477"/>
      <c r="Y560" s="1477"/>
      <c r="Z560" s="1477"/>
      <c r="AA560" s="1477"/>
      <c r="AB560" s="1477"/>
      <c r="AC560" s="1477"/>
      <c r="AD560" s="1477"/>
      <c r="AE560" s="1477"/>
      <c r="AF560" s="1477"/>
      <c r="AG560" s="1477"/>
      <c r="AH560" s="1477"/>
      <c r="AI560" s="1477"/>
      <c r="AJ560" s="1477"/>
      <c r="AK560" s="1477"/>
      <c r="AL560" s="1477"/>
      <c r="AM560" s="1477"/>
      <c r="AN560" s="1477"/>
      <c r="AO560" s="284"/>
      <c r="AP560" s="1477"/>
      <c r="AQ560" s="1477"/>
      <c r="AR560" s="1477"/>
      <c r="AS560" s="1477"/>
      <c r="AT560" s="1477"/>
      <c r="AU560" s="1477"/>
      <c r="AV560" s="1477"/>
      <c r="AW560" s="1477"/>
      <c r="AX560" s="1477"/>
      <c r="AY560" s="1477"/>
      <c r="AZ560" s="1477"/>
      <c r="BA560" s="1477"/>
      <c r="BB560" s="1477"/>
      <c r="BC560" s="1477"/>
      <c r="BD560" s="1477"/>
      <c r="BE560" s="1477"/>
      <c r="BF560" s="1477"/>
      <c r="BG560" s="1477"/>
      <c r="BH560" s="1477"/>
      <c r="BI560" s="1477"/>
      <c r="BJ560" s="1477"/>
      <c r="BK560" s="1477"/>
      <c r="BL560" s="1477"/>
      <c r="BM560" s="1477"/>
      <c r="BN560" s="1477"/>
      <c r="BO560" s="1477"/>
      <c r="BP560" s="1477"/>
      <c r="BQ560" s="1477"/>
      <c r="BR560" s="1477"/>
      <c r="BS560" s="1477"/>
      <c r="BT560" s="1477"/>
      <c r="BU560" s="1477"/>
      <c r="BV560" s="1477"/>
      <c r="BW560" s="1477"/>
      <c r="BX560" s="1477"/>
      <c r="BY560" s="1477"/>
      <c r="BZ560" s="1477"/>
      <c r="CA560" s="1477"/>
      <c r="CB560" s="1477"/>
      <c r="CC560" s="1477"/>
      <c r="CD560" s="1477"/>
      <c r="CE560" s="1477"/>
      <c r="CF560" s="1477"/>
      <c r="CG560" s="1477"/>
      <c r="CH560" s="1477"/>
    </row>
    <row r="561" spans="2:86">
      <c r="B561" s="1477"/>
      <c r="C561" s="1477"/>
      <c r="D561" s="1477"/>
      <c r="E561" s="1477"/>
      <c r="F561" s="1477"/>
      <c r="G561" s="1477"/>
      <c r="H561" s="1477"/>
      <c r="I561" s="1477"/>
      <c r="J561" s="1477"/>
      <c r="K561" s="1477"/>
      <c r="L561" s="1477"/>
      <c r="M561" s="1477"/>
      <c r="N561" s="1477"/>
      <c r="O561" s="1477"/>
      <c r="P561" s="1477"/>
      <c r="Q561" s="1477"/>
      <c r="R561" s="1477"/>
      <c r="S561" s="1477"/>
      <c r="T561" s="1477"/>
      <c r="U561" s="1477"/>
      <c r="V561" s="1477"/>
      <c r="W561" s="1477"/>
      <c r="X561" s="1477"/>
      <c r="Y561" s="1477"/>
      <c r="Z561" s="1477"/>
      <c r="AA561" s="1477"/>
      <c r="AB561" s="1477"/>
      <c r="AC561" s="1477"/>
      <c r="AD561" s="1477"/>
      <c r="AE561" s="1477"/>
      <c r="AF561" s="1477"/>
      <c r="AG561" s="1477"/>
      <c r="AH561" s="1477"/>
      <c r="AI561" s="1477"/>
      <c r="AJ561" s="1477"/>
      <c r="AK561" s="1477"/>
      <c r="AL561" s="1477"/>
      <c r="AM561" s="1477"/>
      <c r="AN561" s="1477"/>
      <c r="AO561" s="284"/>
      <c r="AP561" s="1477"/>
      <c r="AQ561" s="1477"/>
      <c r="AR561" s="1477"/>
      <c r="AS561" s="1477"/>
      <c r="AT561" s="1477"/>
      <c r="AU561" s="1477"/>
      <c r="AV561" s="1477"/>
      <c r="AW561" s="1477"/>
      <c r="AX561" s="1477"/>
      <c r="AY561" s="1477"/>
      <c r="AZ561" s="1477"/>
      <c r="BA561" s="1477"/>
      <c r="BB561" s="1477"/>
      <c r="BC561" s="1477"/>
      <c r="BD561" s="1477"/>
      <c r="BE561" s="1477"/>
      <c r="BF561" s="1477"/>
      <c r="BG561" s="1477"/>
      <c r="BH561" s="1477"/>
      <c r="BI561" s="1477"/>
      <c r="BJ561" s="1477"/>
      <c r="BK561" s="1477"/>
      <c r="BL561" s="1477"/>
      <c r="BM561" s="1477"/>
      <c r="BN561" s="1477"/>
      <c r="BO561" s="1477"/>
      <c r="BP561" s="1477"/>
      <c r="BQ561" s="1477"/>
      <c r="BR561" s="1477"/>
      <c r="BS561" s="1477"/>
      <c r="BT561" s="1477"/>
      <c r="BU561" s="1477"/>
      <c r="BV561" s="1477"/>
      <c r="BW561" s="1477"/>
      <c r="BX561" s="1477"/>
      <c r="BY561" s="1477"/>
      <c r="BZ561" s="1477"/>
      <c r="CA561" s="1477"/>
      <c r="CB561" s="1477"/>
      <c r="CC561" s="1477"/>
      <c r="CD561" s="1477"/>
      <c r="CE561" s="1477"/>
      <c r="CF561" s="1477"/>
      <c r="CG561" s="1477"/>
      <c r="CH561" s="1477"/>
    </row>
    <row r="562" spans="2:86">
      <c r="B562" s="1477"/>
      <c r="C562" s="1477"/>
      <c r="D562" s="1477"/>
      <c r="E562" s="1477"/>
      <c r="F562" s="1477"/>
      <c r="G562" s="1477"/>
      <c r="H562" s="1477"/>
      <c r="I562" s="1477"/>
      <c r="J562" s="1477"/>
      <c r="K562" s="1477"/>
      <c r="L562" s="1477"/>
      <c r="M562" s="1477"/>
      <c r="N562" s="1477"/>
      <c r="O562" s="1477"/>
      <c r="P562" s="1477"/>
      <c r="Q562" s="1477"/>
      <c r="R562" s="1477"/>
      <c r="S562" s="1477"/>
      <c r="T562" s="1477"/>
      <c r="U562" s="1477"/>
      <c r="V562" s="1477"/>
      <c r="W562" s="1477"/>
      <c r="X562" s="1477"/>
      <c r="Y562" s="1477"/>
      <c r="Z562" s="1477"/>
      <c r="AA562" s="1477"/>
      <c r="AB562" s="1477"/>
      <c r="AC562" s="1477"/>
      <c r="AD562" s="1477"/>
      <c r="AE562" s="1477"/>
      <c r="AF562" s="1477"/>
      <c r="AG562" s="1477"/>
      <c r="AH562" s="1477"/>
      <c r="AI562" s="1477"/>
      <c r="AJ562" s="1477"/>
      <c r="AK562" s="1477"/>
      <c r="AL562" s="1477"/>
      <c r="AM562" s="1477"/>
      <c r="AN562" s="1477"/>
      <c r="AO562" s="284"/>
      <c r="AP562" s="1477"/>
      <c r="AQ562" s="1477"/>
      <c r="AR562" s="1477"/>
      <c r="AS562" s="1477"/>
      <c r="AT562" s="1477"/>
      <c r="AU562" s="1477"/>
      <c r="AV562" s="1477"/>
      <c r="AW562" s="1477"/>
      <c r="AX562" s="1477"/>
      <c r="AY562" s="1477"/>
      <c r="AZ562" s="1477"/>
      <c r="BA562" s="1477"/>
      <c r="BB562" s="1477"/>
      <c r="BC562" s="1477"/>
      <c r="BD562" s="1477"/>
      <c r="BE562" s="1477"/>
      <c r="BF562" s="1477"/>
      <c r="BG562" s="1477"/>
      <c r="BH562" s="1477"/>
      <c r="BI562" s="1477"/>
      <c r="BJ562" s="1477"/>
      <c r="BK562" s="1477"/>
      <c r="BL562" s="1477"/>
      <c r="BM562" s="1477"/>
      <c r="BN562" s="1477"/>
      <c r="BO562" s="1477"/>
      <c r="BP562" s="1477"/>
      <c r="BQ562" s="1477"/>
      <c r="BR562" s="1477"/>
      <c r="BS562" s="1477"/>
      <c r="BT562" s="1477"/>
      <c r="BU562" s="1477"/>
      <c r="BV562" s="1477"/>
      <c r="BW562" s="1477"/>
      <c r="BX562" s="1477"/>
      <c r="BY562" s="1477"/>
      <c r="BZ562" s="1477"/>
      <c r="CA562" s="1477"/>
      <c r="CB562" s="1477"/>
      <c r="CC562" s="1477"/>
      <c r="CD562" s="1477"/>
      <c r="CE562" s="1477"/>
      <c r="CF562" s="1477"/>
      <c r="CG562" s="1477"/>
      <c r="CH562" s="1477"/>
    </row>
    <row r="563" spans="2:86">
      <c r="B563" s="1477"/>
      <c r="C563" s="1477"/>
      <c r="D563" s="1477"/>
      <c r="E563" s="1477"/>
      <c r="F563" s="1477"/>
      <c r="G563" s="1477"/>
      <c r="H563" s="1477"/>
      <c r="I563" s="1477"/>
      <c r="J563" s="1477"/>
      <c r="K563" s="1477"/>
      <c r="L563" s="1477"/>
      <c r="M563" s="1477"/>
      <c r="N563" s="1477"/>
      <c r="O563" s="1477"/>
      <c r="P563" s="1477"/>
      <c r="Q563" s="1477"/>
      <c r="R563" s="1477"/>
      <c r="S563" s="1477"/>
      <c r="T563" s="1477"/>
      <c r="U563" s="1477"/>
      <c r="V563" s="1477"/>
      <c r="W563" s="1477"/>
      <c r="X563" s="1477"/>
      <c r="Y563" s="1477"/>
      <c r="Z563" s="1477"/>
      <c r="AA563" s="1477"/>
      <c r="AB563" s="1477"/>
      <c r="AC563" s="1477"/>
      <c r="AD563" s="1477"/>
      <c r="AE563" s="1477"/>
      <c r="AF563" s="1477"/>
      <c r="AG563" s="1477"/>
      <c r="AH563" s="1477"/>
      <c r="AI563" s="1477"/>
      <c r="AJ563" s="1477"/>
      <c r="AK563" s="1477"/>
      <c r="AL563" s="1477"/>
      <c r="AM563" s="1477"/>
      <c r="AN563" s="1477"/>
      <c r="AO563" s="284"/>
      <c r="AP563" s="1477"/>
      <c r="AQ563" s="1477"/>
      <c r="AR563" s="1477"/>
      <c r="AS563" s="1477"/>
      <c r="AT563" s="1477"/>
      <c r="AU563" s="1477"/>
      <c r="AV563" s="1477"/>
      <c r="AW563" s="1477"/>
      <c r="AX563" s="1477"/>
      <c r="AY563" s="1477"/>
      <c r="AZ563" s="1477"/>
      <c r="BA563" s="1477"/>
      <c r="BB563" s="1477"/>
      <c r="BC563" s="1477"/>
      <c r="BD563" s="1477"/>
      <c r="BE563" s="1477"/>
      <c r="BF563" s="1477"/>
      <c r="BG563" s="1477"/>
      <c r="BH563" s="1477"/>
      <c r="BI563" s="1477"/>
      <c r="BJ563" s="1477"/>
      <c r="BK563" s="1477"/>
      <c r="BL563" s="1477"/>
      <c r="BM563" s="1477"/>
      <c r="BN563" s="1477"/>
      <c r="BO563" s="1477"/>
      <c r="BP563" s="1477"/>
      <c r="BQ563" s="1477"/>
      <c r="BR563" s="1477"/>
      <c r="BS563" s="1477"/>
      <c r="BT563" s="1477"/>
      <c r="BU563" s="1477"/>
      <c r="BV563" s="1477"/>
      <c r="BW563" s="1477"/>
      <c r="BX563" s="1477"/>
      <c r="BY563" s="1477"/>
      <c r="BZ563" s="1477"/>
      <c r="CA563" s="1477"/>
      <c r="CB563" s="1477"/>
      <c r="CC563" s="1477"/>
      <c r="CD563" s="1477"/>
      <c r="CE563" s="1477"/>
      <c r="CF563" s="1477"/>
      <c r="CG563" s="1477"/>
      <c r="CH563" s="1477"/>
    </row>
    <row r="564" spans="2:86">
      <c r="B564" s="1477"/>
      <c r="C564" s="1477"/>
      <c r="D564" s="1477"/>
      <c r="E564" s="1477"/>
      <c r="F564" s="1477"/>
      <c r="G564" s="1477"/>
      <c r="H564" s="1477"/>
      <c r="I564" s="1477"/>
      <c r="J564" s="1477"/>
      <c r="K564" s="1477"/>
      <c r="L564" s="1477"/>
      <c r="M564" s="1477"/>
      <c r="N564" s="1477"/>
      <c r="O564" s="1477"/>
      <c r="P564" s="1477"/>
      <c r="Q564" s="1477"/>
      <c r="R564" s="1477"/>
      <c r="S564" s="1477"/>
      <c r="T564" s="1477"/>
      <c r="U564" s="1477"/>
      <c r="V564" s="1477"/>
      <c r="W564" s="1477"/>
      <c r="X564" s="1477"/>
      <c r="Y564" s="1477"/>
      <c r="Z564" s="1477"/>
      <c r="AA564" s="1477"/>
      <c r="AB564" s="1477"/>
      <c r="AC564" s="1477"/>
      <c r="AD564" s="1477"/>
      <c r="AE564" s="1477"/>
      <c r="AF564" s="1477"/>
      <c r="AG564" s="1477"/>
      <c r="AH564" s="1477"/>
      <c r="AI564" s="1477"/>
      <c r="AJ564" s="1477"/>
      <c r="AK564" s="1477"/>
      <c r="AL564" s="1477"/>
      <c r="AM564" s="1477"/>
      <c r="AN564" s="1477"/>
      <c r="AO564" s="284"/>
      <c r="AP564" s="1477"/>
      <c r="AQ564" s="1477"/>
      <c r="AR564" s="1477"/>
      <c r="AS564" s="1477"/>
      <c r="AT564" s="1477"/>
      <c r="AU564" s="1477"/>
      <c r="AV564" s="1477"/>
      <c r="AW564" s="1477"/>
      <c r="AX564" s="1477"/>
      <c r="AY564" s="1477"/>
      <c r="AZ564" s="1477"/>
      <c r="BA564" s="1477"/>
      <c r="BB564" s="1477"/>
      <c r="BC564" s="1477"/>
      <c r="BD564" s="1477"/>
      <c r="BE564" s="1477"/>
      <c r="BF564" s="1477"/>
      <c r="BG564" s="1477"/>
      <c r="BH564" s="1477"/>
      <c r="BI564" s="1477"/>
      <c r="BJ564" s="1477"/>
      <c r="BK564" s="1477"/>
      <c r="BL564" s="1477"/>
      <c r="BM564" s="1477"/>
      <c r="BN564" s="1477"/>
      <c r="BO564" s="1477"/>
      <c r="BP564" s="1477"/>
      <c r="BQ564" s="1477"/>
      <c r="BR564" s="1477"/>
      <c r="BS564" s="1477"/>
      <c r="BT564" s="1477"/>
      <c r="BU564" s="1477"/>
      <c r="BV564" s="1477"/>
      <c r="BW564" s="1477"/>
      <c r="BX564" s="1477"/>
      <c r="BY564" s="1477"/>
      <c r="BZ564" s="1477"/>
      <c r="CA564" s="1477"/>
      <c r="CB564" s="1477"/>
      <c r="CC564" s="1477"/>
      <c r="CD564" s="1477"/>
      <c r="CE564" s="1477"/>
      <c r="CF564" s="1477"/>
      <c r="CG564" s="1477"/>
      <c r="CH564" s="1477"/>
    </row>
    <row r="565" spans="2:86">
      <c r="B565" s="1477"/>
      <c r="C565" s="1477"/>
      <c r="D565" s="1477"/>
      <c r="E565" s="1477"/>
      <c r="F565" s="1477"/>
      <c r="G565" s="1477"/>
      <c r="H565" s="1477"/>
      <c r="I565" s="1477"/>
      <c r="J565" s="1477"/>
      <c r="K565" s="1477"/>
      <c r="L565" s="1477"/>
      <c r="M565" s="1477"/>
      <c r="N565" s="1477"/>
      <c r="O565" s="1477"/>
      <c r="P565" s="1477"/>
      <c r="Q565" s="1477"/>
      <c r="R565" s="1477"/>
      <c r="S565" s="1477"/>
      <c r="T565" s="1477"/>
      <c r="U565" s="1477"/>
      <c r="V565" s="1477"/>
      <c r="W565" s="1477"/>
      <c r="X565" s="1477"/>
      <c r="Y565" s="1477"/>
      <c r="Z565" s="1477"/>
      <c r="AA565" s="1477"/>
      <c r="AB565" s="1477"/>
      <c r="AC565" s="1477"/>
      <c r="AD565" s="1477"/>
      <c r="AE565" s="1477"/>
      <c r="AF565" s="1477"/>
      <c r="AG565" s="1477"/>
      <c r="AH565" s="1477"/>
      <c r="AI565" s="1477"/>
      <c r="AJ565" s="1477"/>
      <c r="AK565" s="1477"/>
      <c r="AL565" s="1477"/>
      <c r="AM565" s="1477"/>
      <c r="AN565" s="1477"/>
      <c r="AO565" s="284"/>
      <c r="AP565" s="1477"/>
      <c r="AQ565" s="1477"/>
      <c r="AR565" s="1477"/>
      <c r="AS565" s="1477"/>
      <c r="AT565" s="1477"/>
      <c r="AU565" s="1477"/>
      <c r="AV565" s="1477"/>
      <c r="AW565" s="1477"/>
      <c r="AX565" s="1477"/>
      <c r="AY565" s="1477"/>
      <c r="AZ565" s="1477"/>
      <c r="BA565" s="1477"/>
      <c r="BB565" s="1477"/>
      <c r="BC565" s="1477"/>
      <c r="BD565" s="1477"/>
      <c r="BE565" s="1477"/>
      <c r="BF565" s="1477"/>
      <c r="BG565" s="1477"/>
      <c r="BH565" s="1477"/>
      <c r="BI565" s="1477"/>
      <c r="BJ565" s="1477"/>
      <c r="BK565" s="1477"/>
      <c r="BL565" s="1477"/>
      <c r="BM565" s="1477"/>
      <c r="BN565" s="1477"/>
      <c r="BO565" s="1477"/>
      <c r="BP565" s="1477"/>
      <c r="BQ565" s="1477"/>
      <c r="BR565" s="1477"/>
      <c r="BS565" s="1477"/>
      <c r="BT565" s="1477"/>
      <c r="BU565" s="1477"/>
      <c r="BV565" s="1477"/>
      <c r="BW565" s="1477"/>
      <c r="BX565" s="1477"/>
      <c r="BY565" s="1477"/>
      <c r="BZ565" s="1477"/>
      <c r="CA565" s="1477"/>
      <c r="CB565" s="1477"/>
      <c r="CC565" s="1477"/>
      <c r="CD565" s="1477"/>
      <c r="CE565" s="1477"/>
      <c r="CF565" s="1477"/>
      <c r="CG565" s="1477"/>
      <c r="CH565" s="1477"/>
    </row>
    <row r="566" spans="2:86">
      <c r="B566" s="1477"/>
      <c r="C566" s="1477"/>
      <c r="D566" s="1477"/>
      <c r="E566" s="1477"/>
      <c r="F566" s="1477"/>
      <c r="G566" s="1477"/>
      <c r="H566" s="1477"/>
      <c r="I566" s="1477"/>
      <c r="J566" s="1477"/>
      <c r="K566" s="1477"/>
      <c r="L566" s="1477"/>
      <c r="M566" s="1477"/>
      <c r="N566" s="1477"/>
      <c r="O566" s="1477"/>
      <c r="P566" s="1477"/>
      <c r="Q566" s="1477"/>
      <c r="R566" s="1477"/>
      <c r="S566" s="1477"/>
      <c r="T566" s="1477"/>
      <c r="U566" s="1477"/>
      <c r="V566" s="1477"/>
      <c r="W566" s="1477"/>
      <c r="X566" s="1477"/>
      <c r="Y566" s="1477"/>
      <c r="Z566" s="1477"/>
      <c r="AA566" s="1477"/>
      <c r="AB566" s="1477"/>
      <c r="AC566" s="1477"/>
      <c r="AD566" s="1477"/>
      <c r="AE566" s="1477"/>
      <c r="AF566" s="1477"/>
      <c r="AG566" s="1477"/>
      <c r="AH566" s="1477"/>
      <c r="AI566" s="1477"/>
      <c r="AJ566" s="1477"/>
      <c r="AK566" s="1477"/>
      <c r="AL566" s="1477"/>
      <c r="AM566" s="1477"/>
      <c r="AN566" s="1477"/>
      <c r="AO566" s="284"/>
      <c r="AP566" s="1477"/>
      <c r="AQ566" s="1477"/>
      <c r="AR566" s="1477"/>
      <c r="AS566" s="1477"/>
      <c r="AT566" s="1477"/>
      <c r="AU566" s="1477"/>
      <c r="AV566" s="1477"/>
      <c r="AW566" s="1477"/>
      <c r="AX566" s="1477"/>
      <c r="AY566" s="1477"/>
      <c r="AZ566" s="1477"/>
      <c r="BA566" s="1477"/>
      <c r="BB566" s="1477"/>
      <c r="BC566" s="1477"/>
      <c r="BD566" s="1477"/>
      <c r="BE566" s="1477"/>
      <c r="BF566" s="1477"/>
      <c r="BG566" s="1477"/>
      <c r="BH566" s="1477"/>
      <c r="BI566" s="1477"/>
      <c r="BJ566" s="1477"/>
      <c r="BK566" s="1477"/>
      <c r="BL566" s="1477"/>
      <c r="BM566" s="1477"/>
      <c r="BN566" s="1477"/>
      <c r="BO566" s="1477"/>
      <c r="BP566" s="1477"/>
      <c r="BQ566" s="1477"/>
      <c r="BR566" s="1477"/>
      <c r="BS566" s="1477"/>
      <c r="BT566" s="1477"/>
      <c r="BU566" s="1477"/>
      <c r="BV566" s="1477"/>
      <c r="BW566" s="1477"/>
      <c r="BX566" s="1477"/>
      <c r="BY566" s="1477"/>
      <c r="BZ566" s="1477"/>
      <c r="CA566" s="1477"/>
      <c r="CB566" s="1477"/>
      <c r="CC566" s="1477"/>
      <c r="CD566" s="1477"/>
      <c r="CE566" s="1477"/>
      <c r="CF566" s="1477"/>
      <c r="CG566" s="1477"/>
      <c r="CH566" s="1477"/>
    </row>
    <row r="567" spans="2:86">
      <c r="B567" s="1477"/>
      <c r="C567" s="1477"/>
      <c r="D567" s="1477"/>
      <c r="E567" s="1477"/>
      <c r="F567" s="1477"/>
      <c r="G567" s="1477"/>
      <c r="H567" s="1477"/>
      <c r="I567" s="1477"/>
      <c r="J567" s="1477"/>
      <c r="K567" s="1477"/>
      <c r="L567" s="1477"/>
      <c r="M567" s="1477"/>
      <c r="N567" s="1477"/>
      <c r="O567" s="1477"/>
      <c r="P567" s="1477"/>
      <c r="Q567" s="1477"/>
      <c r="R567" s="1477"/>
      <c r="S567" s="1477"/>
      <c r="T567" s="1477"/>
      <c r="U567" s="1477"/>
      <c r="V567" s="1477"/>
      <c r="W567" s="1477"/>
      <c r="X567" s="1477"/>
      <c r="Y567" s="1477"/>
      <c r="Z567" s="1477"/>
      <c r="AA567" s="1477"/>
      <c r="AB567" s="1477"/>
      <c r="AC567" s="1477"/>
      <c r="AD567" s="1477"/>
      <c r="AE567" s="1477"/>
      <c r="AF567" s="1477"/>
      <c r="AG567" s="1477"/>
      <c r="AH567" s="1477"/>
      <c r="AI567" s="1477"/>
      <c r="AJ567" s="1477"/>
      <c r="AK567" s="1477"/>
      <c r="AL567" s="1477"/>
      <c r="AM567" s="1477"/>
      <c r="AN567" s="1477"/>
      <c r="AO567" s="284"/>
      <c r="AP567" s="1477"/>
      <c r="AQ567" s="1477"/>
      <c r="AR567" s="1477"/>
      <c r="AS567" s="1477"/>
      <c r="AT567" s="1477"/>
      <c r="AU567" s="1477"/>
      <c r="AV567" s="1477"/>
      <c r="AW567" s="1477"/>
      <c r="AX567" s="1477"/>
      <c r="AY567" s="1477"/>
      <c r="AZ567" s="1477"/>
      <c r="BA567" s="1477"/>
      <c r="BB567" s="1477"/>
      <c r="BC567" s="1477"/>
      <c r="BD567" s="1477"/>
      <c r="BE567" s="1477"/>
      <c r="BF567" s="1477"/>
      <c r="BG567" s="1477"/>
      <c r="BH567" s="1477"/>
      <c r="BI567" s="1477"/>
      <c r="BJ567" s="1477"/>
      <c r="BK567" s="1477"/>
      <c r="BL567" s="1477"/>
      <c r="BM567" s="1477"/>
      <c r="BN567" s="1477"/>
      <c r="BO567" s="1477"/>
      <c r="BP567" s="1477"/>
      <c r="BQ567" s="1477"/>
      <c r="BR567" s="1477"/>
      <c r="BS567" s="1477"/>
      <c r="BT567" s="1477"/>
      <c r="BU567" s="1477"/>
      <c r="BV567" s="1477"/>
      <c r="BW567" s="1477"/>
      <c r="BX567" s="1477"/>
      <c r="BY567" s="1477"/>
      <c r="BZ567" s="1477"/>
      <c r="CA567" s="1477"/>
      <c r="CB567" s="1477"/>
      <c r="CC567" s="1477"/>
      <c r="CD567" s="1477"/>
      <c r="CE567" s="1477"/>
      <c r="CF567" s="1477"/>
      <c r="CG567" s="1477"/>
      <c r="CH567" s="1477"/>
    </row>
    <row r="568" spans="2:86">
      <c r="B568" s="1477"/>
      <c r="C568" s="1477"/>
      <c r="D568" s="1477"/>
      <c r="E568" s="1477"/>
      <c r="F568" s="1477"/>
      <c r="G568" s="1477"/>
      <c r="H568" s="1477"/>
      <c r="I568" s="1477"/>
      <c r="J568" s="1477"/>
      <c r="K568" s="1477"/>
      <c r="L568" s="1477"/>
      <c r="M568" s="1477"/>
      <c r="N568" s="1477"/>
      <c r="O568" s="1477"/>
      <c r="P568" s="1477"/>
      <c r="Q568" s="1477"/>
      <c r="R568" s="1477"/>
      <c r="S568" s="1477"/>
      <c r="T568" s="1477"/>
      <c r="U568" s="1477"/>
      <c r="V568" s="1477"/>
      <c r="W568" s="1477"/>
      <c r="X568" s="1477"/>
      <c r="Y568" s="1477"/>
      <c r="Z568" s="1477"/>
      <c r="AA568" s="1477"/>
      <c r="AB568" s="1477"/>
      <c r="AC568" s="1477"/>
      <c r="AD568" s="1477"/>
      <c r="AE568" s="1477"/>
      <c r="AF568" s="1477"/>
      <c r="AG568" s="1477"/>
      <c r="AH568" s="1477"/>
      <c r="AI568" s="1477"/>
      <c r="AJ568" s="1477"/>
      <c r="AK568" s="1477"/>
      <c r="AL568" s="1477"/>
      <c r="AM568" s="1477"/>
      <c r="AN568" s="1477"/>
      <c r="AO568" s="284"/>
      <c r="AP568" s="1477"/>
      <c r="AQ568" s="1477"/>
      <c r="AR568" s="1477"/>
      <c r="AS568" s="1477"/>
      <c r="AT568" s="1477"/>
      <c r="AU568" s="1477"/>
      <c r="AV568" s="1477"/>
      <c r="AW568" s="1477"/>
      <c r="AX568" s="1477"/>
      <c r="AY568" s="1477"/>
      <c r="AZ568" s="1477"/>
      <c r="BA568" s="1477"/>
      <c r="BB568" s="1477"/>
      <c r="BC568" s="1477"/>
      <c r="BD568" s="1477"/>
      <c r="BE568" s="1477"/>
      <c r="BF568" s="1477"/>
      <c r="BG568" s="1477"/>
      <c r="BH568" s="1477"/>
      <c r="BI568" s="1477"/>
      <c r="BJ568" s="1477"/>
      <c r="BK568" s="1477"/>
      <c r="BL568" s="1477"/>
      <c r="BM568" s="1477"/>
      <c r="BN568" s="1477"/>
      <c r="BO568" s="1477"/>
      <c r="BP568" s="1477"/>
      <c r="BQ568" s="1477"/>
      <c r="BR568" s="1477"/>
      <c r="BS568" s="1477"/>
      <c r="BT568" s="1477"/>
      <c r="BU568" s="1477"/>
      <c r="BV568" s="1477"/>
      <c r="BW568" s="1477"/>
      <c r="BX568" s="1477"/>
      <c r="BY568" s="1477"/>
      <c r="BZ568" s="1477"/>
      <c r="CA568" s="1477"/>
      <c r="CB568" s="1477"/>
      <c r="CC568" s="1477"/>
      <c r="CD568" s="1477"/>
      <c r="CE568" s="1477"/>
      <c r="CF568" s="1477"/>
      <c r="CG568" s="1477"/>
      <c r="CH568" s="1477"/>
    </row>
    <row r="569" spans="2:86">
      <c r="B569" s="1477"/>
      <c r="C569" s="1477"/>
      <c r="D569" s="1477"/>
      <c r="E569" s="1477"/>
      <c r="F569" s="1477"/>
      <c r="G569" s="1477"/>
      <c r="H569" s="1477"/>
      <c r="I569" s="1477"/>
      <c r="J569" s="1477"/>
      <c r="K569" s="1477"/>
      <c r="L569" s="1477"/>
      <c r="M569" s="1477"/>
      <c r="N569" s="1477"/>
      <c r="O569" s="1477"/>
      <c r="P569" s="1477"/>
      <c r="Q569" s="1477"/>
      <c r="R569" s="1477"/>
      <c r="S569" s="1477"/>
      <c r="T569" s="1477"/>
      <c r="U569" s="1477"/>
      <c r="V569" s="1477"/>
      <c r="W569" s="1477"/>
      <c r="X569" s="1477"/>
      <c r="Y569" s="1477"/>
      <c r="Z569" s="1477"/>
      <c r="AA569" s="1477"/>
      <c r="AB569" s="1477"/>
      <c r="AC569" s="1477"/>
      <c r="AD569" s="1477"/>
      <c r="AE569" s="1477"/>
      <c r="AF569" s="1477"/>
      <c r="AG569" s="1477"/>
      <c r="AH569" s="1477"/>
      <c r="AI569" s="1477"/>
      <c r="AJ569" s="1477"/>
      <c r="AK569" s="1477"/>
      <c r="AL569" s="1477"/>
      <c r="AM569" s="1477"/>
      <c r="AN569" s="1477"/>
      <c r="AO569" s="284"/>
      <c r="AP569" s="1477"/>
      <c r="AQ569" s="1477"/>
      <c r="AR569" s="1477"/>
      <c r="AS569" s="1477"/>
      <c r="AT569" s="1477"/>
      <c r="AU569" s="1477"/>
      <c r="AV569" s="1477"/>
      <c r="AW569" s="1477"/>
      <c r="AX569" s="1477"/>
      <c r="AY569" s="1477"/>
      <c r="AZ569" s="1477"/>
      <c r="BA569" s="1477"/>
      <c r="BB569" s="1477"/>
      <c r="BC569" s="1477"/>
      <c r="BD569" s="1477"/>
      <c r="BE569" s="1477"/>
      <c r="BF569" s="1477"/>
      <c r="BG569" s="1477"/>
      <c r="BH569" s="1477"/>
      <c r="BI569" s="1477"/>
      <c r="BJ569" s="1477"/>
      <c r="BK569" s="1477"/>
      <c r="BL569" s="1477"/>
      <c r="BM569" s="1477"/>
      <c r="BN569" s="1477"/>
      <c r="BO569" s="1477"/>
      <c r="BP569" s="1477"/>
      <c r="BQ569" s="1477"/>
      <c r="BR569" s="1477"/>
      <c r="BS569" s="1477"/>
      <c r="BT569" s="1477"/>
      <c r="BU569" s="1477"/>
      <c r="BV569" s="1477"/>
      <c r="BW569" s="1477"/>
      <c r="BX569" s="1477"/>
      <c r="BY569" s="1477"/>
      <c r="BZ569" s="1477"/>
      <c r="CA569" s="1477"/>
      <c r="CB569" s="1477"/>
      <c r="CC569" s="1477"/>
      <c r="CD569" s="1477"/>
      <c r="CE569" s="1477"/>
      <c r="CF569" s="1477"/>
      <c r="CG569" s="1477"/>
      <c r="CH569" s="1477"/>
    </row>
    <row r="570" spans="2:86">
      <c r="B570" s="1477"/>
      <c r="C570" s="1477"/>
      <c r="D570" s="1477"/>
      <c r="E570" s="1477"/>
      <c r="F570" s="1477"/>
      <c r="G570" s="1477"/>
      <c r="H570" s="1477"/>
      <c r="I570" s="1477"/>
      <c r="J570" s="1477"/>
      <c r="K570" s="1477"/>
      <c r="L570" s="1477"/>
      <c r="M570" s="1477"/>
      <c r="N570" s="1477"/>
      <c r="O570" s="1477"/>
      <c r="P570" s="1477"/>
      <c r="Q570" s="1477"/>
      <c r="R570" s="1477"/>
      <c r="S570" s="1477"/>
      <c r="T570" s="1477"/>
      <c r="U570" s="1477"/>
      <c r="V570" s="1477"/>
      <c r="W570" s="1477"/>
      <c r="X570" s="1477"/>
      <c r="Y570" s="1477"/>
      <c r="Z570" s="1477"/>
      <c r="AA570" s="1477"/>
      <c r="AB570" s="1477"/>
      <c r="AC570" s="1477"/>
      <c r="AD570" s="1477"/>
      <c r="AE570" s="1477"/>
      <c r="AF570" s="1477"/>
      <c r="AG570" s="1477"/>
      <c r="AH570" s="1477"/>
      <c r="AI570" s="1477"/>
      <c r="AJ570" s="1477"/>
      <c r="AK570" s="1477"/>
      <c r="AL570" s="1477"/>
      <c r="AM570" s="1477"/>
      <c r="AN570" s="1477"/>
      <c r="AO570" s="284"/>
      <c r="AP570" s="1477"/>
      <c r="AQ570" s="1477"/>
      <c r="AR570" s="1477"/>
      <c r="AS570" s="1477"/>
      <c r="AT570" s="1477"/>
      <c r="AU570" s="1477"/>
      <c r="AV570" s="1477"/>
      <c r="AW570" s="1477"/>
      <c r="AX570" s="1477"/>
      <c r="AY570" s="1477"/>
      <c r="AZ570" s="1477"/>
      <c r="BA570" s="1477"/>
      <c r="BB570" s="1477"/>
      <c r="BC570" s="1477"/>
      <c r="BD570" s="1477"/>
      <c r="BE570" s="1477"/>
      <c r="BF570" s="1477"/>
      <c r="BG570" s="1477"/>
      <c r="BH570" s="1477"/>
      <c r="BI570" s="1477"/>
      <c r="BJ570" s="1477"/>
      <c r="BK570" s="1477"/>
      <c r="BL570" s="1477"/>
      <c r="BM570" s="1477"/>
      <c r="BN570" s="1477"/>
      <c r="BO570" s="1477"/>
      <c r="BP570" s="1477"/>
      <c r="BQ570" s="1477"/>
      <c r="BR570" s="1477"/>
      <c r="BS570" s="1477"/>
      <c r="BT570" s="1477"/>
      <c r="BU570" s="1477"/>
      <c r="BV570" s="1477"/>
      <c r="BW570" s="1477"/>
      <c r="BX570" s="1477"/>
      <c r="BY570" s="1477"/>
      <c r="BZ570" s="1477"/>
      <c r="CA570" s="1477"/>
      <c r="CB570" s="1477"/>
      <c r="CC570" s="1477"/>
      <c r="CD570" s="1477"/>
      <c r="CE570" s="1477"/>
      <c r="CF570" s="1477"/>
      <c r="CG570" s="1477"/>
      <c r="CH570" s="1477"/>
    </row>
    <row r="571" spans="2:86">
      <c r="B571" s="1477"/>
      <c r="C571" s="1477"/>
      <c r="D571" s="1477"/>
      <c r="E571" s="1477"/>
      <c r="F571" s="1477"/>
      <c r="G571" s="1477"/>
      <c r="H571" s="1477"/>
      <c r="I571" s="1477"/>
      <c r="J571" s="1477"/>
      <c r="K571" s="1477"/>
      <c r="L571" s="1477"/>
      <c r="M571" s="1477"/>
      <c r="N571" s="1477"/>
      <c r="O571" s="1477"/>
      <c r="P571" s="1477"/>
      <c r="Q571" s="1477"/>
      <c r="R571" s="1477"/>
      <c r="S571" s="1477"/>
      <c r="T571" s="1477"/>
      <c r="U571" s="1477"/>
      <c r="V571" s="1477"/>
      <c r="W571" s="1477"/>
      <c r="X571" s="1477"/>
      <c r="Y571" s="1477"/>
      <c r="Z571" s="1477"/>
      <c r="AA571" s="1477"/>
      <c r="AB571" s="1477"/>
      <c r="AC571" s="1477"/>
      <c r="AD571" s="1477"/>
      <c r="AE571" s="1477"/>
      <c r="AF571" s="1477"/>
      <c r="AG571" s="1477"/>
      <c r="AH571" s="1477"/>
      <c r="AI571" s="1477"/>
      <c r="AJ571" s="1477"/>
      <c r="AK571" s="1477"/>
      <c r="AL571" s="1477"/>
      <c r="AM571" s="1477"/>
      <c r="AN571" s="1477"/>
      <c r="AO571" s="284"/>
      <c r="AP571" s="1477"/>
      <c r="AQ571" s="1477"/>
      <c r="AR571" s="1477"/>
      <c r="AS571" s="1477"/>
      <c r="AT571" s="1477"/>
      <c r="AU571" s="1477"/>
      <c r="AV571" s="1477"/>
      <c r="AW571" s="1477"/>
      <c r="AX571" s="1477"/>
      <c r="AY571" s="1477"/>
      <c r="AZ571" s="1477"/>
      <c r="BA571" s="1477"/>
      <c r="BB571" s="1477"/>
      <c r="BC571" s="1477"/>
      <c r="BD571" s="1477"/>
      <c r="BE571" s="1477"/>
      <c r="BF571" s="1477"/>
      <c r="BG571" s="1477"/>
      <c r="BH571" s="1477"/>
      <c r="BI571" s="1477"/>
      <c r="BJ571" s="1477"/>
      <c r="BK571" s="1477"/>
      <c r="BL571" s="1477"/>
      <c r="BM571" s="1477"/>
      <c r="BN571" s="1477"/>
      <c r="BO571" s="1477"/>
      <c r="BP571" s="1477"/>
      <c r="BQ571" s="1477"/>
      <c r="BR571" s="1477"/>
      <c r="BS571" s="1477"/>
      <c r="BT571" s="1477"/>
      <c r="BU571" s="1477"/>
      <c r="BV571" s="1477"/>
      <c r="BW571" s="1477"/>
      <c r="BX571" s="1477"/>
      <c r="BY571" s="1477"/>
      <c r="BZ571" s="1477"/>
      <c r="CA571" s="1477"/>
      <c r="CB571" s="1477"/>
      <c r="CC571" s="1477"/>
      <c r="CD571" s="1477"/>
      <c r="CE571" s="1477"/>
      <c r="CF571" s="1477"/>
      <c r="CG571" s="1477"/>
      <c r="CH571" s="1477"/>
    </row>
    <row r="572" spans="2:86">
      <c r="B572" s="1477"/>
      <c r="C572" s="1477"/>
      <c r="D572" s="1477"/>
      <c r="E572" s="1477"/>
      <c r="F572" s="1477"/>
      <c r="G572" s="1477"/>
      <c r="H572" s="1477"/>
      <c r="I572" s="1477"/>
      <c r="J572" s="1477"/>
      <c r="K572" s="1477"/>
      <c r="L572" s="1477"/>
      <c r="M572" s="1477"/>
      <c r="N572" s="1477"/>
      <c r="O572" s="1477"/>
      <c r="P572" s="1477"/>
      <c r="Q572" s="1477"/>
      <c r="R572" s="1477"/>
      <c r="S572" s="1477"/>
      <c r="T572" s="1477"/>
      <c r="U572" s="1477"/>
      <c r="V572" s="1477"/>
      <c r="W572" s="1477"/>
      <c r="X572" s="1477"/>
      <c r="Y572" s="1477"/>
      <c r="Z572" s="1477"/>
      <c r="AA572" s="1477"/>
      <c r="AB572" s="1477"/>
      <c r="AC572" s="1477"/>
      <c r="AD572" s="1477"/>
      <c r="AE572" s="1477"/>
      <c r="AF572" s="1477"/>
      <c r="AG572" s="1477"/>
      <c r="AH572" s="1477"/>
      <c r="AI572" s="1477"/>
      <c r="AJ572" s="1477"/>
      <c r="AK572" s="1477"/>
      <c r="AL572" s="1477"/>
      <c r="AM572" s="1477"/>
      <c r="AN572" s="1477"/>
      <c r="AO572" s="284"/>
      <c r="AP572" s="1477"/>
      <c r="AQ572" s="1477"/>
      <c r="AR572" s="1477"/>
      <c r="AS572" s="1477"/>
      <c r="AT572" s="1477"/>
      <c r="AU572" s="1477"/>
      <c r="AV572" s="1477"/>
      <c r="AW572" s="1477"/>
      <c r="AX572" s="1477"/>
      <c r="AY572" s="1477"/>
      <c r="AZ572" s="1477"/>
      <c r="BA572" s="1477"/>
      <c r="BB572" s="1477"/>
      <c r="BC572" s="1477"/>
      <c r="BD572" s="1477"/>
      <c r="BE572" s="1477"/>
      <c r="BF572" s="1477"/>
      <c r="BG572" s="1477"/>
      <c r="BH572" s="1477"/>
      <c r="BI572" s="1477"/>
      <c r="BJ572" s="1477"/>
      <c r="BK572" s="1477"/>
      <c r="BL572" s="1477"/>
      <c r="BM572" s="1477"/>
      <c r="BN572" s="1477"/>
      <c r="BO572" s="1477"/>
      <c r="BP572" s="1477"/>
      <c r="BQ572" s="1477"/>
      <c r="BR572" s="1477"/>
      <c r="BS572" s="1477"/>
      <c r="BT572" s="1477"/>
      <c r="BU572" s="1477"/>
      <c r="BV572" s="1477"/>
      <c r="BW572" s="1477"/>
      <c r="BX572" s="1477"/>
      <c r="BY572" s="1477"/>
      <c r="BZ572" s="1477"/>
      <c r="CA572" s="1477"/>
      <c r="CB572" s="1477"/>
      <c r="CC572" s="1477"/>
      <c r="CD572" s="1477"/>
      <c r="CE572" s="1477"/>
      <c r="CF572" s="1477"/>
      <c r="CG572" s="1477"/>
      <c r="CH572" s="1477"/>
    </row>
    <row r="573" spans="2:86">
      <c r="B573" s="1477"/>
      <c r="C573" s="1477"/>
      <c r="D573" s="1477"/>
      <c r="E573" s="1477"/>
      <c r="F573" s="1477"/>
      <c r="G573" s="1477"/>
      <c r="H573" s="1477"/>
      <c r="I573" s="1477"/>
      <c r="J573" s="1477"/>
      <c r="K573" s="1477"/>
      <c r="L573" s="1477"/>
      <c r="M573" s="1477"/>
      <c r="N573" s="1477"/>
      <c r="O573" s="1477"/>
      <c r="P573" s="1477"/>
      <c r="Q573" s="1477"/>
      <c r="R573" s="1477"/>
      <c r="S573" s="1477"/>
      <c r="T573" s="1477"/>
      <c r="U573" s="1477"/>
      <c r="V573" s="1477"/>
      <c r="W573" s="1477"/>
      <c r="X573" s="1477"/>
      <c r="Y573" s="1477"/>
      <c r="Z573" s="1477"/>
      <c r="AA573" s="1477"/>
      <c r="AB573" s="1477"/>
      <c r="AC573" s="1477"/>
      <c r="AD573" s="1477"/>
      <c r="AE573" s="1477"/>
      <c r="AF573" s="1477"/>
      <c r="AG573" s="1477"/>
      <c r="AH573" s="1477"/>
      <c r="AI573" s="1477"/>
      <c r="AJ573" s="1477"/>
      <c r="AK573" s="1477"/>
      <c r="AL573" s="1477"/>
      <c r="AM573" s="1477"/>
      <c r="AN573" s="1477"/>
      <c r="AO573" s="284"/>
      <c r="AP573" s="1477"/>
      <c r="AQ573" s="1477"/>
      <c r="AR573" s="1477"/>
      <c r="AS573" s="1477"/>
      <c r="AT573" s="1477"/>
      <c r="AU573" s="1477"/>
      <c r="AV573" s="1477"/>
      <c r="AW573" s="1477"/>
      <c r="AX573" s="1477"/>
      <c r="AY573" s="1477"/>
      <c r="AZ573" s="1477"/>
      <c r="BA573" s="1477"/>
      <c r="BB573" s="1477"/>
      <c r="BC573" s="1477"/>
      <c r="BD573" s="1477"/>
      <c r="BE573" s="1477"/>
      <c r="BF573" s="1477"/>
      <c r="BG573" s="1477"/>
      <c r="BH573" s="1477"/>
      <c r="BI573" s="1477"/>
      <c r="BJ573" s="1477"/>
      <c r="BK573" s="1477"/>
      <c r="BL573" s="1477"/>
      <c r="BM573" s="1477"/>
      <c r="BN573" s="1477"/>
      <c r="BO573" s="1477"/>
      <c r="BP573" s="1477"/>
      <c r="BQ573" s="1477"/>
      <c r="BR573" s="1477"/>
      <c r="BS573" s="1477"/>
      <c r="BT573" s="1477"/>
      <c r="BU573" s="1477"/>
      <c r="BV573" s="1477"/>
      <c r="BW573" s="1477"/>
      <c r="BX573" s="1477"/>
      <c r="BY573" s="1477"/>
      <c r="BZ573" s="1477"/>
      <c r="CA573" s="1477"/>
      <c r="CB573" s="1477"/>
      <c r="CC573" s="1477"/>
      <c r="CD573" s="1477"/>
      <c r="CE573" s="1477"/>
      <c r="CF573" s="1477"/>
      <c r="CG573" s="1477"/>
      <c r="CH573" s="1477"/>
    </row>
    <row r="574" spans="2:86">
      <c r="B574" s="1477"/>
      <c r="C574" s="1477"/>
      <c r="D574" s="1477"/>
      <c r="E574" s="1477"/>
      <c r="F574" s="1477"/>
      <c r="G574" s="1477"/>
      <c r="H574" s="1477"/>
      <c r="I574" s="1477"/>
      <c r="J574" s="1477"/>
      <c r="K574" s="1477"/>
      <c r="L574" s="1477"/>
      <c r="M574" s="1477"/>
      <c r="N574" s="1477"/>
      <c r="O574" s="1477"/>
      <c r="P574" s="1477"/>
      <c r="Q574" s="1477"/>
      <c r="R574" s="1477"/>
      <c r="S574" s="1477"/>
      <c r="T574" s="1477"/>
      <c r="U574" s="1477"/>
      <c r="V574" s="1477"/>
      <c r="W574" s="1477"/>
      <c r="X574" s="1477"/>
      <c r="Y574" s="1477"/>
      <c r="Z574" s="1477"/>
      <c r="AA574" s="1477"/>
      <c r="AB574" s="1477"/>
      <c r="AC574" s="1477"/>
      <c r="AD574" s="1477"/>
      <c r="AE574" s="1477"/>
      <c r="AF574" s="1477"/>
      <c r="AG574" s="1477"/>
      <c r="AH574" s="1477"/>
      <c r="AI574" s="1477"/>
      <c r="AJ574" s="1477"/>
      <c r="AK574" s="1477"/>
      <c r="AL574" s="1477"/>
      <c r="AM574" s="1477"/>
      <c r="AN574" s="1477"/>
      <c r="AO574" s="284"/>
      <c r="AP574" s="1477"/>
      <c r="AQ574" s="1477"/>
      <c r="AR574" s="1477"/>
      <c r="AS574" s="1477"/>
      <c r="AT574" s="1477"/>
      <c r="AU574" s="1477"/>
      <c r="AV574" s="1477"/>
      <c r="AW574" s="1477"/>
      <c r="AX574" s="1477"/>
      <c r="AY574" s="1477"/>
      <c r="AZ574" s="1477"/>
      <c r="BA574" s="1477"/>
      <c r="BB574" s="1477"/>
      <c r="BC574" s="1477"/>
      <c r="BD574" s="1477"/>
      <c r="BE574" s="1477"/>
      <c r="BF574" s="1477"/>
      <c r="BG574" s="1477"/>
      <c r="BH574" s="1477"/>
      <c r="BI574" s="1477"/>
      <c r="BJ574" s="1477"/>
      <c r="BK574" s="1477"/>
      <c r="BL574" s="1477"/>
      <c r="BM574" s="1477"/>
      <c r="BN574" s="1477"/>
      <c r="BO574" s="1477"/>
      <c r="BP574" s="1477"/>
      <c r="BQ574" s="1477"/>
      <c r="BR574" s="1477"/>
      <c r="BS574" s="1477"/>
      <c r="BT574" s="1477"/>
      <c r="BU574" s="1477"/>
      <c r="BV574" s="1477"/>
      <c r="BW574" s="1477"/>
      <c r="BX574" s="1477"/>
      <c r="BY574" s="1477"/>
      <c r="BZ574" s="1477"/>
      <c r="CA574" s="1477"/>
      <c r="CB574" s="1477"/>
      <c r="CC574" s="1477"/>
      <c r="CD574" s="1477"/>
      <c r="CE574" s="1477"/>
      <c r="CF574" s="1477"/>
      <c r="CG574" s="1477"/>
      <c r="CH574" s="1477"/>
    </row>
    <row r="575" spans="2:86">
      <c r="B575" s="1477"/>
      <c r="C575" s="1477"/>
      <c r="D575" s="1477"/>
      <c r="E575" s="1477"/>
      <c r="F575" s="1477"/>
      <c r="G575" s="1477"/>
      <c r="H575" s="1477"/>
      <c r="I575" s="1477"/>
      <c r="J575" s="1477"/>
      <c r="K575" s="1477"/>
      <c r="L575" s="1477"/>
      <c r="M575" s="1477"/>
      <c r="N575" s="1477"/>
      <c r="O575" s="1477"/>
      <c r="P575" s="1477"/>
      <c r="Q575" s="1477"/>
      <c r="R575" s="1477"/>
      <c r="S575" s="1477"/>
      <c r="T575" s="1477"/>
      <c r="U575" s="1477"/>
      <c r="V575" s="1477"/>
      <c r="W575" s="1477"/>
      <c r="X575" s="1477"/>
      <c r="Y575" s="1477"/>
      <c r="Z575" s="1477"/>
      <c r="AA575" s="1477"/>
      <c r="AB575" s="1477"/>
      <c r="AC575" s="1477"/>
      <c r="AD575" s="1477"/>
      <c r="AE575" s="1477"/>
      <c r="AF575" s="1477"/>
      <c r="AG575" s="1477"/>
      <c r="AH575" s="1477"/>
      <c r="AI575" s="1477"/>
      <c r="AJ575" s="1477"/>
      <c r="AK575" s="1477"/>
      <c r="AL575" s="1477"/>
      <c r="AM575" s="1477"/>
      <c r="AN575" s="1477"/>
      <c r="AO575" s="284"/>
      <c r="AP575" s="1477"/>
      <c r="AQ575" s="1477"/>
      <c r="AR575" s="1477"/>
      <c r="AS575" s="1477"/>
      <c r="AT575" s="1477"/>
      <c r="AU575" s="1477"/>
      <c r="AV575" s="1477"/>
      <c r="AW575" s="1477"/>
      <c r="AX575" s="1477"/>
      <c r="AY575" s="1477"/>
      <c r="AZ575" s="1477"/>
      <c r="BA575" s="1477"/>
      <c r="BB575" s="1477"/>
      <c r="BC575" s="1477"/>
      <c r="BD575" s="1477"/>
      <c r="BE575" s="1477"/>
      <c r="BF575" s="1477"/>
      <c r="BG575" s="1477"/>
      <c r="BH575" s="1477"/>
      <c r="BI575" s="1477"/>
      <c r="BJ575" s="1477"/>
      <c r="BK575" s="1477"/>
      <c r="BL575" s="1477"/>
      <c r="BM575" s="1477"/>
      <c r="BN575" s="1477"/>
      <c r="BO575" s="1477"/>
      <c r="BP575" s="1477"/>
      <c r="BQ575" s="1477"/>
      <c r="BR575" s="1477"/>
      <c r="BS575" s="1477"/>
      <c r="BT575" s="1477"/>
      <c r="BU575" s="1477"/>
      <c r="BV575" s="1477"/>
      <c r="BW575" s="1477"/>
      <c r="BX575" s="1477"/>
      <c r="BY575" s="1477"/>
      <c r="BZ575" s="1477"/>
      <c r="CA575" s="1477"/>
      <c r="CB575" s="1477"/>
      <c r="CC575" s="1477"/>
      <c r="CD575" s="1477"/>
      <c r="CE575" s="1477"/>
      <c r="CF575" s="1477"/>
      <c r="CG575" s="1477"/>
      <c r="CH575" s="1477"/>
    </row>
    <row r="576" spans="2:86">
      <c r="B576" s="1477"/>
      <c r="C576" s="1477"/>
      <c r="D576" s="1477"/>
      <c r="E576" s="1477"/>
      <c r="F576" s="1477"/>
      <c r="G576" s="1477"/>
      <c r="H576" s="1477"/>
      <c r="I576" s="1477"/>
      <c r="J576" s="1477"/>
      <c r="K576" s="1477"/>
      <c r="L576" s="1477"/>
      <c r="M576" s="1477"/>
      <c r="N576" s="1477"/>
      <c r="O576" s="1477"/>
      <c r="P576" s="1477"/>
      <c r="Q576" s="1477"/>
      <c r="R576" s="1477"/>
      <c r="S576" s="1477"/>
      <c r="T576" s="1477"/>
      <c r="U576" s="1477"/>
      <c r="V576" s="1477"/>
      <c r="W576" s="1477"/>
      <c r="X576" s="1477"/>
      <c r="Y576" s="1477"/>
      <c r="Z576" s="1477"/>
      <c r="AA576" s="1477"/>
      <c r="AB576" s="1477"/>
      <c r="AC576" s="1477"/>
      <c r="AD576" s="1477"/>
      <c r="AE576" s="1477"/>
      <c r="AF576" s="1477"/>
      <c r="AG576" s="1477"/>
      <c r="AH576" s="1477"/>
      <c r="AI576" s="1477"/>
      <c r="AJ576" s="1477"/>
      <c r="AK576" s="1477"/>
      <c r="AL576" s="1477"/>
      <c r="AM576" s="1477"/>
      <c r="AN576" s="1477"/>
      <c r="AO576" s="284"/>
      <c r="AP576" s="1477"/>
      <c r="AQ576" s="1477"/>
      <c r="AR576" s="1477"/>
      <c r="AS576" s="1477"/>
      <c r="AT576" s="1477"/>
      <c r="AU576" s="1477"/>
      <c r="AV576" s="1477"/>
      <c r="AW576" s="1477"/>
      <c r="AX576" s="1477"/>
      <c r="AY576" s="1477"/>
      <c r="AZ576" s="1477"/>
      <c r="BA576" s="1477"/>
      <c r="BB576" s="1477"/>
      <c r="BC576" s="1477"/>
      <c r="BD576" s="1477"/>
      <c r="BE576" s="1477"/>
      <c r="BF576" s="1477"/>
      <c r="BG576" s="1477"/>
      <c r="BH576" s="1477"/>
      <c r="BI576" s="1477"/>
      <c r="BJ576" s="1477"/>
      <c r="BK576" s="1477"/>
      <c r="BL576" s="1477"/>
      <c r="BM576" s="1477"/>
      <c r="BN576" s="1477"/>
      <c r="BO576" s="1477"/>
      <c r="BP576" s="1477"/>
      <c r="BQ576" s="1477"/>
      <c r="BR576" s="1477"/>
      <c r="BS576" s="1477"/>
      <c r="BT576" s="1477"/>
      <c r="BU576" s="1477"/>
      <c r="BV576" s="1477"/>
      <c r="BW576" s="1477"/>
      <c r="BX576" s="1477"/>
      <c r="BY576" s="1477"/>
      <c r="BZ576" s="1477"/>
      <c r="CA576" s="1477"/>
      <c r="CB576" s="1477"/>
      <c r="CC576" s="1477"/>
      <c r="CD576" s="1477"/>
      <c r="CE576" s="1477"/>
      <c r="CF576" s="1477"/>
      <c r="CG576" s="1477"/>
      <c r="CH576" s="1477"/>
    </row>
    <row r="577" spans="2:86">
      <c r="B577" s="1477"/>
      <c r="C577" s="1477"/>
      <c r="D577" s="1477"/>
      <c r="E577" s="1477"/>
      <c r="F577" s="1477"/>
      <c r="G577" s="1477"/>
      <c r="H577" s="1477"/>
      <c r="I577" s="1477"/>
      <c r="J577" s="1477"/>
      <c r="K577" s="1477"/>
      <c r="L577" s="1477"/>
      <c r="M577" s="1477"/>
      <c r="N577" s="1477"/>
      <c r="O577" s="1477"/>
      <c r="P577" s="1477"/>
      <c r="Q577" s="1477"/>
      <c r="R577" s="1477"/>
      <c r="S577" s="1477"/>
      <c r="T577" s="1477"/>
      <c r="U577" s="1477"/>
      <c r="V577" s="1477"/>
      <c r="W577" s="1477"/>
      <c r="X577" s="1477"/>
      <c r="Y577" s="1477"/>
      <c r="Z577" s="1477"/>
      <c r="AA577" s="1477"/>
      <c r="AB577" s="1477"/>
      <c r="AC577" s="1477"/>
      <c r="AD577" s="1477"/>
      <c r="AE577" s="1477"/>
      <c r="AF577" s="1477"/>
      <c r="AG577" s="1477"/>
      <c r="AH577" s="1477"/>
      <c r="AI577" s="1477"/>
      <c r="AJ577" s="1477"/>
      <c r="AK577" s="1477"/>
      <c r="AL577" s="1477"/>
      <c r="AM577" s="1477"/>
      <c r="AN577" s="1477"/>
      <c r="AO577" s="284"/>
      <c r="AP577" s="1477"/>
      <c r="AQ577" s="1477"/>
      <c r="AR577" s="1477"/>
      <c r="AS577" s="1477"/>
      <c r="AT577" s="1477"/>
      <c r="AU577" s="1477"/>
      <c r="AV577" s="1477"/>
      <c r="AW577" s="1477"/>
      <c r="AX577" s="1477"/>
      <c r="AY577" s="1477"/>
      <c r="AZ577" s="1477"/>
      <c r="BA577" s="1477"/>
      <c r="BB577" s="1477"/>
      <c r="BC577" s="1477"/>
      <c r="BD577" s="1477"/>
      <c r="BE577" s="1477"/>
      <c r="BF577" s="1477"/>
      <c r="BG577" s="1477"/>
      <c r="BH577" s="1477"/>
      <c r="BI577" s="1477"/>
      <c r="BJ577" s="1477"/>
      <c r="BK577" s="1477"/>
      <c r="BL577" s="1477"/>
      <c r="BM577" s="1477"/>
      <c r="BN577" s="1477"/>
      <c r="BO577" s="1477"/>
      <c r="BP577" s="1477"/>
      <c r="BQ577" s="1477"/>
      <c r="BR577" s="1477"/>
      <c r="BS577" s="1477"/>
      <c r="BT577" s="1477"/>
      <c r="BU577" s="1477"/>
      <c r="BV577" s="1477"/>
      <c r="BW577" s="1477"/>
      <c r="BX577" s="1477"/>
      <c r="BY577" s="1477"/>
      <c r="BZ577" s="1477"/>
      <c r="CA577" s="1477"/>
      <c r="CB577" s="1477"/>
      <c r="CC577" s="1477"/>
      <c r="CD577" s="1477"/>
      <c r="CE577" s="1477"/>
      <c r="CF577" s="1477"/>
      <c r="CG577" s="1477"/>
      <c r="CH577" s="1477"/>
    </row>
    <row r="578" spans="2:86">
      <c r="B578" s="1477"/>
      <c r="C578" s="1477"/>
      <c r="D578" s="1477"/>
      <c r="E578" s="1477"/>
      <c r="F578" s="1477"/>
      <c r="G578" s="1477"/>
      <c r="H578" s="1477"/>
      <c r="I578" s="1477"/>
      <c r="J578" s="1477"/>
      <c r="K578" s="1477"/>
      <c r="L578" s="1477"/>
      <c r="M578" s="1477"/>
      <c r="N578" s="1477"/>
      <c r="O578" s="1477"/>
      <c r="P578" s="1477"/>
      <c r="Q578" s="1477"/>
      <c r="R578" s="1477"/>
      <c r="S578" s="1477"/>
      <c r="T578" s="1477"/>
      <c r="U578" s="1477"/>
      <c r="V578" s="1477"/>
      <c r="W578" s="1477"/>
      <c r="X578" s="1477"/>
      <c r="Y578" s="1477"/>
      <c r="Z578" s="1477"/>
      <c r="AA578" s="1477"/>
      <c r="AB578" s="1477"/>
      <c r="AC578" s="1477"/>
      <c r="AD578" s="1477"/>
      <c r="AE578" s="1477"/>
      <c r="AF578" s="1477"/>
      <c r="AG578" s="1477"/>
      <c r="AH578" s="1477"/>
      <c r="AI578" s="1477"/>
      <c r="AJ578" s="1477"/>
      <c r="AK578" s="1477"/>
      <c r="AL578" s="1477"/>
      <c r="AM578" s="1477"/>
      <c r="AN578" s="1477"/>
      <c r="AO578" s="284"/>
      <c r="AP578" s="1477"/>
      <c r="AQ578" s="1477"/>
      <c r="AR578" s="1477"/>
      <c r="AS578" s="1477"/>
      <c r="AT578" s="1477"/>
      <c r="AU578" s="1477"/>
      <c r="AV578" s="1477"/>
      <c r="AW578" s="1477"/>
      <c r="AX578" s="1477"/>
      <c r="AY578" s="1477"/>
      <c r="AZ578" s="1477"/>
      <c r="BA578" s="1477"/>
      <c r="BB578" s="1477"/>
      <c r="BC578" s="1477"/>
      <c r="BD578" s="1477"/>
      <c r="BE578" s="1477"/>
      <c r="BF578" s="1477"/>
      <c r="BG578" s="1477"/>
      <c r="BH578" s="1477"/>
      <c r="BI578" s="1477"/>
      <c r="BJ578" s="1477"/>
      <c r="BK578" s="1477"/>
      <c r="BL578" s="1477"/>
      <c r="BM578" s="1477"/>
      <c r="BN578" s="1477"/>
      <c r="BO578" s="1477"/>
      <c r="BP578" s="1477"/>
      <c r="BQ578" s="1477"/>
      <c r="BR578" s="1477"/>
      <c r="BS578" s="1477"/>
      <c r="BT578" s="1477"/>
      <c r="BU578" s="1477"/>
      <c r="BV578" s="1477"/>
      <c r="BW578" s="1477"/>
      <c r="BX578" s="1477"/>
      <c r="BY578" s="1477"/>
      <c r="BZ578" s="1477"/>
      <c r="CA578" s="1477"/>
      <c r="CB578" s="1477"/>
      <c r="CC578" s="1477"/>
      <c r="CD578" s="1477"/>
      <c r="CE578" s="1477"/>
      <c r="CF578" s="1477"/>
      <c r="CG578" s="1477"/>
      <c r="CH578" s="1477"/>
    </row>
    <row r="579" spans="2:86">
      <c r="B579" s="1477"/>
      <c r="C579" s="1477"/>
      <c r="D579" s="1477"/>
      <c r="E579" s="1477"/>
      <c r="F579" s="1477"/>
      <c r="G579" s="1477"/>
      <c r="H579" s="1477"/>
      <c r="I579" s="1477"/>
      <c r="J579" s="1477"/>
      <c r="K579" s="1477"/>
      <c r="L579" s="1477"/>
      <c r="M579" s="1477"/>
      <c r="N579" s="1477"/>
      <c r="O579" s="1477"/>
      <c r="P579" s="1477"/>
      <c r="Q579" s="1477"/>
      <c r="R579" s="1477"/>
      <c r="S579" s="1477"/>
      <c r="T579" s="1477"/>
      <c r="U579" s="1477"/>
      <c r="V579" s="1477"/>
      <c r="W579" s="1477"/>
      <c r="X579" s="1477"/>
      <c r="Y579" s="1477"/>
      <c r="Z579" s="1477"/>
      <c r="AA579" s="1477"/>
      <c r="AB579" s="1477"/>
      <c r="AC579" s="1477"/>
      <c r="AD579" s="1477"/>
      <c r="AE579" s="1477"/>
      <c r="AF579" s="1477"/>
      <c r="AG579" s="1477"/>
      <c r="AH579" s="1477"/>
      <c r="AI579" s="1477"/>
      <c r="AJ579" s="1477"/>
      <c r="AK579" s="1477"/>
      <c r="AL579" s="1477"/>
      <c r="AM579" s="1477"/>
      <c r="AN579" s="1477"/>
      <c r="AO579" s="284"/>
      <c r="AP579" s="1477"/>
      <c r="AQ579" s="1477"/>
      <c r="AR579" s="1477"/>
      <c r="AS579" s="1477"/>
      <c r="AT579" s="1477"/>
      <c r="AU579" s="1477"/>
      <c r="AV579" s="1477"/>
      <c r="AW579" s="1477"/>
      <c r="AX579" s="1477"/>
      <c r="AY579" s="1477"/>
      <c r="AZ579" s="1477"/>
      <c r="BA579" s="1477"/>
      <c r="BB579" s="1477"/>
      <c r="BC579" s="1477"/>
      <c r="BD579" s="1477"/>
      <c r="BE579" s="1477"/>
      <c r="BF579" s="1477"/>
      <c r="BG579" s="1477"/>
      <c r="BH579" s="1477"/>
      <c r="BI579" s="1477"/>
      <c r="BJ579" s="1477"/>
      <c r="BK579" s="1477"/>
      <c r="BL579" s="1477"/>
      <c r="BM579" s="1477"/>
      <c r="BN579" s="1477"/>
      <c r="BO579" s="1477"/>
      <c r="BP579" s="1477"/>
      <c r="BQ579" s="1477"/>
      <c r="BR579" s="1477"/>
      <c r="BS579" s="1477"/>
      <c r="BT579" s="1477"/>
      <c r="BU579" s="1477"/>
      <c r="BV579" s="1477"/>
      <c r="BW579" s="1477"/>
      <c r="BX579" s="1477"/>
      <c r="BY579" s="1477"/>
      <c r="BZ579" s="1477"/>
      <c r="CA579" s="1477"/>
      <c r="CB579" s="1477"/>
      <c r="CC579" s="1477"/>
      <c r="CD579" s="1477"/>
      <c r="CE579" s="1477"/>
      <c r="CF579" s="1477"/>
      <c r="CG579" s="1477"/>
      <c r="CH579" s="1477"/>
    </row>
    <row r="580" spans="2:86">
      <c r="B580" s="1477"/>
      <c r="C580" s="1477"/>
      <c r="D580" s="1477"/>
      <c r="E580" s="1477"/>
      <c r="F580" s="1477"/>
      <c r="G580" s="1477"/>
      <c r="H580" s="1477"/>
      <c r="I580" s="1477"/>
      <c r="J580" s="1477"/>
      <c r="K580" s="1477"/>
      <c r="L580" s="1477"/>
      <c r="M580" s="1477"/>
      <c r="N580" s="1477"/>
      <c r="O580" s="1477"/>
      <c r="P580" s="1477"/>
      <c r="Q580" s="1477"/>
      <c r="R580" s="1477"/>
      <c r="S580" s="1477"/>
      <c r="T580" s="1477"/>
      <c r="U580" s="1477"/>
      <c r="V580" s="1477"/>
      <c r="W580" s="1477"/>
      <c r="X580" s="1477"/>
      <c r="Y580" s="1477"/>
      <c r="Z580" s="1477"/>
      <c r="AA580" s="1477"/>
      <c r="AB580" s="1477"/>
      <c r="AC580" s="1477"/>
      <c r="AD580" s="1477"/>
      <c r="AE580" s="1477"/>
      <c r="AF580" s="1477"/>
      <c r="AG580" s="1477"/>
      <c r="AH580" s="1477"/>
      <c r="AI580" s="1477"/>
      <c r="AJ580" s="1477"/>
      <c r="AK580" s="1477"/>
      <c r="AL580" s="1477"/>
      <c r="AM580" s="1477"/>
      <c r="AN580" s="1477"/>
      <c r="AO580" s="284"/>
      <c r="AP580" s="1477"/>
      <c r="AQ580" s="1477"/>
      <c r="AR580" s="1477"/>
      <c r="AS580" s="1477"/>
      <c r="AT580" s="1477"/>
      <c r="AU580" s="1477"/>
      <c r="AV580" s="1477"/>
      <c r="AW580" s="1477"/>
      <c r="AX580" s="1477"/>
      <c r="AY580" s="1477"/>
      <c r="AZ580" s="1477"/>
      <c r="BA580" s="1477"/>
      <c r="BB580" s="1477"/>
      <c r="BC580" s="1477"/>
      <c r="BD580" s="1477"/>
      <c r="BE580" s="1477"/>
      <c r="BF580" s="1477"/>
      <c r="BG580" s="1477"/>
      <c r="BH580" s="1477"/>
      <c r="BI580" s="1477"/>
      <c r="BJ580" s="1477"/>
      <c r="BK580" s="1477"/>
      <c r="BL580" s="1477"/>
      <c r="BM580" s="1477"/>
      <c r="BN580" s="1477"/>
      <c r="BO580" s="1477"/>
      <c r="BP580" s="1477"/>
      <c r="BQ580" s="1477"/>
      <c r="BR580" s="1477"/>
      <c r="BS580" s="1477"/>
      <c r="BT580" s="1477"/>
      <c r="BU580" s="1477"/>
      <c r="BV580" s="1477"/>
      <c r="BW580" s="1477"/>
      <c r="BX580" s="1477"/>
      <c r="BY580" s="1477"/>
      <c r="BZ580" s="1477"/>
      <c r="CA580" s="1477"/>
      <c r="CB580" s="1477"/>
      <c r="CC580" s="1477"/>
      <c r="CD580" s="1477"/>
      <c r="CE580" s="1477"/>
      <c r="CF580" s="1477"/>
      <c r="CG580" s="1477"/>
      <c r="CH580" s="1477"/>
    </row>
    <row r="581" spans="2:86">
      <c r="B581" s="1477"/>
      <c r="C581" s="1477"/>
      <c r="D581" s="1477"/>
      <c r="E581" s="1477"/>
      <c r="F581" s="1477"/>
      <c r="G581" s="1477"/>
      <c r="H581" s="1477"/>
      <c r="I581" s="1477"/>
      <c r="J581" s="1477"/>
      <c r="K581" s="1477"/>
      <c r="L581" s="1477"/>
      <c r="M581" s="1477"/>
      <c r="N581" s="1477"/>
      <c r="O581" s="1477"/>
      <c r="P581" s="1477"/>
      <c r="Q581" s="1477"/>
      <c r="R581" s="1477"/>
      <c r="S581" s="1477"/>
      <c r="T581" s="1477"/>
      <c r="U581" s="1477"/>
      <c r="V581" s="1477"/>
      <c r="W581" s="1477"/>
      <c r="X581" s="1477"/>
      <c r="Y581" s="1477"/>
      <c r="Z581" s="1477"/>
      <c r="AA581" s="1477"/>
      <c r="AB581" s="1477"/>
      <c r="AC581" s="1477"/>
      <c r="AD581" s="1477"/>
      <c r="AE581" s="1477"/>
      <c r="AF581" s="1477"/>
      <c r="AG581" s="1477"/>
      <c r="AH581" s="1477"/>
      <c r="AI581" s="1477"/>
      <c r="AJ581" s="1477"/>
      <c r="AK581" s="1477"/>
      <c r="AL581" s="1477"/>
      <c r="AM581" s="1477"/>
      <c r="AN581" s="1477"/>
      <c r="AO581" s="284"/>
      <c r="AP581" s="1477"/>
      <c r="AQ581" s="1477"/>
      <c r="AR581" s="1477"/>
      <c r="AS581" s="1477"/>
      <c r="AT581" s="1477"/>
      <c r="AU581" s="1477"/>
      <c r="AV581" s="1477"/>
      <c r="AW581" s="1477"/>
      <c r="AX581" s="1477"/>
      <c r="AY581" s="1477"/>
      <c r="AZ581" s="1477"/>
      <c r="BA581" s="1477"/>
      <c r="BB581" s="1477"/>
      <c r="BC581" s="1477"/>
      <c r="BD581" s="1477"/>
      <c r="BE581" s="1477"/>
      <c r="BF581" s="1477"/>
      <c r="BG581" s="1477"/>
      <c r="BH581" s="1477"/>
      <c r="BI581" s="1477"/>
      <c r="BJ581" s="1477"/>
      <c r="BK581" s="1477"/>
      <c r="BL581" s="1477"/>
      <c r="BM581" s="1477"/>
      <c r="BN581" s="1477"/>
      <c r="BO581" s="1477"/>
      <c r="BP581" s="1477"/>
      <c r="BQ581" s="1477"/>
      <c r="BR581" s="1477"/>
      <c r="BS581" s="1477"/>
      <c r="BT581" s="1477"/>
      <c r="BU581" s="1477"/>
      <c r="BV581" s="1477"/>
      <c r="BW581" s="1477"/>
      <c r="BX581" s="1477"/>
      <c r="BY581" s="1477"/>
      <c r="BZ581" s="1477"/>
      <c r="CA581" s="1477"/>
      <c r="CB581" s="1477"/>
      <c r="CC581" s="1477"/>
      <c r="CD581" s="1477"/>
      <c r="CE581" s="1477"/>
      <c r="CF581" s="1477"/>
      <c r="CG581" s="1477"/>
      <c r="CH581" s="1477"/>
    </row>
    <row r="582" spans="2:86">
      <c r="B582" s="1477"/>
      <c r="C582" s="1477"/>
      <c r="D582" s="1477"/>
      <c r="E582" s="1477"/>
      <c r="F582" s="1477"/>
      <c r="G582" s="1477"/>
      <c r="H582" s="1477"/>
      <c r="I582" s="1477"/>
      <c r="J582" s="1477"/>
      <c r="K582" s="1477"/>
      <c r="L582" s="1477"/>
      <c r="M582" s="1477"/>
      <c r="N582" s="1477"/>
      <c r="O582" s="1477"/>
      <c r="P582" s="1477"/>
      <c r="Q582" s="1477"/>
      <c r="R582" s="1477"/>
      <c r="S582" s="1477"/>
      <c r="T582" s="1477"/>
      <c r="U582" s="1477"/>
      <c r="V582" s="1477"/>
      <c r="W582" s="1477"/>
      <c r="X582" s="1477"/>
      <c r="Y582" s="1477"/>
      <c r="Z582" s="1477"/>
      <c r="AA582" s="1477"/>
      <c r="AB582" s="1477"/>
      <c r="AC582" s="1477"/>
      <c r="AD582" s="1477"/>
      <c r="AE582" s="1477"/>
      <c r="AF582" s="1477"/>
      <c r="AG582" s="1477"/>
      <c r="AH582" s="1477"/>
      <c r="AI582" s="1477"/>
      <c r="AJ582" s="1477"/>
      <c r="AK582" s="1477"/>
      <c r="AL582" s="1477"/>
      <c r="AM582" s="1477"/>
      <c r="AN582" s="1477"/>
      <c r="AO582" s="284"/>
      <c r="AP582" s="1477"/>
      <c r="AQ582" s="1477"/>
      <c r="AR582" s="1477"/>
      <c r="AS582" s="1477"/>
      <c r="AT582" s="1477"/>
      <c r="AU582" s="1477"/>
      <c r="AV582" s="1477"/>
      <c r="AW582" s="1477"/>
      <c r="AX582" s="1477"/>
      <c r="AY582" s="1477"/>
      <c r="AZ582" s="1477"/>
      <c r="BA582" s="1477"/>
      <c r="BB582" s="1477"/>
      <c r="BC582" s="1477"/>
      <c r="BD582" s="1477"/>
      <c r="BE582" s="1477"/>
      <c r="BF582" s="1477"/>
      <c r="BG582" s="1477"/>
      <c r="BH582" s="1477"/>
      <c r="BI582" s="1477"/>
      <c r="BJ582" s="1477"/>
      <c r="BK582" s="1477"/>
      <c r="BL582" s="1477"/>
      <c r="BM582" s="1477"/>
      <c r="BN582" s="1477"/>
      <c r="BO582" s="1477"/>
      <c r="BP582" s="1477"/>
      <c r="BQ582" s="1477"/>
      <c r="BR582" s="1477"/>
      <c r="BS582" s="1477"/>
      <c r="BT582" s="1477"/>
      <c r="BU582" s="1477"/>
      <c r="BV582" s="1477"/>
      <c r="BW582" s="1477"/>
      <c r="BX582" s="1477"/>
      <c r="BY582" s="1477"/>
      <c r="BZ582" s="1477"/>
      <c r="CA582" s="1477"/>
      <c r="CB582" s="1477"/>
      <c r="CC582" s="1477"/>
      <c r="CD582" s="1477"/>
      <c r="CE582" s="1477"/>
      <c r="CF582" s="1477"/>
      <c r="CG582" s="1477"/>
      <c r="CH582" s="1477"/>
    </row>
    <row r="583" spans="2:86">
      <c r="B583" s="1477"/>
      <c r="C583" s="1477"/>
      <c r="D583" s="1477"/>
      <c r="E583" s="1477"/>
      <c r="F583" s="1477"/>
      <c r="G583" s="1477"/>
      <c r="H583" s="1477"/>
      <c r="I583" s="1477"/>
      <c r="J583" s="1477"/>
      <c r="K583" s="1477"/>
      <c r="L583" s="1477"/>
      <c r="M583" s="1477"/>
      <c r="N583" s="1477"/>
      <c r="O583" s="1477"/>
      <c r="P583" s="1477"/>
      <c r="Q583" s="1477"/>
      <c r="R583" s="1477"/>
      <c r="S583" s="1477"/>
      <c r="T583" s="1477"/>
      <c r="U583" s="1477"/>
      <c r="V583" s="1477"/>
      <c r="W583" s="1477"/>
      <c r="X583" s="1477"/>
      <c r="Y583" s="1477"/>
      <c r="Z583" s="1477"/>
      <c r="AA583" s="1477"/>
      <c r="AB583" s="1477"/>
      <c r="AC583" s="1477"/>
      <c r="AD583" s="1477"/>
      <c r="AE583" s="1477"/>
      <c r="AF583" s="1477"/>
      <c r="AG583" s="1477"/>
      <c r="AH583" s="1477"/>
      <c r="AI583" s="1477"/>
      <c r="AJ583" s="1477"/>
      <c r="AK583" s="1477"/>
      <c r="AL583" s="1477"/>
      <c r="AM583" s="1477"/>
      <c r="AN583" s="1477"/>
      <c r="AO583" s="284"/>
      <c r="AP583" s="1477"/>
      <c r="AQ583" s="1477"/>
      <c r="AR583" s="1477"/>
      <c r="AS583" s="1477"/>
      <c r="AT583" s="1477"/>
      <c r="AU583" s="1477"/>
      <c r="AV583" s="1477"/>
      <c r="AW583" s="1477"/>
      <c r="AX583" s="1477"/>
      <c r="AY583" s="1477"/>
      <c r="AZ583" s="1477"/>
      <c r="BA583" s="1477"/>
      <c r="BB583" s="1477"/>
      <c r="BC583" s="1477"/>
      <c r="BD583" s="1477"/>
      <c r="BE583" s="1477"/>
      <c r="BF583" s="1477"/>
      <c r="BG583" s="1477"/>
      <c r="BH583" s="1477"/>
      <c r="BI583" s="1477"/>
      <c r="BJ583" s="1477"/>
      <c r="BK583" s="1477"/>
      <c r="BL583" s="1477"/>
      <c r="BM583" s="1477"/>
      <c r="BN583" s="1477"/>
      <c r="BO583" s="1477"/>
      <c r="BP583" s="1477"/>
      <c r="BQ583" s="1477"/>
      <c r="BR583" s="1477"/>
      <c r="BS583" s="1477"/>
      <c r="BT583" s="1477"/>
      <c r="BU583" s="1477"/>
      <c r="BV583" s="1477"/>
      <c r="BW583" s="1477"/>
      <c r="BX583" s="1477"/>
      <c r="BY583" s="1477"/>
      <c r="BZ583" s="1477"/>
      <c r="CA583" s="1477"/>
      <c r="CB583" s="1477"/>
      <c r="CC583" s="1477"/>
      <c r="CD583" s="1477"/>
      <c r="CE583" s="1477"/>
      <c r="CF583" s="1477"/>
      <c r="CG583" s="1477"/>
      <c r="CH583" s="1477"/>
    </row>
    <row r="584" spans="2:86">
      <c r="B584" s="1477"/>
      <c r="C584" s="1477"/>
      <c r="D584" s="1477"/>
      <c r="E584" s="1477"/>
      <c r="F584" s="1477"/>
      <c r="G584" s="1477"/>
      <c r="H584" s="1477"/>
      <c r="I584" s="1477"/>
      <c r="J584" s="1477"/>
      <c r="K584" s="1477"/>
      <c r="L584" s="1477"/>
      <c r="M584" s="1477"/>
      <c r="N584" s="1477"/>
      <c r="O584" s="1477"/>
      <c r="P584" s="1477"/>
      <c r="Q584" s="1477"/>
      <c r="R584" s="1477"/>
      <c r="S584" s="1477"/>
      <c r="T584" s="1477"/>
      <c r="U584" s="1477"/>
      <c r="V584" s="1477"/>
      <c r="W584" s="1477"/>
      <c r="X584" s="1477"/>
      <c r="Y584" s="1477"/>
      <c r="Z584" s="1477"/>
      <c r="AA584" s="1477"/>
      <c r="AB584" s="1477"/>
      <c r="AC584" s="1477"/>
      <c r="AD584" s="1477"/>
      <c r="AE584" s="1477"/>
      <c r="AF584" s="1477"/>
      <c r="AG584" s="1477"/>
      <c r="AH584" s="1477"/>
      <c r="AI584" s="1477"/>
      <c r="AJ584" s="1477"/>
      <c r="AK584" s="1477"/>
      <c r="AL584" s="1477"/>
      <c r="AM584" s="1477"/>
      <c r="AN584" s="1477"/>
      <c r="AO584" s="284"/>
      <c r="AP584" s="1477"/>
      <c r="AQ584" s="1477"/>
      <c r="AR584" s="1477"/>
      <c r="AS584" s="1477"/>
      <c r="AT584" s="1477"/>
      <c r="AU584" s="1477"/>
      <c r="AV584" s="1477"/>
      <c r="AW584" s="1477"/>
      <c r="AX584" s="1477"/>
      <c r="AY584" s="1477"/>
      <c r="AZ584" s="1477"/>
      <c r="BA584" s="1477"/>
      <c r="BB584" s="1477"/>
      <c r="BC584" s="1477"/>
      <c r="BD584" s="1477"/>
      <c r="BE584" s="1477"/>
      <c r="BF584" s="1477"/>
      <c r="BG584" s="1477"/>
      <c r="BH584" s="1477"/>
      <c r="BI584" s="1477"/>
      <c r="BJ584" s="1477"/>
      <c r="BK584" s="1477"/>
      <c r="BL584" s="1477"/>
      <c r="BM584" s="1477"/>
      <c r="BN584" s="1477"/>
      <c r="BO584" s="1477"/>
      <c r="BP584" s="1477"/>
      <c r="BQ584" s="1477"/>
      <c r="BR584" s="1477"/>
      <c r="BS584" s="1477"/>
      <c r="BT584" s="1477"/>
      <c r="BU584" s="1477"/>
      <c r="BV584" s="1477"/>
      <c r="BW584" s="1477"/>
      <c r="BX584" s="1477"/>
      <c r="BY584" s="1477"/>
      <c r="BZ584" s="1477"/>
      <c r="CA584" s="1477"/>
      <c r="CB584" s="1477"/>
      <c r="CC584" s="1477"/>
      <c r="CD584" s="1477"/>
      <c r="CE584" s="1477"/>
      <c r="CF584" s="1477"/>
      <c r="CG584" s="1477"/>
      <c r="CH584" s="1477"/>
    </row>
    <row r="585" spans="2:86">
      <c r="B585" s="1477"/>
      <c r="C585" s="1477"/>
      <c r="D585" s="1477"/>
      <c r="E585" s="1477"/>
      <c r="F585" s="1477"/>
      <c r="G585" s="1477"/>
      <c r="H585" s="1477"/>
      <c r="I585" s="1477"/>
      <c r="J585" s="1477"/>
      <c r="K585" s="1477"/>
      <c r="L585" s="1477"/>
      <c r="M585" s="1477"/>
      <c r="N585" s="1477"/>
      <c r="O585" s="1477"/>
      <c r="P585" s="1477"/>
      <c r="Q585" s="1477"/>
      <c r="R585" s="1477"/>
      <c r="S585" s="1477"/>
      <c r="T585" s="1477"/>
      <c r="U585" s="1477"/>
      <c r="V585" s="1477"/>
      <c r="W585" s="1477"/>
      <c r="X585" s="1477"/>
      <c r="Y585" s="1477"/>
      <c r="Z585" s="1477"/>
      <c r="AA585" s="1477"/>
      <c r="AB585" s="1477"/>
      <c r="AC585" s="1477"/>
      <c r="AD585" s="1477"/>
      <c r="AE585" s="1477"/>
      <c r="AF585" s="1477"/>
      <c r="AG585" s="1477"/>
      <c r="AH585" s="1477"/>
      <c r="AI585" s="1477"/>
      <c r="AJ585" s="1477"/>
      <c r="AK585" s="1477"/>
      <c r="AL585" s="1477"/>
      <c r="AM585" s="1477"/>
      <c r="AN585" s="1477"/>
      <c r="AO585" s="284"/>
      <c r="AP585" s="1477"/>
      <c r="AQ585" s="1477"/>
      <c r="AR585" s="1477"/>
      <c r="AS585" s="1477"/>
      <c r="AT585" s="1477"/>
      <c r="AU585" s="1477"/>
      <c r="AV585" s="1477"/>
      <c r="AW585" s="1477"/>
      <c r="AX585" s="1477"/>
      <c r="AY585" s="1477"/>
      <c r="AZ585" s="1477"/>
      <c r="BA585" s="1477"/>
      <c r="BB585" s="1477"/>
      <c r="BC585" s="1477"/>
      <c r="BD585" s="1477"/>
      <c r="BE585" s="1477"/>
      <c r="BF585" s="1477"/>
      <c r="BG585" s="1477"/>
      <c r="BH585" s="1477"/>
      <c r="BI585" s="1477"/>
      <c r="BJ585" s="1477"/>
      <c r="BK585" s="1477"/>
      <c r="BL585" s="1477"/>
      <c r="BM585" s="1477"/>
      <c r="BN585" s="1477"/>
      <c r="BO585" s="1477"/>
      <c r="BP585" s="1477"/>
      <c r="BQ585" s="1477"/>
      <c r="BR585" s="1477"/>
      <c r="BS585" s="1477"/>
      <c r="BT585" s="1477"/>
      <c r="BU585" s="1477"/>
      <c r="BV585" s="1477"/>
      <c r="BW585" s="1477"/>
      <c r="BX585" s="1477"/>
      <c r="BY585" s="1477"/>
      <c r="BZ585" s="1477"/>
      <c r="CA585" s="1477"/>
      <c r="CB585" s="1477"/>
      <c r="CC585" s="1477"/>
      <c r="CD585" s="1477"/>
      <c r="CE585" s="1477"/>
      <c r="CF585" s="1477"/>
      <c r="CG585" s="1477"/>
      <c r="CH585" s="1477"/>
    </row>
    <row r="586" spans="2:86">
      <c r="B586" s="1477"/>
      <c r="C586" s="1477"/>
      <c r="D586" s="1477"/>
      <c r="E586" s="1477"/>
      <c r="F586" s="1477"/>
      <c r="G586" s="1477"/>
      <c r="H586" s="1477"/>
      <c r="I586" s="1477"/>
      <c r="J586" s="1477"/>
      <c r="K586" s="1477"/>
      <c r="L586" s="1477"/>
      <c r="M586" s="1477"/>
      <c r="N586" s="1477"/>
      <c r="O586" s="1477"/>
      <c r="P586" s="1477"/>
      <c r="Q586" s="1477"/>
      <c r="R586" s="1477"/>
      <c r="S586" s="1477"/>
      <c r="T586" s="1477"/>
      <c r="U586" s="1477"/>
      <c r="V586" s="1477"/>
      <c r="W586" s="1477"/>
      <c r="X586" s="1477"/>
      <c r="Y586" s="1477"/>
      <c r="Z586" s="1477"/>
      <c r="AA586" s="1477"/>
      <c r="AB586" s="1477"/>
      <c r="AC586" s="1477"/>
      <c r="AD586" s="1477"/>
      <c r="AE586" s="1477"/>
      <c r="AF586" s="1477"/>
      <c r="AG586" s="1477"/>
      <c r="AH586" s="1477"/>
      <c r="AI586" s="1477"/>
      <c r="AJ586" s="1477"/>
      <c r="AK586" s="1477"/>
      <c r="AL586" s="1477"/>
      <c r="AM586" s="1477"/>
      <c r="AN586" s="1477"/>
      <c r="AO586" s="284"/>
      <c r="AP586" s="1477"/>
      <c r="AQ586" s="1477"/>
      <c r="AR586" s="1477"/>
      <c r="AS586" s="1477"/>
      <c r="AT586" s="1477"/>
      <c r="AU586" s="1477"/>
      <c r="AV586" s="1477"/>
      <c r="AW586" s="1477"/>
      <c r="AX586" s="1477"/>
      <c r="AY586" s="1477"/>
      <c r="AZ586" s="1477"/>
      <c r="BA586" s="1477"/>
      <c r="BB586" s="1477"/>
      <c r="BC586" s="1477"/>
      <c r="BD586" s="1477"/>
      <c r="BE586" s="1477"/>
      <c r="BF586" s="1477"/>
      <c r="BG586" s="1477"/>
      <c r="BH586" s="1477"/>
      <c r="BI586" s="1477"/>
      <c r="BJ586" s="1477"/>
      <c r="BK586" s="1477"/>
      <c r="BL586" s="1477"/>
      <c r="BM586" s="1477"/>
      <c r="BN586" s="1477"/>
      <c r="BO586" s="1477"/>
      <c r="BP586" s="1477"/>
      <c r="BQ586" s="1477"/>
      <c r="BR586" s="1477"/>
      <c r="BS586" s="1477"/>
      <c r="BT586" s="1477"/>
      <c r="BU586" s="1477"/>
      <c r="BV586" s="1477"/>
      <c r="BW586" s="1477"/>
      <c r="BX586" s="1477"/>
      <c r="BY586" s="1477"/>
      <c r="BZ586" s="1477"/>
      <c r="CA586" s="1477"/>
      <c r="CB586" s="1477"/>
      <c r="CC586" s="1477"/>
      <c r="CD586" s="1477"/>
      <c r="CE586" s="1477"/>
      <c r="CF586" s="1477"/>
      <c r="CG586" s="1477"/>
      <c r="CH586" s="1477"/>
    </row>
    <row r="587" spans="2:86">
      <c r="B587" s="1477"/>
      <c r="C587" s="1477"/>
      <c r="D587" s="1477"/>
      <c r="E587" s="1477"/>
      <c r="F587" s="1477"/>
      <c r="G587" s="1477"/>
      <c r="H587" s="1477"/>
      <c r="I587" s="1477"/>
      <c r="J587" s="1477"/>
      <c r="K587" s="1477"/>
      <c r="L587" s="1477"/>
      <c r="M587" s="1477"/>
      <c r="N587" s="1477"/>
      <c r="O587" s="1477"/>
      <c r="P587" s="1477"/>
      <c r="Q587" s="1477"/>
      <c r="R587" s="1477"/>
      <c r="S587" s="1477"/>
      <c r="T587" s="1477"/>
      <c r="U587" s="1477"/>
      <c r="V587" s="1477"/>
      <c r="W587" s="1477"/>
      <c r="X587" s="1477"/>
      <c r="Y587" s="1477"/>
      <c r="Z587" s="1477"/>
      <c r="AA587" s="1477"/>
      <c r="AB587" s="1477"/>
      <c r="AC587" s="1477"/>
      <c r="AD587" s="1477"/>
      <c r="AE587" s="1477"/>
      <c r="AF587" s="1477"/>
      <c r="AG587" s="1477"/>
      <c r="AH587" s="1477"/>
      <c r="AI587" s="1477"/>
      <c r="AJ587" s="1477"/>
      <c r="AK587" s="1477"/>
      <c r="AL587" s="1477"/>
      <c r="AM587" s="1477"/>
      <c r="AN587" s="1477"/>
      <c r="AO587" s="284"/>
      <c r="AP587" s="1477"/>
      <c r="AQ587" s="1477"/>
      <c r="AR587" s="1477"/>
      <c r="AS587" s="1477"/>
      <c r="AT587" s="1477"/>
      <c r="AU587" s="1477"/>
      <c r="AV587" s="1477"/>
      <c r="AW587" s="1477"/>
      <c r="AX587" s="1477"/>
      <c r="AY587" s="1477"/>
      <c r="AZ587" s="1477"/>
      <c r="BA587" s="1477"/>
      <c r="BB587" s="1477"/>
      <c r="BC587" s="1477"/>
      <c r="BD587" s="1477"/>
      <c r="BE587" s="1477"/>
      <c r="BF587" s="1477"/>
      <c r="BG587" s="1477"/>
      <c r="BH587" s="1477"/>
      <c r="BI587" s="1477"/>
      <c r="BJ587" s="1477"/>
      <c r="BK587" s="1477"/>
      <c r="BL587" s="1477"/>
      <c r="BM587" s="1477"/>
      <c r="BN587" s="1477"/>
      <c r="BO587" s="1477"/>
      <c r="BP587" s="1477"/>
      <c r="BQ587" s="1477"/>
      <c r="BR587" s="1477"/>
      <c r="BS587" s="1477"/>
      <c r="BT587" s="1477"/>
      <c r="BU587" s="1477"/>
      <c r="BV587" s="1477"/>
      <c r="BW587" s="1477"/>
      <c r="BX587" s="1477"/>
      <c r="BY587" s="1477"/>
      <c r="BZ587" s="1477"/>
      <c r="CA587" s="1477"/>
      <c r="CB587" s="1477"/>
      <c r="CC587" s="1477"/>
      <c r="CD587" s="1477"/>
      <c r="CE587" s="1477"/>
      <c r="CF587" s="1477"/>
      <c r="CG587" s="1477"/>
      <c r="CH587" s="1477"/>
    </row>
    <row r="588" spans="2:86">
      <c r="B588" s="1477"/>
      <c r="C588" s="1477"/>
      <c r="D588" s="1477"/>
      <c r="E588" s="1477"/>
      <c r="F588" s="1477"/>
      <c r="G588" s="1477"/>
      <c r="H588" s="1477"/>
      <c r="I588" s="1477"/>
      <c r="J588" s="1477"/>
      <c r="K588" s="1477"/>
      <c r="L588" s="1477"/>
      <c r="M588" s="1477"/>
      <c r="N588" s="1477"/>
      <c r="O588" s="1477"/>
      <c r="P588" s="1477"/>
      <c r="Q588" s="1477"/>
      <c r="R588" s="1477"/>
      <c r="S588" s="1477"/>
      <c r="T588" s="1477"/>
      <c r="U588" s="1477"/>
      <c r="V588" s="1477"/>
      <c r="W588" s="1477"/>
      <c r="X588" s="1477"/>
      <c r="Y588" s="1477"/>
      <c r="Z588" s="1477"/>
      <c r="AA588" s="1477"/>
      <c r="AB588" s="1477"/>
      <c r="AC588" s="1477"/>
      <c r="AD588" s="1477"/>
      <c r="AE588" s="1477"/>
      <c r="AF588" s="1477"/>
      <c r="AG588" s="1477"/>
      <c r="AH588" s="1477"/>
      <c r="AI588" s="1477"/>
      <c r="AJ588" s="1477"/>
      <c r="AK588" s="1477"/>
      <c r="AL588" s="1477"/>
      <c r="AM588" s="1477"/>
      <c r="AN588" s="1477"/>
      <c r="AO588" s="284"/>
      <c r="AP588" s="1477"/>
      <c r="AQ588" s="1477"/>
      <c r="AR588" s="1477"/>
      <c r="AS588" s="1477"/>
      <c r="AT588" s="1477"/>
      <c r="AU588" s="1477"/>
      <c r="AV588" s="1477"/>
      <c r="AW588" s="1477"/>
      <c r="AX588" s="1477"/>
      <c r="AY588" s="1477"/>
      <c r="AZ588" s="1477"/>
      <c r="BA588" s="1477"/>
      <c r="BB588" s="1477"/>
      <c r="BC588" s="1477"/>
      <c r="BD588" s="1477"/>
      <c r="BE588" s="1477"/>
      <c r="BF588" s="1477"/>
      <c r="BG588" s="1477"/>
      <c r="BH588" s="1477"/>
      <c r="BI588" s="1477"/>
      <c r="BJ588" s="1477"/>
      <c r="BK588" s="1477"/>
      <c r="BL588" s="1477"/>
      <c r="BM588" s="1477"/>
      <c r="BN588" s="1477"/>
      <c r="BO588" s="1477"/>
      <c r="BP588" s="1477"/>
      <c r="BQ588" s="1477"/>
      <c r="BR588" s="1477"/>
      <c r="BS588" s="1477"/>
      <c r="BT588" s="1477"/>
      <c r="BU588" s="1477"/>
      <c r="BV588" s="1477"/>
      <c r="BW588" s="1477"/>
      <c r="BX588" s="1477"/>
      <c r="BY588" s="1477"/>
      <c r="BZ588" s="1477"/>
      <c r="CA588" s="1477"/>
      <c r="CB588" s="1477"/>
      <c r="CC588" s="1477"/>
      <c r="CD588" s="1477"/>
      <c r="CE588" s="1477"/>
      <c r="CF588" s="1477"/>
      <c r="CG588" s="1477"/>
      <c r="CH588" s="1477"/>
    </row>
    <row r="589" spans="2:86">
      <c r="B589" s="1477"/>
      <c r="C589" s="1477"/>
      <c r="D589" s="1477"/>
      <c r="E589" s="1477"/>
      <c r="F589" s="1477"/>
      <c r="G589" s="1477"/>
      <c r="H589" s="1477"/>
      <c r="I589" s="1477"/>
      <c r="J589" s="1477"/>
      <c r="K589" s="1477"/>
      <c r="L589" s="1477"/>
      <c r="M589" s="1477"/>
      <c r="N589" s="1477"/>
      <c r="O589" s="1477"/>
      <c r="P589" s="1477"/>
      <c r="Q589" s="1477"/>
      <c r="R589" s="1477"/>
      <c r="S589" s="1477"/>
      <c r="T589" s="1477"/>
      <c r="U589" s="1477"/>
      <c r="V589" s="1477"/>
      <c r="W589" s="1477"/>
      <c r="X589" s="1477"/>
      <c r="Y589" s="1477"/>
      <c r="Z589" s="1477"/>
      <c r="AA589" s="1477"/>
      <c r="AB589" s="1477"/>
      <c r="AC589" s="1477"/>
      <c r="AD589" s="1477"/>
      <c r="AE589" s="1477"/>
      <c r="AF589" s="1477"/>
      <c r="AG589" s="1477"/>
      <c r="AH589" s="1477"/>
      <c r="AI589" s="1477"/>
      <c r="AJ589" s="1477"/>
      <c r="AK589" s="1477"/>
      <c r="AL589" s="1477"/>
      <c r="AM589" s="1477"/>
      <c r="AN589" s="1477"/>
      <c r="AO589" s="284"/>
      <c r="AP589" s="1477"/>
      <c r="AQ589" s="1477"/>
      <c r="AR589" s="1477"/>
      <c r="AS589" s="1477"/>
      <c r="AT589" s="1477"/>
      <c r="AU589" s="1477"/>
      <c r="AV589" s="1477"/>
      <c r="AW589" s="1477"/>
      <c r="AX589" s="1477"/>
      <c r="AY589" s="1477"/>
      <c r="AZ589" s="1477"/>
      <c r="BA589" s="1477"/>
      <c r="BB589" s="1477"/>
      <c r="BC589" s="1477"/>
      <c r="BD589" s="1477"/>
      <c r="BE589" s="1477"/>
      <c r="BF589" s="1477"/>
      <c r="BG589" s="1477"/>
      <c r="BH589" s="1477"/>
      <c r="BI589" s="1477"/>
      <c r="BJ589" s="1477"/>
      <c r="BK589" s="1477"/>
      <c r="BL589" s="1477"/>
      <c r="BM589" s="1477"/>
      <c r="BN589" s="1477"/>
      <c r="BO589" s="1477"/>
      <c r="BP589" s="1477"/>
      <c r="BQ589" s="1477"/>
      <c r="BR589" s="1477"/>
      <c r="BS589" s="1477"/>
      <c r="BT589" s="1477"/>
      <c r="BU589" s="1477"/>
      <c r="BV589" s="1477"/>
      <c r="BW589" s="1477"/>
      <c r="BX589" s="1477"/>
      <c r="BY589" s="1477"/>
      <c r="BZ589" s="1477"/>
      <c r="CA589" s="1477"/>
      <c r="CB589" s="1477"/>
      <c r="CC589" s="1477"/>
      <c r="CD589" s="1477"/>
      <c r="CE589" s="1477"/>
      <c r="CF589" s="1477"/>
      <c r="CG589" s="1477"/>
      <c r="CH589" s="1477"/>
    </row>
    <row r="590" spans="2:86">
      <c r="B590" s="1477"/>
      <c r="C590" s="1477"/>
      <c r="D590" s="1477"/>
      <c r="E590" s="1477"/>
      <c r="F590" s="1477"/>
      <c r="G590" s="1477"/>
      <c r="H590" s="1477"/>
      <c r="I590" s="1477"/>
      <c r="J590" s="1477"/>
      <c r="K590" s="1477"/>
      <c r="L590" s="1477"/>
      <c r="M590" s="1477"/>
      <c r="N590" s="1477"/>
      <c r="O590" s="1477"/>
      <c r="P590" s="1477"/>
      <c r="Q590" s="1477"/>
      <c r="R590" s="1477"/>
      <c r="S590" s="1477"/>
      <c r="T590" s="1477"/>
      <c r="U590" s="1477"/>
      <c r="V590" s="1477"/>
      <c r="W590" s="1477"/>
      <c r="X590" s="1477"/>
      <c r="Y590" s="1477"/>
      <c r="Z590" s="1477"/>
      <c r="AA590" s="1477"/>
      <c r="AB590" s="1477"/>
      <c r="AC590" s="1477"/>
      <c r="AD590" s="1477"/>
      <c r="AE590" s="1477"/>
      <c r="AF590" s="1477"/>
      <c r="AG590" s="1477"/>
      <c r="AH590" s="1477"/>
      <c r="AI590" s="1477"/>
      <c r="AJ590" s="1477"/>
      <c r="AK590" s="1477"/>
      <c r="AL590" s="1477"/>
      <c r="AM590" s="1477"/>
      <c r="AN590" s="1477"/>
      <c r="AO590" s="284"/>
      <c r="AP590" s="1477"/>
      <c r="AQ590" s="1477"/>
      <c r="AR590" s="1477"/>
      <c r="AS590" s="1477"/>
      <c r="AT590" s="1477"/>
      <c r="AU590" s="1477"/>
      <c r="AV590" s="1477"/>
      <c r="AW590" s="1477"/>
      <c r="AX590" s="1477"/>
      <c r="AY590" s="1477"/>
      <c r="AZ590" s="1477"/>
      <c r="BA590" s="1477"/>
      <c r="BB590" s="1477"/>
      <c r="BC590" s="1477"/>
      <c r="BD590" s="1477"/>
      <c r="BE590" s="1477"/>
      <c r="BF590" s="1477"/>
      <c r="BG590" s="1477"/>
      <c r="BH590" s="1477"/>
      <c r="BI590" s="1477"/>
      <c r="BJ590" s="1477"/>
      <c r="BK590" s="1477"/>
      <c r="BL590" s="1477"/>
      <c r="BM590" s="1477"/>
      <c r="BN590" s="1477"/>
      <c r="BO590" s="1477"/>
      <c r="BP590" s="1477"/>
      <c r="BQ590" s="1477"/>
      <c r="BR590" s="1477"/>
      <c r="BS590" s="1477"/>
      <c r="BT590" s="1477"/>
      <c r="BU590" s="1477"/>
      <c r="BV590" s="1477"/>
      <c r="BW590" s="1477"/>
      <c r="BX590" s="1477"/>
      <c r="BY590" s="1477"/>
      <c r="BZ590" s="1477"/>
      <c r="CA590" s="1477"/>
      <c r="CB590" s="1477"/>
      <c r="CC590" s="1477"/>
      <c r="CD590" s="1477"/>
      <c r="CE590" s="1477"/>
      <c r="CF590" s="1477"/>
      <c r="CG590" s="1477"/>
      <c r="CH590" s="1477"/>
    </row>
    <row r="591" spans="2:86">
      <c r="B591" s="1477"/>
      <c r="C591" s="1477"/>
      <c r="D591" s="1477"/>
      <c r="E591" s="1477"/>
      <c r="F591" s="1477"/>
      <c r="G591" s="1477"/>
      <c r="H591" s="1477"/>
      <c r="I591" s="1477"/>
      <c r="J591" s="1477"/>
      <c r="K591" s="1477"/>
      <c r="L591" s="1477"/>
      <c r="M591" s="1477"/>
      <c r="N591" s="1477"/>
      <c r="O591" s="1477"/>
      <c r="P591" s="1477"/>
      <c r="Q591" s="1477"/>
      <c r="R591" s="1477"/>
      <c r="S591" s="1477"/>
      <c r="T591" s="1477"/>
      <c r="U591" s="1477"/>
      <c r="V591" s="1477"/>
      <c r="W591" s="1477"/>
      <c r="X591" s="1477"/>
      <c r="Y591" s="1477"/>
      <c r="Z591" s="1477"/>
      <c r="AA591" s="1477"/>
      <c r="AB591" s="1477"/>
      <c r="AC591" s="1477"/>
      <c r="AD591" s="1477"/>
      <c r="AE591" s="1477"/>
      <c r="AF591" s="1477"/>
      <c r="AG591" s="1477"/>
      <c r="AH591" s="1477"/>
      <c r="AI591" s="1477"/>
      <c r="AJ591" s="1477"/>
      <c r="AK591" s="1477"/>
      <c r="AL591" s="1477"/>
      <c r="AM591" s="1477"/>
      <c r="AN591" s="1477"/>
      <c r="AO591" s="284"/>
      <c r="AP591" s="1477"/>
      <c r="AQ591" s="1477"/>
      <c r="AR591" s="1477"/>
      <c r="AS591" s="1477"/>
      <c r="AT591" s="1477"/>
      <c r="AU591" s="1477"/>
      <c r="AV591" s="1477"/>
      <c r="AW591" s="1477"/>
      <c r="AX591" s="1477"/>
      <c r="AY591" s="1477"/>
      <c r="AZ591" s="1477"/>
      <c r="BA591" s="1477"/>
      <c r="BB591" s="1477"/>
      <c r="BC591" s="1477"/>
      <c r="BD591" s="1477"/>
      <c r="BE591" s="1477"/>
      <c r="BF591" s="1477"/>
      <c r="BG591" s="1477"/>
      <c r="BH591" s="1477"/>
      <c r="BI591" s="1477"/>
      <c r="BJ591" s="1477"/>
      <c r="BK591" s="1477"/>
      <c r="BL591" s="1477"/>
      <c r="BM591" s="1477"/>
      <c r="BN591" s="1477"/>
      <c r="BO591" s="1477"/>
      <c r="BP591" s="1477"/>
      <c r="BQ591" s="1477"/>
      <c r="BR591" s="1477"/>
      <c r="BS591" s="1477"/>
      <c r="BT591" s="1477"/>
      <c r="BU591" s="1477"/>
      <c r="BV591" s="1477"/>
      <c r="BW591" s="1477"/>
      <c r="BX591" s="1477"/>
      <c r="BY591" s="1477"/>
      <c r="BZ591" s="1477"/>
      <c r="CA591" s="1477"/>
      <c r="CB591" s="1477"/>
      <c r="CC591" s="1477"/>
      <c r="CD591" s="1477"/>
      <c r="CE591" s="1477"/>
      <c r="CF591" s="1477"/>
      <c r="CG591" s="1477"/>
      <c r="CH591" s="1477"/>
    </row>
    <row r="592" spans="2:86">
      <c r="B592" s="1477"/>
      <c r="C592" s="1477"/>
      <c r="D592" s="1477"/>
      <c r="E592" s="1477"/>
      <c r="F592" s="1477"/>
      <c r="G592" s="1477"/>
      <c r="H592" s="1477"/>
      <c r="I592" s="1477"/>
      <c r="J592" s="1477"/>
      <c r="K592" s="1477"/>
      <c r="L592" s="1477"/>
      <c r="M592" s="1477"/>
      <c r="N592" s="1477"/>
      <c r="O592" s="1477"/>
      <c r="P592" s="1477"/>
      <c r="Q592" s="1477"/>
      <c r="R592" s="1477"/>
      <c r="S592" s="1477"/>
      <c r="T592" s="1477"/>
      <c r="U592" s="1477"/>
      <c r="V592" s="1477"/>
      <c r="W592" s="1477"/>
      <c r="X592" s="1477"/>
      <c r="Y592" s="1477"/>
      <c r="Z592" s="1477"/>
      <c r="AA592" s="1477"/>
      <c r="AB592" s="1477"/>
      <c r="AC592" s="1477"/>
      <c r="AD592" s="1477"/>
      <c r="AE592" s="1477"/>
      <c r="AF592" s="1477"/>
      <c r="AG592" s="1477"/>
      <c r="AH592" s="1477"/>
      <c r="AI592" s="1477"/>
      <c r="AJ592" s="1477"/>
      <c r="AK592" s="1477"/>
      <c r="AL592" s="1477"/>
      <c r="AM592" s="1477"/>
      <c r="AN592" s="1477"/>
      <c r="AO592" s="284"/>
      <c r="AP592" s="1477"/>
      <c r="AQ592" s="1477"/>
      <c r="AR592" s="1477"/>
      <c r="AS592" s="1477"/>
      <c r="AT592" s="1477"/>
      <c r="AU592" s="1477"/>
      <c r="AV592" s="1477"/>
      <c r="AW592" s="1477"/>
      <c r="AX592" s="1477"/>
      <c r="AY592" s="1477"/>
      <c r="AZ592" s="1477"/>
      <c r="BA592" s="1477"/>
      <c r="BB592" s="1477"/>
      <c r="BC592" s="1477"/>
      <c r="BD592" s="1477"/>
      <c r="BE592" s="1477"/>
      <c r="BF592" s="1477"/>
      <c r="BG592" s="1477"/>
      <c r="BH592" s="1477"/>
      <c r="BI592" s="1477"/>
      <c r="BJ592" s="1477"/>
      <c r="BK592" s="1477"/>
      <c r="BL592" s="1477"/>
      <c r="BM592" s="1477"/>
      <c r="BN592" s="1477"/>
      <c r="BO592" s="1477"/>
      <c r="BP592" s="1477"/>
      <c r="BQ592" s="1477"/>
      <c r="BR592" s="1477"/>
      <c r="BS592" s="1477"/>
      <c r="BT592" s="1477"/>
      <c r="BU592" s="1477"/>
      <c r="BV592" s="1477"/>
      <c r="BW592" s="1477"/>
      <c r="BX592" s="1477"/>
      <c r="BY592" s="1477"/>
      <c r="BZ592" s="1477"/>
      <c r="CA592" s="1477"/>
      <c r="CB592" s="1477"/>
      <c r="CC592" s="1477"/>
      <c r="CD592" s="1477"/>
      <c r="CE592" s="1477"/>
      <c r="CF592" s="1477"/>
      <c r="CG592" s="1477"/>
      <c r="CH592" s="1477"/>
    </row>
    <row r="593" spans="2:86">
      <c r="B593" s="1477"/>
      <c r="C593" s="1477"/>
      <c r="D593" s="1477"/>
      <c r="E593" s="1477"/>
      <c r="F593" s="1477"/>
      <c r="G593" s="1477"/>
      <c r="H593" s="1477"/>
      <c r="I593" s="1477"/>
      <c r="J593" s="1477"/>
      <c r="K593" s="1477"/>
      <c r="L593" s="1477"/>
      <c r="M593" s="1477"/>
      <c r="N593" s="1477"/>
      <c r="O593" s="1477"/>
      <c r="P593" s="1477"/>
      <c r="Q593" s="1477"/>
      <c r="R593" s="1477"/>
      <c r="S593" s="1477"/>
      <c r="T593" s="1477"/>
      <c r="U593" s="1477"/>
      <c r="V593" s="1477"/>
      <c r="W593" s="1477"/>
      <c r="X593" s="1477"/>
      <c r="Y593" s="1477"/>
      <c r="Z593" s="1477"/>
      <c r="AA593" s="1477"/>
      <c r="AB593" s="1477"/>
      <c r="AC593" s="1477"/>
      <c r="AD593" s="1477"/>
      <c r="AE593" s="1477"/>
      <c r="AF593" s="1477"/>
      <c r="AG593" s="1477"/>
      <c r="AH593" s="1477"/>
      <c r="AI593" s="1477"/>
      <c r="AJ593" s="1477"/>
      <c r="AK593" s="1477"/>
      <c r="AL593" s="1477"/>
      <c r="AM593" s="1477"/>
      <c r="AN593" s="1477"/>
      <c r="AO593" s="284"/>
      <c r="AP593" s="1477"/>
      <c r="AQ593" s="1477"/>
      <c r="AR593" s="1477"/>
      <c r="AS593" s="1477"/>
      <c r="AT593" s="1477"/>
      <c r="AU593" s="1477"/>
      <c r="AV593" s="1477"/>
      <c r="AW593" s="1477"/>
      <c r="AX593" s="1477"/>
      <c r="AY593" s="1477"/>
      <c r="AZ593" s="1477"/>
      <c r="BA593" s="1477"/>
      <c r="BB593" s="1477"/>
      <c r="BC593" s="1477"/>
      <c r="BD593" s="1477"/>
      <c r="BE593" s="1477"/>
      <c r="BF593" s="1477"/>
      <c r="BG593" s="1477"/>
      <c r="BH593" s="1477"/>
      <c r="BI593" s="1477"/>
      <c r="BJ593" s="1477"/>
      <c r="BK593" s="1477"/>
      <c r="BL593" s="1477"/>
      <c r="BM593" s="1477"/>
      <c r="BN593" s="1477"/>
      <c r="BO593" s="1477"/>
      <c r="BP593" s="1477"/>
      <c r="BQ593" s="1477"/>
      <c r="BR593" s="1477"/>
      <c r="BS593" s="1477"/>
      <c r="BT593" s="1477"/>
      <c r="BU593" s="1477"/>
      <c r="BV593" s="1477"/>
      <c r="BW593" s="1477"/>
      <c r="BX593" s="1477"/>
      <c r="BY593" s="1477"/>
      <c r="BZ593" s="1477"/>
      <c r="CA593" s="1477"/>
      <c r="CB593" s="1477"/>
      <c r="CC593" s="1477"/>
      <c r="CD593" s="1477"/>
      <c r="CE593" s="1477"/>
      <c r="CF593" s="1477"/>
      <c r="CG593" s="1477"/>
      <c r="CH593" s="1477"/>
    </row>
    <row r="594" spans="2:86">
      <c r="B594" s="1477"/>
      <c r="C594" s="1477"/>
      <c r="D594" s="1477"/>
      <c r="E594" s="1477"/>
      <c r="F594" s="1477"/>
      <c r="G594" s="1477"/>
      <c r="H594" s="1477"/>
      <c r="I594" s="1477"/>
      <c r="J594" s="1477"/>
      <c r="K594" s="1477"/>
      <c r="L594" s="1477"/>
      <c r="M594" s="1477"/>
      <c r="N594" s="1477"/>
      <c r="O594" s="1477"/>
      <c r="P594" s="1477"/>
      <c r="Q594" s="1477"/>
      <c r="R594" s="1477"/>
      <c r="S594" s="1477"/>
      <c r="T594" s="1477"/>
      <c r="U594" s="1477"/>
      <c r="V594" s="1477"/>
      <c r="W594" s="1477"/>
      <c r="X594" s="1477"/>
      <c r="Y594" s="1477"/>
      <c r="Z594" s="1477"/>
      <c r="AA594" s="1477"/>
      <c r="AB594" s="1477"/>
      <c r="AC594" s="1477"/>
      <c r="AD594" s="1477"/>
      <c r="AE594" s="1477"/>
      <c r="AF594" s="1477"/>
      <c r="AG594" s="1477"/>
      <c r="AH594" s="1477"/>
      <c r="AI594" s="1477"/>
      <c r="AJ594" s="1477"/>
      <c r="AK594" s="1477"/>
      <c r="AL594" s="1477"/>
      <c r="AM594" s="1477"/>
      <c r="AN594" s="1477"/>
      <c r="AO594" s="284"/>
      <c r="AP594" s="1477"/>
      <c r="AQ594" s="1477"/>
      <c r="AR594" s="1477"/>
      <c r="AS594" s="1477"/>
      <c r="AT594" s="1477"/>
      <c r="AU594" s="1477"/>
      <c r="AV594" s="1477"/>
      <c r="AW594" s="1477"/>
      <c r="AX594" s="1477"/>
      <c r="AY594" s="1477"/>
      <c r="AZ594" s="1477"/>
      <c r="BA594" s="1477"/>
      <c r="BB594" s="1477"/>
      <c r="BC594" s="1477"/>
      <c r="BD594" s="1477"/>
      <c r="BE594" s="1477"/>
      <c r="BF594" s="1477"/>
      <c r="BG594" s="1477"/>
      <c r="BH594" s="1477"/>
      <c r="BI594" s="1477"/>
      <c r="BJ594" s="1477"/>
      <c r="BK594" s="1477"/>
      <c r="BL594" s="1477"/>
      <c r="BM594" s="1477"/>
      <c r="BN594" s="1477"/>
      <c r="BO594" s="1477"/>
      <c r="BP594" s="1477"/>
      <c r="BQ594" s="1477"/>
      <c r="BR594" s="1477"/>
      <c r="BS594" s="1477"/>
      <c r="BT594" s="1477"/>
      <c r="BU594" s="1477"/>
      <c r="BV594" s="1477"/>
      <c r="BW594" s="1477"/>
      <c r="BX594" s="1477"/>
      <c r="BY594" s="1477"/>
      <c r="BZ594" s="1477"/>
      <c r="CA594" s="1477"/>
      <c r="CB594" s="1477"/>
      <c r="CC594" s="1477"/>
      <c r="CD594" s="1477"/>
      <c r="CE594" s="1477"/>
      <c r="CF594" s="1477"/>
      <c r="CG594" s="1477"/>
      <c r="CH594" s="1477"/>
    </row>
    <row r="595" spans="2:86">
      <c r="B595" s="1477"/>
      <c r="C595" s="1477"/>
      <c r="D595" s="1477"/>
      <c r="E595" s="1477"/>
      <c r="F595" s="1477"/>
      <c r="G595" s="1477"/>
      <c r="H595" s="1477"/>
      <c r="I595" s="1477"/>
      <c r="J595" s="1477"/>
      <c r="K595" s="1477"/>
      <c r="L595" s="1477"/>
      <c r="M595" s="1477"/>
      <c r="N595" s="1477"/>
      <c r="O595" s="1477"/>
      <c r="P595" s="1477"/>
      <c r="Q595" s="1477"/>
      <c r="R595" s="1477"/>
      <c r="S595" s="1477"/>
      <c r="T595" s="1477"/>
      <c r="U595" s="1477"/>
      <c r="V595" s="1477"/>
      <c r="W595" s="1477"/>
      <c r="X595" s="1477"/>
      <c r="Y595" s="1477"/>
      <c r="Z595" s="1477"/>
      <c r="AA595" s="1477"/>
      <c r="AB595" s="1477"/>
      <c r="AC595" s="1477"/>
      <c r="AD595" s="1477"/>
      <c r="AE595" s="1477"/>
      <c r="AF595" s="1477"/>
      <c r="AG595" s="1477"/>
      <c r="AH595" s="1477"/>
      <c r="AI595" s="1477"/>
      <c r="AJ595" s="1477"/>
      <c r="AK595" s="1477"/>
      <c r="AL595" s="1477"/>
      <c r="AM595" s="1477"/>
      <c r="AN595" s="1477"/>
      <c r="AO595" s="284"/>
      <c r="AP595" s="1477"/>
      <c r="AQ595" s="1477"/>
      <c r="AR595" s="1477"/>
      <c r="AS595" s="1477"/>
      <c r="AT595" s="1477"/>
      <c r="AU595" s="1477"/>
      <c r="AV595" s="1477"/>
      <c r="AW595" s="1477"/>
      <c r="AX595" s="1477"/>
      <c r="AY595" s="1477"/>
      <c r="AZ595" s="1477"/>
      <c r="BA595" s="1477"/>
      <c r="BB595" s="1477"/>
      <c r="BC595" s="1477"/>
      <c r="BD595" s="1477"/>
      <c r="BE595" s="1477"/>
      <c r="BF595" s="1477"/>
      <c r="BG595" s="1477"/>
      <c r="BH595" s="1477"/>
      <c r="BI595" s="1477"/>
      <c r="BJ595" s="1477"/>
      <c r="BK595" s="1477"/>
      <c r="BL595" s="1477"/>
      <c r="BM595" s="1477"/>
      <c r="BN595" s="1477"/>
      <c r="BO595" s="1477"/>
      <c r="BP595" s="1477"/>
      <c r="BQ595" s="1477"/>
      <c r="BR595" s="1477"/>
      <c r="BS595" s="1477"/>
      <c r="BT595" s="1477"/>
      <c r="BU595" s="1477"/>
      <c r="BV595" s="1477"/>
      <c r="BW595" s="1477"/>
      <c r="BX595" s="1477"/>
      <c r="BY595" s="1477"/>
      <c r="BZ595" s="1477"/>
      <c r="CA595" s="1477"/>
      <c r="CB595" s="1477"/>
      <c r="CC595" s="1477"/>
      <c r="CD595" s="1477"/>
      <c r="CE595" s="1477"/>
      <c r="CF595" s="1477"/>
      <c r="CG595" s="1477"/>
      <c r="CH595" s="1477"/>
    </row>
    <row r="596" spans="2:86">
      <c r="B596" s="1477"/>
      <c r="C596" s="1477"/>
      <c r="D596" s="1477"/>
      <c r="E596" s="1477"/>
      <c r="F596" s="1477"/>
      <c r="G596" s="1477"/>
      <c r="H596" s="1477"/>
      <c r="I596" s="1477"/>
      <c r="J596" s="1477"/>
      <c r="K596" s="1477"/>
      <c r="L596" s="1477"/>
      <c r="M596" s="1477"/>
      <c r="N596" s="1477"/>
      <c r="O596" s="1477"/>
      <c r="P596" s="1477"/>
      <c r="Q596" s="1477"/>
      <c r="R596" s="1477"/>
      <c r="S596" s="1477"/>
      <c r="T596" s="1477"/>
      <c r="U596" s="1477"/>
      <c r="V596" s="1477"/>
      <c r="W596" s="1477"/>
      <c r="X596" s="1477"/>
      <c r="Y596" s="1477"/>
      <c r="Z596" s="1477"/>
      <c r="AA596" s="1477"/>
      <c r="AB596" s="1477"/>
      <c r="AC596" s="1477"/>
      <c r="AD596" s="1477"/>
      <c r="AE596" s="1477"/>
      <c r="AF596" s="1477"/>
      <c r="AG596" s="1477"/>
      <c r="AH596" s="1477"/>
      <c r="AI596" s="1477"/>
      <c r="AJ596" s="1477"/>
      <c r="AK596" s="1477"/>
      <c r="AL596" s="1477"/>
      <c r="AM596" s="1477"/>
      <c r="AN596" s="1477"/>
      <c r="AO596" s="284"/>
      <c r="AP596" s="1477"/>
      <c r="AQ596" s="1477"/>
      <c r="AR596" s="1477"/>
      <c r="AS596" s="1477"/>
      <c r="AT596" s="1477"/>
      <c r="AU596" s="1477"/>
      <c r="AV596" s="1477"/>
      <c r="AW596" s="1477"/>
      <c r="AX596" s="1477"/>
      <c r="AY596" s="1477"/>
      <c r="AZ596" s="1477"/>
      <c r="BA596" s="1477"/>
      <c r="BB596" s="1477"/>
      <c r="BC596" s="1477"/>
      <c r="BD596" s="1477"/>
      <c r="BE596" s="1477"/>
      <c r="BF596" s="1477"/>
      <c r="BG596" s="1477"/>
      <c r="BH596" s="1477"/>
      <c r="BI596" s="1477"/>
      <c r="BJ596" s="1477"/>
      <c r="BK596" s="1477"/>
      <c r="BL596" s="1477"/>
      <c r="BM596" s="1477"/>
      <c r="BN596" s="1477"/>
      <c r="BO596" s="1477"/>
      <c r="BP596" s="1477"/>
      <c r="BQ596" s="1477"/>
      <c r="BR596" s="1477"/>
      <c r="BS596" s="1477"/>
      <c r="BT596" s="1477"/>
      <c r="BU596" s="1477"/>
      <c r="BV596" s="1477"/>
      <c r="BW596" s="1477"/>
      <c r="BX596" s="1477"/>
      <c r="BY596" s="1477"/>
      <c r="BZ596" s="1477"/>
      <c r="CA596" s="1477"/>
      <c r="CB596" s="1477"/>
      <c r="CC596" s="1477"/>
      <c r="CD596" s="1477"/>
      <c r="CE596" s="1477"/>
      <c r="CF596" s="1477"/>
      <c r="CG596" s="1477"/>
      <c r="CH596" s="1477"/>
    </row>
    <row r="597" spans="2:86">
      <c r="B597" s="1477"/>
      <c r="C597" s="1477"/>
      <c r="D597" s="1477"/>
      <c r="E597" s="1477"/>
      <c r="F597" s="1477"/>
      <c r="G597" s="1477"/>
      <c r="H597" s="1477"/>
      <c r="I597" s="1477"/>
      <c r="J597" s="1477"/>
      <c r="K597" s="1477"/>
      <c r="L597" s="1477"/>
      <c r="M597" s="1477"/>
      <c r="N597" s="1477"/>
      <c r="O597" s="1477"/>
      <c r="P597" s="1477"/>
      <c r="Q597" s="1477"/>
      <c r="R597" s="1477"/>
      <c r="S597" s="1477"/>
      <c r="T597" s="1477"/>
      <c r="U597" s="1477"/>
      <c r="V597" s="1477"/>
      <c r="W597" s="1477"/>
      <c r="X597" s="1477"/>
      <c r="Y597" s="1477"/>
      <c r="Z597" s="1477"/>
      <c r="AA597" s="1477"/>
      <c r="AB597" s="1477"/>
      <c r="AC597" s="1477"/>
      <c r="AD597" s="1477"/>
      <c r="AE597" s="1477"/>
      <c r="AF597" s="1477"/>
      <c r="AG597" s="1477"/>
      <c r="AH597" s="1477"/>
      <c r="AI597" s="1477"/>
      <c r="AJ597" s="1477"/>
      <c r="AK597" s="1477"/>
      <c r="AL597" s="1477"/>
      <c r="AM597" s="1477"/>
      <c r="AN597" s="1477"/>
      <c r="AO597" s="284"/>
      <c r="AP597" s="1477"/>
      <c r="AQ597" s="1477"/>
      <c r="AR597" s="1477"/>
      <c r="AS597" s="1477"/>
      <c r="AT597" s="1477"/>
      <c r="AU597" s="1477"/>
      <c r="AV597" s="1477"/>
      <c r="AW597" s="1477"/>
      <c r="AX597" s="1477"/>
      <c r="AY597" s="1477"/>
      <c r="AZ597" s="1477"/>
      <c r="BA597" s="1477"/>
      <c r="BB597" s="1477"/>
      <c r="BC597" s="1477"/>
      <c r="BD597" s="1477"/>
      <c r="BE597" s="1477"/>
      <c r="BF597" s="1477"/>
      <c r="BG597" s="1477"/>
      <c r="BH597" s="1477"/>
      <c r="BI597" s="1477"/>
      <c r="BJ597" s="1477"/>
      <c r="BK597" s="1477"/>
      <c r="BL597" s="1477"/>
      <c r="BM597" s="1477"/>
      <c r="BN597" s="1477"/>
      <c r="BO597" s="1477"/>
      <c r="BP597" s="1477"/>
      <c r="BQ597" s="1477"/>
      <c r="BR597" s="1477"/>
      <c r="BS597" s="1477"/>
      <c r="BT597" s="1477"/>
      <c r="BU597" s="1477"/>
      <c r="BV597" s="1477"/>
      <c r="BW597" s="1477"/>
      <c r="BX597" s="1477"/>
      <c r="BY597" s="1477"/>
      <c r="BZ597" s="1477"/>
      <c r="CA597" s="1477"/>
      <c r="CB597" s="1477"/>
      <c r="CC597" s="1477"/>
      <c r="CD597" s="1477"/>
      <c r="CE597" s="1477"/>
      <c r="CF597" s="1477"/>
      <c r="CG597" s="1477"/>
      <c r="CH597" s="1477"/>
    </row>
    <row r="598" spans="2:86">
      <c r="B598" s="1477"/>
      <c r="C598" s="1477"/>
      <c r="D598" s="1477"/>
      <c r="E598" s="1477"/>
      <c r="F598" s="1477"/>
      <c r="G598" s="1477"/>
      <c r="H598" s="1477"/>
      <c r="I598" s="1477"/>
      <c r="J598" s="1477"/>
      <c r="K598" s="1477"/>
      <c r="L598" s="1477"/>
      <c r="M598" s="1477"/>
      <c r="N598" s="1477"/>
      <c r="O598" s="1477"/>
      <c r="P598" s="1477"/>
      <c r="Q598" s="1477"/>
      <c r="R598" s="1477"/>
      <c r="S598" s="1477"/>
      <c r="T598" s="1477"/>
      <c r="U598" s="1477"/>
      <c r="V598" s="1477"/>
      <c r="W598" s="1477"/>
      <c r="X598" s="1477"/>
      <c r="Y598" s="1477"/>
      <c r="Z598" s="1477"/>
      <c r="AA598" s="1477"/>
      <c r="AB598" s="1477"/>
      <c r="AC598" s="1477"/>
      <c r="AD598" s="1477"/>
      <c r="AE598" s="1477"/>
      <c r="AF598" s="1477"/>
      <c r="AG598" s="1477"/>
      <c r="AH598" s="1477"/>
      <c r="AI598" s="1477"/>
      <c r="AJ598" s="1477"/>
      <c r="AK598" s="1477"/>
      <c r="AL598" s="1477"/>
      <c r="AM598" s="1477"/>
      <c r="AN598" s="1477"/>
      <c r="AO598" s="284"/>
      <c r="AP598" s="1477"/>
      <c r="AQ598" s="1477"/>
      <c r="AR598" s="1477"/>
      <c r="AS598" s="1477"/>
      <c r="AT598" s="1477"/>
      <c r="AU598" s="1477"/>
      <c r="AV598" s="1477"/>
      <c r="AW598" s="1477"/>
      <c r="AX598" s="1477"/>
      <c r="AY598" s="1477"/>
      <c r="AZ598" s="1477"/>
      <c r="BA598" s="1477"/>
      <c r="BB598" s="1477"/>
      <c r="BC598" s="1477"/>
      <c r="BD598" s="1477"/>
      <c r="BE598" s="1477"/>
      <c r="BF598" s="1477"/>
      <c r="BG598" s="1477"/>
      <c r="BH598" s="1477"/>
      <c r="BI598" s="1477"/>
      <c r="BJ598" s="1477"/>
      <c r="BK598" s="1477"/>
      <c r="BL598" s="1477"/>
      <c r="BM598" s="1477"/>
      <c r="BN598" s="1477"/>
      <c r="BO598" s="1477"/>
      <c r="BP598" s="1477"/>
      <c r="BQ598" s="1477"/>
      <c r="BR598" s="1477"/>
      <c r="BS598" s="1477"/>
      <c r="BT598" s="1477"/>
      <c r="BU598" s="1477"/>
      <c r="BV598" s="1477"/>
      <c r="BW598" s="1477"/>
      <c r="BX598" s="1477"/>
      <c r="BY598" s="1477"/>
      <c r="BZ598" s="1477"/>
      <c r="CA598" s="1477"/>
      <c r="CB598" s="1477"/>
      <c r="CC598" s="1477"/>
      <c r="CD598" s="1477"/>
      <c r="CE598" s="1477"/>
      <c r="CF598" s="1477"/>
      <c r="CG598" s="1477"/>
      <c r="CH598" s="1477"/>
    </row>
    <row r="599" spans="2:86">
      <c r="B599" s="1477"/>
      <c r="C599" s="1477"/>
      <c r="D599" s="1477"/>
      <c r="E599" s="1477"/>
      <c r="F599" s="1477"/>
      <c r="G599" s="1477"/>
      <c r="H599" s="1477"/>
      <c r="I599" s="1477"/>
      <c r="J599" s="1477"/>
      <c r="K599" s="1477"/>
      <c r="L599" s="1477"/>
      <c r="M599" s="1477"/>
      <c r="N599" s="1477"/>
      <c r="O599" s="1477"/>
      <c r="P599" s="1477"/>
      <c r="Q599" s="1477"/>
      <c r="R599" s="1477"/>
      <c r="S599" s="1477"/>
      <c r="T599" s="1477"/>
      <c r="U599" s="1477"/>
      <c r="V599" s="1477"/>
      <c r="W599" s="1477"/>
      <c r="X599" s="1477"/>
      <c r="Y599" s="1477"/>
      <c r="Z599" s="1477"/>
      <c r="AA599" s="1477"/>
      <c r="AB599" s="1477"/>
      <c r="AC599" s="1477"/>
      <c r="AD599" s="1477"/>
      <c r="AE599" s="1477"/>
      <c r="AF599" s="1477"/>
      <c r="AG599" s="1477"/>
      <c r="AH599" s="1477"/>
      <c r="AI599" s="1477"/>
      <c r="AJ599" s="1477"/>
      <c r="AK599" s="1477"/>
      <c r="AL599" s="1477"/>
      <c r="AM599" s="1477"/>
      <c r="AN599" s="1477"/>
      <c r="AO599" s="284"/>
      <c r="AP599" s="1477"/>
      <c r="AQ599" s="1477"/>
      <c r="AR599" s="1477"/>
      <c r="AS599" s="1477"/>
      <c r="AT599" s="1477"/>
      <c r="AU599" s="1477"/>
      <c r="AV599" s="1477"/>
      <c r="AW599" s="1477"/>
      <c r="AX599" s="1477"/>
      <c r="AY599" s="1477"/>
      <c r="AZ599" s="1477"/>
      <c r="BA599" s="1477"/>
      <c r="BB599" s="1477"/>
      <c r="BC599" s="1477"/>
      <c r="BD599" s="1477"/>
      <c r="BE599" s="1477"/>
      <c r="BF599" s="1477"/>
      <c r="BG599" s="1477"/>
      <c r="BH599" s="1477"/>
      <c r="BI599" s="1477"/>
      <c r="BJ599" s="1477"/>
      <c r="BK599" s="1477"/>
      <c r="BL599" s="1477"/>
      <c r="BM599" s="1477"/>
      <c r="BN599" s="1477"/>
      <c r="BO599" s="1477"/>
      <c r="BP599" s="1477"/>
      <c r="BQ599" s="1477"/>
      <c r="BR599" s="1477"/>
      <c r="BS599" s="1477"/>
      <c r="BT599" s="1477"/>
      <c r="BU599" s="1477"/>
      <c r="BV599" s="1477"/>
      <c r="BW599" s="1477"/>
      <c r="BX599" s="1477"/>
      <c r="BY599" s="1477"/>
      <c r="BZ599" s="1477"/>
      <c r="CA599" s="1477"/>
      <c r="CB599" s="1477"/>
      <c r="CC599" s="1477"/>
      <c r="CD599" s="1477"/>
      <c r="CE599" s="1477"/>
      <c r="CF599" s="1477"/>
      <c r="CG599" s="1477"/>
      <c r="CH599" s="1477"/>
    </row>
    <row r="600" spans="2:86">
      <c r="B600" s="1477"/>
      <c r="C600" s="1477"/>
      <c r="D600" s="1477"/>
      <c r="E600" s="1477"/>
      <c r="F600" s="1477"/>
      <c r="G600" s="1477"/>
      <c r="H600" s="1477"/>
      <c r="I600" s="1477"/>
      <c r="J600" s="1477"/>
      <c r="K600" s="1477"/>
      <c r="L600" s="1477"/>
      <c r="M600" s="1477"/>
      <c r="N600" s="1477"/>
      <c r="O600" s="1477"/>
      <c r="P600" s="1477"/>
      <c r="Q600" s="1477"/>
      <c r="R600" s="1477"/>
      <c r="S600" s="1477"/>
      <c r="T600" s="1477"/>
      <c r="U600" s="1477"/>
      <c r="V600" s="1477"/>
      <c r="W600" s="1477"/>
      <c r="X600" s="1477"/>
      <c r="Y600" s="1477"/>
      <c r="Z600" s="1477"/>
      <c r="AA600" s="1477"/>
      <c r="AB600" s="1477"/>
      <c r="AC600" s="1477"/>
      <c r="AD600" s="1477"/>
      <c r="AE600" s="1477"/>
      <c r="AF600" s="1477"/>
      <c r="AG600" s="1477"/>
      <c r="AH600" s="1477"/>
      <c r="AI600" s="1477"/>
      <c r="AJ600" s="1477"/>
      <c r="AK600" s="1477"/>
      <c r="AL600" s="1477"/>
      <c r="AM600" s="1477"/>
      <c r="AN600" s="1477"/>
      <c r="AO600" s="284"/>
      <c r="AP600" s="1477"/>
      <c r="AQ600" s="1477"/>
      <c r="AR600" s="1477"/>
      <c r="AS600" s="1477"/>
      <c r="AT600" s="1477"/>
      <c r="AU600" s="1477"/>
      <c r="AV600" s="1477"/>
      <c r="AW600" s="1477"/>
      <c r="AX600" s="1477"/>
      <c r="AY600" s="1477"/>
      <c r="AZ600" s="1477"/>
      <c r="BA600" s="1477"/>
      <c r="BB600" s="1477"/>
      <c r="BC600" s="1477"/>
      <c r="BD600" s="1477"/>
      <c r="BE600" s="1477"/>
      <c r="BF600" s="1477"/>
      <c r="BG600" s="1477"/>
      <c r="BH600" s="1477"/>
      <c r="BI600" s="1477"/>
      <c r="BJ600" s="1477"/>
      <c r="BK600" s="1477"/>
      <c r="BL600" s="1477"/>
      <c r="BM600" s="1477"/>
      <c r="BN600" s="1477"/>
      <c r="BO600" s="1477"/>
      <c r="BP600" s="1477"/>
      <c r="BQ600" s="1477"/>
      <c r="BR600" s="1477"/>
      <c r="BS600" s="1477"/>
      <c r="BT600" s="1477"/>
      <c r="BU600" s="1477"/>
      <c r="BV600" s="1477"/>
      <c r="BW600" s="1477"/>
      <c r="BX600" s="1477"/>
      <c r="BY600" s="1477"/>
      <c r="BZ600" s="1477"/>
      <c r="CA600" s="1477"/>
      <c r="CB600" s="1477"/>
      <c r="CC600" s="1477"/>
      <c r="CD600" s="1477"/>
      <c r="CE600" s="1477"/>
      <c r="CF600" s="1477"/>
      <c r="CG600" s="1477"/>
      <c r="CH600" s="1477"/>
    </row>
    <row r="601" spans="2:86">
      <c r="B601" s="1477"/>
      <c r="C601" s="1477"/>
      <c r="D601" s="1477"/>
      <c r="E601" s="1477"/>
      <c r="F601" s="1477"/>
      <c r="G601" s="1477"/>
      <c r="H601" s="1477"/>
      <c r="I601" s="1477"/>
      <c r="J601" s="1477"/>
      <c r="K601" s="1477"/>
      <c r="L601" s="1477"/>
      <c r="M601" s="1477"/>
      <c r="N601" s="1477"/>
      <c r="O601" s="1477"/>
      <c r="P601" s="1477"/>
      <c r="Q601" s="1477"/>
      <c r="R601" s="1477"/>
      <c r="S601" s="1477"/>
      <c r="T601" s="1477"/>
      <c r="U601" s="1477"/>
      <c r="V601" s="1477"/>
      <c r="W601" s="1477"/>
      <c r="X601" s="1477"/>
      <c r="Y601" s="1477"/>
      <c r="Z601" s="1477"/>
      <c r="AA601" s="1477"/>
      <c r="AB601" s="1477"/>
      <c r="AC601" s="1477"/>
      <c r="AD601" s="1477"/>
      <c r="AE601" s="1477"/>
      <c r="AF601" s="1477"/>
      <c r="AG601" s="1477"/>
      <c r="AH601" s="1477"/>
      <c r="AI601" s="1477"/>
      <c r="AJ601" s="1477"/>
      <c r="AK601" s="1477"/>
      <c r="AL601" s="1477"/>
      <c r="AM601" s="1477"/>
      <c r="AN601" s="1477"/>
      <c r="AO601" s="284"/>
      <c r="AP601" s="1477"/>
      <c r="AQ601" s="1477"/>
      <c r="AR601" s="1477"/>
      <c r="AS601" s="1477"/>
      <c r="AT601" s="1477"/>
      <c r="AU601" s="1477"/>
      <c r="AV601" s="1477"/>
      <c r="AW601" s="1477"/>
      <c r="AX601" s="1477"/>
      <c r="AY601" s="1477"/>
      <c r="AZ601" s="1477"/>
      <c r="BA601" s="1477"/>
      <c r="BB601" s="1477"/>
      <c r="BC601" s="1477"/>
      <c r="BD601" s="1477"/>
      <c r="BE601" s="1477"/>
      <c r="BF601" s="1477"/>
      <c r="BG601" s="1477"/>
      <c r="BH601" s="1477"/>
      <c r="BI601" s="1477"/>
      <c r="BJ601" s="1477"/>
      <c r="BK601" s="1477"/>
      <c r="BL601" s="1477"/>
      <c r="BM601" s="1477"/>
      <c r="BN601" s="1477"/>
      <c r="BO601" s="1477"/>
      <c r="BP601" s="1477"/>
      <c r="BQ601" s="1477"/>
      <c r="BR601" s="1477"/>
      <c r="BS601" s="1477"/>
      <c r="BT601" s="1477"/>
      <c r="BU601" s="1477"/>
      <c r="BV601" s="1477"/>
      <c r="BW601" s="1477"/>
      <c r="BX601" s="1477"/>
      <c r="BY601" s="1477"/>
      <c r="BZ601" s="1477"/>
      <c r="CA601" s="1477"/>
      <c r="CB601" s="1477"/>
      <c r="CC601" s="1477"/>
      <c r="CD601" s="1477"/>
      <c r="CE601" s="1477"/>
      <c r="CF601" s="1477"/>
      <c r="CG601" s="1477"/>
      <c r="CH601" s="1477"/>
    </row>
    <row r="602" spans="2:86">
      <c r="B602" s="1477"/>
      <c r="C602" s="1477"/>
      <c r="D602" s="1477"/>
      <c r="E602" s="1477"/>
      <c r="F602" s="1477"/>
      <c r="G602" s="1477"/>
      <c r="H602" s="1477"/>
      <c r="I602" s="1477"/>
      <c r="J602" s="1477"/>
      <c r="K602" s="1477"/>
      <c r="L602" s="1477"/>
      <c r="M602" s="1477"/>
      <c r="N602" s="1477"/>
      <c r="O602" s="1477"/>
      <c r="P602" s="1477"/>
      <c r="Q602" s="1477"/>
      <c r="R602" s="1477"/>
      <c r="S602" s="1477"/>
      <c r="T602" s="1477"/>
      <c r="U602" s="1477"/>
      <c r="V602" s="1477"/>
      <c r="W602" s="1477"/>
      <c r="X602" s="1477"/>
      <c r="Y602" s="1477"/>
      <c r="Z602" s="1477"/>
      <c r="AA602" s="1477"/>
      <c r="AB602" s="1477"/>
      <c r="AC602" s="1477"/>
      <c r="AD602" s="1477"/>
      <c r="AE602" s="1477"/>
      <c r="AF602" s="1477"/>
      <c r="AG602" s="1477"/>
      <c r="AH602" s="1477"/>
      <c r="AI602" s="1477"/>
      <c r="AJ602" s="1477"/>
      <c r="AK602" s="1477"/>
      <c r="AL602" s="1477"/>
      <c r="AM602" s="1477"/>
      <c r="AN602" s="1477"/>
      <c r="AO602" s="284"/>
      <c r="AP602" s="1477"/>
      <c r="AQ602" s="1477"/>
      <c r="AR602" s="1477"/>
      <c r="AS602" s="1477"/>
      <c r="AT602" s="1477"/>
      <c r="AU602" s="1477"/>
      <c r="AV602" s="1477"/>
      <c r="AW602" s="1477"/>
      <c r="AX602" s="1477"/>
      <c r="AY602" s="1477"/>
      <c r="AZ602" s="1477"/>
      <c r="BA602" s="1477"/>
      <c r="BB602" s="1477"/>
      <c r="BC602" s="1477"/>
      <c r="BD602" s="1477"/>
      <c r="BE602" s="1477"/>
      <c r="BF602" s="1477"/>
      <c r="BG602" s="1477"/>
      <c r="BH602" s="1477"/>
      <c r="BI602" s="1477"/>
      <c r="BJ602" s="1477"/>
      <c r="BK602" s="1477"/>
      <c r="BL602" s="1477"/>
      <c r="BM602" s="1477"/>
      <c r="BN602" s="1477"/>
      <c r="BO602" s="1477"/>
      <c r="BP602" s="1477"/>
      <c r="BQ602" s="1477"/>
      <c r="BR602" s="1477"/>
      <c r="BS602" s="1477"/>
      <c r="BT602" s="1477"/>
      <c r="BU602" s="1477"/>
      <c r="BV602" s="1477"/>
      <c r="BW602" s="1477"/>
      <c r="BX602" s="1477"/>
      <c r="BY602" s="1477"/>
      <c r="BZ602" s="1477"/>
      <c r="CA602" s="1477"/>
      <c r="CB602" s="1477"/>
      <c r="CC602" s="1477"/>
      <c r="CD602" s="1477"/>
      <c r="CE602" s="1477"/>
      <c r="CF602" s="1477"/>
      <c r="CG602" s="1477"/>
      <c r="CH602" s="1477"/>
    </row>
    <row r="603" spans="2:86">
      <c r="B603" s="1477"/>
      <c r="C603" s="1477"/>
      <c r="D603" s="1477"/>
      <c r="E603" s="1477"/>
      <c r="F603" s="1477"/>
      <c r="G603" s="1477"/>
      <c r="H603" s="1477"/>
      <c r="I603" s="1477"/>
      <c r="J603" s="1477"/>
      <c r="K603" s="1477"/>
      <c r="L603" s="1477"/>
      <c r="M603" s="1477"/>
      <c r="N603" s="1477"/>
      <c r="O603" s="1477"/>
      <c r="P603" s="1477"/>
      <c r="Q603" s="1477"/>
      <c r="R603" s="1477"/>
      <c r="S603" s="1477"/>
      <c r="T603" s="1477"/>
      <c r="U603" s="1477"/>
      <c r="V603" s="1477"/>
      <c r="W603" s="1477"/>
      <c r="X603" s="1477"/>
      <c r="Y603" s="1477"/>
      <c r="Z603" s="1477"/>
      <c r="AA603" s="1477"/>
      <c r="AB603" s="1477"/>
      <c r="AC603" s="1477"/>
      <c r="AD603" s="1477"/>
      <c r="AE603" s="1477"/>
      <c r="AF603" s="1477"/>
      <c r="AG603" s="1477"/>
      <c r="AH603" s="1477"/>
      <c r="AI603" s="1477"/>
      <c r="AJ603" s="1477"/>
      <c r="AK603" s="1477"/>
      <c r="AL603" s="1477"/>
      <c r="AM603" s="1477"/>
      <c r="AN603" s="1477"/>
      <c r="AO603" s="284"/>
      <c r="AP603" s="1477"/>
      <c r="AQ603" s="1477"/>
      <c r="AR603" s="1477"/>
      <c r="AS603" s="1477"/>
      <c r="AT603" s="1477"/>
      <c r="AU603" s="1477"/>
      <c r="AV603" s="1477"/>
      <c r="AW603" s="1477"/>
      <c r="AX603" s="1477"/>
      <c r="AY603" s="1477"/>
      <c r="AZ603" s="1477"/>
      <c r="BA603" s="1477"/>
      <c r="BB603" s="1477"/>
      <c r="BC603" s="1477"/>
      <c r="BD603" s="1477"/>
      <c r="BE603" s="1477"/>
      <c r="BF603" s="1477"/>
      <c r="BG603" s="1477"/>
      <c r="BH603" s="1477"/>
      <c r="BI603" s="1477"/>
      <c r="BJ603" s="1477"/>
      <c r="BK603" s="1477"/>
      <c r="BL603" s="1477"/>
      <c r="BM603" s="1477"/>
      <c r="BN603" s="1477"/>
      <c r="BO603" s="1477"/>
      <c r="BP603" s="1477"/>
      <c r="BQ603" s="1477"/>
      <c r="BR603" s="1477"/>
      <c r="BS603" s="1477"/>
      <c r="BT603" s="1477"/>
      <c r="BU603" s="1477"/>
      <c r="BV603" s="1477"/>
      <c r="BW603" s="1477"/>
      <c r="BX603" s="1477"/>
      <c r="BY603" s="1477"/>
      <c r="BZ603" s="1477"/>
      <c r="CA603" s="1477"/>
      <c r="CB603" s="1477"/>
      <c r="CC603" s="1477"/>
      <c r="CD603" s="1477"/>
      <c r="CE603" s="1477"/>
      <c r="CF603" s="1477"/>
      <c r="CG603" s="1477"/>
      <c r="CH603" s="1477"/>
    </row>
    <row r="604" spans="2:86">
      <c r="B604" s="1477"/>
      <c r="C604" s="1477"/>
      <c r="D604" s="1477"/>
      <c r="E604" s="1477"/>
      <c r="F604" s="1477"/>
      <c r="G604" s="1477"/>
      <c r="H604" s="1477"/>
      <c r="I604" s="1477"/>
      <c r="J604" s="1477"/>
      <c r="K604" s="1477"/>
      <c r="L604" s="1477"/>
      <c r="M604" s="1477"/>
      <c r="N604" s="1477"/>
      <c r="O604" s="1477"/>
      <c r="P604" s="1477"/>
      <c r="Q604" s="1477"/>
      <c r="R604" s="1477"/>
      <c r="S604" s="1477"/>
      <c r="T604" s="1477"/>
      <c r="U604" s="1477"/>
      <c r="V604" s="1477"/>
      <c r="W604" s="1477"/>
      <c r="X604" s="1477"/>
      <c r="Y604" s="1477"/>
      <c r="Z604" s="1477"/>
      <c r="AA604" s="1477"/>
      <c r="AB604" s="1477"/>
      <c r="AC604" s="1477"/>
      <c r="AD604" s="1477"/>
      <c r="AE604" s="1477"/>
      <c r="AF604" s="1477"/>
      <c r="AG604" s="1477"/>
      <c r="AH604" s="1477"/>
      <c r="AI604" s="1477"/>
      <c r="AJ604" s="1477"/>
      <c r="AK604" s="1477"/>
      <c r="AL604" s="1477"/>
      <c r="AM604" s="1477"/>
      <c r="AN604" s="1477"/>
      <c r="AO604" s="284"/>
      <c r="AP604" s="1477"/>
      <c r="AQ604" s="1477"/>
      <c r="AR604" s="1477"/>
      <c r="AS604" s="1477"/>
      <c r="AT604" s="1477"/>
      <c r="AU604" s="1477"/>
      <c r="AV604" s="1477"/>
      <c r="AW604" s="1477"/>
      <c r="AX604" s="1477"/>
      <c r="AY604" s="1477"/>
      <c r="AZ604" s="1477"/>
      <c r="BA604" s="1477"/>
      <c r="BB604" s="1477"/>
      <c r="BC604" s="1477"/>
      <c r="BD604" s="1477"/>
      <c r="BE604" s="1477"/>
      <c r="BF604" s="1477"/>
      <c r="BG604" s="1477"/>
      <c r="BH604" s="1477"/>
      <c r="BI604" s="1477"/>
      <c r="BJ604" s="1477"/>
      <c r="BK604" s="1477"/>
      <c r="BL604" s="1477"/>
      <c r="BM604" s="1477"/>
      <c r="BN604" s="1477"/>
      <c r="BO604" s="1477"/>
      <c r="BP604" s="1477"/>
      <c r="BQ604" s="1477"/>
      <c r="BR604" s="1477"/>
      <c r="BS604" s="1477"/>
      <c r="BT604" s="1477"/>
      <c r="BU604" s="1477"/>
      <c r="BV604" s="1477"/>
      <c r="BW604" s="1477"/>
      <c r="BX604" s="1477"/>
      <c r="BY604" s="1477"/>
      <c r="BZ604" s="1477"/>
      <c r="CA604" s="1477"/>
      <c r="CB604" s="1477"/>
      <c r="CC604" s="1477"/>
      <c r="CD604" s="1477"/>
      <c r="CE604" s="1477"/>
      <c r="CF604" s="1477"/>
      <c r="CG604" s="1477"/>
      <c r="CH604" s="1477"/>
    </row>
    <row r="605" spans="2:86">
      <c r="B605" s="1477"/>
      <c r="C605" s="1477"/>
      <c r="D605" s="1477"/>
      <c r="E605" s="1477"/>
      <c r="F605" s="1477"/>
      <c r="G605" s="1477"/>
      <c r="H605" s="1477"/>
      <c r="I605" s="1477"/>
      <c r="J605" s="1477"/>
      <c r="K605" s="1477"/>
      <c r="L605" s="1477"/>
      <c r="M605" s="1477"/>
      <c r="N605" s="1477"/>
      <c r="O605" s="1477"/>
      <c r="P605" s="1477"/>
      <c r="Q605" s="1477"/>
      <c r="R605" s="1477"/>
      <c r="S605" s="1477"/>
      <c r="T605" s="1477"/>
      <c r="U605" s="1477"/>
      <c r="V605" s="1477"/>
      <c r="W605" s="1477"/>
      <c r="X605" s="1477"/>
      <c r="Y605" s="1477"/>
      <c r="Z605" s="1477"/>
      <c r="AA605" s="1477"/>
      <c r="AB605" s="1477"/>
      <c r="AC605" s="1477"/>
      <c r="AD605" s="1477"/>
      <c r="AE605" s="1477"/>
      <c r="AF605" s="1477"/>
      <c r="AG605" s="1477"/>
      <c r="AH605" s="1477"/>
      <c r="AI605" s="1477"/>
      <c r="AJ605" s="1477"/>
      <c r="AK605" s="1477"/>
      <c r="AL605" s="1477"/>
      <c r="AM605" s="1477"/>
      <c r="AN605" s="1477"/>
      <c r="AO605" s="284"/>
      <c r="AP605" s="1477"/>
      <c r="AQ605" s="1477"/>
      <c r="AR605" s="1477"/>
      <c r="AS605" s="1477"/>
      <c r="AT605" s="1477"/>
      <c r="AU605" s="1477"/>
      <c r="AV605" s="1477"/>
      <c r="AW605" s="1477"/>
      <c r="AX605" s="1477"/>
      <c r="AY605" s="1477"/>
      <c r="AZ605" s="1477"/>
      <c r="BA605" s="1477"/>
      <c r="BB605" s="1477"/>
      <c r="BC605" s="1477"/>
      <c r="BD605" s="1477"/>
      <c r="BE605" s="1477"/>
      <c r="BF605" s="1477"/>
      <c r="BG605" s="1477"/>
      <c r="BH605" s="1477"/>
      <c r="BI605" s="1477"/>
      <c r="BJ605" s="1477"/>
      <c r="BK605" s="1477"/>
      <c r="BL605" s="1477"/>
      <c r="BM605" s="1477"/>
      <c r="BN605" s="1477"/>
      <c r="BO605" s="1477"/>
      <c r="BP605" s="1477"/>
      <c r="BQ605" s="1477"/>
      <c r="BR605" s="1477"/>
      <c r="BS605" s="1477"/>
      <c r="BT605" s="1477"/>
      <c r="BU605" s="1477"/>
      <c r="BV605" s="1477"/>
      <c r="BW605" s="1477"/>
      <c r="BX605" s="1477"/>
      <c r="BY605" s="1477"/>
      <c r="BZ605" s="1477"/>
      <c r="CA605" s="1477"/>
      <c r="CB605" s="1477"/>
      <c r="CC605" s="1477"/>
      <c r="CD605" s="1477"/>
      <c r="CE605" s="1477"/>
      <c r="CF605" s="1477"/>
      <c r="CG605" s="1477"/>
      <c r="CH605" s="1477"/>
    </row>
    <row r="606" spans="2:86">
      <c r="B606" s="1477"/>
      <c r="C606" s="1477"/>
      <c r="D606" s="1477"/>
      <c r="E606" s="1477"/>
      <c r="F606" s="1477"/>
      <c r="G606" s="1477"/>
      <c r="H606" s="1477"/>
      <c r="I606" s="1477"/>
      <c r="J606" s="1477"/>
      <c r="K606" s="1477"/>
      <c r="L606" s="1477"/>
      <c r="M606" s="1477"/>
      <c r="N606" s="1477"/>
      <c r="O606" s="1477"/>
      <c r="P606" s="1477"/>
      <c r="Q606" s="1477"/>
      <c r="R606" s="1477"/>
      <c r="S606" s="1477"/>
      <c r="T606" s="1477"/>
      <c r="U606" s="1477"/>
      <c r="V606" s="1477"/>
      <c r="W606" s="1477"/>
      <c r="X606" s="1477"/>
      <c r="Y606" s="1477"/>
      <c r="Z606" s="1477"/>
      <c r="AA606" s="1477"/>
      <c r="AB606" s="1477"/>
      <c r="AC606" s="1477"/>
      <c r="AD606" s="1477"/>
      <c r="AE606" s="1477"/>
      <c r="AF606" s="1477"/>
      <c r="AG606" s="1477"/>
      <c r="AH606" s="1477"/>
      <c r="AI606" s="1477"/>
      <c r="AJ606" s="1477"/>
      <c r="AK606" s="1477"/>
      <c r="AL606" s="1477"/>
      <c r="AM606" s="1477"/>
      <c r="AN606" s="1477"/>
      <c r="AO606" s="284"/>
      <c r="AP606" s="1477"/>
      <c r="AQ606" s="1477"/>
      <c r="AR606" s="1477"/>
      <c r="AS606" s="1477"/>
      <c r="AT606" s="1477"/>
      <c r="AU606" s="1477"/>
      <c r="AV606" s="1477"/>
      <c r="AW606" s="1477"/>
      <c r="AX606" s="1477"/>
      <c r="AY606" s="1477"/>
      <c r="AZ606" s="1477"/>
      <c r="BA606" s="1477"/>
      <c r="BB606" s="1477"/>
      <c r="BC606" s="1477"/>
      <c r="BD606" s="1477"/>
      <c r="BE606" s="1477"/>
      <c r="BF606" s="1477"/>
      <c r="BG606" s="1477"/>
      <c r="BH606" s="1477"/>
      <c r="BI606" s="1477"/>
      <c r="BJ606" s="1477"/>
      <c r="BK606" s="1477"/>
      <c r="BL606" s="1477"/>
      <c r="BM606" s="1477"/>
      <c r="BN606" s="1477"/>
      <c r="BO606" s="1477"/>
      <c r="BP606" s="1477"/>
      <c r="BQ606" s="1477"/>
      <c r="BR606" s="1477"/>
      <c r="BS606" s="1477"/>
      <c r="BT606" s="1477"/>
      <c r="BU606" s="1477"/>
      <c r="BV606" s="1477"/>
      <c r="BW606" s="1477"/>
      <c r="BX606" s="1477"/>
      <c r="BY606" s="1477"/>
      <c r="BZ606" s="1477"/>
      <c r="CA606" s="1477"/>
      <c r="CB606" s="1477"/>
      <c r="CC606" s="1477"/>
      <c r="CD606" s="1477"/>
      <c r="CE606" s="1477"/>
      <c r="CF606" s="1477"/>
      <c r="CG606" s="1477"/>
      <c r="CH606" s="1477"/>
    </row>
    <row r="607" spans="2:86">
      <c r="B607" s="1477"/>
      <c r="C607" s="1477"/>
      <c r="D607" s="1477"/>
      <c r="E607" s="1477"/>
      <c r="F607" s="1477"/>
      <c r="G607" s="1477"/>
      <c r="H607" s="1477"/>
      <c r="I607" s="1477"/>
      <c r="J607" s="1477"/>
      <c r="K607" s="1477"/>
      <c r="L607" s="1477"/>
      <c r="M607" s="1477"/>
      <c r="N607" s="1477"/>
      <c r="O607" s="1477"/>
      <c r="P607" s="1477"/>
      <c r="Q607" s="1477"/>
      <c r="R607" s="1477"/>
      <c r="S607" s="1477"/>
      <c r="T607" s="1477"/>
      <c r="U607" s="1477"/>
      <c r="V607" s="1477"/>
      <c r="W607" s="1477"/>
      <c r="X607" s="1477"/>
      <c r="Y607" s="1477"/>
      <c r="Z607" s="1477"/>
      <c r="AA607" s="1477"/>
      <c r="AB607" s="1477"/>
      <c r="AC607" s="1477"/>
      <c r="AD607" s="1477"/>
      <c r="AE607" s="1477"/>
      <c r="AF607" s="1477"/>
      <c r="AG607" s="1477"/>
      <c r="AH607" s="1477"/>
      <c r="AI607" s="1477"/>
      <c r="AJ607" s="1477"/>
      <c r="AK607" s="1477"/>
      <c r="AL607" s="1477"/>
      <c r="AM607" s="1477"/>
      <c r="AN607" s="1477"/>
      <c r="AO607" s="284"/>
      <c r="AP607" s="1477"/>
      <c r="AQ607" s="1477"/>
      <c r="AR607" s="1477"/>
      <c r="AS607" s="1477"/>
      <c r="AT607" s="1477"/>
      <c r="AU607" s="1477"/>
      <c r="AV607" s="1477"/>
      <c r="AW607" s="1477"/>
      <c r="AX607" s="1477"/>
      <c r="AY607" s="1477"/>
      <c r="AZ607" s="1477"/>
      <c r="BA607" s="1477"/>
      <c r="BB607" s="1477"/>
      <c r="BC607" s="1477"/>
      <c r="BD607" s="1477"/>
      <c r="BE607" s="1477"/>
      <c r="BF607" s="1477"/>
      <c r="BG607" s="1477"/>
      <c r="BH607" s="1477"/>
      <c r="BI607" s="1477"/>
      <c r="BJ607" s="1477"/>
      <c r="BK607" s="1477"/>
      <c r="BL607" s="1477"/>
      <c r="BM607" s="1477"/>
      <c r="BN607" s="1477"/>
      <c r="BO607" s="1477"/>
      <c r="BP607" s="1477"/>
      <c r="BQ607" s="1477"/>
      <c r="BR607" s="1477"/>
      <c r="BS607" s="1477"/>
      <c r="BT607" s="1477"/>
      <c r="BU607" s="1477"/>
      <c r="BV607" s="1477"/>
      <c r="BW607" s="1477"/>
      <c r="BX607" s="1477"/>
      <c r="BY607" s="1477"/>
      <c r="BZ607" s="1477"/>
      <c r="CA607" s="1477"/>
      <c r="CB607" s="1477"/>
      <c r="CC607" s="1477"/>
      <c r="CD607" s="1477"/>
      <c r="CE607" s="1477"/>
      <c r="CF607" s="1477"/>
      <c r="CG607" s="1477"/>
      <c r="CH607" s="1477"/>
    </row>
    <row r="608" spans="2:86">
      <c r="B608" s="1477"/>
      <c r="C608" s="1477"/>
      <c r="D608" s="1477"/>
      <c r="E608" s="1477"/>
      <c r="F608" s="1477"/>
      <c r="G608" s="1477"/>
      <c r="H608" s="1477"/>
      <c r="I608" s="1477"/>
      <c r="J608" s="1477"/>
      <c r="K608" s="1477"/>
      <c r="L608" s="1477"/>
      <c r="M608" s="1477"/>
      <c r="N608" s="1477"/>
      <c r="O608" s="1477"/>
      <c r="P608" s="1477"/>
      <c r="Q608" s="1477"/>
      <c r="R608" s="1477"/>
      <c r="S608" s="1477"/>
      <c r="T608" s="1477"/>
      <c r="U608" s="1477"/>
      <c r="V608" s="1477"/>
      <c r="W608" s="1477"/>
      <c r="X608" s="1477"/>
      <c r="Y608" s="1477"/>
      <c r="Z608" s="1477"/>
      <c r="AA608" s="1477"/>
      <c r="AB608" s="1477"/>
      <c r="AC608" s="1477"/>
      <c r="AD608" s="1477"/>
      <c r="AE608" s="1477"/>
      <c r="AF608" s="1477"/>
      <c r="AG608" s="1477"/>
      <c r="AH608" s="1477"/>
      <c r="AI608" s="1477"/>
      <c r="AJ608" s="1477"/>
      <c r="AK608" s="1477"/>
      <c r="AL608" s="1477"/>
      <c r="AM608" s="1477"/>
      <c r="AN608" s="1477"/>
      <c r="AO608" s="284"/>
      <c r="AP608" s="1477"/>
      <c r="AQ608" s="1477"/>
      <c r="AR608" s="1477"/>
      <c r="AS608" s="1477"/>
      <c r="AT608" s="1477"/>
      <c r="AU608" s="1477"/>
      <c r="AV608" s="1477"/>
      <c r="AW608" s="1477"/>
      <c r="AX608" s="1477"/>
      <c r="AY608" s="1477"/>
      <c r="AZ608" s="1477"/>
      <c r="BA608" s="1477"/>
      <c r="BB608" s="1477"/>
      <c r="BC608" s="1477"/>
      <c r="BD608" s="1477"/>
      <c r="BE608" s="1477"/>
      <c r="BF608" s="1477"/>
      <c r="BG608" s="1477"/>
      <c r="BH608" s="1477"/>
      <c r="BI608" s="1477"/>
      <c r="BJ608" s="1477"/>
      <c r="BK608" s="1477"/>
      <c r="BL608" s="1477"/>
      <c r="BM608" s="1477"/>
      <c r="BN608" s="1477"/>
      <c r="BO608" s="1477"/>
      <c r="BP608" s="1477"/>
      <c r="BQ608" s="1477"/>
      <c r="BR608" s="1477"/>
      <c r="BS608" s="1477"/>
      <c r="BT608" s="1477"/>
      <c r="BU608" s="1477"/>
      <c r="BV608" s="1477"/>
      <c r="BW608" s="1477"/>
      <c r="BX608" s="1477"/>
      <c r="BY608" s="1477"/>
      <c r="BZ608" s="1477"/>
      <c r="CA608" s="1477"/>
      <c r="CB608" s="1477"/>
      <c r="CC608" s="1477"/>
      <c r="CD608" s="1477"/>
      <c r="CE608" s="1477"/>
      <c r="CF608" s="1477"/>
      <c r="CG608" s="1477"/>
      <c r="CH608" s="1477"/>
    </row>
    <row r="609" spans="2:86">
      <c r="B609" s="1477"/>
      <c r="C609" s="1477"/>
      <c r="D609" s="1477"/>
      <c r="E609" s="1477"/>
      <c r="F609" s="1477"/>
      <c r="G609" s="1477"/>
      <c r="H609" s="1477"/>
      <c r="I609" s="1477"/>
      <c r="J609" s="1477"/>
      <c r="K609" s="1477"/>
      <c r="L609" s="1477"/>
      <c r="M609" s="1477"/>
      <c r="N609" s="1477"/>
      <c r="O609" s="1477"/>
      <c r="P609" s="1477"/>
      <c r="Q609" s="1477"/>
      <c r="R609" s="1477"/>
      <c r="S609" s="1477"/>
      <c r="T609" s="1477"/>
      <c r="U609" s="1477"/>
      <c r="V609" s="1477"/>
      <c r="W609" s="1477"/>
      <c r="X609" s="1477"/>
      <c r="Y609" s="1477"/>
      <c r="Z609" s="1477"/>
      <c r="AA609" s="1477"/>
      <c r="AB609" s="1477"/>
      <c r="AC609" s="1477"/>
      <c r="AD609" s="1477"/>
      <c r="AE609" s="1477"/>
      <c r="AF609" s="1477"/>
      <c r="AG609" s="1477"/>
      <c r="AH609" s="1477"/>
      <c r="AI609" s="1477"/>
      <c r="AJ609" s="1477"/>
      <c r="AK609" s="1477"/>
      <c r="AL609" s="1477"/>
      <c r="AM609" s="1477"/>
      <c r="AN609" s="1477"/>
      <c r="AO609" s="284"/>
      <c r="AP609" s="1477"/>
      <c r="AQ609" s="1477"/>
      <c r="AR609" s="1477"/>
      <c r="AS609" s="1477"/>
      <c r="AT609" s="1477"/>
      <c r="AU609" s="1477"/>
      <c r="AV609" s="1477"/>
      <c r="AW609" s="1477"/>
      <c r="AX609" s="1477"/>
      <c r="AY609" s="1477"/>
      <c r="AZ609" s="1477"/>
      <c r="BA609" s="1477"/>
      <c r="BB609" s="1477"/>
      <c r="BC609" s="1477"/>
      <c r="BD609" s="1477"/>
      <c r="BE609" s="1477"/>
      <c r="BF609" s="1477"/>
      <c r="BG609" s="1477"/>
      <c r="BH609" s="1477"/>
      <c r="BI609" s="1477"/>
      <c r="BJ609" s="1477"/>
      <c r="BK609" s="1477"/>
      <c r="BL609" s="1477"/>
      <c r="BM609" s="1477"/>
      <c r="BN609" s="1477"/>
      <c r="BO609" s="1477"/>
      <c r="BP609" s="1477"/>
      <c r="BQ609" s="1477"/>
      <c r="BR609" s="1477"/>
      <c r="BS609" s="1477"/>
      <c r="BT609" s="1477"/>
      <c r="BU609" s="1477"/>
      <c r="BV609" s="1477"/>
      <c r="BW609" s="1477"/>
      <c r="BX609" s="1477"/>
      <c r="BY609" s="1477"/>
      <c r="BZ609" s="1477"/>
      <c r="CA609" s="1477"/>
      <c r="CB609" s="1477"/>
      <c r="CC609" s="1477"/>
      <c r="CD609" s="1477"/>
      <c r="CE609" s="1477"/>
      <c r="CF609" s="1477"/>
      <c r="CG609" s="1477"/>
      <c r="CH609" s="1477"/>
    </row>
    <row r="610" spans="2:86">
      <c r="B610" s="1477"/>
      <c r="C610" s="1477"/>
      <c r="D610" s="1477"/>
      <c r="E610" s="1477"/>
      <c r="F610" s="1477"/>
      <c r="G610" s="1477"/>
      <c r="H610" s="1477"/>
      <c r="I610" s="1477"/>
      <c r="J610" s="1477"/>
      <c r="K610" s="1477"/>
      <c r="L610" s="1477"/>
      <c r="M610" s="1477"/>
      <c r="N610" s="1477"/>
      <c r="O610" s="1477"/>
      <c r="P610" s="1477"/>
      <c r="Q610" s="1477"/>
      <c r="R610" s="1477"/>
      <c r="S610" s="1477"/>
      <c r="T610" s="1477"/>
      <c r="U610" s="1477"/>
      <c r="V610" s="1477"/>
      <c r="W610" s="1477"/>
      <c r="X610" s="1477"/>
      <c r="Y610" s="1477"/>
      <c r="Z610" s="1477"/>
      <c r="AA610" s="1477"/>
      <c r="AB610" s="1477"/>
      <c r="AC610" s="1477"/>
      <c r="AD610" s="1477"/>
      <c r="AE610" s="1477"/>
      <c r="AF610" s="1477"/>
      <c r="AG610" s="1477"/>
      <c r="AH610" s="1477"/>
      <c r="AI610" s="1477"/>
      <c r="AJ610" s="1477"/>
      <c r="AK610" s="1477"/>
      <c r="AL610" s="1477"/>
      <c r="AM610" s="1477"/>
      <c r="AN610" s="1477"/>
      <c r="AO610" s="284"/>
      <c r="AP610" s="1477"/>
      <c r="AQ610" s="1477"/>
      <c r="AR610" s="1477"/>
      <c r="AS610" s="1477"/>
      <c r="AT610" s="1477"/>
      <c r="AU610" s="1477"/>
      <c r="AV610" s="1477"/>
      <c r="AW610" s="1477"/>
      <c r="AX610" s="1477"/>
      <c r="AY610" s="1477"/>
      <c r="AZ610" s="1477"/>
      <c r="BA610" s="1477"/>
      <c r="BB610" s="1477"/>
      <c r="BC610" s="1477"/>
      <c r="BD610" s="1477"/>
      <c r="BE610" s="1477"/>
      <c r="BF610" s="1477"/>
      <c r="BG610" s="1477"/>
      <c r="BH610" s="1477"/>
      <c r="BI610" s="1477"/>
      <c r="BJ610" s="1477"/>
      <c r="BK610" s="1477"/>
      <c r="BL610" s="1477"/>
      <c r="BM610" s="1477"/>
      <c r="BN610" s="1477"/>
      <c r="BO610" s="1477"/>
      <c r="BP610" s="1477"/>
      <c r="BQ610" s="1477"/>
      <c r="BR610" s="1477"/>
      <c r="BS610" s="1477"/>
      <c r="BT610" s="1477"/>
      <c r="BU610" s="1477"/>
      <c r="BV610" s="1477"/>
      <c r="BW610" s="1477"/>
      <c r="BX610" s="1477"/>
      <c r="BY610" s="1477"/>
      <c r="BZ610" s="1477"/>
      <c r="CA610" s="1477"/>
      <c r="CB610" s="1477"/>
      <c r="CC610" s="1477"/>
      <c r="CD610" s="1477"/>
      <c r="CE610" s="1477"/>
      <c r="CF610" s="1477"/>
      <c r="CG610" s="1477"/>
      <c r="CH610" s="1477"/>
    </row>
    <row r="611" spans="2:86">
      <c r="B611" s="1477"/>
      <c r="C611" s="1477"/>
      <c r="D611" s="1477"/>
      <c r="E611" s="1477"/>
      <c r="F611" s="1477"/>
      <c r="G611" s="1477"/>
      <c r="H611" s="1477"/>
      <c r="I611" s="1477"/>
      <c r="J611" s="1477"/>
      <c r="K611" s="1477"/>
      <c r="L611" s="1477"/>
      <c r="M611" s="1477"/>
      <c r="N611" s="1477"/>
      <c r="O611" s="1477"/>
      <c r="P611" s="1477"/>
      <c r="Q611" s="1477"/>
      <c r="R611" s="1477"/>
      <c r="S611" s="1477"/>
      <c r="T611" s="1477"/>
      <c r="U611" s="1477"/>
      <c r="V611" s="1477"/>
      <c r="W611" s="1477"/>
      <c r="X611" s="1477"/>
      <c r="Y611" s="1477"/>
      <c r="Z611" s="1477"/>
      <c r="AA611" s="1477"/>
      <c r="AB611" s="1477"/>
      <c r="AC611" s="1477"/>
      <c r="AD611" s="1477"/>
      <c r="AE611" s="1477"/>
      <c r="AF611" s="1477"/>
      <c r="AG611" s="1477"/>
      <c r="AH611" s="1477"/>
      <c r="AI611" s="1477"/>
      <c r="AJ611" s="1477"/>
      <c r="AK611" s="1477"/>
      <c r="AL611" s="1477"/>
      <c r="AM611" s="1477"/>
      <c r="AN611" s="1477"/>
      <c r="AO611" s="284"/>
      <c r="AP611" s="1477"/>
      <c r="AQ611" s="1477"/>
      <c r="AR611" s="1477"/>
      <c r="AS611" s="1477"/>
      <c r="AT611" s="1477"/>
      <c r="AU611" s="1477"/>
      <c r="AV611" s="1477"/>
      <c r="AW611" s="1477"/>
      <c r="AX611" s="1477"/>
      <c r="AY611" s="1477"/>
      <c r="AZ611" s="1477"/>
      <c r="BA611" s="1477"/>
      <c r="BB611" s="1477"/>
      <c r="BC611" s="1477"/>
      <c r="BD611" s="1477"/>
      <c r="BE611" s="1477"/>
      <c r="BF611" s="1477"/>
      <c r="BG611" s="1477"/>
      <c r="BH611" s="1477"/>
      <c r="BI611" s="1477"/>
      <c r="BJ611" s="1477"/>
      <c r="BK611" s="1477"/>
      <c r="BL611" s="1477"/>
      <c r="BM611" s="1477"/>
      <c r="BN611" s="1477"/>
      <c r="BO611" s="1477"/>
      <c r="BP611" s="1477"/>
      <c r="BQ611" s="1477"/>
      <c r="BR611" s="1477"/>
      <c r="BS611" s="1477"/>
      <c r="BT611" s="1477"/>
      <c r="BU611" s="1477"/>
      <c r="BV611" s="1477"/>
      <c r="BW611" s="1477"/>
      <c r="BX611" s="1477"/>
      <c r="BY611" s="1477"/>
      <c r="BZ611" s="1477"/>
      <c r="CA611" s="1477"/>
      <c r="CB611" s="1477"/>
      <c r="CC611" s="1477"/>
      <c r="CD611" s="1477"/>
      <c r="CE611" s="1477"/>
      <c r="CF611" s="1477"/>
      <c r="CG611" s="1477"/>
      <c r="CH611" s="1477"/>
    </row>
    <row r="612" spans="2:86">
      <c r="B612" s="1477"/>
      <c r="C612" s="1477"/>
      <c r="D612" s="1477"/>
      <c r="E612" s="1477"/>
      <c r="F612" s="1477"/>
      <c r="G612" s="1477"/>
      <c r="H612" s="1477"/>
      <c r="I612" s="1477"/>
      <c r="J612" s="1477"/>
      <c r="K612" s="1477"/>
      <c r="L612" s="1477"/>
      <c r="M612" s="1477"/>
      <c r="N612" s="1477"/>
      <c r="O612" s="1477"/>
      <c r="P612" s="1477"/>
      <c r="Q612" s="1477"/>
      <c r="R612" s="1477"/>
      <c r="S612" s="1477"/>
      <c r="T612" s="1477"/>
      <c r="U612" s="1477"/>
      <c r="V612" s="1477"/>
      <c r="W612" s="1477"/>
      <c r="X612" s="1477"/>
      <c r="Y612" s="1477"/>
      <c r="Z612" s="1477"/>
      <c r="AA612" s="1477"/>
      <c r="AB612" s="1477"/>
      <c r="AC612" s="1477"/>
      <c r="AD612" s="1477"/>
      <c r="AE612" s="1477"/>
      <c r="AF612" s="1477"/>
      <c r="AG612" s="1477"/>
      <c r="AH612" s="1477"/>
      <c r="AI612" s="1477"/>
      <c r="AJ612" s="1477"/>
      <c r="AK612" s="1477"/>
      <c r="AL612" s="1477"/>
      <c r="AM612" s="1477"/>
      <c r="AN612" s="1477"/>
      <c r="AO612" s="284"/>
      <c r="AP612" s="1477"/>
      <c r="AQ612" s="1477"/>
      <c r="AR612" s="1477"/>
      <c r="AS612" s="1477"/>
      <c r="AT612" s="1477"/>
      <c r="AU612" s="1477"/>
      <c r="AV612" s="1477"/>
      <c r="AW612" s="1477"/>
      <c r="AX612" s="1477"/>
      <c r="AY612" s="1477"/>
      <c r="AZ612" s="1477"/>
      <c r="BA612" s="1477"/>
      <c r="BB612" s="1477"/>
      <c r="BC612" s="1477"/>
      <c r="BD612" s="1477"/>
      <c r="BE612" s="1477"/>
      <c r="BF612" s="1477"/>
      <c r="BG612" s="1477"/>
      <c r="BH612" s="1477"/>
      <c r="BI612" s="1477"/>
      <c r="BJ612" s="1477"/>
      <c r="BK612" s="1477"/>
      <c r="BL612" s="1477"/>
      <c r="BM612" s="1477"/>
      <c r="BN612" s="1477"/>
      <c r="BO612" s="1477"/>
      <c r="BP612" s="1477"/>
      <c r="BQ612" s="1477"/>
      <c r="BR612" s="1477"/>
      <c r="BS612" s="1477"/>
      <c r="BT612" s="1477"/>
      <c r="BU612" s="1477"/>
      <c r="BV612" s="1477"/>
      <c r="BW612" s="1477"/>
      <c r="BX612" s="1477"/>
      <c r="BY612" s="1477"/>
      <c r="BZ612" s="1477"/>
      <c r="CA612" s="1477"/>
      <c r="CB612" s="1477"/>
      <c r="CC612" s="1477"/>
      <c r="CD612" s="1477"/>
      <c r="CE612" s="1477"/>
      <c r="CF612" s="1477"/>
      <c r="CG612" s="1477"/>
      <c r="CH612" s="1477"/>
    </row>
    <row r="613" spans="2:86">
      <c r="B613" s="1477"/>
      <c r="C613" s="1477"/>
      <c r="D613" s="1477"/>
      <c r="E613" s="1477"/>
      <c r="F613" s="1477"/>
      <c r="G613" s="1477"/>
      <c r="H613" s="1477"/>
      <c r="I613" s="1477"/>
      <c r="J613" s="1477"/>
      <c r="K613" s="1477"/>
      <c r="L613" s="1477"/>
      <c r="M613" s="1477"/>
      <c r="N613" s="1477"/>
      <c r="O613" s="1477"/>
      <c r="P613" s="1477"/>
      <c r="Q613" s="1477"/>
      <c r="R613" s="1477"/>
      <c r="S613" s="1477"/>
      <c r="T613" s="1477"/>
      <c r="U613" s="1477"/>
      <c r="V613" s="1477"/>
      <c r="W613" s="1477"/>
      <c r="X613" s="1477"/>
      <c r="Y613" s="1477"/>
      <c r="Z613" s="1477"/>
      <c r="AA613" s="1477"/>
      <c r="AB613" s="1477"/>
      <c r="AC613" s="1477"/>
      <c r="AD613" s="1477"/>
      <c r="AE613" s="1477"/>
      <c r="AF613" s="1477"/>
      <c r="AG613" s="1477"/>
      <c r="AH613" s="1477"/>
      <c r="AI613" s="1477"/>
      <c r="AJ613" s="1477"/>
      <c r="AK613" s="1477"/>
      <c r="AL613" s="1477"/>
      <c r="AM613" s="1477"/>
      <c r="AN613" s="1477"/>
      <c r="AO613" s="284"/>
      <c r="AP613" s="1477"/>
      <c r="AQ613" s="1477"/>
      <c r="AR613" s="1477"/>
      <c r="AS613" s="1477"/>
      <c r="AT613" s="1477"/>
      <c r="AU613" s="1477"/>
      <c r="AV613" s="1477"/>
      <c r="AW613" s="1477"/>
      <c r="AX613" s="1477"/>
      <c r="AY613" s="1477"/>
      <c r="AZ613" s="1477"/>
      <c r="BA613" s="1477"/>
      <c r="BB613" s="1477"/>
      <c r="BC613" s="1477"/>
      <c r="BD613" s="1477"/>
      <c r="BE613" s="1477"/>
      <c r="BF613" s="1477"/>
      <c r="BG613" s="1477"/>
      <c r="BH613" s="1477"/>
      <c r="BI613" s="1477"/>
      <c r="BJ613" s="1477"/>
      <c r="BK613" s="1477"/>
      <c r="BL613" s="1477"/>
      <c r="BM613" s="1477"/>
      <c r="BN613" s="1477"/>
      <c r="BO613" s="1477"/>
      <c r="BP613" s="1477"/>
      <c r="BQ613" s="1477"/>
      <c r="BR613" s="1477"/>
      <c r="BS613" s="1477"/>
      <c r="BT613" s="1477"/>
      <c r="BU613" s="1477"/>
      <c r="BV613" s="1477"/>
      <c r="BW613" s="1477"/>
      <c r="BX613" s="1477"/>
      <c r="BY613" s="1477"/>
      <c r="BZ613" s="1477"/>
      <c r="CA613" s="1477"/>
      <c r="CB613" s="1477"/>
      <c r="CC613" s="1477"/>
      <c r="CD613" s="1477"/>
      <c r="CE613" s="1477"/>
      <c r="CF613" s="1477"/>
      <c r="CG613" s="1477"/>
      <c r="CH613" s="1477"/>
    </row>
    <row r="614" spans="2:86">
      <c r="B614" s="1477"/>
      <c r="C614" s="1477"/>
      <c r="D614" s="1477"/>
      <c r="E614" s="1477"/>
      <c r="F614" s="1477"/>
      <c r="G614" s="1477"/>
      <c r="H614" s="1477"/>
      <c r="I614" s="1477"/>
      <c r="J614" s="1477"/>
      <c r="K614" s="1477"/>
      <c r="L614" s="1477"/>
      <c r="M614" s="1477"/>
      <c r="N614" s="1477"/>
      <c r="O614" s="1477"/>
      <c r="P614" s="1477"/>
      <c r="Q614" s="1477"/>
      <c r="R614" s="1477"/>
      <c r="S614" s="1477"/>
      <c r="T614" s="1477"/>
      <c r="U614" s="1477"/>
      <c r="V614" s="1477"/>
      <c r="W614" s="1477"/>
      <c r="X614" s="1477"/>
      <c r="Y614" s="1477"/>
      <c r="Z614" s="1477"/>
      <c r="AA614" s="1477"/>
      <c r="AB614" s="1477"/>
      <c r="AC614" s="1477"/>
      <c r="AD614" s="1477"/>
      <c r="AE614" s="1477"/>
      <c r="AF614" s="1477"/>
      <c r="AG614" s="1477"/>
      <c r="AH614" s="1477"/>
      <c r="AI614" s="1477"/>
      <c r="AJ614" s="1477"/>
      <c r="AK614" s="1477"/>
      <c r="AL614" s="1477"/>
      <c r="AM614" s="1477"/>
      <c r="AN614" s="1477"/>
      <c r="AO614" s="284"/>
      <c r="AP614" s="1477"/>
      <c r="AQ614" s="1477"/>
      <c r="AR614" s="1477"/>
      <c r="AS614" s="1477"/>
      <c r="AT614" s="1477"/>
      <c r="AU614" s="1477"/>
      <c r="AV614" s="1477"/>
      <c r="AW614" s="1477"/>
      <c r="AX614" s="1477"/>
      <c r="AY614" s="1477"/>
      <c r="AZ614" s="1477"/>
      <c r="BA614" s="1477"/>
      <c r="BB614" s="1477"/>
      <c r="BC614" s="1477"/>
      <c r="BD614" s="1477"/>
      <c r="BE614" s="1477"/>
      <c r="BF614" s="1477"/>
      <c r="BG614" s="1477"/>
      <c r="BH614" s="1477"/>
      <c r="BI614" s="1477"/>
      <c r="BJ614" s="1477"/>
      <c r="BK614" s="1477"/>
      <c r="BL614" s="1477"/>
      <c r="BM614" s="1477"/>
      <c r="BN614" s="1477"/>
      <c r="BO614" s="1477"/>
      <c r="BP614" s="1477"/>
      <c r="BQ614" s="1477"/>
      <c r="BR614" s="1477"/>
      <c r="BS614" s="1477"/>
      <c r="BT614" s="1477"/>
      <c r="BU614" s="1477"/>
      <c r="BV614" s="1477"/>
      <c r="BW614" s="1477"/>
      <c r="BX614" s="1477"/>
      <c r="BY614" s="1477"/>
      <c r="BZ614" s="1477"/>
      <c r="CA614" s="1477"/>
      <c r="CB614" s="1477"/>
      <c r="CC614" s="1477"/>
      <c r="CD614" s="1477"/>
      <c r="CE614" s="1477"/>
      <c r="CF614" s="1477"/>
      <c r="CG614" s="1477"/>
      <c r="CH614" s="1477"/>
    </row>
    <row r="615" spans="2:86">
      <c r="B615" s="1477"/>
      <c r="C615" s="1477"/>
      <c r="D615" s="1477"/>
      <c r="E615" s="1477"/>
      <c r="F615" s="1477"/>
      <c r="G615" s="1477"/>
      <c r="H615" s="1477"/>
      <c r="I615" s="1477"/>
      <c r="J615" s="1477"/>
      <c r="K615" s="1477"/>
      <c r="L615" s="1477"/>
      <c r="M615" s="1477"/>
      <c r="N615" s="1477"/>
      <c r="O615" s="1477"/>
      <c r="P615" s="1477"/>
      <c r="Q615" s="1477"/>
      <c r="R615" s="1477"/>
      <c r="S615" s="1477"/>
      <c r="T615" s="1477"/>
      <c r="U615" s="1477"/>
      <c r="V615" s="1477"/>
      <c r="W615" s="1477"/>
      <c r="X615" s="1477"/>
      <c r="Y615" s="1477"/>
      <c r="Z615" s="1477"/>
      <c r="AA615" s="1477"/>
      <c r="AB615" s="1477"/>
      <c r="AC615" s="1477"/>
      <c r="AD615" s="1477"/>
      <c r="AE615" s="1477"/>
      <c r="AF615" s="1477"/>
      <c r="AG615" s="1477"/>
      <c r="AH615" s="1477"/>
      <c r="AI615" s="1477"/>
      <c r="AJ615" s="1477"/>
      <c r="AK615" s="1477"/>
      <c r="AL615" s="1477"/>
      <c r="AM615" s="1477"/>
      <c r="AN615" s="1477"/>
      <c r="AO615" s="284"/>
      <c r="AP615" s="1477"/>
      <c r="AQ615" s="1477"/>
      <c r="AR615" s="1477"/>
      <c r="AS615" s="1477"/>
      <c r="AT615" s="1477"/>
      <c r="AU615" s="1477"/>
      <c r="AV615" s="1477"/>
      <c r="AW615" s="1477"/>
      <c r="AX615" s="1477"/>
      <c r="AY615" s="1477"/>
      <c r="AZ615" s="1477"/>
      <c r="BA615" s="1477"/>
      <c r="BB615" s="1477"/>
      <c r="BC615" s="1477"/>
      <c r="BD615" s="1477"/>
      <c r="BE615" s="1477"/>
      <c r="BF615" s="1477"/>
      <c r="BG615" s="1477"/>
      <c r="BH615" s="1477"/>
      <c r="BI615" s="1477"/>
      <c r="BJ615" s="1477"/>
      <c r="BK615" s="1477"/>
      <c r="BL615" s="1477"/>
      <c r="BM615" s="1477"/>
      <c r="BN615" s="1477"/>
      <c r="BO615" s="1477"/>
      <c r="BP615" s="1477"/>
      <c r="BQ615" s="1477"/>
      <c r="BR615" s="1477"/>
      <c r="BS615" s="1477"/>
      <c r="BT615" s="1477"/>
      <c r="BU615" s="1477"/>
      <c r="BV615" s="1477"/>
      <c r="BW615" s="1477"/>
      <c r="BX615" s="1477"/>
      <c r="BY615" s="1477"/>
      <c r="BZ615" s="1477"/>
      <c r="CA615" s="1477"/>
      <c r="CB615" s="1477"/>
      <c r="CC615" s="1477"/>
      <c r="CD615" s="1477"/>
      <c r="CE615" s="1477"/>
      <c r="CF615" s="1477"/>
      <c r="CG615" s="1477"/>
      <c r="CH615" s="1477"/>
    </row>
    <row r="616" spans="2:86">
      <c r="B616" s="1477"/>
      <c r="C616" s="1477"/>
      <c r="D616" s="1477"/>
      <c r="E616" s="1477"/>
      <c r="F616" s="1477"/>
      <c r="G616" s="1477"/>
      <c r="H616" s="1477"/>
      <c r="I616" s="1477"/>
      <c r="J616" s="1477"/>
      <c r="K616" s="1477"/>
      <c r="L616" s="1477"/>
      <c r="M616" s="1477"/>
      <c r="N616" s="1477"/>
      <c r="O616" s="1477"/>
      <c r="P616" s="1477"/>
      <c r="Q616" s="1477"/>
      <c r="R616" s="1477"/>
      <c r="S616" s="1477"/>
      <c r="T616" s="1477"/>
      <c r="U616" s="1477"/>
      <c r="V616" s="1477"/>
      <c r="W616" s="1477"/>
      <c r="X616" s="1477"/>
      <c r="Y616" s="1477"/>
      <c r="Z616" s="1477"/>
      <c r="AA616" s="1477"/>
      <c r="AB616" s="1477"/>
      <c r="AC616" s="1477"/>
      <c r="AD616" s="1477"/>
      <c r="AE616" s="1477"/>
      <c r="AF616" s="1477"/>
      <c r="AG616" s="1477"/>
      <c r="AH616" s="1477"/>
      <c r="AI616" s="1477"/>
      <c r="AJ616" s="1477"/>
      <c r="AK616" s="1477"/>
      <c r="AL616" s="1477"/>
      <c r="AM616" s="1477"/>
      <c r="AN616" s="1477"/>
      <c r="AO616" s="284"/>
      <c r="AP616" s="1477"/>
      <c r="AQ616" s="1477"/>
      <c r="AR616" s="1477"/>
      <c r="AS616" s="1477"/>
      <c r="AT616" s="1477"/>
      <c r="AU616" s="1477"/>
      <c r="AV616" s="1477"/>
      <c r="AW616" s="1477"/>
      <c r="AX616" s="1477"/>
      <c r="AY616" s="1477"/>
      <c r="AZ616" s="1477"/>
      <c r="BA616" s="1477"/>
      <c r="BB616" s="1477"/>
      <c r="BC616" s="1477"/>
      <c r="BD616" s="1477"/>
      <c r="BE616" s="1477"/>
      <c r="BF616" s="1477"/>
      <c r="BG616" s="1477"/>
      <c r="BH616" s="1477"/>
      <c r="BI616" s="1477"/>
      <c r="BJ616" s="1477"/>
      <c r="BK616" s="1477"/>
      <c r="BL616" s="1477"/>
      <c r="BM616" s="1477"/>
      <c r="BN616" s="1477"/>
      <c r="BO616" s="1477"/>
      <c r="BP616" s="1477"/>
      <c r="BQ616" s="1477"/>
      <c r="BR616" s="1477"/>
      <c r="BS616" s="1477"/>
      <c r="BT616" s="1477"/>
      <c r="BU616" s="1477"/>
      <c r="BV616" s="1477"/>
      <c r="BW616" s="1477"/>
      <c r="BX616" s="1477"/>
      <c r="BY616" s="1477"/>
      <c r="BZ616" s="1477"/>
      <c r="CA616" s="1477"/>
      <c r="CB616" s="1477"/>
      <c r="CC616" s="1477"/>
      <c r="CD616" s="1477"/>
      <c r="CE616" s="1477"/>
      <c r="CF616" s="1477"/>
      <c r="CG616" s="1477"/>
      <c r="CH616" s="1477"/>
    </row>
    <row r="617" spans="2:86">
      <c r="B617" s="1477"/>
      <c r="C617" s="1477"/>
      <c r="D617" s="1477"/>
      <c r="E617" s="1477"/>
      <c r="F617" s="1477"/>
      <c r="G617" s="1477"/>
      <c r="H617" s="1477"/>
      <c r="I617" s="1477"/>
      <c r="J617" s="1477"/>
      <c r="K617" s="1477"/>
      <c r="L617" s="1477"/>
      <c r="M617" s="1477"/>
      <c r="N617" s="1477"/>
      <c r="O617" s="1477"/>
      <c r="P617" s="1477"/>
      <c r="Q617" s="1477"/>
      <c r="R617" s="1477"/>
      <c r="S617" s="1477"/>
      <c r="T617" s="1477"/>
      <c r="U617" s="1477"/>
      <c r="V617" s="1477"/>
      <c r="W617" s="1477"/>
      <c r="X617" s="1477"/>
      <c r="Y617" s="1477"/>
      <c r="Z617" s="1477"/>
      <c r="AA617" s="1477"/>
      <c r="AB617" s="1477"/>
      <c r="AC617" s="1477"/>
      <c r="AD617" s="1477"/>
      <c r="AE617" s="1477"/>
      <c r="AF617" s="1477"/>
      <c r="AG617" s="1477"/>
      <c r="AH617" s="1477"/>
      <c r="AI617" s="1477"/>
      <c r="AJ617" s="1477"/>
      <c r="AK617" s="1477"/>
      <c r="AL617" s="1477"/>
      <c r="AM617" s="1477"/>
      <c r="AN617" s="1477"/>
      <c r="AO617" s="284"/>
      <c r="AP617" s="1477"/>
      <c r="AQ617" s="1477"/>
      <c r="AR617" s="1477"/>
      <c r="AS617" s="1477"/>
      <c r="AT617" s="1477"/>
      <c r="AU617" s="1477"/>
      <c r="AV617" s="1477"/>
      <c r="AW617" s="1477"/>
      <c r="AX617" s="1477"/>
      <c r="AY617" s="1477"/>
      <c r="AZ617" s="1477"/>
      <c r="BA617" s="1477"/>
      <c r="BB617" s="1477"/>
      <c r="BC617" s="1477"/>
      <c r="BD617" s="1477"/>
      <c r="BE617" s="1477"/>
      <c r="BF617" s="1477"/>
      <c r="BG617" s="1477"/>
      <c r="BH617" s="1477"/>
      <c r="BI617" s="1477"/>
      <c r="BJ617" s="1477"/>
      <c r="BK617" s="1477"/>
      <c r="BL617" s="1477"/>
      <c r="BM617" s="1477"/>
      <c r="BN617" s="1477"/>
      <c r="BO617" s="1477"/>
      <c r="BP617" s="1477"/>
      <c r="BQ617" s="1477"/>
      <c r="BR617" s="1477"/>
      <c r="BS617" s="1477"/>
      <c r="BT617" s="1477"/>
      <c r="BU617" s="1477"/>
      <c r="BV617" s="1477"/>
      <c r="BW617" s="1477"/>
      <c r="BX617" s="1477"/>
      <c r="BY617" s="1477"/>
      <c r="BZ617" s="1477"/>
      <c r="CA617" s="1477"/>
      <c r="CB617" s="1477"/>
      <c r="CC617" s="1477"/>
      <c r="CD617" s="1477"/>
      <c r="CE617" s="1477"/>
      <c r="CF617" s="1477"/>
      <c r="CG617" s="1477"/>
      <c r="CH617" s="1477"/>
    </row>
    <row r="618" spans="2:86">
      <c r="B618" s="1477"/>
      <c r="C618" s="1477"/>
      <c r="D618" s="1477"/>
      <c r="E618" s="1477"/>
      <c r="F618" s="1477"/>
      <c r="G618" s="1477"/>
      <c r="H618" s="1477"/>
      <c r="I618" s="1477"/>
      <c r="J618" s="1477"/>
      <c r="K618" s="1477"/>
      <c r="L618" s="1477"/>
      <c r="M618" s="1477"/>
      <c r="N618" s="1477"/>
      <c r="O618" s="1477"/>
      <c r="P618" s="1477"/>
      <c r="Q618" s="1477"/>
      <c r="R618" s="1477"/>
      <c r="S618" s="1477"/>
      <c r="T618" s="1477"/>
      <c r="U618" s="1477"/>
      <c r="V618" s="1477"/>
      <c r="W618" s="1477"/>
      <c r="X618" s="1477"/>
      <c r="Y618" s="1477"/>
      <c r="Z618" s="1477"/>
      <c r="AA618" s="1477"/>
      <c r="AB618" s="1477"/>
      <c r="AC618" s="1477"/>
      <c r="AD618" s="1477"/>
      <c r="AE618" s="1477"/>
      <c r="AF618" s="1477"/>
      <c r="AG618" s="1477"/>
      <c r="AH618" s="1477"/>
      <c r="AI618" s="1477"/>
      <c r="AJ618" s="1477"/>
      <c r="AK618" s="1477"/>
      <c r="AL618" s="1477"/>
      <c r="AM618" s="1477"/>
      <c r="AN618" s="1477"/>
      <c r="AO618" s="284"/>
      <c r="AP618" s="1477"/>
      <c r="AQ618" s="1477"/>
      <c r="AR618" s="1477"/>
      <c r="AS618" s="1477"/>
      <c r="AT618" s="1477"/>
      <c r="AU618" s="1477"/>
      <c r="AV618" s="1477"/>
      <c r="AW618" s="1477"/>
      <c r="AX618" s="1477"/>
      <c r="AY618" s="1477"/>
      <c r="AZ618" s="1477"/>
      <c r="BA618" s="1477"/>
      <c r="BB618" s="1477"/>
      <c r="BC618" s="1477"/>
      <c r="BD618" s="1477"/>
      <c r="BE618" s="1477"/>
      <c r="BF618" s="1477"/>
      <c r="BG618" s="1477"/>
      <c r="BH618" s="1477"/>
      <c r="BI618" s="1477"/>
      <c r="BJ618" s="1477"/>
      <c r="BK618" s="1477"/>
      <c r="BL618" s="1477"/>
      <c r="BM618" s="1477"/>
      <c r="BN618" s="1477"/>
      <c r="BO618" s="1477"/>
      <c r="BP618" s="1477"/>
      <c r="BQ618" s="1477"/>
      <c r="BR618" s="1477"/>
      <c r="BS618" s="1477"/>
      <c r="BT618" s="1477"/>
      <c r="BU618" s="1477"/>
      <c r="BV618" s="1477"/>
      <c r="BW618" s="1477"/>
      <c r="BX618" s="1477"/>
      <c r="BY618" s="1477"/>
      <c r="BZ618" s="1477"/>
      <c r="CA618" s="1477"/>
      <c r="CB618" s="1477"/>
      <c r="CC618" s="1477"/>
      <c r="CD618" s="1477"/>
      <c r="CE618" s="1477"/>
      <c r="CF618" s="1477"/>
      <c r="CG618" s="1477"/>
      <c r="CH618" s="1477"/>
    </row>
    <row r="619" spans="2:86">
      <c r="B619" s="1477"/>
      <c r="C619" s="1477"/>
      <c r="D619" s="1477"/>
      <c r="E619" s="1477"/>
      <c r="F619" s="1477"/>
      <c r="G619" s="1477"/>
      <c r="H619" s="1477"/>
      <c r="I619" s="1477"/>
      <c r="J619" s="1477"/>
      <c r="K619" s="1477"/>
      <c r="L619" s="1477"/>
      <c r="M619" s="1477"/>
      <c r="N619" s="1477"/>
      <c r="O619" s="1477"/>
      <c r="P619" s="1477"/>
      <c r="Q619" s="1477"/>
      <c r="R619" s="1477"/>
      <c r="S619" s="1477"/>
      <c r="T619" s="1477"/>
      <c r="U619" s="1477"/>
      <c r="V619" s="1477"/>
      <c r="W619" s="1477"/>
      <c r="X619" s="1477"/>
      <c r="Y619" s="1477"/>
      <c r="Z619" s="1477"/>
      <c r="AA619" s="1477"/>
      <c r="AB619" s="1477"/>
      <c r="AC619" s="1477"/>
      <c r="AD619" s="1477"/>
      <c r="AE619" s="1477"/>
      <c r="AF619" s="1477"/>
      <c r="AG619" s="1477"/>
      <c r="AH619" s="1477"/>
      <c r="AI619" s="1477"/>
      <c r="AJ619" s="1477"/>
      <c r="AK619" s="1477"/>
      <c r="AL619" s="1477"/>
      <c r="AM619" s="1477"/>
      <c r="AN619" s="1477"/>
      <c r="AO619" s="284"/>
      <c r="AP619" s="1477"/>
      <c r="AQ619" s="1477"/>
      <c r="AR619" s="1477"/>
      <c r="AS619" s="1477"/>
      <c r="AT619" s="1477"/>
      <c r="AU619" s="1477"/>
      <c r="AV619" s="1477"/>
      <c r="AW619" s="1477"/>
      <c r="AX619" s="1477"/>
      <c r="AY619" s="1477"/>
      <c r="AZ619" s="1477"/>
      <c r="BA619" s="1477"/>
      <c r="BB619" s="1477"/>
      <c r="BC619" s="1477"/>
      <c r="BD619" s="1477"/>
      <c r="BE619" s="1477"/>
      <c r="BF619" s="1477"/>
      <c r="BG619" s="1477"/>
      <c r="BH619" s="1477"/>
      <c r="BI619" s="1477"/>
      <c r="BJ619" s="1477"/>
      <c r="BK619" s="1477"/>
      <c r="BL619" s="1477"/>
      <c r="BM619" s="1477"/>
      <c r="BN619" s="1477"/>
      <c r="BO619" s="1477"/>
      <c r="BP619" s="1477"/>
      <c r="BQ619" s="1477"/>
      <c r="BR619" s="1477"/>
      <c r="BS619" s="1477"/>
      <c r="BT619" s="1477"/>
      <c r="BU619" s="1477"/>
      <c r="BV619" s="1477"/>
      <c r="BW619" s="1477"/>
      <c r="BX619" s="1477"/>
      <c r="BY619" s="1477"/>
      <c r="BZ619" s="1477"/>
      <c r="CA619" s="1477"/>
      <c r="CB619" s="1477"/>
      <c r="CC619" s="1477"/>
      <c r="CD619" s="1477"/>
      <c r="CE619" s="1477"/>
      <c r="CF619" s="1477"/>
      <c r="CG619" s="1477"/>
      <c r="CH619" s="1477"/>
    </row>
    <row r="620" spans="2:86">
      <c r="B620" s="1477"/>
      <c r="C620" s="1477"/>
      <c r="D620" s="1477"/>
      <c r="E620" s="1477"/>
      <c r="F620" s="1477"/>
      <c r="G620" s="1477"/>
      <c r="H620" s="1477"/>
      <c r="I620" s="1477"/>
      <c r="J620" s="1477"/>
      <c r="K620" s="1477"/>
      <c r="L620" s="1477"/>
      <c r="M620" s="1477"/>
      <c r="N620" s="1477"/>
      <c r="O620" s="1477"/>
      <c r="P620" s="1477"/>
      <c r="Q620" s="1477"/>
      <c r="R620" s="1477"/>
      <c r="S620" s="1477"/>
      <c r="T620" s="1477"/>
      <c r="U620" s="1477"/>
      <c r="V620" s="1477"/>
      <c r="W620" s="1477"/>
      <c r="X620" s="1477"/>
      <c r="Y620" s="1477"/>
      <c r="Z620" s="1477"/>
      <c r="AA620" s="1477"/>
      <c r="AB620" s="1477"/>
      <c r="AC620" s="1477"/>
      <c r="AD620" s="1477"/>
      <c r="AE620" s="1477"/>
      <c r="AF620" s="1477"/>
      <c r="AG620" s="1477"/>
      <c r="AH620" s="1477"/>
      <c r="AI620" s="1477"/>
      <c r="AJ620" s="1477"/>
      <c r="AK620" s="1477"/>
      <c r="AL620" s="1477"/>
      <c r="AM620" s="1477"/>
      <c r="AN620" s="1477"/>
      <c r="AO620" s="284"/>
      <c r="AP620" s="1477"/>
      <c r="AQ620" s="1477"/>
      <c r="AR620" s="1477"/>
      <c r="AS620" s="1477"/>
      <c r="AT620" s="1477"/>
      <c r="AU620" s="1477"/>
      <c r="AV620" s="1477"/>
      <c r="AW620" s="1477"/>
      <c r="AX620" s="1477"/>
      <c r="AY620" s="1477"/>
      <c r="AZ620" s="1477"/>
      <c r="BA620" s="1477"/>
      <c r="BB620" s="1477"/>
      <c r="BC620" s="1477"/>
      <c r="BD620" s="1477"/>
      <c r="BE620" s="1477"/>
      <c r="BF620" s="1477"/>
      <c r="BG620" s="1477"/>
      <c r="BH620" s="1477"/>
      <c r="BI620" s="1477"/>
      <c r="BJ620" s="1477"/>
      <c r="BK620" s="1477"/>
      <c r="BL620" s="1477"/>
      <c r="BM620" s="1477"/>
      <c r="BN620" s="1477"/>
      <c r="BO620" s="1477"/>
      <c r="BP620" s="1477"/>
      <c r="BQ620" s="1477"/>
      <c r="BR620" s="1477"/>
      <c r="BS620" s="1477"/>
      <c r="BT620" s="1477"/>
      <c r="BU620" s="1477"/>
      <c r="BV620" s="1477"/>
      <c r="BW620" s="1477"/>
      <c r="BX620" s="1477"/>
      <c r="BY620" s="1477"/>
      <c r="BZ620" s="1477"/>
      <c r="CA620" s="1477"/>
      <c r="CB620" s="1477"/>
      <c r="CC620" s="1477"/>
      <c r="CD620" s="1477"/>
      <c r="CE620" s="1477"/>
      <c r="CF620" s="1477"/>
      <c r="CG620" s="1477"/>
      <c r="CH620" s="1477"/>
    </row>
    <row r="621" spans="2:86">
      <c r="B621" s="1477"/>
      <c r="C621" s="1477"/>
      <c r="D621" s="1477"/>
      <c r="E621" s="1477"/>
      <c r="F621" s="1477"/>
      <c r="G621" s="1477"/>
      <c r="H621" s="1477"/>
      <c r="I621" s="1477"/>
      <c r="J621" s="1477"/>
      <c r="K621" s="1477"/>
      <c r="L621" s="1477"/>
      <c r="M621" s="1477"/>
      <c r="N621" s="1477"/>
      <c r="O621" s="1477"/>
      <c r="P621" s="1477"/>
      <c r="Q621" s="1477"/>
      <c r="R621" s="1477"/>
      <c r="S621" s="1477"/>
      <c r="T621" s="1477"/>
      <c r="U621" s="1477"/>
      <c r="V621" s="1477"/>
      <c r="W621" s="1477"/>
      <c r="X621" s="1477"/>
      <c r="Y621" s="1477"/>
      <c r="Z621" s="1477"/>
      <c r="AA621" s="1477"/>
      <c r="AB621" s="1477"/>
      <c r="AC621" s="1477"/>
      <c r="AD621" s="1477"/>
      <c r="AE621" s="1477"/>
      <c r="AF621" s="1477"/>
      <c r="AG621" s="1477"/>
      <c r="AH621" s="1477"/>
      <c r="AI621" s="1477"/>
      <c r="AJ621" s="1477"/>
      <c r="AK621" s="1477"/>
      <c r="AL621" s="1477"/>
      <c r="AM621" s="1477"/>
      <c r="AN621" s="1477"/>
      <c r="AO621" s="284"/>
      <c r="AP621" s="1477"/>
      <c r="AQ621" s="1477"/>
      <c r="AR621" s="1477"/>
      <c r="AS621" s="1477"/>
      <c r="AT621" s="1477"/>
      <c r="AU621" s="1477"/>
      <c r="AV621" s="1477"/>
      <c r="AW621" s="1477"/>
      <c r="AX621" s="1477"/>
      <c r="AY621" s="1477"/>
      <c r="AZ621" s="1477"/>
      <c r="BA621" s="1477"/>
      <c r="BB621" s="1477"/>
      <c r="BC621" s="1477"/>
      <c r="BD621" s="1477"/>
      <c r="BE621" s="1477"/>
      <c r="BF621" s="1477"/>
      <c r="BG621" s="1477"/>
      <c r="BH621" s="1477"/>
      <c r="BI621" s="1477"/>
      <c r="BJ621" s="1477"/>
      <c r="BK621" s="1477"/>
      <c r="BL621" s="1477"/>
      <c r="BM621" s="1477"/>
      <c r="BN621" s="1477"/>
      <c r="BO621" s="1477"/>
      <c r="BP621" s="1477"/>
      <c r="BQ621" s="1477"/>
      <c r="BR621" s="1477"/>
      <c r="BS621" s="1477"/>
      <c r="BT621" s="1477"/>
      <c r="BU621" s="1477"/>
      <c r="BV621" s="1477"/>
      <c r="BW621" s="1477"/>
      <c r="BX621" s="1477"/>
      <c r="BY621" s="1477"/>
      <c r="BZ621" s="1477"/>
      <c r="CA621" s="1477"/>
      <c r="CB621" s="1477"/>
      <c r="CC621" s="1477"/>
      <c r="CD621" s="1477"/>
      <c r="CE621" s="1477"/>
      <c r="CF621" s="1477"/>
      <c r="CG621" s="1477"/>
      <c r="CH621" s="1477"/>
    </row>
    <row r="622" spans="2:86">
      <c r="B622" s="1477"/>
      <c r="C622" s="1477"/>
      <c r="D622" s="1477"/>
      <c r="E622" s="1477"/>
      <c r="F622" s="1477"/>
      <c r="G622" s="1477"/>
      <c r="H622" s="1477"/>
      <c r="I622" s="1477"/>
      <c r="J622" s="1477"/>
      <c r="K622" s="1477"/>
      <c r="L622" s="1477"/>
      <c r="M622" s="1477"/>
      <c r="N622" s="1477"/>
      <c r="O622" s="1477"/>
      <c r="P622" s="1477"/>
      <c r="Q622" s="1477"/>
      <c r="R622" s="1477"/>
      <c r="S622" s="1477"/>
      <c r="T622" s="1477"/>
      <c r="U622" s="1477"/>
      <c r="V622" s="1477"/>
      <c r="W622" s="1477"/>
      <c r="X622" s="1477"/>
      <c r="Y622" s="1477"/>
      <c r="Z622" s="1477"/>
      <c r="AA622" s="1477"/>
      <c r="AB622" s="1477"/>
      <c r="AC622" s="1477"/>
      <c r="AD622" s="1477"/>
      <c r="AE622" s="1477"/>
      <c r="AF622" s="1477"/>
      <c r="AG622" s="1477"/>
      <c r="AH622" s="1477"/>
      <c r="AI622" s="1477"/>
      <c r="AJ622" s="1477"/>
      <c r="AK622" s="1477"/>
      <c r="AL622" s="1477"/>
      <c r="AM622" s="1477"/>
      <c r="AN622" s="1477"/>
      <c r="AO622" s="284"/>
      <c r="AP622" s="1477"/>
      <c r="AQ622" s="1477"/>
      <c r="AR622" s="1477"/>
      <c r="AS622" s="1477"/>
      <c r="AT622" s="1477"/>
      <c r="AU622" s="1477"/>
      <c r="AV622" s="1477"/>
      <c r="AW622" s="1477"/>
      <c r="AX622" s="1477"/>
      <c r="AY622" s="1477"/>
      <c r="AZ622" s="1477"/>
      <c r="BA622" s="1477"/>
      <c r="BB622" s="1477"/>
      <c r="BC622" s="1477"/>
      <c r="BD622" s="1477"/>
      <c r="BE622" s="1477"/>
      <c r="BF622" s="1477"/>
      <c r="BG622" s="1477"/>
      <c r="BH622" s="1477"/>
      <c r="BI622" s="1477"/>
      <c r="BJ622" s="1477"/>
      <c r="BK622" s="1477"/>
      <c r="BL622" s="1477"/>
      <c r="BM622" s="1477"/>
      <c r="BN622" s="1477"/>
      <c r="BO622" s="1477"/>
      <c r="BP622" s="1477"/>
      <c r="BQ622" s="1477"/>
      <c r="BR622" s="1477"/>
      <c r="BS622" s="1477"/>
      <c r="BT622" s="1477"/>
      <c r="BU622" s="1477"/>
      <c r="BV622" s="1477"/>
      <c r="BW622" s="1477"/>
      <c r="BX622" s="1477"/>
      <c r="BY622" s="1477"/>
      <c r="BZ622" s="1477"/>
      <c r="CA622" s="1477"/>
      <c r="CB622" s="1477"/>
      <c r="CC622" s="1477"/>
      <c r="CD622" s="1477"/>
      <c r="CE622" s="1477"/>
      <c r="CF622" s="1477"/>
      <c r="CG622" s="1477"/>
      <c r="CH622" s="1477"/>
    </row>
    <row r="623" spans="2:86">
      <c r="B623" s="1477"/>
      <c r="C623" s="1477"/>
      <c r="D623" s="1477"/>
      <c r="E623" s="1477"/>
      <c r="F623" s="1477"/>
      <c r="G623" s="1477"/>
      <c r="H623" s="1477"/>
      <c r="I623" s="1477"/>
      <c r="J623" s="1477"/>
      <c r="K623" s="1477"/>
      <c r="L623" s="1477"/>
      <c r="M623" s="1477"/>
      <c r="N623" s="1477"/>
      <c r="O623" s="1477"/>
      <c r="P623" s="1477"/>
      <c r="Q623" s="1477"/>
      <c r="R623" s="1477"/>
      <c r="S623" s="1477"/>
      <c r="T623" s="1477"/>
      <c r="U623" s="1477"/>
      <c r="V623" s="1477"/>
      <c r="W623" s="1477"/>
      <c r="X623" s="1477"/>
      <c r="Y623" s="1477"/>
      <c r="Z623" s="1477"/>
      <c r="AA623" s="1477"/>
      <c r="AB623" s="1477"/>
      <c r="AC623" s="1477"/>
      <c r="AD623" s="1477"/>
      <c r="AE623" s="1477"/>
      <c r="AF623" s="1477"/>
      <c r="AG623" s="1477"/>
      <c r="AH623" s="1477"/>
      <c r="AI623" s="1477"/>
      <c r="AJ623" s="1477"/>
      <c r="AK623" s="1477"/>
      <c r="AL623" s="1477"/>
      <c r="AM623" s="1477"/>
      <c r="AN623" s="1477"/>
      <c r="AO623" s="284"/>
      <c r="AP623" s="1477"/>
      <c r="AQ623" s="1477"/>
      <c r="AR623" s="1477"/>
      <c r="AS623" s="1477"/>
      <c r="AT623" s="1477"/>
      <c r="AU623" s="1477"/>
      <c r="AV623" s="1477"/>
      <c r="AW623" s="1477"/>
      <c r="AX623" s="1477"/>
      <c r="AY623" s="1477"/>
      <c r="AZ623" s="1477"/>
      <c r="BA623" s="1477"/>
      <c r="BB623" s="1477"/>
      <c r="BC623" s="1477"/>
      <c r="BD623" s="1477"/>
      <c r="BE623" s="1477"/>
      <c r="BF623" s="1477"/>
      <c r="BG623" s="1477"/>
      <c r="BH623" s="1477"/>
      <c r="BI623" s="1477"/>
      <c r="BJ623" s="1477"/>
      <c r="BK623" s="1477"/>
      <c r="BL623" s="1477"/>
      <c r="BM623" s="1477"/>
      <c r="BN623" s="1477"/>
      <c r="BO623" s="1477"/>
      <c r="BP623" s="1477"/>
      <c r="BQ623" s="1477"/>
      <c r="BR623" s="1477"/>
      <c r="BS623" s="1477"/>
      <c r="BT623" s="1477"/>
      <c r="BU623" s="1477"/>
      <c r="BV623" s="1477"/>
      <c r="BW623" s="1477"/>
      <c r="BX623" s="1477"/>
      <c r="BY623" s="1477"/>
      <c r="BZ623" s="1477"/>
      <c r="CA623" s="1477"/>
      <c r="CB623" s="1477"/>
      <c r="CC623" s="1477"/>
      <c r="CD623" s="1477"/>
      <c r="CE623" s="1477"/>
      <c r="CF623" s="1477"/>
      <c r="CG623" s="1477"/>
      <c r="CH623" s="1477"/>
    </row>
    <row r="624" spans="2:86">
      <c r="B624" s="1477"/>
      <c r="C624" s="1477"/>
      <c r="D624" s="1477"/>
      <c r="E624" s="1477"/>
      <c r="F624" s="1477"/>
      <c r="G624" s="1477"/>
      <c r="H624" s="1477"/>
      <c r="I624" s="1477"/>
      <c r="J624" s="1477"/>
      <c r="K624" s="1477"/>
      <c r="L624" s="1477"/>
      <c r="M624" s="1477"/>
      <c r="N624" s="1477"/>
      <c r="O624" s="1477"/>
      <c r="P624" s="1477"/>
      <c r="Q624" s="1477"/>
      <c r="R624" s="1477"/>
      <c r="S624" s="1477"/>
      <c r="T624" s="1477"/>
      <c r="U624" s="1477"/>
      <c r="V624" s="1477"/>
      <c r="W624" s="1477"/>
      <c r="X624" s="1477"/>
      <c r="Y624" s="1477"/>
      <c r="Z624" s="1477"/>
      <c r="AA624" s="1477"/>
      <c r="AB624" s="1477"/>
      <c r="AC624" s="1477"/>
      <c r="AD624" s="1477"/>
      <c r="AE624" s="1477"/>
      <c r="AF624" s="1477"/>
      <c r="AG624" s="1477"/>
      <c r="AH624" s="1477"/>
      <c r="AI624" s="1477"/>
      <c r="AJ624" s="1477"/>
      <c r="AK624" s="1477"/>
      <c r="AL624" s="1477"/>
      <c r="AM624" s="1477"/>
      <c r="AN624" s="1477"/>
      <c r="AO624" s="284"/>
      <c r="AP624" s="1477"/>
      <c r="AQ624" s="1477"/>
      <c r="AR624" s="1477"/>
      <c r="AS624" s="1477"/>
      <c r="AT624" s="1477"/>
      <c r="AU624" s="1477"/>
      <c r="AV624" s="1477"/>
      <c r="AW624" s="1477"/>
      <c r="AX624" s="1477"/>
      <c r="AY624" s="1477"/>
      <c r="AZ624" s="1477"/>
      <c r="BA624" s="1477"/>
      <c r="BB624" s="1477"/>
      <c r="BC624" s="1477"/>
      <c r="BD624" s="1477"/>
      <c r="BE624" s="1477"/>
      <c r="BF624" s="1477"/>
      <c r="BG624" s="1477"/>
      <c r="BH624" s="1477"/>
      <c r="BI624" s="1477"/>
      <c r="BJ624" s="1477"/>
      <c r="BK624" s="1477"/>
      <c r="BL624" s="1477"/>
      <c r="BM624" s="1477"/>
      <c r="BN624" s="1477"/>
      <c r="BO624" s="1477"/>
      <c r="BP624" s="1477"/>
      <c r="BQ624" s="1477"/>
      <c r="BR624" s="1477"/>
      <c r="BS624" s="1477"/>
      <c r="BT624" s="1477"/>
      <c r="BU624" s="1477"/>
      <c r="BV624" s="1477"/>
      <c r="BW624" s="1477"/>
      <c r="BX624" s="1477"/>
      <c r="BY624" s="1477"/>
      <c r="BZ624" s="1477"/>
      <c r="CA624" s="1477"/>
      <c r="CB624" s="1477"/>
      <c r="CC624" s="1477"/>
      <c r="CD624" s="1477"/>
      <c r="CE624" s="1477"/>
      <c r="CF624" s="1477"/>
      <c r="CG624" s="1477"/>
      <c r="CH624" s="1477"/>
    </row>
    <row r="625" spans="2:86">
      <c r="B625" s="1477"/>
      <c r="C625" s="1477"/>
      <c r="D625" s="1477"/>
      <c r="E625" s="1477"/>
      <c r="F625" s="1477"/>
      <c r="G625" s="1477"/>
      <c r="H625" s="1477"/>
      <c r="I625" s="1477"/>
      <c r="J625" s="1477"/>
      <c r="K625" s="1477"/>
      <c r="L625" s="1477"/>
      <c r="M625" s="1477"/>
      <c r="N625" s="1477"/>
      <c r="O625" s="1477"/>
      <c r="P625" s="1477"/>
      <c r="Q625" s="1477"/>
      <c r="R625" s="1477"/>
      <c r="S625" s="1477"/>
      <c r="T625" s="1477"/>
      <c r="U625" s="1477"/>
      <c r="V625" s="1477"/>
      <c r="W625" s="1477"/>
      <c r="X625" s="1477"/>
      <c r="Y625" s="1477"/>
      <c r="Z625" s="1477"/>
      <c r="AA625" s="1477"/>
      <c r="AB625" s="1477"/>
      <c r="AC625" s="1477"/>
      <c r="AD625" s="1477"/>
      <c r="AE625" s="1477"/>
      <c r="AF625" s="1477"/>
      <c r="AG625" s="1477"/>
      <c r="AH625" s="1477"/>
      <c r="AI625" s="1477"/>
      <c r="AJ625" s="1477"/>
      <c r="AK625" s="1477"/>
      <c r="AL625" s="1477"/>
      <c r="AM625" s="1477"/>
      <c r="AN625" s="1477"/>
      <c r="AO625" s="284"/>
      <c r="AP625" s="1477"/>
      <c r="AQ625" s="1477"/>
      <c r="AR625" s="1477"/>
      <c r="AS625" s="1477"/>
      <c r="AT625" s="1477"/>
      <c r="AU625" s="1477"/>
      <c r="AV625" s="1477"/>
      <c r="AW625" s="1477"/>
      <c r="AX625" s="1477"/>
      <c r="AY625" s="1477"/>
      <c r="AZ625" s="1477"/>
      <c r="BA625" s="1477"/>
      <c r="BB625" s="1477"/>
      <c r="BC625" s="1477"/>
      <c r="BD625" s="1477"/>
      <c r="BE625" s="1477"/>
      <c r="BF625" s="1477"/>
      <c r="BG625" s="1477"/>
      <c r="BH625" s="1477"/>
      <c r="BI625" s="1477"/>
      <c r="BJ625" s="1477"/>
      <c r="BK625" s="1477"/>
      <c r="BL625" s="1477"/>
      <c r="BM625" s="1477"/>
      <c r="BN625" s="1477"/>
      <c r="BO625" s="1477"/>
      <c r="BP625" s="1477"/>
      <c r="BQ625" s="1477"/>
      <c r="BR625" s="1477"/>
      <c r="BS625" s="1477"/>
      <c r="BT625" s="1477"/>
      <c r="BU625" s="1477"/>
      <c r="BV625" s="1477"/>
      <c r="BW625" s="1477"/>
      <c r="BX625" s="1477"/>
      <c r="BY625" s="1477"/>
      <c r="BZ625" s="1477"/>
      <c r="CA625" s="1477"/>
      <c r="CB625" s="1477"/>
      <c r="CC625" s="1477"/>
      <c r="CD625" s="1477"/>
      <c r="CE625" s="1477"/>
      <c r="CF625" s="1477"/>
      <c r="CG625" s="1477"/>
      <c r="CH625" s="1477"/>
    </row>
    <row r="626" spans="2:86">
      <c r="B626" s="1477"/>
      <c r="C626" s="1477"/>
      <c r="D626" s="1477"/>
      <c r="E626" s="1477"/>
      <c r="F626" s="1477"/>
      <c r="G626" s="1477"/>
      <c r="H626" s="1477"/>
      <c r="I626" s="1477"/>
      <c r="J626" s="1477"/>
      <c r="K626" s="1477"/>
      <c r="L626" s="1477"/>
      <c r="M626" s="1477"/>
      <c r="N626" s="1477"/>
      <c r="O626" s="1477"/>
      <c r="P626" s="1477"/>
      <c r="Q626" s="1477"/>
      <c r="R626" s="1477"/>
      <c r="S626" s="1477"/>
      <c r="T626" s="1477"/>
      <c r="U626" s="1477"/>
      <c r="V626" s="1477"/>
      <c r="W626" s="1477"/>
      <c r="X626" s="1477"/>
      <c r="Y626" s="1477"/>
      <c r="Z626" s="1477"/>
      <c r="AA626" s="1477"/>
      <c r="AB626" s="1477"/>
      <c r="AC626" s="1477"/>
      <c r="AD626" s="1477"/>
      <c r="AE626" s="1477"/>
      <c r="AF626" s="1477"/>
      <c r="AG626" s="1477"/>
      <c r="AH626" s="1477"/>
      <c r="AI626" s="1477"/>
      <c r="AJ626" s="1477"/>
      <c r="AK626" s="1477"/>
      <c r="AL626" s="1477"/>
      <c r="AM626" s="1477"/>
      <c r="AN626" s="1477"/>
      <c r="AO626" s="284"/>
      <c r="AP626" s="1477"/>
      <c r="AQ626" s="1477"/>
      <c r="AR626" s="1477"/>
      <c r="AS626" s="1477"/>
      <c r="AT626" s="1477"/>
      <c r="AU626" s="1477"/>
      <c r="AV626" s="1477"/>
      <c r="AW626" s="1477"/>
      <c r="AX626" s="1477"/>
      <c r="AY626" s="1477"/>
      <c r="AZ626" s="1477"/>
      <c r="BA626" s="1477"/>
      <c r="BB626" s="1477"/>
      <c r="BC626" s="1477"/>
      <c r="BD626" s="1477"/>
      <c r="BE626" s="1477"/>
      <c r="BF626" s="1477"/>
      <c r="BG626" s="1477"/>
      <c r="BH626" s="1477"/>
      <c r="BI626" s="1477"/>
      <c r="BJ626" s="1477"/>
      <c r="BK626" s="1477"/>
      <c r="BL626" s="1477"/>
      <c r="BM626" s="1477"/>
      <c r="BN626" s="1477"/>
      <c r="BO626" s="1477"/>
      <c r="BP626" s="1477"/>
      <c r="BQ626" s="1477"/>
      <c r="BR626" s="1477"/>
      <c r="BS626" s="1477"/>
      <c r="BT626" s="1477"/>
      <c r="BU626" s="1477"/>
      <c r="BV626" s="1477"/>
      <c r="BW626" s="1477"/>
      <c r="BX626" s="1477"/>
      <c r="BY626" s="1477"/>
      <c r="BZ626" s="1477"/>
      <c r="CA626" s="1477"/>
      <c r="CB626" s="1477"/>
      <c r="CC626" s="1477"/>
      <c r="CD626" s="1477"/>
      <c r="CE626" s="1477"/>
      <c r="CF626" s="1477"/>
      <c r="CG626" s="1477"/>
      <c r="CH626" s="1477"/>
    </row>
    <row r="627" spans="2:86">
      <c r="B627" s="1477"/>
      <c r="C627" s="1477"/>
      <c r="D627" s="1477"/>
      <c r="E627" s="1477"/>
      <c r="F627" s="1477"/>
      <c r="G627" s="1477"/>
      <c r="H627" s="1477"/>
      <c r="I627" s="1477"/>
      <c r="J627" s="1477"/>
      <c r="K627" s="1477"/>
      <c r="L627" s="1477"/>
      <c r="M627" s="1477"/>
      <c r="N627" s="1477"/>
      <c r="O627" s="1477"/>
      <c r="P627" s="1477"/>
      <c r="Q627" s="1477"/>
      <c r="R627" s="1477"/>
      <c r="S627" s="1477"/>
      <c r="T627" s="1477"/>
      <c r="U627" s="1477"/>
      <c r="V627" s="1477"/>
      <c r="W627" s="1477"/>
      <c r="X627" s="1477"/>
      <c r="Y627" s="1477"/>
      <c r="Z627" s="1477"/>
      <c r="AA627" s="1477"/>
      <c r="AB627" s="1477"/>
      <c r="AC627" s="1477"/>
      <c r="AD627" s="1477"/>
      <c r="AE627" s="1477"/>
      <c r="AF627" s="1477"/>
      <c r="AG627" s="1477"/>
      <c r="AH627" s="1477"/>
      <c r="AI627" s="1477"/>
      <c r="AJ627" s="1477"/>
      <c r="AK627" s="1477"/>
      <c r="AL627" s="1477"/>
      <c r="AM627" s="1477"/>
      <c r="AN627" s="1477"/>
      <c r="AO627" s="284"/>
      <c r="AP627" s="1477"/>
      <c r="AQ627" s="1477"/>
      <c r="AR627" s="1477"/>
      <c r="AS627" s="1477"/>
      <c r="AT627" s="1477"/>
      <c r="AU627" s="1477"/>
      <c r="AV627" s="1477"/>
      <c r="AW627" s="1477"/>
      <c r="AX627" s="1477"/>
      <c r="AY627" s="1477"/>
      <c r="AZ627" s="1477"/>
      <c r="BA627" s="1477"/>
      <c r="BB627" s="1477"/>
      <c r="BC627" s="1477"/>
      <c r="BD627" s="1477"/>
      <c r="BE627" s="1477"/>
      <c r="BF627" s="1477"/>
      <c r="BG627" s="1477"/>
      <c r="BH627" s="1477"/>
      <c r="BI627" s="1477"/>
      <c r="BJ627" s="1477"/>
      <c r="BK627" s="1477"/>
      <c r="BL627" s="1477"/>
      <c r="BM627" s="1477"/>
      <c r="BN627" s="1477"/>
      <c r="BO627" s="1477"/>
      <c r="BP627" s="1477"/>
      <c r="BQ627" s="1477"/>
      <c r="BR627" s="1477"/>
      <c r="BS627" s="1477"/>
      <c r="BT627" s="1477"/>
      <c r="BU627" s="1477"/>
      <c r="BV627" s="1477"/>
      <c r="BW627" s="1477"/>
      <c r="BX627" s="1477"/>
      <c r="BY627" s="1477"/>
      <c r="BZ627" s="1477"/>
      <c r="CA627" s="1477"/>
      <c r="CB627" s="1477"/>
      <c r="CC627" s="1477"/>
      <c r="CD627" s="1477"/>
      <c r="CE627" s="1477"/>
      <c r="CF627" s="1477"/>
      <c r="CG627" s="1477"/>
      <c r="CH627" s="1477"/>
    </row>
    <row r="628" spans="2:86">
      <c r="B628" s="1477"/>
      <c r="C628" s="1477"/>
      <c r="D628" s="1477"/>
      <c r="E628" s="1477"/>
      <c r="F628" s="1477"/>
      <c r="G628" s="1477"/>
      <c r="H628" s="1477"/>
      <c r="I628" s="1477"/>
      <c r="J628" s="1477"/>
      <c r="K628" s="1477"/>
      <c r="L628" s="1477"/>
      <c r="M628" s="1477"/>
      <c r="N628" s="1477"/>
      <c r="O628" s="1477"/>
      <c r="P628" s="1477"/>
      <c r="Q628" s="1477"/>
      <c r="R628" s="1477"/>
      <c r="S628" s="1477"/>
      <c r="T628" s="1477"/>
      <c r="U628" s="1477"/>
      <c r="V628" s="1477"/>
      <c r="W628" s="1477"/>
      <c r="X628" s="1477"/>
      <c r="Y628" s="1477"/>
      <c r="Z628" s="1477"/>
      <c r="AA628" s="1477"/>
      <c r="AB628" s="1477"/>
      <c r="AC628" s="1477"/>
      <c r="AD628" s="1477"/>
      <c r="AE628" s="1477"/>
      <c r="AF628" s="1477"/>
      <c r="AG628" s="1477"/>
      <c r="AH628" s="1477"/>
      <c r="AI628" s="1477"/>
      <c r="AJ628" s="1477"/>
      <c r="AK628" s="1477"/>
      <c r="AL628" s="1477"/>
      <c r="AM628" s="1477"/>
      <c r="AN628" s="1477"/>
      <c r="AO628" s="284"/>
      <c r="AP628" s="1477"/>
      <c r="AQ628" s="1477"/>
      <c r="AR628" s="1477"/>
      <c r="AS628" s="1477"/>
      <c r="AT628" s="1477"/>
      <c r="AU628" s="1477"/>
      <c r="AV628" s="1477"/>
      <c r="AW628" s="1477"/>
      <c r="AX628" s="1477"/>
      <c r="AY628" s="1477"/>
      <c r="AZ628" s="1477"/>
      <c r="BA628" s="1477"/>
      <c r="BB628" s="1477"/>
      <c r="BC628" s="1477"/>
      <c r="BD628" s="1477"/>
      <c r="BE628" s="1477"/>
      <c r="BF628" s="1477"/>
      <c r="BG628" s="1477"/>
      <c r="BH628" s="1477"/>
      <c r="BI628" s="1477"/>
      <c r="BJ628" s="1477"/>
      <c r="BK628" s="1477"/>
      <c r="BL628" s="1477"/>
      <c r="BM628" s="1477"/>
      <c r="BN628" s="1477"/>
      <c r="BO628" s="1477"/>
      <c r="BP628" s="1477"/>
      <c r="BQ628" s="1477"/>
      <c r="BR628" s="1477"/>
      <c r="BS628" s="1477"/>
      <c r="BT628" s="1477"/>
      <c r="BU628" s="1477"/>
      <c r="BV628" s="1477"/>
      <c r="BW628" s="1477"/>
      <c r="BX628" s="1477"/>
      <c r="BY628" s="1477"/>
      <c r="BZ628" s="1477"/>
      <c r="CA628" s="1477"/>
      <c r="CB628" s="1477"/>
      <c r="CC628" s="1477"/>
      <c r="CD628" s="1477"/>
      <c r="CE628" s="1477"/>
      <c r="CF628" s="1477"/>
      <c r="CG628" s="1477"/>
      <c r="CH628" s="1477"/>
    </row>
    <row r="629" spans="2:86">
      <c r="B629" s="1477"/>
      <c r="C629" s="1477"/>
      <c r="D629" s="1477"/>
      <c r="E629" s="1477"/>
      <c r="F629" s="1477"/>
      <c r="G629" s="1477"/>
      <c r="H629" s="1477"/>
      <c r="I629" s="1477"/>
      <c r="J629" s="1477"/>
      <c r="K629" s="1477"/>
      <c r="L629" s="1477"/>
      <c r="M629" s="1477"/>
      <c r="N629" s="1477"/>
      <c r="O629" s="1477"/>
      <c r="P629" s="1477"/>
      <c r="Q629" s="1477"/>
      <c r="R629" s="1477"/>
      <c r="S629" s="1477"/>
      <c r="T629" s="1477"/>
      <c r="U629" s="1477"/>
      <c r="V629" s="1477"/>
      <c r="W629" s="1477"/>
      <c r="X629" s="1477"/>
      <c r="Y629" s="1477"/>
      <c r="Z629" s="1477"/>
      <c r="AA629" s="1477"/>
      <c r="AB629" s="1477"/>
      <c r="AC629" s="1477"/>
      <c r="AD629" s="1477"/>
      <c r="AE629" s="1477"/>
      <c r="AF629" s="1477"/>
      <c r="AG629" s="1477"/>
      <c r="AH629" s="1477"/>
      <c r="AI629" s="1477"/>
      <c r="AJ629" s="1477"/>
      <c r="AK629" s="1477"/>
      <c r="AL629" s="1477"/>
      <c r="AM629" s="1477"/>
      <c r="AN629" s="1477"/>
      <c r="AO629" s="284"/>
      <c r="AP629" s="1477"/>
      <c r="AQ629" s="1477"/>
      <c r="AR629" s="1477"/>
      <c r="AS629" s="1477"/>
      <c r="AT629" s="1477"/>
      <c r="AU629" s="1477"/>
      <c r="AV629" s="1477"/>
      <c r="AW629" s="1477"/>
      <c r="AX629" s="1477"/>
      <c r="AY629" s="1477"/>
      <c r="AZ629" s="1477"/>
      <c r="BA629" s="1477"/>
      <c r="BB629" s="1477"/>
      <c r="BC629" s="1477"/>
      <c r="BD629" s="1477"/>
      <c r="BE629" s="1477"/>
      <c r="BF629" s="1477"/>
      <c r="BG629" s="1477"/>
      <c r="BH629" s="1477"/>
      <c r="BI629" s="1477"/>
      <c r="BJ629" s="1477"/>
      <c r="BK629" s="1477"/>
      <c r="BL629" s="1477"/>
      <c r="BM629" s="1477"/>
      <c r="BN629" s="1477"/>
      <c r="BO629" s="1477"/>
      <c r="BP629" s="1477"/>
      <c r="BQ629" s="1477"/>
      <c r="BR629" s="1477"/>
      <c r="BS629" s="1477"/>
      <c r="BT629" s="1477"/>
      <c r="BU629" s="1477"/>
      <c r="BV629" s="1477"/>
      <c r="BW629" s="1477"/>
      <c r="BX629" s="1477"/>
      <c r="BY629" s="1477"/>
      <c r="BZ629" s="1477"/>
      <c r="CA629" s="1477"/>
      <c r="CB629" s="1477"/>
      <c r="CC629" s="1477"/>
      <c r="CD629" s="1477"/>
      <c r="CE629" s="1477"/>
      <c r="CF629" s="1477"/>
      <c r="CG629" s="1477"/>
      <c r="CH629" s="1477"/>
    </row>
    <row r="630" spans="2:86">
      <c r="B630" s="1477"/>
      <c r="C630" s="1477"/>
      <c r="D630" s="1477"/>
      <c r="E630" s="1477"/>
      <c r="F630" s="1477"/>
      <c r="G630" s="1477"/>
      <c r="H630" s="1477"/>
      <c r="I630" s="1477"/>
      <c r="J630" s="1477"/>
      <c r="K630" s="1477"/>
      <c r="L630" s="1477"/>
      <c r="M630" s="1477"/>
      <c r="N630" s="1477"/>
      <c r="O630" s="1477"/>
      <c r="P630" s="1477"/>
      <c r="Q630" s="1477"/>
      <c r="R630" s="1477"/>
      <c r="S630" s="1477"/>
      <c r="T630" s="1477"/>
      <c r="U630" s="1477"/>
      <c r="V630" s="1477"/>
      <c r="W630" s="1477"/>
      <c r="X630" s="1477"/>
      <c r="Y630" s="1477"/>
      <c r="Z630" s="1477"/>
      <c r="AA630" s="1477"/>
      <c r="AB630" s="1477"/>
      <c r="AC630" s="1477"/>
      <c r="AD630" s="1477"/>
      <c r="AE630" s="1477"/>
      <c r="AF630" s="1477"/>
      <c r="AG630" s="1477"/>
      <c r="AH630" s="1477"/>
      <c r="AI630" s="1477"/>
      <c r="AJ630" s="1477"/>
      <c r="AK630" s="1477"/>
      <c r="AL630" s="1477"/>
      <c r="AM630" s="1477"/>
      <c r="AN630" s="1477"/>
      <c r="AO630" s="284"/>
      <c r="AP630" s="1477"/>
      <c r="AQ630" s="1477"/>
      <c r="AR630" s="1477"/>
      <c r="AS630" s="1477"/>
      <c r="AT630" s="1477"/>
      <c r="AU630" s="1477"/>
      <c r="AV630" s="1477"/>
      <c r="AW630" s="1477"/>
      <c r="AX630" s="1477"/>
      <c r="AY630" s="1477"/>
      <c r="AZ630" s="1477"/>
      <c r="BA630" s="1477"/>
      <c r="BB630" s="1477"/>
      <c r="BC630" s="1477"/>
      <c r="BD630" s="1477"/>
      <c r="BE630" s="1477"/>
      <c r="BF630" s="1477"/>
      <c r="BG630" s="1477"/>
      <c r="BH630" s="1477"/>
      <c r="BI630" s="1477"/>
      <c r="BJ630" s="1477"/>
      <c r="BK630" s="1477"/>
      <c r="BL630" s="1477"/>
      <c r="BM630" s="1477"/>
      <c r="BN630" s="1477"/>
      <c r="BO630" s="1477"/>
      <c r="BP630" s="1477"/>
      <c r="BQ630" s="1477"/>
      <c r="BR630" s="1477"/>
      <c r="BS630" s="1477"/>
      <c r="BT630" s="1477"/>
      <c r="BU630" s="1477"/>
      <c r="BV630" s="1477"/>
      <c r="BW630" s="1477"/>
      <c r="BX630" s="1477"/>
      <c r="BY630" s="1477"/>
      <c r="BZ630" s="1477"/>
      <c r="CA630" s="1477"/>
      <c r="CB630" s="1477"/>
      <c r="CC630" s="1477"/>
      <c r="CD630" s="1477"/>
      <c r="CE630" s="1477"/>
      <c r="CF630" s="1477"/>
      <c r="CG630" s="1477"/>
      <c r="CH630" s="1477"/>
    </row>
    <row r="631" spans="2:86">
      <c r="B631" s="1477"/>
      <c r="C631" s="1477"/>
      <c r="D631" s="1477"/>
      <c r="E631" s="1477"/>
      <c r="F631" s="1477"/>
      <c r="G631" s="1477"/>
      <c r="H631" s="1477"/>
      <c r="I631" s="1477"/>
      <c r="J631" s="1477"/>
      <c r="K631" s="1477"/>
      <c r="L631" s="1477"/>
      <c r="M631" s="1477"/>
      <c r="N631" s="1477"/>
      <c r="O631" s="1477"/>
      <c r="P631" s="1477"/>
      <c r="Q631" s="1477"/>
      <c r="R631" s="1477"/>
      <c r="S631" s="1477"/>
      <c r="T631" s="1477"/>
      <c r="U631" s="1477"/>
      <c r="V631" s="1477"/>
      <c r="W631" s="1477"/>
      <c r="X631" s="1477"/>
      <c r="Y631" s="1477"/>
      <c r="Z631" s="1477"/>
      <c r="AA631" s="1477"/>
      <c r="AB631" s="1477"/>
      <c r="AC631" s="1477"/>
      <c r="AD631" s="1477"/>
      <c r="AE631" s="1477"/>
      <c r="AF631" s="1477"/>
      <c r="AG631" s="1477"/>
      <c r="AH631" s="1477"/>
      <c r="AI631" s="1477"/>
      <c r="AJ631" s="1477"/>
      <c r="AK631" s="1477"/>
      <c r="AL631" s="1477"/>
      <c r="AM631" s="1477"/>
      <c r="AN631" s="1477"/>
      <c r="AO631" s="284"/>
      <c r="AP631" s="1477"/>
      <c r="AQ631" s="1477"/>
      <c r="AR631" s="1477"/>
      <c r="AS631" s="1477"/>
      <c r="AT631" s="1477"/>
      <c r="AU631" s="1477"/>
      <c r="AV631" s="1477"/>
      <c r="AW631" s="1477"/>
      <c r="AX631" s="1477"/>
      <c r="AY631" s="1477"/>
      <c r="AZ631" s="1477"/>
      <c r="BA631" s="1477"/>
      <c r="BB631" s="1477"/>
      <c r="BC631" s="1477"/>
      <c r="BD631" s="1477"/>
      <c r="BE631" s="1477"/>
      <c r="BF631" s="1477"/>
      <c r="BG631" s="1477"/>
      <c r="BH631" s="1477"/>
      <c r="BI631" s="1477"/>
      <c r="BJ631" s="1477"/>
      <c r="BK631" s="1477"/>
      <c r="BL631" s="1477"/>
      <c r="BM631" s="1477"/>
      <c r="BN631" s="1477"/>
      <c r="BO631" s="1477"/>
      <c r="BP631" s="1477"/>
      <c r="BQ631" s="1477"/>
      <c r="BR631" s="1477"/>
      <c r="BS631" s="1477"/>
      <c r="BT631" s="1477"/>
      <c r="BU631" s="1477"/>
      <c r="BV631" s="1477"/>
      <c r="BW631" s="1477"/>
      <c r="BX631" s="1477"/>
      <c r="BY631" s="1477"/>
      <c r="BZ631" s="1477"/>
      <c r="CA631" s="1477"/>
      <c r="CB631" s="1477"/>
      <c r="CC631" s="1477"/>
      <c r="CD631" s="1477"/>
      <c r="CE631" s="1477"/>
      <c r="CF631" s="1477"/>
      <c r="CG631" s="1477"/>
      <c r="CH631" s="1477"/>
    </row>
    <row r="632" spans="2:86">
      <c r="B632" s="1477"/>
      <c r="C632" s="1477"/>
      <c r="D632" s="1477"/>
      <c r="E632" s="1477"/>
      <c r="F632" s="1477"/>
      <c r="G632" s="1477"/>
      <c r="H632" s="1477"/>
      <c r="I632" s="1477"/>
      <c r="J632" s="1477"/>
      <c r="K632" s="1477"/>
      <c r="L632" s="1477"/>
      <c r="M632" s="1477"/>
      <c r="N632" s="1477"/>
      <c r="O632" s="1477"/>
      <c r="P632" s="1477"/>
      <c r="Q632" s="1477"/>
      <c r="R632" s="1477"/>
      <c r="S632" s="1477"/>
      <c r="T632" s="1477"/>
      <c r="U632" s="1477"/>
      <c r="V632" s="1477"/>
      <c r="W632" s="1477"/>
      <c r="X632" s="1477"/>
      <c r="Y632" s="1477"/>
      <c r="Z632" s="1477"/>
      <c r="AA632" s="1477"/>
      <c r="AB632" s="1477"/>
      <c r="AC632" s="1477"/>
      <c r="AD632" s="1477"/>
      <c r="AE632" s="1477"/>
      <c r="AF632" s="1477"/>
      <c r="AG632" s="1477"/>
      <c r="AH632" s="1477"/>
      <c r="AI632" s="1477"/>
      <c r="AJ632" s="1477"/>
      <c r="AK632" s="1477"/>
      <c r="AL632" s="1477"/>
      <c r="AM632" s="1477"/>
      <c r="AN632" s="1477"/>
      <c r="AO632" s="284"/>
      <c r="AP632" s="1477"/>
      <c r="AQ632" s="1477"/>
      <c r="AR632" s="1477"/>
      <c r="AS632" s="1477"/>
      <c r="AT632" s="1477"/>
      <c r="AU632" s="1477"/>
      <c r="AV632" s="1477"/>
      <c r="AW632" s="1477"/>
      <c r="AX632" s="1477"/>
      <c r="AY632" s="1477"/>
      <c r="AZ632" s="1477"/>
      <c r="BA632" s="1477"/>
      <c r="BB632" s="1477"/>
      <c r="BC632" s="1477"/>
      <c r="BD632" s="1477"/>
      <c r="BE632" s="1477"/>
      <c r="BF632" s="1477"/>
      <c r="BG632" s="1477"/>
      <c r="BH632" s="1477"/>
      <c r="BI632" s="1477"/>
      <c r="BJ632" s="1477"/>
      <c r="BK632" s="1477"/>
      <c r="BL632" s="1477"/>
      <c r="BM632" s="1477"/>
      <c r="BN632" s="1477"/>
      <c r="BO632" s="1477"/>
      <c r="BP632" s="1477"/>
      <c r="BQ632" s="1477"/>
      <c r="BR632" s="1477"/>
      <c r="BS632" s="1477"/>
      <c r="BT632" s="1477"/>
      <c r="BU632" s="1477"/>
      <c r="BV632" s="1477"/>
      <c r="BW632" s="1477"/>
      <c r="BX632" s="1477"/>
      <c r="BY632" s="1477"/>
      <c r="BZ632" s="1477"/>
      <c r="CA632" s="1477"/>
      <c r="CB632" s="1477"/>
      <c r="CC632" s="1477"/>
      <c r="CD632" s="1477"/>
      <c r="CE632" s="1477"/>
      <c r="CF632" s="1477"/>
      <c r="CG632" s="1477"/>
      <c r="CH632" s="1477"/>
    </row>
    <row r="633" spans="2:86">
      <c r="B633" s="1477"/>
      <c r="C633" s="1477"/>
      <c r="D633" s="1477"/>
      <c r="E633" s="1477"/>
      <c r="F633" s="1477"/>
      <c r="G633" s="1477"/>
      <c r="H633" s="1477"/>
      <c r="I633" s="1477"/>
      <c r="J633" s="1477"/>
      <c r="K633" s="1477"/>
      <c r="L633" s="1477"/>
      <c r="M633" s="1477"/>
      <c r="N633" s="1477"/>
      <c r="O633" s="1477"/>
      <c r="P633" s="1477"/>
      <c r="Q633" s="1477"/>
      <c r="R633" s="1477"/>
      <c r="S633" s="1477"/>
      <c r="T633" s="1477"/>
      <c r="U633" s="1477"/>
      <c r="V633" s="1477"/>
      <c r="W633" s="1477"/>
      <c r="X633" s="1477"/>
      <c r="Y633" s="1477"/>
      <c r="Z633" s="1477"/>
      <c r="AA633" s="1477"/>
      <c r="AB633" s="1477"/>
      <c r="AC633" s="1477"/>
      <c r="AD633" s="1477"/>
      <c r="AE633" s="1477"/>
      <c r="AF633" s="1477"/>
      <c r="AG633" s="1477"/>
      <c r="AH633" s="1477"/>
      <c r="AI633" s="1477"/>
      <c r="AJ633" s="1477"/>
      <c r="AK633" s="1477"/>
      <c r="AL633" s="1477"/>
      <c r="AM633" s="1477"/>
      <c r="AN633" s="1477"/>
      <c r="AO633" s="284"/>
      <c r="AP633" s="1477"/>
      <c r="AQ633" s="1477"/>
      <c r="AR633" s="1477"/>
      <c r="AS633" s="1477"/>
      <c r="AT633" s="1477"/>
      <c r="AU633" s="1477"/>
      <c r="AV633" s="1477"/>
      <c r="AW633" s="1477"/>
      <c r="AX633" s="1477"/>
      <c r="AY633" s="1477"/>
      <c r="AZ633" s="1477"/>
      <c r="BA633" s="1477"/>
      <c r="BB633" s="1477"/>
      <c r="BC633" s="1477"/>
      <c r="BD633" s="1477"/>
      <c r="BE633" s="1477"/>
      <c r="BF633" s="1477"/>
      <c r="BG633" s="1477"/>
      <c r="BH633" s="1477"/>
      <c r="BI633" s="1477"/>
      <c r="BJ633" s="1477"/>
      <c r="BK633" s="1477"/>
      <c r="BL633" s="1477"/>
      <c r="BM633" s="1477"/>
      <c r="BN633" s="1477"/>
      <c r="BO633" s="1477"/>
      <c r="BP633" s="1477"/>
      <c r="BQ633" s="1477"/>
      <c r="BR633" s="1477"/>
      <c r="BS633" s="1477"/>
      <c r="BT633" s="1477"/>
      <c r="BU633" s="1477"/>
      <c r="BV633" s="1477"/>
      <c r="BW633" s="1477"/>
      <c r="BX633" s="1477"/>
      <c r="BY633" s="1477"/>
      <c r="BZ633" s="1477"/>
      <c r="CA633" s="1477"/>
      <c r="CB633" s="1477"/>
      <c r="CC633" s="1477"/>
      <c r="CD633" s="1477"/>
      <c r="CE633" s="1477"/>
      <c r="CF633" s="1477"/>
      <c r="CG633" s="1477"/>
      <c r="CH633" s="1477"/>
    </row>
    <row r="634" spans="2:86">
      <c r="B634" s="1477"/>
      <c r="C634" s="1477"/>
      <c r="D634" s="1477"/>
      <c r="E634" s="1477"/>
      <c r="F634" s="1477"/>
      <c r="G634" s="1477"/>
      <c r="H634" s="1477"/>
      <c r="I634" s="1477"/>
      <c r="J634" s="1477"/>
      <c r="K634" s="1477"/>
      <c r="L634" s="1477"/>
      <c r="M634" s="1477"/>
      <c r="N634" s="1477"/>
      <c r="O634" s="1477"/>
      <c r="P634" s="1477"/>
      <c r="Q634" s="1477"/>
      <c r="R634" s="1477"/>
      <c r="S634" s="1477"/>
      <c r="T634" s="1477"/>
      <c r="U634" s="1477"/>
      <c r="V634" s="1477"/>
      <c r="W634" s="1477"/>
      <c r="X634" s="1477"/>
      <c r="Y634" s="1477"/>
      <c r="Z634" s="1477"/>
      <c r="AA634" s="1477"/>
      <c r="AB634" s="1477"/>
      <c r="AC634" s="1477"/>
      <c r="AD634" s="1477"/>
      <c r="AE634" s="1477"/>
      <c r="AF634" s="1477"/>
      <c r="AG634" s="1477"/>
      <c r="AH634" s="1477"/>
      <c r="AI634" s="1477"/>
      <c r="AJ634" s="1477"/>
      <c r="AK634" s="1477"/>
      <c r="AL634" s="1477"/>
      <c r="AM634" s="1477"/>
      <c r="AN634" s="1477"/>
      <c r="AO634" s="284"/>
      <c r="AP634" s="1477"/>
      <c r="AQ634" s="1477"/>
      <c r="AR634" s="1477"/>
      <c r="AS634" s="1477"/>
      <c r="AT634" s="1477"/>
      <c r="AU634" s="1477"/>
      <c r="AV634" s="1477"/>
      <c r="AW634" s="1477"/>
      <c r="AX634" s="1477"/>
      <c r="AY634" s="1477"/>
      <c r="AZ634" s="1477"/>
      <c r="BA634" s="1477"/>
      <c r="BB634" s="1477"/>
      <c r="BC634" s="1477"/>
      <c r="BD634" s="1477"/>
      <c r="BE634" s="1477"/>
      <c r="BF634" s="1477"/>
      <c r="BG634" s="1477"/>
      <c r="BH634" s="1477"/>
      <c r="BI634" s="1477"/>
      <c r="BJ634" s="1477"/>
      <c r="BK634" s="1477"/>
      <c r="BL634" s="1477"/>
      <c r="BM634" s="1477"/>
      <c r="BN634" s="1477"/>
      <c r="BO634" s="1477"/>
      <c r="BP634" s="1477"/>
      <c r="BQ634" s="1477"/>
      <c r="BR634" s="1477"/>
      <c r="BS634" s="1477"/>
      <c r="BT634" s="1477"/>
      <c r="BU634" s="1477"/>
      <c r="BV634" s="1477"/>
      <c r="BW634" s="1477"/>
      <c r="BX634" s="1477"/>
      <c r="BY634" s="1477"/>
      <c r="BZ634" s="1477"/>
      <c r="CA634" s="1477"/>
      <c r="CB634" s="1477"/>
      <c r="CC634" s="1477"/>
      <c r="CD634" s="1477"/>
      <c r="CE634" s="1477"/>
      <c r="CF634" s="1477"/>
      <c r="CG634" s="1477"/>
      <c r="CH634" s="1477"/>
    </row>
    <row r="635" spans="2:86">
      <c r="B635" s="1477"/>
      <c r="C635" s="1477"/>
      <c r="D635" s="1477"/>
      <c r="E635" s="1477"/>
      <c r="F635" s="1477"/>
      <c r="G635" s="1477"/>
      <c r="H635" s="1477"/>
      <c r="I635" s="1477"/>
      <c r="J635" s="1477"/>
      <c r="K635" s="1477"/>
      <c r="L635" s="1477"/>
      <c r="M635" s="1477"/>
      <c r="N635" s="1477"/>
      <c r="O635" s="1477"/>
      <c r="P635" s="1477"/>
      <c r="Q635" s="1477"/>
      <c r="R635" s="1477"/>
      <c r="S635" s="1477"/>
      <c r="T635" s="1477"/>
      <c r="U635" s="1477"/>
      <c r="V635" s="1477"/>
      <c r="W635" s="1477"/>
      <c r="X635" s="1477"/>
      <c r="Y635" s="1477"/>
      <c r="Z635" s="1477"/>
      <c r="AA635" s="1477"/>
      <c r="AB635" s="1477"/>
      <c r="AC635" s="1477"/>
      <c r="AD635" s="1477"/>
      <c r="AE635" s="1477"/>
      <c r="AF635" s="1477"/>
      <c r="AG635" s="1477"/>
      <c r="AH635" s="1477"/>
      <c r="AI635" s="1477"/>
      <c r="AJ635" s="1477"/>
      <c r="AK635" s="1477"/>
      <c r="AL635" s="1477"/>
      <c r="AM635" s="1477"/>
      <c r="AN635" s="1477"/>
      <c r="AO635" s="284"/>
      <c r="AP635" s="1477"/>
      <c r="AQ635" s="1477"/>
      <c r="AR635" s="1477"/>
      <c r="AS635" s="1477"/>
      <c r="AT635" s="1477"/>
      <c r="AU635" s="1477"/>
      <c r="AV635" s="1477"/>
      <c r="AW635" s="1477"/>
      <c r="AX635" s="1477"/>
      <c r="AY635" s="1477"/>
      <c r="AZ635" s="1477"/>
      <c r="BA635" s="1477"/>
      <c r="BB635" s="1477"/>
      <c r="BC635" s="1477"/>
      <c r="BD635" s="1477"/>
      <c r="BE635" s="1477"/>
      <c r="BF635" s="1477"/>
      <c r="BG635" s="1477"/>
      <c r="BH635" s="1477"/>
      <c r="BI635" s="1477"/>
      <c r="BJ635" s="1477"/>
      <c r="BK635" s="1477"/>
      <c r="BL635" s="1477"/>
      <c r="BM635" s="1477"/>
      <c r="BN635" s="1477"/>
      <c r="BO635" s="1477"/>
      <c r="BP635" s="1477"/>
      <c r="BQ635" s="1477"/>
      <c r="BR635" s="1477"/>
      <c r="BS635" s="1477"/>
      <c r="BT635" s="1477"/>
      <c r="BU635" s="1477"/>
      <c r="BV635" s="1477"/>
      <c r="BW635" s="1477"/>
      <c r="BX635" s="1477"/>
      <c r="BY635" s="1477"/>
      <c r="BZ635" s="1477"/>
      <c r="CA635" s="1477"/>
      <c r="CB635" s="1477"/>
      <c r="CC635" s="1477"/>
      <c r="CD635" s="1477"/>
      <c r="CE635" s="1477"/>
      <c r="CF635" s="1477"/>
      <c r="CG635" s="1477"/>
      <c r="CH635" s="1477"/>
    </row>
    <row r="636" spans="2:86">
      <c r="B636" s="1477"/>
      <c r="C636" s="1477"/>
      <c r="D636" s="1477"/>
      <c r="E636" s="1477"/>
      <c r="F636" s="1477"/>
      <c r="G636" s="1477"/>
      <c r="H636" s="1477"/>
      <c r="I636" s="1477"/>
      <c r="J636" s="1477"/>
      <c r="K636" s="1477"/>
      <c r="L636" s="1477"/>
      <c r="M636" s="1477"/>
      <c r="N636" s="1477"/>
      <c r="O636" s="1477"/>
      <c r="P636" s="1477"/>
      <c r="Q636" s="1477"/>
      <c r="R636" s="1477"/>
      <c r="S636" s="1477"/>
      <c r="T636" s="1477"/>
      <c r="U636" s="1477"/>
      <c r="V636" s="1477"/>
      <c r="W636" s="1477"/>
      <c r="X636" s="1477"/>
      <c r="Y636" s="1477"/>
      <c r="Z636" s="1477"/>
      <c r="AA636" s="1477"/>
      <c r="AB636" s="1477"/>
      <c r="AC636" s="1477"/>
      <c r="AD636" s="1477"/>
      <c r="AE636" s="1477"/>
      <c r="AF636" s="1477"/>
      <c r="AG636" s="1477"/>
      <c r="AH636" s="1477"/>
      <c r="AI636" s="1477"/>
      <c r="AJ636" s="1477"/>
      <c r="AK636" s="1477"/>
      <c r="AL636" s="1477"/>
      <c r="AM636" s="1477"/>
      <c r="AN636" s="1477"/>
      <c r="AO636" s="284"/>
      <c r="AP636" s="1477"/>
      <c r="AQ636" s="1477"/>
      <c r="AR636" s="1477"/>
      <c r="AS636" s="1477"/>
      <c r="AT636" s="1477"/>
      <c r="AU636" s="1477"/>
      <c r="AV636" s="1477"/>
      <c r="AW636" s="1477"/>
      <c r="AX636" s="1477"/>
      <c r="AY636" s="1477"/>
      <c r="AZ636" s="1477"/>
      <c r="BA636" s="1477"/>
      <c r="BB636" s="1477"/>
      <c r="BC636" s="1477"/>
      <c r="BD636" s="1477"/>
      <c r="BE636" s="1477"/>
      <c r="BF636" s="1477"/>
      <c r="BG636" s="1477"/>
      <c r="BH636" s="1477"/>
      <c r="BI636" s="1477"/>
      <c r="BJ636" s="1477"/>
      <c r="BK636" s="1477"/>
      <c r="BL636" s="1477"/>
      <c r="BM636" s="1477"/>
      <c r="BN636" s="1477"/>
      <c r="BO636" s="1477"/>
      <c r="BP636" s="1477"/>
      <c r="BQ636" s="1477"/>
      <c r="BR636" s="1477"/>
      <c r="BS636" s="1477"/>
      <c r="BT636" s="1477"/>
      <c r="BU636" s="1477"/>
      <c r="BV636" s="1477"/>
      <c r="BW636" s="1477"/>
      <c r="BX636" s="1477"/>
      <c r="BY636" s="1477"/>
      <c r="BZ636" s="1477"/>
      <c r="CA636" s="1477"/>
      <c r="CB636" s="1477"/>
      <c r="CC636" s="1477"/>
      <c r="CD636" s="1477"/>
      <c r="CE636" s="1477"/>
      <c r="CF636" s="1477"/>
      <c r="CG636" s="1477"/>
      <c r="CH636" s="1477"/>
    </row>
    <row r="637" spans="2:86">
      <c r="B637" s="1477"/>
      <c r="C637" s="1477"/>
      <c r="D637" s="1477"/>
      <c r="E637" s="1477"/>
      <c r="F637" s="1477"/>
      <c r="G637" s="1477"/>
      <c r="H637" s="1477"/>
      <c r="I637" s="1477"/>
      <c r="J637" s="1477"/>
      <c r="K637" s="1477"/>
      <c r="L637" s="1477"/>
      <c r="M637" s="1477"/>
      <c r="N637" s="1477"/>
      <c r="O637" s="1477"/>
      <c r="P637" s="1477"/>
      <c r="Q637" s="1477"/>
      <c r="R637" s="1477"/>
      <c r="S637" s="1477"/>
      <c r="T637" s="1477"/>
      <c r="U637" s="1477"/>
      <c r="V637" s="1477"/>
      <c r="W637" s="1477"/>
      <c r="X637" s="1477"/>
      <c r="Y637" s="1477"/>
      <c r="Z637" s="1477"/>
      <c r="AA637" s="1477"/>
      <c r="AB637" s="1477"/>
      <c r="AC637" s="1477"/>
      <c r="AD637" s="1477"/>
      <c r="AE637" s="1477"/>
      <c r="AF637" s="1477"/>
      <c r="AG637" s="1477"/>
      <c r="AH637" s="1477"/>
      <c r="AI637" s="1477"/>
      <c r="AJ637" s="1477"/>
      <c r="AK637" s="1477"/>
      <c r="AL637" s="1477"/>
      <c r="AM637" s="1477"/>
      <c r="AN637" s="1477"/>
      <c r="AO637" s="284"/>
      <c r="AP637" s="1477"/>
      <c r="AQ637" s="1477"/>
      <c r="AR637" s="1477"/>
      <c r="AS637" s="1477"/>
      <c r="AT637" s="1477"/>
      <c r="AU637" s="1477"/>
      <c r="AV637" s="1477"/>
      <c r="AW637" s="1477"/>
      <c r="AX637" s="1477"/>
      <c r="AY637" s="1477"/>
      <c r="AZ637" s="1477"/>
      <c r="BA637" s="1477"/>
      <c r="BB637" s="1477"/>
      <c r="BC637" s="1477"/>
      <c r="BD637" s="1477"/>
      <c r="BE637" s="1477"/>
      <c r="BF637" s="1477"/>
      <c r="BG637" s="1477"/>
      <c r="BH637" s="1477"/>
      <c r="BI637" s="1477"/>
      <c r="BJ637" s="1477"/>
      <c r="BK637" s="1477"/>
      <c r="BL637" s="1477"/>
      <c r="BM637" s="1477"/>
      <c r="BN637" s="1477"/>
      <c r="BO637" s="1477"/>
      <c r="BP637" s="1477"/>
      <c r="BQ637" s="1477"/>
      <c r="BR637" s="1477"/>
      <c r="BS637" s="1477"/>
      <c r="BT637" s="1477"/>
      <c r="BU637" s="1477"/>
      <c r="BV637" s="1477"/>
      <c r="BW637" s="1477"/>
      <c r="BX637" s="1477"/>
      <c r="BY637" s="1477"/>
      <c r="BZ637" s="1477"/>
      <c r="CA637" s="1477"/>
      <c r="CB637" s="1477"/>
      <c r="CC637" s="1477"/>
      <c r="CD637" s="1477"/>
      <c r="CE637" s="1477"/>
      <c r="CF637" s="1477"/>
      <c r="CG637" s="1477"/>
      <c r="CH637" s="1477"/>
    </row>
    <row r="638" spans="2:86">
      <c r="B638" s="1477"/>
      <c r="C638" s="1477"/>
      <c r="D638" s="1477"/>
      <c r="E638" s="1477"/>
      <c r="F638" s="1477"/>
      <c r="G638" s="1477"/>
      <c r="H638" s="1477"/>
      <c r="I638" s="1477"/>
      <c r="J638" s="1477"/>
      <c r="K638" s="1477"/>
      <c r="L638" s="1477"/>
      <c r="M638" s="1477"/>
      <c r="N638" s="1477"/>
      <c r="O638" s="1477"/>
      <c r="P638" s="1477"/>
      <c r="Q638" s="1477"/>
      <c r="R638" s="1477"/>
      <c r="S638" s="1477"/>
      <c r="T638" s="1477"/>
      <c r="U638" s="1477"/>
      <c r="V638" s="1477"/>
      <c r="W638" s="1477"/>
      <c r="X638" s="1477"/>
      <c r="Y638" s="1477"/>
      <c r="Z638" s="1477"/>
      <c r="AA638" s="1477"/>
      <c r="AB638" s="1477"/>
      <c r="AC638" s="1477"/>
      <c r="AD638" s="1477"/>
      <c r="AE638" s="1477"/>
      <c r="AF638" s="1477"/>
      <c r="AG638" s="1477"/>
      <c r="AH638" s="1477"/>
      <c r="AI638" s="1477"/>
      <c r="AJ638" s="1477"/>
      <c r="AK638" s="1477"/>
      <c r="AL638" s="1477"/>
      <c r="AM638" s="1477"/>
      <c r="AN638" s="1477"/>
      <c r="AO638" s="284"/>
      <c r="AP638" s="1477"/>
      <c r="AQ638" s="1477"/>
      <c r="AR638" s="1477"/>
      <c r="AS638" s="1477"/>
      <c r="AT638" s="1477"/>
      <c r="AU638" s="1477"/>
      <c r="AV638" s="1477"/>
      <c r="AW638" s="1477"/>
      <c r="AX638" s="1477"/>
      <c r="AY638" s="1477"/>
      <c r="AZ638" s="1477"/>
      <c r="BA638" s="1477"/>
      <c r="BB638" s="1477"/>
      <c r="BC638" s="1477"/>
      <c r="BD638" s="1477"/>
      <c r="BE638" s="1477"/>
      <c r="BF638" s="1477"/>
      <c r="BG638" s="1477"/>
      <c r="BH638" s="1477"/>
      <c r="BI638" s="1477"/>
      <c r="BJ638" s="1477"/>
      <c r="BK638" s="1477"/>
      <c r="BL638" s="1477"/>
      <c r="BM638" s="1477"/>
      <c r="BN638" s="1477"/>
      <c r="BO638" s="1477"/>
      <c r="BP638" s="1477"/>
      <c r="BQ638" s="1477"/>
      <c r="BR638" s="1477"/>
      <c r="BS638" s="1477"/>
      <c r="BT638" s="1477"/>
      <c r="BU638" s="1477"/>
      <c r="BV638" s="1477"/>
      <c r="BW638" s="1477"/>
      <c r="BX638" s="1477"/>
      <c r="BY638" s="1477"/>
      <c r="BZ638" s="1477"/>
      <c r="CA638" s="1477"/>
      <c r="CB638" s="1477"/>
      <c r="CC638" s="1477"/>
      <c r="CD638" s="1477"/>
      <c r="CE638" s="1477"/>
      <c r="CF638" s="1477"/>
      <c r="CG638" s="1477"/>
      <c r="CH638" s="1477"/>
    </row>
    <row r="639" spans="2:86">
      <c r="B639" s="1477"/>
      <c r="C639" s="1477"/>
      <c r="D639" s="1477"/>
      <c r="E639" s="1477"/>
      <c r="F639" s="1477"/>
      <c r="G639" s="1477"/>
      <c r="H639" s="1477"/>
      <c r="I639" s="1477"/>
      <c r="J639" s="1477"/>
      <c r="K639" s="1477"/>
      <c r="L639" s="1477"/>
      <c r="M639" s="1477"/>
      <c r="N639" s="1477"/>
      <c r="O639" s="1477"/>
      <c r="P639" s="1477"/>
      <c r="Q639" s="1477"/>
      <c r="R639" s="1477"/>
      <c r="S639" s="1477"/>
      <c r="T639" s="1477"/>
      <c r="U639" s="1477"/>
      <c r="V639" s="1477"/>
      <c r="W639" s="1477"/>
      <c r="X639" s="1477"/>
      <c r="Y639" s="1477"/>
      <c r="Z639" s="1477"/>
      <c r="AA639" s="1477"/>
      <c r="AB639" s="1477"/>
      <c r="AC639" s="1477"/>
      <c r="AD639" s="1477"/>
      <c r="AE639" s="1477"/>
      <c r="AF639" s="1477"/>
      <c r="AG639" s="1477"/>
      <c r="AH639" s="1477"/>
      <c r="AI639" s="1477"/>
      <c r="AJ639" s="1477"/>
      <c r="AK639" s="1477"/>
      <c r="AL639" s="1477"/>
      <c r="AM639" s="1477"/>
      <c r="AN639" s="1477"/>
      <c r="AO639" s="284"/>
      <c r="AP639" s="1477"/>
      <c r="AQ639" s="1477"/>
      <c r="AR639" s="1477"/>
      <c r="AS639" s="1477"/>
      <c r="AT639" s="1477"/>
      <c r="AU639" s="1477"/>
      <c r="AV639" s="1477"/>
      <c r="AW639" s="1477"/>
      <c r="AX639" s="1477"/>
      <c r="AY639" s="1477"/>
      <c r="AZ639" s="1477"/>
      <c r="BA639" s="1477"/>
      <c r="BB639" s="1477"/>
      <c r="BC639" s="1477"/>
      <c r="BD639" s="1477"/>
      <c r="BE639" s="1477"/>
      <c r="BF639" s="1477"/>
      <c r="BG639" s="1477"/>
      <c r="BH639" s="1477"/>
      <c r="BI639" s="1477"/>
      <c r="BJ639" s="1477"/>
      <c r="BK639" s="1477"/>
      <c r="BL639" s="1477"/>
      <c r="BM639" s="1477"/>
      <c r="BN639" s="1477"/>
      <c r="BO639" s="1477"/>
      <c r="BP639" s="1477"/>
      <c r="BQ639" s="1477"/>
      <c r="BR639" s="1477"/>
      <c r="BS639" s="1477"/>
      <c r="BT639" s="1477"/>
      <c r="BU639" s="1477"/>
      <c r="BV639" s="1477"/>
      <c r="BW639" s="1477"/>
      <c r="BX639" s="1477"/>
      <c r="BY639" s="1477"/>
      <c r="BZ639" s="1477"/>
      <c r="CA639" s="1477"/>
      <c r="CB639" s="1477"/>
      <c r="CC639" s="1477"/>
      <c r="CD639" s="1477"/>
      <c r="CE639" s="1477"/>
      <c r="CF639" s="1477"/>
      <c r="CG639" s="1477"/>
      <c r="CH639" s="1477"/>
    </row>
    <row r="640" spans="2:86">
      <c r="B640" s="1477"/>
      <c r="C640" s="1477"/>
      <c r="D640" s="1477"/>
      <c r="E640" s="1477"/>
      <c r="F640" s="1477"/>
      <c r="G640" s="1477"/>
      <c r="H640" s="1477"/>
      <c r="I640" s="1477"/>
      <c r="J640" s="1477"/>
      <c r="K640" s="1477"/>
      <c r="L640" s="1477"/>
      <c r="M640" s="1477"/>
      <c r="N640" s="1477"/>
      <c r="O640" s="1477"/>
      <c r="P640" s="1477"/>
      <c r="Q640" s="1477"/>
      <c r="R640" s="1477"/>
      <c r="S640" s="1477"/>
      <c r="T640" s="1477"/>
      <c r="U640" s="1477"/>
      <c r="V640" s="1477"/>
      <c r="W640" s="1477"/>
      <c r="X640" s="1477"/>
      <c r="Y640" s="1477"/>
      <c r="Z640" s="1477"/>
      <c r="AA640" s="1477"/>
      <c r="AB640" s="1477"/>
      <c r="AC640" s="1477"/>
      <c r="AD640" s="1477"/>
      <c r="AE640" s="1477"/>
      <c r="AF640" s="1477"/>
      <c r="AG640" s="1477"/>
      <c r="AH640" s="1477"/>
      <c r="AI640" s="1477"/>
      <c r="AJ640" s="1477"/>
      <c r="AK640" s="1477"/>
      <c r="AL640" s="1477"/>
      <c r="AM640" s="1477"/>
      <c r="AN640" s="1477"/>
      <c r="AO640" s="284"/>
      <c r="AP640" s="1477"/>
      <c r="AQ640" s="1477"/>
      <c r="AR640" s="1477"/>
      <c r="AS640" s="1477"/>
      <c r="AT640" s="1477"/>
      <c r="AU640" s="1477"/>
      <c r="AV640" s="1477"/>
      <c r="AW640" s="1477"/>
      <c r="AX640" s="1477"/>
      <c r="AY640" s="1477"/>
      <c r="AZ640" s="1477"/>
      <c r="BA640" s="1477"/>
      <c r="BB640" s="1477"/>
      <c r="BC640" s="1477"/>
      <c r="BD640" s="1477"/>
      <c r="BE640" s="1477"/>
      <c r="BF640" s="1477"/>
      <c r="BG640" s="1477"/>
      <c r="BH640" s="1477"/>
      <c r="BI640" s="1477"/>
      <c r="BJ640" s="1477"/>
      <c r="BK640" s="1477"/>
      <c r="BL640" s="1477"/>
      <c r="BM640" s="1477"/>
      <c r="BN640" s="1477"/>
      <c r="BO640" s="1477"/>
      <c r="BP640" s="1477"/>
      <c r="BQ640" s="1477"/>
      <c r="BR640" s="1477"/>
      <c r="BS640" s="1477"/>
      <c r="BT640" s="1477"/>
      <c r="BU640" s="1477"/>
      <c r="BV640" s="1477"/>
      <c r="BW640" s="1477"/>
      <c r="BX640" s="1477"/>
      <c r="BY640" s="1477"/>
      <c r="BZ640" s="1477"/>
      <c r="CA640" s="1477"/>
      <c r="CB640" s="1477"/>
      <c r="CC640" s="1477"/>
      <c r="CD640" s="1477"/>
      <c r="CE640" s="1477"/>
      <c r="CF640" s="1477"/>
      <c r="CG640" s="1477"/>
      <c r="CH640" s="1477"/>
    </row>
    <row r="641" spans="2:86">
      <c r="B641" s="1477"/>
      <c r="C641" s="1477"/>
      <c r="D641" s="1477"/>
      <c r="E641" s="1477"/>
      <c r="F641" s="1477"/>
      <c r="G641" s="1477"/>
      <c r="H641" s="1477"/>
      <c r="I641" s="1477"/>
      <c r="J641" s="1477"/>
      <c r="K641" s="1477"/>
      <c r="L641" s="1477"/>
      <c r="M641" s="1477"/>
      <c r="N641" s="1477"/>
      <c r="O641" s="1477"/>
      <c r="P641" s="1477"/>
      <c r="Q641" s="1477"/>
      <c r="R641" s="1477"/>
      <c r="S641" s="1477"/>
      <c r="T641" s="1477"/>
      <c r="U641" s="1477"/>
      <c r="V641" s="1477"/>
      <c r="W641" s="1477"/>
      <c r="X641" s="1477"/>
      <c r="Y641" s="1477"/>
      <c r="Z641" s="1477"/>
      <c r="AA641" s="1477"/>
      <c r="AB641" s="1477"/>
      <c r="AC641" s="1477"/>
      <c r="AD641" s="1477"/>
      <c r="AE641" s="1477"/>
      <c r="AF641" s="1477"/>
      <c r="AG641" s="1477"/>
      <c r="AH641" s="1477"/>
      <c r="AI641" s="1477"/>
      <c r="AJ641" s="1477"/>
      <c r="AK641" s="1477"/>
      <c r="AL641" s="1477"/>
      <c r="AM641" s="1477"/>
      <c r="AN641" s="1477"/>
      <c r="AO641" s="284"/>
      <c r="AP641" s="1477"/>
      <c r="AQ641" s="1477"/>
      <c r="AR641" s="1477"/>
      <c r="AS641" s="1477"/>
      <c r="AT641" s="1477"/>
      <c r="AU641" s="1477"/>
      <c r="AV641" s="1477"/>
      <c r="AW641" s="1477"/>
      <c r="AX641" s="1477"/>
      <c r="AY641" s="1477"/>
      <c r="AZ641" s="1477"/>
      <c r="BA641" s="1477"/>
      <c r="BB641" s="1477"/>
      <c r="BC641" s="1477"/>
      <c r="BD641" s="1477"/>
      <c r="BE641" s="1477"/>
      <c r="BF641" s="1477"/>
      <c r="BG641" s="1477"/>
      <c r="BH641" s="1477"/>
      <c r="BI641" s="1477"/>
      <c r="BJ641" s="1477"/>
      <c r="BK641" s="1477"/>
      <c r="BL641" s="1477"/>
      <c r="BM641" s="1477"/>
      <c r="BN641" s="1477"/>
      <c r="BO641" s="1477"/>
      <c r="BP641" s="1477"/>
      <c r="BQ641" s="1477"/>
      <c r="BR641" s="1477"/>
      <c r="BS641" s="1477"/>
      <c r="BT641" s="1477"/>
      <c r="BU641" s="1477"/>
      <c r="BV641" s="1477"/>
      <c r="BW641" s="1477"/>
      <c r="BX641" s="1477"/>
      <c r="BY641" s="1477"/>
      <c r="BZ641" s="1477"/>
      <c r="CA641" s="1477"/>
      <c r="CB641" s="1477"/>
      <c r="CC641" s="1477"/>
      <c r="CD641" s="1477"/>
      <c r="CE641" s="1477"/>
      <c r="CF641" s="1477"/>
      <c r="CG641" s="1477"/>
      <c r="CH641" s="1477"/>
    </row>
    <row r="642" spans="2:86">
      <c r="B642" s="1477"/>
      <c r="C642" s="1477"/>
      <c r="D642" s="1477"/>
      <c r="E642" s="1477"/>
      <c r="F642" s="1477"/>
      <c r="G642" s="1477"/>
      <c r="H642" s="1477"/>
      <c r="I642" s="1477"/>
      <c r="J642" s="1477"/>
      <c r="K642" s="1477"/>
      <c r="L642" s="1477"/>
      <c r="M642" s="1477"/>
      <c r="N642" s="1477"/>
      <c r="O642" s="1477"/>
      <c r="P642" s="1477"/>
      <c r="Q642" s="1477"/>
      <c r="R642" s="1477"/>
      <c r="S642" s="1477"/>
      <c r="T642" s="1477"/>
      <c r="U642" s="1477"/>
      <c r="V642" s="1477"/>
      <c r="W642" s="1477"/>
      <c r="X642" s="1477"/>
      <c r="Y642" s="1477"/>
      <c r="Z642" s="1477"/>
      <c r="AA642" s="1477"/>
      <c r="AB642" s="1477"/>
      <c r="AC642" s="1477"/>
      <c r="AD642" s="1477"/>
      <c r="AE642" s="1477"/>
      <c r="AF642" s="1477"/>
      <c r="AG642" s="1477"/>
      <c r="AH642" s="1477"/>
      <c r="AI642" s="1477"/>
      <c r="AJ642" s="1477"/>
      <c r="AK642" s="1477"/>
      <c r="AL642" s="1477"/>
      <c r="AM642" s="1477"/>
      <c r="AN642" s="1477"/>
      <c r="AO642" s="284"/>
      <c r="AP642" s="1477"/>
      <c r="AQ642" s="1477"/>
      <c r="AR642" s="1477"/>
      <c r="AS642" s="1477"/>
      <c r="AT642" s="1477"/>
      <c r="AU642" s="1477"/>
      <c r="AV642" s="1477"/>
      <c r="AW642" s="1477"/>
      <c r="AX642" s="1477"/>
      <c r="AY642" s="1477"/>
      <c r="AZ642" s="1477"/>
      <c r="BA642" s="1477"/>
      <c r="BB642" s="1477"/>
      <c r="BC642" s="1477"/>
      <c r="BD642" s="1477"/>
      <c r="BE642" s="1477"/>
      <c r="BF642" s="1477"/>
      <c r="BG642" s="1477"/>
      <c r="BH642" s="1477"/>
      <c r="BI642" s="1477"/>
      <c r="BJ642" s="1477"/>
      <c r="BK642" s="1477"/>
      <c r="BL642" s="1477"/>
      <c r="BM642" s="1477"/>
      <c r="BN642" s="1477"/>
      <c r="BO642" s="1477"/>
      <c r="BP642" s="1477"/>
      <c r="BQ642" s="1477"/>
      <c r="BR642" s="1477"/>
      <c r="BS642" s="1477"/>
      <c r="BT642" s="1477"/>
      <c r="BU642" s="1477"/>
      <c r="BV642" s="1477"/>
      <c r="BW642" s="1477"/>
      <c r="BX642" s="1477"/>
      <c r="BY642" s="1477"/>
      <c r="BZ642" s="1477"/>
      <c r="CA642" s="1477"/>
      <c r="CB642" s="1477"/>
      <c r="CC642" s="1477"/>
      <c r="CD642" s="1477"/>
      <c r="CE642" s="1477"/>
      <c r="CF642" s="1477"/>
      <c r="CG642" s="1477"/>
      <c r="CH642" s="1477"/>
    </row>
    <row r="643" spans="2:86">
      <c r="B643" s="1477"/>
      <c r="C643" s="1477"/>
      <c r="D643" s="1477"/>
      <c r="E643" s="1477"/>
      <c r="F643" s="1477"/>
      <c r="G643" s="1477"/>
      <c r="H643" s="1477"/>
      <c r="I643" s="1477"/>
      <c r="J643" s="1477"/>
      <c r="K643" s="1477"/>
      <c r="L643" s="1477"/>
      <c r="M643" s="1477"/>
      <c r="N643" s="1477"/>
      <c r="O643" s="1477"/>
      <c r="P643" s="1477"/>
      <c r="Q643" s="1477"/>
      <c r="R643" s="1477"/>
      <c r="S643" s="1477"/>
      <c r="T643" s="1477"/>
      <c r="U643" s="1477"/>
      <c r="V643" s="1477"/>
      <c r="W643" s="1477"/>
      <c r="X643" s="1477"/>
      <c r="Y643" s="1477"/>
      <c r="Z643" s="1477"/>
      <c r="AA643" s="1477"/>
      <c r="AB643" s="1477"/>
      <c r="AC643" s="1477"/>
      <c r="AD643" s="1477"/>
      <c r="AE643" s="1477"/>
      <c r="AF643" s="1477"/>
      <c r="AG643" s="1477"/>
      <c r="AH643" s="1477"/>
      <c r="AI643" s="1477"/>
      <c r="AJ643" s="1477"/>
      <c r="AK643" s="1477"/>
      <c r="AL643" s="1477"/>
      <c r="AM643" s="1477"/>
      <c r="AN643" s="1477"/>
      <c r="AO643" s="284"/>
      <c r="AP643" s="1477"/>
      <c r="AQ643" s="1477"/>
      <c r="AR643" s="1477"/>
      <c r="AS643" s="1477"/>
      <c r="AT643" s="1477"/>
      <c r="AU643" s="1477"/>
      <c r="AV643" s="1477"/>
      <c r="AW643" s="1477"/>
      <c r="AX643" s="1477"/>
      <c r="AY643" s="1477"/>
      <c r="AZ643" s="1477"/>
      <c r="BA643" s="1477"/>
      <c r="BB643" s="1477"/>
      <c r="BC643" s="1477"/>
      <c r="BD643" s="1477"/>
      <c r="BE643" s="1477"/>
      <c r="BF643" s="1477"/>
      <c r="BG643" s="1477"/>
      <c r="BH643" s="1477"/>
      <c r="BI643" s="1477"/>
      <c r="BJ643" s="1477"/>
      <c r="BK643" s="1477"/>
      <c r="BL643" s="1477"/>
      <c r="BM643" s="1477"/>
      <c r="BN643" s="1477"/>
      <c r="BO643" s="1477"/>
      <c r="BP643" s="1477"/>
      <c r="BQ643" s="1477"/>
      <c r="BR643" s="1477"/>
      <c r="BS643" s="1477"/>
      <c r="BT643" s="1477"/>
      <c r="BU643" s="1477"/>
      <c r="BV643" s="1477"/>
      <c r="BW643" s="1477"/>
      <c r="BX643" s="1477"/>
      <c r="BY643" s="1477"/>
      <c r="BZ643" s="1477"/>
      <c r="CA643" s="1477"/>
      <c r="CB643" s="1477"/>
      <c r="CC643" s="1477"/>
      <c r="CD643" s="1477"/>
      <c r="CE643" s="1477"/>
      <c r="CF643" s="1477"/>
      <c r="CG643" s="1477"/>
      <c r="CH643" s="1477"/>
    </row>
    <row r="644" spans="2:86">
      <c r="B644" s="1477"/>
      <c r="C644" s="1477"/>
      <c r="D644" s="1477"/>
      <c r="E644" s="1477"/>
      <c r="F644" s="1477"/>
      <c r="G644" s="1477"/>
      <c r="H644" s="1477"/>
      <c r="I644" s="1477"/>
      <c r="J644" s="1477"/>
      <c r="K644" s="1477"/>
      <c r="L644" s="1477"/>
      <c r="M644" s="1477"/>
      <c r="N644" s="1477"/>
      <c r="O644" s="1477"/>
      <c r="P644" s="1477"/>
      <c r="Q644" s="1477"/>
      <c r="R644" s="1477"/>
      <c r="S644" s="1477"/>
      <c r="T644" s="1477"/>
      <c r="U644" s="1477"/>
      <c r="V644" s="1477"/>
      <c r="W644" s="1477"/>
      <c r="X644" s="1477"/>
      <c r="Y644" s="1477"/>
      <c r="Z644" s="1477"/>
      <c r="AA644" s="1477"/>
      <c r="AB644" s="1477"/>
      <c r="AC644" s="1477"/>
      <c r="AD644" s="1477"/>
      <c r="AE644" s="1477"/>
      <c r="AF644" s="1477"/>
      <c r="AG644" s="1477"/>
      <c r="AH644" s="1477"/>
      <c r="AI644" s="1477"/>
      <c r="AJ644" s="1477"/>
      <c r="AK644" s="1477"/>
      <c r="AL644" s="1477"/>
      <c r="AM644" s="1477"/>
      <c r="AN644" s="1477"/>
      <c r="AO644" s="284"/>
      <c r="AP644" s="1477"/>
      <c r="AQ644" s="1477"/>
      <c r="AR644" s="1477"/>
      <c r="AS644" s="1477"/>
      <c r="AT644" s="1477"/>
      <c r="AU644" s="1477"/>
      <c r="AV644" s="1477"/>
      <c r="AW644" s="1477"/>
      <c r="AX644" s="1477"/>
      <c r="AY644" s="1477"/>
      <c r="AZ644" s="1477"/>
      <c r="BA644" s="1477"/>
      <c r="BB644" s="1477"/>
      <c r="BC644" s="1477"/>
      <c r="BD644" s="1477"/>
      <c r="BE644" s="1477"/>
      <c r="BF644" s="1477"/>
      <c r="BG644" s="1477"/>
      <c r="BH644" s="1477"/>
      <c r="BI644" s="1477"/>
      <c r="BJ644" s="1477"/>
      <c r="BK644" s="1477"/>
      <c r="BL644" s="1477"/>
      <c r="BM644" s="1477"/>
      <c r="BN644" s="1477"/>
      <c r="BO644" s="1477"/>
      <c r="BP644" s="1477"/>
      <c r="BQ644" s="1477"/>
      <c r="BR644" s="1477"/>
      <c r="BS644" s="1477"/>
      <c r="BT644" s="1477"/>
      <c r="BU644" s="1477"/>
      <c r="BV644" s="1477"/>
      <c r="BW644" s="1477"/>
      <c r="BX644" s="1477"/>
      <c r="BY644" s="1477"/>
      <c r="BZ644" s="1477"/>
      <c r="CA644" s="1477"/>
      <c r="CB644" s="1477"/>
      <c r="CC644" s="1477"/>
      <c r="CD644" s="1477"/>
      <c r="CE644" s="1477"/>
      <c r="CF644" s="1477"/>
      <c r="CG644" s="1477"/>
      <c r="CH644" s="1477"/>
    </row>
    <row r="645" spans="2:86">
      <c r="B645" s="1477"/>
      <c r="C645" s="1477"/>
      <c r="D645" s="1477"/>
      <c r="E645" s="1477"/>
      <c r="F645" s="1477"/>
      <c r="G645" s="1477"/>
      <c r="H645" s="1477"/>
      <c r="I645" s="1477"/>
      <c r="J645" s="1477"/>
      <c r="K645" s="1477"/>
      <c r="L645" s="1477"/>
      <c r="M645" s="1477"/>
      <c r="N645" s="1477"/>
      <c r="O645" s="1477"/>
      <c r="P645" s="1477"/>
      <c r="Q645" s="1477"/>
      <c r="R645" s="1477"/>
      <c r="S645" s="1477"/>
      <c r="T645" s="1477"/>
      <c r="U645" s="1477"/>
      <c r="V645" s="1477"/>
      <c r="W645" s="1477"/>
      <c r="X645" s="1477"/>
      <c r="Y645" s="1477"/>
      <c r="Z645" s="1477"/>
      <c r="AA645" s="1477"/>
      <c r="AB645" s="1477"/>
      <c r="AC645" s="1477"/>
      <c r="AD645" s="1477"/>
      <c r="AE645" s="1477"/>
      <c r="AF645" s="1477"/>
      <c r="AG645" s="1477"/>
      <c r="AH645" s="1477"/>
      <c r="AI645" s="1477"/>
      <c r="AJ645" s="1477"/>
      <c r="AK645" s="1477"/>
      <c r="AL645" s="1477"/>
      <c r="AM645" s="1477"/>
      <c r="AN645" s="1477"/>
      <c r="AO645" s="284"/>
      <c r="AP645" s="1477"/>
      <c r="AQ645" s="1477"/>
      <c r="AR645" s="1477"/>
      <c r="AS645" s="1477"/>
      <c r="AT645" s="1477"/>
      <c r="AU645" s="1477"/>
      <c r="AV645" s="1477"/>
      <c r="AW645" s="1477"/>
      <c r="AX645" s="1477"/>
      <c r="AY645" s="1477"/>
      <c r="AZ645" s="1477"/>
      <c r="BA645" s="1477"/>
      <c r="BB645" s="1477"/>
      <c r="BC645" s="1477"/>
      <c r="BD645" s="1477"/>
      <c r="BE645" s="1477"/>
      <c r="BF645" s="1477"/>
      <c r="BG645" s="1477"/>
      <c r="BH645" s="1477"/>
      <c r="BI645" s="1477"/>
      <c r="BJ645" s="1477"/>
      <c r="BK645" s="1477"/>
      <c r="BL645" s="1477"/>
      <c r="BM645" s="1477"/>
      <c r="BN645" s="1477"/>
      <c r="BO645" s="1477"/>
      <c r="BP645" s="1477"/>
      <c r="BQ645" s="1477"/>
      <c r="BR645" s="1477"/>
      <c r="BS645" s="1477"/>
      <c r="BT645" s="1477"/>
      <c r="BU645" s="1477"/>
      <c r="BV645" s="1477"/>
      <c r="BW645" s="1477"/>
      <c r="BX645" s="1477"/>
      <c r="BY645" s="1477"/>
      <c r="BZ645" s="1477"/>
      <c r="CA645" s="1477"/>
      <c r="CB645" s="1477"/>
      <c r="CC645" s="1477"/>
      <c r="CD645" s="1477"/>
      <c r="CE645" s="1477"/>
      <c r="CF645" s="1477"/>
      <c r="CG645" s="1477"/>
      <c r="CH645" s="1477"/>
    </row>
    <row r="646" spans="2:86">
      <c r="B646" s="1477"/>
      <c r="C646" s="1477"/>
      <c r="D646" s="1477"/>
      <c r="E646" s="1477"/>
      <c r="F646" s="1477"/>
      <c r="G646" s="1477"/>
      <c r="H646" s="1477"/>
      <c r="I646" s="1477"/>
      <c r="J646" s="1477"/>
      <c r="K646" s="1477"/>
      <c r="L646" s="1477"/>
      <c r="M646" s="1477"/>
      <c r="N646" s="1477"/>
      <c r="O646" s="1477"/>
      <c r="P646" s="1477"/>
      <c r="Q646" s="1477"/>
      <c r="R646" s="1477"/>
      <c r="S646" s="1477"/>
      <c r="T646" s="1477"/>
      <c r="U646" s="1477"/>
      <c r="V646" s="1477"/>
      <c r="W646" s="1477"/>
      <c r="X646" s="1477"/>
      <c r="Y646" s="1477"/>
      <c r="Z646" s="1477"/>
      <c r="AA646" s="1477"/>
      <c r="AB646" s="1477"/>
      <c r="AC646" s="1477"/>
      <c r="AD646" s="1477"/>
      <c r="AE646" s="1477"/>
      <c r="AF646" s="1477"/>
      <c r="AG646" s="1477"/>
      <c r="AH646" s="1477"/>
      <c r="AI646" s="1477"/>
      <c r="AJ646" s="1477"/>
      <c r="AK646" s="1477"/>
      <c r="AL646" s="1477"/>
      <c r="AM646" s="1477"/>
      <c r="AN646" s="1477"/>
      <c r="AO646" s="284"/>
      <c r="AP646" s="1477"/>
      <c r="AQ646" s="1477"/>
      <c r="AR646" s="1477"/>
      <c r="AS646" s="1477"/>
      <c r="AT646" s="1477"/>
      <c r="AU646" s="1477"/>
      <c r="AV646" s="1477"/>
      <c r="AW646" s="1477"/>
      <c r="AX646" s="1477"/>
      <c r="AY646" s="1477"/>
      <c r="AZ646" s="1477"/>
      <c r="BA646" s="1477"/>
      <c r="BB646" s="1477"/>
      <c r="BC646" s="1477"/>
      <c r="BD646" s="1477"/>
      <c r="BE646" s="1477"/>
      <c r="BF646" s="1477"/>
      <c r="BG646" s="1477"/>
      <c r="BH646" s="1477"/>
      <c r="BI646" s="1477"/>
      <c r="BJ646" s="1477"/>
      <c r="BK646" s="1477"/>
      <c r="BL646" s="1477"/>
      <c r="BM646" s="1477"/>
      <c r="BN646" s="1477"/>
      <c r="BO646" s="1477"/>
      <c r="BP646" s="1477"/>
      <c r="BQ646" s="1477"/>
      <c r="BR646" s="1477"/>
      <c r="BS646" s="1477"/>
      <c r="BT646" s="1477"/>
      <c r="BU646" s="1477"/>
      <c r="BV646" s="1477"/>
      <c r="BW646" s="1477"/>
      <c r="BX646" s="1477"/>
      <c r="BY646" s="1477"/>
      <c r="BZ646" s="1477"/>
      <c r="CA646" s="1477"/>
      <c r="CB646" s="1477"/>
      <c r="CC646" s="1477"/>
      <c r="CD646" s="1477"/>
      <c r="CE646" s="1477"/>
      <c r="CF646" s="1477"/>
      <c r="CG646" s="1477"/>
      <c r="CH646" s="1477"/>
    </row>
    <row r="647" spans="2:86">
      <c r="B647" s="1477"/>
      <c r="C647" s="1477"/>
      <c r="D647" s="1477"/>
      <c r="E647" s="1477"/>
      <c r="F647" s="1477"/>
      <c r="G647" s="1477"/>
      <c r="H647" s="1477"/>
      <c r="I647" s="1477"/>
      <c r="J647" s="1477"/>
      <c r="K647" s="1477"/>
      <c r="L647" s="1477"/>
      <c r="M647" s="1477"/>
      <c r="N647" s="1477"/>
      <c r="O647" s="1477"/>
      <c r="P647" s="1477"/>
      <c r="Q647" s="1477"/>
      <c r="R647" s="1477"/>
      <c r="S647" s="1477"/>
      <c r="T647" s="1477"/>
      <c r="U647" s="1477"/>
      <c r="V647" s="1477"/>
      <c r="W647" s="1477"/>
      <c r="X647" s="1477"/>
      <c r="Y647" s="1477"/>
      <c r="Z647" s="1477"/>
      <c r="AA647" s="1477"/>
      <c r="AB647" s="1477"/>
      <c r="AC647" s="1477"/>
      <c r="AD647" s="1477"/>
      <c r="AE647" s="1477"/>
      <c r="AF647" s="1477"/>
      <c r="AG647" s="1477"/>
      <c r="AH647" s="1477"/>
      <c r="AI647" s="1477"/>
      <c r="AJ647" s="1477"/>
      <c r="AK647" s="1477"/>
      <c r="AL647" s="1477"/>
      <c r="AM647" s="1477"/>
      <c r="AN647" s="1477"/>
      <c r="AO647" s="284"/>
      <c r="AP647" s="1477"/>
      <c r="AQ647" s="1477"/>
      <c r="AR647" s="1477"/>
      <c r="AS647" s="1477"/>
      <c r="AT647" s="1477"/>
      <c r="AU647" s="1477"/>
      <c r="AV647" s="1477"/>
      <c r="AW647" s="1477"/>
      <c r="AX647" s="1477"/>
      <c r="AY647" s="1477"/>
      <c r="AZ647" s="1477"/>
      <c r="BA647" s="1477"/>
      <c r="BB647" s="1477"/>
      <c r="BC647" s="1477"/>
      <c r="BD647" s="1477"/>
      <c r="BE647" s="1477"/>
      <c r="BF647" s="1477"/>
      <c r="BG647" s="1477"/>
      <c r="BH647" s="1477"/>
      <c r="BI647" s="1477"/>
      <c r="BJ647" s="1477"/>
      <c r="BK647" s="1477"/>
      <c r="BL647" s="1477"/>
      <c r="BM647" s="1477"/>
      <c r="BN647" s="1477"/>
      <c r="BO647" s="1477"/>
      <c r="BP647" s="1477"/>
      <c r="BQ647" s="1477"/>
      <c r="BR647" s="1477"/>
      <c r="BS647" s="1477"/>
      <c r="BT647" s="1477"/>
      <c r="BU647" s="1477"/>
      <c r="BV647" s="1477"/>
      <c r="BW647" s="1477"/>
      <c r="BX647" s="1477"/>
      <c r="BY647" s="1477"/>
      <c r="BZ647" s="1477"/>
      <c r="CA647" s="1477"/>
      <c r="CB647" s="1477"/>
      <c r="CC647" s="1477"/>
      <c r="CD647" s="1477"/>
      <c r="CE647" s="1477"/>
      <c r="CF647" s="1477"/>
      <c r="CG647" s="1477"/>
      <c r="CH647" s="1477"/>
    </row>
    <row r="648" spans="2:86">
      <c r="B648" s="1477"/>
      <c r="C648" s="1477"/>
      <c r="D648" s="1477"/>
      <c r="E648" s="1477"/>
      <c r="F648" s="1477"/>
      <c r="G648" s="1477"/>
      <c r="H648" s="1477"/>
      <c r="I648" s="1477"/>
      <c r="J648" s="1477"/>
      <c r="K648" s="1477"/>
      <c r="L648" s="1477"/>
      <c r="M648" s="1477"/>
      <c r="N648" s="1477"/>
      <c r="O648" s="1477"/>
      <c r="P648" s="1477"/>
      <c r="Q648" s="1477"/>
      <c r="R648" s="1477"/>
      <c r="S648" s="1477"/>
      <c r="T648" s="1477"/>
      <c r="U648" s="1477"/>
      <c r="V648" s="1477"/>
      <c r="W648" s="1477"/>
      <c r="X648" s="1477"/>
      <c r="Y648" s="1477"/>
      <c r="Z648" s="1477"/>
      <c r="AA648" s="1477"/>
      <c r="AB648" s="1477"/>
      <c r="AC648" s="1477"/>
      <c r="AD648" s="1477"/>
      <c r="AE648" s="1477"/>
      <c r="AF648" s="1477"/>
      <c r="AG648" s="1477"/>
      <c r="AH648" s="1477"/>
      <c r="AI648" s="1477"/>
      <c r="AJ648" s="1477"/>
      <c r="AK648" s="1477"/>
      <c r="AL648" s="1477"/>
      <c r="AM648" s="1477"/>
      <c r="AN648" s="1477"/>
      <c r="AO648" s="284"/>
      <c r="AP648" s="1477"/>
      <c r="AQ648" s="1477"/>
      <c r="AR648" s="1477"/>
      <c r="AS648" s="1477"/>
      <c r="AT648" s="1477"/>
      <c r="AU648" s="1477"/>
      <c r="AV648" s="1477"/>
      <c r="AW648" s="1477"/>
      <c r="AX648" s="1477"/>
      <c r="AY648" s="1477"/>
      <c r="AZ648" s="1477"/>
      <c r="BA648" s="1477"/>
      <c r="BB648" s="1477"/>
      <c r="BC648" s="1477"/>
      <c r="BD648" s="1477"/>
      <c r="BE648" s="1477"/>
      <c r="BF648" s="1477"/>
      <c r="BG648" s="1477"/>
      <c r="BH648" s="1477"/>
      <c r="BI648" s="1477"/>
      <c r="BJ648" s="1477"/>
      <c r="BK648" s="1477"/>
      <c r="BL648" s="1477"/>
      <c r="BM648" s="1477"/>
      <c r="BN648" s="1477"/>
      <c r="BO648" s="1477"/>
      <c r="BP648" s="1477"/>
      <c r="BQ648" s="1477"/>
      <c r="BR648" s="1477"/>
      <c r="BS648" s="1477"/>
      <c r="BT648" s="1477"/>
      <c r="BU648" s="1477"/>
      <c r="BV648" s="1477"/>
      <c r="BW648" s="1477"/>
      <c r="BX648" s="1477"/>
      <c r="BY648" s="1477"/>
      <c r="BZ648" s="1477"/>
      <c r="CA648" s="1477"/>
      <c r="CB648" s="1477"/>
      <c r="CC648" s="1477"/>
      <c r="CD648" s="1477"/>
      <c r="CE648" s="1477"/>
      <c r="CF648" s="1477"/>
      <c r="CG648" s="1477"/>
      <c r="CH648" s="1477"/>
    </row>
    <row r="649" spans="2:86">
      <c r="B649" s="1477"/>
      <c r="C649" s="1477"/>
      <c r="D649" s="1477"/>
      <c r="E649" s="1477"/>
      <c r="F649" s="1477"/>
      <c r="G649" s="1477"/>
      <c r="H649" s="1477"/>
      <c r="I649" s="1477"/>
      <c r="J649" s="1477"/>
      <c r="K649" s="1477"/>
      <c r="L649" s="1477"/>
      <c r="M649" s="1477"/>
      <c r="N649" s="1477"/>
      <c r="O649" s="1477"/>
      <c r="P649" s="1477"/>
      <c r="Q649" s="1477"/>
      <c r="R649" s="1477"/>
      <c r="S649" s="1477"/>
      <c r="T649" s="1477"/>
      <c r="U649" s="1477"/>
      <c r="V649" s="1477"/>
      <c r="W649" s="1477"/>
      <c r="X649" s="1477"/>
      <c r="Y649" s="1477"/>
      <c r="Z649" s="1477"/>
      <c r="AA649" s="1477"/>
      <c r="AB649" s="1477"/>
      <c r="AC649" s="1477"/>
      <c r="AD649" s="1477"/>
      <c r="AE649" s="1477"/>
      <c r="AF649" s="1477"/>
      <c r="AG649" s="1477"/>
      <c r="AH649" s="1477"/>
      <c r="AI649" s="1477"/>
      <c r="AJ649" s="1477"/>
      <c r="AK649" s="1477"/>
      <c r="AL649" s="1477"/>
      <c r="AM649" s="1477"/>
      <c r="AN649" s="1477"/>
      <c r="AO649" s="284"/>
      <c r="AP649" s="1477"/>
      <c r="AQ649" s="1477"/>
      <c r="AR649" s="1477"/>
      <c r="AS649" s="1477"/>
      <c r="AT649" s="1477"/>
      <c r="AU649" s="1477"/>
      <c r="AV649" s="1477"/>
      <c r="AW649" s="1477"/>
      <c r="AX649" s="1477"/>
      <c r="AY649" s="1477"/>
      <c r="AZ649" s="1477"/>
      <c r="BA649" s="1477"/>
      <c r="BB649" s="1477"/>
      <c r="BC649" s="1477"/>
      <c r="BD649" s="1477"/>
      <c r="BE649" s="1477"/>
      <c r="BF649" s="1477"/>
      <c r="BG649" s="1477"/>
      <c r="BH649" s="1477"/>
      <c r="BI649" s="1477"/>
      <c r="BJ649" s="1477"/>
      <c r="BK649" s="1477"/>
      <c r="BL649" s="1477"/>
      <c r="BM649" s="1477"/>
      <c r="BN649" s="1477"/>
      <c r="BO649" s="1477"/>
      <c r="BP649" s="1477"/>
      <c r="BQ649" s="1477"/>
      <c r="BR649" s="1477"/>
      <c r="BS649" s="1477"/>
      <c r="BT649" s="1477"/>
      <c r="BU649" s="1477"/>
      <c r="BV649" s="1477"/>
      <c r="BW649" s="1477"/>
      <c r="BX649" s="1477"/>
      <c r="BY649" s="1477"/>
      <c r="BZ649" s="1477"/>
      <c r="CA649" s="1477"/>
      <c r="CB649" s="1477"/>
      <c r="CC649" s="1477"/>
      <c r="CD649" s="1477"/>
      <c r="CE649" s="1477"/>
      <c r="CF649" s="1477"/>
      <c r="CG649" s="1477"/>
      <c r="CH649" s="1477"/>
    </row>
    <row r="650" spans="2:86">
      <c r="B650" s="1477"/>
      <c r="C650" s="1477"/>
      <c r="D650" s="1477"/>
      <c r="E650" s="1477"/>
      <c r="F650" s="1477"/>
      <c r="G650" s="1477"/>
      <c r="H650" s="1477"/>
      <c r="I650" s="1477"/>
      <c r="J650" s="1477"/>
      <c r="K650" s="1477"/>
      <c r="L650" s="1477"/>
      <c r="M650" s="1477"/>
      <c r="N650" s="1477"/>
      <c r="O650" s="1477"/>
      <c r="P650" s="1477"/>
      <c r="Q650" s="1477"/>
      <c r="R650" s="1477"/>
      <c r="S650" s="1477"/>
      <c r="T650" s="1477"/>
      <c r="U650" s="1477"/>
      <c r="V650" s="1477"/>
      <c r="W650" s="1477"/>
      <c r="X650" s="1477"/>
      <c r="Y650" s="1477"/>
      <c r="Z650" s="1477"/>
      <c r="AA650" s="1477"/>
      <c r="AB650" s="1477"/>
      <c r="AC650" s="1477"/>
      <c r="AD650" s="1477"/>
      <c r="AE650" s="1477"/>
      <c r="AF650" s="1477"/>
      <c r="AG650" s="1477"/>
      <c r="AH650" s="1477"/>
      <c r="AI650" s="1477"/>
      <c r="AJ650" s="1477"/>
      <c r="AK650" s="1477"/>
      <c r="AL650" s="1477"/>
      <c r="AM650" s="1477"/>
      <c r="AN650" s="1477"/>
      <c r="AO650" s="284"/>
      <c r="AP650" s="1477"/>
      <c r="AQ650" s="1477"/>
      <c r="AR650" s="1477"/>
      <c r="AS650" s="1477"/>
      <c r="AT650" s="1477"/>
      <c r="AU650" s="1477"/>
      <c r="AV650" s="1477"/>
      <c r="AW650" s="1477"/>
      <c r="AX650" s="1477"/>
      <c r="AY650" s="1477"/>
      <c r="AZ650" s="1477"/>
      <c r="BA650" s="1477"/>
      <c r="BB650" s="1477"/>
      <c r="BC650" s="1477"/>
      <c r="BD650" s="1477"/>
      <c r="BE650" s="1477"/>
      <c r="BF650" s="1477"/>
      <c r="BG650" s="1477"/>
      <c r="BH650" s="1477"/>
      <c r="BI650" s="1477"/>
      <c r="BJ650" s="1477"/>
      <c r="BK650" s="1477"/>
      <c r="BL650" s="1477"/>
      <c r="BM650" s="1477"/>
      <c r="BN650" s="1477"/>
      <c r="BO650" s="1477"/>
      <c r="BP650" s="1477"/>
      <c r="BQ650" s="1477"/>
      <c r="BR650" s="1477"/>
      <c r="BS650" s="1477"/>
      <c r="BT650" s="1477"/>
      <c r="BU650" s="1477"/>
      <c r="BV650" s="1477"/>
      <c r="BW650" s="1477"/>
      <c r="BX650" s="1477"/>
      <c r="BY650" s="1477"/>
      <c r="BZ650" s="1477"/>
      <c r="CA650" s="1477"/>
      <c r="CB650" s="1477"/>
      <c r="CC650" s="1477"/>
      <c r="CD650" s="1477"/>
      <c r="CE650" s="1477"/>
      <c r="CF650" s="1477"/>
      <c r="CG650" s="1477"/>
      <c r="CH650" s="1477"/>
    </row>
    <row r="651" spans="2:86">
      <c r="B651" s="1477"/>
      <c r="C651" s="1477"/>
      <c r="D651" s="1477"/>
      <c r="E651" s="1477"/>
      <c r="F651" s="1477"/>
      <c r="G651" s="1477"/>
      <c r="H651" s="1477"/>
      <c r="I651" s="1477"/>
      <c r="J651" s="1477"/>
      <c r="K651" s="1477"/>
      <c r="L651" s="1477"/>
      <c r="M651" s="1477"/>
      <c r="N651" s="1477"/>
      <c r="O651" s="1477"/>
      <c r="P651" s="1477"/>
      <c r="Q651" s="1477"/>
      <c r="R651" s="1477"/>
      <c r="S651" s="1477"/>
      <c r="T651" s="1477"/>
      <c r="U651" s="1477"/>
      <c r="V651" s="1477"/>
      <c r="W651" s="1477"/>
      <c r="X651" s="1477"/>
      <c r="Y651" s="1477"/>
      <c r="Z651" s="1477"/>
      <c r="AA651" s="1477"/>
      <c r="AB651" s="1477"/>
      <c r="AC651" s="1477"/>
      <c r="AD651" s="1477"/>
      <c r="AE651" s="1477"/>
      <c r="AF651" s="1477"/>
      <c r="AG651" s="1477"/>
      <c r="AH651" s="1477"/>
      <c r="AI651" s="1477"/>
      <c r="AJ651" s="1477"/>
      <c r="AK651" s="1477"/>
      <c r="AL651" s="1477"/>
      <c r="AM651" s="1477"/>
      <c r="AN651" s="1477"/>
      <c r="AO651" s="284"/>
      <c r="AP651" s="1477"/>
      <c r="AQ651" s="1477"/>
      <c r="AR651" s="1477"/>
      <c r="AS651" s="1477"/>
      <c r="AT651" s="1477"/>
      <c r="AU651" s="1477"/>
      <c r="AV651" s="1477"/>
      <c r="AW651" s="1477"/>
      <c r="AX651" s="1477"/>
      <c r="AY651" s="1477"/>
      <c r="AZ651" s="1477"/>
      <c r="BA651" s="1477"/>
      <c r="BB651" s="1477"/>
      <c r="BC651" s="1477"/>
      <c r="BD651" s="1477"/>
      <c r="BE651" s="1477"/>
      <c r="BF651" s="1477"/>
      <c r="BG651" s="1477"/>
      <c r="BH651" s="1477"/>
      <c r="BI651" s="1477"/>
      <c r="BJ651" s="1477"/>
      <c r="BK651" s="1477"/>
      <c r="BL651" s="1477"/>
      <c r="BM651" s="1477"/>
      <c r="BN651" s="1477"/>
      <c r="BO651" s="1477"/>
      <c r="BP651" s="1477"/>
      <c r="BQ651" s="1477"/>
      <c r="BR651" s="1477"/>
      <c r="BS651" s="1477"/>
      <c r="BT651" s="1477"/>
      <c r="BU651" s="1477"/>
      <c r="BV651" s="1477"/>
      <c r="BW651" s="1477"/>
      <c r="BX651" s="1477"/>
      <c r="BY651" s="1477"/>
      <c r="BZ651" s="1477"/>
      <c r="CA651" s="1477"/>
      <c r="CB651" s="1477"/>
      <c r="CC651" s="1477"/>
      <c r="CD651" s="1477"/>
      <c r="CE651" s="1477"/>
      <c r="CF651" s="1477"/>
      <c r="CG651" s="1477"/>
      <c r="CH651" s="1477"/>
    </row>
    <row r="652" spans="2:86">
      <c r="B652" s="1477"/>
      <c r="C652" s="1477"/>
      <c r="D652" s="1477"/>
      <c r="E652" s="1477"/>
      <c r="F652" s="1477"/>
      <c r="G652" s="1477"/>
      <c r="H652" s="1477"/>
      <c r="I652" s="1477"/>
      <c r="J652" s="1477"/>
      <c r="K652" s="1477"/>
      <c r="L652" s="1477"/>
      <c r="M652" s="1477"/>
      <c r="N652" s="1477"/>
      <c r="O652" s="1477"/>
      <c r="P652" s="1477"/>
      <c r="Q652" s="1477"/>
      <c r="R652" s="1477"/>
      <c r="S652" s="1477"/>
      <c r="T652" s="1477"/>
      <c r="U652" s="1477"/>
      <c r="V652" s="1477"/>
      <c r="W652" s="1477"/>
      <c r="X652" s="1477"/>
      <c r="Y652" s="1477"/>
      <c r="Z652" s="1477"/>
      <c r="AA652" s="1477"/>
      <c r="AB652" s="1477"/>
      <c r="AC652" s="1477"/>
      <c r="AD652" s="1477"/>
      <c r="AE652" s="1477"/>
      <c r="AF652" s="1477"/>
      <c r="AG652" s="1477"/>
      <c r="AH652" s="1477"/>
      <c r="AI652" s="1477"/>
      <c r="AJ652" s="1477"/>
      <c r="AK652" s="1477"/>
      <c r="AL652" s="1477"/>
      <c r="AM652" s="1477"/>
      <c r="AN652" s="1477"/>
      <c r="AO652" s="284"/>
      <c r="AP652" s="1477"/>
      <c r="AQ652" s="1477"/>
      <c r="AR652" s="1477"/>
      <c r="AS652" s="1477"/>
      <c r="AT652" s="1477"/>
      <c r="AU652" s="1477"/>
      <c r="AV652" s="1477"/>
      <c r="AW652" s="1477"/>
      <c r="AX652" s="1477"/>
      <c r="AY652" s="1477"/>
      <c r="AZ652" s="1477"/>
      <c r="BA652" s="1477"/>
      <c r="BB652" s="1477"/>
      <c r="BC652" s="1477"/>
      <c r="BD652" s="1477"/>
      <c r="BE652" s="1477"/>
      <c r="BF652" s="1477"/>
      <c r="BG652" s="1477"/>
      <c r="BH652" s="1477"/>
      <c r="BI652" s="1477"/>
      <c r="BJ652" s="1477"/>
      <c r="BK652" s="1477"/>
      <c r="BL652" s="1477"/>
      <c r="BM652" s="1477"/>
      <c r="BN652" s="1477"/>
      <c r="BO652" s="1477"/>
      <c r="BP652" s="1477"/>
      <c r="BQ652" s="1477"/>
      <c r="BR652" s="1477"/>
      <c r="BS652" s="1477"/>
      <c r="BT652" s="1477"/>
      <c r="BU652" s="1477"/>
      <c r="BV652" s="1477"/>
      <c r="BW652" s="1477"/>
      <c r="BX652" s="1477"/>
      <c r="BY652" s="1477"/>
      <c r="BZ652" s="1477"/>
      <c r="CA652" s="1477"/>
      <c r="CB652" s="1477"/>
      <c r="CC652" s="1477"/>
      <c r="CD652" s="1477"/>
      <c r="CE652" s="1477"/>
      <c r="CF652" s="1477"/>
      <c r="CG652" s="1477"/>
      <c r="CH652" s="1477"/>
    </row>
    <row r="653" spans="2:86">
      <c r="B653" s="1477"/>
      <c r="C653" s="1477"/>
      <c r="D653" s="1477"/>
      <c r="E653" s="1477"/>
      <c r="F653" s="1477"/>
      <c r="G653" s="1477"/>
      <c r="H653" s="1477"/>
      <c r="I653" s="1477"/>
      <c r="J653" s="1477"/>
      <c r="K653" s="1477"/>
      <c r="L653" s="1477"/>
      <c r="M653" s="1477"/>
      <c r="N653" s="1477"/>
      <c r="O653" s="1477"/>
      <c r="P653" s="1477"/>
      <c r="Q653" s="1477"/>
      <c r="R653" s="1477"/>
      <c r="S653" s="1477"/>
      <c r="T653" s="1477"/>
      <c r="U653" s="1477"/>
      <c r="V653" s="1477"/>
      <c r="W653" s="1477"/>
      <c r="X653" s="1477"/>
      <c r="Y653" s="1477"/>
      <c r="Z653" s="1477"/>
      <c r="AA653" s="1477"/>
      <c r="AB653" s="1477"/>
      <c r="AC653" s="1477"/>
      <c r="AD653" s="1477"/>
      <c r="AE653" s="1477"/>
      <c r="AF653" s="1477"/>
      <c r="AG653" s="1477"/>
      <c r="AH653" s="1477"/>
      <c r="AI653" s="1477"/>
      <c r="AJ653" s="1477"/>
      <c r="AK653" s="1477"/>
      <c r="AL653" s="1477"/>
      <c r="AM653" s="1477"/>
      <c r="AN653" s="1477"/>
      <c r="AO653" s="284"/>
      <c r="AP653" s="1477"/>
      <c r="AQ653" s="1477"/>
      <c r="AR653" s="1477"/>
      <c r="AS653" s="1477"/>
      <c r="AT653" s="1477"/>
      <c r="AU653" s="1477"/>
      <c r="AV653" s="1477"/>
      <c r="AW653" s="1477"/>
      <c r="AX653" s="1477"/>
      <c r="AY653" s="1477"/>
      <c r="AZ653" s="1477"/>
      <c r="BA653" s="1477"/>
      <c r="BB653" s="1477"/>
      <c r="BC653" s="1477"/>
      <c r="BD653" s="1477"/>
      <c r="BE653" s="1477"/>
      <c r="BF653" s="1477"/>
      <c r="BG653" s="1477"/>
      <c r="BH653" s="1477"/>
      <c r="BI653" s="1477"/>
      <c r="BJ653" s="1477"/>
      <c r="BK653" s="1477"/>
      <c r="BL653" s="1477"/>
      <c r="BM653" s="1477"/>
      <c r="BN653" s="1477"/>
      <c r="BO653" s="1477"/>
      <c r="BP653" s="1477"/>
      <c r="BQ653" s="1477"/>
      <c r="BR653" s="1477"/>
      <c r="BS653" s="1477"/>
      <c r="BT653" s="1477"/>
      <c r="BU653" s="1477"/>
      <c r="BV653" s="1477"/>
      <c r="BW653" s="1477"/>
      <c r="BX653" s="1477"/>
      <c r="BY653" s="1477"/>
      <c r="BZ653" s="1477"/>
      <c r="CA653" s="1477"/>
      <c r="CB653" s="1477"/>
      <c r="CC653" s="1477"/>
      <c r="CD653" s="1477"/>
      <c r="CE653" s="1477"/>
      <c r="CF653" s="1477"/>
      <c r="CG653" s="1477"/>
      <c r="CH653" s="1477"/>
    </row>
    <row r="654" spans="2:86">
      <c r="B654" s="1477"/>
      <c r="C654" s="1477"/>
      <c r="D654" s="1477"/>
      <c r="E654" s="1477"/>
      <c r="F654" s="1477"/>
      <c r="G654" s="1477"/>
      <c r="H654" s="1477"/>
      <c r="I654" s="1477"/>
      <c r="J654" s="1477"/>
      <c r="K654" s="1477"/>
      <c r="L654" s="1477"/>
      <c r="M654" s="1477"/>
      <c r="N654" s="1477"/>
      <c r="O654" s="1477"/>
      <c r="P654" s="1477"/>
      <c r="Q654" s="1477"/>
      <c r="R654" s="1477"/>
      <c r="S654" s="1477"/>
      <c r="T654" s="1477"/>
      <c r="U654" s="1477"/>
      <c r="V654" s="1477"/>
      <c r="W654" s="1477"/>
      <c r="X654" s="1477"/>
      <c r="Y654" s="1477"/>
      <c r="Z654" s="1477"/>
      <c r="AA654" s="1477"/>
      <c r="AB654" s="1477"/>
      <c r="AC654" s="1477"/>
      <c r="AD654" s="1477"/>
      <c r="AE654" s="1477"/>
      <c r="AF654" s="1477"/>
      <c r="AG654" s="1477"/>
      <c r="AH654" s="1477"/>
      <c r="AI654" s="1477"/>
      <c r="AJ654" s="1477"/>
      <c r="AK654" s="1477"/>
      <c r="AL654" s="1477"/>
      <c r="AM654" s="1477"/>
      <c r="AN654" s="1477"/>
      <c r="AO654" s="284"/>
      <c r="AP654" s="1477"/>
      <c r="AQ654" s="1477"/>
      <c r="AR654" s="1477"/>
      <c r="AS654" s="1477"/>
      <c r="AT654" s="1477"/>
      <c r="AU654" s="1477"/>
      <c r="AV654" s="1477"/>
      <c r="AW654" s="1477"/>
      <c r="AX654" s="1477"/>
      <c r="AY654" s="1477"/>
      <c r="AZ654" s="1477"/>
      <c r="BA654" s="1477"/>
      <c r="BB654" s="1477"/>
      <c r="BC654" s="1477"/>
      <c r="BD654" s="1477"/>
      <c r="BE654" s="1477"/>
      <c r="BF654" s="1477"/>
      <c r="BG654" s="1477"/>
      <c r="BH654" s="1477"/>
      <c r="BI654" s="1477"/>
      <c r="BJ654" s="1477"/>
      <c r="BK654" s="1477"/>
      <c r="BL654" s="1477"/>
      <c r="BM654" s="1477"/>
      <c r="BN654" s="1477"/>
      <c r="BO654" s="1477"/>
      <c r="BP654" s="1477"/>
      <c r="BQ654" s="1477"/>
      <c r="BR654" s="1477"/>
      <c r="BS654" s="1477"/>
      <c r="BT654" s="1477"/>
      <c r="BU654" s="1477"/>
      <c r="BV654" s="1477"/>
      <c r="BW654" s="1477"/>
      <c r="BX654" s="1477"/>
      <c r="BY654" s="1477"/>
      <c r="BZ654" s="1477"/>
      <c r="CA654" s="1477"/>
      <c r="CB654" s="1477"/>
      <c r="CC654" s="1477"/>
      <c r="CD654" s="1477"/>
      <c r="CE654" s="1477"/>
      <c r="CF654" s="1477"/>
      <c r="CG654" s="1477"/>
      <c r="CH654" s="1477"/>
    </row>
    <row r="655" spans="2:86">
      <c r="B655" s="1477"/>
      <c r="C655" s="1477"/>
      <c r="D655" s="1477"/>
      <c r="E655" s="1477"/>
      <c r="F655" s="1477"/>
      <c r="G655" s="1477"/>
      <c r="H655" s="1477"/>
      <c r="I655" s="1477"/>
      <c r="J655" s="1477"/>
      <c r="K655" s="1477"/>
      <c r="L655" s="1477"/>
      <c r="M655" s="1477"/>
      <c r="N655" s="1477"/>
      <c r="O655" s="1477"/>
      <c r="P655" s="1477"/>
      <c r="Q655" s="1477"/>
      <c r="R655" s="1477"/>
      <c r="S655" s="1477"/>
      <c r="T655" s="1477"/>
      <c r="U655" s="1477"/>
      <c r="V655" s="1477"/>
      <c r="W655" s="1477"/>
      <c r="X655" s="1477"/>
      <c r="Y655" s="1477"/>
      <c r="Z655" s="1477"/>
      <c r="AA655" s="1477"/>
      <c r="AB655" s="1477"/>
      <c r="AC655" s="1477"/>
      <c r="AD655" s="1477"/>
      <c r="AE655" s="1477"/>
      <c r="AF655" s="1477"/>
      <c r="AG655" s="1477"/>
      <c r="AH655" s="1477"/>
      <c r="AI655" s="1477"/>
      <c r="AJ655" s="1477"/>
      <c r="AK655" s="1477"/>
      <c r="AL655" s="1477"/>
      <c r="AM655" s="1477"/>
      <c r="AN655" s="1477"/>
      <c r="AO655" s="284"/>
      <c r="AP655" s="1477"/>
      <c r="AQ655" s="1477"/>
      <c r="AR655" s="1477"/>
      <c r="AS655" s="1477"/>
      <c r="AT655" s="1477"/>
      <c r="AU655" s="1477"/>
      <c r="AV655" s="1477"/>
      <c r="AW655" s="1477"/>
      <c r="AX655" s="1477"/>
      <c r="AY655" s="1477"/>
      <c r="AZ655" s="1477"/>
      <c r="BA655" s="1477"/>
      <c r="BB655" s="1477"/>
      <c r="BC655" s="1477"/>
      <c r="BD655" s="1477"/>
      <c r="BE655" s="1477"/>
      <c r="BF655" s="1477"/>
      <c r="BG655" s="1477"/>
      <c r="BH655" s="1477"/>
      <c r="BI655" s="1477"/>
      <c r="BJ655" s="1477"/>
      <c r="BK655" s="1477"/>
      <c r="BL655" s="1477"/>
      <c r="BM655" s="1477"/>
      <c r="BN655" s="1477"/>
      <c r="BO655" s="1477"/>
      <c r="BP655" s="1477"/>
      <c r="BQ655" s="1477"/>
      <c r="BR655" s="1477"/>
      <c r="BS655" s="1477"/>
      <c r="BT655" s="1477"/>
      <c r="BU655" s="1477"/>
      <c r="BV655" s="1477"/>
      <c r="BW655" s="1477"/>
      <c r="BX655" s="1477"/>
      <c r="BY655" s="1477"/>
      <c r="BZ655" s="1477"/>
      <c r="CA655" s="1477"/>
      <c r="CB655" s="1477"/>
      <c r="CC655" s="1477"/>
      <c r="CD655" s="1477"/>
      <c r="CE655" s="1477"/>
      <c r="CF655" s="1477"/>
      <c r="CG655" s="1477"/>
      <c r="CH655" s="1477"/>
    </row>
    <row r="656" spans="2:86">
      <c r="B656" s="1477"/>
      <c r="C656" s="1477"/>
      <c r="D656" s="1477"/>
      <c r="E656" s="1477"/>
      <c r="F656" s="1477"/>
      <c r="G656" s="1477"/>
      <c r="H656" s="1477"/>
      <c r="I656" s="1477"/>
      <c r="J656" s="1477"/>
      <c r="K656" s="1477"/>
      <c r="L656" s="1477"/>
      <c r="M656" s="1477"/>
      <c r="N656" s="1477"/>
      <c r="O656" s="1477"/>
      <c r="P656" s="1477"/>
      <c r="Q656" s="1477"/>
      <c r="R656" s="1477"/>
      <c r="S656" s="1477"/>
      <c r="T656" s="1477"/>
      <c r="U656" s="1477"/>
      <c r="V656" s="1477"/>
      <c r="W656" s="1477"/>
      <c r="X656" s="1477"/>
      <c r="Y656" s="1477"/>
      <c r="Z656" s="1477"/>
      <c r="AA656" s="1477"/>
      <c r="AB656" s="1477"/>
      <c r="AC656" s="1477"/>
      <c r="AD656" s="1477"/>
      <c r="AE656" s="1477"/>
      <c r="AF656" s="1477"/>
      <c r="AG656" s="1477"/>
      <c r="AH656" s="1477"/>
      <c r="AI656" s="1477"/>
      <c r="AJ656" s="1477"/>
      <c r="AK656" s="1477"/>
      <c r="AL656" s="1477"/>
      <c r="AM656" s="1477"/>
      <c r="AN656" s="1477"/>
      <c r="AO656" s="284"/>
      <c r="AP656" s="1477"/>
      <c r="AQ656" s="1477"/>
      <c r="AR656" s="1477"/>
      <c r="AS656" s="1477"/>
      <c r="AT656" s="1477"/>
      <c r="AU656" s="1477"/>
      <c r="AV656" s="1477"/>
      <c r="AW656" s="1477"/>
      <c r="AX656" s="1477"/>
      <c r="AY656" s="1477"/>
      <c r="AZ656" s="1477"/>
      <c r="BA656" s="1477"/>
      <c r="BB656" s="1477"/>
      <c r="BC656" s="1477"/>
      <c r="BD656" s="1477"/>
      <c r="BE656" s="1477"/>
      <c r="BF656" s="1477"/>
      <c r="BG656" s="1477"/>
      <c r="BH656" s="1477"/>
      <c r="BI656" s="1477"/>
      <c r="BJ656" s="1477"/>
      <c r="BK656" s="1477"/>
      <c r="BL656" s="1477"/>
      <c r="BM656" s="1477"/>
      <c r="BN656" s="1477"/>
      <c r="BO656" s="1477"/>
      <c r="BP656" s="1477"/>
      <c r="BQ656" s="1477"/>
      <c r="BR656" s="1477"/>
      <c r="BS656" s="1477"/>
      <c r="BT656" s="1477"/>
      <c r="BU656" s="1477"/>
      <c r="BV656" s="1477"/>
      <c r="BW656" s="1477"/>
      <c r="BX656" s="1477"/>
      <c r="BY656" s="1477"/>
      <c r="BZ656" s="1477"/>
      <c r="CA656" s="1477"/>
      <c r="CB656" s="1477"/>
      <c r="CC656" s="1477"/>
      <c r="CD656" s="1477"/>
      <c r="CE656" s="1477"/>
      <c r="CF656" s="1477"/>
      <c r="CG656" s="1477"/>
      <c r="CH656" s="1477"/>
    </row>
    <row r="657" spans="2:86">
      <c r="B657" s="1477"/>
      <c r="C657" s="1477"/>
      <c r="D657" s="1477"/>
      <c r="E657" s="1477"/>
      <c r="F657" s="1477"/>
      <c r="G657" s="1477"/>
      <c r="H657" s="1477"/>
      <c r="I657" s="1477"/>
      <c r="J657" s="1477"/>
      <c r="K657" s="1477"/>
      <c r="L657" s="1477"/>
      <c r="M657" s="1477"/>
      <c r="N657" s="1477"/>
      <c r="O657" s="1477"/>
      <c r="P657" s="1477"/>
      <c r="Q657" s="1477"/>
      <c r="R657" s="1477"/>
      <c r="S657" s="1477"/>
      <c r="T657" s="1477"/>
      <c r="U657" s="1477"/>
      <c r="V657" s="1477"/>
      <c r="W657" s="1477"/>
      <c r="X657" s="1477"/>
      <c r="Y657" s="1477"/>
      <c r="Z657" s="1477"/>
      <c r="AA657" s="1477"/>
      <c r="AB657" s="1477"/>
      <c r="AC657" s="1477"/>
      <c r="AD657" s="1477"/>
      <c r="AE657" s="1477"/>
      <c r="AF657" s="1477"/>
      <c r="AG657" s="1477"/>
      <c r="AH657" s="1477"/>
      <c r="AI657" s="1477"/>
      <c r="AJ657" s="1477"/>
      <c r="AK657" s="1477"/>
      <c r="AL657" s="1477"/>
      <c r="AM657" s="1477"/>
      <c r="AN657" s="1477"/>
      <c r="AO657" s="284"/>
      <c r="AP657" s="1477"/>
      <c r="AQ657" s="1477"/>
      <c r="AR657" s="1477"/>
      <c r="AS657" s="1477"/>
      <c r="AT657" s="1477"/>
      <c r="AU657" s="1477"/>
      <c r="AV657" s="1477"/>
      <c r="AW657" s="1477"/>
      <c r="AX657" s="1477"/>
      <c r="AY657" s="1477"/>
      <c r="AZ657" s="1477"/>
      <c r="BA657" s="1477"/>
      <c r="BB657" s="1477"/>
      <c r="BC657" s="1477"/>
      <c r="BD657" s="1477"/>
      <c r="BE657" s="1477"/>
      <c r="BF657" s="1477"/>
      <c r="BG657" s="1477"/>
      <c r="BH657" s="1477"/>
      <c r="BI657" s="1477"/>
      <c r="BJ657" s="1477"/>
      <c r="BK657" s="1477"/>
      <c r="BL657" s="1477"/>
      <c r="BM657" s="1477"/>
      <c r="BN657" s="1477"/>
      <c r="BO657" s="1477"/>
      <c r="BP657" s="1477"/>
      <c r="BQ657" s="1477"/>
      <c r="BR657" s="1477"/>
      <c r="BS657" s="1477"/>
      <c r="BT657" s="1477"/>
      <c r="BU657" s="1477"/>
      <c r="BV657" s="1477"/>
      <c r="BW657" s="1477"/>
      <c r="BX657" s="1477"/>
      <c r="BY657" s="1477"/>
      <c r="BZ657" s="1477"/>
      <c r="CA657" s="1477"/>
      <c r="CB657" s="1477"/>
      <c r="CC657" s="1477"/>
      <c r="CD657" s="1477"/>
      <c r="CE657" s="1477"/>
      <c r="CF657" s="1477"/>
      <c r="CG657" s="1477"/>
      <c r="CH657" s="1477"/>
    </row>
    <row r="658" spans="2:86">
      <c r="B658" s="1477"/>
      <c r="C658" s="1477"/>
      <c r="D658" s="1477"/>
      <c r="E658" s="1477"/>
      <c r="F658" s="1477"/>
      <c r="G658" s="1477"/>
      <c r="H658" s="1477"/>
      <c r="I658" s="1477"/>
      <c r="J658" s="1477"/>
      <c r="K658" s="1477"/>
      <c r="L658" s="1477"/>
      <c r="M658" s="1477"/>
      <c r="N658" s="1477"/>
      <c r="O658" s="1477"/>
      <c r="P658" s="1477"/>
      <c r="Q658" s="1477"/>
      <c r="R658" s="1477"/>
      <c r="S658" s="1477"/>
      <c r="T658" s="1477"/>
      <c r="U658" s="1477"/>
      <c r="V658" s="1477"/>
      <c r="W658" s="1477"/>
      <c r="X658" s="1477"/>
      <c r="Y658" s="1477"/>
      <c r="Z658" s="1477"/>
      <c r="AA658" s="1477"/>
      <c r="AB658" s="1477"/>
      <c r="AC658" s="1477"/>
      <c r="AD658" s="1477"/>
      <c r="AE658" s="1477"/>
      <c r="AF658" s="1477"/>
      <c r="AG658" s="1477"/>
      <c r="AH658" s="1477"/>
      <c r="AI658" s="1477"/>
      <c r="AJ658" s="1477"/>
      <c r="AK658" s="1477"/>
      <c r="AL658" s="1477"/>
      <c r="AM658" s="1477"/>
      <c r="AN658" s="1477"/>
      <c r="AO658" s="284"/>
      <c r="AP658" s="1477"/>
      <c r="AQ658" s="1477"/>
      <c r="AR658" s="1477"/>
      <c r="AS658" s="1477"/>
      <c r="AT658" s="1477"/>
      <c r="AU658" s="1477"/>
      <c r="AV658" s="1477"/>
      <c r="AW658" s="1477"/>
      <c r="AX658" s="1477"/>
      <c r="AY658" s="1477"/>
      <c r="AZ658" s="1477"/>
      <c r="BA658" s="1477"/>
      <c r="BB658" s="1477"/>
      <c r="BC658" s="1477"/>
      <c r="BD658" s="1477"/>
      <c r="BE658" s="1477"/>
      <c r="BF658" s="1477"/>
      <c r="BG658" s="1477"/>
      <c r="BH658" s="1477"/>
      <c r="BI658" s="1477"/>
      <c r="BJ658" s="1477"/>
      <c r="BK658" s="1477"/>
      <c r="BL658" s="1477"/>
      <c r="BM658" s="1477"/>
      <c r="BN658" s="1477"/>
      <c r="BO658" s="1477"/>
      <c r="BP658" s="1477"/>
      <c r="BQ658" s="1477"/>
      <c r="BR658" s="1477"/>
      <c r="BS658" s="1477"/>
      <c r="BT658" s="1477"/>
      <c r="BU658" s="1477"/>
      <c r="BV658" s="1477"/>
      <c r="BW658" s="1477"/>
      <c r="BX658" s="1477"/>
      <c r="BY658" s="1477"/>
      <c r="BZ658" s="1477"/>
      <c r="CA658" s="1477"/>
      <c r="CB658" s="1477"/>
      <c r="CC658" s="1477"/>
      <c r="CD658" s="1477"/>
      <c r="CE658" s="1477"/>
      <c r="CF658" s="1477"/>
      <c r="CG658" s="1477"/>
      <c r="CH658" s="1477"/>
    </row>
    <row r="659" spans="2:86">
      <c r="B659" s="1477"/>
      <c r="C659" s="1477"/>
      <c r="D659" s="1477"/>
      <c r="E659" s="1477"/>
      <c r="F659" s="1477"/>
      <c r="G659" s="1477"/>
      <c r="H659" s="1477"/>
      <c r="I659" s="1477"/>
      <c r="J659" s="1477"/>
      <c r="K659" s="1477"/>
      <c r="L659" s="1477"/>
      <c r="M659" s="1477"/>
      <c r="N659" s="1477"/>
      <c r="O659" s="1477"/>
      <c r="P659" s="1477"/>
      <c r="Q659" s="1477"/>
      <c r="R659" s="1477"/>
      <c r="S659" s="1477"/>
      <c r="T659" s="1477"/>
      <c r="U659" s="1477"/>
      <c r="V659" s="1477"/>
      <c r="W659" s="1477"/>
      <c r="X659" s="1477"/>
      <c r="Y659" s="1477"/>
      <c r="Z659" s="1477"/>
      <c r="AA659" s="1477"/>
      <c r="AB659" s="1477"/>
      <c r="AC659" s="1477"/>
      <c r="AD659" s="1477"/>
      <c r="AE659" s="1477"/>
      <c r="AF659" s="1477"/>
      <c r="AG659" s="1477"/>
      <c r="AH659" s="1477"/>
      <c r="AI659" s="1477"/>
      <c r="AJ659" s="1477"/>
      <c r="AK659" s="1477"/>
      <c r="AL659" s="1477"/>
      <c r="AM659" s="1477"/>
      <c r="AN659" s="1477"/>
      <c r="AO659" s="284"/>
      <c r="AP659" s="1477"/>
      <c r="AQ659" s="1477"/>
      <c r="AR659" s="1477"/>
      <c r="AS659" s="1477"/>
      <c r="AT659" s="1477"/>
      <c r="AU659" s="1477"/>
      <c r="AV659" s="1477"/>
      <c r="AW659" s="1477"/>
      <c r="AX659" s="1477"/>
      <c r="AY659" s="1477"/>
      <c r="AZ659" s="1477"/>
      <c r="BA659" s="1477"/>
      <c r="BB659" s="1477"/>
      <c r="BC659" s="1477"/>
      <c r="BD659" s="1477"/>
      <c r="BE659" s="1477"/>
      <c r="BF659" s="1477"/>
      <c r="BG659" s="1477"/>
      <c r="BH659" s="1477"/>
      <c r="BI659" s="1477"/>
      <c r="BJ659" s="1477"/>
      <c r="BK659" s="1477"/>
      <c r="BL659" s="1477"/>
      <c r="BM659" s="1477"/>
      <c r="BN659" s="1477"/>
      <c r="BO659" s="1477"/>
      <c r="BP659" s="1477"/>
      <c r="BQ659" s="1477"/>
      <c r="BR659" s="1477"/>
      <c r="BS659" s="1477"/>
      <c r="BT659" s="1477"/>
      <c r="BU659" s="1477"/>
      <c r="BV659" s="1477"/>
      <c r="BW659" s="1477"/>
      <c r="BX659" s="1477"/>
      <c r="BY659" s="1477"/>
      <c r="BZ659" s="1477"/>
      <c r="CA659" s="1477"/>
      <c r="CB659" s="1477"/>
      <c r="CC659" s="1477"/>
      <c r="CD659" s="1477"/>
      <c r="CE659" s="1477"/>
      <c r="CF659" s="1477"/>
      <c r="CG659" s="1477"/>
      <c r="CH659" s="1477"/>
    </row>
    <row r="660" spans="2:86">
      <c r="B660" s="1477"/>
      <c r="C660" s="1477"/>
      <c r="D660" s="1477"/>
      <c r="E660" s="1477"/>
      <c r="F660" s="1477"/>
      <c r="G660" s="1477"/>
      <c r="H660" s="1477"/>
      <c r="I660" s="1477"/>
      <c r="J660" s="1477"/>
      <c r="K660" s="1477"/>
      <c r="L660" s="1477"/>
      <c r="M660" s="1477"/>
      <c r="N660" s="1477"/>
      <c r="O660" s="1477"/>
      <c r="P660" s="1477"/>
      <c r="Q660" s="1477"/>
      <c r="R660" s="1477"/>
      <c r="S660" s="1477"/>
      <c r="T660" s="1477"/>
      <c r="U660" s="1477"/>
      <c r="V660" s="1477"/>
      <c r="W660" s="1477"/>
      <c r="X660" s="1477"/>
      <c r="Y660" s="1477"/>
      <c r="Z660" s="1477"/>
      <c r="AA660" s="1477"/>
      <c r="AB660" s="1477"/>
      <c r="AC660" s="1477"/>
      <c r="AD660" s="1477"/>
      <c r="AE660" s="1477"/>
      <c r="AF660" s="1477"/>
      <c r="AG660" s="1477"/>
      <c r="AH660" s="1477"/>
      <c r="AI660" s="1477"/>
      <c r="AJ660" s="1477"/>
      <c r="AK660" s="1477"/>
      <c r="AL660" s="1477"/>
      <c r="AM660" s="1477"/>
      <c r="AN660" s="1477"/>
      <c r="AO660" s="284"/>
      <c r="AP660" s="1477"/>
      <c r="AQ660" s="1477"/>
      <c r="AR660" s="1477"/>
      <c r="AS660" s="1477"/>
      <c r="AT660" s="1477"/>
      <c r="AU660" s="1477"/>
      <c r="AV660" s="1477"/>
      <c r="AW660" s="1477"/>
      <c r="AX660" s="1477"/>
      <c r="AY660" s="1477"/>
      <c r="AZ660" s="1477"/>
      <c r="BA660" s="1477"/>
      <c r="BB660" s="1477"/>
      <c r="BC660" s="1477"/>
      <c r="BD660" s="1477"/>
      <c r="BE660" s="1477"/>
      <c r="BF660" s="1477"/>
      <c r="BG660" s="1477"/>
      <c r="BH660" s="1477"/>
      <c r="BI660" s="1477"/>
      <c r="BJ660" s="1477"/>
      <c r="BK660" s="1477"/>
      <c r="BL660" s="1477"/>
      <c r="BM660" s="1477"/>
      <c r="BN660" s="1477"/>
      <c r="BO660" s="1477"/>
      <c r="BP660" s="1477"/>
      <c r="BQ660" s="1477"/>
      <c r="BR660" s="1477"/>
      <c r="BS660" s="1477"/>
      <c r="BT660" s="1477"/>
      <c r="BU660" s="1477"/>
      <c r="BV660" s="1477"/>
      <c r="BW660" s="1477"/>
      <c r="BX660" s="1477"/>
      <c r="BY660" s="1477"/>
      <c r="BZ660" s="1477"/>
      <c r="CA660" s="1477"/>
      <c r="CB660" s="1477"/>
      <c r="CC660" s="1477"/>
      <c r="CD660" s="1477"/>
      <c r="CE660" s="1477"/>
      <c r="CF660" s="1477"/>
      <c r="CG660" s="1477"/>
      <c r="CH660" s="1477"/>
    </row>
    <row r="661" spans="2:86">
      <c r="B661" s="1477"/>
      <c r="C661" s="1477"/>
      <c r="D661" s="1477"/>
      <c r="E661" s="1477"/>
      <c r="F661" s="1477"/>
      <c r="G661" s="1477"/>
      <c r="H661" s="1477"/>
      <c r="I661" s="1477"/>
      <c r="J661" s="1477"/>
      <c r="K661" s="1477"/>
      <c r="L661" s="1477"/>
      <c r="M661" s="1477"/>
      <c r="N661" s="1477"/>
      <c r="O661" s="1477"/>
      <c r="P661" s="1477"/>
      <c r="Q661" s="1477"/>
      <c r="R661" s="1477"/>
      <c r="S661" s="1477"/>
      <c r="T661" s="1477"/>
      <c r="U661" s="1477"/>
      <c r="V661" s="1477"/>
      <c r="W661" s="1477"/>
      <c r="X661" s="1477"/>
      <c r="Y661" s="1477"/>
      <c r="Z661" s="1477"/>
      <c r="AA661" s="1477"/>
      <c r="AB661" s="1477"/>
      <c r="AC661" s="1477"/>
      <c r="AD661" s="1477"/>
      <c r="AE661" s="1477"/>
      <c r="AF661" s="1477"/>
      <c r="AG661" s="1477"/>
      <c r="AH661" s="1477"/>
      <c r="AI661" s="1477"/>
      <c r="AJ661" s="1477"/>
      <c r="AK661" s="1477"/>
      <c r="AL661" s="1477"/>
      <c r="AM661" s="1477"/>
      <c r="AN661" s="1477"/>
      <c r="AO661" s="284"/>
      <c r="AP661" s="1477"/>
      <c r="AQ661" s="1477"/>
      <c r="AR661" s="1477"/>
      <c r="AS661" s="1477"/>
      <c r="AT661" s="1477"/>
      <c r="AU661" s="1477"/>
      <c r="AV661" s="1477"/>
      <c r="AW661" s="1477"/>
      <c r="AX661" s="1477"/>
      <c r="AY661" s="1477"/>
      <c r="AZ661" s="1477"/>
      <c r="BA661" s="1477"/>
      <c r="BB661" s="1477"/>
      <c r="BC661" s="1477"/>
      <c r="BD661" s="1477"/>
      <c r="BE661" s="1477"/>
      <c r="BF661" s="1477"/>
      <c r="BG661" s="1477"/>
      <c r="BH661" s="1477"/>
      <c r="BI661" s="1477"/>
      <c r="BJ661" s="1477"/>
      <c r="BK661" s="1477"/>
      <c r="BL661" s="1477"/>
      <c r="BM661" s="1477"/>
      <c r="BN661" s="1477"/>
      <c r="BO661" s="1477"/>
      <c r="BP661" s="1477"/>
      <c r="BQ661" s="1477"/>
      <c r="BR661" s="1477"/>
      <c r="BS661" s="1477"/>
      <c r="BT661" s="1477"/>
      <c r="BU661" s="1477"/>
      <c r="BV661" s="1477"/>
      <c r="BW661" s="1477"/>
      <c r="BX661" s="1477"/>
      <c r="BY661" s="1477"/>
      <c r="BZ661" s="1477"/>
      <c r="CA661" s="1477"/>
      <c r="CB661" s="1477"/>
      <c r="CC661" s="1477"/>
      <c r="CD661" s="1477"/>
      <c r="CE661" s="1477"/>
      <c r="CF661" s="1477"/>
      <c r="CG661" s="1477"/>
      <c r="CH661" s="1477"/>
    </row>
    <row r="662" spans="2:86">
      <c r="B662" s="1477"/>
      <c r="C662" s="1477"/>
      <c r="D662" s="1477"/>
      <c r="E662" s="1477"/>
      <c r="F662" s="1477"/>
      <c r="G662" s="1477"/>
      <c r="H662" s="1477"/>
      <c r="I662" s="1477"/>
      <c r="J662" s="1477"/>
      <c r="K662" s="1477"/>
      <c r="L662" s="1477"/>
      <c r="M662" s="1477"/>
      <c r="N662" s="1477"/>
      <c r="O662" s="1477"/>
      <c r="P662" s="1477"/>
      <c r="Q662" s="1477"/>
      <c r="R662" s="1477"/>
      <c r="S662" s="1477"/>
      <c r="T662" s="1477"/>
      <c r="U662" s="1477"/>
      <c r="V662" s="1477"/>
      <c r="W662" s="1477"/>
      <c r="X662" s="1477"/>
      <c r="Y662" s="1477"/>
      <c r="Z662" s="1477"/>
      <c r="AA662" s="1477"/>
      <c r="AB662" s="1477"/>
      <c r="AC662" s="1477"/>
      <c r="AD662" s="1477"/>
      <c r="AE662" s="1477"/>
      <c r="AF662" s="1477"/>
      <c r="AG662" s="1477"/>
      <c r="AH662" s="1477"/>
      <c r="AI662" s="1477"/>
      <c r="AJ662" s="1477"/>
      <c r="AK662" s="1477"/>
      <c r="AL662" s="1477"/>
      <c r="AM662" s="1477"/>
      <c r="AN662" s="1477"/>
      <c r="AO662" s="284"/>
      <c r="AP662" s="1477"/>
      <c r="AQ662" s="1477"/>
      <c r="AR662" s="1477"/>
      <c r="AS662" s="1477"/>
      <c r="AT662" s="1477"/>
      <c r="AU662" s="1477"/>
      <c r="AV662" s="1477"/>
      <c r="AW662" s="1477"/>
      <c r="AX662" s="1477"/>
      <c r="AY662" s="1477"/>
      <c r="AZ662" s="1477"/>
      <c r="BA662" s="1477"/>
      <c r="BB662" s="1477"/>
      <c r="BC662" s="1477"/>
      <c r="BD662" s="1477"/>
      <c r="BE662" s="1477"/>
      <c r="BF662" s="1477"/>
      <c r="BG662" s="1477"/>
      <c r="BH662" s="1477"/>
      <c r="BI662" s="1477"/>
      <c r="BJ662" s="1477"/>
      <c r="BK662" s="1477"/>
      <c r="BL662" s="1477"/>
      <c r="BM662" s="1477"/>
      <c r="BN662" s="1477"/>
      <c r="BO662" s="1477"/>
      <c r="BP662" s="1477"/>
      <c r="BQ662" s="1477"/>
      <c r="BR662" s="1477"/>
      <c r="BS662" s="1477"/>
      <c r="BT662" s="1477"/>
      <c r="BU662" s="1477"/>
      <c r="BV662" s="1477"/>
      <c r="BW662" s="1477"/>
      <c r="BX662" s="1477"/>
      <c r="BY662" s="1477"/>
      <c r="BZ662" s="1477"/>
      <c r="CA662" s="1477"/>
      <c r="CB662" s="1477"/>
      <c r="CC662" s="1477"/>
      <c r="CD662" s="1477"/>
      <c r="CE662" s="1477"/>
      <c r="CF662" s="1477"/>
      <c r="CG662" s="1477"/>
      <c r="CH662" s="1477"/>
    </row>
    <row r="663" spans="2:86">
      <c r="B663" s="1477"/>
      <c r="C663" s="1477"/>
      <c r="D663" s="1477"/>
      <c r="E663" s="1477"/>
      <c r="F663" s="1477"/>
      <c r="G663" s="1477"/>
      <c r="H663" s="1477"/>
      <c r="I663" s="1477"/>
      <c r="J663" s="1477"/>
      <c r="K663" s="1477"/>
      <c r="L663" s="1477"/>
      <c r="M663" s="1477"/>
      <c r="N663" s="1477"/>
      <c r="O663" s="1477"/>
      <c r="P663" s="1477"/>
      <c r="Q663" s="1477"/>
      <c r="R663" s="1477"/>
      <c r="S663" s="1477"/>
      <c r="T663" s="1477"/>
      <c r="U663" s="1477"/>
      <c r="V663" s="1477"/>
      <c r="W663" s="1477"/>
      <c r="X663" s="1477"/>
      <c r="Y663" s="1477"/>
      <c r="Z663" s="1477"/>
      <c r="AA663" s="1477"/>
      <c r="AB663" s="1477"/>
      <c r="AC663" s="1477"/>
      <c r="AD663" s="1477"/>
      <c r="AE663" s="1477"/>
      <c r="AF663" s="1477"/>
      <c r="AG663" s="1477"/>
      <c r="AH663" s="1477"/>
      <c r="AI663" s="1477"/>
      <c r="AJ663" s="1477"/>
      <c r="AK663" s="1477"/>
      <c r="AL663" s="1477"/>
      <c r="AM663" s="1477"/>
      <c r="AN663" s="1477"/>
      <c r="AO663" s="284"/>
      <c r="AP663" s="1477"/>
      <c r="AQ663" s="1477"/>
      <c r="AR663" s="1477"/>
      <c r="AS663" s="1477"/>
      <c r="AT663" s="1477"/>
      <c r="AU663" s="1477"/>
      <c r="AV663" s="1477"/>
      <c r="AW663" s="1477"/>
      <c r="AX663" s="1477"/>
      <c r="AY663" s="1477"/>
      <c r="AZ663" s="1477"/>
      <c r="BA663" s="1477"/>
      <c r="BB663" s="1477"/>
      <c r="BC663" s="1477"/>
      <c r="BD663" s="1477"/>
      <c r="BE663" s="1477"/>
      <c r="BF663" s="1477"/>
      <c r="BG663" s="1477"/>
      <c r="BH663" s="1477"/>
      <c r="BI663" s="1477"/>
      <c r="BJ663" s="1477"/>
      <c r="BK663" s="1477"/>
      <c r="BL663" s="1477"/>
      <c r="BM663" s="1477"/>
      <c r="BN663" s="1477"/>
      <c r="BO663" s="1477"/>
      <c r="BP663" s="1477"/>
      <c r="BQ663" s="1477"/>
      <c r="BR663" s="1477"/>
      <c r="BS663" s="1477"/>
      <c r="BT663" s="1477"/>
      <c r="BU663" s="1477"/>
      <c r="BV663" s="1477"/>
      <c r="BW663" s="1477"/>
      <c r="BX663" s="1477"/>
      <c r="BY663" s="1477"/>
      <c r="BZ663" s="1477"/>
      <c r="CA663" s="1477"/>
      <c r="CB663" s="1477"/>
      <c r="CC663" s="1477"/>
      <c r="CD663" s="1477"/>
      <c r="CE663" s="1477"/>
      <c r="CF663" s="1477"/>
      <c r="CG663" s="1477"/>
      <c r="CH663" s="1477"/>
    </row>
    <row r="664" spans="2:86">
      <c r="B664" s="1477"/>
      <c r="C664" s="1477"/>
      <c r="D664" s="1477"/>
      <c r="E664" s="1477"/>
      <c r="F664" s="1477"/>
      <c r="G664" s="1477"/>
      <c r="H664" s="1477"/>
      <c r="I664" s="1477"/>
      <c r="J664" s="1477"/>
      <c r="K664" s="1477"/>
      <c r="L664" s="1477"/>
      <c r="M664" s="1477"/>
      <c r="N664" s="1477"/>
      <c r="O664" s="1477"/>
      <c r="P664" s="1477"/>
      <c r="Q664" s="1477"/>
      <c r="R664" s="1477"/>
      <c r="S664" s="1477"/>
      <c r="T664" s="1477"/>
      <c r="U664" s="1477"/>
      <c r="V664" s="1477"/>
      <c r="W664" s="1477"/>
      <c r="X664" s="1477"/>
      <c r="Y664" s="1477"/>
      <c r="Z664" s="1477"/>
      <c r="AA664" s="1477"/>
      <c r="AB664" s="1477"/>
      <c r="AC664" s="1477"/>
      <c r="AD664" s="1477"/>
      <c r="AE664" s="1477"/>
      <c r="AF664" s="1477"/>
      <c r="AG664" s="1477"/>
      <c r="AH664" s="1477"/>
      <c r="AI664" s="1477"/>
      <c r="AJ664" s="1477"/>
      <c r="AK664" s="1477"/>
      <c r="AL664" s="1477"/>
      <c r="AM664" s="1477"/>
      <c r="AN664" s="1477"/>
      <c r="AO664" s="284"/>
      <c r="AP664" s="1477"/>
      <c r="AQ664" s="1477"/>
      <c r="AR664" s="1477"/>
      <c r="AS664" s="1477"/>
      <c r="AT664" s="1477"/>
      <c r="AU664" s="1477"/>
      <c r="AV664" s="1477"/>
      <c r="AW664" s="1477"/>
      <c r="AX664" s="1477"/>
      <c r="AY664" s="1477"/>
      <c r="AZ664" s="1477"/>
      <c r="BA664" s="1477"/>
      <c r="BB664" s="1477"/>
      <c r="BC664" s="1477"/>
      <c r="BD664" s="1477"/>
      <c r="BE664" s="1477"/>
      <c r="BF664" s="1477"/>
      <c r="BG664" s="1477"/>
      <c r="BH664" s="1477"/>
      <c r="BI664" s="1477"/>
      <c r="BJ664" s="1477"/>
      <c r="BK664" s="1477"/>
      <c r="BL664" s="1477"/>
      <c r="BM664" s="1477"/>
      <c r="BN664" s="1477"/>
      <c r="BO664" s="1477"/>
      <c r="BP664" s="1477"/>
      <c r="BQ664" s="1477"/>
      <c r="BR664" s="1477"/>
      <c r="BS664" s="1477"/>
      <c r="BT664" s="1477"/>
      <c r="BU664" s="1477"/>
      <c r="BV664" s="1477"/>
      <c r="BW664" s="1477"/>
      <c r="BX664" s="1477"/>
      <c r="BY664" s="1477"/>
      <c r="BZ664" s="1477"/>
      <c r="CA664" s="1477"/>
      <c r="CB664" s="1477"/>
      <c r="CC664" s="1477"/>
      <c r="CD664" s="1477"/>
      <c r="CE664" s="1477"/>
      <c r="CF664" s="1477"/>
      <c r="CG664" s="1477"/>
      <c r="CH664" s="1477"/>
    </row>
    <row r="665" spans="2:86">
      <c r="B665" s="1477"/>
      <c r="C665" s="1477"/>
      <c r="D665" s="1477"/>
      <c r="E665" s="1477"/>
      <c r="F665" s="1477"/>
      <c r="G665" s="1477"/>
      <c r="H665" s="1477"/>
      <c r="I665" s="1477"/>
      <c r="J665" s="1477"/>
      <c r="K665" s="1477"/>
      <c r="L665" s="1477"/>
      <c r="M665" s="1477"/>
      <c r="N665" s="1477"/>
      <c r="O665" s="1477"/>
      <c r="P665" s="1477"/>
      <c r="Q665" s="1477"/>
      <c r="R665" s="1477"/>
      <c r="S665" s="1477"/>
      <c r="T665" s="1477"/>
      <c r="U665" s="1477"/>
      <c r="V665" s="1477"/>
      <c r="W665" s="1477"/>
      <c r="X665" s="1477"/>
      <c r="Y665" s="1477"/>
      <c r="Z665" s="1477"/>
      <c r="AA665" s="1477"/>
      <c r="AB665" s="1477"/>
      <c r="AC665" s="1477"/>
      <c r="AD665" s="1477"/>
      <c r="AE665" s="1477"/>
      <c r="AF665" s="1477"/>
      <c r="AG665" s="1477"/>
      <c r="AH665" s="1477"/>
      <c r="AI665" s="1477"/>
      <c r="AJ665" s="1477"/>
      <c r="AK665" s="1477"/>
      <c r="AL665" s="1477"/>
      <c r="AM665" s="1477"/>
      <c r="AN665" s="1477"/>
      <c r="AO665" s="284"/>
      <c r="AP665" s="1477"/>
      <c r="AQ665" s="1477"/>
      <c r="AR665" s="1477"/>
      <c r="AS665" s="1477"/>
      <c r="AT665" s="1477"/>
      <c r="AU665" s="1477"/>
      <c r="AV665" s="1477"/>
      <c r="AW665" s="1477"/>
      <c r="AX665" s="1477"/>
      <c r="AY665" s="1477"/>
      <c r="AZ665" s="1477"/>
      <c r="BA665" s="1477"/>
      <c r="BB665" s="1477"/>
      <c r="BC665" s="1477"/>
      <c r="BD665" s="1477"/>
      <c r="BE665" s="1477"/>
      <c r="BF665" s="1477"/>
      <c r="BG665" s="1477"/>
      <c r="BH665" s="1477"/>
      <c r="BI665" s="1477"/>
      <c r="BJ665" s="1477"/>
      <c r="BK665" s="1477"/>
      <c r="BL665" s="1477"/>
      <c r="BM665" s="1477"/>
      <c r="BN665" s="1477"/>
      <c r="BO665" s="1477"/>
      <c r="BP665" s="1477"/>
      <c r="BQ665" s="1477"/>
      <c r="BR665" s="1477"/>
      <c r="BS665" s="1477"/>
      <c r="BT665" s="1477"/>
      <c r="BU665" s="1477"/>
      <c r="BV665" s="1477"/>
      <c r="BW665" s="1477"/>
      <c r="BX665" s="1477"/>
      <c r="BY665" s="1477"/>
      <c r="BZ665" s="1477"/>
      <c r="CA665" s="1477"/>
      <c r="CB665" s="1477"/>
      <c r="CC665" s="1477"/>
      <c r="CD665" s="1477"/>
      <c r="CE665" s="1477"/>
      <c r="CF665" s="1477"/>
      <c r="CG665" s="1477"/>
      <c r="CH665" s="1477"/>
    </row>
    <row r="666" spans="2:86">
      <c r="B666" s="1477"/>
      <c r="C666" s="1477"/>
      <c r="D666" s="1477"/>
      <c r="E666" s="1477"/>
      <c r="F666" s="1477"/>
      <c r="G666" s="1477"/>
      <c r="H666" s="1477"/>
      <c r="I666" s="1477"/>
      <c r="J666" s="1477"/>
      <c r="K666" s="1477"/>
      <c r="L666" s="1477"/>
      <c r="M666" s="1477"/>
      <c r="N666" s="1477"/>
      <c r="O666" s="1477"/>
      <c r="P666" s="1477"/>
      <c r="Q666" s="1477"/>
      <c r="R666" s="1477"/>
      <c r="S666" s="1477"/>
      <c r="T666" s="1477"/>
      <c r="U666" s="1477"/>
      <c r="V666" s="1477"/>
      <c r="W666" s="1477"/>
      <c r="X666" s="1477"/>
      <c r="Y666" s="1477"/>
      <c r="Z666" s="1477"/>
      <c r="AA666" s="1477"/>
      <c r="AB666" s="1477"/>
      <c r="AC666" s="1477"/>
      <c r="AD666" s="1477"/>
      <c r="AE666" s="1477"/>
      <c r="AF666" s="1477"/>
      <c r="AG666" s="1477"/>
      <c r="AH666" s="1477"/>
      <c r="AI666" s="1477"/>
      <c r="AJ666" s="1477"/>
      <c r="AK666" s="1477"/>
      <c r="AL666" s="1477"/>
      <c r="AM666" s="1477"/>
      <c r="AN666" s="1477"/>
      <c r="AO666" s="284"/>
      <c r="AP666" s="1477"/>
      <c r="AQ666" s="1477"/>
      <c r="AR666" s="1477"/>
      <c r="AS666" s="1477"/>
      <c r="AT666" s="1477"/>
      <c r="AU666" s="1477"/>
      <c r="AV666" s="1477"/>
      <c r="AW666" s="1477"/>
      <c r="AX666" s="1477"/>
      <c r="AY666" s="1477"/>
      <c r="AZ666" s="1477"/>
      <c r="BA666" s="1477"/>
      <c r="BB666" s="1477"/>
      <c r="BC666" s="1477"/>
      <c r="BD666" s="1477"/>
      <c r="BE666" s="1477"/>
      <c r="BF666" s="1477"/>
      <c r="BG666" s="1477"/>
      <c r="BH666" s="1477"/>
      <c r="BI666" s="1477"/>
      <c r="BJ666" s="1477"/>
      <c r="BK666" s="1477"/>
      <c r="BL666" s="1477"/>
      <c r="BM666" s="1477"/>
      <c r="BN666" s="1477"/>
      <c r="BO666" s="1477"/>
      <c r="BP666" s="1477"/>
      <c r="BQ666" s="1477"/>
      <c r="BR666" s="1477"/>
      <c r="BS666" s="1477"/>
      <c r="BT666" s="1477"/>
      <c r="BU666" s="1477"/>
      <c r="BV666" s="1477"/>
      <c r="BW666" s="1477"/>
      <c r="BX666" s="1477"/>
      <c r="BY666" s="1477"/>
      <c r="BZ666" s="1477"/>
      <c r="CA666" s="1477"/>
      <c r="CB666" s="1477"/>
      <c r="CC666" s="1477"/>
      <c r="CD666" s="1477"/>
      <c r="CE666" s="1477"/>
      <c r="CF666" s="1477"/>
      <c r="CG666" s="1477"/>
      <c r="CH666" s="1477"/>
    </row>
    <row r="667" spans="2:86">
      <c r="B667" s="1477"/>
      <c r="C667" s="1477"/>
      <c r="D667" s="1477"/>
      <c r="E667" s="1477"/>
      <c r="F667" s="1477"/>
      <c r="G667" s="1477"/>
      <c r="H667" s="1477"/>
      <c r="I667" s="1477"/>
      <c r="J667" s="1477"/>
      <c r="K667" s="1477"/>
      <c r="L667" s="1477"/>
      <c r="M667" s="1477"/>
      <c r="N667" s="1477"/>
      <c r="O667" s="1477"/>
      <c r="P667" s="1477"/>
      <c r="Q667" s="1477"/>
      <c r="R667" s="1477"/>
      <c r="S667" s="1477"/>
      <c r="T667" s="1477"/>
      <c r="U667" s="1477"/>
      <c r="V667" s="1477"/>
      <c r="W667" s="1477"/>
      <c r="X667" s="1477"/>
      <c r="Y667" s="1477"/>
      <c r="Z667" s="1477"/>
      <c r="AA667" s="1477"/>
      <c r="AB667" s="1477"/>
      <c r="AC667" s="1477"/>
      <c r="AD667" s="1477"/>
      <c r="AE667" s="1477"/>
      <c r="AF667" s="1477"/>
      <c r="AG667" s="1477"/>
      <c r="AH667" s="1477"/>
      <c r="AI667" s="1477"/>
      <c r="AJ667" s="1477"/>
      <c r="AK667" s="1477"/>
      <c r="AL667" s="1477"/>
      <c r="AM667" s="1477"/>
      <c r="AN667" s="1477"/>
      <c r="AO667" s="284"/>
      <c r="AP667" s="1477"/>
      <c r="AQ667" s="1477"/>
      <c r="AR667" s="1477"/>
      <c r="AS667" s="1477"/>
      <c r="AT667" s="1477"/>
      <c r="AU667" s="1477"/>
      <c r="AV667" s="1477"/>
      <c r="AW667" s="1477"/>
      <c r="AX667" s="1477"/>
      <c r="AY667" s="1477"/>
      <c r="AZ667" s="1477"/>
      <c r="BA667" s="1477"/>
      <c r="BB667" s="1477"/>
      <c r="BC667" s="1477"/>
      <c r="BD667" s="1477"/>
      <c r="BE667" s="1477"/>
      <c r="BF667" s="1477"/>
      <c r="BG667" s="1477"/>
      <c r="BH667" s="1477"/>
      <c r="BI667" s="1477"/>
      <c r="BJ667" s="1477"/>
      <c r="BK667" s="1477"/>
      <c r="BL667" s="1477"/>
      <c r="BM667" s="1477"/>
      <c r="BN667" s="1477"/>
      <c r="BO667" s="1477"/>
      <c r="BP667" s="1477"/>
      <c r="BQ667" s="1477"/>
      <c r="BR667" s="1477"/>
      <c r="BS667" s="1477"/>
      <c r="BT667" s="1477"/>
      <c r="BU667" s="1477"/>
      <c r="BV667" s="1477"/>
      <c r="BW667" s="1477"/>
      <c r="BX667" s="1477"/>
      <c r="BY667" s="1477"/>
      <c r="BZ667" s="1477"/>
      <c r="CA667" s="1477"/>
      <c r="CB667" s="1477"/>
      <c r="CC667" s="1477"/>
      <c r="CD667" s="1477"/>
      <c r="CE667" s="1477"/>
      <c r="CF667" s="1477"/>
      <c r="CG667" s="1477"/>
      <c r="CH667" s="1477"/>
    </row>
    <row r="668" spans="2:86">
      <c r="B668" s="1477"/>
      <c r="C668" s="1477"/>
      <c r="D668" s="1477"/>
      <c r="E668" s="1477"/>
      <c r="F668" s="1477"/>
      <c r="G668" s="1477"/>
      <c r="H668" s="1477"/>
      <c r="I668" s="1477"/>
      <c r="J668" s="1477"/>
      <c r="K668" s="1477"/>
      <c r="L668" s="1477"/>
      <c r="M668" s="1477"/>
      <c r="N668" s="1477"/>
      <c r="O668" s="1477"/>
      <c r="P668" s="1477"/>
      <c r="Q668" s="1477"/>
      <c r="R668" s="1477"/>
      <c r="S668" s="1477"/>
      <c r="T668" s="1477"/>
      <c r="U668" s="1477"/>
      <c r="V668" s="1477"/>
      <c r="W668" s="1477"/>
      <c r="X668" s="1477"/>
      <c r="Y668" s="1477"/>
      <c r="Z668" s="1477"/>
      <c r="AA668" s="1477"/>
      <c r="AB668" s="1477"/>
      <c r="AC668" s="1477"/>
      <c r="AD668" s="1477"/>
      <c r="AE668" s="1477"/>
      <c r="AF668" s="1477"/>
      <c r="AG668" s="1477"/>
      <c r="AH668" s="1477"/>
      <c r="AI668" s="1477"/>
      <c r="AJ668" s="1477"/>
      <c r="AK668" s="1477"/>
      <c r="AL668" s="1477"/>
      <c r="AM668" s="1477"/>
      <c r="AN668" s="1477"/>
      <c r="AO668" s="284"/>
      <c r="AP668" s="1477"/>
      <c r="AQ668" s="1477"/>
      <c r="AR668" s="1477"/>
      <c r="AS668" s="1477"/>
      <c r="AT668" s="1477"/>
      <c r="AU668" s="1477"/>
      <c r="AV668" s="1477"/>
      <c r="AW668" s="1477"/>
      <c r="AX668" s="1477"/>
      <c r="AY668" s="1477"/>
      <c r="AZ668" s="1477"/>
      <c r="BA668" s="1477"/>
      <c r="BB668" s="1477"/>
      <c r="BC668" s="1477"/>
      <c r="BD668" s="1477"/>
      <c r="BE668" s="1477"/>
      <c r="BF668" s="1477"/>
      <c r="BG668" s="1477"/>
      <c r="BH668" s="1477"/>
      <c r="BI668" s="1477"/>
      <c r="BJ668" s="1477"/>
      <c r="BK668" s="1477"/>
      <c r="BL668" s="1477"/>
      <c r="BM668" s="1477"/>
      <c r="BN668" s="1477"/>
      <c r="BO668" s="1477"/>
      <c r="BP668" s="1477"/>
      <c r="BQ668" s="1477"/>
      <c r="BR668" s="1477"/>
      <c r="BS668" s="1477"/>
      <c r="BT668" s="1477"/>
      <c r="BU668" s="1477"/>
      <c r="BV668" s="1477"/>
      <c r="BW668" s="1477"/>
      <c r="BX668" s="1477"/>
      <c r="BY668" s="1477"/>
      <c r="BZ668" s="1477"/>
      <c r="CA668" s="1477"/>
      <c r="CB668" s="1477"/>
      <c r="CC668" s="1477"/>
      <c r="CD668" s="1477"/>
      <c r="CE668" s="1477"/>
      <c r="CF668" s="1477"/>
      <c r="CG668" s="1477"/>
      <c r="CH668" s="1477"/>
    </row>
    <row r="669" spans="2:86">
      <c r="B669" s="1477"/>
      <c r="C669" s="1477"/>
      <c r="D669" s="1477"/>
      <c r="E669" s="1477"/>
      <c r="F669" s="1477"/>
      <c r="G669" s="1477"/>
      <c r="H669" s="1477"/>
      <c r="I669" s="1477"/>
      <c r="J669" s="1477"/>
      <c r="K669" s="1477"/>
      <c r="L669" s="1477"/>
      <c r="M669" s="1477"/>
      <c r="N669" s="1477"/>
      <c r="O669" s="1477"/>
      <c r="P669" s="1477"/>
      <c r="Q669" s="1477"/>
      <c r="R669" s="1477"/>
      <c r="S669" s="1477"/>
      <c r="T669" s="1477"/>
      <c r="U669" s="1477"/>
      <c r="V669" s="1477"/>
      <c r="W669" s="1477"/>
      <c r="X669" s="1477"/>
      <c r="Y669" s="1477"/>
      <c r="Z669" s="1477"/>
      <c r="AA669" s="1477"/>
      <c r="AB669" s="1477"/>
      <c r="AC669" s="1477"/>
      <c r="AD669" s="1477"/>
      <c r="AE669" s="1477"/>
      <c r="AF669" s="1477"/>
      <c r="AG669" s="1477"/>
      <c r="AH669" s="1477"/>
      <c r="AI669" s="1477"/>
      <c r="AJ669" s="1477"/>
      <c r="AK669" s="1477"/>
      <c r="AL669" s="1477"/>
      <c r="AM669" s="1477"/>
      <c r="AN669" s="1477"/>
      <c r="AO669" s="284"/>
      <c r="AP669" s="1477"/>
      <c r="AQ669" s="1477"/>
      <c r="AR669" s="1477"/>
      <c r="AS669" s="1477"/>
      <c r="AT669" s="1477"/>
      <c r="AU669" s="1477"/>
      <c r="AV669" s="1477"/>
      <c r="AW669" s="1477"/>
      <c r="AX669" s="1477"/>
      <c r="AY669" s="1477"/>
      <c r="AZ669" s="1477"/>
      <c r="BA669" s="1477"/>
      <c r="BB669" s="1477"/>
      <c r="BC669" s="1477"/>
      <c r="BD669" s="1477"/>
      <c r="BE669" s="1477"/>
      <c r="BF669" s="1477"/>
      <c r="BG669" s="1477"/>
      <c r="BH669" s="1477"/>
      <c r="BI669" s="1477"/>
      <c r="BJ669" s="1477"/>
      <c r="BK669" s="1477"/>
      <c r="BL669" s="1477"/>
      <c r="BM669" s="1477"/>
      <c r="BN669" s="1477"/>
      <c r="BO669" s="1477"/>
      <c r="BP669" s="1477"/>
      <c r="BQ669" s="1477"/>
      <c r="BR669" s="1477"/>
      <c r="BS669" s="1477"/>
      <c r="BT669" s="1477"/>
      <c r="BU669" s="1477"/>
      <c r="BV669" s="1477"/>
      <c r="BW669" s="1477"/>
      <c r="BX669" s="1477"/>
      <c r="BY669" s="1477"/>
      <c r="BZ669" s="1477"/>
      <c r="CA669" s="1477"/>
      <c r="CB669" s="1477"/>
      <c r="CC669" s="1477"/>
      <c r="CD669" s="1477"/>
      <c r="CE669" s="1477"/>
      <c r="CF669" s="1477"/>
      <c r="CG669" s="1477"/>
      <c r="CH669" s="1477"/>
    </row>
    <row r="670" spans="2:86">
      <c r="B670" s="1477"/>
      <c r="C670" s="1477"/>
      <c r="D670" s="1477"/>
      <c r="E670" s="1477"/>
      <c r="F670" s="1477"/>
      <c r="G670" s="1477"/>
      <c r="H670" s="1477"/>
      <c r="I670" s="1477"/>
      <c r="J670" s="1477"/>
      <c r="K670" s="1477"/>
      <c r="L670" s="1477"/>
      <c r="M670" s="1477"/>
      <c r="N670" s="1477"/>
      <c r="O670" s="1477"/>
      <c r="P670" s="1477"/>
      <c r="Q670" s="1477"/>
      <c r="R670" s="1477"/>
      <c r="S670" s="1477"/>
      <c r="T670" s="1477"/>
      <c r="U670" s="1477"/>
      <c r="V670" s="1477"/>
      <c r="W670" s="1477"/>
      <c r="X670" s="1477"/>
      <c r="Y670" s="1477"/>
      <c r="Z670" s="1477"/>
      <c r="AA670" s="1477"/>
      <c r="AB670" s="1477"/>
      <c r="AC670" s="1477"/>
      <c r="AD670" s="1477"/>
      <c r="AE670" s="1477"/>
      <c r="AF670" s="1477"/>
      <c r="AG670" s="1477"/>
      <c r="AH670" s="1477"/>
      <c r="AI670" s="1477"/>
      <c r="AJ670" s="1477"/>
      <c r="AK670" s="1477"/>
      <c r="AL670" s="1477"/>
      <c r="AM670" s="1477"/>
      <c r="AN670" s="1477"/>
      <c r="AO670" s="284"/>
      <c r="AP670" s="1477"/>
      <c r="AQ670" s="1477"/>
      <c r="AR670" s="1477"/>
      <c r="AS670" s="1477"/>
      <c r="AT670" s="1477"/>
      <c r="AU670" s="1477"/>
      <c r="AV670" s="1477"/>
      <c r="AW670" s="1477"/>
      <c r="AX670" s="1477"/>
      <c r="AY670" s="1477"/>
      <c r="AZ670" s="1477"/>
      <c r="BA670" s="1477"/>
      <c r="BB670" s="1477"/>
      <c r="BC670" s="1477"/>
      <c r="BD670" s="1477"/>
      <c r="BE670" s="1477"/>
      <c r="BF670" s="1477"/>
      <c r="BG670" s="1477"/>
      <c r="BH670" s="1477"/>
      <c r="BI670" s="1477"/>
      <c r="BJ670" s="1477"/>
      <c r="BK670" s="1477"/>
      <c r="BL670" s="1477"/>
      <c r="BM670" s="1477"/>
      <c r="BN670" s="1477"/>
      <c r="BO670" s="1477"/>
      <c r="BP670" s="1477"/>
      <c r="BQ670" s="1477"/>
      <c r="BR670" s="1477"/>
      <c r="BS670" s="1477"/>
      <c r="BT670" s="1477"/>
      <c r="BU670" s="1477"/>
      <c r="BV670" s="1477"/>
      <c r="BW670" s="1477"/>
      <c r="BX670" s="1477"/>
      <c r="BY670" s="1477"/>
      <c r="BZ670" s="1477"/>
      <c r="CA670" s="1477"/>
      <c r="CB670" s="1477"/>
      <c r="CC670" s="1477"/>
      <c r="CD670" s="1477"/>
      <c r="CE670" s="1477"/>
      <c r="CF670" s="1477"/>
      <c r="CG670" s="1477"/>
      <c r="CH670" s="1477"/>
    </row>
    <row r="671" spans="2:86">
      <c r="B671" s="1477"/>
      <c r="C671" s="1477"/>
      <c r="D671" s="1477"/>
      <c r="E671" s="1477"/>
      <c r="F671" s="1477"/>
      <c r="G671" s="1477"/>
      <c r="H671" s="1477"/>
      <c r="I671" s="1477"/>
      <c r="J671" s="1477"/>
      <c r="K671" s="1477"/>
      <c r="L671" s="1477"/>
      <c r="M671" s="1477"/>
      <c r="N671" s="1477"/>
      <c r="O671" s="1477"/>
      <c r="P671" s="1477"/>
      <c r="Q671" s="1477"/>
      <c r="R671" s="1477"/>
      <c r="S671" s="1477"/>
      <c r="T671" s="1477"/>
      <c r="U671" s="1477"/>
      <c r="V671" s="1477"/>
      <c r="W671" s="1477"/>
      <c r="X671" s="1477"/>
      <c r="Y671" s="1477"/>
      <c r="Z671" s="1477"/>
      <c r="AA671" s="1477"/>
      <c r="AB671" s="1477"/>
      <c r="AC671" s="1477"/>
      <c r="AD671" s="1477"/>
      <c r="AE671" s="1477"/>
      <c r="AF671" s="1477"/>
      <c r="AG671" s="1477"/>
      <c r="AH671" s="1477"/>
      <c r="AI671" s="1477"/>
      <c r="AJ671" s="1477"/>
      <c r="AK671" s="1477"/>
      <c r="AL671" s="1477"/>
      <c r="AM671" s="1477"/>
      <c r="AN671" s="1477"/>
      <c r="AO671" s="284"/>
      <c r="AP671" s="1477"/>
      <c r="AQ671" s="1477"/>
      <c r="AR671" s="1477"/>
      <c r="AS671" s="1477"/>
      <c r="AT671" s="1477"/>
      <c r="AU671" s="1477"/>
      <c r="AV671" s="1477"/>
      <c r="AW671" s="1477"/>
      <c r="AX671" s="1477"/>
      <c r="AY671" s="1477"/>
      <c r="AZ671" s="1477"/>
      <c r="BA671" s="1477"/>
      <c r="BB671" s="1477"/>
      <c r="BC671" s="1477"/>
      <c r="BD671" s="1477"/>
      <c r="BE671" s="1477"/>
      <c r="BF671" s="1477"/>
      <c r="BG671" s="1477"/>
      <c r="BH671" s="1477"/>
      <c r="BI671" s="1477"/>
      <c r="BJ671" s="1477"/>
      <c r="BK671" s="1477"/>
      <c r="BL671" s="1477"/>
      <c r="BM671" s="1477"/>
      <c r="BN671" s="1477"/>
      <c r="BO671" s="1477"/>
      <c r="BP671" s="1477"/>
      <c r="BQ671" s="1477"/>
      <c r="BR671" s="1477"/>
      <c r="BS671" s="1477"/>
      <c r="BT671" s="1477"/>
      <c r="BU671" s="1477"/>
      <c r="BV671" s="1477"/>
      <c r="BW671" s="1477"/>
      <c r="BX671" s="1477"/>
      <c r="BY671" s="1477"/>
      <c r="BZ671" s="1477"/>
      <c r="CA671" s="1477"/>
      <c r="CB671" s="1477"/>
      <c r="CC671" s="1477"/>
      <c r="CD671" s="1477"/>
      <c r="CE671" s="1477"/>
      <c r="CF671" s="1477"/>
      <c r="CG671" s="1477"/>
      <c r="CH671" s="1477"/>
    </row>
    <row r="672" spans="2:86">
      <c r="B672" s="1477"/>
      <c r="C672" s="1477"/>
      <c r="D672" s="1477"/>
      <c r="E672" s="1477"/>
      <c r="F672" s="1477"/>
      <c r="G672" s="1477"/>
      <c r="H672" s="1477"/>
      <c r="I672" s="1477"/>
      <c r="J672" s="1477"/>
      <c r="K672" s="1477"/>
      <c r="L672" s="1477"/>
      <c r="M672" s="1477"/>
      <c r="N672" s="1477"/>
      <c r="O672" s="1477"/>
      <c r="P672" s="1477"/>
      <c r="Q672" s="1477"/>
      <c r="R672" s="1477"/>
      <c r="S672" s="1477"/>
      <c r="T672" s="1477"/>
      <c r="U672" s="1477"/>
      <c r="V672" s="1477"/>
      <c r="W672" s="1477"/>
      <c r="X672" s="1477"/>
      <c r="Y672" s="1477"/>
      <c r="Z672" s="1477"/>
      <c r="AA672" s="1477"/>
      <c r="AB672" s="1477"/>
      <c r="AC672" s="1477"/>
      <c r="AD672" s="1477"/>
      <c r="AE672" s="1477"/>
      <c r="AF672" s="1477"/>
      <c r="AG672" s="1477"/>
      <c r="AH672" s="1477"/>
      <c r="AI672" s="1477"/>
      <c r="AJ672" s="1477"/>
      <c r="AK672" s="1477"/>
      <c r="AL672" s="1477"/>
      <c r="AM672" s="1477"/>
      <c r="AN672" s="1477"/>
      <c r="AO672" s="284"/>
      <c r="AP672" s="1477"/>
      <c r="AQ672" s="1477"/>
      <c r="AR672" s="1477"/>
      <c r="AS672" s="1477"/>
      <c r="AT672" s="1477"/>
      <c r="AU672" s="1477"/>
      <c r="AV672" s="1477"/>
      <c r="AW672" s="1477"/>
      <c r="AX672" s="1477"/>
      <c r="AY672" s="1477"/>
      <c r="AZ672" s="1477"/>
      <c r="BA672" s="1477"/>
      <c r="BB672" s="1477"/>
      <c r="BC672" s="1477"/>
      <c r="BD672" s="1477"/>
      <c r="BE672" s="1477"/>
      <c r="BF672" s="1477"/>
      <c r="BG672" s="1477"/>
      <c r="BH672" s="1477"/>
      <c r="BI672" s="1477"/>
      <c r="BJ672" s="1477"/>
      <c r="BK672" s="1477"/>
      <c r="BL672" s="1477"/>
      <c r="BM672" s="1477"/>
      <c r="BN672" s="1477"/>
      <c r="BO672" s="1477"/>
      <c r="BP672" s="1477"/>
      <c r="BQ672" s="1477"/>
      <c r="BR672" s="1477"/>
      <c r="BS672" s="1477"/>
      <c r="BT672" s="1477"/>
      <c r="BU672" s="1477"/>
      <c r="BV672" s="1477"/>
      <c r="BW672" s="1477"/>
      <c r="BX672" s="1477"/>
      <c r="BY672" s="1477"/>
      <c r="BZ672" s="1477"/>
      <c r="CA672" s="1477"/>
      <c r="CB672" s="1477"/>
      <c r="CC672" s="1477"/>
      <c r="CD672" s="1477"/>
      <c r="CE672" s="1477"/>
      <c r="CF672" s="1477"/>
      <c r="CG672" s="1477"/>
      <c r="CH672" s="1477"/>
    </row>
    <row r="673" spans="2:86">
      <c r="B673" s="1477"/>
      <c r="C673" s="1477"/>
      <c r="D673" s="1477"/>
      <c r="E673" s="1477"/>
      <c r="F673" s="1477"/>
      <c r="G673" s="1477"/>
      <c r="H673" s="1477"/>
      <c r="I673" s="1477"/>
      <c r="J673" s="1477"/>
      <c r="K673" s="1477"/>
      <c r="L673" s="1477"/>
      <c r="M673" s="1477"/>
      <c r="N673" s="1477"/>
      <c r="O673" s="1477"/>
      <c r="P673" s="1477"/>
      <c r="Q673" s="1477"/>
      <c r="R673" s="1477"/>
      <c r="S673" s="1477"/>
      <c r="T673" s="1477"/>
      <c r="U673" s="1477"/>
      <c r="V673" s="1477"/>
      <c r="W673" s="1477"/>
      <c r="X673" s="1477"/>
      <c r="Y673" s="1477"/>
      <c r="Z673" s="1477"/>
      <c r="AA673" s="1477"/>
      <c r="AB673" s="1477"/>
      <c r="AC673" s="1477"/>
      <c r="AD673" s="1477"/>
      <c r="AE673" s="1477"/>
      <c r="AF673" s="1477"/>
      <c r="AG673" s="1477"/>
      <c r="AH673" s="1477"/>
      <c r="AI673" s="1477"/>
      <c r="AJ673" s="1477"/>
      <c r="AK673" s="1477"/>
      <c r="AL673" s="1477"/>
      <c r="AM673" s="1477"/>
      <c r="AN673" s="1477"/>
      <c r="AO673" s="284"/>
      <c r="AP673" s="1477"/>
      <c r="AQ673" s="1477"/>
      <c r="AR673" s="1477"/>
      <c r="AS673" s="1477"/>
      <c r="AT673" s="1477"/>
      <c r="AU673" s="1477"/>
      <c r="AV673" s="1477"/>
      <c r="AW673" s="1477"/>
      <c r="AX673" s="1477"/>
      <c r="AY673" s="1477"/>
      <c r="AZ673" s="1477"/>
      <c r="BA673" s="1477"/>
      <c r="BB673" s="1477"/>
      <c r="BC673" s="1477"/>
      <c r="BD673" s="1477"/>
      <c r="BE673" s="1477"/>
      <c r="BF673" s="1477"/>
      <c r="BG673" s="1477"/>
      <c r="BH673" s="1477"/>
      <c r="BI673" s="1477"/>
      <c r="BJ673" s="1477"/>
      <c r="BK673" s="1477"/>
      <c r="BL673" s="1477"/>
      <c r="BM673" s="1477"/>
      <c r="BN673" s="1477"/>
      <c r="BO673" s="1477"/>
      <c r="BP673" s="1477"/>
      <c r="BQ673" s="1477"/>
      <c r="BR673" s="1477"/>
      <c r="BS673" s="1477"/>
      <c r="BT673" s="1477"/>
      <c r="BU673" s="1477"/>
      <c r="BV673" s="1477"/>
      <c r="BW673" s="1477"/>
      <c r="BX673" s="1477"/>
      <c r="BY673" s="1477"/>
      <c r="BZ673" s="1477"/>
      <c r="CA673" s="1477"/>
      <c r="CB673" s="1477"/>
      <c r="CC673" s="1477"/>
      <c r="CD673" s="1477"/>
      <c r="CE673" s="1477"/>
      <c r="CF673" s="1477"/>
      <c r="CG673" s="1477"/>
      <c r="CH673" s="1477"/>
    </row>
    <row r="674" spans="2:86">
      <c r="B674" s="1477"/>
      <c r="C674" s="1477"/>
      <c r="D674" s="1477"/>
      <c r="E674" s="1477"/>
      <c r="F674" s="1477"/>
      <c r="G674" s="1477"/>
      <c r="H674" s="1477"/>
      <c r="I674" s="1477"/>
      <c r="J674" s="1477"/>
      <c r="K674" s="1477"/>
      <c r="L674" s="1477"/>
      <c r="M674" s="1477"/>
      <c r="N674" s="1477"/>
      <c r="O674" s="1477"/>
      <c r="P674" s="1477"/>
      <c r="Q674" s="1477"/>
      <c r="R674" s="1477"/>
      <c r="S674" s="1477"/>
      <c r="T674" s="1477"/>
      <c r="U674" s="1477"/>
      <c r="V674" s="1477"/>
      <c r="W674" s="1477"/>
      <c r="X674" s="1477"/>
      <c r="Y674" s="1477"/>
      <c r="Z674" s="1477"/>
      <c r="AA674" s="1477"/>
      <c r="AB674" s="1477"/>
      <c r="AC674" s="1477"/>
      <c r="AD674" s="1477"/>
      <c r="AE674" s="1477"/>
      <c r="AF674" s="1477"/>
      <c r="AG674" s="1477"/>
      <c r="AH674" s="1477"/>
      <c r="AI674" s="1477"/>
      <c r="AJ674" s="1477"/>
      <c r="AK674" s="1477"/>
      <c r="AL674" s="1477"/>
      <c r="AM674" s="1477"/>
      <c r="AN674" s="1477"/>
      <c r="AO674" s="284"/>
      <c r="AP674" s="1477"/>
      <c r="AQ674" s="1477"/>
      <c r="AR674" s="1477"/>
      <c r="AS674" s="1477"/>
      <c r="AT674" s="1477"/>
      <c r="AU674" s="1477"/>
      <c r="AV674" s="1477"/>
      <c r="AW674" s="1477"/>
      <c r="AX674" s="1477"/>
      <c r="AY674" s="1477"/>
      <c r="AZ674" s="1477"/>
      <c r="BA674" s="1477"/>
      <c r="BB674" s="1477"/>
      <c r="BC674" s="1477"/>
      <c r="BD674" s="1477"/>
      <c r="BE674" s="1477"/>
      <c r="BF674" s="1477"/>
      <c r="BG674" s="1477"/>
      <c r="BH674" s="1477"/>
      <c r="BI674" s="1477"/>
      <c r="BJ674" s="1477"/>
      <c r="BK674" s="1477"/>
      <c r="BL674" s="1477"/>
      <c r="BM674" s="1477"/>
      <c r="BN674" s="1477"/>
      <c r="BO674" s="1477"/>
      <c r="BP674" s="1477"/>
      <c r="BQ674" s="1477"/>
      <c r="BR674" s="1477"/>
      <c r="BS674" s="1477"/>
      <c r="BT674" s="1477"/>
      <c r="BU674" s="1477"/>
      <c r="BV674" s="1477"/>
      <c r="BW674" s="1477"/>
      <c r="BX674" s="1477"/>
      <c r="BY674" s="1477"/>
      <c r="BZ674" s="1477"/>
      <c r="CA674" s="1477"/>
      <c r="CB674" s="1477"/>
      <c r="CC674" s="1477"/>
      <c r="CD674" s="1477"/>
      <c r="CE674" s="1477"/>
      <c r="CF674" s="1477"/>
      <c r="CG674" s="1477"/>
      <c r="CH674" s="1477"/>
    </row>
    <row r="675" spans="2:86">
      <c r="B675" s="1477"/>
      <c r="C675" s="1477"/>
      <c r="D675" s="1477"/>
      <c r="E675" s="1477"/>
      <c r="F675" s="1477"/>
      <c r="G675" s="1477"/>
      <c r="H675" s="1477"/>
      <c r="I675" s="1477"/>
      <c r="J675" s="1477"/>
      <c r="K675" s="1477"/>
      <c r="L675" s="1477"/>
      <c r="M675" s="1477"/>
      <c r="N675" s="1477"/>
      <c r="O675" s="1477"/>
      <c r="P675" s="1477"/>
      <c r="Q675" s="1477"/>
      <c r="R675" s="1477"/>
      <c r="S675" s="1477"/>
      <c r="T675" s="1477"/>
      <c r="U675" s="1477"/>
      <c r="V675" s="1477"/>
      <c r="W675" s="1477"/>
      <c r="X675" s="1477"/>
      <c r="Y675" s="1477"/>
      <c r="Z675" s="1477"/>
      <c r="AA675" s="1477"/>
      <c r="AB675" s="1477"/>
      <c r="AC675" s="1477"/>
      <c r="AD675" s="1477"/>
      <c r="AE675" s="1477"/>
      <c r="AF675" s="1477"/>
      <c r="AG675" s="1477"/>
      <c r="AH675" s="1477"/>
      <c r="AI675" s="1477"/>
      <c r="AJ675" s="1477"/>
      <c r="AK675" s="1477"/>
      <c r="AL675" s="1477"/>
      <c r="AM675" s="1477"/>
      <c r="AN675" s="1477"/>
      <c r="AO675" s="284"/>
      <c r="AP675" s="1477"/>
      <c r="AQ675" s="1477"/>
      <c r="AR675" s="1477"/>
      <c r="AS675" s="1477"/>
      <c r="AT675" s="1477"/>
      <c r="AU675" s="1477"/>
      <c r="AV675" s="1477"/>
      <c r="AW675" s="1477"/>
      <c r="AX675" s="1477"/>
      <c r="AY675" s="1477"/>
      <c r="AZ675" s="1477"/>
      <c r="BA675" s="1477"/>
      <c r="BB675" s="1477"/>
      <c r="BC675" s="1477"/>
      <c r="BD675" s="1477"/>
      <c r="BE675" s="1477"/>
      <c r="BF675" s="1477"/>
      <c r="BG675" s="1477"/>
      <c r="BH675" s="1477"/>
      <c r="BI675" s="1477"/>
      <c r="BJ675" s="1477"/>
      <c r="BK675" s="1477"/>
      <c r="BL675" s="1477"/>
      <c r="BM675" s="1477"/>
      <c r="BN675" s="1477"/>
      <c r="BO675" s="1477"/>
      <c r="BP675" s="1477"/>
      <c r="BQ675" s="1477"/>
      <c r="BR675" s="1477"/>
      <c r="BS675" s="1477"/>
      <c r="BT675" s="1477"/>
      <c r="BU675" s="1477"/>
      <c r="BV675" s="1477"/>
      <c r="BW675" s="1477"/>
      <c r="BX675" s="1477"/>
      <c r="BY675" s="1477"/>
      <c r="BZ675" s="1477"/>
      <c r="CA675" s="1477"/>
      <c r="CB675" s="1477"/>
      <c r="CC675" s="1477"/>
      <c r="CD675" s="1477"/>
      <c r="CE675" s="1477"/>
      <c r="CF675" s="1477"/>
      <c r="CG675" s="1477"/>
      <c r="CH675" s="1477"/>
    </row>
    <row r="676" spans="2:86">
      <c r="B676" s="1477"/>
      <c r="C676" s="1477"/>
      <c r="D676" s="1477"/>
      <c r="E676" s="1477"/>
      <c r="F676" s="1477"/>
      <c r="G676" s="1477"/>
      <c r="H676" s="1477"/>
      <c r="I676" s="1477"/>
      <c r="J676" s="1477"/>
      <c r="K676" s="1477"/>
      <c r="L676" s="1477"/>
      <c r="M676" s="1477"/>
      <c r="N676" s="1477"/>
      <c r="O676" s="1477"/>
      <c r="P676" s="1477"/>
      <c r="Q676" s="1477"/>
      <c r="R676" s="1477"/>
      <c r="S676" s="1477"/>
      <c r="T676" s="1477"/>
      <c r="U676" s="1477"/>
      <c r="V676" s="1477"/>
      <c r="W676" s="1477"/>
      <c r="X676" s="1477"/>
      <c r="Y676" s="1477"/>
      <c r="Z676" s="1477"/>
      <c r="AA676" s="1477"/>
      <c r="AB676" s="1477"/>
      <c r="AC676" s="1477"/>
      <c r="AD676" s="1477"/>
      <c r="AE676" s="1477"/>
      <c r="AF676" s="1477"/>
      <c r="AG676" s="1477"/>
      <c r="AH676" s="1477"/>
      <c r="AI676" s="1477"/>
      <c r="AJ676" s="1477"/>
      <c r="AK676" s="1477"/>
      <c r="AL676" s="1477"/>
      <c r="AM676" s="1477"/>
      <c r="AN676" s="1477"/>
      <c r="AO676" s="284"/>
      <c r="AP676" s="1477"/>
      <c r="AQ676" s="1477"/>
      <c r="AR676" s="1477"/>
      <c r="AS676" s="1477"/>
      <c r="AT676" s="1477"/>
      <c r="AU676" s="1477"/>
      <c r="AV676" s="1477"/>
      <c r="AW676" s="1477"/>
      <c r="AX676" s="1477"/>
      <c r="AY676" s="1477"/>
      <c r="AZ676" s="1477"/>
      <c r="BA676" s="1477"/>
      <c r="BB676" s="1477"/>
      <c r="BC676" s="1477"/>
      <c r="BD676" s="1477"/>
      <c r="BE676" s="1477"/>
      <c r="BF676" s="1477"/>
      <c r="BG676" s="1477"/>
      <c r="BH676" s="1477"/>
      <c r="BI676" s="1477"/>
      <c r="BJ676" s="1477"/>
      <c r="BK676" s="1477"/>
      <c r="BL676" s="1477"/>
      <c r="BM676" s="1477"/>
      <c r="BN676" s="1477"/>
      <c r="BO676" s="1477"/>
      <c r="BP676" s="1477"/>
      <c r="BQ676" s="1477"/>
      <c r="BR676" s="1477"/>
      <c r="BS676" s="1477"/>
      <c r="BT676" s="1477"/>
      <c r="BU676" s="1477"/>
      <c r="BV676" s="1477"/>
      <c r="BW676" s="1477"/>
      <c r="BX676" s="1477"/>
      <c r="BY676" s="1477"/>
      <c r="BZ676" s="1477"/>
      <c r="CA676" s="1477"/>
      <c r="CB676" s="1477"/>
      <c r="CC676" s="1477"/>
      <c r="CD676" s="1477"/>
      <c r="CE676" s="1477"/>
      <c r="CF676" s="1477"/>
      <c r="CG676" s="1477"/>
      <c r="CH676" s="1477"/>
    </row>
    <row r="677" spans="2:86">
      <c r="B677" s="1477"/>
      <c r="C677" s="1477"/>
      <c r="D677" s="1477"/>
      <c r="E677" s="1477"/>
      <c r="F677" s="1477"/>
      <c r="G677" s="1477"/>
      <c r="H677" s="1477"/>
      <c r="I677" s="1477"/>
      <c r="J677" s="1477"/>
      <c r="K677" s="1477"/>
      <c r="L677" s="1477"/>
      <c r="M677" s="1477"/>
      <c r="N677" s="1477"/>
      <c r="O677" s="1477"/>
      <c r="P677" s="1477"/>
      <c r="Q677" s="1477"/>
      <c r="R677" s="1477"/>
      <c r="S677" s="1477"/>
      <c r="T677" s="1477"/>
      <c r="U677" s="1477"/>
      <c r="V677" s="1477"/>
      <c r="W677" s="1477"/>
      <c r="X677" s="1477"/>
      <c r="Y677" s="1477"/>
      <c r="Z677" s="1477"/>
      <c r="AA677" s="1477"/>
      <c r="AB677" s="1477"/>
      <c r="AC677" s="1477"/>
      <c r="AD677" s="1477"/>
      <c r="AE677" s="1477"/>
      <c r="AF677" s="1477"/>
      <c r="AG677" s="1477"/>
      <c r="AH677" s="1477"/>
      <c r="AI677" s="1477"/>
      <c r="AJ677" s="1477"/>
      <c r="AK677" s="1477"/>
      <c r="AL677" s="1477"/>
      <c r="AM677" s="1477"/>
      <c r="AN677" s="1477"/>
      <c r="AO677" s="284"/>
      <c r="AP677" s="1477"/>
      <c r="AQ677" s="1477"/>
      <c r="AR677" s="1477"/>
      <c r="AS677" s="1477"/>
      <c r="AT677" s="1477"/>
      <c r="AU677" s="1477"/>
      <c r="AV677" s="1477"/>
      <c r="AW677" s="1477"/>
      <c r="AX677" s="1477"/>
      <c r="AY677" s="1477"/>
      <c r="AZ677" s="1477"/>
      <c r="BA677" s="1477"/>
      <c r="BB677" s="1477"/>
      <c r="BC677" s="1477"/>
      <c r="BD677" s="1477"/>
      <c r="BE677" s="1477"/>
      <c r="BF677" s="1477"/>
      <c r="BG677" s="1477"/>
      <c r="BH677" s="1477"/>
      <c r="BI677" s="1477"/>
      <c r="BJ677" s="1477"/>
      <c r="BK677" s="1477"/>
      <c r="BL677" s="1477"/>
      <c r="BM677" s="1477"/>
      <c r="BN677" s="1477"/>
      <c r="BO677" s="1477"/>
      <c r="BP677" s="1477"/>
      <c r="BQ677" s="1477"/>
      <c r="BR677" s="1477"/>
      <c r="BS677" s="1477"/>
      <c r="BT677" s="1477"/>
      <c r="BU677" s="1477"/>
      <c r="BV677" s="1477"/>
      <c r="BW677" s="1477"/>
      <c r="BX677" s="1477"/>
      <c r="BY677" s="1477"/>
      <c r="BZ677" s="1477"/>
      <c r="CA677" s="1477"/>
      <c r="CB677" s="1477"/>
      <c r="CC677" s="1477"/>
      <c r="CD677" s="1477"/>
      <c r="CE677" s="1477"/>
      <c r="CF677" s="1477"/>
      <c r="CG677" s="1477"/>
      <c r="CH677" s="1477"/>
    </row>
    <row r="678" spans="2:86">
      <c r="B678" s="1477"/>
      <c r="C678" s="1477"/>
      <c r="D678" s="1477"/>
      <c r="E678" s="1477"/>
      <c r="F678" s="1477"/>
      <c r="G678" s="1477"/>
      <c r="H678" s="1477"/>
      <c r="I678" s="1477"/>
      <c r="J678" s="1477"/>
      <c r="K678" s="1477"/>
      <c r="L678" s="1477"/>
      <c r="M678" s="1477"/>
      <c r="N678" s="1477"/>
      <c r="O678" s="1477"/>
      <c r="P678" s="1477"/>
      <c r="Q678" s="1477"/>
      <c r="R678" s="1477"/>
      <c r="S678" s="1477"/>
      <c r="T678" s="1477"/>
      <c r="U678" s="1477"/>
      <c r="V678" s="1477"/>
      <c r="W678" s="1477"/>
      <c r="X678" s="1477"/>
      <c r="Y678" s="1477"/>
      <c r="Z678" s="1477"/>
      <c r="AA678" s="1477"/>
      <c r="AB678" s="1477"/>
      <c r="AC678" s="1477"/>
      <c r="AD678" s="1477"/>
      <c r="AE678" s="1477"/>
      <c r="AF678" s="1477"/>
      <c r="AG678" s="1477"/>
      <c r="AH678" s="1477"/>
      <c r="AI678" s="1477"/>
      <c r="AJ678" s="1477"/>
      <c r="AK678" s="1477"/>
      <c r="AL678" s="1477"/>
      <c r="AM678" s="1477"/>
      <c r="AN678" s="1477"/>
      <c r="AO678" s="284"/>
      <c r="AP678" s="1477"/>
      <c r="AQ678" s="1477"/>
      <c r="AR678" s="1477"/>
      <c r="AS678" s="1477"/>
      <c r="AT678" s="1477"/>
      <c r="AU678" s="1477"/>
      <c r="AV678" s="1477"/>
      <c r="AW678" s="1477"/>
      <c r="AX678" s="1477"/>
      <c r="AY678" s="1477"/>
      <c r="AZ678" s="1477"/>
      <c r="BA678" s="1477"/>
      <c r="BB678" s="1477"/>
      <c r="BC678" s="1477"/>
      <c r="BD678" s="1477"/>
      <c r="BE678" s="1477"/>
      <c r="BF678" s="1477"/>
      <c r="BG678" s="1477"/>
      <c r="BH678" s="1477"/>
      <c r="BI678" s="1477"/>
      <c r="BJ678" s="1477"/>
      <c r="BK678" s="1477"/>
      <c r="BL678" s="1477"/>
      <c r="BM678" s="1477"/>
      <c r="BN678" s="1477"/>
      <c r="BO678" s="1477"/>
      <c r="BP678" s="1477"/>
      <c r="BQ678" s="1477"/>
      <c r="BR678" s="1477"/>
      <c r="BS678" s="1477"/>
      <c r="BT678" s="1477"/>
      <c r="BU678" s="1477"/>
      <c r="BV678" s="1477"/>
      <c r="BW678" s="1477"/>
      <c r="BX678" s="1477"/>
      <c r="BY678" s="1477"/>
      <c r="BZ678" s="1477"/>
      <c r="CA678" s="1477"/>
      <c r="CB678" s="1477"/>
      <c r="CC678" s="1477"/>
      <c r="CD678" s="1477"/>
      <c r="CE678" s="1477"/>
      <c r="CF678" s="1477"/>
      <c r="CG678" s="1477"/>
      <c r="CH678" s="1477"/>
    </row>
    <row r="679" spans="2:86">
      <c r="B679" s="1477"/>
      <c r="C679" s="1477"/>
      <c r="D679" s="1477"/>
      <c r="E679" s="1477"/>
      <c r="F679" s="1477"/>
      <c r="G679" s="1477"/>
      <c r="H679" s="1477"/>
      <c r="I679" s="1477"/>
      <c r="J679" s="1477"/>
      <c r="K679" s="1477"/>
      <c r="L679" s="1477"/>
      <c r="M679" s="1477"/>
      <c r="N679" s="1477"/>
      <c r="O679" s="1477"/>
      <c r="P679" s="1477"/>
      <c r="Q679" s="1477"/>
      <c r="R679" s="1477"/>
      <c r="S679" s="1477"/>
      <c r="T679" s="1477"/>
      <c r="U679" s="1477"/>
      <c r="V679" s="1477"/>
      <c r="W679" s="1477"/>
      <c r="X679" s="1477"/>
      <c r="Y679" s="1477"/>
      <c r="Z679" s="1477"/>
      <c r="AA679" s="1477"/>
      <c r="AB679" s="1477"/>
      <c r="AC679" s="1477"/>
      <c r="AD679" s="1477"/>
      <c r="AE679" s="1477"/>
      <c r="AF679" s="1477"/>
      <c r="AG679" s="1477"/>
      <c r="AH679" s="1477"/>
      <c r="AI679" s="1477"/>
      <c r="AJ679" s="1477"/>
      <c r="AK679" s="1477"/>
      <c r="AL679" s="1477"/>
      <c r="AM679" s="1477"/>
      <c r="AN679" s="1477"/>
      <c r="AO679" s="284"/>
      <c r="AP679" s="1477"/>
      <c r="AQ679" s="1477"/>
      <c r="AR679" s="1477"/>
      <c r="AS679" s="1477"/>
      <c r="AT679" s="1477"/>
      <c r="AU679" s="1477"/>
      <c r="AV679" s="1477"/>
      <c r="AW679" s="1477"/>
      <c r="AX679" s="1477"/>
      <c r="AY679" s="1477"/>
      <c r="AZ679" s="1477"/>
      <c r="BA679" s="1477"/>
      <c r="BB679" s="1477"/>
      <c r="BC679" s="1477"/>
      <c r="BD679" s="1477"/>
      <c r="BE679" s="1477"/>
      <c r="BF679" s="1477"/>
      <c r="BG679" s="1477"/>
      <c r="BH679" s="1477"/>
      <c r="BI679" s="1477"/>
      <c r="BJ679" s="1477"/>
      <c r="BK679" s="1477"/>
      <c r="BL679" s="1477"/>
      <c r="BM679" s="1477"/>
      <c r="BN679" s="1477"/>
      <c r="BO679" s="1477"/>
      <c r="BP679" s="1477"/>
      <c r="BQ679" s="1477"/>
      <c r="BR679" s="1477"/>
      <c r="BS679" s="1477"/>
      <c r="BT679" s="1477"/>
      <c r="BU679" s="1477"/>
      <c r="BV679" s="1477"/>
      <c r="BW679" s="1477"/>
      <c r="BX679" s="1477"/>
      <c r="BY679" s="1477"/>
      <c r="BZ679" s="1477"/>
      <c r="CA679" s="1477"/>
      <c r="CB679" s="1477"/>
      <c r="CC679" s="1477"/>
      <c r="CD679" s="1477"/>
      <c r="CE679" s="1477"/>
      <c r="CF679" s="1477"/>
      <c r="CG679" s="1477"/>
      <c r="CH679" s="1477"/>
    </row>
    <row r="680" spans="2:86">
      <c r="B680" s="1477"/>
      <c r="C680" s="1477"/>
      <c r="D680" s="1477"/>
      <c r="E680" s="1477"/>
      <c r="F680" s="1477"/>
      <c r="G680" s="1477"/>
      <c r="H680" s="1477"/>
      <c r="I680" s="1477"/>
      <c r="J680" s="1477"/>
      <c r="K680" s="1477"/>
      <c r="L680" s="1477"/>
      <c r="M680" s="1477"/>
      <c r="N680" s="1477"/>
      <c r="O680" s="1477"/>
      <c r="P680" s="1477"/>
      <c r="Q680" s="1477"/>
      <c r="R680" s="1477"/>
      <c r="S680" s="1477"/>
      <c r="T680" s="1477"/>
      <c r="U680" s="1477"/>
      <c r="V680" s="1477"/>
      <c r="W680" s="1477"/>
      <c r="X680" s="1477"/>
      <c r="Y680" s="1477"/>
      <c r="Z680" s="1477"/>
      <c r="AA680" s="1477"/>
      <c r="AB680" s="1477"/>
      <c r="AC680" s="1477"/>
      <c r="AD680" s="1477"/>
      <c r="AE680" s="1477"/>
      <c r="AF680" s="1477"/>
      <c r="AG680" s="1477"/>
      <c r="AH680" s="1477"/>
      <c r="AI680" s="1477"/>
      <c r="AJ680" s="1477"/>
      <c r="AK680" s="1477"/>
      <c r="AL680" s="1477"/>
      <c r="AM680" s="1477"/>
      <c r="AN680" s="1477"/>
      <c r="AO680" s="284"/>
      <c r="AP680" s="1477"/>
      <c r="AQ680" s="1477"/>
      <c r="AR680" s="1477"/>
      <c r="AS680" s="1477"/>
      <c r="AT680" s="1477"/>
      <c r="AU680" s="1477"/>
      <c r="AV680" s="1477"/>
      <c r="AW680" s="1477"/>
      <c r="AX680" s="1477"/>
      <c r="AY680" s="1477"/>
      <c r="AZ680" s="1477"/>
      <c r="BA680" s="1477"/>
      <c r="BB680" s="1477"/>
      <c r="BC680" s="1477"/>
      <c r="BD680" s="1477"/>
      <c r="BE680" s="1477"/>
      <c r="BF680" s="1477"/>
      <c r="BG680" s="1477"/>
      <c r="BH680" s="1477"/>
      <c r="BI680" s="1477"/>
      <c r="BJ680" s="1477"/>
      <c r="BK680" s="1477"/>
      <c r="BL680" s="1477"/>
      <c r="BM680" s="1477"/>
      <c r="BN680" s="1477"/>
      <c r="BO680" s="1477"/>
      <c r="BP680" s="1477"/>
      <c r="BQ680" s="1477"/>
      <c r="BR680" s="1477"/>
      <c r="BS680" s="1477"/>
      <c r="BT680" s="1477"/>
      <c r="BU680" s="1477"/>
      <c r="BV680" s="1477"/>
      <c r="BW680" s="1477"/>
      <c r="BX680" s="1477"/>
      <c r="BY680" s="1477"/>
      <c r="BZ680" s="1477"/>
      <c r="CA680" s="1477"/>
      <c r="CB680" s="1477"/>
      <c r="CC680" s="1477"/>
      <c r="CD680" s="1477"/>
      <c r="CE680" s="1477"/>
      <c r="CF680" s="1477"/>
      <c r="CG680" s="1477"/>
      <c r="CH680" s="1477"/>
    </row>
    <row r="681" spans="2:86">
      <c r="B681" s="1477"/>
      <c r="C681" s="1477"/>
      <c r="D681" s="1477"/>
      <c r="E681" s="1477"/>
      <c r="F681" s="1477"/>
      <c r="G681" s="1477"/>
      <c r="H681" s="1477"/>
      <c r="I681" s="1477"/>
      <c r="J681" s="1477"/>
      <c r="K681" s="1477"/>
      <c r="L681" s="1477"/>
      <c r="M681" s="1477"/>
      <c r="N681" s="1477"/>
      <c r="O681" s="1477"/>
      <c r="P681" s="1477"/>
      <c r="Q681" s="1477"/>
      <c r="R681" s="1477"/>
      <c r="S681" s="1477"/>
      <c r="T681" s="1477"/>
      <c r="U681" s="1477"/>
      <c r="V681" s="1477"/>
      <c r="W681" s="1477"/>
      <c r="X681" s="1477"/>
      <c r="Y681" s="1477"/>
      <c r="Z681" s="1477"/>
      <c r="AA681" s="1477"/>
      <c r="AB681" s="1477"/>
      <c r="AC681" s="1477"/>
      <c r="AD681" s="1477"/>
      <c r="AE681" s="1477"/>
      <c r="AF681" s="1477"/>
      <c r="AG681" s="1477"/>
      <c r="AH681" s="1477"/>
      <c r="AI681" s="1477"/>
      <c r="AJ681" s="1477"/>
      <c r="AK681" s="1477"/>
      <c r="AL681" s="1477"/>
      <c r="AM681" s="1477"/>
      <c r="AN681" s="1477"/>
      <c r="AO681" s="284"/>
      <c r="AP681" s="1477"/>
      <c r="AQ681" s="1477"/>
      <c r="AR681" s="1477"/>
      <c r="AS681" s="1477"/>
      <c r="AT681" s="1477"/>
      <c r="AU681" s="1477"/>
      <c r="AV681" s="1477"/>
      <c r="AW681" s="1477"/>
      <c r="AX681" s="1477"/>
      <c r="AY681" s="1477"/>
      <c r="AZ681" s="1477"/>
      <c r="BA681" s="1477"/>
      <c r="BB681" s="1477"/>
      <c r="BC681" s="1477"/>
      <c r="BD681" s="1477"/>
      <c r="BE681" s="1477"/>
      <c r="BF681" s="1477"/>
      <c r="BG681" s="1477"/>
      <c r="BH681" s="1477"/>
      <c r="BI681" s="1477"/>
      <c r="BJ681" s="1477"/>
      <c r="BK681" s="1477"/>
      <c r="BL681" s="1477"/>
      <c r="BM681" s="1477"/>
      <c r="BN681" s="1477"/>
      <c r="BO681" s="1477"/>
      <c r="BP681" s="1477"/>
      <c r="BQ681" s="1477"/>
      <c r="BR681" s="1477"/>
      <c r="BS681" s="1477"/>
      <c r="BT681" s="1477"/>
      <c r="BU681" s="1477"/>
      <c r="BV681" s="1477"/>
      <c r="BW681" s="1477"/>
      <c r="BX681" s="1477"/>
      <c r="BY681" s="1477"/>
      <c r="BZ681" s="1477"/>
      <c r="CA681" s="1477"/>
      <c r="CB681" s="1477"/>
      <c r="CC681" s="1477"/>
      <c r="CD681" s="1477"/>
      <c r="CE681" s="1477"/>
      <c r="CF681" s="1477"/>
      <c r="CG681" s="1477"/>
      <c r="CH681" s="1477"/>
    </row>
    <row r="682" spans="2:86">
      <c r="B682" s="1477"/>
      <c r="C682" s="1477"/>
      <c r="D682" s="1477"/>
      <c r="E682" s="1477"/>
      <c r="F682" s="1477"/>
      <c r="G682" s="1477"/>
      <c r="H682" s="1477"/>
      <c r="I682" s="1477"/>
      <c r="J682" s="1477"/>
      <c r="K682" s="1477"/>
      <c r="L682" s="1477"/>
      <c r="M682" s="1477"/>
      <c r="N682" s="1477"/>
      <c r="O682" s="1477"/>
      <c r="P682" s="1477"/>
      <c r="Q682" s="1477"/>
      <c r="R682" s="1477"/>
      <c r="S682" s="1477"/>
      <c r="T682" s="1477"/>
      <c r="U682" s="1477"/>
      <c r="V682" s="1477"/>
      <c r="W682" s="1477"/>
      <c r="X682" s="1477"/>
      <c r="Y682" s="1477"/>
      <c r="Z682" s="1477"/>
      <c r="AA682" s="1477"/>
      <c r="AB682" s="1477"/>
      <c r="AC682" s="1477"/>
      <c r="AD682" s="1477"/>
      <c r="AE682" s="1477"/>
      <c r="AF682" s="1477"/>
      <c r="AG682" s="1477"/>
      <c r="AH682" s="1477"/>
      <c r="AI682" s="1477"/>
      <c r="AJ682" s="1477"/>
      <c r="AK682" s="1477"/>
      <c r="AL682" s="1477"/>
      <c r="AM682" s="1477"/>
      <c r="AN682" s="1477"/>
      <c r="AO682" s="284"/>
      <c r="AP682" s="1477"/>
      <c r="AQ682" s="1477"/>
      <c r="AR682" s="1477"/>
      <c r="AS682" s="1477"/>
      <c r="AT682" s="1477"/>
      <c r="AU682" s="1477"/>
      <c r="AV682" s="1477"/>
      <c r="AW682" s="1477"/>
      <c r="AX682" s="1477"/>
      <c r="AY682" s="1477"/>
      <c r="AZ682" s="1477"/>
      <c r="BA682" s="1477"/>
      <c r="BB682" s="1477"/>
      <c r="BC682" s="1477"/>
      <c r="BD682" s="1477"/>
      <c r="BE682" s="1477"/>
      <c r="BF682" s="1477"/>
      <c r="BG682" s="1477"/>
      <c r="BH682" s="1477"/>
      <c r="BI682" s="1477"/>
      <c r="BJ682" s="1477"/>
      <c r="BK682" s="1477"/>
      <c r="BL682" s="1477"/>
      <c r="BM682" s="1477"/>
      <c r="BN682" s="1477"/>
      <c r="BO682" s="1477"/>
      <c r="BP682" s="1477"/>
      <c r="BQ682" s="1477"/>
      <c r="BR682" s="1477"/>
      <c r="BS682" s="1477"/>
      <c r="BT682" s="1477"/>
      <c r="BU682" s="1477"/>
      <c r="BV682" s="1477"/>
      <c r="BW682" s="1477"/>
      <c r="BX682" s="1477"/>
      <c r="BY682" s="1477"/>
      <c r="BZ682" s="1477"/>
      <c r="CA682" s="1477"/>
      <c r="CB682" s="1477"/>
      <c r="CC682" s="1477"/>
      <c r="CD682" s="1477"/>
      <c r="CE682" s="1477"/>
      <c r="CF682" s="1477"/>
      <c r="CG682" s="1477"/>
      <c r="CH682" s="1477"/>
    </row>
    <row r="683" spans="2:86">
      <c r="B683" s="1477"/>
      <c r="C683" s="1477"/>
      <c r="D683" s="1477"/>
      <c r="E683" s="1477"/>
      <c r="F683" s="1477"/>
      <c r="G683" s="1477"/>
      <c r="H683" s="1477"/>
      <c r="I683" s="1477"/>
      <c r="J683" s="1477"/>
      <c r="K683" s="1477"/>
      <c r="L683" s="1477"/>
      <c r="M683" s="1477"/>
      <c r="N683" s="1477"/>
      <c r="O683" s="1477"/>
      <c r="P683" s="1477"/>
      <c r="Q683" s="1477"/>
      <c r="R683" s="1477"/>
      <c r="S683" s="1477"/>
      <c r="T683" s="1477"/>
      <c r="U683" s="1477"/>
      <c r="V683" s="1477"/>
      <c r="W683" s="1477"/>
      <c r="X683" s="1477"/>
      <c r="Y683" s="1477"/>
      <c r="Z683" s="1477"/>
      <c r="AA683" s="1477"/>
      <c r="AB683" s="1477"/>
      <c r="AC683" s="1477"/>
      <c r="AD683" s="1477"/>
      <c r="AE683" s="1477"/>
      <c r="AF683" s="1477"/>
      <c r="AG683" s="1477"/>
      <c r="AH683" s="1477"/>
      <c r="AI683" s="1477"/>
      <c r="AJ683" s="1477"/>
      <c r="AK683" s="1477"/>
      <c r="AL683" s="1477"/>
      <c r="AM683" s="1477"/>
      <c r="AN683" s="1477"/>
      <c r="AO683" s="284"/>
      <c r="AP683" s="1477"/>
      <c r="AQ683" s="1477"/>
      <c r="AR683" s="1477"/>
      <c r="AS683" s="1477"/>
      <c r="AT683" s="1477"/>
      <c r="AU683" s="1477"/>
      <c r="AV683" s="1477"/>
      <c r="AW683" s="1477"/>
      <c r="AX683" s="1477"/>
      <c r="AY683" s="1477"/>
      <c r="AZ683" s="1477"/>
      <c r="BA683" s="1477"/>
      <c r="BB683" s="1477"/>
      <c r="BC683" s="1477"/>
      <c r="BD683" s="1477"/>
      <c r="BE683" s="1477"/>
      <c r="BF683" s="1477"/>
      <c r="BG683" s="1477"/>
      <c r="BH683" s="1477"/>
      <c r="BI683" s="1477"/>
      <c r="BJ683" s="1477"/>
      <c r="BK683" s="1477"/>
      <c r="BL683" s="1477"/>
      <c r="BM683" s="1477"/>
      <c r="BN683" s="1477"/>
      <c r="BO683" s="1477"/>
      <c r="BP683" s="1477"/>
      <c r="BQ683" s="1477"/>
      <c r="BR683" s="1477"/>
      <c r="BS683" s="1477"/>
      <c r="BT683" s="1477"/>
      <c r="BU683" s="1477"/>
      <c r="BV683" s="1477"/>
      <c r="BW683" s="1477"/>
      <c r="BX683" s="1477"/>
      <c r="BY683" s="1477"/>
      <c r="BZ683" s="1477"/>
      <c r="CA683" s="1477"/>
      <c r="CB683" s="1477"/>
      <c r="CC683" s="1477"/>
      <c r="CD683" s="1477"/>
      <c r="CE683" s="1477"/>
      <c r="CF683" s="1477"/>
      <c r="CG683" s="1477"/>
      <c r="CH683" s="1477"/>
    </row>
    <row r="684" spans="2:86">
      <c r="B684" s="1477"/>
      <c r="C684" s="1477"/>
      <c r="D684" s="1477"/>
      <c r="E684" s="1477"/>
      <c r="F684" s="1477"/>
      <c r="G684" s="1477"/>
      <c r="H684" s="1477"/>
      <c r="I684" s="1477"/>
      <c r="J684" s="1477"/>
      <c r="K684" s="1477"/>
      <c r="L684" s="1477"/>
      <c r="M684" s="1477"/>
      <c r="N684" s="1477"/>
      <c r="O684" s="1477"/>
      <c r="P684" s="1477"/>
      <c r="Q684" s="1477"/>
      <c r="R684" s="1477"/>
      <c r="S684" s="1477"/>
      <c r="T684" s="1477"/>
      <c r="U684" s="1477"/>
      <c r="V684" s="1477"/>
      <c r="W684" s="1477"/>
      <c r="X684" s="1477"/>
      <c r="Y684" s="1477"/>
      <c r="Z684" s="1477"/>
      <c r="AA684" s="1477"/>
      <c r="AB684" s="1477"/>
      <c r="AC684" s="1477"/>
      <c r="AD684" s="1477"/>
      <c r="AE684" s="1477"/>
      <c r="AF684" s="1477"/>
      <c r="AG684" s="1477"/>
      <c r="AH684" s="1477"/>
      <c r="AI684" s="1477"/>
      <c r="AJ684" s="1477"/>
      <c r="AK684" s="1477"/>
      <c r="AL684" s="1477"/>
      <c r="AM684" s="1477"/>
      <c r="AN684" s="1477"/>
      <c r="AO684" s="284"/>
      <c r="AP684" s="1477"/>
      <c r="AQ684" s="1477"/>
      <c r="AR684" s="1477"/>
      <c r="AS684" s="1477"/>
      <c r="AT684" s="1477"/>
      <c r="AU684" s="1477"/>
      <c r="AV684" s="1477"/>
      <c r="AW684" s="1477"/>
      <c r="AX684" s="1477"/>
      <c r="AY684" s="1477"/>
      <c r="AZ684" s="1477"/>
      <c r="BA684" s="1477"/>
      <c r="BB684" s="1477"/>
      <c r="BC684" s="1477"/>
      <c r="BD684" s="1477"/>
      <c r="BE684" s="1477"/>
      <c r="BF684" s="1477"/>
      <c r="BG684" s="1477"/>
      <c r="BH684" s="1477"/>
      <c r="BI684" s="1477"/>
      <c r="BJ684" s="1477"/>
      <c r="BK684" s="1477"/>
      <c r="BL684" s="1477"/>
      <c r="BM684" s="1477"/>
      <c r="BN684" s="1477"/>
      <c r="BO684" s="1477"/>
      <c r="BP684" s="1477"/>
      <c r="BQ684" s="1477"/>
      <c r="BR684" s="1477"/>
      <c r="BS684" s="1477"/>
      <c r="BT684" s="1477"/>
      <c r="BU684" s="1477"/>
      <c r="BV684" s="1477"/>
      <c r="BW684" s="1477"/>
      <c r="BX684" s="1477"/>
      <c r="BY684" s="1477"/>
      <c r="BZ684" s="1477"/>
      <c r="CA684" s="1477"/>
      <c r="CB684" s="1477"/>
      <c r="CC684" s="1477"/>
      <c r="CD684" s="1477"/>
      <c r="CE684" s="1477"/>
      <c r="CF684" s="1477"/>
      <c r="CG684" s="1477"/>
      <c r="CH684" s="1477"/>
    </row>
    <row r="685" spans="2:86">
      <c r="B685" s="1477"/>
      <c r="C685" s="1477"/>
      <c r="D685" s="1477"/>
      <c r="E685" s="1477"/>
      <c r="F685" s="1477"/>
      <c r="G685" s="1477"/>
      <c r="H685" s="1477"/>
      <c r="I685" s="1477"/>
      <c r="J685" s="1477"/>
      <c r="K685" s="1477"/>
      <c r="L685" s="1477"/>
      <c r="M685" s="1477"/>
      <c r="N685" s="1477"/>
      <c r="O685" s="1477"/>
      <c r="P685" s="1477"/>
      <c r="Q685" s="1477"/>
      <c r="R685" s="1477"/>
      <c r="S685" s="1477"/>
      <c r="T685" s="1477"/>
      <c r="U685" s="1477"/>
      <c r="V685" s="1477"/>
      <c r="W685" s="1477"/>
      <c r="X685" s="1477"/>
      <c r="Y685" s="1477"/>
      <c r="Z685" s="1477"/>
      <c r="AA685" s="1477"/>
      <c r="AB685" s="1477"/>
      <c r="AC685" s="1477"/>
      <c r="AD685" s="1477"/>
      <c r="AE685" s="1477"/>
      <c r="AF685" s="1477"/>
      <c r="AG685" s="1477"/>
      <c r="AH685" s="1477"/>
      <c r="AI685" s="1477"/>
      <c r="AJ685" s="1477"/>
      <c r="AK685" s="1477"/>
      <c r="AL685" s="1477"/>
      <c r="AM685" s="1477"/>
      <c r="AN685" s="1477"/>
      <c r="AO685" s="284"/>
      <c r="AP685" s="1477"/>
      <c r="AQ685" s="1477"/>
      <c r="AR685" s="1477"/>
      <c r="AS685" s="1477"/>
      <c r="AT685" s="1477"/>
      <c r="AU685" s="1477"/>
      <c r="AV685" s="1477"/>
      <c r="AW685" s="1477"/>
      <c r="AX685" s="1477"/>
      <c r="AY685" s="1477"/>
      <c r="AZ685" s="1477"/>
      <c r="BA685" s="1477"/>
      <c r="BB685" s="1477"/>
      <c r="BC685" s="1477"/>
      <c r="BD685" s="1477"/>
      <c r="BE685" s="1477"/>
      <c r="BF685" s="1477"/>
      <c r="BG685" s="1477"/>
      <c r="BH685" s="1477"/>
      <c r="BI685" s="1477"/>
      <c r="BJ685" s="1477"/>
      <c r="BK685" s="1477"/>
      <c r="BL685" s="1477"/>
      <c r="BM685" s="1477"/>
      <c r="BN685" s="1477"/>
      <c r="BO685" s="1477"/>
      <c r="BP685" s="1477"/>
      <c r="BQ685" s="1477"/>
      <c r="BR685" s="1477"/>
      <c r="BS685" s="1477"/>
      <c r="BT685" s="1477"/>
      <c r="BU685" s="1477"/>
      <c r="BV685" s="1477"/>
      <c r="BW685" s="1477"/>
      <c r="BX685" s="1477"/>
      <c r="BY685" s="1477"/>
      <c r="BZ685" s="1477"/>
      <c r="CA685" s="1477"/>
      <c r="CB685" s="1477"/>
      <c r="CC685" s="1477"/>
      <c r="CD685" s="1477"/>
      <c r="CE685" s="1477"/>
      <c r="CF685" s="1477"/>
      <c r="CG685" s="1477"/>
      <c r="CH685" s="1477"/>
    </row>
    <row r="686" spans="2:86">
      <c r="B686" s="1477"/>
      <c r="C686" s="1477"/>
      <c r="D686" s="1477"/>
      <c r="E686" s="1477"/>
      <c r="F686" s="1477"/>
      <c r="G686" s="1477"/>
      <c r="H686" s="1477"/>
      <c r="I686" s="1477"/>
      <c r="J686" s="1477"/>
      <c r="K686" s="1477"/>
      <c r="L686" s="1477"/>
      <c r="M686" s="1477"/>
      <c r="N686" s="1477"/>
      <c r="O686" s="1477"/>
      <c r="P686" s="1477"/>
      <c r="Q686" s="1477"/>
      <c r="R686" s="1477"/>
      <c r="S686" s="1477"/>
      <c r="T686" s="1477"/>
      <c r="U686" s="1477"/>
      <c r="V686" s="1477"/>
      <c r="W686" s="1477"/>
      <c r="X686" s="1477"/>
      <c r="Y686" s="1477"/>
      <c r="Z686" s="1477"/>
      <c r="AA686" s="1477"/>
      <c r="AB686" s="1477"/>
      <c r="AC686" s="1477"/>
      <c r="AD686" s="1477"/>
      <c r="AE686" s="1477"/>
      <c r="AF686" s="1477"/>
      <c r="AG686" s="1477"/>
      <c r="AH686" s="1477"/>
      <c r="AI686" s="1477"/>
      <c r="AJ686" s="1477"/>
      <c r="AK686" s="1477"/>
      <c r="AL686" s="1477"/>
      <c r="AM686" s="1477"/>
      <c r="AN686" s="1477"/>
      <c r="AO686" s="284"/>
      <c r="AP686" s="1477"/>
      <c r="AQ686" s="1477"/>
      <c r="AR686" s="1477"/>
      <c r="AS686" s="1477"/>
      <c r="AT686" s="1477"/>
      <c r="AU686" s="1477"/>
      <c r="AV686" s="1477"/>
      <c r="AW686" s="1477"/>
      <c r="AX686" s="1477"/>
      <c r="AY686" s="1477"/>
      <c r="AZ686" s="1477"/>
      <c r="BA686" s="1477"/>
      <c r="BB686" s="1477"/>
      <c r="BC686" s="1477"/>
      <c r="BD686" s="1477"/>
      <c r="BE686" s="1477"/>
      <c r="BF686" s="1477"/>
      <c r="BG686" s="1477"/>
      <c r="BH686" s="1477"/>
      <c r="BI686" s="1477"/>
      <c r="BJ686" s="1477"/>
      <c r="BK686" s="1477"/>
      <c r="BL686" s="1477"/>
      <c r="BM686" s="1477"/>
      <c r="BN686" s="1477"/>
      <c r="BO686" s="1477"/>
      <c r="BP686" s="1477"/>
      <c r="BQ686" s="1477"/>
      <c r="BR686" s="1477"/>
      <c r="BS686" s="1477"/>
      <c r="BT686" s="1477"/>
      <c r="BU686" s="1477"/>
      <c r="BV686" s="1477"/>
      <c r="BW686" s="1477"/>
      <c r="BX686" s="1477"/>
      <c r="BY686" s="1477"/>
      <c r="BZ686" s="1477"/>
      <c r="CA686" s="1477"/>
      <c r="CB686" s="1477"/>
      <c r="CC686" s="1477"/>
      <c r="CD686" s="1477"/>
      <c r="CE686" s="1477"/>
      <c r="CF686" s="1477"/>
      <c r="CG686" s="1477"/>
      <c r="CH686" s="1477"/>
    </row>
    <row r="687" spans="2:86">
      <c r="B687" s="1477"/>
      <c r="C687" s="1477"/>
      <c r="D687" s="1477"/>
      <c r="E687" s="1477"/>
      <c r="F687" s="1477"/>
      <c r="G687" s="1477"/>
      <c r="H687" s="1477"/>
      <c r="I687" s="1477"/>
      <c r="J687" s="1477"/>
      <c r="K687" s="1477"/>
      <c r="L687" s="1477"/>
      <c r="M687" s="1477"/>
      <c r="N687" s="1477"/>
      <c r="O687" s="1477"/>
      <c r="P687" s="1477"/>
      <c r="Q687" s="1477"/>
      <c r="R687" s="1477"/>
      <c r="S687" s="1477"/>
      <c r="T687" s="1477"/>
      <c r="U687" s="1477"/>
      <c r="V687" s="1477"/>
      <c r="W687" s="1477"/>
      <c r="X687" s="1477"/>
      <c r="Y687" s="1477"/>
      <c r="Z687" s="1477"/>
      <c r="AA687" s="1477"/>
      <c r="AB687" s="1477"/>
      <c r="AC687" s="1477"/>
      <c r="AD687" s="1477"/>
      <c r="AE687" s="1477"/>
      <c r="AF687" s="1477"/>
      <c r="AG687" s="1477"/>
      <c r="AH687" s="1477"/>
      <c r="AI687" s="1477"/>
      <c r="AJ687" s="1477"/>
      <c r="AK687" s="1477"/>
      <c r="AL687" s="1477"/>
      <c r="AM687" s="1477"/>
      <c r="AN687" s="1477"/>
      <c r="AO687" s="284"/>
      <c r="AP687" s="1477"/>
      <c r="AQ687" s="1477"/>
      <c r="AR687" s="1477"/>
      <c r="AS687" s="1477"/>
      <c r="AT687" s="1477"/>
      <c r="AU687" s="1477"/>
      <c r="AV687" s="1477"/>
      <c r="AW687" s="1477"/>
      <c r="AX687" s="1477"/>
      <c r="AY687" s="1477"/>
      <c r="AZ687" s="1477"/>
      <c r="BA687" s="1477"/>
      <c r="BB687" s="1477"/>
      <c r="BC687" s="1477"/>
      <c r="BD687" s="1477"/>
      <c r="BE687" s="1477"/>
      <c r="BF687" s="1477"/>
      <c r="BG687" s="1477"/>
      <c r="BH687" s="1477"/>
      <c r="BI687" s="1477"/>
      <c r="BJ687" s="1477"/>
      <c r="BK687" s="1477"/>
      <c r="BL687" s="1477"/>
      <c r="BM687" s="1477"/>
      <c r="BN687" s="1477"/>
      <c r="BO687" s="1477"/>
      <c r="BP687" s="1477"/>
      <c r="BQ687" s="1477"/>
      <c r="BR687" s="1477"/>
      <c r="BS687" s="1477"/>
      <c r="BT687" s="1477"/>
      <c r="BU687" s="1477"/>
      <c r="BV687" s="1477"/>
      <c r="BW687" s="1477"/>
      <c r="BX687" s="1477"/>
      <c r="BY687" s="1477"/>
      <c r="BZ687" s="1477"/>
      <c r="CA687" s="1477"/>
      <c r="CB687" s="1477"/>
      <c r="CC687" s="1477"/>
      <c r="CD687" s="1477"/>
      <c r="CE687" s="1477"/>
      <c r="CF687" s="1477"/>
      <c r="CG687" s="1477"/>
      <c r="CH687" s="1477"/>
    </row>
    <row r="688" spans="2:86">
      <c r="B688" s="1477"/>
      <c r="C688" s="1477"/>
      <c r="D688" s="1477"/>
      <c r="E688" s="1477"/>
      <c r="F688" s="1477"/>
      <c r="G688" s="1477"/>
      <c r="H688" s="1477"/>
      <c r="I688" s="1477"/>
      <c r="J688" s="1477"/>
      <c r="K688" s="1477"/>
      <c r="L688" s="1477"/>
      <c r="M688" s="1477"/>
      <c r="N688" s="1477"/>
      <c r="O688" s="1477"/>
      <c r="P688" s="1477"/>
      <c r="Q688" s="1477"/>
      <c r="R688" s="1477"/>
      <c r="S688" s="1477"/>
      <c r="T688" s="1477"/>
      <c r="U688" s="1477"/>
      <c r="V688" s="1477"/>
      <c r="W688" s="1477"/>
      <c r="X688" s="1477"/>
      <c r="Y688" s="1477"/>
      <c r="Z688" s="1477"/>
      <c r="AA688" s="1477"/>
      <c r="AB688" s="1477"/>
      <c r="AC688" s="1477"/>
      <c r="AD688" s="1477"/>
      <c r="AE688" s="1477"/>
      <c r="AF688" s="1477"/>
      <c r="AG688" s="1477"/>
      <c r="AH688" s="1477"/>
      <c r="AI688" s="1477"/>
      <c r="AJ688" s="1477"/>
      <c r="AK688" s="1477"/>
      <c r="AL688" s="1477"/>
      <c r="AM688" s="1477"/>
      <c r="AN688" s="1477"/>
      <c r="AO688" s="284"/>
      <c r="AP688" s="1477"/>
      <c r="AQ688" s="1477"/>
      <c r="AR688" s="1477"/>
      <c r="AS688" s="1477"/>
      <c r="AT688" s="1477"/>
      <c r="AU688" s="1477"/>
      <c r="AV688" s="1477"/>
      <c r="AW688" s="1477"/>
      <c r="AX688" s="1477"/>
      <c r="AY688" s="1477"/>
      <c r="AZ688" s="1477"/>
      <c r="BA688" s="1477"/>
      <c r="BB688" s="1477"/>
      <c r="BC688" s="1477"/>
      <c r="BD688" s="1477"/>
      <c r="BE688" s="1477"/>
      <c r="BF688" s="1477"/>
      <c r="BG688" s="1477"/>
      <c r="BH688" s="1477"/>
      <c r="BI688" s="1477"/>
      <c r="BJ688" s="1477"/>
      <c r="BK688" s="1477"/>
      <c r="BL688" s="1477"/>
      <c r="BM688" s="1477"/>
      <c r="BN688" s="1477"/>
      <c r="BO688" s="1477"/>
      <c r="BP688" s="1477"/>
      <c r="BQ688" s="1477"/>
      <c r="BR688" s="1477"/>
      <c r="BS688" s="1477"/>
      <c r="BT688" s="1477"/>
      <c r="BU688" s="1477"/>
      <c r="BV688" s="1477"/>
      <c r="BW688" s="1477"/>
      <c r="BX688" s="1477"/>
      <c r="BY688" s="1477"/>
      <c r="BZ688" s="1477"/>
      <c r="CA688" s="1477"/>
      <c r="CB688" s="1477"/>
      <c r="CC688" s="1477"/>
      <c r="CD688" s="1477"/>
      <c r="CE688" s="1477"/>
      <c r="CF688" s="1477"/>
      <c r="CG688" s="1477"/>
      <c r="CH688" s="1477"/>
    </row>
    <row r="689" spans="2:86">
      <c r="B689" s="1477"/>
      <c r="C689" s="1477"/>
      <c r="D689" s="1477"/>
      <c r="E689" s="1477"/>
      <c r="F689" s="1477"/>
      <c r="G689" s="1477"/>
      <c r="H689" s="1477"/>
      <c r="I689" s="1477"/>
      <c r="J689" s="1477"/>
      <c r="K689" s="1477"/>
      <c r="L689" s="1477"/>
      <c r="M689" s="1477"/>
      <c r="N689" s="1477"/>
      <c r="O689" s="1477"/>
      <c r="P689" s="1477"/>
      <c r="Q689" s="1477"/>
      <c r="R689" s="1477"/>
      <c r="S689" s="1477"/>
      <c r="T689" s="1477"/>
      <c r="U689" s="1477"/>
      <c r="V689" s="1477"/>
      <c r="W689" s="1477"/>
      <c r="X689" s="1477"/>
      <c r="Y689" s="1477"/>
      <c r="Z689" s="1477"/>
      <c r="AA689" s="1477"/>
      <c r="AB689" s="1477"/>
      <c r="AC689" s="1477"/>
      <c r="AD689" s="1477"/>
      <c r="AE689" s="1477"/>
      <c r="AF689" s="1477"/>
      <c r="AG689" s="1477"/>
      <c r="AH689" s="1477"/>
      <c r="AI689" s="1477"/>
      <c r="AJ689" s="1477"/>
      <c r="AK689" s="1477"/>
      <c r="AL689" s="1477"/>
      <c r="AM689" s="1477"/>
      <c r="AN689" s="1477"/>
      <c r="AO689" s="284"/>
      <c r="AP689" s="1477"/>
      <c r="AQ689" s="1477"/>
      <c r="AR689" s="1477"/>
      <c r="AS689" s="1477"/>
      <c r="AT689" s="1477"/>
      <c r="AU689" s="1477"/>
      <c r="AV689" s="1477"/>
      <c r="AW689" s="1477"/>
      <c r="AX689" s="1477"/>
      <c r="AY689" s="1477"/>
      <c r="AZ689" s="1477"/>
      <c r="BA689" s="1477"/>
      <c r="BB689" s="1477"/>
      <c r="BC689" s="1477"/>
      <c r="BD689" s="1477"/>
      <c r="BE689" s="1477"/>
      <c r="BF689" s="1477"/>
      <c r="BG689" s="1477"/>
      <c r="BH689" s="1477"/>
      <c r="BI689" s="1477"/>
      <c r="BJ689" s="1477"/>
      <c r="BK689" s="1477"/>
      <c r="BL689" s="1477"/>
      <c r="BM689" s="1477"/>
      <c r="BN689" s="1477"/>
      <c r="BO689" s="1477"/>
      <c r="BP689" s="1477"/>
      <c r="BQ689" s="1477"/>
      <c r="BR689" s="1477"/>
      <c r="BS689" s="1477"/>
      <c r="BT689" s="1477"/>
      <c r="BU689" s="1477"/>
      <c r="BV689" s="1477"/>
      <c r="BW689" s="1477"/>
      <c r="BX689" s="1477"/>
      <c r="BY689" s="1477"/>
      <c r="BZ689" s="1477"/>
      <c r="CA689" s="1477"/>
      <c r="CB689" s="1477"/>
      <c r="CC689" s="1477"/>
      <c r="CD689" s="1477"/>
      <c r="CE689" s="1477"/>
      <c r="CF689" s="1477"/>
      <c r="CG689" s="1477"/>
      <c r="CH689" s="1477"/>
    </row>
    <row r="690" spans="2:86">
      <c r="B690" s="1477"/>
      <c r="C690" s="1477"/>
      <c r="D690" s="1477"/>
      <c r="E690" s="1477"/>
      <c r="F690" s="1477"/>
      <c r="G690" s="1477"/>
      <c r="H690" s="1477"/>
      <c r="I690" s="1477"/>
      <c r="J690" s="1477"/>
      <c r="K690" s="1477"/>
      <c r="L690" s="1477"/>
      <c r="M690" s="1477"/>
      <c r="N690" s="1477"/>
      <c r="O690" s="1477"/>
      <c r="P690" s="1477"/>
      <c r="Q690" s="1477"/>
      <c r="R690" s="1477"/>
      <c r="S690" s="1477"/>
      <c r="T690" s="1477"/>
      <c r="U690" s="1477"/>
      <c r="V690" s="1477"/>
      <c r="W690" s="1477"/>
      <c r="X690" s="1477"/>
      <c r="Y690" s="1477"/>
      <c r="Z690" s="1477"/>
      <c r="AA690" s="1477"/>
      <c r="AB690" s="1477"/>
      <c r="AC690" s="1477"/>
      <c r="AD690" s="1477"/>
      <c r="AE690" s="1477"/>
      <c r="AF690" s="1477"/>
      <c r="AG690" s="1477"/>
      <c r="AH690" s="1477"/>
      <c r="AI690" s="1477"/>
      <c r="AJ690" s="1477"/>
      <c r="AK690" s="1477"/>
      <c r="AL690" s="1477"/>
      <c r="AM690" s="1477"/>
      <c r="AN690" s="1477"/>
      <c r="AO690" s="284"/>
      <c r="AP690" s="1477"/>
      <c r="AQ690" s="1477"/>
      <c r="AR690" s="1477"/>
      <c r="AS690" s="1477"/>
      <c r="AT690" s="1477"/>
      <c r="AU690" s="1477"/>
      <c r="AV690" s="1477"/>
      <c r="AW690" s="1477"/>
      <c r="AX690" s="1477"/>
      <c r="AY690" s="1477"/>
      <c r="AZ690" s="1477"/>
      <c r="BA690" s="1477"/>
      <c r="BB690" s="1477"/>
      <c r="BC690" s="1477"/>
      <c r="BD690" s="1477"/>
      <c r="BE690" s="1477"/>
      <c r="BF690" s="1477"/>
      <c r="BG690" s="1477"/>
      <c r="BH690" s="1477"/>
      <c r="BI690" s="1477"/>
      <c r="BJ690" s="1477"/>
      <c r="BK690" s="1477"/>
      <c r="BL690" s="1477"/>
      <c r="BM690" s="1477"/>
      <c r="BN690" s="1477"/>
      <c r="BO690" s="1477"/>
      <c r="BP690" s="1477"/>
      <c r="BQ690" s="1477"/>
      <c r="BR690" s="1477"/>
      <c r="BS690" s="1477"/>
      <c r="BT690" s="1477"/>
      <c r="BU690" s="1477"/>
      <c r="BV690" s="1477"/>
      <c r="BW690" s="1477"/>
      <c r="BX690" s="1477"/>
      <c r="BY690" s="1477"/>
      <c r="BZ690" s="1477"/>
      <c r="CA690" s="1477"/>
      <c r="CB690" s="1477"/>
      <c r="CC690" s="1477"/>
      <c r="CD690" s="1477"/>
      <c r="CE690" s="1477"/>
      <c r="CF690" s="1477"/>
      <c r="CG690" s="1477"/>
      <c r="CH690" s="1477"/>
    </row>
    <row r="691" spans="2:86">
      <c r="B691" s="1477"/>
      <c r="C691" s="1477"/>
      <c r="D691" s="1477"/>
      <c r="E691" s="1477"/>
      <c r="F691" s="1477"/>
      <c r="G691" s="1477"/>
      <c r="H691" s="1477"/>
      <c r="I691" s="1477"/>
      <c r="J691" s="1477"/>
      <c r="K691" s="1477"/>
      <c r="L691" s="1477"/>
      <c r="M691" s="1477"/>
      <c r="N691" s="1477"/>
      <c r="O691" s="1477"/>
      <c r="P691" s="1477"/>
      <c r="Q691" s="1477"/>
      <c r="R691" s="1477"/>
      <c r="S691" s="1477"/>
      <c r="T691" s="1477"/>
      <c r="U691" s="1477"/>
      <c r="V691" s="1477"/>
      <c r="W691" s="1477"/>
      <c r="X691" s="1477"/>
      <c r="Y691" s="1477"/>
      <c r="Z691" s="1477"/>
      <c r="AA691" s="1477"/>
      <c r="AB691" s="1477"/>
      <c r="AC691" s="1477"/>
      <c r="AD691" s="1477"/>
      <c r="AE691" s="1477"/>
      <c r="AF691" s="1477"/>
      <c r="AG691" s="1477"/>
      <c r="AH691" s="1477"/>
      <c r="AI691" s="1477"/>
      <c r="AJ691" s="1477"/>
      <c r="AK691" s="1477"/>
      <c r="AL691" s="1477"/>
      <c r="AM691" s="1477"/>
      <c r="AN691" s="1477"/>
      <c r="AO691" s="284"/>
      <c r="AP691" s="1477"/>
      <c r="AQ691" s="1477"/>
      <c r="AR691" s="1477"/>
      <c r="AS691" s="1477"/>
      <c r="AT691" s="1477"/>
      <c r="AU691" s="1477"/>
      <c r="AV691" s="1477"/>
      <c r="AW691" s="1477"/>
      <c r="AX691" s="1477"/>
      <c r="AY691" s="1477"/>
      <c r="AZ691" s="1477"/>
      <c r="BA691" s="1477"/>
      <c r="BB691" s="1477"/>
      <c r="BC691" s="1477"/>
      <c r="BD691" s="1477"/>
      <c r="BE691" s="1477"/>
      <c r="BF691" s="1477"/>
      <c r="BG691" s="1477"/>
      <c r="BH691" s="1477"/>
      <c r="BI691" s="1477"/>
      <c r="BJ691" s="1477"/>
      <c r="BK691" s="1477"/>
      <c r="BL691" s="1477"/>
      <c r="BM691" s="1477"/>
      <c r="BN691" s="1477"/>
      <c r="BO691" s="1477"/>
      <c r="BP691" s="1477"/>
      <c r="BQ691" s="1477"/>
      <c r="BR691" s="1477"/>
      <c r="BS691" s="1477"/>
      <c r="BT691" s="1477"/>
      <c r="BU691" s="1477"/>
      <c r="BV691" s="1477"/>
      <c r="BW691" s="1477"/>
      <c r="BX691" s="1477"/>
      <c r="BY691" s="1477"/>
      <c r="BZ691" s="1477"/>
      <c r="CA691" s="1477"/>
      <c r="CB691" s="1477"/>
      <c r="CC691" s="1477"/>
      <c r="CD691" s="1477"/>
      <c r="CE691" s="1477"/>
      <c r="CF691" s="1477"/>
      <c r="CG691" s="1477"/>
      <c r="CH691" s="1477"/>
    </row>
    <row r="692" spans="2:86">
      <c r="B692" s="1477"/>
      <c r="C692" s="1477"/>
      <c r="D692" s="1477"/>
      <c r="E692" s="1477"/>
      <c r="F692" s="1477"/>
      <c r="G692" s="1477"/>
      <c r="H692" s="1477"/>
      <c r="I692" s="1477"/>
      <c r="J692" s="1477"/>
      <c r="K692" s="1477"/>
      <c r="L692" s="1477"/>
      <c r="M692" s="1477"/>
      <c r="N692" s="1477"/>
      <c r="O692" s="1477"/>
      <c r="P692" s="1477"/>
      <c r="Q692" s="1477"/>
      <c r="R692" s="1477"/>
      <c r="S692" s="1477"/>
      <c r="T692" s="1477"/>
      <c r="U692" s="1477"/>
      <c r="V692" s="1477"/>
      <c r="W692" s="1477"/>
      <c r="X692" s="1477"/>
      <c r="Y692" s="1477"/>
      <c r="Z692" s="1477"/>
      <c r="AA692" s="1477"/>
      <c r="AB692" s="1477"/>
      <c r="AC692" s="1477"/>
      <c r="AD692" s="1477"/>
      <c r="AE692" s="1477"/>
      <c r="AF692" s="1477"/>
      <c r="AG692" s="1477"/>
      <c r="AH692" s="1477"/>
      <c r="AI692" s="1477"/>
      <c r="AJ692" s="1477"/>
      <c r="AK692" s="1477"/>
      <c r="AL692" s="1477"/>
      <c r="AM692" s="1477"/>
      <c r="AN692" s="1477"/>
      <c r="AO692" s="284"/>
      <c r="AP692" s="1477"/>
      <c r="AQ692" s="1477"/>
      <c r="AR692" s="1477"/>
      <c r="AS692" s="1477"/>
      <c r="AT692" s="1477"/>
      <c r="AU692" s="1477"/>
      <c r="AV692" s="1477"/>
      <c r="AW692" s="1477"/>
      <c r="AX692" s="1477"/>
      <c r="AY692" s="1477"/>
      <c r="AZ692" s="1477"/>
      <c r="BA692" s="1477"/>
      <c r="BB692" s="1477"/>
      <c r="BC692" s="1477"/>
      <c r="BD692" s="1477"/>
      <c r="BE692" s="1477"/>
      <c r="BF692" s="1477"/>
      <c r="BG692" s="1477"/>
      <c r="BH692" s="1477"/>
      <c r="BI692" s="1477"/>
      <c r="BJ692" s="1477"/>
      <c r="BK692" s="1477"/>
      <c r="BL692" s="1477"/>
      <c r="BM692" s="1477"/>
      <c r="BN692" s="1477"/>
      <c r="BO692" s="1477"/>
      <c r="BP692" s="1477"/>
      <c r="BQ692" s="1477"/>
      <c r="BR692" s="1477"/>
      <c r="BS692" s="1477"/>
      <c r="BT692" s="1477"/>
      <c r="BU692" s="1477"/>
      <c r="BV692" s="1477"/>
      <c r="BW692" s="1477"/>
      <c r="BX692" s="1477"/>
      <c r="BY692" s="1477"/>
      <c r="BZ692" s="1477"/>
      <c r="CA692" s="1477"/>
      <c r="CB692" s="1477"/>
      <c r="CC692" s="1477"/>
      <c r="CD692" s="1477"/>
      <c r="CE692" s="1477"/>
      <c r="CF692" s="1477"/>
      <c r="CG692" s="1477"/>
      <c r="CH692" s="1477"/>
    </row>
    <row r="693" spans="2:86">
      <c r="B693" s="1477"/>
      <c r="C693" s="1477"/>
      <c r="D693" s="1477"/>
      <c r="E693" s="1477"/>
      <c r="F693" s="1477"/>
      <c r="G693" s="1477"/>
      <c r="H693" s="1477"/>
      <c r="I693" s="1477"/>
      <c r="J693" s="1477"/>
      <c r="K693" s="1477"/>
      <c r="L693" s="1477"/>
      <c r="M693" s="1477"/>
      <c r="N693" s="1477"/>
      <c r="O693" s="1477"/>
      <c r="P693" s="1477"/>
      <c r="Q693" s="1477"/>
      <c r="R693" s="1477"/>
      <c r="S693" s="1477"/>
      <c r="T693" s="1477"/>
      <c r="U693" s="1477"/>
      <c r="V693" s="1477"/>
      <c r="W693" s="1477"/>
      <c r="X693" s="1477"/>
      <c r="Y693" s="1477"/>
      <c r="Z693" s="1477"/>
      <c r="AA693" s="1477"/>
      <c r="AB693" s="1477"/>
      <c r="AC693" s="1477"/>
      <c r="AD693" s="1477"/>
      <c r="AE693" s="1477"/>
      <c r="AF693" s="1477"/>
      <c r="AG693" s="1477"/>
      <c r="AH693" s="1477"/>
      <c r="AI693" s="1477"/>
      <c r="AJ693" s="1477"/>
      <c r="AK693" s="1477"/>
      <c r="AL693" s="1477"/>
      <c r="AM693" s="1477"/>
      <c r="AN693" s="1477"/>
      <c r="AO693" s="284"/>
      <c r="AP693" s="1477"/>
      <c r="AQ693" s="1477"/>
      <c r="AR693" s="1477"/>
      <c r="AS693" s="1477"/>
      <c r="AT693" s="1477"/>
      <c r="AU693" s="1477"/>
      <c r="AV693" s="1477"/>
      <c r="AW693" s="1477"/>
      <c r="AX693" s="1477"/>
      <c r="AY693" s="1477"/>
      <c r="AZ693" s="1477"/>
      <c r="BA693" s="1477"/>
      <c r="BB693" s="1477"/>
      <c r="BC693" s="1477"/>
      <c r="BD693" s="1477"/>
      <c r="BE693" s="1477"/>
      <c r="BF693" s="1477"/>
      <c r="BG693" s="1477"/>
      <c r="BH693" s="1477"/>
      <c r="BI693" s="1477"/>
      <c r="BJ693" s="1477"/>
      <c r="BK693" s="1477"/>
      <c r="BL693" s="1477"/>
      <c r="BM693" s="1477"/>
      <c r="BN693" s="1477"/>
      <c r="BO693" s="1477"/>
      <c r="BP693" s="1477"/>
      <c r="BQ693" s="1477"/>
      <c r="BR693" s="1477"/>
      <c r="BS693" s="1477"/>
      <c r="BT693" s="1477"/>
      <c r="BU693" s="1477"/>
      <c r="BV693" s="1477"/>
      <c r="BW693" s="1477"/>
      <c r="BX693" s="1477"/>
      <c r="BY693" s="1477"/>
      <c r="BZ693" s="1477"/>
      <c r="CA693" s="1477"/>
      <c r="CB693" s="1477"/>
      <c r="CC693" s="1477"/>
      <c r="CD693" s="1477"/>
      <c r="CE693" s="1477"/>
      <c r="CF693" s="1477"/>
      <c r="CG693" s="1477"/>
      <c r="CH693" s="1477"/>
    </row>
    <row r="694" spans="2:86">
      <c r="B694" s="1477"/>
      <c r="C694" s="1477"/>
      <c r="D694" s="1477"/>
      <c r="E694" s="1477"/>
      <c r="F694" s="1477"/>
      <c r="G694" s="1477"/>
      <c r="H694" s="1477"/>
      <c r="I694" s="1477"/>
      <c r="J694" s="1477"/>
      <c r="K694" s="1477"/>
      <c r="L694" s="1477"/>
      <c r="M694" s="1477"/>
      <c r="N694" s="1477"/>
      <c r="O694" s="1477"/>
      <c r="P694" s="1477"/>
      <c r="Q694" s="1477"/>
      <c r="R694" s="1477"/>
      <c r="S694" s="1477"/>
      <c r="T694" s="1477"/>
      <c r="U694" s="1477"/>
      <c r="V694" s="1477"/>
      <c r="W694" s="1477"/>
      <c r="X694" s="1477"/>
      <c r="Y694" s="1477"/>
      <c r="Z694" s="1477"/>
      <c r="AA694" s="1477"/>
      <c r="AB694" s="1477"/>
      <c r="AC694" s="1477"/>
      <c r="AD694" s="1477"/>
      <c r="AE694" s="1477"/>
      <c r="AF694" s="1477"/>
      <c r="AG694" s="1477"/>
      <c r="AH694" s="1477"/>
      <c r="AI694" s="1477"/>
      <c r="AJ694" s="1477"/>
      <c r="AK694" s="1477"/>
      <c r="AL694" s="1477"/>
      <c r="AM694" s="1477"/>
      <c r="AN694" s="1477"/>
      <c r="AO694" s="284"/>
      <c r="AP694" s="1477"/>
      <c r="AQ694" s="1477"/>
      <c r="AR694" s="1477"/>
      <c r="AS694" s="1477"/>
      <c r="AT694" s="1477"/>
      <c r="AU694" s="1477"/>
      <c r="AV694" s="1477"/>
      <c r="AW694" s="1477"/>
      <c r="AX694" s="1477"/>
      <c r="AY694" s="1477"/>
      <c r="AZ694" s="1477"/>
      <c r="BA694" s="1477"/>
      <c r="BB694" s="1477"/>
      <c r="BC694" s="1477"/>
      <c r="BD694" s="1477"/>
      <c r="BE694" s="1477"/>
      <c r="BF694" s="1477"/>
      <c r="BG694" s="1477"/>
      <c r="BH694" s="1477"/>
      <c r="BI694" s="1477"/>
      <c r="BJ694" s="1477"/>
      <c r="BK694" s="1477"/>
      <c r="BL694" s="1477"/>
      <c r="BM694" s="1477"/>
      <c r="BN694" s="1477"/>
      <c r="BO694" s="1477"/>
      <c r="BP694" s="1477"/>
      <c r="BQ694" s="1477"/>
      <c r="BR694" s="1477"/>
      <c r="BS694" s="1477"/>
      <c r="BT694" s="1477"/>
      <c r="BU694" s="1477"/>
      <c r="BV694" s="1477"/>
      <c r="BW694" s="1477"/>
      <c r="BX694" s="1477"/>
      <c r="BY694" s="1477"/>
      <c r="BZ694" s="1477"/>
      <c r="CA694" s="1477"/>
      <c r="CB694" s="1477"/>
      <c r="CC694" s="1477"/>
      <c r="CD694" s="1477"/>
      <c r="CE694" s="1477"/>
      <c r="CF694" s="1477"/>
      <c r="CG694" s="1477"/>
      <c r="CH694" s="1477"/>
    </row>
    <row r="695" spans="2:86">
      <c r="B695" s="1477"/>
      <c r="C695" s="1477"/>
      <c r="D695" s="1477"/>
      <c r="E695" s="1477"/>
      <c r="F695" s="1477"/>
      <c r="G695" s="1477"/>
      <c r="H695" s="1477"/>
      <c r="I695" s="1477"/>
      <c r="J695" s="1477"/>
      <c r="K695" s="1477"/>
      <c r="L695" s="1477"/>
      <c r="M695" s="1477"/>
      <c r="N695" s="1477"/>
      <c r="O695" s="1477"/>
      <c r="P695" s="1477"/>
      <c r="Q695" s="1477"/>
      <c r="R695" s="1477"/>
      <c r="S695" s="1477"/>
      <c r="T695" s="1477"/>
      <c r="U695" s="1477"/>
      <c r="V695" s="1477"/>
      <c r="W695" s="1477"/>
      <c r="X695" s="1477"/>
      <c r="Y695" s="1477"/>
      <c r="Z695" s="1477"/>
      <c r="AA695" s="1477"/>
      <c r="AB695" s="1477"/>
      <c r="AC695" s="1477"/>
      <c r="AD695" s="1477"/>
      <c r="AE695" s="1477"/>
      <c r="AF695" s="1477"/>
      <c r="AG695" s="1477"/>
      <c r="AH695" s="1477"/>
      <c r="AI695" s="1477"/>
      <c r="AJ695" s="1477"/>
      <c r="AK695" s="1477"/>
      <c r="AL695" s="1477"/>
      <c r="AM695" s="1477"/>
      <c r="AN695" s="1477"/>
      <c r="AO695" s="284"/>
      <c r="AP695" s="1477"/>
      <c r="AQ695" s="1477"/>
      <c r="AR695" s="1477"/>
      <c r="AS695" s="1477"/>
      <c r="AT695" s="1477"/>
      <c r="AU695" s="1477"/>
      <c r="AV695" s="1477"/>
      <c r="AW695" s="1477"/>
      <c r="AX695" s="1477"/>
      <c r="AY695" s="1477"/>
      <c r="AZ695" s="1477"/>
      <c r="BA695" s="1477"/>
      <c r="BB695" s="1477"/>
      <c r="BC695" s="1477"/>
      <c r="BD695" s="1477"/>
      <c r="BE695" s="1477"/>
      <c r="BF695" s="1477"/>
      <c r="BG695" s="1477"/>
      <c r="BH695" s="1477"/>
      <c r="BI695" s="1477"/>
      <c r="BJ695" s="1477"/>
      <c r="BK695" s="1477"/>
      <c r="BL695" s="1477"/>
      <c r="BM695" s="1477"/>
      <c r="BN695" s="1477"/>
      <c r="BO695" s="1477"/>
      <c r="BP695" s="1477"/>
      <c r="BQ695" s="1477"/>
      <c r="BR695" s="1477"/>
      <c r="BS695" s="1477"/>
      <c r="BT695" s="1477"/>
      <c r="BU695" s="1477"/>
      <c r="BV695" s="1477"/>
      <c r="BW695" s="1477"/>
      <c r="BX695" s="1477"/>
      <c r="BY695" s="1477"/>
      <c r="BZ695" s="1477"/>
      <c r="CA695" s="1477"/>
      <c r="CB695" s="1477"/>
      <c r="CC695" s="1477"/>
      <c r="CD695" s="1477"/>
      <c r="CE695" s="1477"/>
      <c r="CF695" s="1477"/>
      <c r="CG695" s="1477"/>
      <c r="CH695" s="1477"/>
    </row>
    <row r="696" spans="2:86">
      <c r="B696" s="1477"/>
      <c r="C696" s="1477"/>
      <c r="D696" s="1477"/>
      <c r="E696" s="1477"/>
      <c r="F696" s="1477"/>
      <c r="G696" s="1477"/>
      <c r="H696" s="1477"/>
      <c r="I696" s="1477"/>
      <c r="J696" s="1477"/>
      <c r="K696" s="1477"/>
      <c r="L696" s="1477"/>
      <c r="M696" s="1477"/>
      <c r="N696" s="1477"/>
      <c r="O696" s="1477"/>
      <c r="P696" s="1477"/>
      <c r="Q696" s="1477"/>
      <c r="R696" s="1477"/>
      <c r="S696" s="1477"/>
      <c r="T696" s="1477"/>
      <c r="U696" s="1477"/>
      <c r="V696" s="1477"/>
      <c r="W696" s="1477"/>
      <c r="X696" s="1477"/>
      <c r="Y696" s="1477"/>
      <c r="Z696" s="1477"/>
      <c r="AA696" s="1477"/>
      <c r="AB696" s="1477"/>
      <c r="AC696" s="1477"/>
      <c r="AD696" s="1477"/>
      <c r="AE696" s="1477"/>
      <c r="AF696" s="1477"/>
      <c r="AG696" s="1477"/>
      <c r="AH696" s="1477"/>
      <c r="AI696" s="1477"/>
      <c r="AJ696" s="1477"/>
      <c r="AK696" s="1477"/>
      <c r="AL696" s="1477"/>
      <c r="AM696" s="1477"/>
      <c r="AN696" s="1477"/>
      <c r="AO696" s="284"/>
      <c r="AP696" s="1477"/>
      <c r="AQ696" s="1477"/>
      <c r="AR696" s="1477"/>
      <c r="AS696" s="1477"/>
      <c r="AT696" s="1477"/>
      <c r="AU696" s="1477"/>
      <c r="AV696" s="1477"/>
      <c r="AW696" s="1477"/>
      <c r="AX696" s="1477"/>
      <c r="AY696" s="1477"/>
      <c r="AZ696" s="1477"/>
      <c r="BA696" s="1477"/>
      <c r="BB696" s="1477"/>
      <c r="BC696" s="1477"/>
      <c r="BD696" s="1477"/>
      <c r="BE696" s="1477"/>
      <c r="BF696" s="1477"/>
      <c r="BG696" s="1477"/>
      <c r="BH696" s="1477"/>
      <c r="BI696" s="1477"/>
      <c r="BJ696" s="1477"/>
      <c r="BK696" s="1477"/>
      <c r="BL696" s="1477"/>
      <c r="BM696" s="1477"/>
      <c r="BN696" s="1477"/>
      <c r="BO696" s="1477"/>
      <c r="BP696" s="1477"/>
      <c r="BQ696" s="1477"/>
      <c r="BR696" s="1477"/>
      <c r="BS696" s="1477"/>
      <c r="BT696" s="1477"/>
      <c r="BU696" s="1477"/>
      <c r="BV696" s="1477"/>
      <c r="BW696" s="1477"/>
      <c r="BX696" s="1477"/>
      <c r="BY696" s="1477"/>
      <c r="BZ696" s="1477"/>
      <c r="CA696" s="1477"/>
      <c r="CB696" s="1477"/>
      <c r="CC696" s="1477"/>
      <c r="CD696" s="1477"/>
      <c r="CE696" s="1477"/>
      <c r="CF696" s="1477"/>
      <c r="CG696" s="1477"/>
      <c r="CH696" s="1477"/>
    </row>
    <row r="697" spans="2:86">
      <c r="B697" s="1477"/>
      <c r="C697" s="1477"/>
      <c r="D697" s="1477"/>
      <c r="E697" s="1477"/>
      <c r="F697" s="1477"/>
      <c r="G697" s="1477"/>
      <c r="H697" s="1477"/>
      <c r="I697" s="1477"/>
      <c r="J697" s="1477"/>
      <c r="K697" s="1477"/>
      <c r="L697" s="1477"/>
      <c r="M697" s="1477"/>
      <c r="N697" s="1477"/>
      <c r="O697" s="1477"/>
      <c r="P697" s="1477"/>
      <c r="Q697" s="1477"/>
      <c r="R697" s="1477"/>
      <c r="S697" s="1477"/>
      <c r="T697" s="1477"/>
      <c r="U697" s="1477"/>
      <c r="V697" s="1477"/>
      <c r="W697" s="1477"/>
      <c r="X697" s="1477"/>
      <c r="Y697" s="1477"/>
      <c r="Z697" s="1477"/>
      <c r="AA697" s="1477"/>
      <c r="AB697" s="1477"/>
      <c r="AC697" s="1477"/>
      <c r="AD697" s="1477"/>
      <c r="AE697" s="1477"/>
      <c r="AF697" s="1477"/>
      <c r="AG697" s="1477"/>
      <c r="AH697" s="1477"/>
      <c r="AI697" s="1477"/>
      <c r="AJ697" s="1477"/>
      <c r="AK697" s="1477"/>
      <c r="AL697" s="1477"/>
      <c r="AM697" s="1477"/>
      <c r="AN697" s="1477"/>
      <c r="AO697" s="284"/>
      <c r="AP697" s="1477"/>
      <c r="AQ697" s="1477"/>
      <c r="AR697" s="1477"/>
      <c r="AS697" s="1477"/>
      <c r="AT697" s="1477"/>
      <c r="AU697" s="1477"/>
      <c r="AV697" s="1477"/>
      <c r="AW697" s="1477"/>
      <c r="AX697" s="1477"/>
      <c r="AY697" s="1477"/>
      <c r="AZ697" s="1477"/>
      <c r="BA697" s="1477"/>
      <c r="BB697" s="1477"/>
      <c r="BC697" s="1477"/>
      <c r="BD697" s="1477"/>
      <c r="BE697" s="1477"/>
      <c r="BF697" s="1477"/>
      <c r="BG697" s="1477"/>
      <c r="BH697" s="1477"/>
      <c r="BI697" s="1477"/>
      <c r="BJ697" s="1477"/>
      <c r="BK697" s="1477"/>
      <c r="BL697" s="1477"/>
      <c r="BM697" s="1477"/>
      <c r="BN697" s="1477"/>
      <c r="BO697" s="1477"/>
      <c r="BP697" s="1477"/>
      <c r="BQ697" s="1477"/>
      <c r="BR697" s="1477"/>
      <c r="BS697" s="1477"/>
      <c r="BT697" s="1477"/>
      <c r="BU697" s="1477"/>
      <c r="BV697" s="1477"/>
      <c r="BW697" s="1477"/>
      <c r="BX697" s="1477"/>
      <c r="BY697" s="1477"/>
      <c r="BZ697" s="1477"/>
      <c r="CA697" s="1477"/>
      <c r="CB697" s="1477"/>
      <c r="CC697" s="1477"/>
      <c r="CD697" s="1477"/>
      <c r="CE697" s="1477"/>
      <c r="CF697" s="1477"/>
      <c r="CG697" s="1477"/>
      <c r="CH697" s="1477"/>
    </row>
    <row r="698" spans="2:86">
      <c r="B698" s="1477"/>
      <c r="C698" s="1477"/>
      <c r="D698" s="1477"/>
      <c r="E698" s="1477"/>
      <c r="F698" s="1477"/>
      <c r="G698" s="1477"/>
      <c r="H698" s="1477"/>
      <c r="I698" s="1477"/>
      <c r="J698" s="1477"/>
      <c r="K698" s="1477"/>
      <c r="L698" s="1477"/>
      <c r="M698" s="1477"/>
      <c r="N698" s="1477"/>
      <c r="O698" s="1477"/>
      <c r="P698" s="1477"/>
      <c r="Q698" s="1477"/>
      <c r="R698" s="1477"/>
      <c r="S698" s="1477"/>
      <c r="T698" s="1477"/>
      <c r="U698" s="1477"/>
      <c r="V698" s="1477"/>
      <c r="W698" s="1477"/>
      <c r="X698" s="1477"/>
      <c r="Y698" s="1477"/>
      <c r="Z698" s="1477"/>
      <c r="AA698" s="1477"/>
      <c r="AB698" s="1477"/>
      <c r="AC698" s="1477"/>
      <c r="AD698" s="1477"/>
      <c r="AE698" s="1477"/>
      <c r="AF698" s="1477"/>
      <c r="AG698" s="1477"/>
      <c r="AH698" s="1477"/>
      <c r="AI698" s="1477"/>
      <c r="AJ698" s="1477"/>
      <c r="AK698" s="1477"/>
      <c r="AL698" s="1477"/>
      <c r="AM698" s="1477"/>
      <c r="AN698" s="1477"/>
      <c r="AO698" s="284"/>
      <c r="AP698" s="1477"/>
      <c r="AQ698" s="1477"/>
      <c r="AR698" s="1477"/>
      <c r="AS698" s="1477"/>
      <c r="AT698" s="1477"/>
      <c r="AU698" s="1477"/>
      <c r="AV698" s="1477"/>
      <c r="AW698" s="1477"/>
      <c r="AX698" s="1477"/>
      <c r="AY698" s="1477"/>
      <c r="AZ698" s="1477"/>
      <c r="BA698" s="1477"/>
      <c r="BB698" s="1477"/>
      <c r="BC698" s="1477"/>
      <c r="BD698" s="1477"/>
      <c r="BE698" s="1477"/>
      <c r="BF698" s="1477"/>
      <c r="BG698" s="1477"/>
      <c r="BH698" s="1477"/>
      <c r="BI698" s="1477"/>
      <c r="BJ698" s="1477"/>
      <c r="BK698" s="1477"/>
      <c r="BL698" s="1477"/>
      <c r="BM698" s="1477"/>
      <c r="BN698" s="1477"/>
      <c r="BO698" s="1477"/>
      <c r="BP698" s="1477"/>
      <c r="BQ698" s="1477"/>
      <c r="BR698" s="1477"/>
      <c r="BS698" s="1477"/>
      <c r="BT698" s="1477"/>
      <c r="BU698" s="1477"/>
      <c r="BV698" s="1477"/>
      <c r="BW698" s="1477"/>
      <c r="BX698" s="1477"/>
      <c r="BY698" s="1477"/>
      <c r="BZ698" s="1477"/>
      <c r="CA698" s="1477"/>
      <c r="CB698" s="1477"/>
      <c r="CC698" s="1477"/>
      <c r="CD698" s="1477"/>
      <c r="CE698" s="1477"/>
      <c r="CF698" s="1477"/>
      <c r="CG698" s="1477"/>
      <c r="CH698" s="1477"/>
    </row>
    <row r="699" spans="2:86">
      <c r="B699" s="1477"/>
      <c r="C699" s="1477"/>
      <c r="D699" s="1477"/>
      <c r="E699" s="1477"/>
      <c r="F699" s="1477"/>
      <c r="G699" s="1477"/>
      <c r="H699" s="1477"/>
      <c r="I699" s="1477"/>
      <c r="J699" s="1477"/>
      <c r="K699" s="1477"/>
      <c r="L699" s="1477"/>
      <c r="M699" s="1477"/>
      <c r="N699" s="1477"/>
      <c r="O699" s="1477"/>
      <c r="P699" s="1477"/>
      <c r="Q699" s="1477"/>
      <c r="R699" s="1477"/>
      <c r="S699" s="1477"/>
      <c r="T699" s="1477"/>
      <c r="U699" s="1477"/>
      <c r="V699" s="1477"/>
      <c r="W699" s="1477"/>
      <c r="X699" s="1477"/>
      <c r="Y699" s="1477"/>
      <c r="Z699" s="1477"/>
      <c r="AA699" s="1477"/>
      <c r="AB699" s="1477"/>
      <c r="AC699" s="1477"/>
      <c r="AD699" s="1477"/>
      <c r="AE699" s="1477"/>
      <c r="AF699" s="1477"/>
      <c r="AG699" s="1477"/>
      <c r="AH699" s="1477"/>
      <c r="AI699" s="1477"/>
      <c r="AJ699" s="1477"/>
      <c r="AK699" s="1477"/>
      <c r="AL699" s="1477"/>
      <c r="AM699" s="1477"/>
      <c r="AN699" s="1477"/>
      <c r="AO699" s="284"/>
      <c r="AP699" s="1477"/>
      <c r="AQ699" s="1477"/>
      <c r="AR699" s="1477"/>
      <c r="AS699" s="1477"/>
      <c r="AT699" s="1477"/>
      <c r="AU699" s="1477"/>
      <c r="AV699" s="1477"/>
      <c r="AW699" s="1477"/>
      <c r="AX699" s="1477"/>
      <c r="AY699" s="1477"/>
      <c r="AZ699" s="1477"/>
      <c r="BA699" s="1477"/>
      <c r="BB699" s="1477"/>
      <c r="BC699" s="1477"/>
      <c r="BD699" s="1477"/>
      <c r="BE699" s="1477"/>
      <c r="BF699" s="1477"/>
      <c r="BG699" s="1477"/>
      <c r="BH699" s="1477"/>
      <c r="BI699" s="1477"/>
      <c r="BJ699" s="1477"/>
      <c r="BK699" s="1477"/>
      <c r="BL699" s="1477"/>
      <c r="BM699" s="1477"/>
      <c r="BN699" s="1477"/>
      <c r="BO699" s="1477"/>
      <c r="BP699" s="1477"/>
      <c r="BQ699" s="1477"/>
      <c r="BR699" s="1477"/>
      <c r="BS699" s="1477"/>
      <c r="BT699" s="1477"/>
      <c r="BU699" s="1477"/>
      <c r="BV699" s="1477"/>
      <c r="BW699" s="1477"/>
      <c r="BX699" s="1477"/>
      <c r="BY699" s="1477"/>
      <c r="BZ699" s="1477"/>
      <c r="CA699" s="1477"/>
      <c r="CB699" s="1477"/>
      <c r="CC699" s="1477"/>
      <c r="CD699" s="1477"/>
      <c r="CE699" s="1477"/>
      <c r="CF699" s="1477"/>
      <c r="CG699" s="1477"/>
      <c r="CH699" s="1477"/>
    </row>
    <row r="700" spans="2:86">
      <c r="B700" s="1477"/>
      <c r="C700" s="1477"/>
      <c r="D700" s="1477"/>
      <c r="E700" s="1477"/>
      <c r="F700" s="1477"/>
      <c r="G700" s="1477"/>
      <c r="H700" s="1477"/>
      <c r="I700" s="1477"/>
      <c r="J700" s="1477"/>
      <c r="K700" s="1477"/>
      <c r="L700" s="1477"/>
      <c r="M700" s="1477"/>
      <c r="N700" s="1477"/>
      <c r="O700" s="1477"/>
      <c r="P700" s="1477"/>
      <c r="Q700" s="1477"/>
      <c r="R700" s="1477"/>
      <c r="S700" s="1477"/>
      <c r="T700" s="1477"/>
      <c r="U700" s="1477"/>
      <c r="V700" s="1477"/>
      <c r="W700" s="1477"/>
      <c r="X700" s="1477"/>
      <c r="Y700" s="1477"/>
      <c r="Z700" s="1477"/>
      <c r="AA700" s="1477"/>
      <c r="AB700" s="1477"/>
      <c r="AC700" s="1477"/>
      <c r="AD700" s="1477"/>
      <c r="AE700" s="1477"/>
      <c r="AF700" s="1477"/>
      <c r="AG700" s="1477"/>
      <c r="AH700" s="1477"/>
      <c r="AI700" s="1477"/>
      <c r="AJ700" s="1477"/>
      <c r="AK700" s="1477"/>
      <c r="AL700" s="1477"/>
      <c r="AM700" s="1477"/>
      <c r="AN700" s="1477"/>
      <c r="AO700" s="284"/>
      <c r="AP700" s="1477"/>
      <c r="AQ700" s="1477"/>
      <c r="AR700" s="1477"/>
      <c r="AS700" s="1477"/>
      <c r="AT700" s="1477"/>
      <c r="AU700" s="1477"/>
      <c r="AV700" s="1477"/>
      <c r="AW700" s="1477"/>
      <c r="AX700" s="1477"/>
      <c r="AY700" s="1477"/>
      <c r="AZ700" s="1477"/>
      <c r="BA700" s="1477"/>
      <c r="BB700" s="1477"/>
      <c r="BC700" s="1477"/>
      <c r="BD700" s="1477"/>
      <c r="BE700" s="1477"/>
      <c r="BF700" s="1477"/>
      <c r="BG700" s="1477"/>
      <c r="BH700" s="1477"/>
      <c r="BI700" s="1477"/>
      <c r="BJ700" s="1477"/>
      <c r="BK700" s="1477"/>
      <c r="BL700" s="1477"/>
      <c r="BM700" s="1477"/>
      <c r="BN700" s="1477"/>
      <c r="BO700" s="1477"/>
      <c r="BP700" s="1477"/>
      <c r="BQ700" s="1477"/>
      <c r="BR700" s="1477"/>
      <c r="BS700" s="1477"/>
      <c r="BT700" s="1477"/>
      <c r="BU700" s="1477"/>
      <c r="BV700" s="1477"/>
      <c r="BW700" s="1477"/>
      <c r="BX700" s="1477"/>
      <c r="BY700" s="1477"/>
      <c r="BZ700" s="1477"/>
      <c r="CA700" s="1477"/>
      <c r="CB700" s="1477"/>
      <c r="CC700" s="1477"/>
      <c r="CD700" s="1477"/>
      <c r="CE700" s="1477"/>
      <c r="CF700" s="1477"/>
      <c r="CG700" s="1477"/>
      <c r="CH700" s="1477"/>
    </row>
    <row r="701" spans="2:86">
      <c r="B701" s="1477"/>
      <c r="C701" s="1477"/>
      <c r="D701" s="1477"/>
      <c r="E701" s="1477"/>
      <c r="F701" s="1477"/>
      <c r="G701" s="1477"/>
      <c r="H701" s="1477"/>
      <c r="I701" s="1477"/>
      <c r="J701" s="1477"/>
      <c r="K701" s="1477"/>
      <c r="L701" s="1477"/>
      <c r="M701" s="1477"/>
      <c r="N701" s="1477"/>
      <c r="O701" s="1477"/>
      <c r="P701" s="1477"/>
      <c r="Q701" s="1477"/>
      <c r="R701" s="1477"/>
      <c r="S701" s="1477"/>
      <c r="T701" s="1477"/>
      <c r="U701" s="1477"/>
      <c r="V701" s="1477"/>
      <c r="W701" s="1477"/>
      <c r="X701" s="1477"/>
      <c r="Y701" s="1477"/>
      <c r="Z701" s="1477"/>
      <c r="AA701" s="1477"/>
      <c r="AB701" s="1477"/>
      <c r="AC701" s="1477"/>
      <c r="AD701" s="1477"/>
      <c r="AE701" s="1477"/>
      <c r="AF701" s="1477"/>
      <c r="AG701" s="1477"/>
      <c r="AH701" s="1477"/>
      <c r="AI701" s="1477"/>
      <c r="AJ701" s="1477"/>
      <c r="AK701" s="1477"/>
      <c r="AL701" s="1477"/>
      <c r="AM701" s="1477"/>
      <c r="AN701" s="1477"/>
      <c r="AO701" s="284"/>
      <c r="AP701" s="1477"/>
      <c r="AQ701" s="1477"/>
      <c r="AR701" s="1477"/>
      <c r="AS701" s="1477"/>
      <c r="AT701" s="1477"/>
      <c r="AU701" s="1477"/>
      <c r="AV701" s="1477"/>
      <c r="AW701" s="1477"/>
      <c r="AX701" s="1477"/>
      <c r="AY701" s="1477"/>
      <c r="AZ701" s="1477"/>
      <c r="BA701" s="1477"/>
      <c r="BB701" s="1477"/>
      <c r="BC701" s="1477"/>
      <c r="BD701" s="1477"/>
      <c r="BE701" s="1477"/>
      <c r="BF701" s="1477"/>
      <c r="BG701" s="1477"/>
      <c r="BH701" s="1477"/>
      <c r="BI701" s="1477"/>
      <c r="BJ701" s="1477"/>
      <c r="BK701" s="1477"/>
      <c r="BL701" s="1477"/>
      <c r="BM701" s="1477"/>
      <c r="BN701" s="1477"/>
      <c r="BO701" s="1477"/>
      <c r="BP701" s="1477"/>
      <c r="BQ701" s="1477"/>
      <c r="BR701" s="1477"/>
      <c r="BS701" s="1477"/>
      <c r="BT701" s="1477"/>
      <c r="BU701" s="1477"/>
      <c r="BV701" s="1477"/>
      <c r="BW701" s="1477"/>
      <c r="BX701" s="1477"/>
      <c r="BY701" s="1477"/>
      <c r="BZ701" s="1477"/>
      <c r="CA701" s="1477"/>
      <c r="CB701" s="1477"/>
      <c r="CC701" s="1477"/>
      <c r="CD701" s="1477"/>
      <c r="CE701" s="1477"/>
      <c r="CF701" s="1477"/>
      <c r="CG701" s="1477"/>
      <c r="CH701" s="1477"/>
    </row>
    <row r="702" spans="2:86">
      <c r="B702" s="1477"/>
      <c r="C702" s="1477"/>
      <c r="D702" s="1477"/>
      <c r="E702" s="1477"/>
      <c r="F702" s="1477"/>
      <c r="G702" s="1477"/>
      <c r="H702" s="1477"/>
      <c r="I702" s="1477"/>
      <c r="J702" s="1477"/>
      <c r="K702" s="1477"/>
      <c r="L702" s="1477"/>
      <c r="M702" s="1477"/>
      <c r="N702" s="1477"/>
      <c r="O702" s="1477"/>
      <c r="P702" s="1477"/>
      <c r="Q702" s="1477"/>
      <c r="R702" s="1477"/>
      <c r="S702" s="1477"/>
      <c r="T702" s="1477"/>
      <c r="U702" s="1477"/>
      <c r="V702" s="1477"/>
      <c r="W702" s="1477"/>
      <c r="X702" s="1477"/>
      <c r="Y702" s="1477"/>
      <c r="Z702" s="1477"/>
      <c r="AA702" s="1477"/>
      <c r="AB702" s="1477"/>
      <c r="AC702" s="1477"/>
      <c r="AD702" s="1477"/>
      <c r="AE702" s="1477"/>
      <c r="AF702" s="1477"/>
      <c r="AG702" s="1477"/>
      <c r="AH702" s="1477"/>
      <c r="AI702" s="1477"/>
      <c r="AJ702" s="1477"/>
      <c r="AK702" s="1477"/>
      <c r="AL702" s="1477"/>
      <c r="AM702" s="1477"/>
      <c r="AN702" s="1477"/>
      <c r="AO702" s="284"/>
      <c r="AP702" s="1477"/>
      <c r="AQ702" s="1477"/>
      <c r="AR702" s="1477"/>
      <c r="AS702" s="1477"/>
      <c r="AT702" s="1477"/>
      <c r="AU702" s="1477"/>
      <c r="AV702" s="1477"/>
      <c r="AW702" s="1477"/>
      <c r="AX702" s="1477"/>
      <c r="AY702" s="1477"/>
      <c r="AZ702" s="1477"/>
      <c r="BA702" s="1477"/>
      <c r="BB702" s="1477"/>
      <c r="BC702" s="1477"/>
      <c r="BD702" s="1477"/>
      <c r="BE702" s="1477"/>
      <c r="BF702" s="1477"/>
      <c r="BG702" s="1477"/>
      <c r="BH702" s="1477"/>
      <c r="BI702" s="1477"/>
      <c r="BJ702" s="1477"/>
      <c r="BK702" s="1477"/>
      <c r="BL702" s="1477"/>
      <c r="BM702" s="1477"/>
      <c r="BN702" s="1477"/>
      <c r="BO702" s="1477"/>
      <c r="BP702" s="1477"/>
      <c r="BQ702" s="1477"/>
      <c r="BR702" s="1477"/>
      <c r="BS702" s="1477"/>
      <c r="BT702" s="1477"/>
      <c r="BU702" s="1477"/>
      <c r="BV702" s="1477"/>
      <c r="BW702" s="1477"/>
      <c r="BX702" s="1477"/>
      <c r="BY702" s="1477"/>
      <c r="BZ702" s="1477"/>
      <c r="CA702" s="1477"/>
      <c r="CB702" s="1477"/>
      <c r="CC702" s="1477"/>
      <c r="CD702" s="1477"/>
      <c r="CE702" s="1477"/>
      <c r="CF702" s="1477"/>
      <c r="CG702" s="1477"/>
      <c r="CH702" s="1477"/>
    </row>
    <row r="703" spans="2:86">
      <c r="B703" s="1477"/>
      <c r="C703" s="1477"/>
      <c r="D703" s="1477"/>
      <c r="E703" s="1477"/>
      <c r="F703" s="1477"/>
      <c r="G703" s="1477"/>
      <c r="H703" s="1477"/>
      <c r="I703" s="1477"/>
      <c r="J703" s="1477"/>
      <c r="K703" s="1477"/>
      <c r="L703" s="1477"/>
      <c r="M703" s="1477"/>
      <c r="N703" s="1477"/>
      <c r="O703" s="1477"/>
      <c r="P703" s="1477"/>
      <c r="Q703" s="1477"/>
      <c r="R703" s="1477"/>
      <c r="S703" s="1477"/>
      <c r="T703" s="1477"/>
      <c r="U703" s="1477"/>
      <c r="V703" s="1477"/>
      <c r="W703" s="1477"/>
      <c r="X703" s="1477"/>
      <c r="Y703" s="1477"/>
      <c r="Z703" s="1477"/>
      <c r="AA703" s="1477"/>
      <c r="AB703" s="1477"/>
      <c r="AC703" s="1477"/>
      <c r="AD703" s="1477"/>
      <c r="AE703" s="1477"/>
      <c r="AF703" s="1477"/>
      <c r="AG703" s="1477"/>
      <c r="AH703" s="1477"/>
      <c r="AI703" s="1477"/>
      <c r="AJ703" s="1477"/>
      <c r="AK703" s="1477"/>
      <c r="AL703" s="1477"/>
      <c r="AM703" s="1477"/>
      <c r="AN703" s="1477"/>
      <c r="AO703" s="284"/>
      <c r="AP703" s="1477"/>
      <c r="AQ703" s="1477"/>
      <c r="AR703" s="1477"/>
      <c r="AS703" s="1477"/>
      <c r="AT703" s="1477"/>
      <c r="AU703" s="1477"/>
      <c r="AV703" s="1477"/>
      <c r="AW703" s="1477"/>
      <c r="AX703" s="1477"/>
      <c r="AY703" s="1477"/>
      <c r="AZ703" s="1477"/>
      <c r="BA703" s="1477"/>
      <c r="BB703" s="1477"/>
      <c r="BC703" s="1477"/>
      <c r="BD703" s="1477"/>
      <c r="BE703" s="1477"/>
      <c r="BF703" s="1477"/>
      <c r="BG703" s="1477"/>
      <c r="BH703" s="1477"/>
      <c r="BI703" s="1477"/>
      <c r="BJ703" s="1477"/>
      <c r="BK703" s="1477"/>
      <c r="BL703" s="1477"/>
      <c r="BM703" s="1477"/>
      <c r="BN703" s="1477"/>
      <c r="BO703" s="1477"/>
      <c r="BP703" s="1477"/>
      <c r="BQ703" s="1477"/>
      <c r="BR703" s="1477"/>
      <c r="BS703" s="1477"/>
      <c r="BT703" s="1477"/>
      <c r="BU703" s="1477"/>
      <c r="BV703" s="1477"/>
      <c r="BW703" s="1477"/>
      <c r="BX703" s="1477"/>
      <c r="BY703" s="1477"/>
      <c r="BZ703" s="1477"/>
      <c r="CA703" s="1477"/>
      <c r="CB703" s="1477"/>
      <c r="CC703" s="1477"/>
      <c r="CD703" s="1477"/>
      <c r="CE703" s="1477"/>
      <c r="CF703" s="1477"/>
      <c r="CG703" s="1477"/>
      <c r="CH703" s="1477"/>
    </row>
    <row r="704" spans="2:86">
      <c r="B704" s="1477"/>
      <c r="C704" s="1477"/>
      <c r="D704" s="1477"/>
      <c r="E704" s="1477"/>
      <c r="F704" s="1477"/>
      <c r="G704" s="1477"/>
      <c r="H704" s="1477"/>
      <c r="I704" s="1477"/>
      <c r="J704" s="1477"/>
      <c r="K704" s="1477"/>
      <c r="L704" s="1477"/>
      <c r="M704" s="1477"/>
      <c r="N704" s="1477"/>
      <c r="O704" s="1477"/>
      <c r="P704" s="1477"/>
      <c r="Q704" s="1477"/>
      <c r="R704" s="1477"/>
      <c r="S704" s="1477"/>
      <c r="T704" s="1477"/>
      <c r="U704" s="1477"/>
      <c r="V704" s="1477"/>
      <c r="W704" s="1477"/>
      <c r="X704" s="1477"/>
      <c r="Y704" s="1477"/>
      <c r="Z704" s="1477"/>
      <c r="AA704" s="1477"/>
      <c r="AB704" s="1477"/>
      <c r="AC704" s="1477"/>
      <c r="AD704" s="1477"/>
      <c r="AE704" s="1477"/>
      <c r="AF704" s="1477"/>
      <c r="AG704" s="1477"/>
      <c r="AH704" s="1477"/>
      <c r="AI704" s="1477"/>
      <c r="AJ704" s="1477"/>
      <c r="AK704" s="1477"/>
      <c r="AL704" s="1477"/>
      <c r="AM704" s="1477"/>
      <c r="AN704" s="1477"/>
      <c r="AO704" s="284"/>
      <c r="AP704" s="1477"/>
      <c r="AQ704" s="1477"/>
      <c r="AR704" s="1477"/>
      <c r="AS704" s="1477"/>
      <c r="AT704" s="1477"/>
      <c r="AU704" s="1477"/>
      <c r="AV704" s="1477"/>
      <c r="AW704" s="1477"/>
      <c r="AX704" s="1477"/>
      <c r="AY704" s="1477"/>
      <c r="AZ704" s="1477"/>
      <c r="BA704" s="1477"/>
      <c r="BB704" s="1477"/>
      <c r="BC704" s="1477"/>
      <c r="BD704" s="1477"/>
      <c r="BE704" s="1477"/>
      <c r="BF704" s="1477"/>
      <c r="BG704" s="1477"/>
      <c r="BH704" s="1477"/>
      <c r="BI704" s="1477"/>
      <c r="BJ704" s="1477"/>
      <c r="BK704" s="1477"/>
      <c r="BL704" s="1477"/>
      <c r="BM704" s="1477"/>
      <c r="BN704" s="1477"/>
      <c r="BO704" s="1477"/>
      <c r="BP704" s="1477"/>
      <c r="BQ704" s="1477"/>
      <c r="BR704" s="1477"/>
      <c r="BS704" s="1477"/>
      <c r="BT704" s="1477"/>
      <c r="BU704" s="1477"/>
      <c r="BV704" s="1477"/>
      <c r="BW704" s="1477"/>
      <c r="BX704" s="1477"/>
      <c r="BY704" s="1477"/>
      <c r="BZ704" s="1477"/>
      <c r="CA704" s="1477"/>
      <c r="CB704" s="1477"/>
      <c r="CC704" s="1477"/>
      <c r="CD704" s="1477"/>
      <c r="CE704" s="1477"/>
      <c r="CF704" s="1477"/>
      <c r="CG704" s="1477"/>
      <c r="CH704" s="1477"/>
    </row>
    <row r="705" spans="2:86">
      <c r="B705" s="1477"/>
      <c r="C705" s="1477"/>
      <c r="D705" s="1477"/>
      <c r="E705" s="1477"/>
      <c r="F705" s="1477"/>
      <c r="G705" s="1477"/>
      <c r="H705" s="1477"/>
      <c r="I705" s="1477"/>
      <c r="J705" s="1477"/>
      <c r="K705" s="1477"/>
      <c r="L705" s="1477"/>
      <c r="M705" s="1477"/>
      <c r="N705" s="1477"/>
      <c r="O705" s="1477"/>
      <c r="P705" s="1477"/>
      <c r="Q705" s="1477"/>
      <c r="R705" s="1477"/>
      <c r="S705" s="1477"/>
      <c r="T705" s="1477"/>
      <c r="U705" s="1477"/>
      <c r="V705" s="1477"/>
      <c r="W705" s="1477"/>
      <c r="X705" s="1477"/>
      <c r="Y705" s="1477"/>
      <c r="Z705" s="1477"/>
      <c r="AA705" s="1477"/>
      <c r="AB705" s="1477"/>
      <c r="AC705" s="1477"/>
      <c r="AD705" s="1477"/>
      <c r="AE705" s="1477"/>
      <c r="AF705" s="1477"/>
      <c r="AG705" s="1477"/>
      <c r="AH705" s="1477"/>
      <c r="AI705" s="1477"/>
      <c r="AJ705" s="1477"/>
      <c r="AK705" s="1477"/>
      <c r="AL705" s="1477"/>
      <c r="AM705" s="1477"/>
      <c r="AN705" s="1477"/>
      <c r="AO705" s="284"/>
      <c r="AP705" s="1477"/>
      <c r="AQ705" s="1477"/>
      <c r="AR705" s="1477"/>
      <c r="AS705" s="1477"/>
      <c r="AT705" s="1477"/>
      <c r="AU705" s="1477"/>
      <c r="AV705" s="1477"/>
      <c r="AW705" s="1477"/>
      <c r="AX705" s="1477"/>
      <c r="AY705" s="1477"/>
      <c r="AZ705" s="1477"/>
      <c r="BA705" s="1477"/>
      <c r="BB705" s="1477"/>
      <c r="BC705" s="1477"/>
      <c r="BD705" s="1477"/>
      <c r="BE705" s="1477"/>
      <c r="BF705" s="1477"/>
      <c r="BG705" s="1477"/>
      <c r="BH705" s="1477"/>
      <c r="BI705" s="1477"/>
      <c r="BJ705" s="1477"/>
      <c r="BK705" s="1477"/>
      <c r="BL705" s="1477"/>
      <c r="BM705" s="1477"/>
      <c r="BN705" s="1477"/>
      <c r="BO705" s="1477"/>
      <c r="BP705" s="1477"/>
      <c r="BQ705" s="1477"/>
      <c r="BR705" s="1477"/>
      <c r="BS705" s="1477"/>
      <c r="BT705" s="1477"/>
      <c r="BU705" s="1477"/>
      <c r="BV705" s="1477"/>
      <c r="BW705" s="1477"/>
      <c r="BX705" s="1477"/>
      <c r="BY705" s="1477"/>
      <c r="BZ705" s="1477"/>
      <c r="CA705" s="1477"/>
      <c r="CB705" s="1477"/>
      <c r="CC705" s="1477"/>
      <c r="CD705" s="1477"/>
      <c r="CE705" s="1477"/>
      <c r="CF705" s="1477"/>
      <c r="CG705" s="1477"/>
      <c r="CH705" s="1477"/>
    </row>
    <row r="706" spans="2:86">
      <c r="B706" s="1477"/>
      <c r="C706" s="1477"/>
      <c r="D706" s="1477"/>
      <c r="E706" s="1477"/>
      <c r="F706" s="1477"/>
      <c r="G706" s="1477"/>
      <c r="H706" s="1477"/>
      <c r="I706" s="1477"/>
      <c r="J706" s="1477"/>
      <c r="K706" s="1477"/>
      <c r="L706" s="1477"/>
      <c r="M706" s="1477"/>
      <c r="N706" s="1477"/>
      <c r="O706" s="1477"/>
      <c r="P706" s="1477"/>
      <c r="Q706" s="1477"/>
      <c r="R706" s="1477"/>
      <c r="S706" s="1477"/>
      <c r="T706" s="1477"/>
      <c r="U706" s="1477"/>
      <c r="V706" s="1477"/>
      <c r="W706" s="1477"/>
      <c r="X706" s="1477"/>
      <c r="Y706" s="1477"/>
      <c r="Z706" s="1477"/>
      <c r="AA706" s="1477"/>
      <c r="AB706" s="1477"/>
      <c r="AC706" s="1477"/>
      <c r="AD706" s="1477"/>
      <c r="AE706" s="1477"/>
      <c r="AF706" s="1477"/>
      <c r="AG706" s="1477"/>
      <c r="AH706" s="1477"/>
      <c r="AI706" s="1477"/>
      <c r="AJ706" s="1477"/>
      <c r="AK706" s="1477"/>
      <c r="AL706" s="1477"/>
      <c r="AM706" s="1477"/>
      <c r="AN706" s="1477"/>
      <c r="AO706" s="284"/>
      <c r="AP706" s="1477"/>
      <c r="AQ706" s="1477"/>
      <c r="AR706" s="1477"/>
      <c r="AS706" s="1477"/>
      <c r="AT706" s="1477"/>
      <c r="AU706" s="1477"/>
      <c r="AV706" s="1477"/>
      <c r="AW706" s="1477"/>
      <c r="AX706" s="1477"/>
      <c r="AY706" s="1477"/>
      <c r="AZ706" s="1477"/>
      <c r="BA706" s="1477"/>
      <c r="BB706" s="1477"/>
      <c r="BC706" s="1477"/>
      <c r="BD706" s="1477"/>
      <c r="BE706" s="1477"/>
      <c r="BF706" s="1477"/>
      <c r="BG706" s="1477"/>
      <c r="BH706" s="1477"/>
      <c r="BI706" s="1477"/>
      <c r="BJ706" s="1477"/>
      <c r="BK706" s="1477"/>
      <c r="BL706" s="1477"/>
      <c r="BM706" s="1477"/>
      <c r="BN706" s="1477"/>
      <c r="BO706" s="1477"/>
      <c r="BP706" s="1477"/>
      <c r="BQ706" s="1477"/>
      <c r="BR706" s="1477"/>
      <c r="BS706" s="1477"/>
      <c r="BT706" s="1477"/>
      <c r="BU706" s="1477"/>
      <c r="BV706" s="1477"/>
      <c r="BW706" s="1477"/>
      <c r="BX706" s="1477"/>
      <c r="BY706" s="1477"/>
      <c r="BZ706" s="1477"/>
      <c r="CA706" s="1477"/>
      <c r="CB706" s="1477"/>
      <c r="CC706" s="1477"/>
      <c r="CD706" s="1477"/>
      <c r="CE706" s="1477"/>
      <c r="CF706" s="1477"/>
      <c r="CG706" s="1477"/>
      <c r="CH706" s="1477"/>
    </row>
    <row r="707" spans="2:86">
      <c r="B707" s="1477"/>
      <c r="C707" s="1477"/>
      <c r="D707" s="1477"/>
      <c r="E707" s="1477"/>
      <c r="F707" s="1477"/>
      <c r="G707" s="1477"/>
      <c r="H707" s="1477"/>
      <c r="I707" s="1477"/>
      <c r="J707" s="1477"/>
      <c r="K707" s="1477"/>
      <c r="L707" s="1477"/>
      <c r="M707" s="1477"/>
      <c r="N707" s="1477"/>
      <c r="O707" s="1477"/>
      <c r="P707" s="1477"/>
      <c r="Q707" s="1477"/>
      <c r="R707" s="1477"/>
      <c r="S707" s="1477"/>
      <c r="T707" s="1477"/>
      <c r="U707" s="1477"/>
      <c r="V707" s="1477"/>
      <c r="W707" s="1477"/>
      <c r="X707" s="1477"/>
      <c r="Y707" s="1477"/>
      <c r="Z707" s="1477"/>
      <c r="AA707" s="1477"/>
      <c r="AB707" s="1477"/>
      <c r="AC707" s="1477"/>
      <c r="AD707" s="1477"/>
      <c r="AE707" s="1477"/>
      <c r="AF707" s="1477"/>
      <c r="AG707" s="1477"/>
      <c r="AH707" s="1477"/>
      <c r="AI707" s="1477"/>
      <c r="AJ707" s="1477"/>
      <c r="AK707" s="1477"/>
      <c r="AL707" s="1477"/>
      <c r="AM707" s="1477"/>
      <c r="AN707" s="1477"/>
      <c r="AO707" s="284"/>
      <c r="AP707" s="1477"/>
      <c r="AQ707" s="1477"/>
      <c r="AR707" s="1477"/>
      <c r="AS707" s="1477"/>
      <c r="AT707" s="1477"/>
      <c r="AU707" s="1477"/>
      <c r="AV707" s="1477"/>
      <c r="AW707" s="1477"/>
      <c r="AX707" s="1477"/>
      <c r="AY707" s="1477"/>
      <c r="AZ707" s="1477"/>
      <c r="BA707" s="1477"/>
      <c r="BB707" s="1477"/>
      <c r="BC707" s="1477"/>
      <c r="BD707" s="1477"/>
      <c r="BE707" s="1477"/>
      <c r="BF707" s="1477"/>
      <c r="BG707" s="1477"/>
      <c r="BH707" s="1477"/>
      <c r="BI707" s="1477"/>
      <c r="BJ707" s="1477"/>
      <c r="BK707" s="1477"/>
      <c r="BL707" s="1477"/>
      <c r="BM707" s="1477"/>
      <c r="BN707" s="1477"/>
      <c r="BO707" s="1477"/>
      <c r="BP707" s="1477"/>
      <c r="BQ707" s="1477"/>
      <c r="BR707" s="1477"/>
      <c r="BS707" s="1477"/>
      <c r="BT707" s="1477"/>
      <c r="BU707" s="1477"/>
      <c r="BV707" s="1477"/>
      <c r="BW707" s="1477"/>
      <c r="BX707" s="1477"/>
      <c r="BY707" s="1477"/>
      <c r="BZ707" s="1477"/>
      <c r="CA707" s="1477"/>
      <c r="CB707" s="1477"/>
      <c r="CC707" s="1477"/>
      <c r="CD707" s="1477"/>
      <c r="CE707" s="1477"/>
      <c r="CF707" s="1477"/>
      <c r="CG707" s="1477"/>
      <c r="CH707" s="1477"/>
    </row>
    <row r="708" spans="2:86">
      <c r="B708" s="1477"/>
      <c r="C708" s="1477"/>
      <c r="D708" s="1477"/>
      <c r="E708" s="1477"/>
      <c r="F708" s="1477"/>
      <c r="G708" s="1477"/>
      <c r="H708" s="1477"/>
      <c r="I708" s="1477"/>
      <c r="J708" s="1477"/>
      <c r="K708" s="1477"/>
      <c r="L708" s="1477"/>
      <c r="M708" s="1477"/>
      <c r="N708" s="1477"/>
      <c r="O708" s="1477"/>
      <c r="P708" s="1477"/>
      <c r="Q708" s="1477"/>
      <c r="R708" s="1477"/>
      <c r="S708" s="1477"/>
      <c r="T708" s="1477"/>
      <c r="U708" s="1477"/>
      <c r="V708" s="1477"/>
      <c r="W708" s="1477"/>
      <c r="X708" s="1477"/>
      <c r="Y708" s="1477"/>
      <c r="Z708" s="1477"/>
      <c r="AA708" s="1477"/>
      <c r="AB708" s="1477"/>
      <c r="AC708" s="1477"/>
      <c r="AD708" s="1477"/>
      <c r="AE708" s="1477"/>
      <c r="AF708" s="1477"/>
      <c r="AG708" s="1477"/>
      <c r="AH708" s="1477"/>
      <c r="AI708" s="1477"/>
      <c r="AJ708" s="1477"/>
      <c r="AK708" s="1477"/>
      <c r="AL708" s="1477"/>
      <c r="AM708" s="1477"/>
      <c r="AN708" s="1477"/>
      <c r="AO708" s="284"/>
      <c r="AP708" s="1477"/>
      <c r="AQ708" s="1477"/>
      <c r="AR708" s="1477"/>
      <c r="AS708" s="1477"/>
      <c r="AT708" s="1477"/>
      <c r="AU708" s="1477"/>
      <c r="AV708" s="1477"/>
      <c r="AW708" s="1477"/>
      <c r="AX708" s="1477"/>
      <c r="AY708" s="1477"/>
      <c r="AZ708" s="1477"/>
      <c r="BA708" s="1477"/>
      <c r="BB708" s="1477"/>
      <c r="BC708" s="1477"/>
      <c r="BD708" s="1477"/>
      <c r="BE708" s="1477"/>
      <c r="BF708" s="1477"/>
      <c r="BG708" s="1477"/>
      <c r="BH708" s="1477"/>
      <c r="BI708" s="1477"/>
      <c r="BJ708" s="1477"/>
      <c r="BK708" s="1477"/>
      <c r="BL708" s="1477"/>
      <c r="BM708" s="1477"/>
      <c r="BN708" s="1477"/>
      <c r="BO708" s="1477"/>
      <c r="BP708" s="1477"/>
      <c r="BQ708" s="1477"/>
      <c r="BR708" s="1477"/>
      <c r="BS708" s="1477"/>
      <c r="BT708" s="1477"/>
      <c r="BU708" s="1477"/>
      <c r="BV708" s="1477"/>
      <c r="BW708" s="1477"/>
      <c r="BX708" s="1477"/>
      <c r="BY708" s="1477"/>
      <c r="BZ708" s="1477"/>
      <c r="CA708" s="1477"/>
      <c r="CB708" s="1477"/>
      <c r="CC708" s="1477"/>
      <c r="CD708" s="1477"/>
      <c r="CE708" s="1477"/>
      <c r="CF708" s="1477"/>
      <c r="CG708" s="1477"/>
      <c r="CH708" s="1477"/>
    </row>
    <row r="709" spans="2:86">
      <c r="B709" s="1477"/>
      <c r="C709" s="1477"/>
      <c r="D709" s="1477"/>
      <c r="E709" s="1477"/>
      <c r="F709" s="1477"/>
      <c r="G709" s="1477"/>
      <c r="H709" s="1477"/>
      <c r="I709" s="1477"/>
      <c r="J709" s="1477"/>
      <c r="K709" s="1477"/>
      <c r="L709" s="1477"/>
      <c r="M709" s="1477"/>
      <c r="N709" s="1477"/>
      <c r="O709" s="1477"/>
      <c r="P709" s="1477"/>
      <c r="Q709" s="1477"/>
      <c r="R709" s="1477"/>
      <c r="S709" s="1477"/>
      <c r="T709" s="1477"/>
      <c r="U709" s="1477"/>
      <c r="V709" s="1477"/>
      <c r="W709" s="1477"/>
      <c r="X709" s="1477"/>
      <c r="Y709" s="1477"/>
      <c r="Z709" s="1477"/>
      <c r="AA709" s="1477"/>
      <c r="AB709" s="1477"/>
      <c r="AC709" s="1477"/>
      <c r="AD709" s="1477"/>
      <c r="AE709" s="1477"/>
      <c r="AF709" s="1477"/>
      <c r="AG709" s="1477"/>
      <c r="AH709" s="1477"/>
      <c r="AI709" s="1477"/>
      <c r="AJ709" s="1477"/>
      <c r="AK709" s="1477"/>
      <c r="AL709" s="1477"/>
      <c r="AM709" s="1477"/>
      <c r="AN709" s="1477"/>
      <c r="AO709" s="284"/>
      <c r="AP709" s="1477"/>
      <c r="AQ709" s="1477"/>
      <c r="AR709" s="1477"/>
      <c r="AS709" s="1477"/>
      <c r="AT709" s="1477"/>
      <c r="AU709" s="1477"/>
      <c r="AV709" s="1477"/>
      <c r="AW709" s="1477"/>
      <c r="AX709" s="1477"/>
      <c r="AY709" s="1477"/>
      <c r="AZ709" s="1477"/>
      <c r="BA709" s="1477"/>
      <c r="BB709" s="1477"/>
      <c r="BC709" s="1477"/>
      <c r="BD709" s="1477"/>
      <c r="BE709" s="1477"/>
      <c r="BF709" s="1477"/>
      <c r="BG709" s="1477"/>
      <c r="BH709" s="1477"/>
      <c r="BI709" s="1477"/>
      <c r="BJ709" s="1477"/>
      <c r="BK709" s="1477"/>
      <c r="BL709" s="1477"/>
      <c r="BM709" s="1477"/>
      <c r="BN709" s="1477"/>
      <c r="BO709" s="1477"/>
      <c r="BP709" s="1477"/>
      <c r="BQ709" s="1477"/>
      <c r="BR709" s="1477"/>
      <c r="BS709" s="1477"/>
      <c r="BT709" s="1477"/>
      <c r="BU709" s="1477"/>
      <c r="BV709" s="1477"/>
      <c r="BW709" s="1477"/>
      <c r="BX709" s="1477"/>
      <c r="BY709" s="1477"/>
      <c r="BZ709" s="1477"/>
      <c r="CA709" s="1477"/>
      <c r="CB709" s="1477"/>
      <c r="CC709" s="1477"/>
      <c r="CD709" s="1477"/>
      <c r="CE709" s="1477"/>
      <c r="CF709" s="1477"/>
      <c r="CG709" s="1477"/>
      <c r="CH709" s="1477"/>
    </row>
    <row r="710" spans="2:86">
      <c r="B710" s="1477"/>
      <c r="C710" s="1477"/>
      <c r="D710" s="1477"/>
      <c r="E710" s="1477"/>
      <c r="F710" s="1477"/>
      <c r="G710" s="1477"/>
      <c r="H710" s="1477"/>
      <c r="I710" s="1477"/>
      <c r="J710" s="1477"/>
      <c r="K710" s="1477"/>
      <c r="L710" s="1477"/>
      <c r="M710" s="1477"/>
      <c r="N710" s="1477"/>
      <c r="O710" s="1477"/>
      <c r="P710" s="1477"/>
      <c r="Q710" s="1477"/>
      <c r="R710" s="1477"/>
      <c r="S710" s="1477"/>
      <c r="T710" s="1477"/>
      <c r="U710" s="1477"/>
      <c r="V710" s="1477"/>
      <c r="W710" s="1477"/>
      <c r="X710" s="1477"/>
      <c r="Y710" s="1477"/>
      <c r="Z710" s="1477"/>
      <c r="AA710" s="1477"/>
      <c r="AB710" s="1477"/>
      <c r="AC710" s="1477"/>
      <c r="AD710" s="1477"/>
      <c r="AE710" s="1477"/>
      <c r="AF710" s="1477"/>
      <c r="AG710" s="1477"/>
      <c r="AH710" s="1477"/>
      <c r="AI710" s="1477"/>
      <c r="AJ710" s="1477"/>
      <c r="AK710" s="1477"/>
      <c r="AL710" s="1477"/>
      <c r="AM710" s="1477"/>
      <c r="AN710" s="1477"/>
      <c r="AO710" s="284"/>
      <c r="AP710" s="1477"/>
      <c r="AQ710" s="1477"/>
      <c r="AR710" s="1477"/>
      <c r="AS710" s="1477"/>
      <c r="AT710" s="1477"/>
      <c r="AU710" s="1477"/>
      <c r="AV710" s="1477"/>
      <c r="AW710" s="1477"/>
      <c r="AX710" s="1477"/>
      <c r="AY710" s="1477"/>
      <c r="AZ710" s="1477"/>
      <c r="BA710" s="1477"/>
      <c r="BB710" s="1477"/>
      <c r="BC710" s="1477"/>
      <c r="BD710" s="1477"/>
      <c r="BE710" s="1477"/>
      <c r="BF710" s="1477"/>
      <c r="BG710" s="1477"/>
      <c r="BH710" s="1477"/>
      <c r="BI710" s="1477"/>
      <c r="BJ710" s="1477"/>
      <c r="BK710" s="1477"/>
      <c r="BL710" s="1477"/>
      <c r="BM710" s="1477"/>
      <c r="BN710" s="1477"/>
      <c r="BO710" s="1477"/>
      <c r="BP710" s="1477"/>
      <c r="BQ710" s="1477"/>
      <c r="BR710" s="1477"/>
      <c r="BS710" s="1477"/>
      <c r="BT710" s="1477"/>
      <c r="BU710" s="1477"/>
      <c r="BV710" s="1477"/>
      <c r="BW710" s="1477"/>
      <c r="BX710" s="1477"/>
      <c r="BY710" s="1477"/>
      <c r="BZ710" s="1477"/>
      <c r="CA710" s="1477"/>
      <c r="CB710" s="1477"/>
      <c r="CC710" s="1477"/>
      <c r="CD710" s="1477"/>
      <c r="CE710" s="1477"/>
      <c r="CF710" s="1477"/>
      <c r="CG710" s="1477"/>
      <c r="CH710" s="1477"/>
    </row>
    <row r="711" spans="2:86">
      <c r="B711" s="1477"/>
      <c r="C711" s="1477"/>
      <c r="D711" s="1477"/>
      <c r="E711" s="1477"/>
      <c r="F711" s="1477"/>
      <c r="G711" s="1477"/>
      <c r="H711" s="1477"/>
      <c r="I711" s="1477"/>
      <c r="J711" s="1477"/>
      <c r="K711" s="1477"/>
      <c r="L711" s="1477"/>
      <c r="M711" s="1477"/>
      <c r="N711" s="1477"/>
      <c r="O711" s="1477"/>
      <c r="P711" s="1477"/>
      <c r="Q711" s="1477"/>
      <c r="R711" s="1477"/>
      <c r="S711" s="1477"/>
      <c r="T711" s="1477"/>
      <c r="U711" s="1477"/>
      <c r="V711" s="1477"/>
      <c r="W711" s="1477"/>
      <c r="X711" s="1477"/>
      <c r="Y711" s="1477"/>
      <c r="Z711" s="1477"/>
      <c r="AA711" s="1477"/>
      <c r="AB711" s="1477"/>
      <c r="AC711" s="1477"/>
      <c r="AD711" s="1477"/>
      <c r="AE711" s="1477"/>
      <c r="AF711" s="1477"/>
      <c r="AG711" s="1477"/>
      <c r="AH711" s="1477"/>
      <c r="AI711" s="1477"/>
      <c r="AJ711" s="1477"/>
      <c r="AK711" s="1477"/>
      <c r="AL711" s="1477"/>
      <c r="AM711" s="1477"/>
      <c r="AN711" s="1477"/>
      <c r="AO711" s="284"/>
      <c r="AP711" s="1477"/>
      <c r="AQ711" s="1477"/>
      <c r="AR711" s="1477"/>
      <c r="AS711" s="1477"/>
      <c r="AT711" s="1477"/>
      <c r="AU711" s="1477"/>
      <c r="AV711" s="1477"/>
      <c r="AW711" s="1477"/>
      <c r="AX711" s="1477"/>
      <c r="AY711" s="1477"/>
      <c r="AZ711" s="1477"/>
      <c r="BA711" s="1477"/>
      <c r="BB711" s="1477"/>
      <c r="BC711" s="1477"/>
      <c r="BD711" s="1477"/>
      <c r="BE711" s="1477"/>
      <c r="BF711" s="1477"/>
      <c r="BG711" s="1477"/>
      <c r="BH711" s="1477"/>
      <c r="BI711" s="1477"/>
      <c r="BJ711" s="1477"/>
      <c r="BK711" s="1477"/>
      <c r="BL711" s="1477"/>
      <c r="BM711" s="1477"/>
      <c r="BN711" s="1477"/>
      <c r="BO711" s="1477"/>
      <c r="BP711" s="1477"/>
      <c r="BQ711" s="1477"/>
      <c r="BR711" s="1477"/>
      <c r="BS711" s="1477"/>
      <c r="BT711" s="1477"/>
      <c r="BU711" s="1477"/>
      <c r="BV711" s="1477"/>
      <c r="BW711" s="1477"/>
      <c r="BX711" s="1477"/>
      <c r="BY711" s="1477"/>
      <c r="BZ711" s="1477"/>
      <c r="CA711" s="1477"/>
      <c r="CB711" s="1477"/>
      <c r="CC711" s="1477"/>
      <c r="CD711" s="1477"/>
      <c r="CE711" s="1477"/>
      <c r="CF711" s="1477"/>
      <c r="CG711" s="1477"/>
      <c r="CH711" s="1477"/>
    </row>
    <row r="712" spans="2:86">
      <c r="B712" s="1477"/>
      <c r="C712" s="1477"/>
      <c r="D712" s="1477"/>
      <c r="E712" s="1477"/>
      <c r="F712" s="1477"/>
      <c r="G712" s="1477"/>
      <c r="H712" s="1477"/>
      <c r="I712" s="1477"/>
      <c r="J712" s="1477"/>
      <c r="K712" s="1477"/>
      <c r="L712" s="1477"/>
      <c r="M712" s="1477"/>
      <c r="N712" s="1477"/>
      <c r="O712" s="1477"/>
      <c r="P712" s="1477"/>
      <c r="Q712" s="1477"/>
      <c r="R712" s="1477"/>
      <c r="S712" s="1477"/>
      <c r="T712" s="1477"/>
      <c r="U712" s="1477"/>
      <c r="V712" s="1477"/>
      <c r="W712" s="1477"/>
      <c r="X712" s="1477"/>
      <c r="Y712" s="1477"/>
      <c r="Z712" s="1477"/>
      <c r="AA712" s="1477"/>
      <c r="AB712" s="1477"/>
      <c r="AC712" s="1477"/>
      <c r="AD712" s="1477"/>
      <c r="AE712" s="1477"/>
      <c r="AF712" s="1477"/>
      <c r="AG712" s="1477"/>
      <c r="AH712" s="1477"/>
      <c r="AI712" s="1477"/>
      <c r="AJ712" s="1477"/>
      <c r="AK712" s="1477"/>
      <c r="AL712" s="1477"/>
      <c r="AM712" s="1477"/>
      <c r="AN712" s="1477"/>
      <c r="AO712" s="284"/>
      <c r="AP712" s="1477"/>
      <c r="AQ712" s="1477"/>
      <c r="AR712" s="1477"/>
      <c r="AS712" s="1477"/>
      <c r="AT712" s="1477"/>
      <c r="AU712" s="1477"/>
      <c r="AV712" s="1477"/>
      <c r="AW712" s="1477"/>
      <c r="AX712" s="1477"/>
      <c r="AY712" s="1477"/>
      <c r="AZ712" s="1477"/>
      <c r="BA712" s="1477"/>
      <c r="BB712" s="1477"/>
      <c r="BC712" s="1477"/>
      <c r="BD712" s="1477"/>
      <c r="BE712" s="1477"/>
      <c r="BF712" s="1477"/>
      <c r="BG712" s="1477"/>
      <c r="BH712" s="1477"/>
      <c r="BI712" s="1477"/>
      <c r="BJ712" s="1477"/>
      <c r="BK712" s="1477"/>
      <c r="BL712" s="1477"/>
      <c r="BM712" s="1477"/>
      <c r="BN712" s="1477"/>
      <c r="BO712" s="1477"/>
      <c r="BP712" s="1477"/>
      <c r="BQ712" s="1477"/>
      <c r="BR712" s="1477"/>
      <c r="BS712" s="1477"/>
      <c r="BT712" s="1477"/>
      <c r="BU712" s="1477"/>
      <c r="BV712" s="1477"/>
      <c r="BW712" s="1477"/>
      <c r="BX712" s="1477"/>
      <c r="BY712" s="1477"/>
      <c r="BZ712" s="1477"/>
      <c r="CA712" s="1477"/>
      <c r="CB712" s="1477"/>
      <c r="CC712" s="1477"/>
      <c r="CD712" s="1477"/>
      <c r="CE712" s="1477"/>
      <c r="CF712" s="1477"/>
      <c r="CG712" s="1477"/>
      <c r="CH712" s="1477"/>
    </row>
    <row r="713" spans="2:86">
      <c r="B713" s="1477"/>
      <c r="C713" s="1477"/>
      <c r="D713" s="1477"/>
      <c r="E713" s="1477"/>
      <c r="F713" s="1477"/>
      <c r="G713" s="1477"/>
      <c r="H713" s="1477"/>
      <c r="I713" s="1477"/>
      <c r="J713" s="1477"/>
      <c r="K713" s="1477"/>
      <c r="L713" s="1477"/>
      <c r="M713" s="1477"/>
      <c r="N713" s="1477"/>
      <c r="O713" s="1477"/>
      <c r="P713" s="1477"/>
      <c r="Q713" s="1477"/>
      <c r="R713" s="1477"/>
      <c r="S713" s="1477"/>
      <c r="T713" s="1477"/>
      <c r="U713" s="1477"/>
      <c r="V713" s="1477"/>
      <c r="W713" s="1477"/>
      <c r="X713" s="1477"/>
      <c r="Y713" s="1477"/>
      <c r="Z713" s="1477"/>
      <c r="AA713" s="1477"/>
      <c r="AB713" s="1477"/>
      <c r="AC713" s="1477"/>
      <c r="AD713" s="1477"/>
      <c r="AE713" s="1477"/>
      <c r="AF713" s="1477"/>
      <c r="AG713" s="1477"/>
      <c r="AH713" s="1477"/>
      <c r="AI713" s="1477"/>
      <c r="AJ713" s="1477"/>
      <c r="AK713" s="1477"/>
      <c r="AL713" s="1477"/>
      <c r="AM713" s="1477"/>
      <c r="AN713" s="1477"/>
      <c r="AO713" s="284"/>
      <c r="AP713" s="1477"/>
      <c r="AQ713" s="1477"/>
      <c r="AR713" s="1477"/>
      <c r="AS713" s="1477"/>
      <c r="AT713" s="1477"/>
      <c r="AU713" s="1477"/>
      <c r="AV713" s="1477"/>
      <c r="AW713" s="1477"/>
      <c r="AX713" s="1477"/>
      <c r="AY713" s="1477"/>
      <c r="AZ713" s="1477"/>
      <c r="BA713" s="1477"/>
      <c r="BB713" s="1477"/>
      <c r="BC713" s="1477"/>
      <c r="BD713" s="1477"/>
      <c r="BE713" s="1477"/>
      <c r="BF713" s="1477"/>
      <c r="BG713" s="1477"/>
      <c r="BH713" s="1477"/>
      <c r="BI713" s="1477"/>
      <c r="BJ713" s="1477"/>
      <c r="BK713" s="1477"/>
      <c r="BL713" s="1477"/>
      <c r="BM713" s="1477"/>
      <c r="BN713" s="1477"/>
      <c r="BO713" s="1477"/>
      <c r="BP713" s="1477"/>
      <c r="BQ713" s="1477"/>
      <c r="BR713" s="1477"/>
      <c r="BS713" s="1477"/>
      <c r="BT713" s="1477"/>
      <c r="BU713" s="1477"/>
      <c r="BV713" s="1477"/>
      <c r="BW713" s="1477"/>
      <c r="BX713" s="1477"/>
      <c r="BY713" s="1477"/>
      <c r="BZ713" s="1477"/>
      <c r="CA713" s="1477"/>
      <c r="CB713" s="1477"/>
      <c r="CC713" s="1477"/>
      <c r="CD713" s="1477"/>
      <c r="CE713" s="1477"/>
      <c r="CF713" s="1477"/>
      <c r="CG713" s="1477"/>
      <c r="CH713" s="1477"/>
    </row>
    <row r="714" spans="2:86">
      <c r="B714" s="1477"/>
      <c r="C714" s="1477"/>
      <c r="D714" s="1477"/>
      <c r="E714" s="1477"/>
      <c r="F714" s="1477"/>
      <c r="G714" s="1477"/>
      <c r="H714" s="1477"/>
      <c r="I714" s="1477"/>
      <c r="J714" s="1477"/>
      <c r="K714" s="1477"/>
      <c r="L714" s="1477"/>
      <c r="M714" s="1477"/>
      <c r="N714" s="1477"/>
      <c r="O714" s="1477"/>
      <c r="P714" s="1477"/>
      <c r="Q714" s="1477"/>
      <c r="R714" s="1477"/>
      <c r="S714" s="1477"/>
      <c r="T714" s="1477"/>
      <c r="U714" s="1477"/>
      <c r="V714" s="1477"/>
      <c r="W714" s="1477"/>
      <c r="X714" s="1477"/>
      <c r="Y714" s="1477"/>
      <c r="Z714" s="1477"/>
      <c r="AA714" s="1477"/>
      <c r="AB714" s="1477"/>
      <c r="AC714" s="1477"/>
      <c r="AD714" s="1477"/>
      <c r="AE714" s="1477"/>
      <c r="AF714" s="1477"/>
      <c r="AG714" s="1477"/>
      <c r="AH714" s="1477"/>
      <c r="AI714" s="1477"/>
      <c r="AJ714" s="1477"/>
      <c r="AK714" s="1477"/>
      <c r="AL714" s="1477"/>
      <c r="AM714" s="1477"/>
      <c r="AN714" s="1477"/>
      <c r="AO714" s="284"/>
      <c r="AP714" s="1477"/>
      <c r="AQ714" s="1477"/>
      <c r="AR714" s="1477"/>
      <c r="AS714" s="1477"/>
      <c r="AT714" s="1477"/>
      <c r="AU714" s="1477"/>
      <c r="AV714" s="1477"/>
      <c r="AW714" s="1477"/>
      <c r="AX714" s="1477"/>
      <c r="AY714" s="1477"/>
      <c r="AZ714" s="1477"/>
      <c r="BA714" s="1477"/>
      <c r="BB714" s="1477"/>
      <c r="BC714" s="1477"/>
      <c r="BD714" s="1477"/>
      <c r="BE714" s="1477"/>
      <c r="BF714" s="1477"/>
      <c r="BG714" s="1477"/>
      <c r="BH714" s="1477"/>
      <c r="BI714" s="1477"/>
      <c r="BJ714" s="1477"/>
      <c r="BK714" s="1477"/>
      <c r="BL714" s="1477"/>
      <c r="BM714" s="1477"/>
      <c r="BN714" s="1477"/>
      <c r="BO714" s="1477"/>
      <c r="BP714" s="1477"/>
      <c r="BQ714" s="1477"/>
      <c r="BR714" s="1477"/>
      <c r="BS714" s="1477"/>
      <c r="BT714" s="1477"/>
      <c r="BU714" s="1477"/>
      <c r="BV714" s="1477"/>
      <c r="BW714" s="1477"/>
      <c r="BX714" s="1477"/>
      <c r="BY714" s="1477"/>
      <c r="BZ714" s="1477"/>
      <c r="CA714" s="1477"/>
      <c r="CB714" s="1477"/>
      <c r="CC714" s="1477"/>
      <c r="CD714" s="1477"/>
      <c r="CE714" s="1477"/>
      <c r="CF714" s="1477"/>
      <c r="CG714" s="1477"/>
      <c r="CH714" s="1477"/>
    </row>
    <row r="715" spans="2:86">
      <c r="B715" s="1477"/>
      <c r="C715" s="1477"/>
      <c r="D715" s="1477"/>
      <c r="E715" s="1477"/>
      <c r="F715" s="1477"/>
      <c r="G715" s="1477"/>
      <c r="H715" s="1477"/>
      <c r="I715" s="1477"/>
      <c r="J715" s="1477"/>
      <c r="K715" s="1477"/>
      <c r="L715" s="1477"/>
      <c r="M715" s="1477"/>
      <c r="N715" s="1477"/>
      <c r="O715" s="1477"/>
      <c r="P715" s="1477"/>
      <c r="Q715" s="1477"/>
      <c r="R715" s="1477"/>
      <c r="S715" s="1477"/>
      <c r="T715" s="1477"/>
      <c r="U715" s="1477"/>
      <c r="V715" s="1477"/>
      <c r="W715" s="1477"/>
      <c r="X715" s="1477"/>
      <c r="Y715" s="1477"/>
      <c r="Z715" s="1477"/>
      <c r="AA715" s="1477"/>
      <c r="AB715" s="1477"/>
      <c r="AC715" s="1477"/>
      <c r="AD715" s="1477"/>
      <c r="AE715" s="1477"/>
      <c r="AF715" s="1477"/>
      <c r="AG715" s="1477"/>
      <c r="AH715" s="1477"/>
      <c r="AI715" s="1477"/>
      <c r="AJ715" s="1477"/>
      <c r="AK715" s="1477"/>
      <c r="AL715" s="1477"/>
      <c r="AM715" s="1477"/>
      <c r="AN715" s="1477"/>
      <c r="AO715" s="284"/>
      <c r="AP715" s="1477"/>
      <c r="AQ715" s="1477"/>
      <c r="AR715" s="1477"/>
      <c r="AS715" s="1477"/>
      <c r="AT715" s="1477"/>
      <c r="AU715" s="1477"/>
      <c r="AV715" s="1477"/>
      <c r="AW715" s="1477"/>
      <c r="AX715" s="1477"/>
      <c r="AY715" s="1477"/>
      <c r="AZ715" s="1477"/>
      <c r="BA715" s="1477"/>
      <c r="BB715" s="1477"/>
      <c r="BC715" s="1477"/>
      <c r="BD715" s="1477"/>
      <c r="BE715" s="1477"/>
      <c r="BF715" s="1477"/>
      <c r="BG715" s="1477"/>
      <c r="BH715" s="1477"/>
      <c r="BI715" s="1477"/>
      <c r="BJ715" s="1477"/>
      <c r="BK715" s="1477"/>
      <c r="BL715" s="1477"/>
      <c r="BM715" s="1477"/>
      <c r="BN715" s="1477"/>
      <c r="BO715" s="1477"/>
      <c r="BP715" s="1477"/>
      <c r="BQ715" s="1477"/>
      <c r="BR715" s="1477"/>
      <c r="BS715" s="1477"/>
      <c r="BT715" s="1477"/>
      <c r="BU715" s="1477"/>
      <c r="BV715" s="1477"/>
      <c r="BW715" s="1477"/>
      <c r="BX715" s="1477"/>
      <c r="BY715" s="1477"/>
      <c r="BZ715" s="1477"/>
      <c r="CA715" s="1477"/>
      <c r="CB715" s="1477"/>
      <c r="CC715" s="1477"/>
      <c r="CD715" s="1477"/>
      <c r="CE715" s="1477"/>
      <c r="CF715" s="1477"/>
      <c r="CG715" s="1477"/>
      <c r="CH715" s="1477"/>
    </row>
    <row r="716" spans="2:86">
      <c r="B716" s="1477"/>
      <c r="C716" s="1477"/>
      <c r="D716" s="1477"/>
      <c r="E716" s="1477"/>
      <c r="F716" s="1477"/>
      <c r="G716" s="1477"/>
      <c r="H716" s="1477"/>
      <c r="I716" s="1477"/>
      <c r="J716" s="1477"/>
      <c r="K716" s="1477"/>
      <c r="L716" s="1477"/>
      <c r="M716" s="1477"/>
      <c r="N716" s="1477"/>
      <c r="O716" s="1477"/>
      <c r="P716" s="1477"/>
      <c r="Q716" s="1477"/>
      <c r="R716" s="1477"/>
      <c r="S716" s="1477"/>
      <c r="T716" s="1477"/>
      <c r="U716" s="1477"/>
      <c r="V716" s="1477"/>
      <c r="W716" s="1477"/>
      <c r="X716" s="1477"/>
      <c r="Y716" s="1477"/>
      <c r="Z716" s="1477"/>
      <c r="AA716" s="1477"/>
      <c r="AB716" s="1477"/>
      <c r="AC716" s="1477"/>
      <c r="AD716" s="1477"/>
      <c r="AE716" s="1477"/>
      <c r="AF716" s="1477"/>
      <c r="AG716" s="1477"/>
      <c r="AH716" s="1477"/>
      <c r="AI716" s="1477"/>
      <c r="AJ716" s="1477"/>
      <c r="AK716" s="1477"/>
      <c r="AL716" s="1477"/>
      <c r="AM716" s="1477"/>
      <c r="AN716" s="1477"/>
      <c r="AO716" s="284"/>
      <c r="AP716" s="1477"/>
      <c r="AQ716" s="1477"/>
      <c r="AR716" s="1477"/>
      <c r="AS716" s="1477"/>
      <c r="AT716" s="1477"/>
      <c r="AU716" s="1477"/>
      <c r="AV716" s="1477"/>
      <c r="AW716" s="1477"/>
      <c r="AX716" s="1477"/>
      <c r="AY716" s="1477"/>
      <c r="AZ716" s="1477"/>
      <c r="BA716" s="1477"/>
      <c r="BB716" s="1477"/>
      <c r="BC716" s="1477"/>
      <c r="BD716" s="1477"/>
      <c r="BE716" s="1477"/>
      <c r="BF716" s="1477"/>
      <c r="BG716" s="1477"/>
      <c r="BH716" s="1477"/>
      <c r="BI716" s="1477"/>
      <c r="BJ716" s="1477"/>
      <c r="BK716" s="1477"/>
      <c r="BL716" s="1477"/>
      <c r="BM716" s="1477"/>
      <c r="BN716" s="1477"/>
      <c r="BO716" s="1477"/>
      <c r="BP716" s="1477"/>
      <c r="BQ716" s="1477"/>
      <c r="BR716" s="1477"/>
      <c r="BS716" s="1477"/>
      <c r="BT716" s="1477"/>
      <c r="BU716" s="1477"/>
      <c r="BV716" s="1477"/>
      <c r="BW716" s="1477"/>
      <c r="BX716" s="1477"/>
      <c r="BY716" s="1477"/>
      <c r="BZ716" s="1477"/>
      <c r="CA716" s="1477"/>
      <c r="CB716" s="1477"/>
      <c r="CC716" s="1477"/>
      <c r="CD716" s="1477"/>
      <c r="CE716" s="1477"/>
      <c r="CF716" s="1477"/>
      <c r="CG716" s="1477"/>
      <c r="CH716" s="1477"/>
    </row>
    <row r="717" spans="2:86">
      <c r="B717" s="1477"/>
      <c r="C717" s="1477"/>
      <c r="D717" s="1477"/>
      <c r="E717" s="1477"/>
      <c r="F717" s="1477"/>
      <c r="G717" s="1477"/>
      <c r="H717" s="1477"/>
      <c r="I717" s="1477"/>
      <c r="J717" s="1477"/>
      <c r="K717" s="1477"/>
      <c r="L717" s="1477"/>
      <c r="M717" s="1477"/>
      <c r="N717" s="1477"/>
      <c r="O717" s="1477"/>
      <c r="P717" s="1477"/>
      <c r="Q717" s="1477"/>
      <c r="R717" s="1477"/>
      <c r="S717" s="1477"/>
      <c r="T717" s="1477"/>
      <c r="U717" s="1477"/>
      <c r="V717" s="1477"/>
      <c r="W717" s="1477"/>
      <c r="X717" s="1477"/>
      <c r="Y717" s="1477"/>
      <c r="Z717" s="1477"/>
      <c r="AA717" s="1477"/>
      <c r="AB717" s="1477"/>
      <c r="AC717" s="1477"/>
      <c r="AD717" s="1477"/>
      <c r="AE717" s="1477"/>
      <c r="AF717" s="1477"/>
      <c r="AG717" s="1477"/>
      <c r="AH717" s="1477"/>
      <c r="AI717" s="1477"/>
      <c r="AJ717" s="1477"/>
      <c r="AK717" s="1477"/>
      <c r="AL717" s="1477"/>
      <c r="AM717" s="1477"/>
      <c r="AN717" s="1477"/>
      <c r="AO717" s="284"/>
      <c r="AP717" s="1477"/>
      <c r="AQ717" s="1477"/>
      <c r="AR717" s="1477"/>
      <c r="AS717" s="1477"/>
      <c r="AT717" s="1477"/>
      <c r="AU717" s="1477"/>
      <c r="AV717" s="1477"/>
      <c r="AW717" s="1477"/>
      <c r="AX717" s="1477"/>
      <c r="AY717" s="1477"/>
      <c r="AZ717" s="1477"/>
      <c r="BA717" s="1477"/>
      <c r="BB717" s="1477"/>
      <c r="BC717" s="1477"/>
      <c r="BD717" s="1477"/>
      <c r="BE717" s="1477"/>
      <c r="BF717" s="1477"/>
      <c r="BG717" s="1477"/>
      <c r="BH717" s="1477"/>
      <c r="BI717" s="1477"/>
      <c r="BJ717" s="1477"/>
      <c r="BK717" s="1477"/>
      <c r="BL717" s="1477"/>
      <c r="BM717" s="1477"/>
      <c r="BN717" s="1477"/>
      <c r="BO717" s="1477"/>
      <c r="BP717" s="1477"/>
      <c r="BQ717" s="1477"/>
      <c r="BR717" s="1477"/>
      <c r="BS717" s="1477"/>
      <c r="BT717" s="1477"/>
      <c r="BU717" s="1477"/>
      <c r="BV717" s="1477"/>
      <c r="BW717" s="1477"/>
      <c r="BX717" s="1477"/>
      <c r="BY717" s="1477"/>
      <c r="BZ717" s="1477"/>
      <c r="CA717" s="1477"/>
      <c r="CB717" s="1477"/>
      <c r="CC717" s="1477"/>
      <c r="CD717" s="1477"/>
      <c r="CE717" s="1477"/>
      <c r="CF717" s="1477"/>
      <c r="CG717" s="1477"/>
      <c r="CH717" s="1477"/>
    </row>
    <row r="718" spans="2:86">
      <c r="B718" s="1477"/>
      <c r="C718" s="1477"/>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I718" s="1477"/>
      <c r="AJ718" s="1477"/>
      <c r="AK718" s="1477"/>
      <c r="AL718" s="1477"/>
      <c r="AM718" s="1477"/>
      <c r="AN718" s="1477"/>
      <c r="AO718" s="284"/>
      <c r="AP718" s="1477"/>
      <c r="AQ718" s="1477"/>
      <c r="AR718" s="1477"/>
      <c r="AS718" s="1477"/>
      <c r="AT718" s="1477"/>
      <c r="AU718" s="1477"/>
      <c r="AV718" s="1477"/>
      <c r="AW718" s="1477"/>
      <c r="AX718" s="1477"/>
      <c r="AY718" s="1477"/>
      <c r="AZ718" s="1477"/>
      <c r="BA718" s="1477"/>
      <c r="BB718" s="1477"/>
      <c r="BC718" s="1477"/>
      <c r="BD718" s="1477"/>
      <c r="BE718" s="1477"/>
      <c r="BF718" s="1477"/>
      <c r="BG718" s="1477"/>
      <c r="BH718" s="1477"/>
      <c r="BI718" s="1477"/>
      <c r="BJ718" s="1477"/>
      <c r="BK718" s="1477"/>
      <c r="BL718" s="1477"/>
      <c r="BM718" s="1477"/>
      <c r="BN718" s="1477"/>
      <c r="BO718" s="1477"/>
      <c r="BP718" s="1477"/>
      <c r="BQ718" s="1477"/>
      <c r="BR718" s="1477"/>
      <c r="BS718" s="1477"/>
      <c r="BT718" s="1477"/>
      <c r="BU718" s="1477"/>
      <c r="BV718" s="1477"/>
      <c r="BW718" s="1477"/>
      <c r="BX718" s="1477"/>
      <c r="BY718" s="1477"/>
      <c r="BZ718" s="1477"/>
      <c r="CA718" s="1477"/>
      <c r="CB718" s="1477"/>
      <c r="CC718" s="1477"/>
      <c r="CD718" s="1477"/>
      <c r="CE718" s="1477"/>
      <c r="CF718" s="1477"/>
      <c r="CG718" s="1477"/>
      <c r="CH718" s="1477"/>
    </row>
    <row r="719" spans="2:86">
      <c r="B719" s="1477"/>
      <c r="C719" s="1477"/>
      <c r="D719" s="1477"/>
      <c r="E719" s="1477"/>
      <c r="F719" s="1477"/>
      <c r="G719" s="1477"/>
      <c r="H719" s="1477"/>
      <c r="I719" s="1477"/>
      <c r="J719" s="1477"/>
      <c r="K719" s="1477"/>
      <c r="L719" s="1477"/>
      <c r="M719" s="1478"/>
      <c r="N719" s="1478"/>
      <c r="O719" s="1478"/>
      <c r="P719" s="1478"/>
      <c r="Q719" s="1478"/>
      <c r="R719" s="1478"/>
      <c r="S719" s="1478"/>
      <c r="T719" s="1478"/>
      <c r="U719" s="1478"/>
      <c r="V719" s="1478"/>
      <c r="W719" s="1478"/>
      <c r="X719" s="1478"/>
      <c r="Y719" s="1478"/>
      <c r="Z719" s="1478"/>
      <c r="AA719" s="1478"/>
      <c r="AB719" s="1478"/>
      <c r="AC719" s="1477"/>
      <c r="AD719" s="1477"/>
      <c r="AE719" s="1477"/>
      <c r="AF719" s="1477"/>
      <c r="AG719" s="1477"/>
      <c r="AH719" s="1477"/>
      <c r="AI719" s="1477"/>
      <c r="AJ719" s="1477"/>
      <c r="AK719" s="1477"/>
      <c r="AL719" s="1477"/>
      <c r="AM719" s="1477"/>
      <c r="AN719" s="1477"/>
      <c r="AO719" s="284"/>
      <c r="AP719" s="1477"/>
      <c r="AQ719" s="1477"/>
      <c r="AR719" s="1477"/>
      <c r="AS719" s="1477"/>
      <c r="AT719" s="1477"/>
      <c r="AU719" s="1477"/>
      <c r="AV719" s="1477"/>
      <c r="AW719" s="1477"/>
      <c r="AX719" s="1477"/>
      <c r="AY719" s="1477"/>
      <c r="AZ719" s="1477"/>
      <c r="BA719" s="1477"/>
      <c r="BB719" s="1477"/>
      <c r="BC719" s="1477"/>
      <c r="BD719" s="1477"/>
      <c r="BE719" s="1477"/>
      <c r="BF719" s="1477"/>
      <c r="BG719" s="1477"/>
      <c r="BH719" s="1477"/>
      <c r="BI719" s="1477"/>
      <c r="BJ719" s="1477"/>
      <c r="BK719" s="1477"/>
      <c r="BL719" s="1477"/>
      <c r="BM719" s="1477"/>
      <c r="BN719" s="1477"/>
      <c r="BO719" s="1477"/>
      <c r="BP719" s="1477"/>
      <c r="BQ719" s="1477"/>
      <c r="BR719" s="1477"/>
      <c r="BS719" s="1477"/>
      <c r="BT719" s="1477"/>
      <c r="BU719" s="1477"/>
      <c r="BV719" s="1477"/>
      <c r="BW719" s="1477"/>
      <c r="BX719" s="1477"/>
      <c r="BY719" s="1477"/>
      <c r="BZ719" s="1477"/>
      <c r="CA719" s="1477"/>
      <c r="CB719" s="1477"/>
      <c r="CC719" s="1477"/>
      <c r="CD719" s="1477"/>
      <c r="CE719" s="1477"/>
      <c r="CF719" s="1477"/>
      <c r="CG719" s="1477"/>
      <c r="CH719" s="1477"/>
    </row>
    <row r="720" spans="2:86">
      <c r="B720" s="1477"/>
      <c r="C720" s="1477"/>
      <c r="D720" s="1477"/>
      <c r="E720" s="1477"/>
      <c r="F720" s="1477"/>
      <c r="G720" s="1477"/>
      <c r="H720" s="1477"/>
      <c r="I720" s="1477"/>
      <c r="J720" s="1477"/>
      <c r="K720" s="1477"/>
      <c r="L720" s="1477"/>
      <c r="M720" s="1478"/>
      <c r="N720" s="1478"/>
      <c r="O720" s="1478"/>
      <c r="P720" s="1478"/>
      <c r="Q720" s="1478"/>
      <c r="R720" s="1478"/>
      <c r="S720" s="1478"/>
      <c r="T720" s="1478"/>
      <c r="U720" s="1478"/>
      <c r="V720" s="1478"/>
      <c r="W720" s="1478"/>
      <c r="X720" s="1478"/>
      <c r="Y720" s="1478"/>
      <c r="Z720" s="1478"/>
      <c r="AA720" s="1478"/>
      <c r="AB720" s="1478"/>
      <c r="AC720" s="1477"/>
      <c r="AD720" s="1477"/>
      <c r="AE720" s="1477"/>
      <c r="AF720" s="1477"/>
      <c r="AG720" s="1477"/>
      <c r="AH720" s="1477"/>
      <c r="AI720" s="1477"/>
      <c r="AJ720" s="1477"/>
      <c r="AK720" s="1477"/>
      <c r="AL720" s="1477"/>
      <c r="AM720" s="1477"/>
      <c r="AN720" s="1477"/>
      <c r="AO720" s="284"/>
      <c r="AP720" s="1477"/>
      <c r="AQ720" s="1477"/>
      <c r="AR720" s="1477"/>
      <c r="AS720" s="1477"/>
      <c r="AT720" s="1477"/>
      <c r="AU720" s="1477"/>
      <c r="AV720" s="1477"/>
      <c r="AW720" s="1477"/>
      <c r="AX720" s="1477"/>
      <c r="AY720" s="1477"/>
      <c r="AZ720" s="1477"/>
      <c r="BA720" s="1477"/>
      <c r="BB720" s="1477"/>
      <c r="BC720" s="1477"/>
      <c r="BD720" s="1477"/>
      <c r="BE720" s="1477"/>
      <c r="BF720" s="1477"/>
      <c r="BG720" s="1477"/>
      <c r="BH720" s="1477"/>
      <c r="BI720" s="1477"/>
      <c r="BJ720" s="1477"/>
      <c r="BK720" s="1477"/>
      <c r="BL720" s="1477"/>
      <c r="BM720" s="1477"/>
      <c r="BN720" s="1477"/>
      <c r="BO720" s="1477"/>
      <c r="BP720" s="1477"/>
      <c r="BQ720" s="1477"/>
      <c r="BR720" s="1477"/>
      <c r="BS720" s="1477"/>
      <c r="BT720" s="1477"/>
      <c r="BU720" s="1477"/>
      <c r="BV720" s="1477"/>
      <c r="BW720" s="1477"/>
      <c r="BX720" s="1477"/>
      <c r="BY720" s="1477"/>
      <c r="BZ720" s="1477"/>
      <c r="CA720" s="1477"/>
      <c r="CB720" s="1477"/>
      <c r="CC720" s="1477"/>
      <c r="CD720" s="1477"/>
      <c r="CE720" s="1477"/>
      <c r="CF720" s="1477"/>
      <c r="CG720" s="1477"/>
      <c r="CH720" s="1477"/>
    </row>
    <row r="721" spans="2:86">
      <c r="B721" s="1477"/>
      <c r="C721" s="1477"/>
      <c r="D721" s="1477"/>
      <c r="E721" s="1477"/>
      <c r="F721" s="1477"/>
      <c r="G721" s="1477"/>
      <c r="H721" s="1477"/>
      <c r="I721" s="1477"/>
      <c r="J721" s="1477"/>
      <c r="K721" s="1477"/>
      <c r="L721" s="1477"/>
      <c r="M721" s="1478"/>
      <c r="N721" s="1478"/>
      <c r="O721" s="1478"/>
      <c r="P721" s="1478"/>
      <c r="Q721" s="1478"/>
      <c r="R721" s="1478"/>
      <c r="S721" s="1478"/>
      <c r="T721" s="1478"/>
      <c r="U721" s="1478"/>
      <c r="V721" s="1478"/>
      <c r="W721" s="1478"/>
      <c r="X721" s="1478"/>
      <c r="Y721" s="1478"/>
      <c r="Z721" s="1478"/>
      <c r="AA721" s="1478"/>
      <c r="AB721" s="1478"/>
      <c r="AC721" s="1477"/>
      <c r="AD721" s="1477"/>
      <c r="AE721" s="1477"/>
      <c r="AF721" s="1477"/>
      <c r="AG721" s="1477"/>
      <c r="AH721" s="1477"/>
      <c r="AI721" s="1477"/>
      <c r="AJ721" s="1477"/>
      <c r="AK721" s="1477"/>
      <c r="AL721" s="1477"/>
      <c r="AM721" s="1477"/>
      <c r="AN721" s="1477"/>
      <c r="AO721" s="284"/>
      <c r="AP721" s="1477"/>
      <c r="AQ721" s="1477"/>
      <c r="AR721" s="1477"/>
      <c r="AS721" s="1477"/>
      <c r="AT721" s="1477"/>
      <c r="AU721" s="1477"/>
      <c r="AV721" s="1477"/>
      <c r="AW721" s="1477"/>
      <c r="AX721" s="1477"/>
      <c r="AY721" s="1477"/>
      <c r="AZ721" s="1477"/>
      <c r="BA721" s="1477"/>
      <c r="BB721" s="1477"/>
      <c r="BC721" s="1477"/>
      <c r="BD721" s="1477"/>
      <c r="BE721" s="1477"/>
      <c r="BF721" s="1477"/>
      <c r="BG721" s="1477"/>
      <c r="BH721" s="1477"/>
      <c r="BI721" s="1477"/>
      <c r="BJ721" s="1477"/>
      <c r="BK721" s="1477"/>
      <c r="BL721" s="1477"/>
      <c r="BM721" s="1477"/>
      <c r="BN721" s="1477"/>
      <c r="BO721" s="1477"/>
      <c r="BP721" s="1477"/>
      <c r="BQ721" s="1477"/>
      <c r="BR721" s="1477"/>
      <c r="BS721" s="1477"/>
      <c r="BT721" s="1477"/>
      <c r="BU721" s="1477"/>
      <c r="BV721" s="1477"/>
      <c r="BW721" s="1477"/>
      <c r="BX721" s="1477"/>
      <c r="BY721" s="1477"/>
      <c r="BZ721" s="1477"/>
      <c r="CA721" s="1477"/>
      <c r="CB721" s="1477"/>
      <c r="CC721" s="1477"/>
      <c r="CD721" s="1477"/>
      <c r="CE721" s="1477"/>
      <c r="CF721" s="1477"/>
      <c r="CG721" s="1477"/>
      <c r="CH721" s="1477"/>
    </row>
    <row r="722" spans="2:86">
      <c r="B722" s="1477"/>
      <c r="C722" s="1477"/>
      <c r="D722" s="1477"/>
      <c r="E722" s="1477"/>
      <c r="F722" s="1477"/>
      <c r="G722" s="1477"/>
      <c r="H722" s="1477"/>
      <c r="I722" s="1477"/>
      <c r="J722" s="1477"/>
      <c r="K722" s="1477"/>
      <c r="L722" s="1477"/>
      <c r="M722" s="1478"/>
      <c r="N722" s="1478"/>
      <c r="O722" s="1478"/>
      <c r="P722" s="1478"/>
      <c r="Q722" s="1478"/>
      <c r="R722" s="1478"/>
      <c r="S722" s="1478"/>
      <c r="T722" s="1478"/>
      <c r="U722" s="1478"/>
      <c r="V722" s="1478"/>
      <c r="W722" s="1478"/>
      <c r="X722" s="1478"/>
      <c r="Y722" s="1478"/>
      <c r="Z722" s="1478"/>
      <c r="AA722" s="1478"/>
      <c r="AB722" s="1478"/>
      <c r="AC722" s="1477"/>
      <c r="AD722" s="1477"/>
      <c r="AE722" s="1477"/>
      <c r="AF722" s="1477"/>
      <c r="AG722" s="1477"/>
      <c r="AH722" s="1477"/>
      <c r="AI722" s="1477"/>
      <c r="AJ722" s="1477"/>
      <c r="AK722" s="1477"/>
      <c r="AL722" s="1477"/>
      <c r="AM722" s="1477"/>
      <c r="AN722" s="1477"/>
      <c r="AO722" s="284"/>
      <c r="AP722" s="1477"/>
      <c r="AQ722" s="1477"/>
      <c r="AR722" s="1477"/>
      <c r="AS722" s="1477"/>
      <c r="AT722" s="1477"/>
      <c r="AU722" s="1477"/>
      <c r="AV722" s="1477"/>
      <c r="AW722" s="1477"/>
      <c r="AX722" s="1477"/>
      <c r="AY722" s="1477"/>
      <c r="AZ722" s="1477"/>
      <c r="BA722" s="1477"/>
      <c r="BB722" s="1477"/>
      <c r="BC722" s="1477"/>
      <c r="BD722" s="1477"/>
      <c r="BE722" s="1477"/>
      <c r="BF722" s="1477"/>
      <c r="BG722" s="1477"/>
      <c r="BH722" s="1477"/>
      <c r="BI722" s="1477"/>
      <c r="BJ722" s="1477"/>
      <c r="BK722" s="1477"/>
      <c r="BL722" s="1477"/>
      <c r="BM722" s="1477"/>
      <c r="BN722" s="1477"/>
      <c r="BO722" s="1477"/>
      <c r="BP722" s="1477"/>
      <c r="BQ722" s="1477"/>
      <c r="BR722" s="1477"/>
      <c r="BS722" s="1477"/>
      <c r="BT722" s="1477"/>
      <c r="BU722" s="1477"/>
      <c r="BV722" s="1477"/>
      <c r="BW722" s="1477"/>
      <c r="BX722" s="1477"/>
      <c r="BY722" s="1477"/>
      <c r="BZ722" s="1477"/>
      <c r="CA722" s="1477"/>
      <c r="CB722" s="1477"/>
      <c r="CC722" s="1477"/>
      <c r="CD722" s="1477"/>
      <c r="CE722" s="1477"/>
      <c r="CF722" s="1477"/>
      <c r="CG722" s="1477"/>
      <c r="CH722" s="1477"/>
    </row>
    <row r="723" spans="2:86">
      <c r="B723" s="1478"/>
      <c r="C723" s="1478"/>
      <c r="D723" s="1478"/>
      <c r="E723" s="1478"/>
      <c r="F723" s="1478"/>
      <c r="G723" s="1478"/>
      <c r="H723" s="1478"/>
      <c r="I723" s="1478"/>
      <c r="J723" s="1478"/>
      <c r="K723" s="1478"/>
      <c r="L723" s="1478"/>
      <c r="M723" s="1478"/>
      <c r="N723" s="1478"/>
      <c r="O723" s="1478"/>
      <c r="P723" s="1478"/>
      <c r="Q723" s="1478"/>
      <c r="R723" s="1478"/>
      <c r="S723" s="1478"/>
      <c r="T723" s="1478"/>
      <c r="U723" s="1478"/>
      <c r="V723" s="1478"/>
      <c r="W723" s="1478"/>
      <c r="X723" s="1478"/>
      <c r="Y723" s="1478"/>
      <c r="Z723" s="1478"/>
      <c r="AA723" s="1478"/>
      <c r="AB723" s="1478"/>
      <c r="AC723" s="1477"/>
      <c r="AD723" s="1477"/>
      <c r="AE723" s="1477"/>
      <c r="AF723" s="1477"/>
      <c r="AG723" s="1477"/>
      <c r="AH723" s="1477"/>
      <c r="AI723" s="1477"/>
      <c r="AJ723" s="1477"/>
      <c r="AK723" s="1477"/>
      <c r="AL723" s="1477"/>
      <c r="AM723" s="1477"/>
      <c r="AN723" s="1477"/>
      <c r="AO723" s="284"/>
      <c r="AP723" s="1477"/>
      <c r="AQ723" s="1477"/>
      <c r="AR723" s="1477"/>
      <c r="AS723" s="1477"/>
      <c r="AT723" s="1477"/>
      <c r="AU723" s="1477"/>
      <c r="AV723" s="1477"/>
      <c r="AW723" s="1477"/>
      <c r="AX723" s="1477"/>
      <c r="AY723" s="1477"/>
      <c r="AZ723" s="1477"/>
      <c r="BA723" s="1477"/>
      <c r="BB723" s="1477"/>
      <c r="BC723" s="1477"/>
      <c r="BD723" s="1477"/>
      <c r="BE723" s="1477"/>
      <c r="BF723" s="1477"/>
      <c r="BG723" s="1477"/>
      <c r="BH723" s="1477"/>
      <c r="BI723" s="1477"/>
      <c r="BJ723" s="1477"/>
      <c r="BK723" s="1477"/>
      <c r="BL723" s="1477"/>
      <c r="BM723" s="1477"/>
      <c r="BN723" s="1477"/>
      <c r="BO723" s="1477"/>
      <c r="BP723" s="1477"/>
      <c r="BQ723" s="1477"/>
      <c r="BR723" s="1477"/>
      <c r="BS723" s="1477"/>
      <c r="BT723" s="1477"/>
      <c r="BU723" s="1477"/>
      <c r="BV723" s="1477"/>
      <c r="BW723" s="1477"/>
      <c r="BX723" s="1477"/>
      <c r="BY723" s="1477"/>
      <c r="BZ723" s="1477"/>
      <c r="CA723" s="1477"/>
      <c r="CB723" s="1477"/>
      <c r="CC723" s="1477"/>
      <c r="CD723" s="1477"/>
      <c r="CE723" s="1477"/>
      <c r="CF723" s="1477"/>
      <c r="CG723" s="1477"/>
      <c r="CH723" s="1477"/>
    </row>
    <row r="724" spans="2:86">
      <c r="B724" s="1478"/>
      <c r="C724" s="1478"/>
      <c r="D724" s="1478"/>
      <c r="E724" s="1478"/>
      <c r="F724" s="1478"/>
      <c r="G724" s="1478"/>
      <c r="H724" s="1478"/>
      <c r="I724" s="1478"/>
      <c r="J724" s="1478"/>
      <c r="K724" s="1478"/>
      <c r="L724" s="1478"/>
      <c r="M724" s="1478"/>
      <c r="N724" s="1478"/>
      <c r="O724" s="1478"/>
      <c r="P724" s="1478"/>
      <c r="Q724" s="1478"/>
      <c r="R724" s="1478"/>
      <c r="S724" s="1478"/>
      <c r="T724" s="1478"/>
      <c r="U724" s="1478"/>
      <c r="V724" s="1478"/>
      <c r="W724" s="1478"/>
      <c r="X724" s="1478"/>
      <c r="Y724" s="1478"/>
      <c r="Z724" s="1478"/>
      <c r="AA724" s="1478"/>
      <c r="AB724" s="1478"/>
      <c r="AC724" s="1477"/>
      <c r="AD724" s="1477"/>
      <c r="AE724" s="1477"/>
      <c r="AF724" s="1477"/>
      <c r="AG724" s="1477"/>
      <c r="AH724" s="1477"/>
      <c r="AI724" s="1477"/>
      <c r="AJ724" s="1477"/>
      <c r="AK724" s="1477"/>
      <c r="AL724" s="1477"/>
      <c r="AM724" s="1477"/>
      <c r="AN724" s="1477"/>
      <c r="AO724" s="284"/>
      <c r="AP724" s="1477"/>
      <c r="AQ724" s="1477"/>
      <c r="AR724" s="1477"/>
      <c r="AS724" s="1477"/>
      <c r="AT724" s="1477"/>
      <c r="AU724" s="1477"/>
      <c r="AV724" s="1477"/>
      <c r="AW724" s="1477"/>
      <c r="AX724" s="1477"/>
      <c r="AY724" s="1477"/>
      <c r="AZ724" s="1477"/>
      <c r="BA724" s="1477"/>
      <c r="BB724" s="1477"/>
      <c r="BC724" s="1477"/>
      <c r="BD724" s="1477"/>
      <c r="BE724" s="1477"/>
      <c r="BF724" s="1477"/>
      <c r="BG724" s="1477"/>
      <c r="BH724" s="1477"/>
      <c r="BI724" s="1477"/>
      <c r="BJ724" s="1477"/>
      <c r="BK724" s="1477"/>
      <c r="BL724" s="1477"/>
      <c r="BM724" s="1477"/>
      <c r="BN724" s="1477"/>
      <c r="BO724" s="1477"/>
      <c r="BP724" s="1477"/>
      <c r="BQ724" s="1477"/>
      <c r="BR724" s="1477"/>
      <c r="BS724" s="1477"/>
      <c r="BT724" s="1477"/>
      <c r="BU724" s="1477"/>
      <c r="BV724" s="1477"/>
      <c r="BW724" s="1477"/>
      <c r="BX724" s="1477"/>
      <c r="BY724" s="1477"/>
      <c r="BZ724" s="1477"/>
      <c r="CA724" s="1477"/>
      <c r="CB724" s="1477"/>
      <c r="CC724" s="1477"/>
      <c r="CD724" s="1477"/>
      <c r="CE724" s="1477"/>
      <c r="CF724" s="1477"/>
      <c r="CG724" s="1477"/>
      <c r="CH724" s="1477"/>
    </row>
    <row r="725" spans="2:86">
      <c r="B725" s="1478"/>
      <c r="C725" s="1478"/>
      <c r="D725" s="1478"/>
      <c r="E725" s="1478"/>
      <c r="F725" s="1478"/>
      <c r="G725" s="1478"/>
      <c r="H725" s="1478"/>
      <c r="I725" s="1478"/>
      <c r="J725" s="1478"/>
      <c r="K725" s="1478"/>
      <c r="L725" s="1478"/>
      <c r="M725" s="1478"/>
      <c r="N725" s="1478"/>
      <c r="O725" s="1478"/>
      <c r="P725" s="1478"/>
      <c r="Q725" s="1478"/>
      <c r="R725" s="1478"/>
      <c r="S725" s="1478"/>
      <c r="T725" s="1478"/>
      <c r="U725" s="1478"/>
      <c r="V725" s="1478"/>
      <c r="W725" s="1478"/>
      <c r="X725" s="1478"/>
      <c r="Y725" s="1478"/>
      <c r="Z725" s="1478"/>
      <c r="AA725" s="1478"/>
      <c r="AB725" s="1478"/>
      <c r="AC725" s="1477"/>
      <c r="AD725" s="1477"/>
      <c r="AE725" s="1477"/>
      <c r="AF725" s="1477"/>
      <c r="AG725" s="1477"/>
      <c r="AH725" s="1477"/>
      <c r="AI725" s="1477"/>
      <c r="AJ725" s="1477"/>
      <c r="AK725" s="1477"/>
      <c r="AL725" s="1477"/>
      <c r="AM725" s="1477"/>
      <c r="AN725" s="1477"/>
      <c r="AO725" s="284"/>
      <c r="AP725" s="1477"/>
      <c r="AQ725" s="1477"/>
      <c r="AR725" s="1477"/>
      <c r="AS725" s="1477"/>
      <c r="AT725" s="1477"/>
      <c r="AU725" s="1477"/>
      <c r="AV725" s="1477"/>
      <c r="AW725" s="1477"/>
      <c r="AX725" s="1477"/>
      <c r="AY725" s="1477"/>
      <c r="AZ725" s="1477"/>
      <c r="BA725" s="1477"/>
      <c r="BB725" s="1477"/>
      <c r="BC725" s="1477"/>
      <c r="BD725" s="1477"/>
      <c r="BE725" s="1477"/>
      <c r="BF725" s="1477"/>
      <c r="BG725" s="1477"/>
      <c r="BH725" s="1477"/>
      <c r="BI725" s="1477"/>
      <c r="BJ725" s="1477"/>
      <c r="BK725" s="1477"/>
      <c r="BL725" s="1477"/>
      <c r="BM725" s="1477"/>
      <c r="BN725" s="1477"/>
      <c r="BO725" s="1477"/>
      <c r="BP725" s="1477"/>
      <c r="BQ725" s="1477"/>
      <c r="BR725" s="1477"/>
      <c r="BS725" s="1477"/>
      <c r="BT725" s="1477"/>
      <c r="BU725" s="1477"/>
      <c r="BV725" s="1477"/>
      <c r="BW725" s="1477"/>
      <c r="BX725" s="1477"/>
      <c r="BY725" s="1477"/>
      <c r="BZ725" s="1477"/>
      <c r="CA725" s="1477"/>
      <c r="CB725" s="1477"/>
      <c r="CC725" s="1477"/>
      <c r="CD725" s="1477"/>
      <c r="CE725" s="1477"/>
      <c r="CF725" s="1477"/>
      <c r="CG725" s="1477"/>
      <c r="CH725" s="1477"/>
    </row>
    <row r="726" spans="2:86">
      <c r="B726" s="1478"/>
      <c r="C726" s="1478"/>
      <c r="D726" s="1478"/>
      <c r="E726" s="1478"/>
      <c r="F726" s="1478"/>
      <c r="G726" s="1478"/>
      <c r="H726" s="1478"/>
      <c r="I726" s="1478"/>
      <c r="J726" s="1478"/>
      <c r="K726" s="1478"/>
      <c r="L726" s="1478"/>
      <c r="M726" s="1478"/>
      <c r="N726" s="1478"/>
      <c r="O726" s="1478"/>
      <c r="P726" s="1478"/>
      <c r="Q726" s="1478"/>
      <c r="R726" s="1478"/>
      <c r="S726" s="1478"/>
      <c r="T726" s="1478"/>
      <c r="U726" s="1478"/>
      <c r="V726" s="1478"/>
      <c r="W726" s="1478"/>
      <c r="X726" s="1478"/>
      <c r="Y726" s="1478"/>
      <c r="Z726" s="1478"/>
      <c r="AA726" s="1478"/>
      <c r="AB726" s="1478"/>
      <c r="AC726" s="1477"/>
      <c r="AD726" s="1477"/>
      <c r="AE726" s="1477"/>
      <c r="AF726" s="1477"/>
      <c r="AG726" s="1477"/>
      <c r="AH726" s="1477"/>
      <c r="AI726" s="1477"/>
      <c r="AJ726" s="1477"/>
      <c r="AK726" s="1477"/>
      <c r="AL726" s="1477"/>
      <c r="AM726" s="1477"/>
      <c r="AN726" s="1477"/>
      <c r="AO726" s="284"/>
      <c r="AP726" s="1477"/>
      <c r="AQ726" s="1477"/>
      <c r="AR726" s="1477"/>
      <c r="AS726" s="1477"/>
      <c r="AT726" s="1477"/>
      <c r="AU726" s="1477"/>
      <c r="AV726" s="1477"/>
      <c r="AW726" s="1477"/>
      <c r="AX726" s="1477"/>
      <c r="AY726" s="1477"/>
      <c r="AZ726" s="1477"/>
      <c r="BA726" s="1477"/>
      <c r="BB726" s="1477"/>
      <c r="BC726" s="1477"/>
      <c r="BD726" s="1477"/>
      <c r="BE726" s="1477"/>
      <c r="BF726" s="1477"/>
      <c r="BG726" s="1477"/>
      <c r="BH726" s="1477"/>
      <c r="BI726" s="1477"/>
      <c r="BJ726" s="1477"/>
      <c r="BK726" s="1477"/>
      <c r="BL726" s="1477"/>
      <c r="BM726" s="1477"/>
      <c r="BN726" s="1477"/>
      <c r="BO726" s="1477"/>
      <c r="BP726" s="1477"/>
      <c r="BQ726" s="1477"/>
      <c r="BR726" s="1477"/>
      <c r="BS726" s="1477"/>
      <c r="BT726" s="1477"/>
      <c r="BU726" s="1477"/>
      <c r="BV726" s="1477"/>
      <c r="BW726" s="1477"/>
      <c r="BX726" s="1477"/>
      <c r="BY726" s="1477"/>
      <c r="BZ726" s="1477"/>
      <c r="CA726" s="1477"/>
      <c r="CB726" s="1477"/>
      <c r="CC726" s="1477"/>
      <c r="CD726" s="1477"/>
      <c r="CE726" s="1477"/>
      <c r="CF726" s="1477"/>
      <c r="CG726" s="1477"/>
      <c r="CH726" s="1477"/>
    </row>
    <row r="727" spans="2:86">
      <c r="B727" s="1478"/>
      <c r="C727" s="1478"/>
      <c r="D727" s="1478"/>
      <c r="E727" s="1478"/>
      <c r="F727" s="1478"/>
      <c r="G727" s="1478"/>
      <c r="H727" s="1478"/>
      <c r="I727" s="1478"/>
      <c r="J727" s="1478"/>
      <c r="K727" s="1478"/>
      <c r="L727" s="1478"/>
      <c r="M727" s="1478"/>
      <c r="N727" s="1478"/>
      <c r="O727" s="1478"/>
      <c r="P727" s="1478"/>
      <c r="Q727" s="1478"/>
      <c r="R727" s="1478"/>
      <c r="S727" s="1478"/>
      <c r="T727" s="1478"/>
      <c r="U727" s="1478"/>
      <c r="V727" s="1478"/>
      <c r="W727" s="1478"/>
      <c r="X727" s="1478"/>
      <c r="Y727" s="1478"/>
      <c r="Z727" s="1478"/>
      <c r="AA727" s="1478"/>
      <c r="AB727" s="1478"/>
      <c r="AC727" s="1477"/>
      <c r="AD727" s="1477"/>
      <c r="AE727" s="1477"/>
      <c r="AF727" s="1477"/>
      <c r="AG727" s="1477"/>
      <c r="AH727" s="1477"/>
      <c r="AI727" s="1477"/>
      <c r="AJ727" s="1477"/>
      <c r="AK727" s="1477"/>
      <c r="AL727" s="1477"/>
      <c r="AM727" s="1477"/>
      <c r="AN727" s="1477"/>
      <c r="AO727" s="284"/>
      <c r="AP727" s="1477"/>
      <c r="AQ727" s="1477"/>
      <c r="AR727" s="1477"/>
      <c r="AS727" s="1477"/>
      <c r="AT727" s="1477"/>
      <c r="AU727" s="1477"/>
      <c r="AV727" s="1477"/>
      <c r="AW727" s="1477"/>
      <c r="AX727" s="1477"/>
      <c r="AY727" s="1477"/>
      <c r="AZ727" s="1477"/>
      <c r="BA727" s="1477"/>
      <c r="BB727" s="1477"/>
      <c r="BC727" s="1477"/>
      <c r="BD727" s="1477"/>
      <c r="BE727" s="1477"/>
      <c r="BF727" s="1477"/>
      <c r="BG727" s="1477"/>
      <c r="BH727" s="1477"/>
      <c r="BI727" s="1477"/>
      <c r="BJ727" s="1477"/>
      <c r="BK727" s="1477"/>
      <c r="BL727" s="1477"/>
      <c r="BM727" s="1477"/>
      <c r="BN727" s="1477"/>
      <c r="BO727" s="1477"/>
      <c r="BP727" s="1477"/>
      <c r="BQ727" s="1477"/>
      <c r="BR727" s="1477"/>
      <c r="BS727" s="1477"/>
      <c r="BT727" s="1477"/>
      <c r="BU727" s="1477"/>
      <c r="BV727" s="1477"/>
      <c r="BW727" s="1477"/>
      <c r="BX727" s="1477"/>
      <c r="BY727" s="1477"/>
      <c r="BZ727" s="1477"/>
      <c r="CA727" s="1477"/>
      <c r="CB727" s="1477"/>
      <c r="CC727" s="1477"/>
      <c r="CD727" s="1477"/>
      <c r="CE727" s="1477"/>
      <c r="CF727" s="1477"/>
      <c r="CG727" s="1477"/>
      <c r="CH727" s="1477"/>
    </row>
    <row r="728" spans="2:86">
      <c r="B728" s="1478"/>
      <c r="C728" s="1478"/>
      <c r="D728" s="1478"/>
      <c r="E728" s="1478"/>
      <c r="F728" s="1478"/>
      <c r="G728" s="1478"/>
      <c r="H728" s="1478"/>
      <c r="I728" s="1478"/>
      <c r="J728" s="1478"/>
      <c r="K728" s="1478"/>
      <c r="L728" s="1478"/>
      <c r="M728" s="1478"/>
      <c r="N728" s="1478"/>
      <c r="O728" s="1478"/>
      <c r="P728" s="1478"/>
      <c r="Q728" s="1478"/>
      <c r="R728" s="1478"/>
      <c r="S728" s="1478"/>
      <c r="T728" s="1478"/>
      <c r="U728" s="1478"/>
      <c r="V728" s="1478"/>
      <c r="W728" s="1478"/>
      <c r="X728" s="1478"/>
      <c r="Y728" s="1478"/>
      <c r="Z728" s="1478"/>
      <c r="AA728" s="1478"/>
      <c r="AB728" s="1478"/>
      <c r="AC728" s="1477"/>
      <c r="AD728" s="1477"/>
      <c r="AE728" s="1477"/>
      <c r="AF728" s="1477"/>
      <c r="AG728" s="1477"/>
      <c r="AH728" s="1477"/>
      <c r="AI728" s="1477"/>
      <c r="AJ728" s="1477"/>
      <c r="AK728" s="1477"/>
      <c r="AL728" s="1477"/>
      <c r="AM728" s="1477"/>
      <c r="AN728" s="1477"/>
      <c r="AO728" s="284"/>
      <c r="AP728" s="1477"/>
      <c r="AQ728" s="1477"/>
      <c r="AR728" s="1477"/>
      <c r="AS728" s="1477"/>
      <c r="AT728" s="1477"/>
      <c r="AU728" s="1477"/>
      <c r="AV728" s="1477"/>
      <c r="AW728" s="1477"/>
      <c r="AX728" s="1477"/>
      <c r="AY728" s="1477"/>
      <c r="AZ728" s="1477"/>
      <c r="BA728" s="1477"/>
      <c r="BB728" s="1477"/>
      <c r="BC728" s="1477"/>
      <c r="BD728" s="1477"/>
      <c r="BE728" s="1477"/>
      <c r="BF728" s="1477"/>
      <c r="BG728" s="1477"/>
      <c r="BH728" s="1477"/>
      <c r="BI728" s="1477"/>
      <c r="BJ728" s="1477"/>
      <c r="BK728" s="1477"/>
      <c r="BL728" s="1477"/>
      <c r="BM728" s="1477"/>
      <c r="BN728" s="1477"/>
      <c r="BO728" s="1477"/>
      <c r="BP728" s="1477"/>
      <c r="BQ728" s="1477"/>
      <c r="BR728" s="1477"/>
      <c r="BS728" s="1477"/>
      <c r="BT728" s="1477"/>
      <c r="BU728" s="1477"/>
      <c r="BV728" s="1477"/>
      <c r="BW728" s="1477"/>
      <c r="BX728" s="1477"/>
      <c r="BY728" s="1477"/>
      <c r="BZ728" s="1477"/>
      <c r="CA728" s="1477"/>
      <c r="CB728" s="1477"/>
      <c r="CC728" s="1477"/>
      <c r="CD728" s="1477"/>
      <c r="CE728" s="1477"/>
      <c r="CF728" s="1477"/>
      <c r="CG728" s="1477"/>
      <c r="CH728" s="1477"/>
    </row>
    <row r="729" spans="2:86">
      <c r="B729" s="1478"/>
      <c r="C729" s="1478"/>
      <c r="D729" s="1478"/>
      <c r="E729" s="1478"/>
      <c r="F729" s="1478"/>
      <c r="G729" s="1478"/>
      <c r="H729" s="1478"/>
      <c r="I729" s="1478"/>
      <c r="J729" s="1478"/>
      <c r="K729" s="1478"/>
      <c r="L729" s="1478"/>
      <c r="M729" s="1478"/>
      <c r="N729" s="1478"/>
      <c r="O729" s="1478"/>
      <c r="P729" s="1478"/>
      <c r="Q729" s="1478"/>
      <c r="R729" s="1478"/>
      <c r="S729" s="1478"/>
      <c r="T729" s="1478"/>
      <c r="U729" s="1478"/>
      <c r="V729" s="1478"/>
      <c r="W729" s="1478"/>
      <c r="X729" s="1478"/>
      <c r="Y729" s="1478"/>
      <c r="Z729" s="1478"/>
      <c r="AA729" s="1478"/>
      <c r="AB729" s="1478"/>
      <c r="AC729" s="1477"/>
      <c r="AD729" s="1477"/>
      <c r="AE729" s="1477"/>
      <c r="AF729" s="1477"/>
      <c r="AG729" s="1477"/>
      <c r="AH729" s="1477"/>
      <c r="AI729" s="1477"/>
      <c r="AJ729" s="1477"/>
      <c r="AK729" s="1477"/>
      <c r="AL729" s="1477"/>
      <c r="AM729" s="1477"/>
      <c r="AN729" s="1477"/>
      <c r="AO729" s="284"/>
      <c r="AP729" s="1477"/>
      <c r="AQ729" s="1477"/>
      <c r="AR729" s="1477"/>
      <c r="AS729" s="1477"/>
      <c r="AT729" s="1477"/>
      <c r="AU729" s="1477"/>
      <c r="AV729" s="1477"/>
      <c r="AW729" s="1477"/>
      <c r="AX729" s="1477"/>
      <c r="AY729" s="1477"/>
      <c r="AZ729" s="1477"/>
      <c r="BA729" s="1477"/>
      <c r="BB729" s="1477"/>
      <c r="BC729" s="1477"/>
      <c r="BD729" s="1477"/>
      <c r="BE729" s="1477"/>
      <c r="BF729" s="1477"/>
      <c r="BG729" s="1477"/>
      <c r="BH729" s="1477"/>
      <c r="BI729" s="1477"/>
      <c r="BJ729" s="1477"/>
      <c r="BK729" s="1477"/>
      <c r="BL729" s="1477"/>
      <c r="BM729" s="1477"/>
      <c r="BN729" s="1477"/>
      <c r="BO729" s="1477"/>
      <c r="BP729" s="1477"/>
      <c r="BQ729" s="1477"/>
      <c r="BR729" s="1477"/>
      <c r="BS729" s="1477"/>
      <c r="BT729" s="1477"/>
      <c r="BU729" s="1477"/>
      <c r="BV729" s="1477"/>
      <c r="BW729" s="1477"/>
      <c r="BX729" s="1477"/>
      <c r="BY729" s="1477"/>
      <c r="BZ729" s="1477"/>
      <c r="CA729" s="1477"/>
      <c r="CB729" s="1477"/>
      <c r="CC729" s="1477"/>
      <c r="CD729" s="1477"/>
      <c r="CE729" s="1477"/>
      <c r="CF729" s="1477"/>
      <c r="CG729" s="1477"/>
      <c r="CH729" s="1477"/>
    </row>
    <row r="730" spans="2:86">
      <c r="B730" s="1478"/>
      <c r="C730" s="1478"/>
      <c r="D730" s="1478"/>
      <c r="E730" s="1478"/>
      <c r="F730" s="1478"/>
      <c r="G730" s="1478"/>
      <c r="H730" s="1478"/>
      <c r="I730" s="1478"/>
      <c r="J730" s="1478"/>
      <c r="K730" s="1478"/>
      <c r="L730" s="1478"/>
      <c r="M730" s="1478"/>
      <c r="N730" s="1478"/>
      <c r="O730" s="1478"/>
      <c r="P730" s="1478"/>
      <c r="Q730" s="1478"/>
      <c r="R730" s="1478"/>
      <c r="S730" s="1478"/>
      <c r="T730" s="1478"/>
      <c r="U730" s="1478"/>
      <c r="V730" s="1478"/>
      <c r="W730" s="1478"/>
      <c r="X730" s="1478"/>
      <c r="Y730" s="1478"/>
      <c r="Z730" s="1478"/>
      <c r="AA730" s="1478"/>
      <c r="AB730" s="1478"/>
      <c r="AC730" s="1477"/>
      <c r="AD730" s="1477"/>
      <c r="AE730" s="1477"/>
      <c r="AF730" s="1477"/>
      <c r="AG730" s="1477"/>
      <c r="AH730" s="1477"/>
      <c r="AI730" s="1477"/>
      <c r="AJ730" s="1477"/>
      <c r="AK730" s="1477"/>
      <c r="AL730" s="1477"/>
      <c r="AM730" s="1477"/>
      <c r="AN730" s="1477"/>
      <c r="AO730" s="284"/>
      <c r="AP730" s="1477"/>
      <c r="AQ730" s="1477"/>
      <c r="AR730" s="1477"/>
      <c r="AS730" s="1477"/>
      <c r="AT730" s="1477"/>
      <c r="AU730" s="1477"/>
      <c r="AV730" s="1477"/>
      <c r="AW730" s="1477"/>
      <c r="AX730" s="1477"/>
      <c r="AY730" s="1477"/>
      <c r="AZ730" s="1477"/>
      <c r="BA730" s="1477"/>
      <c r="BB730" s="1477"/>
      <c r="BC730" s="1477"/>
      <c r="BD730" s="1477"/>
      <c r="BE730" s="1477"/>
      <c r="BF730" s="1477"/>
      <c r="BG730" s="1477"/>
      <c r="BH730" s="1477"/>
      <c r="BI730" s="1477"/>
      <c r="BJ730" s="1477"/>
      <c r="BK730" s="1477"/>
      <c r="BL730" s="1477"/>
      <c r="BM730" s="1477"/>
      <c r="BN730" s="1477"/>
      <c r="BO730" s="1477"/>
      <c r="BP730" s="1477"/>
      <c r="BQ730" s="1477"/>
      <c r="BR730" s="1477"/>
      <c r="BS730" s="1477"/>
      <c r="BT730" s="1477"/>
      <c r="BU730" s="1477"/>
      <c r="BV730" s="1477"/>
      <c r="BW730" s="1477"/>
      <c r="BX730" s="1477"/>
      <c r="BY730" s="1477"/>
      <c r="BZ730" s="1477"/>
      <c r="CA730" s="1477"/>
      <c r="CB730" s="1477"/>
      <c r="CC730" s="1477"/>
      <c r="CD730" s="1477"/>
      <c r="CE730" s="1477"/>
      <c r="CF730" s="1477"/>
      <c r="CG730" s="1477"/>
      <c r="CH730" s="1477"/>
    </row>
    <row r="731" spans="2:86">
      <c r="B731" s="1478"/>
      <c r="C731" s="1478"/>
      <c r="D731" s="1478"/>
      <c r="E731" s="1478"/>
      <c r="F731" s="1478"/>
      <c r="G731" s="1478"/>
      <c r="H731" s="1478"/>
      <c r="I731" s="1478"/>
      <c r="J731" s="1478"/>
      <c r="K731" s="1478"/>
      <c r="L731" s="1478"/>
      <c r="M731" s="1478"/>
      <c r="N731" s="1478"/>
      <c r="O731" s="1478"/>
      <c r="P731" s="1478"/>
      <c r="Q731" s="1478"/>
      <c r="R731" s="1478"/>
      <c r="S731" s="1478"/>
      <c r="T731" s="1478"/>
      <c r="U731" s="1478"/>
      <c r="V731" s="1478"/>
      <c r="W731" s="1478"/>
      <c r="X731" s="1478"/>
      <c r="Y731" s="1478"/>
      <c r="Z731" s="1478"/>
      <c r="AA731" s="1478"/>
      <c r="AB731" s="1478"/>
      <c r="AC731" s="1477"/>
      <c r="AD731" s="1477"/>
      <c r="AE731" s="1477"/>
      <c r="AF731" s="1477"/>
      <c r="AG731" s="1477"/>
      <c r="AH731" s="1477"/>
      <c r="AI731" s="1477"/>
      <c r="AJ731" s="1477"/>
      <c r="AK731" s="1477"/>
      <c r="AL731" s="1477"/>
      <c r="AM731" s="1477"/>
      <c r="AN731" s="1477"/>
      <c r="AO731" s="284"/>
      <c r="AP731" s="1477"/>
      <c r="AQ731" s="1477"/>
      <c r="AR731" s="1477"/>
      <c r="AS731" s="1477"/>
      <c r="AT731" s="1477"/>
      <c r="AU731" s="1477"/>
      <c r="AV731" s="1477"/>
      <c r="AW731" s="1477"/>
      <c r="AX731" s="1477"/>
      <c r="AY731" s="1477"/>
      <c r="AZ731" s="1477"/>
      <c r="BA731" s="1477"/>
      <c r="BB731" s="1477"/>
      <c r="BC731" s="1477"/>
      <c r="BD731" s="1477"/>
      <c r="BE731" s="1477"/>
      <c r="BF731" s="1477"/>
      <c r="BG731" s="1477"/>
      <c r="BH731" s="1477"/>
      <c r="BI731" s="1477"/>
      <c r="BJ731" s="1477"/>
      <c r="BK731" s="1477"/>
      <c r="BL731" s="1477"/>
      <c r="BM731" s="1477"/>
      <c r="BN731" s="1477"/>
      <c r="BO731" s="1477"/>
      <c r="BP731" s="1477"/>
      <c r="BQ731" s="1477"/>
      <c r="BR731" s="1477"/>
      <c r="BS731" s="1477"/>
      <c r="BT731" s="1477"/>
      <c r="BU731" s="1477"/>
      <c r="BV731" s="1477"/>
      <c r="BW731" s="1477"/>
      <c r="BX731" s="1477"/>
      <c r="BY731" s="1477"/>
      <c r="BZ731" s="1477"/>
      <c r="CA731" s="1477"/>
      <c r="CB731" s="1477"/>
      <c r="CC731" s="1477"/>
      <c r="CD731" s="1477"/>
      <c r="CE731" s="1477"/>
      <c r="CF731" s="1477"/>
      <c r="CG731" s="1477"/>
      <c r="CH731" s="1477"/>
    </row>
    <row r="732" spans="2:86">
      <c r="B732" s="1478"/>
      <c r="C732" s="1478"/>
      <c r="D732" s="1478"/>
      <c r="E732" s="1478"/>
      <c r="F732" s="1478"/>
      <c r="G732" s="1478"/>
      <c r="H732" s="1478"/>
      <c r="I732" s="1478"/>
      <c r="J732" s="1478"/>
      <c r="K732" s="1478"/>
      <c r="L732" s="1478"/>
      <c r="M732" s="1478"/>
      <c r="N732" s="1478"/>
      <c r="O732" s="1478"/>
      <c r="P732" s="1478"/>
      <c r="Q732" s="1478"/>
      <c r="R732" s="1478"/>
      <c r="S732" s="1478"/>
      <c r="T732" s="1478"/>
      <c r="U732" s="1478"/>
      <c r="V732" s="1478"/>
      <c r="W732" s="1478"/>
      <c r="X732" s="1478"/>
      <c r="Y732" s="1478"/>
      <c r="Z732" s="1478"/>
      <c r="AA732" s="1478"/>
      <c r="AB732" s="1478"/>
      <c r="AC732" s="1477"/>
      <c r="AD732" s="1477"/>
      <c r="AE732" s="1477"/>
      <c r="AF732" s="1477"/>
      <c r="AG732" s="1477"/>
      <c r="AH732" s="1477"/>
      <c r="AI732" s="1477"/>
      <c r="AJ732" s="1477"/>
      <c r="AK732" s="1477"/>
      <c r="AL732" s="1477"/>
      <c r="AM732" s="1477"/>
      <c r="AN732" s="1477"/>
      <c r="AO732" s="284"/>
      <c r="AP732" s="1477"/>
      <c r="AQ732" s="1477"/>
      <c r="AR732" s="1477"/>
      <c r="AS732" s="1477"/>
      <c r="AT732" s="1477"/>
      <c r="AU732" s="1477"/>
      <c r="AV732" s="1477"/>
      <c r="AW732" s="1477"/>
      <c r="AX732" s="1477"/>
      <c r="AY732" s="1477"/>
      <c r="AZ732" s="1477"/>
      <c r="BA732" s="1477"/>
      <c r="BB732" s="1477"/>
      <c r="BC732" s="1477"/>
      <c r="BD732" s="1477"/>
      <c r="BE732" s="1477"/>
      <c r="BF732" s="1477"/>
      <c r="BG732" s="1477"/>
      <c r="BH732" s="1477"/>
      <c r="BI732" s="1477"/>
      <c r="BJ732" s="1477"/>
      <c r="BK732" s="1477"/>
      <c r="BL732" s="1477"/>
      <c r="BM732" s="1477"/>
      <c r="BN732" s="1477"/>
      <c r="BO732" s="1477"/>
      <c r="BP732" s="1477"/>
      <c r="BQ732" s="1477"/>
      <c r="BR732" s="1477"/>
      <c r="BS732" s="1477"/>
      <c r="BT732" s="1477"/>
      <c r="BU732" s="1477"/>
      <c r="BV732" s="1477"/>
      <c r="BW732" s="1477"/>
      <c r="BX732" s="1477"/>
      <c r="BY732" s="1477"/>
      <c r="BZ732" s="1477"/>
      <c r="CA732" s="1477"/>
      <c r="CB732" s="1477"/>
      <c r="CC732" s="1477"/>
      <c r="CD732" s="1477"/>
      <c r="CE732" s="1477"/>
      <c r="CF732" s="1477"/>
      <c r="CG732" s="1477"/>
      <c r="CH732" s="1477"/>
    </row>
    <row r="733" spans="2:86">
      <c r="B733" s="1478"/>
      <c r="C733" s="1478"/>
      <c r="D733" s="1478"/>
      <c r="E733" s="1478"/>
      <c r="F733" s="1478"/>
      <c r="G733" s="1478"/>
      <c r="H733" s="1478"/>
      <c r="I733" s="1478"/>
      <c r="J733" s="1478"/>
      <c r="K733" s="1478"/>
      <c r="L733" s="1478"/>
      <c r="M733" s="1478"/>
      <c r="N733" s="1478"/>
      <c r="O733" s="1478"/>
      <c r="P733" s="1478"/>
      <c r="Q733" s="1478"/>
      <c r="R733" s="1478"/>
      <c r="S733" s="1478"/>
      <c r="T733" s="1478"/>
      <c r="U733" s="1478"/>
      <c r="V733" s="1478"/>
      <c r="W733" s="1478"/>
      <c r="X733" s="1478"/>
      <c r="Y733" s="1478"/>
      <c r="Z733" s="1478"/>
      <c r="AA733" s="1478"/>
      <c r="AB733" s="1478"/>
      <c r="AC733" s="1477"/>
      <c r="AD733" s="1477"/>
      <c r="AE733" s="1477"/>
      <c r="AF733" s="1477"/>
      <c r="AG733" s="1477"/>
      <c r="AH733" s="1477"/>
      <c r="AI733" s="1477"/>
      <c r="AJ733" s="1477"/>
      <c r="AK733" s="1477"/>
      <c r="AL733" s="1477"/>
      <c r="AM733" s="1477"/>
      <c r="AN733" s="1477"/>
      <c r="AO733" s="284"/>
      <c r="AP733" s="1477"/>
      <c r="AQ733" s="1477"/>
      <c r="AR733" s="1477"/>
      <c r="AS733" s="1477"/>
      <c r="AT733" s="1477"/>
      <c r="AU733" s="1477"/>
      <c r="AV733" s="1477"/>
      <c r="AW733" s="1477"/>
      <c r="AX733" s="1477"/>
      <c r="AY733" s="1477"/>
      <c r="AZ733" s="1477"/>
      <c r="BA733" s="1477"/>
      <c r="BB733" s="1477"/>
      <c r="BC733" s="1477"/>
      <c r="BD733" s="1477"/>
      <c r="BE733" s="1477"/>
      <c r="BF733" s="1477"/>
      <c r="BG733" s="1477"/>
      <c r="BH733" s="1477"/>
      <c r="BI733" s="1477"/>
      <c r="BJ733" s="1477"/>
      <c r="BK733" s="1477"/>
      <c r="BL733" s="1477"/>
      <c r="BM733" s="1477"/>
      <c r="BN733" s="1477"/>
      <c r="BO733" s="1477"/>
      <c r="BP733" s="1477"/>
      <c r="BQ733" s="1477"/>
      <c r="BR733" s="1477"/>
      <c r="BS733" s="1477"/>
      <c r="BT733" s="1477"/>
      <c r="BU733" s="1477"/>
      <c r="BV733" s="1477"/>
      <c r="BW733" s="1477"/>
      <c r="BX733" s="1477"/>
      <c r="BY733" s="1477"/>
      <c r="BZ733" s="1477"/>
      <c r="CA733" s="1477"/>
      <c r="CB733" s="1477"/>
      <c r="CC733" s="1477"/>
      <c r="CD733" s="1477"/>
      <c r="CE733" s="1477"/>
      <c r="CF733" s="1477"/>
      <c r="CG733" s="1477"/>
      <c r="CH733" s="1477"/>
    </row>
    <row r="734" spans="2:86">
      <c r="B734" s="1478"/>
      <c r="C734" s="1478"/>
      <c r="D734" s="1478"/>
      <c r="E734" s="1478"/>
      <c r="F734" s="1478"/>
      <c r="G734" s="1478"/>
      <c r="H734" s="1478"/>
      <c r="I734" s="1478"/>
      <c r="J734" s="1478"/>
      <c r="K734" s="1478"/>
      <c r="L734" s="1478"/>
      <c r="M734" s="1478"/>
      <c r="N734" s="1478"/>
      <c r="O734" s="1478"/>
      <c r="P734" s="1478"/>
      <c r="Q734" s="1478"/>
      <c r="R734" s="1478"/>
      <c r="S734" s="1478"/>
      <c r="T734" s="1478"/>
      <c r="U734" s="1478"/>
      <c r="V734" s="1478"/>
      <c r="W734" s="1478"/>
      <c r="X734" s="1478"/>
      <c r="Y734" s="1478"/>
      <c r="Z734" s="1478"/>
      <c r="AA734" s="1478"/>
      <c r="AB734" s="1478"/>
      <c r="AC734" s="1477"/>
      <c r="AD734" s="1477"/>
      <c r="AE734" s="1477"/>
      <c r="AF734" s="1477"/>
      <c r="AG734" s="1477"/>
      <c r="AH734" s="1477"/>
      <c r="AI734" s="1477"/>
      <c r="AJ734" s="1477"/>
      <c r="AK734" s="1477"/>
      <c r="AL734" s="1477"/>
      <c r="AM734" s="1477"/>
      <c r="AN734" s="1477"/>
      <c r="AO734" s="284"/>
      <c r="AP734" s="1477"/>
      <c r="AQ734" s="1477"/>
      <c r="AR734" s="1477"/>
      <c r="AS734" s="1477"/>
      <c r="AT734" s="1477"/>
      <c r="AU734" s="1477"/>
      <c r="AV734" s="1477"/>
      <c r="AW734" s="1477"/>
      <c r="AX734" s="1477"/>
      <c r="AY734" s="1477"/>
      <c r="AZ734" s="1477"/>
      <c r="BA734" s="1477"/>
      <c r="BB734" s="1477"/>
      <c r="BC734" s="1477"/>
      <c r="BD734" s="1477"/>
      <c r="BE734" s="1477"/>
      <c r="BF734" s="1477"/>
      <c r="BG734" s="1477"/>
      <c r="BH734" s="1477"/>
      <c r="BI734" s="1477"/>
      <c r="BJ734" s="1477"/>
      <c r="BK734" s="1477"/>
      <c r="BL734" s="1477"/>
      <c r="BM734" s="1477"/>
      <c r="BN734" s="1477"/>
      <c r="BO734" s="1477"/>
      <c r="BP734" s="1477"/>
      <c r="BQ734" s="1477"/>
      <c r="BR734" s="1477"/>
      <c r="BS734" s="1477"/>
      <c r="BT734" s="1477"/>
      <c r="BU734" s="1477"/>
      <c r="BV734" s="1477"/>
      <c r="BW734" s="1477"/>
      <c r="BX734" s="1477"/>
      <c r="BY734" s="1477"/>
      <c r="BZ734" s="1477"/>
      <c r="CA734" s="1477"/>
      <c r="CB734" s="1477"/>
      <c r="CC734" s="1477"/>
      <c r="CD734" s="1477"/>
      <c r="CE734" s="1477"/>
      <c r="CF734" s="1477"/>
      <c r="CG734" s="1477"/>
      <c r="CH734" s="1477"/>
    </row>
    <row r="735" spans="2:86">
      <c r="B735" s="1478"/>
      <c r="C735" s="1478"/>
      <c r="D735" s="1478"/>
      <c r="E735" s="1478"/>
      <c r="F735" s="1478"/>
      <c r="G735" s="1478"/>
      <c r="H735" s="1478"/>
      <c r="I735" s="1478"/>
      <c r="J735" s="1478"/>
      <c r="K735" s="1478"/>
      <c r="L735" s="1478"/>
      <c r="M735" s="1478"/>
      <c r="N735" s="1478"/>
      <c r="O735" s="1478"/>
      <c r="P735" s="1478"/>
      <c r="Q735" s="1478"/>
      <c r="R735" s="1478"/>
      <c r="S735" s="1478"/>
      <c r="T735" s="1478"/>
      <c r="U735" s="1478"/>
      <c r="V735" s="1478"/>
      <c r="W735" s="1478"/>
      <c r="X735" s="1478"/>
      <c r="Y735" s="1478"/>
      <c r="Z735" s="1478"/>
      <c r="AA735" s="1478"/>
      <c r="AB735" s="1478"/>
      <c r="AC735" s="1477"/>
      <c r="AD735" s="1477"/>
      <c r="AE735" s="1477"/>
      <c r="AF735" s="1477"/>
      <c r="AG735" s="1477"/>
      <c r="AH735" s="1477"/>
      <c r="AI735" s="1477"/>
      <c r="AJ735" s="1477"/>
      <c r="AK735" s="1477"/>
      <c r="AL735" s="1477"/>
      <c r="AM735" s="1477"/>
      <c r="AN735" s="1477"/>
      <c r="AO735" s="284"/>
      <c r="AP735" s="1477"/>
      <c r="AQ735" s="1477"/>
      <c r="AR735" s="1477"/>
      <c r="AS735" s="1477"/>
      <c r="AT735" s="1477"/>
      <c r="AU735" s="1477"/>
      <c r="AV735" s="1477"/>
      <c r="AW735" s="1477"/>
      <c r="AX735" s="1477"/>
      <c r="AY735" s="1477"/>
      <c r="AZ735" s="1477"/>
      <c r="BA735" s="1477"/>
      <c r="BB735" s="1477"/>
      <c r="BC735" s="1477"/>
      <c r="BD735" s="1477"/>
      <c r="BE735" s="1477"/>
      <c r="BF735" s="1477"/>
      <c r="BG735" s="1477"/>
      <c r="BH735" s="1477"/>
      <c r="BI735" s="1477"/>
      <c r="BJ735" s="1477"/>
      <c r="BK735" s="1477"/>
      <c r="BL735" s="1477"/>
      <c r="BM735" s="1477"/>
      <c r="BN735" s="1477"/>
      <c r="BO735" s="1477"/>
      <c r="BP735" s="1477"/>
      <c r="BQ735" s="1477"/>
      <c r="BR735" s="1477"/>
      <c r="BS735" s="1477"/>
      <c r="BT735" s="1477"/>
      <c r="BU735" s="1477"/>
      <c r="BV735" s="1477"/>
      <c r="BW735" s="1477"/>
      <c r="BX735" s="1477"/>
      <c r="BY735" s="1477"/>
      <c r="BZ735" s="1477"/>
      <c r="CA735" s="1477"/>
      <c r="CB735" s="1477"/>
      <c r="CC735" s="1477"/>
      <c r="CD735" s="1477"/>
      <c r="CE735" s="1477"/>
      <c r="CF735" s="1477"/>
      <c r="CG735" s="1477"/>
      <c r="CH735" s="1477"/>
    </row>
    <row r="736" spans="2:86">
      <c r="B736" s="1478"/>
      <c r="C736" s="1478"/>
      <c r="D736" s="1478"/>
      <c r="E736" s="1478"/>
      <c r="F736" s="1478"/>
      <c r="G736" s="1478"/>
      <c r="H736" s="1478"/>
      <c r="I736" s="1478"/>
      <c r="J736" s="1478"/>
      <c r="K736" s="1478"/>
      <c r="L736" s="1478"/>
      <c r="M736" s="1478"/>
      <c r="N736" s="1478"/>
      <c r="O736" s="1478"/>
      <c r="P736" s="1478"/>
      <c r="Q736" s="1478"/>
      <c r="R736" s="1478"/>
      <c r="S736" s="1478"/>
      <c r="T736" s="1478"/>
      <c r="U736" s="1478"/>
      <c r="V736" s="1478"/>
      <c r="W736" s="1478"/>
      <c r="X736" s="1478"/>
      <c r="Y736" s="1478"/>
      <c r="Z736" s="1478"/>
      <c r="AA736" s="1478"/>
      <c r="AB736" s="1478"/>
      <c r="AC736" s="1477"/>
      <c r="AD736" s="1477"/>
      <c r="AE736" s="1477"/>
      <c r="AF736" s="1477"/>
      <c r="AG736" s="1477"/>
      <c r="AH736" s="1477"/>
      <c r="AI736" s="1477"/>
      <c r="AJ736" s="1477"/>
      <c r="AK736" s="1477"/>
      <c r="AL736" s="1477"/>
      <c r="AM736" s="1477"/>
      <c r="AN736" s="1477"/>
      <c r="AO736" s="284"/>
      <c r="AP736" s="1477"/>
      <c r="AQ736" s="1477"/>
      <c r="AR736" s="1477"/>
      <c r="AS736" s="1477"/>
      <c r="AT736" s="1477"/>
      <c r="AU736" s="1477"/>
      <c r="AV736" s="1477"/>
      <c r="AW736" s="1477"/>
      <c r="AX736" s="1477"/>
      <c r="AY736" s="1477"/>
      <c r="AZ736" s="1477"/>
      <c r="BA736" s="1477"/>
      <c r="BB736" s="1477"/>
      <c r="BC736" s="1477"/>
      <c r="BD736" s="1477"/>
      <c r="BE736" s="1477"/>
      <c r="BF736" s="1477"/>
      <c r="BG736" s="1477"/>
      <c r="BH736" s="1477"/>
      <c r="BI736" s="1477"/>
      <c r="BJ736" s="1477"/>
      <c r="BK736" s="1477"/>
      <c r="BL736" s="1477"/>
      <c r="BM736" s="1477"/>
      <c r="BN736" s="1477"/>
      <c r="BO736" s="1477"/>
      <c r="BP736" s="1477"/>
      <c r="BQ736" s="1477"/>
      <c r="BR736" s="1477"/>
      <c r="BS736" s="1477"/>
      <c r="BT736" s="1477"/>
      <c r="BU736" s="1477"/>
      <c r="BV736" s="1477"/>
      <c r="BW736" s="1477"/>
      <c r="BX736" s="1477"/>
      <c r="BY736" s="1477"/>
      <c r="BZ736" s="1477"/>
      <c r="CA736" s="1477"/>
      <c r="CB736" s="1477"/>
      <c r="CC736" s="1477"/>
      <c r="CD736" s="1477"/>
      <c r="CE736" s="1477"/>
      <c r="CF736" s="1477"/>
      <c r="CG736" s="1477"/>
      <c r="CH736" s="1477"/>
    </row>
    <row r="737" spans="29:86">
      <c r="AC737" s="1477"/>
      <c r="AD737" s="1477"/>
      <c r="AE737" s="1477"/>
      <c r="AF737" s="1477"/>
      <c r="AG737" s="1477"/>
      <c r="AH737" s="1477"/>
      <c r="AI737" s="1477"/>
      <c r="AJ737" s="1477"/>
      <c r="AK737" s="1477"/>
      <c r="AL737" s="1477"/>
      <c r="AM737" s="1477"/>
      <c r="AN737" s="1477"/>
      <c r="AO737" s="284"/>
      <c r="AP737" s="1477"/>
      <c r="AQ737" s="1477"/>
      <c r="AR737" s="1477"/>
      <c r="AS737" s="1477"/>
      <c r="AT737" s="1477"/>
      <c r="AU737" s="1477"/>
      <c r="AV737" s="1477"/>
      <c r="AW737" s="1477"/>
      <c r="AX737" s="1477"/>
      <c r="AY737" s="1477"/>
      <c r="AZ737" s="1477"/>
      <c r="BA737" s="1477"/>
      <c r="BB737" s="1477"/>
      <c r="BC737" s="1477"/>
      <c r="BD737" s="1477"/>
      <c r="BE737" s="1477"/>
      <c r="BF737" s="1477"/>
      <c r="BG737" s="1477"/>
      <c r="BH737" s="1477"/>
      <c r="BI737" s="1477"/>
      <c r="BJ737" s="1477"/>
      <c r="BK737" s="1477"/>
      <c r="BL737" s="1477"/>
      <c r="BM737" s="1477"/>
      <c r="BN737" s="1477"/>
      <c r="BO737" s="1477"/>
      <c r="BP737" s="1477"/>
      <c r="BQ737" s="1477"/>
      <c r="BR737" s="1477"/>
      <c r="BS737" s="1477"/>
      <c r="BT737" s="1477"/>
      <c r="BU737" s="1477"/>
      <c r="BV737" s="1477"/>
      <c r="BW737" s="1477"/>
      <c r="BX737" s="1477"/>
      <c r="BY737" s="1477"/>
      <c r="BZ737" s="1477"/>
      <c r="CA737" s="1477"/>
      <c r="CB737" s="1477"/>
      <c r="CC737" s="1477"/>
      <c r="CD737" s="1477"/>
      <c r="CE737" s="1477"/>
      <c r="CF737" s="1477"/>
      <c r="CG737" s="1477"/>
      <c r="CH737" s="1477"/>
    </row>
    <row r="738" spans="29:86">
      <c r="AC738" s="1477"/>
      <c r="AD738" s="1477"/>
      <c r="AE738" s="1477"/>
      <c r="AF738" s="1477"/>
      <c r="AG738" s="1477"/>
      <c r="AH738" s="1477"/>
      <c r="AI738" s="1477"/>
      <c r="AJ738" s="1477"/>
      <c r="AK738" s="1477"/>
      <c r="AL738" s="1477"/>
      <c r="AM738" s="1477"/>
      <c r="AN738" s="1477"/>
      <c r="AO738" s="284"/>
      <c r="AP738" s="1477"/>
      <c r="AQ738" s="1477"/>
      <c r="AR738" s="1477"/>
      <c r="AS738" s="1477"/>
      <c r="AT738" s="1477"/>
      <c r="AU738" s="1477"/>
      <c r="AV738" s="1477"/>
      <c r="AW738" s="1477"/>
      <c r="AX738" s="1477"/>
      <c r="AY738" s="1477"/>
      <c r="AZ738" s="1477"/>
      <c r="BA738" s="1477"/>
      <c r="BB738" s="1477"/>
      <c r="BC738" s="1477"/>
      <c r="BD738" s="1477"/>
      <c r="BE738" s="1477"/>
      <c r="BF738" s="1477"/>
      <c r="BG738" s="1477"/>
      <c r="BH738" s="1477"/>
      <c r="BI738" s="1477"/>
      <c r="BJ738" s="1477"/>
      <c r="BK738" s="1477"/>
      <c r="BL738" s="1477"/>
      <c r="BM738" s="1477"/>
      <c r="BN738" s="1477"/>
      <c r="BO738" s="1477"/>
      <c r="BP738" s="1477"/>
      <c r="BQ738" s="1477"/>
      <c r="BR738" s="1477"/>
      <c r="BS738" s="1477"/>
      <c r="BT738" s="1477"/>
      <c r="BU738" s="1477"/>
      <c r="BV738" s="1477"/>
      <c r="BW738" s="1477"/>
      <c r="BX738" s="1477"/>
      <c r="BY738" s="1477"/>
      <c r="BZ738" s="1477"/>
      <c r="CA738" s="1477"/>
      <c r="CB738" s="1477"/>
      <c r="CC738" s="1477"/>
      <c r="CD738" s="1477"/>
      <c r="CE738" s="1477"/>
      <c r="CF738" s="1477"/>
      <c r="CG738" s="1477"/>
      <c r="CH738" s="1477"/>
    </row>
    <row r="739" spans="29:86">
      <c r="AC739" s="1477"/>
      <c r="AD739" s="1477"/>
      <c r="AE739" s="1477"/>
      <c r="AF739" s="1477"/>
      <c r="AG739" s="1477"/>
      <c r="AH739" s="1477"/>
      <c r="AI739" s="1477"/>
      <c r="AJ739" s="1477"/>
      <c r="AK739" s="1477"/>
      <c r="AL739" s="1477"/>
      <c r="AM739" s="1477"/>
      <c r="AN739" s="1477"/>
      <c r="AO739" s="284"/>
      <c r="AP739" s="1477"/>
      <c r="AQ739" s="1477"/>
      <c r="AR739" s="1477"/>
      <c r="AS739" s="1477"/>
      <c r="AT739" s="1477"/>
      <c r="AU739" s="1477"/>
      <c r="AV739" s="1477"/>
      <c r="AW739" s="1477"/>
      <c r="AX739" s="1477"/>
      <c r="AY739" s="1477"/>
      <c r="AZ739" s="1477"/>
      <c r="BA739" s="1477"/>
      <c r="BB739" s="1477"/>
      <c r="BC739" s="1477"/>
      <c r="BD739" s="1477"/>
      <c r="BE739" s="1477"/>
      <c r="BF739" s="1477"/>
      <c r="BG739" s="1477"/>
      <c r="BH739" s="1477"/>
      <c r="BI739" s="1477"/>
      <c r="BJ739" s="1477"/>
      <c r="BK739" s="1477"/>
      <c r="BL739" s="1477"/>
      <c r="BM739" s="1477"/>
      <c r="BN739" s="1477"/>
      <c r="BO739" s="1477"/>
      <c r="BP739" s="1477"/>
      <c r="BQ739" s="1477"/>
      <c r="BR739" s="1477"/>
      <c r="BS739" s="1477"/>
      <c r="BT739" s="1477"/>
      <c r="BU739" s="1477"/>
      <c r="BV739" s="1477"/>
      <c r="BW739" s="1477"/>
      <c r="BX739" s="1477"/>
      <c r="BY739" s="1477"/>
      <c r="BZ739" s="1477"/>
      <c r="CA739" s="1477"/>
      <c r="CB739" s="1477"/>
      <c r="CC739" s="1477"/>
      <c r="CD739" s="1477"/>
      <c r="CE739" s="1477"/>
      <c r="CF739" s="1477"/>
      <c r="CG739" s="1477"/>
      <c r="CH739" s="1477"/>
    </row>
    <row r="740" spans="29:86">
      <c r="AC740" s="1477"/>
      <c r="AD740" s="1477"/>
      <c r="AE740" s="1477"/>
      <c r="AF740" s="1477"/>
      <c r="AG740" s="1477"/>
      <c r="AH740" s="1477"/>
      <c r="AI740" s="1477"/>
      <c r="AJ740" s="1477"/>
      <c r="AK740" s="1477"/>
      <c r="AL740" s="1477"/>
      <c r="AM740" s="1477"/>
      <c r="AN740" s="1477"/>
      <c r="AO740" s="284"/>
      <c r="AP740" s="1477"/>
      <c r="AQ740" s="1477"/>
      <c r="AR740" s="1477"/>
      <c r="AS740" s="1477"/>
      <c r="AT740" s="1477"/>
      <c r="AU740" s="1477"/>
      <c r="AV740" s="1477"/>
      <c r="AW740" s="1477"/>
      <c r="AX740" s="1477"/>
      <c r="AY740" s="1477"/>
      <c r="AZ740" s="1477"/>
      <c r="BA740" s="1477"/>
      <c r="BB740" s="1477"/>
      <c r="BC740" s="1477"/>
      <c r="BD740" s="1477"/>
      <c r="BE740" s="1477"/>
      <c r="BF740" s="1477"/>
      <c r="BG740" s="1477"/>
      <c r="BH740" s="1477"/>
      <c r="BI740" s="1477"/>
      <c r="BJ740" s="1477"/>
      <c r="BK740" s="1477"/>
      <c r="BL740" s="1477"/>
      <c r="BM740" s="1477"/>
      <c r="BN740" s="1477"/>
      <c r="BO740" s="1477"/>
      <c r="BP740" s="1477"/>
      <c r="BQ740" s="1477"/>
      <c r="BR740" s="1477"/>
      <c r="BS740" s="1477"/>
      <c r="BT740" s="1477"/>
      <c r="BU740" s="1477"/>
      <c r="BV740" s="1477"/>
      <c r="BW740" s="1477"/>
      <c r="BX740" s="1477"/>
      <c r="BY740" s="1477"/>
      <c r="BZ740" s="1477"/>
      <c r="CA740" s="1477"/>
      <c r="CB740" s="1477"/>
      <c r="CC740" s="1477"/>
      <c r="CD740" s="1477"/>
      <c r="CE740" s="1477"/>
      <c r="CF740" s="1477"/>
      <c r="CG740" s="1477"/>
      <c r="CH740" s="1477"/>
    </row>
    <row r="741" spans="29:86">
      <c r="AC741" s="1477"/>
      <c r="AD741" s="1477"/>
      <c r="AE741" s="1477"/>
      <c r="AF741" s="1477"/>
      <c r="AG741" s="1477"/>
      <c r="AH741" s="1477"/>
      <c r="AI741" s="1477"/>
      <c r="AJ741" s="1477"/>
      <c r="AK741" s="1477"/>
      <c r="AL741" s="1477"/>
      <c r="AM741" s="1477"/>
      <c r="AN741" s="1477"/>
      <c r="AO741" s="284"/>
      <c r="AP741" s="1477"/>
      <c r="AQ741" s="1477"/>
      <c r="AR741" s="1477"/>
      <c r="AS741" s="1477"/>
      <c r="AT741" s="1477"/>
      <c r="AU741" s="1477"/>
      <c r="AV741" s="1477"/>
      <c r="AW741" s="1477"/>
      <c r="AX741" s="1477"/>
      <c r="AY741" s="1477"/>
      <c r="AZ741" s="1477"/>
      <c r="BA741" s="1477"/>
      <c r="BB741" s="1477"/>
      <c r="BC741" s="1477"/>
      <c r="BD741" s="1477"/>
      <c r="BE741" s="1477"/>
      <c r="BF741" s="1477"/>
      <c r="BG741" s="1477"/>
      <c r="BH741" s="1477"/>
      <c r="BI741" s="1477"/>
      <c r="BJ741" s="1477"/>
      <c r="BK741" s="1477"/>
      <c r="BL741" s="1477"/>
      <c r="BM741" s="1477"/>
      <c r="BN741" s="1477"/>
      <c r="BO741" s="1477"/>
      <c r="BP741" s="1477"/>
      <c r="BQ741" s="1477"/>
      <c r="BR741" s="1477"/>
      <c r="BS741" s="1477"/>
      <c r="BT741" s="1477"/>
      <c r="BU741" s="1477"/>
      <c r="BV741" s="1477"/>
      <c r="BW741" s="1477"/>
      <c r="BX741" s="1477"/>
      <c r="BY741" s="1477"/>
      <c r="BZ741" s="1477"/>
      <c r="CA741" s="1477"/>
      <c r="CB741" s="1477"/>
      <c r="CC741" s="1477"/>
      <c r="CD741" s="1477"/>
      <c r="CE741" s="1477"/>
      <c r="CF741" s="1477"/>
      <c r="CG741" s="1477"/>
      <c r="CH741" s="1477"/>
    </row>
    <row r="742" spans="29:86">
      <c r="AC742" s="1477"/>
      <c r="AD742" s="1477"/>
      <c r="AE742" s="1477"/>
      <c r="AF742" s="1477"/>
      <c r="AG742" s="1477"/>
      <c r="AH742" s="1477"/>
      <c r="AI742" s="1477"/>
      <c r="AJ742" s="1477"/>
      <c r="AK742" s="1477"/>
      <c r="AL742" s="1477"/>
      <c r="AM742" s="1477"/>
      <c r="AN742" s="1477"/>
      <c r="AO742" s="284"/>
      <c r="AP742" s="1477"/>
      <c r="AQ742" s="1477"/>
      <c r="AR742" s="1477"/>
      <c r="AS742" s="1477"/>
      <c r="AT742" s="1477"/>
      <c r="AU742" s="1477"/>
      <c r="AV742" s="1477"/>
      <c r="AW742" s="1477"/>
      <c r="AX742" s="1477"/>
      <c r="AY742" s="1477"/>
      <c r="AZ742" s="1477"/>
      <c r="BA742" s="1477"/>
      <c r="BB742" s="1477"/>
      <c r="BC742" s="1477"/>
      <c r="BD742" s="1477"/>
      <c r="BE742" s="1477"/>
      <c r="BF742" s="1477"/>
      <c r="BG742" s="1477"/>
      <c r="BH742" s="1477"/>
      <c r="BI742" s="1477"/>
      <c r="BJ742" s="1477"/>
      <c r="BK742" s="1477"/>
      <c r="BL742" s="1477"/>
      <c r="BM742" s="1477"/>
      <c r="BN742" s="1477"/>
      <c r="BO742" s="1477"/>
      <c r="BP742" s="1477"/>
      <c r="BQ742" s="1477"/>
      <c r="BR742" s="1477"/>
      <c r="BS742" s="1477"/>
      <c r="BT742" s="1477"/>
      <c r="BU742" s="1477"/>
      <c r="BV742" s="1477"/>
      <c r="BW742" s="1477"/>
      <c r="BX742" s="1477"/>
      <c r="BY742" s="1477"/>
      <c r="BZ742" s="1477"/>
      <c r="CA742" s="1477"/>
      <c r="CB742" s="1477"/>
      <c r="CC742" s="1477"/>
      <c r="CD742" s="1477"/>
      <c r="CE742" s="1477"/>
      <c r="CF742" s="1477"/>
      <c r="CG742" s="1477"/>
      <c r="CH742" s="1477"/>
    </row>
    <row r="743" spans="29:86">
      <c r="AC743" s="1477"/>
      <c r="AD743" s="1477"/>
      <c r="AE743" s="1477"/>
      <c r="AF743" s="1477"/>
      <c r="AG743" s="1477"/>
      <c r="AH743" s="1477"/>
      <c r="AI743" s="1477"/>
      <c r="AJ743" s="1477"/>
      <c r="AK743" s="1477"/>
      <c r="AL743" s="1477"/>
      <c r="AM743" s="1477"/>
      <c r="AN743" s="1477"/>
      <c r="AO743" s="284"/>
      <c r="AP743" s="1477"/>
      <c r="AQ743" s="1477"/>
      <c r="AR743" s="1477"/>
      <c r="AS743" s="1477"/>
      <c r="AT743" s="1477"/>
      <c r="AU743" s="1477"/>
      <c r="AV743" s="1477"/>
      <c r="AW743" s="1477"/>
      <c r="AX743" s="1477"/>
      <c r="AY743" s="1477"/>
      <c r="AZ743" s="1477"/>
      <c r="BA743" s="1477"/>
      <c r="BB743" s="1477"/>
      <c r="BC743" s="1477"/>
      <c r="BD743" s="1477"/>
      <c r="BE743" s="1477"/>
      <c r="BF743" s="1477"/>
      <c r="BG743" s="1477"/>
      <c r="BH743" s="1477"/>
      <c r="BI743" s="1477"/>
      <c r="BJ743" s="1477"/>
      <c r="BK743" s="1477"/>
      <c r="BL743" s="1477"/>
      <c r="BM743" s="1477"/>
      <c r="BN743" s="1477"/>
      <c r="BO743" s="1477"/>
      <c r="BP743" s="1477"/>
      <c r="BQ743" s="1477"/>
      <c r="BR743" s="1477"/>
      <c r="BS743" s="1477"/>
      <c r="BT743" s="1477"/>
      <c r="BU743" s="1477"/>
      <c r="BV743" s="1477"/>
      <c r="BW743" s="1477"/>
      <c r="BX743" s="1477"/>
      <c r="BY743" s="1477"/>
      <c r="BZ743" s="1477"/>
      <c r="CA743" s="1477"/>
      <c r="CB743" s="1477"/>
      <c r="CC743" s="1477"/>
      <c r="CD743" s="1477"/>
      <c r="CE743" s="1477"/>
      <c r="CF743" s="1477"/>
      <c r="CG743" s="1477"/>
      <c r="CH743" s="1477"/>
    </row>
    <row r="744" spans="29:86">
      <c r="AC744" s="1477"/>
      <c r="AD744" s="1477"/>
      <c r="AE744" s="1477"/>
      <c r="AF744" s="1477"/>
      <c r="AG744" s="1477"/>
      <c r="AH744" s="1477"/>
      <c r="AI744" s="1477"/>
      <c r="AJ744" s="1477"/>
      <c r="AK744" s="1477"/>
      <c r="AL744" s="1477"/>
      <c r="AM744" s="1477"/>
      <c r="AN744" s="1477"/>
      <c r="AO744" s="284"/>
      <c r="AP744" s="1477"/>
      <c r="AQ744" s="1477"/>
      <c r="AR744" s="1477"/>
      <c r="AS744" s="1477"/>
      <c r="AT744" s="1477"/>
      <c r="AU744" s="1477"/>
      <c r="AV744" s="1477"/>
      <c r="AW744" s="1477"/>
      <c r="AX744" s="1477"/>
      <c r="AY744" s="1477"/>
      <c r="AZ744" s="1477"/>
      <c r="BA744" s="1477"/>
      <c r="BB744" s="1477"/>
      <c r="BC744" s="1477"/>
      <c r="BD744" s="1477"/>
      <c r="BE744" s="1477"/>
      <c r="BF744" s="1477"/>
      <c r="BG744" s="1477"/>
      <c r="BH744" s="1477"/>
      <c r="BI744" s="1477"/>
      <c r="BJ744" s="1477"/>
      <c r="BK744" s="1477"/>
      <c r="BL744" s="1477"/>
      <c r="BM744" s="1477"/>
      <c r="BN744" s="1477"/>
      <c r="BO744" s="1477"/>
      <c r="BP744" s="1477"/>
      <c r="BQ744" s="1477"/>
      <c r="BR744" s="1477"/>
      <c r="BS744" s="1477"/>
      <c r="BT744" s="1477"/>
      <c r="BU744" s="1477"/>
      <c r="BV744" s="1477"/>
      <c r="BW744" s="1477"/>
      <c r="BX744" s="1477"/>
      <c r="BY744" s="1477"/>
      <c r="BZ744" s="1477"/>
      <c r="CA744" s="1477"/>
      <c r="CB744" s="1477"/>
      <c r="CC744" s="1477"/>
      <c r="CD744" s="1477"/>
      <c r="CE744" s="1477"/>
      <c r="CF744" s="1477"/>
      <c r="CG744" s="1477"/>
      <c r="CH744" s="1477"/>
    </row>
    <row r="745" spans="29:86">
      <c r="AC745" s="1477"/>
      <c r="AD745" s="1477"/>
      <c r="AE745" s="1477"/>
      <c r="AF745" s="1477"/>
      <c r="AG745" s="1477"/>
      <c r="AH745" s="1477"/>
      <c r="AI745" s="1477"/>
      <c r="AJ745" s="1477"/>
      <c r="AK745" s="1477"/>
      <c r="AL745" s="1477"/>
      <c r="AM745" s="1477"/>
      <c r="AN745" s="1477"/>
      <c r="AO745" s="284"/>
      <c r="AP745" s="1477"/>
      <c r="AQ745" s="1477"/>
      <c r="AR745" s="1477"/>
      <c r="AS745" s="1477"/>
      <c r="AT745" s="1477"/>
      <c r="AU745" s="1477"/>
      <c r="AV745" s="1477"/>
      <c r="AW745" s="1477"/>
      <c r="AX745" s="1477"/>
      <c r="AY745" s="1477"/>
      <c r="AZ745" s="1477"/>
      <c r="BA745" s="1477"/>
      <c r="BB745" s="1477"/>
      <c r="BC745" s="1477"/>
      <c r="BD745" s="1477"/>
      <c r="BE745" s="1477"/>
      <c r="BF745" s="1477"/>
      <c r="BG745" s="1477"/>
      <c r="BH745" s="1477"/>
      <c r="BI745" s="1477"/>
      <c r="BJ745" s="1477"/>
      <c r="BK745" s="1477"/>
      <c r="BL745" s="1477"/>
      <c r="BM745" s="1477"/>
      <c r="BN745" s="1477"/>
      <c r="BO745" s="1477"/>
      <c r="BP745" s="1477"/>
      <c r="BQ745" s="1477"/>
      <c r="BR745" s="1477"/>
      <c r="BS745" s="1477"/>
      <c r="BT745" s="1477"/>
      <c r="BU745" s="1477"/>
      <c r="BV745" s="1477"/>
      <c r="BW745" s="1477"/>
      <c r="BX745" s="1477"/>
      <c r="BY745" s="1477"/>
      <c r="BZ745" s="1477"/>
      <c r="CA745" s="1477"/>
      <c r="CB745" s="1477"/>
      <c r="CC745" s="1477"/>
      <c r="CD745" s="1477"/>
      <c r="CE745" s="1477"/>
      <c r="CF745" s="1477"/>
      <c r="CG745" s="1477"/>
      <c r="CH745" s="1477"/>
    </row>
    <row r="746" spans="29:86">
      <c r="AC746" s="1477"/>
      <c r="AD746" s="1477"/>
      <c r="AE746" s="1477"/>
      <c r="AF746" s="1477"/>
      <c r="AG746" s="1477"/>
      <c r="AH746" s="1477"/>
      <c r="AI746" s="1477"/>
      <c r="AJ746" s="1477"/>
      <c r="AK746" s="1477"/>
      <c r="AL746" s="1477"/>
      <c r="AM746" s="1477"/>
      <c r="AN746" s="1477"/>
      <c r="AO746" s="284"/>
      <c r="AP746" s="1477"/>
      <c r="AQ746" s="1477"/>
      <c r="AR746" s="1477"/>
      <c r="AS746" s="1477"/>
      <c r="AT746" s="1477"/>
      <c r="AU746" s="1477"/>
      <c r="AV746" s="1477"/>
      <c r="AW746" s="1477"/>
      <c r="AX746" s="1477"/>
      <c r="AY746" s="1477"/>
      <c r="AZ746" s="1477"/>
      <c r="BA746" s="1477"/>
      <c r="BB746" s="1477"/>
      <c r="BC746" s="1477"/>
      <c r="BD746" s="1477"/>
      <c r="BE746" s="1477"/>
      <c r="BF746" s="1477"/>
      <c r="BG746" s="1477"/>
      <c r="BH746" s="1477"/>
      <c r="BI746" s="1477"/>
      <c r="BJ746" s="1477"/>
      <c r="BK746" s="1477"/>
      <c r="BL746" s="1477"/>
      <c r="BM746" s="1477"/>
      <c r="BN746" s="1477"/>
      <c r="BO746" s="1477"/>
      <c r="BP746" s="1477"/>
      <c r="BQ746" s="1477"/>
      <c r="BR746" s="1477"/>
      <c r="BS746" s="1477"/>
      <c r="BT746" s="1477"/>
      <c r="BU746" s="1477"/>
      <c r="BV746" s="1477"/>
      <c r="BW746" s="1477"/>
      <c r="BX746" s="1477"/>
      <c r="BY746" s="1477"/>
      <c r="BZ746" s="1477"/>
      <c r="CA746" s="1477"/>
      <c r="CB746" s="1477"/>
      <c r="CC746" s="1477"/>
      <c r="CD746" s="1477"/>
      <c r="CE746" s="1477"/>
      <c r="CF746" s="1477"/>
      <c r="CG746" s="1477"/>
      <c r="CH746" s="1477"/>
    </row>
    <row r="747" spans="29:86">
      <c r="AC747" s="1477"/>
      <c r="AD747" s="1477"/>
      <c r="AE747" s="1477"/>
      <c r="AF747" s="1477"/>
      <c r="AG747" s="1477"/>
      <c r="AH747" s="1477"/>
      <c r="AI747" s="1477"/>
      <c r="AJ747" s="1477"/>
      <c r="AK747" s="1477"/>
      <c r="AL747" s="1477"/>
      <c r="AM747" s="1477"/>
      <c r="AN747" s="1477"/>
      <c r="AO747" s="284"/>
      <c r="AP747" s="1477"/>
      <c r="AQ747" s="1477"/>
      <c r="AR747" s="1477"/>
      <c r="AS747" s="1477"/>
      <c r="AT747" s="1477"/>
      <c r="AU747" s="1477"/>
      <c r="AV747" s="1477"/>
      <c r="AW747" s="1477"/>
      <c r="AX747" s="1477"/>
      <c r="AY747" s="1477"/>
      <c r="AZ747" s="1477"/>
      <c r="BA747" s="1477"/>
      <c r="BB747" s="1477"/>
      <c r="BC747" s="1477"/>
      <c r="BD747" s="1477"/>
      <c r="BE747" s="1477"/>
      <c r="BF747" s="1477"/>
      <c r="BG747" s="1477"/>
      <c r="BH747" s="1477"/>
      <c r="BI747" s="1477"/>
      <c r="BJ747" s="1477"/>
      <c r="BK747" s="1477"/>
      <c r="BL747" s="1477"/>
      <c r="BM747" s="1477"/>
      <c r="BN747" s="1477"/>
      <c r="BO747" s="1477"/>
      <c r="BP747" s="1477"/>
      <c r="BQ747" s="1477"/>
      <c r="BR747" s="1477"/>
      <c r="BS747" s="1477"/>
      <c r="BT747" s="1477"/>
      <c r="BU747" s="1477"/>
      <c r="BV747" s="1477"/>
      <c r="BW747" s="1477"/>
      <c r="BX747" s="1477"/>
      <c r="BY747" s="1477"/>
      <c r="BZ747" s="1477"/>
      <c r="CA747" s="1477"/>
      <c r="CB747" s="1477"/>
      <c r="CC747" s="1477"/>
      <c r="CD747" s="1477"/>
      <c r="CE747" s="1477"/>
      <c r="CF747" s="1477"/>
      <c r="CG747" s="1477"/>
      <c r="CH747" s="1477"/>
    </row>
    <row r="748" spans="29:86">
      <c r="AC748" s="1477"/>
      <c r="AD748" s="1477"/>
      <c r="AE748" s="1477"/>
      <c r="AF748" s="1477"/>
      <c r="AG748" s="1477"/>
      <c r="AH748" s="1477"/>
      <c r="AI748" s="1477"/>
      <c r="AJ748" s="1477"/>
      <c r="AK748" s="1477"/>
      <c r="AL748" s="1477"/>
      <c r="AM748" s="1477"/>
      <c r="AN748" s="1477"/>
      <c r="AO748" s="284"/>
      <c r="AP748" s="1477"/>
      <c r="AQ748" s="1477"/>
      <c r="AR748" s="1477"/>
      <c r="AS748" s="1477"/>
      <c r="AT748" s="1477"/>
      <c r="AU748" s="1477"/>
      <c r="AV748" s="1477"/>
      <c r="AW748" s="1477"/>
      <c r="AX748" s="1477"/>
      <c r="AY748" s="1477"/>
      <c r="AZ748" s="1477"/>
      <c r="BA748" s="1477"/>
      <c r="BB748" s="1477"/>
      <c r="BC748" s="1477"/>
      <c r="BD748" s="1477"/>
      <c r="BE748" s="1477"/>
      <c r="BF748" s="1477"/>
      <c r="BG748" s="1477"/>
      <c r="BH748" s="1477"/>
      <c r="BI748" s="1477"/>
      <c r="BJ748" s="1477"/>
      <c r="BK748" s="1477"/>
      <c r="BL748" s="1477"/>
      <c r="BM748" s="1477"/>
      <c r="BN748" s="1477"/>
      <c r="BO748" s="1477"/>
      <c r="BP748" s="1477"/>
      <c r="BQ748" s="1477"/>
      <c r="BR748" s="1477"/>
      <c r="BS748" s="1477"/>
      <c r="BT748" s="1477"/>
      <c r="BU748" s="1477"/>
      <c r="BV748" s="1477"/>
      <c r="BW748" s="1477"/>
      <c r="BX748" s="1477"/>
      <c r="BY748" s="1477"/>
      <c r="BZ748" s="1477"/>
      <c r="CA748" s="1477"/>
      <c r="CB748" s="1477"/>
      <c r="CC748" s="1477"/>
      <c r="CD748" s="1477"/>
      <c r="CE748" s="1477"/>
      <c r="CF748" s="1477"/>
      <c r="CG748" s="1477"/>
      <c r="CH748" s="1477"/>
    </row>
    <row r="749" spans="29:86">
      <c r="AC749" s="1477"/>
      <c r="AD749" s="1477"/>
      <c r="AE749" s="1477"/>
      <c r="AF749" s="1477"/>
      <c r="AG749" s="1477"/>
      <c r="AH749" s="1477"/>
      <c r="AI749" s="1477"/>
      <c r="AJ749" s="1477"/>
      <c r="AK749" s="1477"/>
      <c r="AL749" s="1477"/>
      <c r="AM749" s="1477"/>
      <c r="AN749" s="1477"/>
      <c r="AO749" s="284"/>
      <c r="AP749" s="1477"/>
      <c r="AQ749" s="1477"/>
      <c r="AR749" s="1477"/>
      <c r="AS749" s="1477"/>
      <c r="AT749" s="1477"/>
      <c r="AU749" s="1477"/>
      <c r="AV749" s="1477"/>
      <c r="AW749" s="1477"/>
      <c r="AX749" s="1477"/>
      <c r="AY749" s="1477"/>
      <c r="AZ749" s="1477"/>
      <c r="BA749" s="1477"/>
      <c r="BB749" s="1477"/>
      <c r="BC749" s="1477"/>
      <c r="BD749" s="1477"/>
      <c r="BE749" s="1477"/>
      <c r="BF749" s="1477"/>
      <c r="BG749" s="1477"/>
      <c r="BH749" s="1477"/>
      <c r="BI749" s="1477"/>
      <c r="BJ749" s="1477"/>
      <c r="BK749" s="1477"/>
      <c r="BL749" s="1477"/>
      <c r="BM749" s="1477"/>
      <c r="BN749" s="1477"/>
      <c r="BO749" s="1477"/>
      <c r="BP749" s="1477"/>
      <c r="BQ749" s="1477"/>
      <c r="BR749" s="1477"/>
      <c r="BS749" s="1477"/>
      <c r="BT749" s="1477"/>
      <c r="BU749" s="1477"/>
      <c r="BV749" s="1477"/>
      <c r="BW749" s="1477"/>
      <c r="BX749" s="1477"/>
      <c r="BY749" s="1477"/>
      <c r="BZ749" s="1477"/>
      <c r="CA749" s="1477"/>
      <c r="CB749" s="1477"/>
      <c r="CC749" s="1477"/>
      <c r="CD749" s="1477"/>
      <c r="CE749" s="1477"/>
      <c r="CF749" s="1477"/>
      <c r="CG749" s="1477"/>
      <c r="CH749" s="1477"/>
    </row>
    <row r="750" spans="29:86">
      <c r="AC750" s="1477"/>
      <c r="AD750" s="1477"/>
      <c r="AE750" s="1477"/>
      <c r="AF750" s="1477"/>
      <c r="AG750" s="1477"/>
      <c r="AH750" s="1477"/>
      <c r="AI750" s="1477"/>
      <c r="AJ750" s="1477"/>
      <c r="AK750" s="1477"/>
      <c r="AL750" s="1477"/>
      <c r="AM750" s="1477"/>
      <c r="AN750" s="1477"/>
      <c r="AO750" s="284"/>
      <c r="AP750" s="1477"/>
      <c r="AQ750" s="1477"/>
      <c r="AR750" s="1477"/>
      <c r="AS750" s="1477"/>
      <c r="AT750" s="1477"/>
      <c r="AU750" s="1477"/>
      <c r="AV750" s="1477"/>
      <c r="AW750" s="1477"/>
      <c r="AX750" s="1477"/>
      <c r="AY750" s="1477"/>
      <c r="AZ750" s="1477"/>
      <c r="BA750" s="1477"/>
      <c r="BB750" s="1477"/>
      <c r="BC750" s="1477"/>
      <c r="BD750" s="1477"/>
      <c r="BE750" s="1477"/>
      <c r="BF750" s="1477"/>
      <c r="BG750" s="1477"/>
      <c r="BH750" s="1477"/>
      <c r="BI750" s="1477"/>
      <c r="BJ750" s="1477"/>
      <c r="BK750" s="1477"/>
      <c r="BL750" s="1477"/>
      <c r="BM750" s="1477"/>
      <c r="BN750" s="1477"/>
      <c r="BO750" s="1477"/>
      <c r="BP750" s="1477"/>
      <c r="BQ750" s="1477"/>
      <c r="BR750" s="1477"/>
      <c r="BS750" s="1477"/>
      <c r="BT750" s="1477"/>
      <c r="BU750" s="1477"/>
      <c r="BV750" s="1477"/>
      <c r="BW750" s="1477"/>
      <c r="BX750" s="1477"/>
      <c r="BY750" s="1477"/>
      <c r="BZ750" s="1477"/>
      <c r="CA750" s="1477"/>
      <c r="CB750" s="1477"/>
      <c r="CC750" s="1477"/>
      <c r="CD750" s="1477"/>
      <c r="CE750" s="1477"/>
      <c r="CF750" s="1477"/>
      <c r="CG750" s="1477"/>
      <c r="CH750" s="1477"/>
    </row>
    <row r="751" spans="29:86">
      <c r="AC751" s="1477"/>
      <c r="AD751" s="1477"/>
      <c r="AE751" s="1477"/>
      <c r="AF751" s="1477"/>
      <c r="AG751" s="1477"/>
      <c r="AH751" s="1477"/>
      <c r="AI751" s="1477"/>
      <c r="AJ751" s="1477"/>
      <c r="AK751" s="1477"/>
      <c r="AL751" s="1477"/>
      <c r="AM751" s="1477"/>
      <c r="AN751" s="1477"/>
      <c r="AO751" s="284"/>
      <c r="AP751" s="1477"/>
      <c r="AQ751" s="1477"/>
      <c r="AR751" s="1477"/>
      <c r="AS751" s="1477"/>
      <c r="AT751" s="1477"/>
      <c r="AU751" s="1477"/>
      <c r="AV751" s="1477"/>
      <c r="AW751" s="1477"/>
      <c r="AX751" s="1477"/>
      <c r="AY751" s="1477"/>
      <c r="AZ751" s="1477"/>
      <c r="BA751" s="1477"/>
      <c r="BB751" s="1477"/>
      <c r="BC751" s="1477"/>
      <c r="BD751" s="1477"/>
      <c r="BE751" s="1477"/>
      <c r="BF751" s="1477"/>
      <c r="BG751" s="1477"/>
      <c r="BH751" s="1477"/>
      <c r="BI751" s="1477"/>
      <c r="BJ751" s="1477"/>
      <c r="BK751" s="1477"/>
      <c r="BL751" s="1477"/>
      <c r="BM751" s="1477"/>
      <c r="BN751" s="1477"/>
      <c r="BO751" s="1477"/>
      <c r="BP751" s="1477"/>
      <c r="BQ751" s="1477"/>
      <c r="BR751" s="1477"/>
      <c r="BS751" s="1477"/>
      <c r="BT751" s="1477"/>
      <c r="BU751" s="1477"/>
      <c r="BV751" s="1477"/>
      <c r="BW751" s="1477"/>
      <c r="BX751" s="1477"/>
      <c r="BY751" s="1477"/>
      <c r="BZ751" s="1477"/>
      <c r="CA751" s="1477"/>
      <c r="CB751" s="1477"/>
      <c r="CC751" s="1477"/>
      <c r="CD751" s="1477"/>
      <c r="CE751" s="1477"/>
      <c r="CF751" s="1477"/>
      <c r="CG751" s="1477"/>
      <c r="CH751" s="1477"/>
    </row>
    <row r="752" spans="29:86">
      <c r="AC752" s="1477"/>
      <c r="AD752" s="1477"/>
      <c r="AE752" s="1477"/>
      <c r="AF752" s="1477"/>
      <c r="AG752" s="1477"/>
      <c r="AH752" s="1477"/>
      <c r="AI752" s="1477"/>
      <c r="AJ752" s="1477"/>
      <c r="AK752" s="1477"/>
      <c r="AL752" s="1477"/>
      <c r="AM752" s="1477"/>
      <c r="AN752" s="1477"/>
      <c r="AO752" s="284"/>
      <c r="AP752" s="1477"/>
      <c r="AQ752" s="1477"/>
      <c r="AR752" s="1477"/>
      <c r="AS752" s="1477"/>
      <c r="AT752" s="1477"/>
      <c r="AU752" s="1477"/>
      <c r="AV752" s="1477"/>
      <c r="AW752" s="1477"/>
      <c r="AX752" s="1477"/>
      <c r="AY752" s="1477"/>
      <c r="AZ752" s="1477"/>
      <c r="BA752" s="1477"/>
      <c r="BB752" s="1477"/>
      <c r="BC752" s="1477"/>
      <c r="BD752" s="1477"/>
      <c r="BE752" s="1477"/>
      <c r="BF752" s="1477"/>
      <c r="BG752" s="1477"/>
      <c r="BH752" s="1477"/>
      <c r="BI752" s="1477"/>
      <c r="BJ752" s="1477"/>
      <c r="BK752" s="1477"/>
      <c r="BL752" s="1477"/>
      <c r="BM752" s="1477"/>
      <c r="BN752" s="1477"/>
      <c r="BO752" s="1477"/>
      <c r="BP752" s="1477"/>
      <c r="BQ752" s="1477"/>
      <c r="BR752" s="1477"/>
      <c r="BS752" s="1477"/>
      <c r="BT752" s="1477"/>
      <c r="BU752" s="1477"/>
      <c r="BV752" s="1477"/>
      <c r="BW752" s="1477"/>
      <c r="BX752" s="1477"/>
      <c r="BY752" s="1477"/>
      <c r="BZ752" s="1477"/>
      <c r="CA752" s="1477"/>
      <c r="CB752" s="1477"/>
      <c r="CC752" s="1477"/>
      <c r="CD752" s="1477"/>
      <c r="CE752" s="1477"/>
      <c r="CF752" s="1477"/>
      <c r="CG752" s="1477"/>
      <c r="CH752" s="1477"/>
    </row>
    <row r="753" spans="29:86">
      <c r="AC753" s="1477"/>
      <c r="AD753" s="1477"/>
      <c r="AE753" s="1477"/>
      <c r="AF753" s="1477"/>
      <c r="AG753" s="1477"/>
      <c r="AH753" s="1477"/>
      <c r="AI753" s="1477"/>
      <c r="AJ753" s="1477"/>
      <c r="AK753" s="1477"/>
      <c r="AL753" s="1477"/>
      <c r="AM753" s="1477"/>
      <c r="AN753" s="1477"/>
      <c r="AO753" s="284"/>
      <c r="AP753" s="1477"/>
      <c r="AQ753" s="1477"/>
      <c r="AR753" s="1477"/>
      <c r="AS753" s="1477"/>
      <c r="AT753" s="1477"/>
      <c r="AU753" s="1477"/>
      <c r="AV753" s="1477"/>
      <c r="AW753" s="1477"/>
      <c r="AX753" s="1477"/>
      <c r="AY753" s="1477"/>
      <c r="AZ753" s="1477"/>
      <c r="BA753" s="1477"/>
      <c r="BB753" s="1477"/>
      <c r="BC753" s="1477"/>
      <c r="BD753" s="1477"/>
      <c r="BE753" s="1477"/>
      <c r="BF753" s="1477"/>
      <c r="BG753" s="1477"/>
      <c r="BH753" s="1477"/>
      <c r="BI753" s="1477"/>
      <c r="BJ753" s="1477"/>
      <c r="BK753" s="1477"/>
      <c r="BL753" s="1477"/>
      <c r="BM753" s="1477"/>
      <c r="BN753" s="1477"/>
      <c r="BO753" s="1477"/>
      <c r="BP753" s="1477"/>
      <c r="BQ753" s="1477"/>
      <c r="BR753" s="1477"/>
      <c r="BS753" s="1477"/>
      <c r="BT753" s="1477"/>
      <c r="BU753" s="1477"/>
      <c r="BV753" s="1477"/>
      <c r="BW753" s="1477"/>
      <c r="BX753" s="1477"/>
      <c r="BY753" s="1477"/>
      <c r="BZ753" s="1477"/>
      <c r="CA753" s="1477"/>
      <c r="CB753" s="1477"/>
      <c r="CC753" s="1477"/>
      <c r="CD753" s="1477"/>
      <c r="CE753" s="1477"/>
      <c r="CF753" s="1477"/>
      <c r="CG753" s="1477"/>
      <c r="CH753" s="1477"/>
    </row>
    <row r="754" spans="29:86">
      <c r="AC754" s="1477"/>
      <c r="AD754" s="1477"/>
      <c r="AE754" s="1477"/>
      <c r="AF754" s="1477"/>
      <c r="AG754" s="1477"/>
      <c r="AH754" s="1477"/>
      <c r="AI754" s="1477"/>
      <c r="AJ754" s="1477"/>
      <c r="AK754" s="1477"/>
      <c r="AL754" s="1477"/>
      <c r="AM754" s="1477"/>
      <c r="AN754" s="1477"/>
      <c r="AO754" s="284"/>
      <c r="AP754" s="1477"/>
      <c r="AQ754" s="1477"/>
      <c r="AR754" s="1477"/>
      <c r="AS754" s="1477"/>
      <c r="AT754" s="1477"/>
      <c r="AU754" s="1477"/>
      <c r="AV754" s="1477"/>
      <c r="AW754" s="1477"/>
      <c r="AX754" s="1477"/>
      <c r="AY754" s="1477"/>
      <c r="AZ754" s="1477"/>
      <c r="BA754" s="1477"/>
      <c r="BB754" s="1477"/>
      <c r="BC754" s="1477"/>
      <c r="BD754" s="1477"/>
      <c r="BE754" s="1477"/>
      <c r="BF754" s="1477"/>
      <c r="BG754" s="1477"/>
      <c r="BH754" s="1477"/>
      <c r="BI754" s="1477"/>
      <c r="BJ754" s="1477"/>
      <c r="BK754" s="1477"/>
      <c r="BL754" s="1477"/>
      <c r="BM754" s="1477"/>
      <c r="BN754" s="1477"/>
      <c r="BO754" s="1477"/>
      <c r="BP754" s="1477"/>
      <c r="BQ754" s="1477"/>
      <c r="BR754" s="1477"/>
      <c r="BS754" s="1477"/>
      <c r="BT754" s="1477"/>
      <c r="BU754" s="1477"/>
      <c r="BV754" s="1477"/>
      <c r="BW754" s="1477"/>
      <c r="BX754" s="1477"/>
      <c r="BY754" s="1477"/>
      <c r="BZ754" s="1477"/>
      <c r="CA754" s="1477"/>
      <c r="CB754" s="1477"/>
      <c r="CC754" s="1477"/>
      <c r="CD754" s="1477"/>
      <c r="CE754" s="1477"/>
      <c r="CF754" s="1477"/>
      <c r="CG754" s="1477"/>
      <c r="CH754" s="1477"/>
    </row>
    <row r="755" spans="29:86">
      <c r="AC755" s="1477"/>
      <c r="AD755" s="1477"/>
      <c r="AE755" s="1477"/>
      <c r="AF755" s="1477"/>
      <c r="AG755" s="1477"/>
      <c r="AH755" s="1477"/>
      <c r="AI755" s="1477"/>
      <c r="AJ755" s="1477"/>
      <c r="AK755" s="1477"/>
      <c r="AL755" s="1477"/>
      <c r="AM755" s="1477"/>
      <c r="AN755" s="1477"/>
      <c r="AO755" s="284"/>
      <c r="AP755" s="1477"/>
      <c r="AQ755" s="1477"/>
      <c r="AR755" s="1477"/>
      <c r="AS755" s="1477"/>
      <c r="AT755" s="1477"/>
      <c r="AU755" s="1477"/>
      <c r="AV755" s="1477"/>
      <c r="AW755" s="1477"/>
      <c r="AX755" s="1477"/>
      <c r="AY755" s="1477"/>
      <c r="AZ755" s="1477"/>
      <c r="BA755" s="1477"/>
      <c r="BB755" s="1477"/>
      <c r="BC755" s="1477"/>
      <c r="BD755" s="1477"/>
      <c r="BE755" s="1477"/>
      <c r="BF755" s="1477"/>
      <c r="BG755" s="1477"/>
      <c r="BH755" s="1477"/>
      <c r="BI755" s="1477"/>
      <c r="BJ755" s="1477"/>
      <c r="BK755" s="1477"/>
      <c r="BL755" s="1477"/>
      <c r="BM755" s="1477"/>
      <c r="BN755" s="1477"/>
      <c r="BO755" s="1477"/>
      <c r="BP755" s="1477"/>
      <c r="BQ755" s="1477"/>
      <c r="BR755" s="1477"/>
      <c r="BS755" s="1477"/>
      <c r="BT755" s="1477"/>
      <c r="BU755" s="1477"/>
      <c r="BV755" s="1477"/>
      <c r="BW755" s="1477"/>
      <c r="BX755" s="1477"/>
      <c r="BY755" s="1477"/>
      <c r="BZ755" s="1477"/>
      <c r="CA755" s="1477"/>
      <c r="CB755" s="1477"/>
      <c r="CC755" s="1477"/>
      <c r="CD755" s="1477"/>
      <c r="CE755" s="1477"/>
      <c r="CF755" s="1477"/>
      <c r="CG755" s="1477"/>
      <c r="CH755" s="1477"/>
    </row>
    <row r="756" spans="29:86">
      <c r="AC756" s="1477"/>
      <c r="AD756" s="1477"/>
      <c r="AE756" s="1477"/>
      <c r="AF756" s="1477"/>
      <c r="AG756" s="1477"/>
      <c r="AH756" s="1477"/>
      <c r="AI756" s="1477"/>
      <c r="AJ756" s="1477"/>
      <c r="AK756" s="1477"/>
      <c r="AL756" s="1477"/>
      <c r="AM756" s="1477"/>
      <c r="AN756" s="1477"/>
      <c r="AO756" s="284"/>
      <c r="AP756" s="1477"/>
      <c r="AQ756" s="1477"/>
      <c r="AR756" s="1477"/>
      <c r="AS756" s="1477"/>
      <c r="AT756" s="1477"/>
      <c r="AU756" s="1477"/>
      <c r="AV756" s="1477"/>
      <c r="AW756" s="1477"/>
      <c r="AX756" s="1477"/>
      <c r="AY756" s="1477"/>
      <c r="AZ756" s="1477"/>
      <c r="BA756" s="1477"/>
      <c r="BB756" s="1477"/>
      <c r="BC756" s="1477"/>
      <c r="BD756" s="1477"/>
      <c r="BE756" s="1477"/>
      <c r="BF756" s="1477"/>
      <c r="BG756" s="1477"/>
      <c r="BH756" s="1477"/>
      <c r="BI756" s="1477"/>
      <c r="BJ756" s="1477"/>
      <c r="BK756" s="1477"/>
      <c r="BL756" s="1477"/>
      <c r="BM756" s="1477"/>
      <c r="BN756" s="1477"/>
      <c r="BO756" s="1477"/>
      <c r="BP756" s="1477"/>
      <c r="BQ756" s="1477"/>
      <c r="BR756" s="1477"/>
      <c r="BS756" s="1477"/>
      <c r="BT756" s="1477"/>
      <c r="BU756" s="1477"/>
      <c r="BV756" s="1477"/>
      <c r="BW756" s="1477"/>
      <c r="BX756" s="1477"/>
      <c r="BY756" s="1477"/>
      <c r="BZ756" s="1477"/>
      <c r="CA756" s="1477"/>
      <c r="CB756" s="1477"/>
      <c r="CC756" s="1477"/>
      <c r="CD756" s="1477"/>
      <c r="CE756" s="1477"/>
      <c r="CF756" s="1477"/>
      <c r="CG756" s="1477"/>
      <c r="CH756" s="1477"/>
    </row>
    <row r="757" spans="29:86">
      <c r="AC757" s="1478"/>
      <c r="AD757" s="1478"/>
      <c r="AE757" s="1478"/>
      <c r="AF757" s="1478"/>
      <c r="AG757" s="1478"/>
      <c r="AH757" s="1478"/>
      <c r="AI757" s="1478"/>
      <c r="AJ757" s="1478"/>
      <c r="AK757" s="1478"/>
      <c r="AL757" s="1477"/>
      <c r="AM757" s="1477"/>
      <c r="AN757" s="1477"/>
      <c r="AO757" s="284"/>
      <c r="AP757" s="1477"/>
      <c r="AQ757" s="1477"/>
      <c r="AR757" s="1477"/>
      <c r="AS757" s="1477"/>
      <c r="AT757" s="1477"/>
      <c r="AU757" s="1477"/>
      <c r="AV757" s="1477"/>
      <c r="AW757" s="1477"/>
      <c r="AX757" s="1477"/>
      <c r="AY757" s="1477"/>
      <c r="AZ757" s="1477"/>
      <c r="BA757" s="1477"/>
      <c r="BB757" s="1477"/>
      <c r="BC757" s="1477"/>
      <c r="BD757" s="1477"/>
      <c r="BE757" s="1477"/>
      <c r="BF757" s="1477"/>
      <c r="BG757" s="1477"/>
      <c r="BH757" s="1477"/>
      <c r="BI757" s="1477"/>
      <c r="BJ757" s="1477"/>
      <c r="BK757" s="1477"/>
      <c r="BL757" s="1477"/>
      <c r="BM757" s="1477"/>
      <c r="BN757" s="1477"/>
      <c r="BO757" s="1477"/>
      <c r="BP757" s="1477"/>
      <c r="BQ757" s="1477"/>
      <c r="BR757" s="1477"/>
      <c r="BS757" s="1477"/>
      <c r="BT757" s="1477"/>
      <c r="BU757" s="1477"/>
      <c r="BV757" s="1477"/>
      <c r="BW757" s="1477"/>
      <c r="BX757" s="1477"/>
      <c r="BY757" s="1477"/>
      <c r="BZ757" s="1477"/>
      <c r="CA757" s="1477"/>
      <c r="CB757" s="1477"/>
      <c r="CC757" s="1477"/>
      <c r="CD757" s="1477"/>
      <c r="CE757" s="1477"/>
      <c r="CF757" s="1477"/>
      <c r="CG757" s="1477"/>
      <c r="CH757" s="1477"/>
    </row>
    <row r="758" spans="29:86">
      <c r="AC758" s="1478"/>
      <c r="AD758" s="1478"/>
      <c r="AE758" s="1478"/>
      <c r="AF758" s="1478"/>
      <c r="AG758" s="1478"/>
      <c r="AH758" s="1478"/>
      <c r="AI758" s="1478"/>
      <c r="AJ758" s="1478"/>
      <c r="AK758" s="1478"/>
      <c r="AL758" s="1477"/>
      <c r="AM758" s="1477"/>
      <c r="AN758" s="1477"/>
      <c r="AO758" s="284"/>
      <c r="AP758" s="1477"/>
      <c r="AQ758" s="1477"/>
      <c r="AR758" s="1477"/>
      <c r="AS758" s="1477"/>
      <c r="AT758" s="1477"/>
      <c r="AU758" s="1477"/>
      <c r="AV758" s="1477"/>
      <c r="AW758" s="1477"/>
      <c r="AX758" s="1477"/>
      <c r="AY758" s="1477"/>
      <c r="AZ758" s="1477"/>
      <c r="BA758" s="1477"/>
      <c r="BB758" s="1477"/>
      <c r="BC758" s="1477"/>
      <c r="BD758" s="1477"/>
      <c r="BE758" s="1477"/>
      <c r="BF758" s="1477"/>
      <c r="BG758" s="1477"/>
      <c r="BH758" s="1477"/>
      <c r="BI758" s="1477"/>
      <c r="BJ758" s="1477"/>
      <c r="BK758" s="1477"/>
      <c r="BL758" s="1477"/>
      <c r="BM758" s="1477"/>
      <c r="BN758" s="1477"/>
      <c r="BO758" s="1477"/>
      <c r="BP758" s="1477"/>
      <c r="BQ758" s="1477"/>
      <c r="BR758" s="1477"/>
      <c r="BS758" s="1477"/>
      <c r="BT758" s="1477"/>
      <c r="BU758" s="1477"/>
      <c r="BV758" s="1477"/>
      <c r="BW758" s="1477"/>
      <c r="BX758" s="1477"/>
      <c r="BY758" s="1477"/>
      <c r="BZ758" s="1477"/>
      <c r="CA758" s="1477"/>
      <c r="CB758" s="1477"/>
      <c r="CC758" s="1477"/>
      <c r="CD758" s="1477"/>
      <c r="CE758" s="1477"/>
      <c r="CF758" s="1477"/>
      <c r="CG758" s="1477"/>
      <c r="CH758" s="1477"/>
    </row>
    <row r="759" spans="29:86">
      <c r="AC759" s="1478"/>
      <c r="AD759" s="1478"/>
      <c r="AE759" s="1478"/>
      <c r="AF759" s="1478"/>
      <c r="AG759" s="1478"/>
      <c r="AH759" s="1478"/>
      <c r="AI759" s="1478"/>
      <c r="AJ759" s="1478"/>
      <c r="AK759" s="1478"/>
      <c r="AL759" s="1477"/>
      <c r="AM759" s="1477"/>
      <c r="AN759" s="1477"/>
      <c r="AO759" s="284"/>
      <c r="AP759" s="1477"/>
      <c r="AQ759" s="1477"/>
      <c r="AR759" s="1477"/>
      <c r="AS759" s="1477"/>
      <c r="AT759" s="1477"/>
      <c r="AU759" s="1477"/>
      <c r="AV759" s="1477"/>
      <c r="AW759" s="1477"/>
      <c r="AX759" s="1477"/>
      <c r="AY759" s="1477"/>
      <c r="AZ759" s="1477"/>
      <c r="BA759" s="1477"/>
      <c r="BB759" s="1477"/>
      <c r="BC759" s="1477"/>
      <c r="BD759" s="1477"/>
      <c r="BE759" s="1477"/>
      <c r="BF759" s="1477"/>
      <c r="BG759" s="1477"/>
      <c r="BH759" s="1477"/>
      <c r="BI759" s="1477"/>
      <c r="BJ759" s="1477"/>
      <c r="BK759" s="1477"/>
      <c r="BL759" s="1477"/>
      <c r="BM759" s="1477"/>
      <c r="BN759" s="1477"/>
      <c r="BO759" s="1477"/>
      <c r="BP759" s="1477"/>
      <c r="BQ759" s="1477"/>
      <c r="BR759" s="1477"/>
      <c r="BS759" s="1477"/>
      <c r="BT759" s="1477"/>
      <c r="BU759" s="1477"/>
      <c r="BV759" s="1477"/>
      <c r="BW759" s="1477"/>
      <c r="BX759" s="1477"/>
      <c r="BY759" s="1477"/>
      <c r="BZ759" s="1477"/>
      <c r="CA759" s="1477"/>
      <c r="CB759" s="1477"/>
      <c r="CC759" s="1477"/>
      <c r="CD759" s="1477"/>
      <c r="CE759" s="1477"/>
      <c r="CF759" s="1477"/>
      <c r="CG759" s="1477"/>
      <c r="CH759" s="1477"/>
    </row>
    <row r="760" spans="29:86">
      <c r="AC760" s="1478"/>
      <c r="AD760" s="1478"/>
      <c r="AE760" s="1478"/>
      <c r="AF760" s="1478"/>
      <c r="AG760" s="1478"/>
      <c r="AH760" s="1478"/>
      <c r="AI760" s="1478"/>
      <c r="AJ760" s="1478"/>
      <c r="AK760" s="1478"/>
      <c r="AL760" s="1477"/>
      <c r="AM760" s="1477"/>
      <c r="AN760" s="1477"/>
      <c r="AO760" s="284"/>
      <c r="AP760" s="1477"/>
      <c r="AQ760" s="1477"/>
      <c r="AR760" s="1477"/>
      <c r="AS760" s="1477"/>
      <c r="AT760" s="1477"/>
      <c r="AU760" s="1477"/>
      <c r="AV760" s="1477"/>
      <c r="AW760" s="1477"/>
      <c r="AX760" s="1477"/>
      <c r="AY760" s="1477"/>
      <c r="AZ760" s="1477"/>
      <c r="BA760" s="1477"/>
      <c r="BB760" s="1477"/>
      <c r="BC760" s="1477"/>
      <c r="BD760" s="1477"/>
      <c r="BE760" s="1477"/>
      <c r="BF760" s="1477"/>
      <c r="BG760" s="1477"/>
      <c r="BH760" s="1477"/>
      <c r="BI760" s="1477"/>
      <c r="BJ760" s="1477"/>
      <c r="BK760" s="1477"/>
      <c r="BL760" s="1477"/>
      <c r="BM760" s="1477"/>
      <c r="BN760" s="1477"/>
      <c r="BO760" s="1477"/>
      <c r="BP760" s="1477"/>
      <c r="BQ760" s="1477"/>
      <c r="BR760" s="1477"/>
      <c r="BS760" s="1477"/>
      <c r="BT760" s="1477"/>
      <c r="BU760" s="1477"/>
      <c r="BV760" s="1477"/>
      <c r="BW760" s="1477"/>
      <c r="BX760" s="1477"/>
      <c r="BY760" s="1477"/>
      <c r="BZ760" s="1477"/>
      <c r="CA760" s="1477"/>
      <c r="CB760" s="1477"/>
      <c r="CC760" s="1477"/>
      <c r="CD760" s="1477"/>
      <c r="CE760" s="1477"/>
      <c r="CF760" s="1477"/>
      <c r="CG760" s="1477"/>
      <c r="CH760" s="1477"/>
    </row>
    <row r="761" spans="29:86">
      <c r="AC761" s="1478"/>
      <c r="AD761" s="1478"/>
      <c r="AE761" s="1478"/>
      <c r="AF761" s="1478"/>
      <c r="AG761" s="1478"/>
      <c r="AH761" s="1478"/>
      <c r="AI761" s="1478"/>
      <c r="AJ761" s="1478"/>
      <c r="AK761" s="1478"/>
      <c r="AL761" s="1477"/>
      <c r="AM761" s="1477"/>
      <c r="AN761" s="1477"/>
      <c r="AO761" s="284"/>
      <c r="AP761" s="1477"/>
      <c r="AQ761" s="1477"/>
      <c r="AR761" s="1477"/>
      <c r="AS761" s="1477"/>
      <c r="AT761" s="1477"/>
      <c r="AU761" s="1477"/>
      <c r="AV761" s="1477"/>
      <c r="AW761" s="1477"/>
      <c r="AX761" s="1477"/>
      <c r="AY761" s="1477"/>
      <c r="AZ761" s="1477"/>
      <c r="BA761" s="1477"/>
      <c r="BB761" s="1477"/>
      <c r="BC761" s="1477"/>
      <c r="BD761" s="1477"/>
      <c r="BE761" s="1477"/>
      <c r="BF761" s="1477"/>
      <c r="BG761" s="1477"/>
      <c r="BH761" s="1477"/>
      <c r="BI761" s="1477"/>
      <c r="BJ761" s="1477"/>
      <c r="BK761" s="1477"/>
      <c r="BL761" s="1477"/>
      <c r="BM761" s="1477"/>
      <c r="BN761" s="1477"/>
      <c r="BO761" s="1477"/>
      <c r="BP761" s="1477"/>
      <c r="BQ761" s="1477"/>
      <c r="BR761" s="1477"/>
      <c r="BS761" s="1477"/>
      <c r="BT761" s="1477"/>
      <c r="BU761" s="1477"/>
      <c r="BV761" s="1477"/>
      <c r="BW761" s="1477"/>
      <c r="BX761" s="1477"/>
      <c r="BY761" s="1477"/>
      <c r="BZ761" s="1477"/>
      <c r="CA761" s="1477"/>
      <c r="CB761" s="1477"/>
      <c r="CC761" s="1477"/>
      <c r="CD761" s="1477"/>
      <c r="CE761" s="1477"/>
      <c r="CF761" s="1477"/>
      <c r="CG761" s="1477"/>
      <c r="CH761" s="1477"/>
    </row>
    <row r="762" spans="29:86">
      <c r="AC762" s="1478"/>
      <c r="AD762" s="1478"/>
      <c r="AE762" s="1478"/>
      <c r="AF762" s="1478"/>
      <c r="AG762" s="1478"/>
      <c r="AH762" s="1478"/>
      <c r="AI762" s="1478"/>
      <c r="AJ762" s="1478"/>
      <c r="AK762" s="1478"/>
      <c r="AL762" s="1477"/>
      <c r="AM762" s="1477"/>
      <c r="AN762" s="1477"/>
      <c r="AO762" s="284"/>
      <c r="AP762" s="1477"/>
      <c r="AQ762" s="1477"/>
      <c r="AR762" s="1477"/>
      <c r="AS762" s="1477"/>
      <c r="AT762" s="1477"/>
      <c r="AU762" s="1477"/>
      <c r="AV762" s="1477"/>
      <c r="AW762" s="1477"/>
      <c r="AX762" s="1477"/>
      <c r="AY762" s="1477"/>
      <c r="AZ762" s="1477"/>
      <c r="BA762" s="1477"/>
      <c r="BB762" s="1477"/>
      <c r="BC762" s="1477"/>
      <c r="BD762" s="1477"/>
      <c r="BE762" s="1477"/>
      <c r="BF762" s="1477"/>
      <c r="BG762" s="1477"/>
      <c r="BH762" s="1477"/>
      <c r="BI762" s="1477"/>
      <c r="BJ762" s="1477"/>
      <c r="BK762" s="1477"/>
      <c r="BL762" s="1477"/>
      <c r="BM762" s="1477"/>
      <c r="BN762" s="1477"/>
      <c r="BO762" s="1477"/>
      <c r="BP762" s="1477"/>
      <c r="BQ762" s="1477"/>
      <c r="BR762" s="1477"/>
      <c r="BS762" s="1477"/>
      <c r="BT762" s="1477"/>
      <c r="BU762" s="1477"/>
      <c r="BV762" s="1477"/>
      <c r="BW762" s="1477"/>
      <c r="BX762" s="1477"/>
      <c r="BY762" s="1477"/>
      <c r="BZ762" s="1477"/>
      <c r="CA762" s="1477"/>
      <c r="CB762" s="1477"/>
      <c r="CC762" s="1477"/>
      <c r="CD762" s="1477"/>
      <c r="CE762" s="1477"/>
      <c r="CF762" s="1477"/>
      <c r="CG762" s="1477"/>
      <c r="CH762" s="1477"/>
    </row>
    <row r="763" spans="29:86">
      <c r="AC763" s="1478"/>
      <c r="AD763" s="1478"/>
      <c r="AE763" s="1478"/>
      <c r="AF763" s="1478"/>
      <c r="AG763" s="1478"/>
      <c r="AH763" s="1478"/>
      <c r="AI763" s="1478"/>
      <c r="AJ763" s="1478"/>
      <c r="AK763" s="1478"/>
      <c r="AL763" s="1477"/>
      <c r="AM763" s="1477"/>
      <c r="AN763" s="1477"/>
      <c r="AO763" s="284"/>
      <c r="AP763" s="1477"/>
      <c r="AQ763" s="1477"/>
      <c r="AR763" s="1477"/>
      <c r="AS763" s="1477"/>
      <c r="AT763" s="1477"/>
      <c r="AU763" s="1477"/>
      <c r="AV763" s="1477"/>
      <c r="AW763" s="1477"/>
      <c r="AX763" s="1477"/>
      <c r="AY763" s="1477"/>
      <c r="AZ763" s="1477"/>
      <c r="BA763" s="1477"/>
      <c r="BB763" s="1477"/>
      <c r="BC763" s="1477"/>
      <c r="BD763" s="1477"/>
      <c r="BE763" s="1477"/>
      <c r="BF763" s="1477"/>
      <c r="BG763" s="1477"/>
      <c r="BH763" s="1477"/>
      <c r="BI763" s="1477"/>
      <c r="BJ763" s="1477"/>
      <c r="BK763" s="1477"/>
      <c r="BL763" s="1477"/>
      <c r="BM763" s="1477"/>
      <c r="BN763" s="1477"/>
      <c r="BO763" s="1477"/>
      <c r="BP763" s="1477"/>
      <c r="BQ763" s="1477"/>
      <c r="BR763" s="1477"/>
      <c r="BS763" s="1477"/>
      <c r="BT763" s="1477"/>
      <c r="BU763" s="1477"/>
      <c r="BV763" s="1477"/>
      <c r="BW763" s="1477"/>
      <c r="BX763" s="1477"/>
      <c r="BY763" s="1477"/>
      <c r="BZ763" s="1477"/>
      <c r="CA763" s="1477"/>
      <c r="CB763" s="1477"/>
      <c r="CC763" s="1477"/>
      <c r="CD763" s="1477"/>
      <c r="CE763" s="1477"/>
      <c r="CF763" s="1477"/>
      <c r="CG763" s="1477"/>
      <c r="CH763" s="1477"/>
    </row>
    <row r="764" spans="29:86">
      <c r="AC764" s="1478"/>
      <c r="AD764" s="1478"/>
      <c r="AE764" s="1478"/>
      <c r="AF764" s="1478"/>
      <c r="AG764" s="1478"/>
      <c r="AH764" s="1478"/>
      <c r="AI764" s="1478"/>
      <c r="AJ764" s="1478"/>
      <c r="AK764" s="1478"/>
      <c r="AL764" s="1477"/>
      <c r="AM764" s="1477"/>
      <c r="AN764" s="1477"/>
      <c r="AO764" s="284"/>
      <c r="AP764" s="1477"/>
      <c r="AQ764" s="1477"/>
      <c r="AR764" s="1477"/>
      <c r="AS764" s="1477"/>
      <c r="AT764" s="1477"/>
      <c r="AU764" s="1477"/>
      <c r="AV764" s="1477"/>
      <c r="AW764" s="1477"/>
      <c r="AX764" s="1477"/>
      <c r="AY764" s="1477"/>
      <c r="AZ764" s="1477"/>
      <c r="BA764" s="1477"/>
      <c r="BB764" s="1477"/>
      <c r="BC764" s="1477"/>
      <c r="BD764" s="1477"/>
      <c r="BE764" s="1477"/>
      <c r="BF764" s="1477"/>
      <c r="BG764" s="1477"/>
      <c r="BH764" s="1477"/>
      <c r="BI764" s="1477"/>
      <c r="BJ764" s="1477"/>
      <c r="BK764" s="1477"/>
      <c r="BL764" s="1477"/>
      <c r="BM764" s="1477"/>
      <c r="BN764" s="1477"/>
      <c r="BO764" s="1477"/>
      <c r="BP764" s="1477"/>
      <c r="BQ764" s="1477"/>
      <c r="BR764" s="1477"/>
      <c r="BS764" s="1477"/>
      <c r="BT764" s="1477"/>
      <c r="BU764" s="1477"/>
      <c r="BV764" s="1477"/>
      <c r="BW764" s="1477"/>
      <c r="BX764" s="1477"/>
      <c r="BY764" s="1477"/>
      <c r="BZ764" s="1477"/>
      <c r="CA764" s="1477"/>
      <c r="CB764" s="1477"/>
      <c r="CC764" s="1477"/>
      <c r="CD764" s="1477"/>
      <c r="CE764" s="1477"/>
      <c r="CF764" s="1477"/>
      <c r="CG764" s="1477"/>
      <c r="CH764" s="1477"/>
    </row>
    <row r="765" spans="29:86">
      <c r="AC765" s="1478"/>
      <c r="AD765" s="1478"/>
      <c r="AE765" s="1478"/>
      <c r="AF765" s="1478"/>
      <c r="AG765" s="1478"/>
      <c r="AH765" s="1478"/>
      <c r="AI765" s="1478"/>
      <c r="AJ765" s="1478"/>
      <c r="AK765" s="1478"/>
      <c r="AL765" s="1477"/>
      <c r="AM765" s="1477"/>
      <c r="AN765" s="1477"/>
      <c r="AO765" s="284"/>
      <c r="AP765" s="1477"/>
      <c r="AQ765" s="1477"/>
      <c r="AR765" s="1477"/>
      <c r="AS765" s="1477"/>
      <c r="AT765" s="1477"/>
      <c r="AU765" s="1477"/>
      <c r="AV765" s="1477"/>
      <c r="AW765" s="1477"/>
      <c r="AX765" s="1477"/>
      <c r="AY765" s="1477"/>
      <c r="AZ765" s="1477"/>
      <c r="BA765" s="1477"/>
      <c r="BB765" s="1477"/>
      <c r="BC765" s="1477"/>
      <c r="BD765" s="1477"/>
      <c r="BE765" s="1477"/>
      <c r="BF765" s="1477"/>
      <c r="BG765" s="1477"/>
      <c r="BH765" s="1477"/>
      <c r="BI765" s="1477"/>
      <c r="BJ765" s="1477"/>
      <c r="BK765" s="1477"/>
      <c r="BL765" s="1477"/>
      <c r="BM765" s="1477"/>
      <c r="BN765" s="1477"/>
      <c r="BO765" s="1477"/>
      <c r="BP765" s="1477"/>
      <c r="BQ765" s="1477"/>
      <c r="BR765" s="1477"/>
      <c r="BS765" s="1477"/>
      <c r="BT765" s="1477"/>
      <c r="BU765" s="1477"/>
      <c r="BV765" s="1477"/>
      <c r="BW765" s="1477"/>
      <c r="BX765" s="1477"/>
      <c r="BY765" s="1477"/>
      <c r="BZ765" s="1477"/>
      <c r="CA765" s="1477"/>
      <c r="CB765" s="1477"/>
      <c r="CC765" s="1477"/>
      <c r="CD765" s="1477"/>
      <c r="CE765" s="1477"/>
      <c r="CF765" s="1477"/>
      <c r="CG765" s="1477"/>
      <c r="CH765" s="1477"/>
    </row>
    <row r="766" spans="29:86">
      <c r="AC766" s="1478"/>
      <c r="AD766" s="1478"/>
      <c r="AE766" s="1478"/>
      <c r="AF766" s="1478"/>
      <c r="AG766" s="1478"/>
      <c r="AH766" s="1478"/>
      <c r="AI766" s="1478"/>
      <c r="AJ766" s="1478"/>
      <c r="AK766" s="1478"/>
      <c r="AL766" s="1477"/>
      <c r="AM766" s="1477"/>
      <c r="AN766" s="1477"/>
      <c r="AO766" s="284"/>
      <c r="AP766" s="1477"/>
      <c r="AQ766" s="1477"/>
      <c r="AR766" s="1477"/>
      <c r="AS766" s="1477"/>
      <c r="AT766" s="1477"/>
      <c r="AU766" s="1477"/>
      <c r="AV766" s="1477"/>
      <c r="AW766" s="1477"/>
      <c r="AX766" s="1477"/>
      <c r="AY766" s="1477"/>
      <c r="AZ766" s="1477"/>
      <c r="BA766" s="1477"/>
      <c r="BB766" s="1477"/>
      <c r="BC766" s="1477"/>
      <c r="BD766" s="1477"/>
      <c r="BE766" s="1477"/>
      <c r="BF766" s="1477"/>
      <c r="BG766" s="1477"/>
      <c r="BH766" s="1477"/>
      <c r="BI766" s="1477"/>
      <c r="BJ766" s="1477"/>
      <c r="BK766" s="1477"/>
      <c r="BL766" s="1477"/>
      <c r="BM766" s="1477"/>
      <c r="BN766" s="1477"/>
      <c r="BO766" s="1477"/>
      <c r="BP766" s="1477"/>
      <c r="BQ766" s="1477"/>
      <c r="BR766" s="1477"/>
      <c r="BS766" s="1477"/>
      <c r="BT766" s="1477"/>
      <c r="BU766" s="1477"/>
      <c r="BV766" s="1477"/>
      <c r="BW766" s="1477"/>
      <c r="BX766" s="1477"/>
      <c r="BY766" s="1477"/>
      <c r="BZ766" s="1477"/>
      <c r="CA766" s="1477"/>
      <c r="CB766" s="1477"/>
      <c r="CC766" s="1477"/>
      <c r="CD766" s="1477"/>
      <c r="CE766" s="1477"/>
      <c r="CF766" s="1477"/>
      <c r="CG766" s="1477"/>
      <c r="CH766" s="1477"/>
    </row>
  </sheetData>
  <sheetProtection algorithmName="SHA-512" hashValue="rE0XTTVS1MPCHdmKPq0SYJbVBaAYq14rOU9WUCRUVFX4sS6h0Qm+Iu1CJnwV58ixQzn9uJL5ojnJlc3Wssvz+Q==" saltValue="KshV2PlbG3a0vcfVZ6n84g==" spinCount="100000" sheet="1" objects="1" scenarios="1" selectLockedCells="1"/>
  <mergeCells count="7">
    <mergeCell ref="D266:K269"/>
    <mergeCell ref="E11:F11"/>
    <mergeCell ref="E12:F12"/>
    <mergeCell ref="D253:K260"/>
    <mergeCell ref="E8:F8"/>
    <mergeCell ref="E9:F9"/>
    <mergeCell ref="E10:F10"/>
  </mergeCells>
  <conditionalFormatting sqref="C194:C196">
    <cfRule type="expression" dxfId="225" priority="90">
      <formula>$E$194&gt;$E$195</formula>
    </cfRule>
  </conditionalFormatting>
  <conditionalFormatting sqref="C196">
    <cfRule type="expression" dxfId="224" priority="91">
      <formula>$E$194&gt;$E$195</formula>
    </cfRule>
  </conditionalFormatting>
  <dataValidations disablePrompts="1" count="1">
    <dataValidation type="custom" allowBlank="1" showInputMessage="1" showErrorMessage="1" sqref="F1" xr:uid="{AFCCD946-9D82-4D44-B17D-5A6158E28A03}">
      <formula1>"&lt;0&gt;0"</formula1>
    </dataValidation>
  </dataValidations>
  <pageMargins left="0.25" right="0.25" top="0.75" bottom="0.75" header="0.3" footer="0.3"/>
  <pageSetup scale="44" fitToWidth="2" fitToHeight="0" orientation="landscape" r:id="rId1"/>
  <headerFooter>
    <oddHeader>&amp;L&amp;G</oddHeader>
    <oddFooter>&amp;CWHEDA MULTIFAMILY APPLICATION&amp;R&amp;P of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C9B-5843-4BAE-9F1B-C7245D0CFCB6}">
  <sheetPr codeName="Sheet17">
    <pageSetUpPr fitToPage="1"/>
  </sheetPr>
  <dimension ref="A1:U46"/>
  <sheetViews>
    <sheetView workbookViewId="0">
      <selection activeCell="G1" sqref="G1"/>
    </sheetView>
  </sheetViews>
  <sheetFormatPr defaultColWidth="8.85546875" defaultRowHeight="15"/>
  <cols>
    <col min="1" max="1" width="4.42578125" style="3" customWidth="1"/>
    <col min="2" max="2" width="5.7109375" style="3" customWidth="1"/>
    <col min="3" max="3" width="57.140625" style="3" customWidth="1"/>
    <col min="4" max="7" width="16.42578125" style="3" customWidth="1"/>
    <col min="8" max="9" width="3.7109375" style="3" customWidth="1"/>
    <col min="10" max="10" width="15.85546875" style="3" bestFit="1" customWidth="1"/>
    <col min="11" max="11" width="16" style="3" customWidth="1"/>
    <col min="12" max="12" width="19.42578125" style="3" bestFit="1" customWidth="1"/>
    <col min="13" max="13" width="8.85546875" style="3"/>
    <col min="14" max="14" width="23.85546875" style="3" bestFit="1" customWidth="1"/>
    <col min="15" max="15" width="16.140625" style="3" customWidth="1"/>
    <col min="16" max="25" width="0" style="3" hidden="1" customWidth="1"/>
    <col min="26" max="16384" width="8.85546875" style="3"/>
  </cols>
  <sheetData>
    <row r="1" spans="1:9" ht="28.5">
      <c r="B1" s="4" t="str">
        <f>'1. TOC'!B1</f>
        <v>WHEDA 2025 Multifamily Application</v>
      </c>
      <c r="E1" s="450" t="str">
        <f>'1. TOC'!L1</f>
        <v>v25.1.12</v>
      </c>
      <c r="G1" s="947" t="str">
        <f>HYPERLINK("#Table_of_Contents", Table_of_Contents)</f>
        <v>Table of Contents</v>
      </c>
    </row>
    <row r="2" spans="1:9" ht="18.75">
      <c r="B2" s="811" t="str">
        <f>_xlfn.CONCAT(IF(ISBLANK(WHEDA_Project_Number),"",_xlfn.CONCAT(WHEDA_Project_Number," - ")), Project_Name, IF(ISBLANK(Credit_percentage_applied_for),"",_xlfn.CONCAT(" - ", Credit_percentage_applied_for," HTC")))</f>
        <v/>
      </c>
      <c r="D2" s="5"/>
    </row>
    <row r="3" spans="1:9">
      <c r="A3" s="937"/>
      <c r="B3" s="838"/>
      <c r="C3" s="838"/>
      <c r="D3" s="7"/>
      <c r="E3" s="7"/>
      <c r="F3" s="7"/>
      <c r="G3" s="7"/>
      <c r="H3" s="7"/>
      <c r="I3" s="7"/>
    </row>
    <row r="4" spans="1:9" ht="28.5">
      <c r="A4" s="929"/>
      <c r="B4" s="4" t="s">
        <v>4955</v>
      </c>
      <c r="C4"/>
    </row>
    <row r="5" spans="1:9" ht="18.75">
      <c r="A5" s="929"/>
      <c r="B5" s="8" t="s">
        <v>915</v>
      </c>
    </row>
    <row r="6" spans="1:9">
      <c r="A6" s="930"/>
      <c r="B6" s="1027"/>
      <c r="C6" s="1027" t="s">
        <v>4956</v>
      </c>
      <c r="D6" s="1027"/>
      <c r="E6" s="1027"/>
      <c r="F6" s="1027"/>
      <c r="G6" s="1027"/>
      <c r="H6" s="1027"/>
      <c r="I6" s="1027"/>
    </row>
    <row r="7" spans="1:9">
      <c r="A7" s="930"/>
      <c r="B7" s="1027"/>
      <c r="C7" s="1714" t="s">
        <v>4957</v>
      </c>
      <c r="D7" s="1027"/>
      <c r="E7" s="1027"/>
      <c r="F7" s="1027"/>
      <c r="G7" s="1027"/>
      <c r="H7" s="1027"/>
      <c r="I7" s="1027"/>
    </row>
    <row r="8" spans="1:9">
      <c r="A8" s="930"/>
      <c r="B8" s="1027"/>
      <c r="C8" s="1714" t="s">
        <v>4958</v>
      </c>
      <c r="D8" s="1027"/>
      <c r="E8" s="1027"/>
      <c r="F8" s="1027"/>
      <c r="G8" s="1027"/>
      <c r="H8" s="1027"/>
      <c r="I8" s="1027"/>
    </row>
    <row r="9" spans="1:9">
      <c r="A9" s="930"/>
      <c r="B9" s="1027"/>
      <c r="C9" s="1714" t="s">
        <v>4959</v>
      </c>
      <c r="D9" s="1027"/>
      <c r="E9" s="1027"/>
      <c r="F9" s="1027"/>
      <c r="G9" s="1027"/>
      <c r="H9" s="1027"/>
      <c r="I9" s="1027"/>
    </row>
    <row r="10" spans="1:9">
      <c r="A10" s="930"/>
      <c r="B10" s="1027"/>
      <c r="C10" s="1714" t="s">
        <v>4960</v>
      </c>
      <c r="D10" s="1027"/>
      <c r="E10" s="1027"/>
      <c r="F10" s="1027"/>
      <c r="G10" s="1027"/>
      <c r="H10" s="1027"/>
      <c r="I10" s="1027"/>
    </row>
    <row r="11" spans="1:9">
      <c r="A11" s="930"/>
      <c r="B11" s="1027"/>
      <c r="C11" s="1027"/>
      <c r="D11" s="1027"/>
      <c r="E11" s="1027"/>
      <c r="F11" s="1027"/>
      <c r="G11" s="1027"/>
      <c r="H11" s="1027"/>
      <c r="I11" s="1027"/>
    </row>
    <row r="12" spans="1:9">
      <c r="A12" s="930"/>
      <c r="B12" s="1027"/>
      <c r="C12" s="1714" t="s">
        <v>4961</v>
      </c>
      <c r="D12" s="1027"/>
      <c r="E12" s="1027"/>
      <c r="F12" s="1027"/>
      <c r="G12" s="1027"/>
      <c r="H12" s="1027"/>
      <c r="I12" s="1027"/>
    </row>
    <row r="13" spans="1:9">
      <c r="A13" s="930"/>
      <c r="B13" s="1027"/>
      <c r="C13" s="1714" t="s">
        <v>4962</v>
      </c>
      <c r="D13" s="1027"/>
      <c r="E13" s="1027"/>
      <c r="F13" s="1027"/>
      <c r="G13" s="1027"/>
      <c r="H13" s="1027"/>
      <c r="I13" s="1027"/>
    </row>
    <row r="14" spans="1:9">
      <c r="A14" s="930"/>
      <c r="B14" s="1027"/>
      <c r="C14" s="1714" t="s">
        <v>4963</v>
      </c>
      <c r="D14" s="1027"/>
      <c r="E14" s="1027"/>
      <c r="F14" s="1027"/>
      <c r="G14" s="1027"/>
      <c r="H14" s="1027"/>
      <c r="I14" s="1027"/>
    </row>
    <row r="15" spans="1:9">
      <c r="A15" s="930"/>
      <c r="B15" s="1027"/>
      <c r="C15" s="1027"/>
      <c r="D15" s="1027"/>
      <c r="E15" s="1027"/>
      <c r="F15" s="1027"/>
      <c r="G15" s="1027"/>
      <c r="H15" s="1027"/>
      <c r="I15" s="1027"/>
    </row>
    <row r="16" spans="1:9">
      <c r="A16" s="930"/>
      <c r="B16" s="1027"/>
      <c r="C16" s="1714" t="s">
        <v>4964</v>
      </c>
      <c r="D16" s="1027"/>
      <c r="E16" s="1027"/>
      <c r="F16" s="1027"/>
      <c r="G16" s="1027"/>
      <c r="H16" s="1027"/>
      <c r="I16" s="1027"/>
    </row>
    <row r="17" spans="1:21">
      <c r="A17" s="930"/>
      <c r="B17" s="1027"/>
      <c r="C17" s="1714" t="s">
        <v>4965</v>
      </c>
      <c r="D17" s="1027"/>
      <c r="E17" s="1027"/>
      <c r="F17" s="1027"/>
      <c r="G17" s="1027"/>
      <c r="H17" s="1027"/>
      <c r="I17" s="1027"/>
    </row>
    <row r="18" spans="1:21">
      <c r="A18" s="930"/>
      <c r="B18" s="1027"/>
      <c r="C18" s="1027"/>
      <c r="D18" s="1027"/>
      <c r="E18" s="1027"/>
      <c r="F18" s="1027"/>
      <c r="G18" s="1027"/>
      <c r="H18" s="1027"/>
      <c r="I18" s="1027"/>
    </row>
    <row r="19" spans="1:21">
      <c r="A19" s="930"/>
      <c r="B19" s="1027"/>
      <c r="C19" s="1714" t="s">
        <v>4966</v>
      </c>
      <c r="D19" s="1027"/>
      <c r="E19" s="1027"/>
      <c r="F19" s="1027"/>
      <c r="G19" s="1027"/>
      <c r="H19" s="1027"/>
      <c r="I19" s="1027"/>
    </row>
    <row r="20" spans="1:21">
      <c r="A20" s="930"/>
      <c r="B20" s="1027"/>
      <c r="C20" s="1714" t="s">
        <v>4967</v>
      </c>
      <c r="D20" s="1027"/>
      <c r="E20" s="1027"/>
      <c r="F20" s="1027"/>
      <c r="G20" s="1027"/>
      <c r="H20" s="1027"/>
      <c r="I20" s="1027"/>
    </row>
    <row r="21" spans="1:21">
      <c r="A21" s="930"/>
      <c r="B21" s="1027"/>
      <c r="C21" s="1191"/>
      <c r="D21" s="1027"/>
      <c r="E21" s="1027"/>
      <c r="F21" s="1027"/>
      <c r="G21" s="1027"/>
      <c r="H21" s="1027"/>
      <c r="I21" s="1027"/>
      <c r="P21" s="9" t="s">
        <v>4968</v>
      </c>
      <c r="Q21" s="9"/>
      <c r="R21" s="9"/>
    </row>
    <row r="22" spans="1:21">
      <c r="A22" s="930"/>
      <c r="B22" s="1027"/>
      <c r="C22" s="604" t="s">
        <v>4969</v>
      </c>
      <c r="D22" s="1694"/>
      <c r="E22" s="1694" t="s">
        <v>4970</v>
      </c>
      <c r="F22" s="1747" t="s">
        <v>4971</v>
      </c>
      <c r="G22" s="1747" t="s">
        <v>1051</v>
      </c>
      <c r="H22" s="1027"/>
      <c r="I22" s="1027"/>
      <c r="P22" s="9" t="s">
        <v>4968</v>
      </c>
      <c r="Q22" s="9"/>
      <c r="R22" s="9"/>
    </row>
    <row r="23" spans="1:21">
      <c r="A23" s="930"/>
      <c r="B23" s="1027"/>
      <c r="C23" s="1192" t="s">
        <v>4972</v>
      </c>
      <c r="D23" s="1193"/>
      <c r="E23" s="1198">
        <v>37</v>
      </c>
      <c r="F23" s="1646">
        <f>SUM(F24:F27)</f>
        <v>0</v>
      </c>
      <c r="G23" s="1646">
        <f>SUM(G24:G27)</f>
        <v>0</v>
      </c>
      <c r="H23" s="1027"/>
      <c r="I23" s="1027"/>
      <c r="P23" s="9" t="s">
        <v>4968</v>
      </c>
      <c r="Q23" s="9"/>
      <c r="R23" s="9"/>
    </row>
    <row r="24" spans="1:21">
      <c r="A24" s="930"/>
      <c r="B24" s="1027"/>
      <c r="C24" s="1603" t="s">
        <v>4973</v>
      </c>
      <c r="D24" s="1193"/>
      <c r="E24" s="1199">
        <v>27</v>
      </c>
      <c r="F24" s="1749">
        <f>'21. Location Score'!D63</f>
        <v>0</v>
      </c>
      <c r="G24" s="1749">
        <f>'21. Location Score'!E63</f>
        <v>0</v>
      </c>
      <c r="H24" s="1027"/>
      <c r="I24" s="1027"/>
      <c r="P24" s="9" t="s">
        <v>4968</v>
      </c>
      <c r="Q24" s="9"/>
      <c r="R24" s="9"/>
    </row>
    <row r="25" spans="1:21">
      <c r="A25" s="930"/>
      <c r="B25" s="1027"/>
      <c r="C25" s="1194" t="s">
        <v>4974</v>
      </c>
      <c r="D25" s="1193"/>
      <c r="E25" s="1199">
        <v>2</v>
      </c>
      <c r="F25" s="1749">
        <f>'21. Location Score'!D109</f>
        <v>0</v>
      </c>
      <c r="G25" s="1749">
        <f>'21. Location Score'!E109</f>
        <v>0</v>
      </c>
      <c r="H25" s="1027"/>
      <c r="I25" s="1027"/>
      <c r="P25" s="9" t="s">
        <v>4968</v>
      </c>
      <c r="Q25" s="9"/>
      <c r="R25" s="9"/>
    </row>
    <row r="26" spans="1:21">
      <c r="A26" s="930"/>
      <c r="B26" s="1027"/>
      <c r="C26" s="1603" t="s">
        <v>4975</v>
      </c>
      <c r="D26" s="1193"/>
      <c r="E26" s="1199">
        <v>8</v>
      </c>
      <c r="F26" s="1749">
        <f>'21. Location Score'!D141</f>
        <v>0</v>
      </c>
      <c r="G26" s="1749">
        <f>'21. Location Score'!E141</f>
        <v>0</v>
      </c>
      <c r="H26" s="1027"/>
      <c r="I26" s="1027"/>
      <c r="O26" s="9"/>
      <c r="P26" s="9"/>
      <c r="Q26" s="9"/>
      <c r="R26" s="9"/>
      <c r="U26" s="9" t="s">
        <v>4968</v>
      </c>
    </row>
    <row r="27" spans="1:21">
      <c r="A27" s="930"/>
      <c r="B27" s="1027"/>
      <c r="C27" s="1603" t="s">
        <v>4976</v>
      </c>
      <c r="D27" s="1195"/>
      <c r="E27" s="1199">
        <v>25</v>
      </c>
      <c r="F27" s="1749">
        <f>'21. Location Score'!D200</f>
        <v>0</v>
      </c>
      <c r="G27" s="1749">
        <f>'21. Location Score'!E200</f>
        <v>0</v>
      </c>
      <c r="H27" s="1027"/>
      <c r="I27" s="1027"/>
      <c r="P27" s="9" t="s">
        <v>4968</v>
      </c>
      <c r="Q27" s="9"/>
      <c r="R27" s="9"/>
    </row>
    <row r="28" spans="1:21">
      <c r="A28" s="930"/>
      <c r="B28" s="1027"/>
      <c r="C28" s="1192" t="s">
        <v>4977</v>
      </c>
      <c r="D28" s="1193"/>
      <c r="E28" s="1198">
        <f>SUM(E29:E32)</f>
        <v>53</v>
      </c>
      <c r="F28" s="875">
        <f>SUM(F29:F32)</f>
        <v>0</v>
      </c>
      <c r="G28" s="875">
        <f>SUM(G29:G32)</f>
        <v>0</v>
      </c>
      <c r="H28" s="1027"/>
      <c r="I28" s="1027"/>
      <c r="J28" s="1477"/>
      <c r="K28" s="822"/>
      <c r="L28" s="1736"/>
      <c r="M28" s="1736"/>
      <c r="N28" s="1736"/>
      <c r="P28" s="9"/>
      <c r="Q28" s="9"/>
      <c r="R28" s="9"/>
    </row>
    <row r="29" spans="1:21">
      <c r="A29" s="930"/>
      <c r="B29" s="1027"/>
      <c r="C29" s="1603" t="s">
        <v>4978</v>
      </c>
      <c r="D29" s="1193"/>
      <c r="E29" s="1199">
        <v>5</v>
      </c>
      <c r="F29" s="336">
        <f>'22. Tenants Served Score'!D28</f>
        <v>0</v>
      </c>
      <c r="G29" s="1749">
        <f>'22. Tenants Served Score'!E28</f>
        <v>0</v>
      </c>
      <c r="H29" s="1027"/>
      <c r="I29" s="1027"/>
      <c r="J29" s="1477"/>
      <c r="K29" s="822"/>
      <c r="L29" s="1736"/>
      <c r="M29" s="1736"/>
      <c r="N29" s="1736"/>
      <c r="P29" s="9"/>
      <c r="Q29" s="9"/>
      <c r="R29" s="9"/>
    </row>
    <row r="30" spans="1:21">
      <c r="A30" s="930"/>
      <c r="B30" s="1027"/>
      <c r="C30" s="1603" t="s">
        <v>4979</v>
      </c>
      <c r="D30" s="1193"/>
      <c r="E30" s="1199">
        <v>35</v>
      </c>
      <c r="F30" s="1749">
        <f>'22. Tenants Served Score'!D59</f>
        <v>0</v>
      </c>
      <c r="G30" s="1749">
        <f>'22. Tenants Served Score'!E59</f>
        <v>0</v>
      </c>
      <c r="H30" s="1027"/>
      <c r="I30" s="1027"/>
      <c r="J30" s="1477"/>
      <c r="K30" s="822"/>
      <c r="L30" s="1736"/>
      <c r="M30" s="1736"/>
      <c r="N30" s="1736"/>
      <c r="P30" s="9"/>
      <c r="Q30" s="9"/>
      <c r="R30" s="9"/>
    </row>
    <row r="31" spans="1:21">
      <c r="A31" s="930"/>
      <c r="B31" s="1027"/>
      <c r="C31" s="1603" t="s">
        <v>4980</v>
      </c>
      <c r="D31" s="1193"/>
      <c r="E31" s="1199">
        <v>10</v>
      </c>
      <c r="F31" s="1749">
        <f>'22. Tenants Served Score'!D96</f>
        <v>0</v>
      </c>
      <c r="G31" s="1749">
        <f>'22. Tenants Served Score'!E96</f>
        <v>0</v>
      </c>
      <c r="H31" s="1027"/>
      <c r="I31" s="1027"/>
      <c r="J31" s="1477"/>
      <c r="K31" s="822"/>
      <c r="L31" s="1736"/>
      <c r="M31" s="1736"/>
      <c r="N31" s="1736"/>
      <c r="P31" s="9"/>
      <c r="Q31" s="9"/>
      <c r="R31" s="9"/>
    </row>
    <row r="32" spans="1:21">
      <c r="A32" s="930"/>
      <c r="B32" s="1027"/>
      <c r="C32" s="1603" t="s">
        <v>4981</v>
      </c>
      <c r="D32" s="1193"/>
      <c r="E32" s="1199">
        <v>3</v>
      </c>
      <c r="F32" s="1749">
        <f>'22. Tenants Served Score'!D132</f>
        <v>0</v>
      </c>
      <c r="G32" s="1749">
        <f>'22. Tenants Served Score'!E132</f>
        <v>0</v>
      </c>
      <c r="H32" s="1027"/>
      <c r="I32" s="1027"/>
      <c r="P32" s="9" t="s">
        <v>4968</v>
      </c>
      <c r="Q32" s="9"/>
      <c r="R32" s="9"/>
    </row>
    <row r="33" spans="1:18">
      <c r="A33" s="930"/>
      <c r="B33" s="1027"/>
      <c r="C33" s="1192" t="s">
        <v>4982</v>
      </c>
      <c r="D33" s="1193"/>
      <c r="E33" s="1198">
        <f>SUM(E34:E38)</f>
        <v>45</v>
      </c>
      <c r="F33" s="1646">
        <f>SUM(F34:F38)</f>
        <v>0</v>
      </c>
      <c r="G33" s="1646">
        <f>SUM(G34:G38)</f>
        <v>0</v>
      </c>
      <c r="H33" s="1027"/>
      <c r="I33" s="1027"/>
      <c r="P33" s="9" t="s">
        <v>4968</v>
      </c>
      <c r="Q33" s="9"/>
      <c r="R33" s="9"/>
    </row>
    <row r="34" spans="1:18">
      <c r="A34" s="930"/>
      <c r="B34" s="1027"/>
      <c r="C34" s="1603" t="s">
        <v>4983</v>
      </c>
      <c r="D34" s="1193"/>
      <c r="E34" s="1199">
        <v>25</v>
      </c>
      <c r="F34" s="1749">
        <f>'23. Building Design Score'!D66</f>
        <v>0</v>
      </c>
      <c r="G34" s="1749">
        <f>'23. Building Design Score'!E66</f>
        <v>0</v>
      </c>
      <c r="H34" s="1054"/>
      <c r="I34" s="1054"/>
      <c r="P34" s="9" t="s">
        <v>4968</v>
      </c>
      <c r="Q34" s="9"/>
      <c r="R34" s="9"/>
    </row>
    <row r="35" spans="1:18">
      <c r="A35" s="932"/>
      <c r="B35" s="1027"/>
      <c r="C35" s="1603" t="s">
        <v>4984</v>
      </c>
      <c r="D35" s="1195"/>
      <c r="E35" s="1199">
        <v>13</v>
      </c>
      <c r="F35" s="1749">
        <f>'23. Building Design Score'!D143</f>
        <v>0</v>
      </c>
      <c r="G35" s="1749">
        <f>'23. Building Design Score'!E143</f>
        <v>0</v>
      </c>
      <c r="H35" s="1027"/>
      <c r="I35" s="1027"/>
      <c r="P35" s="9" t="s">
        <v>4968</v>
      </c>
      <c r="Q35" s="9"/>
      <c r="R35" s="9"/>
    </row>
    <row r="36" spans="1:18">
      <c r="A36" s="932"/>
      <c r="B36" s="1027"/>
      <c r="C36" s="1603" t="s">
        <v>4985</v>
      </c>
      <c r="D36" s="1193"/>
      <c r="E36" s="1199">
        <v>3</v>
      </c>
      <c r="F36" s="1749">
        <f>'23. Building Design Score'!D188</f>
        <v>0</v>
      </c>
      <c r="G36" s="1749">
        <f>'23. Building Design Score'!E188</f>
        <v>0</v>
      </c>
      <c r="H36" s="1054"/>
      <c r="I36" s="1054"/>
      <c r="P36" s="9" t="s">
        <v>4968</v>
      </c>
      <c r="Q36" s="9"/>
      <c r="R36" s="9"/>
    </row>
    <row r="37" spans="1:18">
      <c r="A37" s="932"/>
      <c r="B37" s="1027"/>
      <c r="C37" s="1603" t="s">
        <v>4986</v>
      </c>
      <c r="D37" s="1193"/>
      <c r="E37" s="1199">
        <v>2</v>
      </c>
      <c r="F37" s="1749">
        <f>'23. Building Design Score'!D227</f>
        <v>0</v>
      </c>
      <c r="G37" s="1749">
        <f>'23. Building Design Score'!E227</f>
        <v>0</v>
      </c>
      <c r="H37" s="1027"/>
      <c r="I37" s="1027"/>
      <c r="P37" s="9"/>
      <c r="Q37" s="9"/>
      <c r="R37" s="9"/>
    </row>
    <row r="38" spans="1:18">
      <c r="A38" s="932"/>
      <c r="B38" s="1027"/>
      <c r="C38" s="1603" t="s">
        <v>4987</v>
      </c>
      <c r="D38" s="1193"/>
      <c r="E38" s="1199">
        <v>2</v>
      </c>
      <c r="F38" s="336">
        <f>'23. Building Design Score'!D253</f>
        <v>0</v>
      </c>
      <c r="G38" s="336">
        <f>'23. Building Design Score'!E253</f>
        <v>0</v>
      </c>
      <c r="H38" s="1027"/>
      <c r="I38" s="1027"/>
      <c r="P38" s="9"/>
      <c r="Q38" s="9"/>
      <c r="R38" s="9"/>
    </row>
    <row r="39" spans="1:18">
      <c r="A39" s="932"/>
      <c r="B39" s="1027"/>
      <c r="C39" s="1192" t="s">
        <v>4988</v>
      </c>
      <c r="D39" s="1193"/>
      <c r="E39" s="1198">
        <f>SUM(E40:E42)</f>
        <v>44</v>
      </c>
      <c r="F39" s="875">
        <f>SUM(F40,F41,F42)</f>
        <v>0</v>
      </c>
      <c r="G39" s="1646">
        <f>SUM(G40:G42)</f>
        <v>0</v>
      </c>
      <c r="H39" s="1027"/>
      <c r="I39" s="1027"/>
    </row>
    <row r="40" spans="1:18">
      <c r="A40" s="930"/>
      <c r="B40" s="1027"/>
      <c r="C40" s="1603" t="s">
        <v>4989</v>
      </c>
      <c r="D40" s="1193"/>
      <c r="E40" s="1199">
        <v>36</v>
      </c>
      <c r="F40" s="336">
        <f>'24. Development Process Score'!E50</f>
        <v>0</v>
      </c>
      <c r="G40" s="1749">
        <f>'24. Development Process Score'!G50</f>
        <v>0</v>
      </c>
      <c r="H40" s="1027"/>
      <c r="I40" s="1027"/>
    </row>
    <row r="41" spans="1:18">
      <c r="A41" s="930"/>
      <c r="B41" s="1027"/>
      <c r="C41" s="1603" t="s">
        <v>4990</v>
      </c>
      <c r="D41" s="1193"/>
      <c r="E41" s="1199">
        <v>6</v>
      </c>
      <c r="F41" s="1749">
        <f>'24. Development Process Score'!E94</f>
        <v>0</v>
      </c>
      <c r="G41" s="1749">
        <f>'24. Development Process Score'!G94</f>
        <v>0</v>
      </c>
      <c r="H41" s="1027"/>
      <c r="I41" s="1027"/>
    </row>
    <row r="42" spans="1:18">
      <c r="A42" s="930"/>
      <c r="B42" s="1027"/>
      <c r="C42" s="1603" t="s">
        <v>4991</v>
      </c>
      <c r="D42" s="1193"/>
      <c r="E42" s="1199">
        <v>2</v>
      </c>
      <c r="F42" s="1749">
        <f>'24. Development Process Score'!E124</f>
        <v>0</v>
      </c>
      <c r="G42" s="1749">
        <f>'24. Development Process Score'!G124</f>
        <v>0</v>
      </c>
      <c r="H42" s="1027"/>
      <c r="I42" s="1027"/>
    </row>
    <row r="43" spans="1:18">
      <c r="B43" s="1027"/>
      <c r="C43" s="1196" t="s">
        <v>4992</v>
      </c>
      <c r="D43" s="1197"/>
      <c r="E43" s="1198">
        <f>SUM(E23,E28,E33,E39)</f>
        <v>179</v>
      </c>
      <c r="F43" s="875">
        <f>SUM(F23,F28,F33,F39)</f>
        <v>0</v>
      </c>
      <c r="G43" s="875">
        <f>SUM(G23,G28,G33,G39)</f>
        <v>0</v>
      </c>
      <c r="H43" s="1027"/>
      <c r="I43" s="1027"/>
    </row>
    <row r="44" spans="1:18">
      <c r="B44" s="1027"/>
      <c r="C44" s="1027"/>
      <c r="D44" s="1027"/>
      <c r="E44" s="1027"/>
      <c r="F44" s="1027"/>
      <c r="G44" s="1027"/>
      <c r="H44" s="1027"/>
      <c r="I44" s="1027"/>
    </row>
    <row r="45" spans="1:18">
      <c r="B45" s="1027"/>
      <c r="C45" s="1027" t="s">
        <v>4993</v>
      </c>
      <c r="D45" s="1027"/>
      <c r="E45" s="1027"/>
      <c r="F45" s="1027"/>
      <c r="G45" s="1027"/>
      <c r="H45" s="1027"/>
      <c r="I45" s="1027"/>
    </row>
    <row r="46" spans="1:18">
      <c r="B46" s="1027"/>
      <c r="C46" s="1027"/>
      <c r="D46" s="1027"/>
      <c r="E46" s="1027"/>
      <c r="F46" s="1027"/>
      <c r="G46" s="1027"/>
      <c r="H46" s="1027"/>
      <c r="I46" s="1027"/>
    </row>
  </sheetData>
  <sheetProtection algorithmName="SHA-512" hashValue="ruNVB1xG19P4Hv72qT3mDgphgd7/h8FGbq7Q+9pUb6JgwXtYt8CZzpVxpXcURiboCm2r+Qcw8OmoO6s6NYrxXg==" saltValue="Vcjk8ORydTyA3fE+LKnYAw==" spinCount="100000" sheet="1" objects="1" scenarios="1" selectLockedCells="1"/>
  <dataValidations count="1">
    <dataValidation type="custom" allowBlank="1" showInputMessage="1" showErrorMessage="1" sqref="G1 A4:A41" xr:uid="{101B3A40-D90E-4B12-9D19-E23FBC484F4E}">
      <formula1>"&lt;0&gt;0"</formula1>
    </dataValidation>
  </dataValidations>
  <pageMargins left="0.7" right="0.7" top="0.75" bottom="0.75" header="0.3" footer="0.3"/>
  <pageSetup scale="59" fitToHeight="0" orientation="portrait" r:id="rId1"/>
  <headerFooter>
    <oddHeader>&amp;L&amp;G</oddHeader>
    <oddFooter>&amp;CWHEDA MULTIFAMILY APPLICATION&amp;R&amp;P of &amp;N</oddFooter>
  </headerFooter>
  <colBreaks count="1" manualBreakCount="1">
    <brk id="9" min="4" max="48"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9AD4B-3A0E-4D99-BA3E-C193CAA23C3C}">
  <sheetPr codeName="Sheet36">
    <pageSetUpPr fitToPage="1"/>
  </sheetPr>
  <dimension ref="A1:CF216"/>
  <sheetViews>
    <sheetView workbookViewId="0">
      <selection activeCell="C67" sqref="C67:G75"/>
    </sheetView>
  </sheetViews>
  <sheetFormatPr defaultColWidth="8.85546875" defaultRowHeight="15"/>
  <cols>
    <col min="1" max="1" width="4.42578125" style="3" customWidth="1"/>
    <col min="2" max="2" width="7" style="3" customWidth="1"/>
    <col min="3" max="3" width="18" style="3" customWidth="1"/>
    <col min="4" max="4" width="18.28515625" style="3" customWidth="1"/>
    <col min="5" max="5" width="16.28515625" style="3" customWidth="1"/>
    <col min="6" max="6" width="13.28515625" style="3" bestFit="1" customWidth="1"/>
    <col min="7" max="7" width="15.42578125" style="3" customWidth="1"/>
    <col min="8" max="8" width="8.140625" style="3" customWidth="1"/>
    <col min="9" max="9" width="12" style="3" customWidth="1"/>
    <col min="10" max="11" width="12.85546875" style="3" customWidth="1"/>
    <col min="12" max="12" width="12.7109375" style="3" customWidth="1"/>
    <col min="13" max="13" width="19.140625" style="3" customWidth="1"/>
    <col min="14" max="14" width="12.7109375" style="3" customWidth="1"/>
    <col min="15" max="15" width="7.7109375" style="3" customWidth="1"/>
    <col min="16" max="16" width="7.5703125" style="3" customWidth="1"/>
    <col min="17" max="17" width="4.42578125" style="115" customWidth="1"/>
    <col min="18" max="18" width="10.85546875" style="581" customWidth="1"/>
    <col min="19" max="21" width="8.85546875" style="9" customWidth="1"/>
    <col min="22" max="24" width="8.85546875" style="115" customWidth="1"/>
    <col min="25" max="40" width="8.85546875" style="3" customWidth="1"/>
    <col min="41" max="16384" width="8.85546875" style="3"/>
  </cols>
  <sheetData>
    <row r="1" spans="1:84" ht="28.5">
      <c r="B1" s="4" t="str">
        <f>'1. TOC'!B1</f>
        <v>WHEDA 2025 Multifamily Application</v>
      </c>
      <c r="C1" s="4"/>
      <c r="D1" s="4"/>
      <c r="E1" s="4"/>
      <c r="F1" s="4"/>
      <c r="G1" s="4"/>
      <c r="H1" s="4"/>
      <c r="I1" s="115" t="str">
        <f>'1. TOC'!L1</f>
        <v>v25.1.12</v>
      </c>
      <c r="J1" s="4"/>
      <c r="K1" s="947" t="str">
        <f>HYPERLINK("#Table_of_Contents", Table_of_Contents)</f>
        <v>Table of Contents</v>
      </c>
      <c r="L1" s="4"/>
      <c r="M1" s="4"/>
      <c r="N1" s="4"/>
      <c r="O1" s="4"/>
      <c r="P1" s="4"/>
      <c r="Y1" s="97"/>
      <c r="Z1" s="97"/>
      <c r="AA1" s="97"/>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84" ht="21">
      <c r="B2" s="886" t="str">
        <f>_xlfn.CONCAT(IF(ISBLANK(WHEDA_Project_Number),"",_xlfn.CONCAT(WHEDA_Project_Number," - ")), Project_Name, IF(ISBLANK(Credit_percentage_applied_for),"",_xlfn.CONCAT(" - ", Credit_percentage_applied_for," HTC")))</f>
        <v/>
      </c>
      <c r="C2" s="811"/>
      <c r="D2" s="811"/>
      <c r="E2" s="811"/>
      <c r="F2" s="811"/>
      <c r="G2" s="811"/>
      <c r="H2" s="811"/>
      <c r="I2" s="5"/>
      <c r="J2" s="5"/>
      <c r="K2" s="5"/>
      <c r="L2" s="5"/>
      <c r="M2" s="5"/>
      <c r="N2" s="5"/>
      <c r="O2" s="5"/>
      <c r="P2"/>
      <c r="Y2" s="97"/>
      <c r="Z2" s="97"/>
      <c r="AA2" s="97"/>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84" s="166" customFormat="1" ht="15.75">
      <c r="A3" s="890"/>
      <c r="B3" s="11" t="s">
        <v>4994</v>
      </c>
      <c r="I3" s="892"/>
      <c r="J3" s="892"/>
      <c r="K3" s="892"/>
      <c r="L3" s="892"/>
      <c r="M3" s="892"/>
      <c r="N3" s="892"/>
      <c r="O3" s="892"/>
      <c r="P3" s="892"/>
      <c r="Q3" s="848"/>
      <c r="R3" s="1769"/>
      <c r="S3" s="11"/>
      <c r="T3" s="11"/>
      <c r="U3" s="11"/>
      <c r="V3" s="848"/>
      <c r="W3" s="848"/>
      <c r="X3" s="848"/>
      <c r="Y3" s="471"/>
      <c r="Z3" s="471"/>
      <c r="AA3" s="47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row>
    <row r="4" spans="1:84" ht="28.5">
      <c r="B4" s="4" t="s">
        <v>4994</v>
      </c>
      <c r="C4" s="815"/>
      <c r="D4" s="815"/>
      <c r="E4" s="815"/>
      <c r="F4" s="815"/>
      <c r="G4" s="815"/>
      <c r="H4" s="815"/>
      <c r="Y4" s="97"/>
      <c r="Z4" s="97"/>
      <c r="AA4" s="97"/>
    </row>
    <row r="5" spans="1:84" ht="21">
      <c r="B5" s="852" t="s">
        <v>4995</v>
      </c>
      <c r="C5" s="8"/>
      <c r="D5" s="8"/>
      <c r="E5" s="8"/>
      <c r="F5" s="8"/>
      <c r="G5" s="8"/>
      <c r="H5" s="8"/>
      <c r="Y5" s="97"/>
      <c r="Z5" s="97"/>
      <c r="AA5" s="97"/>
    </row>
    <row r="6" spans="1:84" ht="18.75">
      <c r="B6" s="1201" t="s">
        <v>4996</v>
      </c>
      <c r="C6" s="1026"/>
      <c r="D6" s="1026"/>
      <c r="E6" s="1026"/>
      <c r="F6" s="1026"/>
      <c r="G6" s="1026"/>
      <c r="H6" s="1026"/>
      <c r="I6" s="1027"/>
      <c r="J6" s="1027"/>
      <c r="K6" s="1027"/>
      <c r="L6" s="1027"/>
      <c r="M6" s="1027"/>
      <c r="N6" s="1027"/>
      <c r="O6" s="1027"/>
      <c r="P6" s="1027"/>
      <c r="Y6" s="97"/>
      <c r="Z6" s="97"/>
      <c r="AA6" s="97"/>
    </row>
    <row r="7" spans="1:84" ht="18.75">
      <c r="B7" s="1201"/>
      <c r="C7" s="1026"/>
      <c r="D7" s="1026"/>
      <c r="E7" s="1026"/>
      <c r="F7" s="1026"/>
      <c r="G7" s="1026"/>
      <c r="H7" s="1026"/>
      <c r="I7" s="1027"/>
      <c r="J7" s="1027"/>
      <c r="K7" s="1027"/>
      <c r="L7" s="1027"/>
      <c r="M7" s="1027"/>
      <c r="N7" s="1027"/>
      <c r="O7" s="1027"/>
      <c r="P7" s="1027"/>
      <c r="Y7" s="97"/>
      <c r="Z7" s="97"/>
      <c r="AA7" s="97"/>
    </row>
    <row r="8" spans="1:84">
      <c r="B8" s="1027"/>
      <c r="C8" s="1747" t="s">
        <v>4997</v>
      </c>
      <c r="D8" s="1747" t="s">
        <v>4971</v>
      </c>
      <c r="E8" s="1747" t="s">
        <v>1051</v>
      </c>
      <c r="F8" s="1027"/>
      <c r="G8" s="1027"/>
      <c r="H8" s="1027"/>
      <c r="I8" s="1027"/>
      <c r="J8" s="1027"/>
      <c r="K8" s="1027"/>
      <c r="L8" s="1027"/>
      <c r="M8" s="1027"/>
      <c r="N8" s="1027"/>
      <c r="O8" s="1027"/>
      <c r="P8" s="1027"/>
      <c r="Y8" s="97"/>
      <c r="Z8" s="97"/>
      <c r="AA8" s="97"/>
    </row>
    <row r="9" spans="1:84">
      <c r="B9" s="1756"/>
      <c r="C9" s="653">
        <v>37</v>
      </c>
      <c r="D9" s="1646">
        <f>SUM(D63,D109,D141,D200)</f>
        <v>0</v>
      </c>
      <c r="E9" s="1646">
        <f>SUM(E63,E109,E141,E200)</f>
        <v>0</v>
      </c>
      <c r="F9" s="1202"/>
      <c r="G9" s="1202"/>
      <c r="H9" s="1202"/>
      <c r="I9" s="1027"/>
      <c r="J9" s="1027"/>
      <c r="K9" s="1027"/>
      <c r="L9" s="1027"/>
      <c r="M9" s="1027"/>
      <c r="N9" s="1027"/>
      <c r="O9" s="1027"/>
      <c r="P9" s="1027"/>
      <c r="Y9" s="97"/>
      <c r="Z9" s="97"/>
      <c r="AA9" s="97"/>
    </row>
    <row r="10" spans="1:84">
      <c r="B10" s="1027"/>
      <c r="C10" s="1027"/>
      <c r="D10" s="1027"/>
      <c r="E10" s="1027"/>
      <c r="F10" s="1027"/>
      <c r="G10" s="1027"/>
      <c r="H10" s="1027"/>
      <c r="I10" s="1027"/>
      <c r="J10" s="1027"/>
      <c r="K10" s="1027"/>
      <c r="L10" s="1027"/>
      <c r="M10" s="1027"/>
      <c r="N10" s="1027"/>
      <c r="O10" s="1027"/>
      <c r="P10" s="1027"/>
      <c r="Y10" s="97"/>
      <c r="Z10" s="97"/>
      <c r="AA10" s="97"/>
    </row>
    <row r="11" spans="1:84" s="821" customFormat="1" ht="21">
      <c r="B11" s="852" t="s">
        <v>4998</v>
      </c>
      <c r="C11" s="8"/>
      <c r="D11" s="8"/>
      <c r="E11" s="8"/>
      <c r="F11" s="8"/>
      <c r="G11" s="8"/>
      <c r="H11" s="8"/>
      <c r="Q11" s="979"/>
      <c r="R11" s="1770"/>
      <c r="S11" s="847"/>
      <c r="T11" s="847"/>
      <c r="U11" s="847"/>
      <c r="V11" s="979"/>
      <c r="W11" s="979"/>
      <c r="X11" s="979"/>
      <c r="Y11" s="849"/>
      <c r="Z11" s="849"/>
      <c r="AA11" s="849"/>
      <c r="AK11" s="847"/>
      <c r="AL11" s="847"/>
      <c r="AM11" s="847"/>
      <c r="AN11" s="847"/>
      <c r="AO11" s="847"/>
      <c r="AP11" s="847"/>
      <c r="AQ11" s="847"/>
      <c r="AR11" s="847"/>
      <c r="AS11" s="847"/>
      <c r="AT11" s="847"/>
      <c r="AU11" s="847"/>
      <c r="AV11" s="847"/>
      <c r="AW11" s="847"/>
      <c r="AX11" s="847"/>
      <c r="AY11" s="847"/>
      <c r="AZ11" s="847"/>
      <c r="BA11" s="847"/>
      <c r="BB11" s="847"/>
      <c r="BC11" s="847"/>
      <c r="BD11" s="847"/>
      <c r="BE11" s="847"/>
      <c r="BF11" s="847"/>
      <c r="BG11" s="847"/>
      <c r="BH11" s="847"/>
      <c r="BI11" s="847"/>
      <c r="BJ11" s="847"/>
      <c r="BK11" s="847"/>
      <c r="BL11" s="847"/>
      <c r="BM11" s="847"/>
      <c r="BN11" s="847"/>
      <c r="BO11" s="847"/>
      <c r="BP11" s="847"/>
      <c r="BQ11" s="847"/>
      <c r="BR11" s="847"/>
      <c r="BS11" s="847"/>
      <c r="BT11" s="847"/>
      <c r="BU11" s="847"/>
      <c r="BV11" s="847"/>
      <c r="BW11" s="847"/>
      <c r="BX11" s="847"/>
      <c r="BY11" s="847"/>
      <c r="BZ11" s="847"/>
    </row>
    <row r="12" spans="1:84">
      <c r="B12" s="1201" t="str">
        <f>S13</f>
        <v>Census Tract , County</v>
      </c>
      <c r="C12" s="1027"/>
      <c r="D12" s="1027"/>
      <c r="E12" s="1027"/>
      <c r="F12" s="1027"/>
      <c r="G12" s="1027"/>
      <c r="H12" s="1027"/>
      <c r="I12" s="1027"/>
      <c r="J12" s="1027"/>
      <c r="K12" s="1027"/>
      <c r="L12" s="1027"/>
      <c r="M12" s="1027"/>
      <c r="N12" s="1027"/>
      <c r="O12" s="1027"/>
      <c r="P12" s="1027"/>
      <c r="S12" s="9" t="str">
        <f>'3. Project Location'!C14&amp;Property_Census_Tract&amp;", "&amp;Property_County&amp;'3. Project Location'!C12</f>
        <v xml:space="preserve">Census Tract ,  County </v>
      </c>
      <c r="Y12" s="97"/>
      <c r="Z12" s="97"/>
      <c r="AA12" s="97"/>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9"/>
      <c r="BL12" s="9"/>
      <c r="BM12" s="9"/>
      <c r="BN12" s="9"/>
      <c r="BO12" s="9"/>
      <c r="BP12" s="9"/>
      <c r="BQ12" s="9"/>
      <c r="BR12" s="9"/>
      <c r="BS12" s="9"/>
      <c r="BT12" s="9"/>
      <c r="BU12" s="9"/>
      <c r="BV12" s="9"/>
      <c r="BW12" s="9"/>
      <c r="BX12" s="9"/>
      <c r="BY12" s="9"/>
      <c r="BZ12" s="9"/>
    </row>
    <row r="13" spans="1:84">
      <c r="B13" s="1027" t="s">
        <v>4999</v>
      </c>
      <c r="C13" s="1027"/>
      <c r="D13" s="1027"/>
      <c r="E13" s="1027"/>
      <c r="F13" s="1027"/>
      <c r="G13" s="1027"/>
      <c r="H13" s="1027"/>
      <c r="I13" s="1027"/>
      <c r="J13" s="1027"/>
      <c r="K13" s="1027"/>
      <c r="L13" s="1027"/>
      <c r="M13" s="1027"/>
      <c r="N13" s="1027"/>
      <c r="O13" s="1027"/>
      <c r="P13" s="1027"/>
      <c r="S13" s="9" t="str">
        <f>TRIM(S12)</f>
        <v>Census Tract , County</v>
      </c>
      <c r="Y13" s="97"/>
      <c r="Z13" s="97"/>
      <c r="AA13" s="97"/>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9"/>
      <c r="BL13" s="9"/>
      <c r="BM13" s="9"/>
      <c r="BN13" s="9"/>
      <c r="BO13" s="9"/>
      <c r="BP13" s="9"/>
      <c r="BQ13" s="9"/>
      <c r="BR13" s="9"/>
      <c r="BS13" s="9"/>
      <c r="BT13" s="9"/>
      <c r="BU13" s="9"/>
      <c r="BV13" s="9"/>
      <c r="BW13" s="9"/>
      <c r="BX13" s="9"/>
      <c r="BY13" s="9"/>
      <c r="BZ13" s="9"/>
      <c r="CA13" s="9"/>
      <c r="CB13" s="9"/>
      <c r="CC13" s="9"/>
      <c r="CD13" s="9"/>
      <c r="CE13" s="9"/>
      <c r="CF13" s="9"/>
    </row>
    <row r="14" spans="1:84">
      <c r="B14" s="1714" t="s">
        <v>5000</v>
      </c>
      <c r="C14" s="1027"/>
      <c r="D14" s="1027"/>
      <c r="E14" s="1027"/>
      <c r="F14" s="1027"/>
      <c r="G14" s="1027"/>
      <c r="H14" s="1027"/>
      <c r="I14" s="1027"/>
      <c r="J14" s="1027"/>
      <c r="K14" s="1027"/>
      <c r="L14" s="1027"/>
      <c r="M14" s="1027"/>
      <c r="N14" s="1027"/>
      <c r="O14" s="1027"/>
      <c r="P14" s="1027"/>
      <c r="R14" s="581" t="s">
        <v>5001</v>
      </c>
      <c r="S14" s="9" t="b">
        <f>IF(F158="YES",TRUE,FALSE)</f>
        <v>0</v>
      </c>
      <c r="Y14" s="97"/>
      <c r="Z14" s="97"/>
      <c r="AA14" s="97"/>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9"/>
      <c r="BL14" s="9"/>
      <c r="BM14" s="9"/>
      <c r="BN14" s="9"/>
      <c r="BO14" s="9"/>
      <c r="BP14" s="9"/>
      <c r="BQ14" s="9"/>
      <c r="BR14" s="9"/>
      <c r="BS14" s="9"/>
      <c r="BT14" s="9"/>
      <c r="BU14" s="9"/>
      <c r="BV14" s="9"/>
      <c r="BW14" s="9"/>
      <c r="BX14" s="9"/>
      <c r="BY14" s="9"/>
      <c r="BZ14" s="9"/>
      <c r="CA14" s="9"/>
      <c r="CB14" s="9"/>
      <c r="CC14" s="9"/>
      <c r="CD14" s="9"/>
      <c r="CE14" s="9"/>
      <c r="CF14" s="9"/>
    </row>
    <row r="15" spans="1:84">
      <c r="B15" s="1027"/>
      <c r="C15" s="1027"/>
      <c r="D15" s="1027"/>
      <c r="E15" s="1027"/>
      <c r="F15" s="1027"/>
      <c r="G15" s="1027"/>
      <c r="H15" s="1027"/>
      <c r="I15" s="1027"/>
      <c r="J15" s="1027"/>
      <c r="K15" s="1027"/>
      <c r="L15" s="1027"/>
      <c r="M15" s="1027"/>
      <c r="N15" s="1027"/>
      <c r="O15" s="1027"/>
      <c r="P15" s="1027"/>
      <c r="Y15" s="97"/>
      <c r="Z15" s="97"/>
      <c r="AA15" s="97"/>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9"/>
      <c r="BL15" s="9"/>
      <c r="BM15" s="9"/>
      <c r="BN15" s="9"/>
      <c r="BO15" s="9"/>
      <c r="BP15" s="9"/>
      <c r="BQ15" s="9"/>
      <c r="BR15" s="9"/>
      <c r="BS15" s="9"/>
      <c r="BT15" s="9"/>
      <c r="BU15" s="9"/>
      <c r="BV15" s="9"/>
      <c r="BW15" s="9"/>
      <c r="BX15" s="9"/>
      <c r="BY15" s="9"/>
      <c r="BZ15" s="9"/>
      <c r="CA15" s="9"/>
      <c r="CB15" s="9"/>
      <c r="CC15" s="9"/>
      <c r="CD15" s="9"/>
      <c r="CE15" s="9"/>
      <c r="CF15" s="9"/>
    </row>
    <row r="16" spans="1:84">
      <c r="B16" s="1027"/>
      <c r="C16" s="1739" t="s">
        <v>5002</v>
      </c>
      <c r="D16" s="2465" t="s">
        <v>5003</v>
      </c>
      <c r="E16" s="2465"/>
      <c r="F16" s="2465"/>
      <c r="G16" s="2465"/>
      <c r="H16" s="2465"/>
      <c r="I16" s="2465"/>
      <c r="J16" s="2465"/>
      <c r="K16" s="1863"/>
      <c r="L16" s="1863" t="s">
        <v>5004</v>
      </c>
      <c r="M16" s="1864"/>
      <c r="N16" s="1864"/>
      <c r="O16" s="2269"/>
      <c r="P16" s="1027"/>
      <c r="Y16" s="97"/>
      <c r="Z16" s="97"/>
      <c r="AA16" s="97"/>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9"/>
      <c r="BL16" s="9"/>
      <c r="BM16" s="9"/>
      <c r="BN16" s="9"/>
      <c r="BO16" s="9"/>
      <c r="BP16" s="9"/>
      <c r="BQ16" s="9"/>
      <c r="BR16" s="9"/>
      <c r="BS16" s="9"/>
      <c r="BT16" s="9"/>
      <c r="BU16" s="9"/>
      <c r="BV16" s="9"/>
      <c r="BW16" s="9"/>
      <c r="BX16" s="9"/>
      <c r="BY16" s="9"/>
      <c r="BZ16" s="9"/>
      <c r="CA16" s="9"/>
      <c r="CB16" s="9"/>
      <c r="CC16" s="9"/>
      <c r="CD16" s="9"/>
      <c r="CE16" s="9"/>
      <c r="CF16" s="9"/>
    </row>
    <row r="17" spans="2:84">
      <c r="B17" s="1027"/>
      <c r="C17" s="2448">
        <f>IFERROR(VLOOKUP($B$12,'App R Data'!B7:C793,2,FALSE),0)</f>
        <v>0</v>
      </c>
      <c r="D17" s="2451" t="s">
        <v>5005</v>
      </c>
      <c r="E17" s="2452"/>
      <c r="F17" s="2452"/>
      <c r="G17" s="2452"/>
      <c r="H17" s="2452"/>
      <c r="I17" s="2452"/>
      <c r="J17" s="2452"/>
      <c r="K17" s="2452"/>
      <c r="L17" s="1866" t="str">
        <f>_xlfn.CONCAT("Census Tract from tab 3. Project Location: ",IF(Property_Census_Tract="","n/a",Property_Census_Tract),".")</f>
        <v>Census Tract from tab 3. Project Location: n/a.</v>
      </c>
      <c r="M17" s="1867"/>
      <c r="N17" s="1867"/>
      <c r="O17" s="1879"/>
      <c r="P17" s="1027"/>
      <c r="Y17" s="97"/>
      <c r="Z17" s="97"/>
      <c r="AA17" s="97"/>
    </row>
    <row r="18" spans="2:84">
      <c r="B18" s="1027"/>
      <c r="C18" s="2449"/>
      <c r="D18" s="2454"/>
      <c r="E18" s="2455"/>
      <c r="F18" s="2455"/>
      <c r="G18" s="2455"/>
      <c r="H18" s="2455"/>
      <c r="I18" s="2455"/>
      <c r="J18" s="2455"/>
      <c r="K18" s="2455"/>
      <c r="L18" s="1866" t="str">
        <f>_xlfn.CONCAT("County from tab 3. Project Location: ",IF(Property_County="","n/a",Property_County),".")</f>
        <v>County from tab 3. Project Location: n/a.</v>
      </c>
      <c r="M18" s="1867"/>
      <c r="N18" s="1867"/>
      <c r="O18" s="1879"/>
      <c r="P18" s="1027"/>
      <c r="Y18" s="97"/>
      <c r="Z18" s="97"/>
      <c r="AA18" s="97"/>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9"/>
      <c r="BL18" s="9"/>
      <c r="BM18" s="9"/>
      <c r="BN18" s="9"/>
      <c r="BO18" s="9"/>
      <c r="BP18" s="9"/>
      <c r="BQ18" s="9"/>
      <c r="BR18" s="9"/>
      <c r="BS18" s="9"/>
      <c r="BT18" s="9"/>
      <c r="BU18" s="9"/>
      <c r="BV18" s="9"/>
      <c r="BW18" s="9"/>
      <c r="BX18" s="9"/>
      <c r="BY18" s="9"/>
      <c r="BZ18" s="9"/>
      <c r="CA18" s="9"/>
      <c r="CB18" s="9"/>
      <c r="CC18" s="9"/>
      <c r="CD18" s="9"/>
      <c r="CE18" s="9"/>
      <c r="CF18" s="9"/>
    </row>
    <row r="19" spans="2:84" ht="19.5" customHeight="1">
      <c r="B19" s="1027"/>
      <c r="C19" s="2449"/>
      <c r="D19" s="2454"/>
      <c r="E19" s="2455"/>
      <c r="F19" s="2455"/>
      <c r="G19" s="2455"/>
      <c r="H19" s="2455"/>
      <c r="I19" s="2455"/>
      <c r="J19" s="2455"/>
      <c r="K19" s="2455"/>
      <c r="L19" s="1915" t="s">
        <v>5006</v>
      </c>
      <c r="M19" s="1916"/>
      <c r="N19" s="1916"/>
      <c r="O19" s="2467"/>
      <c r="P19" s="1027"/>
      <c r="Y19" s="97"/>
      <c r="Z19" s="97"/>
      <c r="AA19" s="97"/>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9"/>
      <c r="BL19" s="9"/>
      <c r="BM19" s="9"/>
      <c r="BN19" s="9"/>
      <c r="BO19" s="9"/>
      <c r="BP19" s="9"/>
      <c r="BQ19" s="9"/>
      <c r="BR19" s="9"/>
      <c r="BS19" s="9"/>
      <c r="BT19" s="9"/>
      <c r="BU19" s="9"/>
      <c r="BV19" s="9"/>
      <c r="BW19" s="9"/>
      <c r="BX19" s="9"/>
      <c r="BY19" s="9"/>
      <c r="BZ19" s="9"/>
      <c r="CA19" s="9"/>
      <c r="CB19" s="9"/>
      <c r="CC19" s="9"/>
      <c r="CD19" s="9"/>
      <c r="CE19" s="9"/>
      <c r="CF19" s="9"/>
    </row>
    <row r="20" spans="2:84">
      <c r="B20" s="1027"/>
      <c r="C20" s="2448">
        <f>IFERROR(VLOOKUP(S20,'App R Data'!E7:F163,2,FALSE),0)</f>
        <v>0</v>
      </c>
      <c r="D20" s="2451" t="s">
        <v>5007</v>
      </c>
      <c r="E20" s="2452"/>
      <c r="F20" s="2452"/>
      <c r="G20" s="2452"/>
      <c r="H20" s="2452"/>
      <c r="I20" s="2452"/>
      <c r="J20" s="2452"/>
      <c r="K20" s="2453"/>
      <c r="L20" s="1866" t="str">
        <f>_xlfn.CONCAT("School District from tab 3. Project Location: ",IF('3. Project Location'!D15="","field is empty",'3. Project Location'!D15),".")</f>
        <v>School District from tab 3. Project Location: field is empty.</v>
      </c>
      <c r="M20" s="1867"/>
      <c r="N20" s="1867"/>
      <c r="O20" s="1879"/>
      <c r="P20" s="1027"/>
      <c r="R20" s="581" t="s">
        <v>5008</v>
      </c>
      <c r="S20" s="9">
        <f>'3. Project Location'!D15</f>
        <v>0</v>
      </c>
      <c r="Y20" s="97"/>
      <c r="Z20" s="97"/>
      <c r="AA20" s="97"/>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9"/>
      <c r="BL20" s="9"/>
      <c r="BM20" s="9"/>
      <c r="BN20" s="9"/>
      <c r="BO20" s="9"/>
      <c r="BP20" s="9"/>
      <c r="BQ20" s="9"/>
      <c r="BR20" s="9"/>
      <c r="BS20" s="9"/>
      <c r="BT20" s="9"/>
      <c r="BU20" s="9"/>
      <c r="BV20" s="9"/>
      <c r="BW20" s="9"/>
      <c r="BX20" s="9"/>
      <c r="BY20" s="9"/>
      <c r="BZ20" s="9"/>
      <c r="CA20" s="9"/>
      <c r="CB20" s="9"/>
      <c r="CC20" s="9"/>
      <c r="CD20" s="9"/>
      <c r="CE20" s="9"/>
      <c r="CF20" s="9"/>
    </row>
    <row r="21" spans="2:84">
      <c r="B21" s="1027"/>
      <c r="C21" s="2449"/>
      <c r="D21" s="2454"/>
      <c r="E21" s="2455"/>
      <c r="F21" s="2455"/>
      <c r="G21" s="2455"/>
      <c r="H21" s="2455"/>
      <c r="I21" s="2455"/>
      <c r="J21" s="2455"/>
      <c r="K21" s="2456"/>
      <c r="L21" s="1866" t="s">
        <v>5009</v>
      </c>
      <c r="M21" s="1867"/>
      <c r="N21" s="1867"/>
      <c r="O21" s="1879"/>
      <c r="P21" s="1027"/>
      <c r="Y21" s="97"/>
      <c r="Z21" s="97"/>
      <c r="AA21" s="97"/>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9"/>
      <c r="BL21" s="9"/>
      <c r="BM21" s="9"/>
      <c r="BN21" s="9"/>
      <c r="BO21" s="9"/>
      <c r="BP21" s="9"/>
      <c r="BQ21" s="9"/>
      <c r="BR21" s="9"/>
      <c r="BS21" s="9"/>
      <c r="BT21" s="9"/>
      <c r="BU21" s="9"/>
      <c r="BV21" s="9"/>
      <c r="BW21" s="9"/>
      <c r="BX21" s="9"/>
      <c r="BY21" s="9"/>
      <c r="BZ21" s="9"/>
      <c r="CA21" s="9"/>
      <c r="CB21" s="9"/>
      <c r="CC21" s="9"/>
      <c r="CD21" s="9"/>
      <c r="CE21" s="9"/>
      <c r="CF21" s="9"/>
    </row>
    <row r="22" spans="2:84">
      <c r="B22" s="1027"/>
      <c r="C22" s="2449"/>
      <c r="D22" s="2454"/>
      <c r="E22" s="2455"/>
      <c r="F22" s="2455"/>
      <c r="G22" s="2455"/>
      <c r="H22" s="2455"/>
      <c r="I22" s="2455"/>
      <c r="J22" s="2455"/>
      <c r="K22" s="2456"/>
      <c r="L22" s="1866"/>
      <c r="M22" s="1867"/>
      <c r="N22" s="1867"/>
      <c r="O22" s="1879"/>
      <c r="P22" s="1027"/>
      <c r="Y22" s="97"/>
      <c r="Z22" s="97"/>
      <c r="AA22" s="97"/>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9"/>
      <c r="BL22" s="9"/>
      <c r="BM22" s="9"/>
      <c r="BN22" s="9"/>
      <c r="BO22" s="9"/>
      <c r="BP22" s="9"/>
      <c r="BQ22" s="9"/>
      <c r="BR22" s="9"/>
      <c r="BS22" s="9"/>
      <c r="BT22" s="9"/>
      <c r="BU22" s="9"/>
      <c r="BV22" s="9"/>
      <c r="BW22" s="9"/>
      <c r="BX22" s="9"/>
      <c r="BY22" s="9"/>
      <c r="BZ22" s="9"/>
      <c r="CA22" s="9"/>
      <c r="CB22" s="9"/>
      <c r="CC22" s="9"/>
      <c r="CD22" s="9"/>
      <c r="CE22" s="9"/>
      <c r="CF22" s="9"/>
    </row>
    <row r="23" spans="2:84">
      <c r="B23" s="1027"/>
      <c r="C23" s="2449"/>
      <c r="D23" s="2454"/>
      <c r="E23" s="2455"/>
      <c r="F23" s="2455"/>
      <c r="G23" s="2455"/>
      <c r="H23" s="2455"/>
      <c r="I23" s="2455"/>
      <c r="J23" s="2455"/>
      <c r="K23" s="2456"/>
      <c r="L23" s="1866"/>
      <c r="M23" s="1867"/>
      <c r="N23" s="1867"/>
      <c r="O23" s="1879"/>
      <c r="P23" s="1027"/>
      <c r="Y23" s="97"/>
      <c r="Z23" s="97"/>
      <c r="AA23" s="97"/>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9"/>
      <c r="BL23" s="9"/>
      <c r="BM23" s="9"/>
      <c r="BN23" s="9"/>
      <c r="BO23" s="9"/>
      <c r="BP23" s="9"/>
      <c r="BQ23" s="9"/>
      <c r="BR23" s="9"/>
      <c r="BS23" s="9"/>
      <c r="BT23" s="9"/>
      <c r="BU23" s="9"/>
      <c r="BV23" s="9"/>
      <c r="BW23" s="9"/>
      <c r="BX23" s="9"/>
      <c r="BY23" s="9"/>
      <c r="BZ23" s="9"/>
      <c r="CA23" s="9"/>
      <c r="CB23" s="9"/>
      <c r="CC23" s="9"/>
      <c r="CD23" s="9"/>
      <c r="CE23" s="9"/>
      <c r="CF23" s="9"/>
    </row>
    <row r="24" spans="2:84">
      <c r="B24" s="1027"/>
      <c r="C24" s="2449"/>
      <c r="D24" s="2454"/>
      <c r="E24" s="2455"/>
      <c r="F24" s="2455"/>
      <c r="G24" s="2455"/>
      <c r="H24" s="2455"/>
      <c r="I24" s="2455"/>
      <c r="J24" s="2455"/>
      <c r="K24" s="2456"/>
      <c r="L24" s="1866"/>
      <c r="M24" s="1867"/>
      <c r="N24" s="1867"/>
      <c r="O24" s="1879"/>
      <c r="P24" s="1027"/>
      <c r="Y24" s="97"/>
      <c r="Z24" s="97"/>
      <c r="AA24" s="97"/>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9"/>
      <c r="BL24" s="9"/>
      <c r="BM24" s="9"/>
      <c r="BN24" s="9"/>
      <c r="BO24" s="9"/>
      <c r="BP24" s="9"/>
      <c r="BQ24" s="9"/>
      <c r="BR24" s="9"/>
      <c r="BS24" s="9"/>
      <c r="BT24" s="9"/>
      <c r="BU24" s="9"/>
      <c r="BV24" s="9"/>
      <c r="BW24" s="9"/>
      <c r="BX24" s="9"/>
      <c r="BY24" s="9"/>
      <c r="BZ24" s="9"/>
      <c r="CA24" s="9"/>
      <c r="CB24" s="9"/>
      <c r="CC24" s="9"/>
      <c r="CD24" s="9"/>
      <c r="CE24" s="9"/>
      <c r="CF24" s="9"/>
    </row>
    <row r="25" spans="2:84">
      <c r="B25" s="1027"/>
      <c r="C25" s="2449"/>
      <c r="D25" s="2454"/>
      <c r="E25" s="2455"/>
      <c r="F25" s="2455"/>
      <c r="G25" s="2455"/>
      <c r="H25" s="2455"/>
      <c r="I25" s="2455"/>
      <c r="J25" s="2455"/>
      <c r="K25" s="2456"/>
      <c r="L25" s="1866"/>
      <c r="M25" s="1867"/>
      <c r="N25" s="1867"/>
      <c r="O25" s="1879"/>
      <c r="P25" s="1027"/>
      <c r="Y25" s="97"/>
      <c r="Z25" s="97"/>
      <c r="AA25" s="97"/>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9"/>
      <c r="BL25" s="9"/>
      <c r="BM25" s="9"/>
      <c r="BN25" s="9"/>
      <c r="BO25" s="9"/>
      <c r="BP25" s="9"/>
      <c r="BQ25" s="9"/>
      <c r="BR25" s="9"/>
      <c r="BS25" s="9"/>
      <c r="BT25" s="9"/>
      <c r="BU25" s="9"/>
      <c r="BV25" s="9"/>
      <c r="BW25" s="9"/>
      <c r="BX25" s="9"/>
      <c r="BY25" s="9"/>
      <c r="BZ25" s="9"/>
      <c r="CA25" s="9"/>
      <c r="CB25" s="9"/>
      <c r="CC25" s="9"/>
      <c r="CD25" s="9"/>
      <c r="CE25" s="9"/>
      <c r="CF25" s="9"/>
    </row>
    <row r="26" spans="2:84">
      <c r="B26" s="1027"/>
      <c r="C26" s="2449"/>
      <c r="D26" s="2454"/>
      <c r="E26" s="2455"/>
      <c r="F26" s="2455"/>
      <c r="G26" s="2455"/>
      <c r="H26" s="2455"/>
      <c r="I26" s="2455"/>
      <c r="J26" s="2455"/>
      <c r="K26" s="2456"/>
      <c r="L26" s="1866"/>
      <c r="M26" s="1867"/>
      <c r="N26" s="1867"/>
      <c r="O26" s="1879"/>
      <c r="P26" s="1027"/>
      <c r="Y26" s="97"/>
      <c r="Z26" s="97"/>
      <c r="AA26" s="97"/>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9"/>
      <c r="BL26" s="9"/>
      <c r="BM26" s="9"/>
      <c r="BN26" s="9"/>
      <c r="BO26" s="9"/>
      <c r="BP26" s="9"/>
      <c r="BQ26" s="9"/>
      <c r="BR26" s="9"/>
      <c r="BS26" s="9"/>
      <c r="BT26" s="9"/>
      <c r="BU26" s="9"/>
      <c r="BV26" s="9"/>
      <c r="BW26" s="9"/>
      <c r="BX26" s="9"/>
      <c r="BY26" s="9"/>
      <c r="BZ26" s="9"/>
      <c r="CA26" s="9"/>
      <c r="CB26" s="9"/>
      <c r="CC26" s="9"/>
      <c r="CD26" s="9"/>
      <c r="CE26" s="9"/>
      <c r="CF26" s="9"/>
    </row>
    <row r="27" spans="2:84" ht="24" customHeight="1">
      <c r="B27" s="1027"/>
      <c r="C27" s="2466"/>
      <c r="D27" s="2454"/>
      <c r="E27" s="2455"/>
      <c r="F27" s="2455"/>
      <c r="G27" s="2455"/>
      <c r="H27" s="2455"/>
      <c r="I27" s="2455"/>
      <c r="J27" s="2455"/>
      <c r="K27" s="2456"/>
      <c r="L27" s="1915"/>
      <c r="M27" s="1916"/>
      <c r="N27" s="1916"/>
      <c r="O27" s="2467"/>
      <c r="P27" s="1027"/>
      <c r="Y27" s="97"/>
      <c r="Z27" s="97"/>
      <c r="AA27" s="97"/>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9"/>
      <c r="BL27" s="9"/>
      <c r="BM27" s="9"/>
      <c r="BN27" s="9"/>
      <c r="BO27" s="9"/>
      <c r="BP27" s="9"/>
      <c r="BQ27" s="9"/>
      <c r="BR27" s="9"/>
      <c r="BS27" s="9"/>
      <c r="BT27" s="9"/>
      <c r="BU27" s="9"/>
      <c r="BV27" s="9"/>
      <c r="BW27" s="9"/>
      <c r="BX27" s="9"/>
      <c r="BY27" s="9"/>
      <c r="BZ27" s="9"/>
      <c r="CA27" s="9"/>
      <c r="CB27" s="9"/>
      <c r="CC27" s="9"/>
      <c r="CD27" s="9"/>
      <c r="CE27" s="9"/>
      <c r="CF27" s="9"/>
    </row>
    <row r="28" spans="2:84">
      <c r="B28" s="1027"/>
      <c r="C28" s="2457">
        <f>IFERROR(VLOOKUP($B$12,'App R Data'!H7:I655,2,FALSE),0)</f>
        <v>0</v>
      </c>
      <c r="D28" s="2451" t="s">
        <v>5010</v>
      </c>
      <c r="E28" s="2452"/>
      <c r="F28" s="2452"/>
      <c r="G28" s="2452"/>
      <c r="H28" s="2452"/>
      <c r="I28" s="2452"/>
      <c r="J28" s="2452"/>
      <c r="K28" s="2452"/>
      <c r="L28" s="1866" t="str">
        <f>_xlfn.CONCAT("Census Tract from tab 3. Project Location: ",IF(Property_Census_Tract="","n/a",Property_Census_Tract),".")</f>
        <v>Census Tract from tab 3. Project Location: n/a.</v>
      </c>
      <c r="M28" s="1867"/>
      <c r="N28" s="1867"/>
      <c r="O28" s="1879"/>
      <c r="P28" s="1027"/>
      <c r="Y28" s="97"/>
      <c r="Z28" s="97"/>
      <c r="AA28" s="97"/>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9"/>
      <c r="BL28" s="9"/>
      <c r="BM28" s="9"/>
      <c r="BN28" s="9"/>
      <c r="BO28" s="9"/>
      <c r="BP28" s="9"/>
      <c r="BQ28" s="9"/>
      <c r="BR28" s="9"/>
      <c r="BS28" s="9"/>
      <c r="BT28" s="9"/>
      <c r="BU28" s="9"/>
      <c r="BV28" s="9"/>
      <c r="BW28" s="9"/>
      <c r="BX28" s="9"/>
      <c r="BY28" s="9"/>
      <c r="BZ28" s="9"/>
      <c r="CA28" s="9"/>
      <c r="CB28" s="9"/>
      <c r="CC28" s="9"/>
      <c r="CD28" s="9"/>
      <c r="CE28" s="9"/>
      <c r="CF28" s="9"/>
    </row>
    <row r="29" spans="2:84">
      <c r="B29" s="1027"/>
      <c r="C29" s="2457"/>
      <c r="D29" s="2454"/>
      <c r="E29" s="2455"/>
      <c r="F29" s="2455"/>
      <c r="G29" s="2455"/>
      <c r="H29" s="2455"/>
      <c r="I29" s="2455"/>
      <c r="J29" s="2455"/>
      <c r="K29" s="2455"/>
      <c r="L29" s="1866" t="str">
        <f>_xlfn.CONCAT("County from tab 3. Project Location: ",IF(Property_County="","n/a",Property_County),".")</f>
        <v>County from tab 3. Project Location: n/a.</v>
      </c>
      <c r="M29" s="1867"/>
      <c r="N29" s="1867"/>
      <c r="O29" s="1879"/>
      <c r="P29" s="1027"/>
      <c r="Y29" s="97"/>
      <c r="Z29" s="97"/>
      <c r="AA29" s="97"/>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9"/>
      <c r="BL29" s="9"/>
      <c r="BM29" s="9"/>
      <c r="BN29" s="9"/>
      <c r="BO29" s="9"/>
      <c r="BP29" s="9"/>
      <c r="BQ29" s="9"/>
      <c r="BR29" s="9"/>
      <c r="BS29" s="9"/>
      <c r="BT29" s="9"/>
      <c r="BU29" s="9"/>
      <c r="BV29" s="9"/>
      <c r="BW29" s="9"/>
      <c r="BX29" s="9"/>
      <c r="BY29" s="9"/>
      <c r="BZ29" s="9"/>
      <c r="CA29" s="9"/>
      <c r="CB29" s="9"/>
      <c r="CC29" s="9"/>
      <c r="CD29" s="9"/>
      <c r="CE29" s="9"/>
      <c r="CF29" s="9"/>
    </row>
    <row r="30" spans="2:84">
      <c r="B30" s="1027"/>
      <c r="C30" s="2457"/>
      <c r="D30" s="2454"/>
      <c r="E30" s="2455"/>
      <c r="F30" s="2455"/>
      <c r="G30" s="2455"/>
      <c r="H30" s="2455"/>
      <c r="I30" s="2455"/>
      <c r="J30" s="2455"/>
      <c r="K30" s="2455"/>
      <c r="L30" s="1866" t="s">
        <v>5011</v>
      </c>
      <c r="M30" s="1867"/>
      <c r="N30" s="1867"/>
      <c r="O30" s="1879"/>
      <c r="P30" s="1027"/>
      <c r="Y30" s="97"/>
      <c r="Z30" s="97"/>
      <c r="AA30" s="97"/>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9"/>
      <c r="BL30" s="9"/>
      <c r="BM30" s="9"/>
      <c r="BN30" s="9"/>
      <c r="BO30" s="9"/>
      <c r="BP30" s="9"/>
      <c r="BQ30" s="9"/>
      <c r="BR30" s="9"/>
      <c r="BS30" s="9"/>
      <c r="BT30" s="9"/>
      <c r="BU30" s="9"/>
      <c r="BV30" s="9"/>
      <c r="BW30" s="9"/>
      <c r="BX30" s="9"/>
      <c r="BY30" s="9"/>
      <c r="BZ30" s="9"/>
      <c r="CA30" s="9"/>
      <c r="CB30" s="9"/>
      <c r="CC30" s="9"/>
      <c r="CD30" s="9"/>
      <c r="CE30" s="9"/>
      <c r="CF30" s="9"/>
    </row>
    <row r="31" spans="2:84">
      <c r="B31" s="1027"/>
      <c r="C31" s="2457"/>
      <c r="D31" s="2454"/>
      <c r="E31" s="2455"/>
      <c r="F31" s="2455"/>
      <c r="G31" s="2455"/>
      <c r="H31" s="2455"/>
      <c r="I31" s="2455"/>
      <c r="J31" s="2455"/>
      <c r="K31" s="2455"/>
      <c r="L31" s="116"/>
      <c r="O31" s="1210"/>
      <c r="P31" s="1027"/>
      <c r="Y31" s="97"/>
      <c r="Z31" s="97"/>
      <c r="AA31" s="97"/>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9"/>
      <c r="BL31" s="9"/>
      <c r="BM31" s="9"/>
      <c r="BN31" s="9"/>
      <c r="BO31" s="9"/>
      <c r="BP31" s="9"/>
      <c r="BQ31" s="9"/>
      <c r="BR31" s="9"/>
      <c r="BS31" s="9"/>
      <c r="BT31" s="9"/>
      <c r="BU31" s="9"/>
      <c r="BV31" s="9"/>
      <c r="BW31" s="9"/>
      <c r="BX31" s="9"/>
      <c r="BY31" s="9"/>
      <c r="BZ31" s="9"/>
      <c r="CA31" s="9"/>
      <c r="CB31" s="9"/>
      <c r="CC31" s="9"/>
      <c r="CD31" s="9"/>
      <c r="CE31" s="9"/>
      <c r="CF31" s="9"/>
    </row>
    <row r="32" spans="2:84" ht="19.5" customHeight="1">
      <c r="B32" s="1027"/>
      <c r="C32" s="2458"/>
      <c r="D32" s="2463"/>
      <c r="E32" s="2464"/>
      <c r="F32" s="2464"/>
      <c r="G32" s="2464"/>
      <c r="H32" s="2464"/>
      <c r="I32" s="2464"/>
      <c r="J32" s="2464"/>
      <c r="K32" s="2464"/>
      <c r="L32" s="2460"/>
      <c r="M32" s="2461"/>
      <c r="N32" s="2461"/>
      <c r="O32" s="2462"/>
      <c r="P32" s="1027"/>
      <c r="Y32" s="97"/>
      <c r="Z32" s="97"/>
      <c r="AA32" s="97"/>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9"/>
      <c r="BL32" s="9"/>
      <c r="BM32" s="9"/>
      <c r="BN32" s="9"/>
      <c r="BO32" s="9"/>
      <c r="BP32" s="9"/>
      <c r="BQ32" s="9"/>
      <c r="BR32" s="9"/>
      <c r="BS32" s="9"/>
      <c r="BT32" s="9"/>
      <c r="BU32" s="9"/>
      <c r="BV32" s="9"/>
      <c r="BW32" s="9"/>
      <c r="BX32" s="9"/>
      <c r="BY32" s="9"/>
      <c r="BZ32" s="9"/>
      <c r="CA32" s="9"/>
      <c r="CB32" s="9"/>
      <c r="CC32" s="9"/>
      <c r="CD32" s="9"/>
      <c r="CE32" s="9"/>
      <c r="CF32" s="9"/>
    </row>
    <row r="33" spans="2:84">
      <c r="B33" s="1027"/>
      <c r="C33" s="1027"/>
      <c r="D33" s="1027"/>
      <c r="E33" s="1027"/>
      <c r="F33" s="1027"/>
      <c r="G33" s="1027"/>
      <c r="H33" s="1027"/>
      <c r="I33" s="1027"/>
      <c r="J33" s="1027"/>
      <c r="K33" s="1027"/>
      <c r="L33" s="1027"/>
      <c r="M33" s="1027"/>
      <c r="N33" s="1027"/>
      <c r="O33" s="1027"/>
      <c r="P33" s="1027"/>
      <c r="Y33" s="97"/>
      <c r="Z33" s="97"/>
      <c r="AA33" s="97"/>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9"/>
      <c r="BL33" s="9"/>
      <c r="BM33" s="9"/>
      <c r="BN33" s="9"/>
      <c r="BO33" s="9"/>
      <c r="BP33" s="9"/>
      <c r="BQ33" s="9"/>
      <c r="BR33" s="9"/>
      <c r="BS33" s="9"/>
      <c r="BT33" s="9"/>
      <c r="BU33" s="9"/>
      <c r="BV33" s="9"/>
      <c r="BW33" s="9"/>
      <c r="BX33" s="9"/>
      <c r="BY33" s="9"/>
      <c r="BZ33" s="9"/>
      <c r="CA33" s="9"/>
      <c r="CB33" s="9"/>
      <c r="CC33" s="9"/>
      <c r="CD33" s="9"/>
      <c r="CE33" s="9"/>
      <c r="CF33" s="9"/>
    </row>
    <row r="34" spans="2:84" ht="21" hidden="1">
      <c r="B34" s="1204"/>
      <c r="C34" s="1027"/>
      <c r="D34" s="1027"/>
      <c r="E34" s="1027"/>
      <c r="F34" s="1027"/>
      <c r="G34" s="1027"/>
      <c r="H34" s="1027"/>
      <c r="I34" s="1027"/>
      <c r="J34" s="1027"/>
      <c r="K34" s="1027"/>
      <c r="L34" s="1027"/>
      <c r="M34" s="1027"/>
      <c r="N34" s="1027"/>
      <c r="O34" s="1027"/>
      <c r="P34" s="1027"/>
      <c r="Q34" s="980"/>
      <c r="Y34" s="97"/>
      <c r="Z34" s="97"/>
      <c r="AA34" s="97"/>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9"/>
      <c r="BL34" s="9"/>
      <c r="BM34" s="9"/>
      <c r="BN34" s="9"/>
      <c r="BO34" s="9"/>
      <c r="BP34" s="9"/>
      <c r="BQ34" s="9"/>
      <c r="BR34" s="9"/>
      <c r="BS34" s="9"/>
      <c r="BT34" s="9"/>
      <c r="BU34" s="9"/>
      <c r="BV34" s="9"/>
      <c r="BW34" s="9"/>
      <c r="BX34" s="9"/>
      <c r="BY34" s="9"/>
      <c r="BZ34" s="9"/>
      <c r="CA34" s="9"/>
      <c r="CB34" s="9"/>
      <c r="CC34" s="9"/>
      <c r="CD34" s="9"/>
      <c r="CE34" s="9"/>
      <c r="CF34" s="9"/>
    </row>
    <row r="35" spans="2:84">
      <c r="B35" s="1714" t="s">
        <v>5012</v>
      </c>
      <c r="C35" s="1027"/>
      <c r="D35" s="1027"/>
      <c r="E35" s="1027"/>
      <c r="F35" s="1027"/>
      <c r="G35" s="1027"/>
      <c r="H35" s="1027"/>
      <c r="I35" s="1027"/>
      <c r="J35" s="1027"/>
      <c r="K35" s="1027"/>
      <c r="L35" s="1027"/>
      <c r="M35" s="1027"/>
      <c r="N35" s="1027"/>
      <c r="O35" s="1027"/>
      <c r="P35" s="1027"/>
      <c r="Y35" s="97"/>
      <c r="Z35" s="97"/>
      <c r="AA35" s="97"/>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9"/>
      <c r="BL35" s="9"/>
      <c r="BM35" s="9"/>
      <c r="BN35" s="9"/>
      <c r="BO35" s="9"/>
      <c r="BP35" s="9"/>
      <c r="BQ35" s="9"/>
      <c r="BR35" s="9"/>
      <c r="BS35" s="9"/>
      <c r="BT35" s="9"/>
      <c r="BU35" s="9"/>
      <c r="BV35" s="9"/>
      <c r="BW35" s="9"/>
      <c r="BX35" s="9"/>
      <c r="BY35" s="9"/>
      <c r="BZ35" s="9"/>
      <c r="CA35" s="9"/>
      <c r="CB35" s="9"/>
      <c r="CC35" s="9"/>
      <c r="CD35" s="9"/>
      <c r="CE35" s="9"/>
      <c r="CF35" s="9"/>
    </row>
    <row r="36" spans="2:84">
      <c r="B36" s="1027"/>
      <c r="C36" s="1027" t="s">
        <v>5013</v>
      </c>
      <c r="D36" s="1027"/>
      <c r="E36" s="1027"/>
      <c r="F36" s="1027"/>
      <c r="G36" s="1027"/>
      <c r="H36" s="1027"/>
      <c r="I36" s="1027"/>
      <c r="J36" s="1027"/>
      <c r="K36" s="1027"/>
      <c r="L36" s="1027"/>
      <c r="M36" s="1027"/>
      <c r="N36" s="1027"/>
      <c r="O36" s="1027"/>
      <c r="P36" s="1027"/>
      <c r="Q36" s="372"/>
      <c r="Y36" s="97"/>
      <c r="Z36" s="97"/>
      <c r="AA36" s="97"/>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9"/>
      <c r="BL36" s="9"/>
      <c r="BM36" s="9"/>
      <c r="BN36" s="9"/>
      <c r="BO36" s="9"/>
      <c r="BP36" s="9"/>
      <c r="BQ36" s="9"/>
      <c r="BR36" s="9"/>
      <c r="BS36" s="9"/>
      <c r="BT36" s="9"/>
      <c r="BU36" s="9"/>
      <c r="BV36" s="9"/>
      <c r="BW36" s="9"/>
      <c r="BX36" s="9"/>
      <c r="BY36" s="9"/>
      <c r="BZ36" s="9"/>
      <c r="CA36" s="9"/>
      <c r="CB36" s="9"/>
      <c r="CC36" s="9"/>
      <c r="CD36" s="9"/>
      <c r="CE36" s="9"/>
      <c r="CF36" s="9"/>
    </row>
    <row r="37" spans="2:84">
      <c r="B37" s="1027"/>
      <c r="C37" s="1027" t="s">
        <v>5014</v>
      </c>
      <c r="D37" s="1027"/>
      <c r="E37" s="1027"/>
      <c r="F37" s="1027"/>
      <c r="G37" s="1027"/>
      <c r="H37" s="1027"/>
      <c r="I37" s="1027"/>
      <c r="J37" s="1027"/>
      <c r="K37" s="1027"/>
      <c r="L37" s="1027"/>
      <c r="M37" s="1027"/>
      <c r="N37" s="1027"/>
      <c r="O37" s="1027"/>
      <c r="P37" s="1027"/>
      <c r="Y37" s="97"/>
      <c r="Z37" s="97"/>
      <c r="AA37" s="97"/>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9"/>
      <c r="BL37" s="9"/>
      <c r="BM37" s="9"/>
      <c r="BN37" s="9"/>
      <c r="BO37" s="9"/>
      <c r="BP37" s="9"/>
      <c r="BQ37" s="9"/>
      <c r="BR37" s="9"/>
      <c r="BS37" s="9"/>
      <c r="BT37" s="9"/>
      <c r="BU37" s="9"/>
      <c r="BV37" s="9"/>
      <c r="BW37" s="9"/>
      <c r="BX37" s="9"/>
      <c r="BY37" s="9"/>
      <c r="BZ37" s="9"/>
      <c r="CA37" s="9"/>
      <c r="CB37" s="9"/>
      <c r="CC37" s="9"/>
      <c r="CD37" s="9"/>
      <c r="CE37" s="9"/>
      <c r="CF37" s="9"/>
    </row>
    <row r="38" spans="2:84">
      <c r="B38" s="1027"/>
      <c r="C38" s="1714" t="s">
        <v>5015</v>
      </c>
      <c r="D38" s="1027"/>
      <c r="E38" s="1027"/>
      <c r="F38" s="1027"/>
      <c r="G38" s="1027"/>
      <c r="H38" s="1027"/>
      <c r="I38" s="1027"/>
      <c r="J38" s="1027"/>
      <c r="K38" s="1027"/>
      <c r="L38" s="1027"/>
      <c r="M38" s="1027"/>
      <c r="N38" s="1027"/>
      <c r="O38" s="1027"/>
      <c r="P38" s="1027"/>
      <c r="Y38" s="97"/>
      <c r="Z38" s="97"/>
      <c r="AA38" s="97"/>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9"/>
      <c r="BL38" s="9"/>
      <c r="BM38" s="9"/>
      <c r="BN38" s="9"/>
      <c r="BO38" s="9"/>
      <c r="BP38" s="9"/>
      <c r="BQ38" s="9"/>
      <c r="BR38" s="9"/>
      <c r="BS38" s="9"/>
      <c r="BT38" s="9"/>
      <c r="BU38" s="9"/>
      <c r="BV38" s="9"/>
      <c r="BW38" s="9"/>
      <c r="BX38" s="9"/>
      <c r="BY38" s="9"/>
      <c r="BZ38" s="9"/>
      <c r="CA38" s="9"/>
      <c r="CB38" s="9"/>
      <c r="CC38" s="9"/>
      <c r="CD38" s="9"/>
      <c r="CE38" s="9"/>
      <c r="CF38" s="9"/>
    </row>
    <row r="39" spans="2:84">
      <c r="B39" s="1027"/>
      <c r="C39" s="1714" t="s">
        <v>5016</v>
      </c>
      <c r="D39" s="1027"/>
      <c r="E39" s="1027"/>
      <c r="F39" s="1027"/>
      <c r="G39" s="1027"/>
      <c r="H39" s="1027"/>
      <c r="I39" s="1027"/>
      <c r="J39" s="1027"/>
      <c r="K39" s="1027"/>
      <c r="L39" s="1027"/>
      <c r="M39" s="1027"/>
      <c r="N39" s="1027"/>
      <c r="O39" s="1027"/>
      <c r="P39" s="1027"/>
      <c r="Y39" s="97"/>
      <c r="Z39" s="97"/>
      <c r="AA39" s="97"/>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9"/>
      <c r="BL39" s="9"/>
      <c r="BM39" s="9"/>
      <c r="BN39" s="9"/>
      <c r="BO39" s="9"/>
      <c r="BP39" s="9"/>
      <c r="BQ39" s="9"/>
      <c r="BR39" s="9"/>
      <c r="BS39" s="9"/>
      <c r="BT39" s="9"/>
      <c r="BU39" s="9"/>
      <c r="BV39" s="9"/>
      <c r="BW39" s="9"/>
      <c r="BX39" s="9"/>
      <c r="BY39" s="9"/>
      <c r="BZ39" s="9"/>
      <c r="CA39" s="9"/>
      <c r="CB39" s="9"/>
      <c r="CC39" s="9"/>
      <c r="CD39" s="9"/>
      <c r="CE39" s="9"/>
      <c r="CF39" s="9"/>
    </row>
    <row r="40" spans="2:84">
      <c r="B40" s="1027"/>
      <c r="C40" s="1027"/>
      <c r="D40" s="1027"/>
      <c r="E40" s="1027"/>
      <c r="F40" s="1027"/>
      <c r="G40" s="1027"/>
      <c r="H40" s="1027"/>
      <c r="I40" s="1027"/>
      <c r="J40" s="1027"/>
      <c r="K40" s="1027"/>
      <c r="L40" s="1027"/>
      <c r="M40" s="1027"/>
      <c r="N40" s="1027"/>
      <c r="O40" s="1027"/>
      <c r="P40" s="1027"/>
      <c r="Y40" s="97"/>
      <c r="Z40" s="97"/>
      <c r="AA40" s="97"/>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9"/>
      <c r="BL40" s="9"/>
      <c r="BM40" s="9"/>
      <c r="BN40" s="9"/>
      <c r="BO40" s="9"/>
      <c r="BP40" s="9"/>
      <c r="BQ40" s="9"/>
      <c r="BR40" s="9"/>
      <c r="BS40" s="9"/>
      <c r="BT40" s="9"/>
      <c r="BU40" s="9"/>
      <c r="BV40" s="9"/>
      <c r="BW40" s="9"/>
      <c r="BX40" s="9"/>
      <c r="BY40" s="9"/>
      <c r="BZ40" s="9"/>
      <c r="CA40" s="9"/>
      <c r="CB40" s="9"/>
      <c r="CC40" s="9"/>
      <c r="CD40" s="9"/>
      <c r="CE40" s="9"/>
      <c r="CF40" s="9"/>
    </row>
    <row r="41" spans="2:84">
      <c r="B41" s="1935" t="s">
        <v>5017</v>
      </c>
      <c r="C41" s="1935"/>
      <c r="D41" s="1935"/>
      <c r="E41" s="1935"/>
      <c r="F41" s="1935"/>
      <c r="G41" s="1935"/>
      <c r="H41" s="1935"/>
      <c r="I41" s="1935"/>
      <c r="J41" s="1935"/>
      <c r="K41" s="1935"/>
      <c r="L41" s="1935"/>
      <c r="M41" s="1935"/>
      <c r="N41" s="1935"/>
      <c r="O41" s="1935"/>
      <c r="P41" s="1027"/>
      <c r="Y41" s="97"/>
      <c r="Z41" s="97"/>
      <c r="AA41" s="97"/>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9"/>
      <c r="BL41" s="9"/>
      <c r="BM41" s="9"/>
      <c r="BN41" s="9"/>
      <c r="BO41" s="9"/>
      <c r="BP41" s="9"/>
      <c r="BQ41" s="9"/>
      <c r="BR41" s="9"/>
      <c r="BS41" s="9"/>
      <c r="BT41" s="9"/>
      <c r="BU41" s="9"/>
      <c r="BV41" s="9"/>
      <c r="BW41" s="9"/>
      <c r="BX41" s="9"/>
      <c r="BY41" s="9"/>
      <c r="BZ41" s="9"/>
      <c r="CA41" s="9"/>
      <c r="CB41" s="9"/>
      <c r="CC41" s="9"/>
      <c r="CD41" s="9"/>
      <c r="CE41" s="9"/>
      <c r="CF41" s="9"/>
    </row>
    <row r="42" spans="2:84">
      <c r="B42" s="1935"/>
      <c r="C42" s="1935"/>
      <c r="D42" s="1935"/>
      <c r="E42" s="1935"/>
      <c r="F42" s="1935"/>
      <c r="G42" s="1935"/>
      <c r="H42" s="1935"/>
      <c r="I42" s="1935"/>
      <c r="J42" s="1935"/>
      <c r="K42" s="1935"/>
      <c r="L42" s="1935"/>
      <c r="M42" s="1935"/>
      <c r="N42" s="1935"/>
      <c r="O42" s="1935"/>
      <c r="P42" s="1027"/>
      <c r="Y42" s="97"/>
      <c r="Z42" s="97"/>
      <c r="AA42" s="97"/>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9"/>
      <c r="BL42" s="9"/>
      <c r="BM42" s="9"/>
      <c r="BN42" s="9"/>
      <c r="BO42" s="9"/>
      <c r="BP42" s="9"/>
      <c r="BQ42" s="9"/>
      <c r="BR42" s="9"/>
      <c r="BS42" s="9"/>
      <c r="BT42" s="9"/>
      <c r="BU42" s="9"/>
      <c r="BV42" s="9"/>
      <c r="BW42" s="9"/>
      <c r="BX42" s="9"/>
      <c r="BY42" s="9"/>
      <c r="BZ42" s="9"/>
      <c r="CA42" s="9"/>
      <c r="CB42" s="9"/>
      <c r="CC42" s="9"/>
      <c r="CD42" s="9"/>
      <c r="CE42" s="9"/>
      <c r="CF42" s="9"/>
    </row>
    <row r="43" spans="2:84">
      <c r="B43" s="1714"/>
      <c r="C43" s="1027"/>
      <c r="D43" s="1027"/>
      <c r="E43" s="1027"/>
      <c r="F43" s="1027"/>
      <c r="G43" s="1027"/>
      <c r="H43" s="1027"/>
      <c r="I43" s="1027"/>
      <c r="J43" s="1027"/>
      <c r="K43" s="1027"/>
      <c r="L43" s="1027"/>
      <c r="M43" s="1027"/>
      <c r="N43" s="1027"/>
      <c r="O43" s="1027"/>
      <c r="P43" s="1027"/>
      <c r="Y43" s="97"/>
      <c r="Z43" s="97"/>
      <c r="AA43" s="97"/>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9"/>
      <c r="BL43" s="9"/>
      <c r="BM43" s="9"/>
      <c r="BN43" s="9"/>
      <c r="BO43" s="9"/>
      <c r="BP43" s="9"/>
      <c r="BQ43" s="9"/>
      <c r="BR43" s="9"/>
      <c r="BS43" s="9"/>
      <c r="BT43" s="9"/>
      <c r="BU43" s="9"/>
      <c r="BV43" s="9"/>
      <c r="BW43" s="9"/>
      <c r="BX43" s="9"/>
      <c r="BY43" s="9"/>
      <c r="BZ43" s="9"/>
      <c r="CA43" s="9"/>
      <c r="CB43" s="9"/>
      <c r="CC43" s="9"/>
      <c r="CD43" s="9"/>
      <c r="CE43" s="9"/>
      <c r="CF43" s="9"/>
    </row>
    <row r="44" spans="2:84">
      <c r="B44" s="1027" t="s">
        <v>5018</v>
      </c>
      <c r="C44" s="1027"/>
      <c r="D44" s="1027"/>
      <c r="E44" s="1027"/>
      <c r="F44" s="1027"/>
      <c r="G44" s="1027"/>
      <c r="H44" s="1027"/>
      <c r="I44" s="1027"/>
      <c r="J44" s="1027"/>
      <c r="K44" s="1027"/>
      <c r="L44" s="1027"/>
      <c r="M44" s="1027"/>
      <c r="N44" s="1027"/>
      <c r="O44" s="1027"/>
      <c r="P44" s="1027"/>
      <c r="Y44" s="97"/>
      <c r="Z44" s="97"/>
      <c r="AA44" s="97"/>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9"/>
      <c r="BL44" s="9"/>
      <c r="BM44" s="9"/>
      <c r="BN44" s="9"/>
      <c r="BO44" s="9"/>
      <c r="BP44" s="9"/>
      <c r="BQ44" s="9"/>
      <c r="BR44" s="9"/>
      <c r="BS44" s="9"/>
      <c r="BT44" s="9"/>
      <c r="BU44" s="9"/>
      <c r="BV44" s="9"/>
      <c r="BW44" s="9"/>
      <c r="BX44" s="9"/>
      <c r="BY44" s="9"/>
      <c r="BZ44" s="9"/>
      <c r="CA44" s="9"/>
      <c r="CB44" s="9"/>
      <c r="CC44" s="9"/>
      <c r="CD44" s="9"/>
      <c r="CE44" s="9"/>
      <c r="CF44" s="9"/>
    </row>
    <row r="45" spans="2:84">
      <c r="B45" s="1027"/>
      <c r="C45" s="1027"/>
      <c r="D45" s="1027"/>
      <c r="E45" s="1027"/>
      <c r="F45" s="1027"/>
      <c r="G45" s="1027"/>
      <c r="H45" s="1027"/>
      <c r="I45" s="1027"/>
      <c r="J45" s="1027"/>
      <c r="K45" s="1027"/>
      <c r="L45" s="1027"/>
      <c r="M45" s="1027"/>
      <c r="N45" s="1027"/>
      <c r="O45" s="1027"/>
      <c r="P45" s="1027"/>
      <c r="Y45" s="97"/>
      <c r="Z45" s="97"/>
      <c r="AA45" s="97"/>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9"/>
      <c r="BL45" s="9"/>
      <c r="BM45" s="9"/>
      <c r="BN45" s="9"/>
      <c r="BO45" s="9"/>
      <c r="BP45" s="9"/>
      <c r="BQ45" s="9"/>
      <c r="BR45" s="9"/>
      <c r="BS45" s="9"/>
      <c r="BT45" s="9"/>
      <c r="BU45" s="9"/>
      <c r="BV45" s="9"/>
      <c r="BW45" s="9"/>
      <c r="BX45" s="9"/>
      <c r="BY45" s="9"/>
      <c r="BZ45" s="9"/>
      <c r="CA45" s="9"/>
      <c r="CB45" s="9"/>
      <c r="CC45" s="9"/>
      <c r="CD45" s="9"/>
      <c r="CE45" s="9"/>
      <c r="CF45" s="9"/>
    </row>
    <row r="46" spans="2:84">
      <c r="B46" s="1205" t="s">
        <v>5019</v>
      </c>
      <c r="C46" s="1027"/>
      <c r="D46" s="1027"/>
      <c r="E46" s="1027"/>
      <c r="F46" s="1027"/>
      <c r="G46" s="1027"/>
      <c r="H46" s="1027"/>
      <c r="I46" s="1027"/>
      <c r="J46" s="1027"/>
      <c r="K46" s="1027"/>
      <c r="L46" s="1027"/>
      <c r="M46" s="1027"/>
      <c r="N46" s="1027"/>
      <c r="O46" s="1027"/>
      <c r="P46" s="1027"/>
      <c r="Y46" s="97"/>
      <c r="Z46" s="97"/>
      <c r="AA46" s="97"/>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9"/>
      <c r="BL46" s="9"/>
      <c r="BM46" s="9"/>
      <c r="BN46" s="9"/>
      <c r="BO46" s="9"/>
      <c r="BP46" s="9"/>
      <c r="BQ46" s="9"/>
      <c r="BR46" s="9"/>
      <c r="BS46" s="9"/>
      <c r="BT46" s="9"/>
      <c r="BU46" s="9"/>
      <c r="BV46" s="9"/>
      <c r="BW46" s="9"/>
      <c r="BX46" s="9"/>
      <c r="BY46" s="9"/>
      <c r="BZ46" s="9"/>
      <c r="CA46" s="9"/>
      <c r="CB46" s="9"/>
      <c r="CC46" s="9"/>
      <c r="CD46" s="9"/>
      <c r="CE46" s="9"/>
      <c r="CF46" s="9"/>
    </row>
    <row r="47" spans="2:84">
      <c r="B47" s="1714"/>
      <c r="C47" s="1027"/>
      <c r="D47" s="1027"/>
      <c r="E47" s="1027"/>
      <c r="F47" s="1027"/>
      <c r="G47" s="1027"/>
      <c r="H47" s="1027"/>
      <c r="I47" s="1027"/>
      <c r="J47" s="1027"/>
      <c r="K47" s="1027"/>
      <c r="L47" s="1027"/>
      <c r="M47" s="1027"/>
      <c r="N47" s="1027"/>
      <c r="O47" s="1027"/>
      <c r="P47" s="1027"/>
      <c r="Y47" s="97"/>
      <c r="Z47" s="97"/>
      <c r="AA47" s="97"/>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9"/>
      <c r="BL47" s="9"/>
      <c r="BM47" s="9"/>
      <c r="BN47" s="9"/>
      <c r="BO47" s="9"/>
      <c r="BP47" s="9"/>
      <c r="BQ47" s="9"/>
      <c r="BR47" s="9"/>
      <c r="BS47" s="9"/>
      <c r="BT47" s="9"/>
      <c r="BU47" s="9"/>
      <c r="BV47" s="9"/>
      <c r="BW47" s="9"/>
      <c r="BX47" s="9"/>
      <c r="BY47" s="9"/>
      <c r="BZ47" s="9"/>
      <c r="CA47" s="9"/>
      <c r="CB47" s="9"/>
      <c r="CC47" s="9"/>
      <c r="CD47" s="9"/>
      <c r="CE47" s="9"/>
      <c r="CF47" s="9"/>
    </row>
    <row r="48" spans="2:84">
      <c r="B48" s="1027"/>
      <c r="C48" s="604" t="s">
        <v>5002</v>
      </c>
      <c r="D48" s="2459" t="s">
        <v>5003</v>
      </c>
      <c r="E48" s="2459"/>
      <c r="F48" s="2459"/>
      <c r="G48" s="2459"/>
      <c r="H48" s="2459"/>
      <c r="I48" s="2459"/>
      <c r="J48" s="1863" t="s">
        <v>5004</v>
      </c>
      <c r="K48" s="1864"/>
      <c r="L48" s="1864"/>
      <c r="M48" s="2269"/>
      <c r="N48" s="1027"/>
      <c r="O48" s="1027"/>
      <c r="P48" s="1027"/>
      <c r="Y48" s="97"/>
      <c r="Z48" s="97"/>
      <c r="AA48" s="97"/>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9"/>
      <c r="BL48" s="9"/>
      <c r="BM48" s="9"/>
      <c r="BN48" s="9"/>
      <c r="BO48" s="9"/>
      <c r="BP48" s="9"/>
      <c r="BQ48" s="9"/>
      <c r="BR48" s="9"/>
      <c r="BS48" s="9"/>
      <c r="BT48" s="9"/>
      <c r="BU48" s="9"/>
      <c r="BV48" s="9"/>
      <c r="BW48" s="9"/>
      <c r="BX48" s="9"/>
      <c r="BY48" s="9"/>
      <c r="BZ48" s="9"/>
      <c r="CA48" s="9"/>
      <c r="CB48" s="9"/>
      <c r="CC48" s="9"/>
      <c r="CD48" s="9"/>
      <c r="CE48" s="9"/>
      <c r="CF48" s="9"/>
    </row>
    <row r="49" spans="2:84">
      <c r="B49" s="1027"/>
      <c r="C49" s="1764">
        <f>IF(AND(IF(ISBLANK(Tribal_Name),FALSE,TRUE),'6. Site Description'!F93&lt;=4,'6. Site Description'!F93&gt;0),2,IF(AND(Set_Aside="Rural Set-Aside",'6. Site Description'!F93&lt;=2,'6. Site Description'!F93&gt;0),2,IF(AND(Set_Aside="Small Urban Set-Aside",'6. Site Description'!F93&lt;=1.5,'6. Site Description'!F93&gt;0),2,IF(AND('6. Site Description'!F93&lt;=1,'6. Site Description'!F93&gt;0),2,0))))</f>
        <v>0</v>
      </c>
      <c r="D49" s="2450" t="s">
        <v>5020</v>
      </c>
      <c r="E49" s="2450"/>
      <c r="F49" s="2450"/>
      <c r="G49" s="2450"/>
      <c r="H49" s="2450"/>
      <c r="I49" s="2450"/>
      <c r="J49" s="2450" t="str">
        <f>_xlfn.CONCAT("Full Service Grocery Store, tab 6. Site Description: ",IF('6. Site Description'!F93="","",'6. Site Description'!F93&amp;" miles"),".")</f>
        <v>Full Service Grocery Store, tab 6. Site Description: .</v>
      </c>
      <c r="K49" s="2450"/>
      <c r="L49" s="2450"/>
      <c r="M49" s="2450"/>
      <c r="N49" s="1027"/>
      <c r="O49" s="1027"/>
      <c r="P49" s="1027"/>
      <c r="Y49" s="97"/>
      <c r="Z49" s="97"/>
      <c r="AA49" s="97"/>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9"/>
      <c r="BL49" s="9"/>
      <c r="BM49" s="9"/>
      <c r="BN49" s="9"/>
      <c r="BO49" s="9"/>
      <c r="BP49" s="9"/>
      <c r="BQ49" s="9"/>
      <c r="BR49" s="9"/>
      <c r="BS49" s="9"/>
      <c r="BT49" s="9"/>
      <c r="BU49" s="9"/>
      <c r="BV49" s="9"/>
      <c r="BW49" s="9"/>
      <c r="BX49" s="9"/>
      <c r="BY49" s="9"/>
      <c r="BZ49" s="9"/>
      <c r="CA49" s="9"/>
      <c r="CB49" s="9"/>
      <c r="CC49" s="9"/>
      <c r="CD49" s="9"/>
      <c r="CE49" s="9"/>
      <c r="CF49" s="9"/>
    </row>
    <row r="50" spans="2:84">
      <c r="B50" s="1027"/>
      <c r="C50" s="1764">
        <f>IF(isQualifiedSenior="no",IF(AND(IF(ISBLANK(Tribal_Name),FALSE,TRUE),'6. Site Description'!F96&lt;=4,'6. Site Description'!F96&gt;0),1,IF(AND(Set_Aside="Rural Set-Aside",'6. Site Description'!F96&lt;=2,'6. Site Description'!F96&gt;0),1,IF(AND(Set_Aside="Small Urban Set-Aside",'6. Site Description'!F96&lt;=1.5,'6. Site Description'!F96&gt;0),1,IF(AND('6. Site Description'!F96&lt;=1,'6. Site Description'!F96&gt;0),1,0)))),"N/A")</f>
        <v>0</v>
      </c>
      <c r="D50" s="2450" t="s">
        <v>5021</v>
      </c>
      <c r="E50" s="2450"/>
      <c r="F50" s="2450"/>
      <c r="G50" s="2450"/>
      <c r="H50" s="2450"/>
      <c r="I50" s="2450"/>
      <c r="J50" s="2450" t="str">
        <f>_xlfn.CONCAT("Public School, tab 6. Site Description: ",IF('6. Site Description'!F96="","",'6. Site Description'!F96&amp;" miles"),".")</f>
        <v>Public School, tab 6. Site Description: .</v>
      </c>
      <c r="K50" s="2450"/>
      <c r="L50" s="2450"/>
      <c r="M50" s="2450"/>
      <c r="N50" s="1027"/>
      <c r="O50" s="1027"/>
      <c r="P50" s="1027"/>
      <c r="Y50" s="97"/>
      <c r="Z50" s="97"/>
      <c r="AA50" s="97"/>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9"/>
      <c r="BL50" s="9"/>
      <c r="BM50" s="9"/>
      <c r="BN50" s="9"/>
      <c r="BO50" s="9"/>
      <c r="BP50" s="9"/>
      <c r="BQ50" s="9"/>
      <c r="BR50" s="9"/>
      <c r="BS50" s="9"/>
      <c r="BT50" s="9"/>
      <c r="BU50" s="9"/>
      <c r="BV50" s="9"/>
      <c r="BW50" s="9"/>
      <c r="BX50" s="9"/>
      <c r="BY50" s="9"/>
      <c r="BZ50" s="9"/>
      <c r="CA50" s="9"/>
      <c r="CB50" s="9"/>
      <c r="CC50" s="9"/>
      <c r="CD50" s="9"/>
      <c r="CE50" s="9"/>
      <c r="CF50" s="9"/>
    </row>
    <row r="51" spans="2:84">
      <c r="B51" s="1027"/>
      <c r="C51" s="1764" t="str">
        <f>IF(isQualifiedSenior="Yes",IF(AND(IF(ISBLANK(Tribal_Name),FALSE,TRUE),'6. Site Description'!F95&lt;=4,'6. Site Description'!F95&gt;0),1,IF(AND(Set_Aside="Rural Set-Aside",'6. Site Description'!F95&lt;=2,'6. Site Description'!F95&gt;0),1,IF(AND(Set_Aside="Small Urban Set-Aside",'6. Site Description'!F95&lt;=1.5,'6. Site Description'!F95&gt;0),1,IF(AND('6. Site Description'!F95&lt;=1,'6. Site Description'!F95&gt;0),1,0)))),"N/A")</f>
        <v>N/A</v>
      </c>
      <c r="D51" s="1858" t="s">
        <v>5022</v>
      </c>
      <c r="E51" s="1859"/>
      <c r="F51" s="1859"/>
      <c r="G51" s="1859"/>
      <c r="H51" s="1859"/>
      <c r="I51" s="1860"/>
      <c r="J51" s="2450" t="str">
        <f>_xlfn.CONCAT("Senior Center, tab 6. Site Description: ",IF('6. Site Description'!F95="","",'6. Site Description'!F95&amp;" miles"),".")</f>
        <v>Senior Center, tab 6. Site Description: .</v>
      </c>
      <c r="K51" s="2450"/>
      <c r="L51" s="2450"/>
      <c r="M51" s="2450"/>
      <c r="N51" s="1027"/>
      <c r="O51" s="1027"/>
      <c r="P51" s="1027"/>
      <c r="Y51" s="97"/>
      <c r="Z51" s="97"/>
      <c r="AA51" s="97"/>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9"/>
      <c r="BL51" s="9"/>
      <c r="BM51" s="9"/>
      <c r="BN51" s="9"/>
      <c r="BO51" s="9"/>
      <c r="BP51" s="9"/>
      <c r="BQ51" s="9"/>
      <c r="BR51" s="9"/>
      <c r="BS51" s="9"/>
      <c r="BT51" s="9"/>
      <c r="BU51" s="9"/>
      <c r="BV51" s="9"/>
      <c r="BW51" s="9"/>
      <c r="BX51" s="9"/>
      <c r="BY51" s="9"/>
      <c r="BZ51" s="9"/>
      <c r="CA51" s="9"/>
      <c r="CB51" s="9"/>
      <c r="CC51" s="9"/>
      <c r="CD51" s="9"/>
      <c r="CE51" s="9"/>
      <c r="CF51" s="9"/>
    </row>
    <row r="52" spans="2:84">
      <c r="B52" s="1027"/>
      <c r="C52" s="1764">
        <f>IF(AND(IF(ISBLANK(Tribal_Name),FALSE,TRUE),'6. Site Description'!F99&lt;=4,'6. Site Description'!F99&gt;0),1,IF(AND(Set_Aside="Rural Set-Aside",'6. Site Description'!F99&lt;=2,'6. Site Description'!F99&gt;0),1,IF(AND(Set_Aside="Small Urban Set-Aside",'6. Site Description'!F99&lt;=1.5,'6. Site Description'!F99&gt;0),1,IF(AND('6. Site Description'!F99&lt;=1,'6. Site Description'!F99&gt;0),1,0))))</f>
        <v>0</v>
      </c>
      <c r="D52" s="2450" t="s">
        <v>5023</v>
      </c>
      <c r="E52" s="2450"/>
      <c r="F52" s="2450"/>
      <c r="G52" s="2450"/>
      <c r="H52" s="2450"/>
      <c r="I52" s="2450"/>
      <c r="J52" s="2450" t="str">
        <f>_xlfn.CONCAT("Medical Clinic or Hospital, tab 6. Site Description: ",IF('6. Site Description'!F99="","",'6. Site Description'!F99&amp;" miles"),".")</f>
        <v>Medical Clinic or Hospital, tab 6. Site Description: .</v>
      </c>
      <c r="K52" s="2450"/>
      <c r="L52" s="2450"/>
      <c r="M52" s="2450"/>
      <c r="N52" s="1027"/>
      <c r="O52" s="1027"/>
      <c r="P52" s="1027"/>
      <c r="Y52" s="97"/>
      <c r="Z52" s="97"/>
      <c r="AA52" s="97"/>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9"/>
      <c r="BL52" s="9"/>
      <c r="BM52" s="9"/>
      <c r="BN52" s="9"/>
      <c r="BO52" s="9"/>
      <c r="BP52" s="9"/>
      <c r="BQ52" s="9"/>
      <c r="BR52" s="9"/>
      <c r="BS52" s="9"/>
      <c r="BT52" s="9"/>
      <c r="BU52" s="9"/>
      <c r="BV52" s="9"/>
      <c r="BW52" s="9"/>
      <c r="BX52" s="9"/>
      <c r="BY52" s="9"/>
      <c r="BZ52" s="9"/>
      <c r="CA52" s="9"/>
      <c r="CB52" s="9"/>
      <c r="CC52" s="9"/>
      <c r="CD52" s="9"/>
      <c r="CE52" s="9"/>
      <c r="CF52" s="9"/>
    </row>
    <row r="53" spans="2:84">
      <c r="B53" s="1027"/>
      <c r="C53" s="1764">
        <f>IF(AND(IF(ISBLANK(Tribal_Name),FALSE,TRUE),'6. Site Description'!F97&lt;=4,'6. Site Description'!F97&gt;0),1,IF(AND(Set_Aside="Rural Set-Aside",'6. Site Description'!F97&lt;=2,'6. Site Description'!F97&gt;0),1,IF(AND(Set_Aside="Small Urban Set-Aside",'6. Site Description'!F97&lt;=1.5,'6. Site Description'!F97&gt;0),1,IF(AND('6. Site Description'!F97&lt;=1,'6. Site Description'!F97&gt;0),1,0))))</f>
        <v>0</v>
      </c>
      <c r="D53" s="2450" t="s">
        <v>5024</v>
      </c>
      <c r="E53" s="2450"/>
      <c r="F53" s="2450"/>
      <c r="G53" s="2450"/>
      <c r="H53" s="2450"/>
      <c r="I53" s="2450"/>
      <c r="J53" s="2450" t="str">
        <f>_xlfn.CONCAT("Public Library, tab 6. Site Description: ",IF('6. Site Description'!F97="","",'6. Site Description'!F97&amp;" miles"),".")</f>
        <v>Public Library, tab 6. Site Description: .</v>
      </c>
      <c r="K53" s="2450"/>
      <c r="L53" s="2450"/>
      <c r="M53" s="2450"/>
      <c r="N53" s="1027"/>
      <c r="O53" s="1027"/>
      <c r="P53" s="1027"/>
      <c r="Q53" s="272"/>
      <c r="Y53" s="97"/>
      <c r="Z53" s="97"/>
      <c r="AA53" s="97"/>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9"/>
      <c r="BL53" s="9"/>
      <c r="BM53" s="9"/>
      <c r="BN53" s="9"/>
      <c r="BO53" s="9"/>
      <c r="BP53" s="9"/>
      <c r="BQ53" s="9"/>
      <c r="BR53" s="9"/>
      <c r="BS53" s="9"/>
      <c r="BT53" s="9"/>
      <c r="BU53" s="9"/>
      <c r="BV53" s="9"/>
      <c r="BW53" s="9"/>
      <c r="BX53" s="9"/>
      <c r="BY53" s="9"/>
      <c r="BZ53" s="9"/>
      <c r="CA53" s="9"/>
      <c r="CB53" s="9"/>
      <c r="CC53" s="9"/>
      <c r="CD53" s="9"/>
      <c r="CE53" s="9"/>
      <c r="CF53" s="9"/>
    </row>
    <row r="54" spans="2:84">
      <c r="B54" s="1027"/>
      <c r="C54" s="1764">
        <f>IF(AND(IF(ISBLANK(Tribal_Name),FALSE,TRUE),'6. Site Description'!F94&lt;=4,'6. Site Description'!F94&gt;0),1,IF(AND(Set_Aside="Rural Set-Aside",'6. Site Description'!F94&lt;=2,'6. Site Description'!F94&gt;0),1,IF(AND(Set_Aside="Small Urban Set-Aside",'6. Site Description'!F94&lt;=1.5,'6. Site Description'!F94&gt;0),1,IF(AND('6. Site Description'!F94&lt;=1,'6. Site Description'!F94&gt;0),1,0))))</f>
        <v>0</v>
      </c>
      <c r="D54" s="2450" t="s">
        <v>3761</v>
      </c>
      <c r="E54" s="2450"/>
      <c r="F54" s="2450"/>
      <c r="G54" s="2450"/>
      <c r="H54" s="2450"/>
      <c r="I54" s="2450"/>
      <c r="J54" s="2450" t="str">
        <f>_xlfn.CONCAT("Public Park or Playground, tab 6. Site Description: ",IF('6. Site Description'!F94="","",'6. Site Description'!F94&amp;" miles"),".")</f>
        <v>Public Park or Playground, tab 6. Site Description: .</v>
      </c>
      <c r="K54" s="2450"/>
      <c r="L54" s="2450"/>
      <c r="M54" s="2450"/>
      <c r="N54" s="1027"/>
      <c r="O54" s="1027"/>
      <c r="P54" s="1027"/>
      <c r="Y54" s="97"/>
      <c r="Z54" s="97"/>
      <c r="AA54" s="97"/>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9"/>
      <c r="BL54" s="9"/>
      <c r="BM54" s="9"/>
      <c r="BN54" s="9"/>
      <c r="BO54" s="9"/>
      <c r="BP54" s="9"/>
      <c r="BQ54" s="9"/>
      <c r="BR54" s="9"/>
      <c r="BS54" s="9"/>
      <c r="BT54" s="9"/>
      <c r="BU54" s="9"/>
      <c r="BV54" s="9"/>
      <c r="BW54" s="9"/>
      <c r="BX54" s="9"/>
      <c r="BY54" s="9"/>
      <c r="BZ54" s="9"/>
      <c r="CA54" s="9"/>
      <c r="CB54" s="9"/>
      <c r="CC54" s="9"/>
      <c r="CD54" s="9"/>
      <c r="CE54" s="9"/>
      <c r="CF54" s="9"/>
    </row>
    <row r="55" spans="2:84">
      <c r="B55" s="1027"/>
      <c r="C55" s="1764">
        <f>IF(AND(IF(ISBLANK(Tribal_Name),FALSE,TRUE),'6. Site Description'!F98&lt;=4,'6. Site Description'!F98&gt;0),1,IF(AND(Set_Aside="Rural Set-Aside",'6. Site Description'!F98&lt;=2,'6. Site Description'!F98&gt;0),1,IF(AND(Set_Aside="Small Urban Set-Aside",'6. Site Description'!F98&lt;=1.5,'6. Site Description'!F98&gt;0),1,IF(AND('6. Site Description'!F98&lt;=1,'6. Site Description'!F98&gt;0),1,0))))</f>
        <v>0</v>
      </c>
      <c r="D55" s="2450" t="s">
        <v>5025</v>
      </c>
      <c r="E55" s="2450"/>
      <c r="F55" s="2450"/>
      <c r="G55" s="2450"/>
      <c r="H55" s="2450"/>
      <c r="I55" s="2450"/>
      <c r="J55" s="2450" t="str">
        <f>_xlfn.CONCAT("Job Training Facility, tab 6. Site Description: ",IF('6. Site Description'!F98="","",'6. Site Description'!F98&amp;" miles"),".")</f>
        <v>Job Training Facility, tab 6. Site Description: .</v>
      </c>
      <c r="K55" s="2450"/>
      <c r="L55" s="2450"/>
      <c r="M55" s="2450"/>
      <c r="N55" s="1027"/>
      <c r="O55" s="1027"/>
      <c r="P55" s="1027"/>
      <c r="Y55" s="97"/>
      <c r="Z55" s="97"/>
      <c r="AA55" s="97"/>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9"/>
      <c r="BL55" s="9"/>
      <c r="BM55" s="9"/>
      <c r="BN55" s="9"/>
      <c r="BO55" s="9"/>
      <c r="BP55" s="9"/>
      <c r="BQ55" s="9"/>
      <c r="BR55" s="9"/>
      <c r="BS55" s="9"/>
      <c r="BT55" s="9"/>
      <c r="BU55" s="9"/>
      <c r="BV55" s="9"/>
      <c r="BW55" s="9"/>
      <c r="BX55" s="9"/>
      <c r="BY55" s="9"/>
      <c r="BZ55" s="9"/>
      <c r="CA55" s="9"/>
      <c r="CB55" s="9"/>
      <c r="CC55" s="9"/>
      <c r="CD55" s="9"/>
      <c r="CE55" s="9"/>
      <c r="CF55" s="9"/>
    </row>
    <row r="56" spans="2:84">
      <c r="B56" s="1027"/>
      <c r="C56" s="1027"/>
      <c r="D56" s="1027"/>
      <c r="E56" s="1027"/>
      <c r="F56" s="1027"/>
      <c r="G56" s="1027"/>
      <c r="H56" s="1027"/>
      <c r="I56" s="1027"/>
      <c r="J56" s="1027"/>
      <c r="K56" s="1027"/>
      <c r="L56" s="1027"/>
      <c r="M56" s="1027"/>
      <c r="N56" s="1027"/>
      <c r="O56" s="1027"/>
      <c r="P56" s="1027"/>
      <c r="Y56" s="97"/>
      <c r="Z56" s="97"/>
      <c r="AA56" s="97"/>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9"/>
      <c r="BL56" s="9"/>
      <c r="BM56" s="9"/>
      <c r="BN56" s="9"/>
      <c r="BO56" s="9"/>
      <c r="BP56" s="9"/>
      <c r="BQ56" s="9"/>
      <c r="BR56" s="9"/>
      <c r="BS56" s="9"/>
      <c r="BT56" s="9"/>
      <c r="BU56" s="9"/>
      <c r="BV56" s="9"/>
      <c r="BW56" s="9"/>
      <c r="BX56" s="9"/>
      <c r="BY56" s="9"/>
      <c r="BZ56" s="9"/>
      <c r="CA56" s="9"/>
      <c r="CB56" s="9"/>
      <c r="CC56" s="9"/>
      <c r="CD56" s="9"/>
      <c r="CE56" s="9"/>
      <c r="CF56" s="9"/>
    </row>
    <row r="57" spans="2:84">
      <c r="B57" s="1027" t="s">
        <v>5026</v>
      </c>
      <c r="C57" s="1027"/>
      <c r="D57" s="1027"/>
      <c r="E57" s="1027"/>
      <c r="F57" s="1027"/>
      <c r="G57" s="1027"/>
      <c r="H57" s="1027"/>
      <c r="I57" s="1027"/>
      <c r="J57" s="1027"/>
      <c r="K57" s="1027"/>
      <c r="L57" s="1027"/>
      <c r="M57" s="1027"/>
      <c r="N57" s="1027"/>
      <c r="O57" s="1027"/>
      <c r="P57" s="1027"/>
      <c r="Y57" s="97"/>
      <c r="Z57" s="97"/>
      <c r="AA57" s="97"/>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9"/>
      <c r="BL57" s="9"/>
      <c r="BM57" s="9"/>
      <c r="BN57" s="9"/>
      <c r="BO57" s="9"/>
      <c r="BP57" s="9"/>
      <c r="BQ57" s="9"/>
      <c r="BR57" s="9"/>
      <c r="BS57" s="9"/>
      <c r="BT57" s="9"/>
      <c r="BU57" s="9"/>
      <c r="BV57" s="9"/>
      <c r="BW57" s="9"/>
      <c r="BX57" s="9"/>
      <c r="BY57" s="9"/>
      <c r="BZ57" s="9"/>
      <c r="CA57" s="9"/>
      <c r="CB57" s="9"/>
      <c r="CC57" s="9"/>
      <c r="CD57" s="9"/>
      <c r="CE57" s="9"/>
      <c r="CF57" s="9"/>
    </row>
    <row r="58" spans="2:84">
      <c r="B58" s="1027" t="s">
        <v>5027</v>
      </c>
      <c r="C58" s="1027"/>
      <c r="D58" s="1027"/>
      <c r="E58" s="1027"/>
      <c r="F58" s="1027"/>
      <c r="G58" s="1027"/>
      <c r="H58" s="1027"/>
      <c r="I58" s="1027"/>
      <c r="J58" s="1027"/>
      <c r="K58" s="1027"/>
      <c r="L58" s="1027"/>
      <c r="M58" s="1027"/>
      <c r="N58" s="1027"/>
      <c r="O58" s="1027"/>
      <c r="P58" s="1027"/>
      <c r="Y58" s="97"/>
      <c r="Z58" s="97"/>
      <c r="AA58" s="97"/>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9"/>
      <c r="BL58" s="9"/>
      <c r="BM58" s="9"/>
      <c r="BN58" s="9"/>
      <c r="BO58" s="9"/>
      <c r="BP58" s="9"/>
      <c r="BQ58" s="9"/>
      <c r="BR58" s="9"/>
      <c r="BS58" s="9"/>
      <c r="BT58" s="9"/>
      <c r="BU58" s="9"/>
      <c r="BV58" s="9"/>
      <c r="BW58" s="9"/>
      <c r="BX58" s="9"/>
      <c r="BY58" s="9"/>
      <c r="BZ58" s="9"/>
      <c r="CA58" s="9"/>
      <c r="CB58" s="9"/>
      <c r="CC58" s="9"/>
      <c r="CD58" s="9"/>
      <c r="CE58" s="9"/>
      <c r="CF58" s="9"/>
    </row>
    <row r="59" spans="2:84">
      <c r="B59" s="1027" t="s">
        <v>5028</v>
      </c>
      <c r="C59" s="1027"/>
      <c r="D59" s="1027"/>
      <c r="E59" s="1027"/>
      <c r="F59" s="1027"/>
      <c r="G59" s="1027"/>
      <c r="H59" s="1027"/>
      <c r="I59" s="1027"/>
      <c r="J59" s="1027"/>
      <c r="K59" s="1027"/>
      <c r="L59" s="1027"/>
      <c r="M59" s="1027"/>
      <c r="N59" s="1027"/>
      <c r="O59" s="1027"/>
      <c r="P59" s="1027"/>
      <c r="Y59" s="97"/>
      <c r="Z59" s="97"/>
      <c r="AA59" s="97"/>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row>
    <row r="60" spans="2:84">
      <c r="B60" s="1027" t="s">
        <v>5029</v>
      </c>
      <c r="C60" s="1027"/>
      <c r="D60" s="1027"/>
      <c r="E60" s="1027"/>
      <c r="F60" s="1027"/>
      <c r="G60" s="1027"/>
      <c r="H60" s="1027"/>
      <c r="I60" s="1027"/>
      <c r="J60" s="1027"/>
      <c r="K60" s="1027"/>
      <c r="L60" s="1027"/>
      <c r="M60" s="1027"/>
      <c r="N60" s="1027"/>
      <c r="O60" s="1027"/>
      <c r="P60" s="1027"/>
      <c r="Y60" s="97"/>
      <c r="Z60" s="97"/>
      <c r="AA60" s="97"/>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row>
    <row r="61" spans="2:84">
      <c r="B61" s="1027"/>
      <c r="C61" s="1027"/>
      <c r="D61" s="1027"/>
      <c r="E61" s="1027"/>
      <c r="F61" s="1027"/>
      <c r="G61" s="1027"/>
      <c r="H61" s="1027"/>
      <c r="I61" s="1027"/>
      <c r="J61" s="1027"/>
      <c r="K61" s="1027"/>
      <c r="L61" s="1027"/>
      <c r="M61" s="1027"/>
      <c r="N61" s="1027"/>
      <c r="O61" s="1027"/>
      <c r="P61" s="1027"/>
      <c r="Y61" s="97"/>
      <c r="Z61" s="97"/>
      <c r="AA61" s="97"/>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row>
    <row r="62" spans="2:84" s="166" customFormat="1" ht="15.75">
      <c r="B62" s="1039"/>
      <c r="C62" s="1203" t="s">
        <v>4997</v>
      </c>
      <c r="D62" s="1203" t="s">
        <v>4971</v>
      </c>
      <c r="E62" s="1203" t="s">
        <v>1051</v>
      </c>
      <c r="F62" s="1039"/>
      <c r="G62" s="1039"/>
      <c r="H62" s="1039"/>
      <c r="I62" s="1039"/>
      <c r="J62" s="1039"/>
      <c r="K62" s="1039"/>
      <c r="L62" s="1039"/>
      <c r="M62" s="1039"/>
      <c r="N62" s="1039"/>
      <c r="O62" s="1039"/>
      <c r="P62" s="1039"/>
      <c r="Q62" s="909"/>
      <c r="R62" s="1769"/>
      <c r="S62" s="11"/>
      <c r="T62" s="11"/>
      <c r="U62" s="11"/>
      <c r="V62" s="848"/>
      <c r="W62" s="848"/>
      <c r="X62" s="848"/>
      <c r="Y62" s="471"/>
      <c r="Z62" s="471"/>
      <c r="AA62" s="471"/>
      <c r="AB62" s="848"/>
      <c r="AC62" s="848"/>
      <c r="AD62" s="848"/>
      <c r="AE62" s="848"/>
      <c r="AF62" s="848"/>
      <c r="AG62" s="848"/>
      <c r="AH62" s="848"/>
      <c r="AI62" s="848"/>
      <c r="AJ62" s="848"/>
      <c r="AK62" s="848"/>
      <c r="AL62" s="848"/>
      <c r="AM62" s="848"/>
      <c r="AN62" s="848"/>
      <c r="AO62" s="848"/>
      <c r="AP62" s="848"/>
      <c r="AQ62" s="848"/>
      <c r="AR62" s="848"/>
      <c r="AS62" s="848"/>
      <c r="AT62" s="848"/>
      <c r="AU62" s="848"/>
      <c r="AV62" s="848"/>
      <c r="AW62" s="848"/>
      <c r="AX62" s="848"/>
      <c r="AY62" s="848"/>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row>
    <row r="63" spans="2:84" s="166" customFormat="1" ht="15.75">
      <c r="B63" s="1045"/>
      <c r="C63" s="1757">
        <v>27</v>
      </c>
      <c r="D63" s="1760">
        <f>IF(F158="Yes", 0, MIN(MIN(SUM(C49:C55),7)+SUM(C17:C32),27))</f>
        <v>0</v>
      </c>
      <c r="E63" s="1757"/>
      <c r="F63" s="1039"/>
      <c r="G63" s="1039"/>
      <c r="H63" s="1039"/>
      <c r="I63" s="1039"/>
      <c r="J63" s="1039"/>
      <c r="K63" s="1039"/>
      <c r="L63" s="1039"/>
      <c r="M63" s="1039"/>
      <c r="N63" s="1039"/>
      <c r="O63" s="1039"/>
      <c r="P63" s="1039"/>
      <c r="Q63" s="909"/>
      <c r="R63" s="1769"/>
      <c r="S63" s="11"/>
      <c r="T63" s="11"/>
      <c r="U63" s="11"/>
      <c r="V63" s="848"/>
      <c r="W63" s="848"/>
      <c r="X63" s="848"/>
      <c r="Y63" s="471"/>
      <c r="Z63" s="471"/>
      <c r="AA63" s="471"/>
      <c r="AB63" s="848"/>
      <c r="AC63" s="848"/>
      <c r="AD63" s="848"/>
      <c r="AE63" s="848"/>
      <c r="AF63" s="848"/>
      <c r="AG63" s="848"/>
      <c r="AH63" s="848"/>
      <c r="AI63" s="848"/>
      <c r="AJ63" s="848"/>
      <c r="AK63" s="848"/>
      <c r="AL63" s="848"/>
      <c r="AM63" s="848"/>
      <c r="AN63" s="848"/>
      <c r="AO63" s="848"/>
      <c r="AP63" s="848"/>
      <c r="AQ63" s="848"/>
      <c r="AR63" s="848"/>
      <c r="AS63" s="848"/>
      <c r="AT63" s="848"/>
      <c r="AU63" s="848"/>
      <c r="AV63" s="848"/>
      <c r="AW63" s="848"/>
      <c r="AX63" s="848"/>
      <c r="AY63" s="848"/>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row>
    <row r="64" spans="2:84">
      <c r="B64" s="1027"/>
      <c r="C64" s="1027"/>
      <c r="D64" s="1027"/>
      <c r="E64" s="1027"/>
      <c r="F64" s="1027"/>
      <c r="G64" s="1027"/>
      <c r="H64" s="1027"/>
      <c r="I64" s="1027"/>
      <c r="J64" s="1027"/>
      <c r="K64" s="1027"/>
      <c r="L64" s="1027"/>
      <c r="M64" s="1027"/>
      <c r="N64" s="1027"/>
      <c r="O64" s="1027"/>
      <c r="P64" s="1027"/>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2:84" ht="18.75">
      <c r="B65" s="2263" t="s">
        <v>1055</v>
      </c>
      <c r="C65" s="2263"/>
      <c r="D65" s="8"/>
      <c r="E65" s="8"/>
      <c r="F65" s="8"/>
      <c r="G65" s="8"/>
      <c r="H65" s="8"/>
      <c r="I65" s="2263" t="s">
        <v>3638</v>
      </c>
      <c r="J65" s="2263"/>
      <c r="K65" s="17"/>
      <c r="L65" s="17"/>
      <c r="M65" s="17"/>
      <c r="N65" s="17"/>
      <c r="O65" s="17"/>
      <c r="P65" s="17"/>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2:84">
      <c r="B66" s="1030" t="s">
        <v>4117</v>
      </c>
      <c r="C66" s="1027"/>
      <c r="D66" s="1027"/>
      <c r="E66" s="1027"/>
      <c r="F66" s="1027"/>
      <c r="G66" s="1027"/>
      <c r="H66" s="1027"/>
      <c r="I66" s="1032" t="s">
        <v>4697</v>
      </c>
      <c r="J66" s="1030"/>
      <c r="K66" s="1030"/>
      <c r="L66" s="1030"/>
      <c r="M66" s="1030"/>
      <c r="N66" s="1030"/>
      <c r="O66" s="1030"/>
      <c r="P66" s="1030"/>
      <c r="Q66" s="981"/>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row>
    <row r="67" spans="2:84" ht="15.75">
      <c r="B67" s="1039"/>
      <c r="C67" s="2022"/>
      <c r="D67" s="2022"/>
      <c r="E67" s="2022"/>
      <c r="F67" s="2022"/>
      <c r="G67" s="2022"/>
      <c r="H67" s="1027"/>
      <c r="I67" s="2022"/>
      <c r="J67" s="2022"/>
      <c r="K67" s="2022"/>
      <c r="L67" s="2022"/>
      <c r="M67" s="2022"/>
      <c r="N67" s="2022"/>
      <c r="O67" s="2022"/>
      <c r="P67" s="1030"/>
      <c r="Q67" s="981"/>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row>
    <row r="68" spans="2:84" ht="15.75">
      <c r="B68" s="1039"/>
      <c r="C68" s="2022"/>
      <c r="D68" s="2022"/>
      <c r="E68" s="2022"/>
      <c r="F68" s="2022"/>
      <c r="G68" s="2022"/>
      <c r="H68" s="1027"/>
      <c r="I68" s="2022"/>
      <c r="J68" s="2022"/>
      <c r="K68" s="2022"/>
      <c r="L68" s="2022"/>
      <c r="M68" s="2022"/>
      <c r="N68" s="2022"/>
      <c r="O68" s="2022"/>
      <c r="P68" s="1030"/>
      <c r="Q68" s="981"/>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2:84" ht="15.75">
      <c r="B69" s="1039"/>
      <c r="C69" s="2022"/>
      <c r="D69" s="2022"/>
      <c r="E69" s="2022"/>
      <c r="F69" s="2022"/>
      <c r="G69" s="2022"/>
      <c r="H69" s="1027"/>
      <c r="I69" s="2022"/>
      <c r="J69" s="2022"/>
      <c r="K69" s="2022"/>
      <c r="L69" s="2022"/>
      <c r="M69" s="2022"/>
      <c r="N69" s="2022"/>
      <c r="O69" s="2022"/>
      <c r="P69" s="1030"/>
      <c r="Q69" s="981"/>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2:84" ht="15.75">
      <c r="B70" s="1039"/>
      <c r="C70" s="2022"/>
      <c r="D70" s="2022"/>
      <c r="E70" s="2022"/>
      <c r="F70" s="2022"/>
      <c r="G70" s="2022"/>
      <c r="H70" s="1027"/>
      <c r="I70" s="2022"/>
      <c r="J70" s="2022"/>
      <c r="K70" s="2022"/>
      <c r="L70" s="2022"/>
      <c r="M70" s="2022"/>
      <c r="N70" s="2022"/>
      <c r="O70" s="2022"/>
      <c r="P70" s="1030"/>
      <c r="Q70" s="981"/>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2:84" ht="15.75">
      <c r="B71" s="1039"/>
      <c r="C71" s="2022"/>
      <c r="D71" s="2022"/>
      <c r="E71" s="2022"/>
      <c r="F71" s="2022"/>
      <c r="G71" s="2022"/>
      <c r="H71" s="1027"/>
      <c r="I71" s="2022"/>
      <c r="J71" s="2022"/>
      <c r="K71" s="2022"/>
      <c r="L71" s="2022"/>
      <c r="M71" s="2022"/>
      <c r="N71" s="2022"/>
      <c r="O71" s="2022"/>
      <c r="P71" s="1030"/>
      <c r="Q71" s="981"/>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2:84" ht="15.75">
      <c r="B72" s="1039"/>
      <c r="C72" s="2022"/>
      <c r="D72" s="2022"/>
      <c r="E72" s="2022"/>
      <c r="F72" s="2022"/>
      <c r="G72" s="2022"/>
      <c r="H72" s="1027"/>
      <c r="I72" s="2022"/>
      <c r="J72" s="2022"/>
      <c r="K72" s="2022"/>
      <c r="L72" s="2022"/>
      <c r="M72" s="2022"/>
      <c r="N72" s="2022"/>
      <c r="O72" s="2022"/>
      <c r="P72" s="1030"/>
      <c r="Q72" s="981"/>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2:84" ht="15.75">
      <c r="B73" s="1039"/>
      <c r="C73" s="2022"/>
      <c r="D73" s="2022"/>
      <c r="E73" s="2022"/>
      <c r="F73" s="2022"/>
      <c r="G73" s="2022"/>
      <c r="H73" s="1027"/>
      <c r="I73" s="2022"/>
      <c r="J73" s="2022"/>
      <c r="K73" s="2022"/>
      <c r="L73" s="2022"/>
      <c r="M73" s="2022"/>
      <c r="N73" s="2022"/>
      <c r="O73" s="2022"/>
      <c r="P73" s="1030"/>
      <c r="Q73" s="981"/>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2:84" ht="15.75">
      <c r="B74" s="1039"/>
      <c r="C74" s="2022"/>
      <c r="D74" s="2022"/>
      <c r="E74" s="2022"/>
      <c r="F74" s="2022"/>
      <c r="G74" s="2022"/>
      <c r="H74" s="1027"/>
      <c r="I74" s="2022"/>
      <c r="J74" s="2022"/>
      <c r="K74" s="2022"/>
      <c r="L74" s="2022"/>
      <c r="M74" s="2022"/>
      <c r="N74" s="2022"/>
      <c r="O74" s="2022"/>
      <c r="P74" s="1030"/>
      <c r="Q74" s="981"/>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2:84">
      <c r="B75" s="1027"/>
      <c r="C75" s="2022"/>
      <c r="D75" s="2022"/>
      <c r="E75" s="2022"/>
      <c r="F75" s="2022"/>
      <c r="G75" s="2022"/>
      <c r="H75" s="1027"/>
      <c r="I75" s="2022"/>
      <c r="J75" s="2022"/>
      <c r="K75" s="2022"/>
      <c r="L75" s="2022"/>
      <c r="M75" s="2022"/>
      <c r="N75" s="2022"/>
      <c r="O75" s="2022"/>
      <c r="P75" s="1030"/>
      <c r="Q75" s="981"/>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2:84">
      <c r="B76" s="1027"/>
      <c r="C76" s="1030"/>
      <c r="D76" s="1030"/>
      <c r="E76" s="1030"/>
      <c r="F76" s="1030"/>
      <c r="G76" s="1030"/>
      <c r="H76" s="1027"/>
      <c r="I76" s="1756" t="s">
        <v>1058</v>
      </c>
      <c r="J76" s="1030"/>
      <c r="K76" s="1030"/>
      <c r="L76" s="1030"/>
      <c r="M76" s="1030"/>
      <c r="N76" s="1030"/>
      <c r="O76" s="1030"/>
      <c r="P76" s="1030"/>
      <c r="Q76" s="981"/>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2:84">
      <c r="B77" s="1027"/>
      <c r="C77" s="1030"/>
      <c r="D77" s="1030"/>
      <c r="E77" s="1030"/>
      <c r="F77" s="1030"/>
      <c r="G77" s="1030"/>
      <c r="H77" s="1027"/>
      <c r="I77" s="2470"/>
      <c r="J77" s="2470"/>
      <c r="K77" s="2470"/>
      <c r="L77" s="2470"/>
      <c r="M77" s="2470"/>
      <c r="N77" s="2470"/>
      <c r="O77" s="2470"/>
      <c r="P77" s="1030"/>
      <c r="Q77" s="981"/>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2:84">
      <c r="B78" s="1030"/>
      <c r="C78" s="1030"/>
      <c r="D78" s="1030"/>
      <c r="E78" s="1030"/>
      <c r="F78" s="1030"/>
      <c r="G78" s="1030"/>
      <c r="H78" s="1027"/>
      <c r="I78" s="1030"/>
      <c r="J78" s="1030"/>
      <c r="K78" s="1030"/>
      <c r="L78" s="1030"/>
      <c r="M78" s="1030"/>
      <c r="N78" s="1030"/>
      <c r="O78" s="1030"/>
      <c r="P78" s="1030"/>
      <c r="Q78" s="981"/>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2:84" ht="28.5">
      <c r="B79" s="852" t="s">
        <v>5030</v>
      </c>
      <c r="C79" s="776"/>
      <c r="D79" s="776"/>
      <c r="E79" s="776"/>
      <c r="F79" s="776"/>
      <c r="G79" s="776"/>
      <c r="H79" s="776"/>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2:84">
      <c r="B80" s="1030" t="s">
        <v>5031</v>
      </c>
      <c r="C80" s="1027"/>
      <c r="D80" s="1027"/>
      <c r="E80" s="1027"/>
      <c r="F80" s="1027"/>
      <c r="G80" s="1027"/>
      <c r="H80" s="1027"/>
      <c r="I80" s="1027"/>
      <c r="J80" s="1027"/>
      <c r="K80" s="1027"/>
      <c r="L80" s="1027"/>
      <c r="M80" s="1027"/>
      <c r="N80" s="1027"/>
      <c r="O80" s="1027"/>
      <c r="P80" s="1027"/>
      <c r="Y80" s="115"/>
      <c r="Z80" s="115"/>
      <c r="AA80" s="115"/>
      <c r="AB80" s="115"/>
      <c r="AC80" s="115"/>
      <c r="AD80" s="115"/>
      <c r="AE80" s="115"/>
      <c r="AF80" s="115"/>
      <c r="AG80" s="115"/>
      <c r="AH80" s="115"/>
      <c r="AI80" s="115"/>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2:81">
      <c r="B81" s="1027" t="s">
        <v>5032</v>
      </c>
      <c r="C81" s="1027"/>
      <c r="D81" s="1027"/>
      <c r="E81" s="1027"/>
      <c r="F81" s="1027"/>
      <c r="G81" s="1027"/>
      <c r="H81" s="1027"/>
      <c r="I81" s="1027"/>
      <c r="J81" s="1027"/>
      <c r="K81" s="1027"/>
      <c r="L81" s="1027"/>
      <c r="M81" s="1027"/>
      <c r="N81" s="1027"/>
      <c r="O81" s="1027"/>
      <c r="P81" s="1027"/>
      <c r="Y81" s="115"/>
      <c r="Z81" s="115"/>
      <c r="AA81" s="115"/>
      <c r="AB81" s="115"/>
      <c r="AC81" s="115"/>
      <c r="AD81" s="115"/>
      <c r="AE81" s="115"/>
      <c r="AF81" s="115"/>
      <c r="AG81" s="115"/>
      <c r="AH81" s="115"/>
      <c r="AI81" s="115"/>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2:81">
      <c r="B82" s="1027"/>
      <c r="C82" s="1027"/>
      <c r="D82" s="1027"/>
      <c r="E82" s="1027"/>
      <c r="F82" s="1027"/>
      <c r="G82" s="1027"/>
      <c r="H82" s="1027"/>
      <c r="I82" s="1027"/>
      <c r="J82" s="1027"/>
      <c r="K82" s="1027"/>
      <c r="L82" s="1027"/>
      <c r="M82" s="1027"/>
      <c r="N82" s="1027"/>
      <c r="O82" s="1027"/>
      <c r="P82" s="1027"/>
      <c r="Y82" s="115"/>
      <c r="Z82" s="115"/>
      <c r="AA82" s="115"/>
      <c r="AB82" s="115"/>
      <c r="AC82" s="115"/>
      <c r="AD82" s="115"/>
      <c r="AE82" s="115"/>
      <c r="AF82" s="115"/>
      <c r="AG82" s="115"/>
      <c r="AH82" s="115"/>
      <c r="AI82" s="115"/>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2:81" ht="15.75">
      <c r="B83" s="1027"/>
      <c r="C83" s="1211" t="s">
        <v>224</v>
      </c>
      <c r="D83" s="2476" t="s">
        <v>5033</v>
      </c>
      <c r="E83" s="2477"/>
      <c r="F83" s="2477"/>
      <c r="G83" s="2477"/>
      <c r="H83" s="2477"/>
      <c r="I83" s="2477"/>
      <c r="J83" s="2477"/>
      <c r="K83" s="2478"/>
      <c r="L83" s="1027"/>
      <c r="M83" s="1027"/>
      <c r="N83" s="1027"/>
      <c r="O83" s="1027"/>
      <c r="P83" s="1027"/>
      <c r="Y83" s="115"/>
      <c r="Z83" s="115"/>
      <c r="AA83" s="115"/>
      <c r="AB83" s="115"/>
      <c r="AC83" s="115"/>
      <c r="AD83" s="115"/>
      <c r="AE83" s="115"/>
      <c r="AF83" s="115"/>
      <c r="AG83" s="115"/>
      <c r="AH83" s="115"/>
      <c r="AI83" s="115"/>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2:81">
      <c r="B84" s="1027"/>
      <c r="C84" s="845" t="s">
        <v>5034</v>
      </c>
      <c r="D84" s="2479" t="s">
        <v>5035</v>
      </c>
      <c r="E84" s="1867"/>
      <c r="F84" s="1867"/>
      <c r="G84" s="1867"/>
      <c r="H84" s="1867"/>
      <c r="I84" s="1867"/>
      <c r="J84" s="1867"/>
      <c r="K84" s="1879"/>
      <c r="L84" s="1027"/>
      <c r="M84" s="1027"/>
      <c r="N84" s="1027"/>
      <c r="O84" s="1027"/>
      <c r="P84" s="1027"/>
      <c r="Y84" s="115"/>
      <c r="Z84" s="115"/>
      <c r="AA84" s="115"/>
      <c r="AB84" s="115"/>
      <c r="AC84" s="115"/>
      <c r="AD84" s="115"/>
      <c r="AE84" s="115"/>
      <c r="AF84" s="115"/>
      <c r="AG84" s="115"/>
      <c r="AH84" s="115"/>
      <c r="AI84" s="115"/>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2:81">
      <c r="B85" s="1027"/>
      <c r="C85" s="846" t="s">
        <v>224</v>
      </c>
      <c r="D85" s="1867" t="s">
        <v>5036</v>
      </c>
      <c r="E85" s="1867"/>
      <c r="F85" s="1867"/>
      <c r="G85" s="1867"/>
      <c r="H85" s="1867"/>
      <c r="I85" s="1867"/>
      <c r="J85" s="1867"/>
      <c r="K85" s="1879"/>
      <c r="L85" s="1027"/>
      <c r="M85" s="1027"/>
      <c r="N85" s="1027"/>
      <c r="O85" s="1027"/>
      <c r="P85" s="1027"/>
      <c r="Y85" s="115"/>
      <c r="Z85" s="115"/>
      <c r="AA85" s="115"/>
      <c r="AB85" s="115"/>
      <c r="AC85" s="115"/>
      <c r="AD85" s="115"/>
      <c r="AE85" s="115"/>
      <c r="AF85" s="115"/>
      <c r="AG85" s="115"/>
      <c r="AH85" s="115"/>
      <c r="AI85" s="115"/>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2:81">
      <c r="B86" s="1027"/>
      <c r="C86" s="913"/>
      <c r="D86" s="2472" t="s">
        <v>5037</v>
      </c>
      <c r="E86" s="1867"/>
      <c r="F86" s="1867"/>
      <c r="G86" s="1867"/>
      <c r="H86" s="1867"/>
      <c r="I86" s="1867"/>
      <c r="J86" s="1867"/>
      <c r="K86" s="1879"/>
      <c r="L86" s="1027"/>
      <c r="M86" s="1027"/>
      <c r="N86" s="1027"/>
      <c r="O86" s="1027"/>
      <c r="P86" s="1027"/>
      <c r="Y86" s="115"/>
      <c r="Z86" s="115"/>
      <c r="AA86" s="115"/>
      <c r="AB86" s="115"/>
      <c r="AC86" s="115"/>
      <c r="AD86" s="115"/>
      <c r="AE86" s="115"/>
      <c r="AF86" s="115"/>
      <c r="AG86" s="115"/>
      <c r="AH86" s="115"/>
      <c r="AI86" s="115"/>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2:81">
      <c r="B87" s="1027"/>
      <c r="C87" s="1213"/>
      <c r="D87" s="2472" t="s">
        <v>5038</v>
      </c>
      <c r="E87" s="1867"/>
      <c r="F87" s="1867"/>
      <c r="G87" s="1867"/>
      <c r="H87" s="1867"/>
      <c r="I87" s="1867"/>
      <c r="J87" s="1867"/>
      <c r="K87" s="1879"/>
      <c r="L87" s="1027"/>
      <c r="M87" s="1027"/>
      <c r="N87" s="1027"/>
      <c r="O87" s="1027"/>
      <c r="P87" s="1027"/>
      <c r="Y87" s="115"/>
      <c r="Z87" s="115"/>
      <c r="AA87" s="115"/>
      <c r="AB87" s="115"/>
      <c r="AC87" s="115"/>
      <c r="AD87" s="115"/>
      <c r="AE87" s="115"/>
      <c r="AF87" s="115"/>
      <c r="AG87" s="115"/>
      <c r="AH87" s="115"/>
      <c r="AI87" s="115"/>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2:81">
      <c r="B88" s="1027"/>
      <c r="C88" s="1213"/>
      <c r="D88" s="2472" t="s">
        <v>5039</v>
      </c>
      <c r="E88" s="1867"/>
      <c r="F88" s="1867"/>
      <c r="G88" s="1867"/>
      <c r="H88" s="1867"/>
      <c r="I88" s="1867"/>
      <c r="J88" s="1867"/>
      <c r="K88" s="1879"/>
      <c r="L88" s="1027"/>
      <c r="M88" s="1027"/>
      <c r="N88" s="1027"/>
      <c r="O88" s="1027"/>
      <c r="P88" s="1027"/>
      <c r="Y88" s="115"/>
      <c r="Z88" s="115"/>
      <c r="AA88" s="115"/>
      <c r="AB88" s="115"/>
      <c r="AC88" s="115"/>
      <c r="AD88" s="115"/>
      <c r="AE88" s="115"/>
      <c r="AF88" s="115"/>
      <c r="AG88" s="115"/>
      <c r="AH88" s="115"/>
      <c r="AI88" s="115"/>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2:81">
      <c r="B89" s="1027"/>
      <c r="C89" s="1213"/>
      <c r="D89" s="1867"/>
      <c r="E89" s="1867"/>
      <c r="F89" s="1867"/>
      <c r="G89" s="1867"/>
      <c r="H89" s="1867"/>
      <c r="I89" s="1867"/>
      <c r="J89" s="1867"/>
      <c r="K89" s="1879"/>
      <c r="L89" s="1027"/>
      <c r="M89" s="1027"/>
      <c r="N89" s="1027"/>
      <c r="O89" s="1027"/>
      <c r="P89" s="1027"/>
      <c r="Y89" s="115"/>
      <c r="Z89" s="115"/>
      <c r="AA89" s="115"/>
      <c r="AB89" s="115"/>
      <c r="AC89" s="115"/>
      <c r="AD89" s="115"/>
      <c r="AE89" s="115"/>
      <c r="AF89" s="115"/>
      <c r="AG89" s="115"/>
      <c r="AH89" s="115"/>
      <c r="AI89" s="115"/>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2:81">
      <c r="B90" s="1027"/>
      <c r="C90" s="1213"/>
      <c r="D90" s="1867" t="s">
        <v>5040</v>
      </c>
      <c r="E90" s="1867"/>
      <c r="F90" s="1867"/>
      <c r="G90" s="1867"/>
      <c r="H90" s="1867"/>
      <c r="I90" s="1867"/>
      <c r="J90" s="1867"/>
      <c r="K90" s="1879"/>
      <c r="L90" s="1027"/>
      <c r="M90" s="1027"/>
      <c r="N90" s="1027"/>
      <c r="O90" s="1027"/>
      <c r="P90" s="1027"/>
      <c r="R90" s="581" t="b">
        <f>C86="Yes"</f>
        <v>0</v>
      </c>
      <c r="S90" s="9" t="str" cm="1">
        <f t="array" ref="S90:S91">_xlfn._xlws.FILTER(T90:T91,COUNTIF(Q90:Q98,T90:T91)=0,"No")</f>
        <v>Yes</v>
      </c>
      <c r="T90" s="9" t="s">
        <v>19</v>
      </c>
      <c r="Y90" s="115"/>
      <c r="Z90" s="115"/>
      <c r="AA90" s="115"/>
      <c r="AB90" s="115"/>
      <c r="AC90" s="115"/>
      <c r="AD90" s="115"/>
      <c r="AE90" s="115"/>
      <c r="AF90" s="115"/>
      <c r="AG90" s="115"/>
      <c r="AH90" s="115"/>
      <c r="AI90" s="115"/>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2:81">
      <c r="B91" s="1027"/>
      <c r="C91" s="1214"/>
      <c r="D91" s="1867"/>
      <c r="E91" s="1867"/>
      <c r="F91" s="1867"/>
      <c r="G91" s="1867"/>
      <c r="H91" s="1867"/>
      <c r="I91" s="1867"/>
      <c r="J91" s="1867"/>
      <c r="K91" s="1879"/>
      <c r="L91" s="1027"/>
      <c r="M91" s="1027"/>
      <c r="N91" s="1027"/>
      <c r="O91" s="1027"/>
      <c r="P91" s="1027"/>
      <c r="S91" s="9" t="str">
        <v>No</v>
      </c>
      <c r="T91" s="9" t="s">
        <v>13</v>
      </c>
      <c r="Y91" s="115"/>
      <c r="Z91" s="115"/>
      <c r="AA91" s="115"/>
      <c r="AB91" s="115"/>
      <c r="AC91" s="115"/>
      <c r="AD91" s="115"/>
      <c r="AE91" s="115"/>
      <c r="AF91" s="115"/>
      <c r="AG91" s="115"/>
      <c r="AH91" s="115"/>
      <c r="AI91" s="115"/>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2:81">
      <c r="B92" s="1027"/>
      <c r="C92" s="116" t="s">
        <v>5034</v>
      </c>
      <c r="D92" s="2475" t="s">
        <v>5041</v>
      </c>
      <c r="E92" s="1901"/>
      <c r="F92" s="1901"/>
      <c r="G92" s="1901"/>
      <c r="H92" s="1901"/>
      <c r="I92" s="1901"/>
      <c r="J92" s="1901"/>
      <c r="K92" s="1902"/>
      <c r="L92" s="1027"/>
      <c r="M92" s="1027"/>
      <c r="N92" s="1027"/>
      <c r="O92" s="1027"/>
      <c r="P92" s="1027"/>
      <c r="S92" s="9" t="str">
        <f>IF(OR(C86="No",C94="No"),"No","")</f>
        <v/>
      </c>
      <c r="Y92" s="115"/>
      <c r="Z92" s="115"/>
      <c r="AA92" s="115"/>
      <c r="AB92" s="115"/>
      <c r="AC92" s="115"/>
      <c r="AD92" s="115"/>
      <c r="AE92" s="115"/>
      <c r="AF92" s="115"/>
      <c r="AG92" s="115"/>
      <c r="AH92" s="115"/>
      <c r="AI92" s="115"/>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2:81">
      <c r="B93" s="1027"/>
      <c r="C93" s="117" t="s">
        <v>224</v>
      </c>
      <c r="D93" s="1866" t="s">
        <v>3830</v>
      </c>
      <c r="E93" s="1867"/>
      <c r="F93" s="1867"/>
      <c r="G93" s="1867"/>
      <c r="H93" s="1867"/>
      <c r="I93" s="1867"/>
      <c r="J93" s="1867"/>
      <c r="K93" s="1879"/>
      <c r="L93" s="1027"/>
      <c r="M93" s="1027"/>
      <c r="N93" s="1027"/>
      <c r="O93" s="1027"/>
      <c r="P93" s="1027"/>
      <c r="Y93" s="115"/>
      <c r="Z93" s="115"/>
      <c r="AA93" s="115"/>
      <c r="AB93" s="115"/>
      <c r="AC93" s="115"/>
      <c r="AD93" s="115"/>
      <c r="AE93" s="115"/>
      <c r="AF93" s="115"/>
      <c r="AG93" s="115"/>
      <c r="AH93" s="115"/>
      <c r="AI93" s="115"/>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2:81">
      <c r="B94" s="1027"/>
      <c r="C94" s="913"/>
      <c r="D94" s="1866" t="s">
        <v>5042</v>
      </c>
      <c r="E94" s="1867"/>
      <c r="F94" s="1867"/>
      <c r="G94" s="1867"/>
      <c r="H94" s="1867"/>
      <c r="I94" s="1867"/>
      <c r="J94" s="1867"/>
      <c r="K94" s="1879"/>
      <c r="L94" s="1027"/>
      <c r="M94" s="1027"/>
      <c r="N94" s="1027"/>
      <c r="O94" s="1027"/>
      <c r="P94" s="1027"/>
      <c r="Y94" s="115"/>
      <c r="Z94" s="115"/>
      <c r="AA94" s="115"/>
      <c r="AB94" s="115"/>
      <c r="AC94" s="115"/>
      <c r="AD94" s="115"/>
      <c r="AE94" s="115"/>
      <c r="AF94" s="115"/>
      <c r="AG94" s="115"/>
      <c r="AH94" s="115"/>
      <c r="AI94" s="115"/>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2:81">
      <c r="B95" s="1027"/>
      <c r="C95" s="1143"/>
      <c r="D95" s="2473" t="s">
        <v>5043</v>
      </c>
      <c r="E95" s="1867"/>
      <c r="F95" s="1867"/>
      <c r="G95" s="1867"/>
      <c r="H95" s="1867"/>
      <c r="I95" s="1867"/>
      <c r="J95" s="1867"/>
      <c r="K95" s="1879"/>
      <c r="L95" s="1027"/>
      <c r="M95" s="1027"/>
      <c r="N95" s="1027"/>
      <c r="O95" s="1027"/>
      <c r="P95" s="1027"/>
      <c r="Y95" s="115"/>
      <c r="Z95" s="115"/>
      <c r="AA95" s="115"/>
      <c r="AB95" s="115"/>
      <c r="AC95" s="115"/>
      <c r="AD95" s="115"/>
      <c r="AE95" s="115"/>
      <c r="AF95" s="115"/>
      <c r="AG95" s="115"/>
      <c r="AH95" s="115"/>
      <c r="AI95" s="115"/>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2:81">
      <c r="B96" s="1027"/>
      <c r="C96" s="1215"/>
      <c r="D96" s="2474" t="s">
        <v>5044</v>
      </c>
      <c r="E96" s="1916"/>
      <c r="F96" s="1916"/>
      <c r="G96" s="1916"/>
      <c r="H96" s="1916"/>
      <c r="I96" s="1916"/>
      <c r="J96" s="1916"/>
      <c r="K96" s="2467"/>
      <c r="L96" s="1027"/>
      <c r="M96" s="1027"/>
      <c r="N96" s="1027"/>
      <c r="O96" s="1027"/>
      <c r="P96" s="1027"/>
      <c r="Y96" s="115"/>
      <c r="Z96" s="115"/>
      <c r="AA96" s="115"/>
      <c r="AB96" s="115"/>
      <c r="AC96" s="115"/>
      <c r="AD96" s="115"/>
      <c r="AE96" s="115"/>
      <c r="AF96" s="115"/>
      <c r="AG96" s="115"/>
      <c r="AH96" s="115"/>
      <c r="AI96" s="115"/>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2:84">
      <c r="B97" s="1027"/>
      <c r="C97" s="1027"/>
      <c r="D97" s="1027"/>
      <c r="E97" s="1027"/>
      <c r="F97" s="1027"/>
      <c r="G97" s="1027"/>
      <c r="H97" s="1027"/>
      <c r="I97" s="1027"/>
      <c r="J97" s="1027"/>
      <c r="K97" s="1027"/>
      <c r="L97" s="1027"/>
      <c r="M97" s="1027"/>
      <c r="N97" s="1027"/>
      <c r="O97" s="1027"/>
      <c r="P97" s="1027"/>
      <c r="R97" s="581" t="b">
        <f>C94="Yes"</f>
        <v>0</v>
      </c>
      <c r="Y97" s="115"/>
      <c r="Z97" s="115"/>
      <c r="AA97" s="115"/>
      <c r="AB97" s="115"/>
      <c r="AC97" s="115"/>
      <c r="AD97" s="115"/>
      <c r="AE97" s="115"/>
      <c r="AF97" s="115"/>
      <c r="AG97" s="115"/>
      <c r="AH97" s="115"/>
      <c r="AI97" s="115"/>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2:84">
      <c r="B98" s="1027"/>
      <c r="C98" s="1027" t="s">
        <v>5045</v>
      </c>
      <c r="D98" s="1027"/>
      <c r="E98" s="1027"/>
      <c r="F98" s="1027"/>
      <c r="G98" s="1027"/>
      <c r="H98" s="1027"/>
      <c r="I98" s="1027"/>
      <c r="J98" s="1027"/>
      <c r="K98" s="1027"/>
      <c r="L98" s="1027"/>
      <c r="M98" s="1027"/>
      <c r="N98" s="1027"/>
      <c r="O98" s="1027"/>
      <c r="P98" s="1027"/>
      <c r="Y98" s="115"/>
      <c r="Z98" s="115"/>
      <c r="AA98" s="115"/>
      <c r="AB98" s="115"/>
      <c r="AC98" s="115"/>
      <c r="AD98" s="115"/>
      <c r="AE98" s="115"/>
      <c r="AF98" s="115"/>
      <c r="AG98" s="115"/>
      <c r="AH98" s="115"/>
      <c r="AI98" s="115"/>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2:84">
      <c r="B99" s="1027"/>
      <c r="C99" s="1027" t="s">
        <v>5046</v>
      </c>
      <c r="D99" s="1027"/>
      <c r="E99" s="1027"/>
      <c r="F99" s="1027"/>
      <c r="G99" s="1027"/>
      <c r="H99" s="1027"/>
      <c r="I99" s="1027"/>
      <c r="J99" s="1027"/>
      <c r="K99" s="1027"/>
      <c r="L99" s="1027"/>
      <c r="M99" s="1027"/>
      <c r="N99" s="1027"/>
      <c r="O99" s="1027"/>
      <c r="P99" s="1027"/>
      <c r="Y99" s="115"/>
      <c r="Z99" s="115"/>
      <c r="AA99" s="115"/>
      <c r="AB99" s="115"/>
      <c r="AC99" s="115"/>
      <c r="AD99" s="115"/>
      <c r="AE99" s="115"/>
      <c r="AF99" s="115"/>
      <c r="AG99" s="115"/>
      <c r="AH99" s="115"/>
      <c r="AI99" s="115"/>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2:84">
      <c r="B100" s="1027"/>
      <c r="C100" s="1714" t="s">
        <v>5047</v>
      </c>
      <c r="D100" s="1027"/>
      <c r="E100" s="1027"/>
      <c r="F100" s="1027"/>
      <c r="G100" s="1027"/>
      <c r="H100" s="1027"/>
      <c r="I100" s="1027"/>
      <c r="J100" s="1027"/>
      <c r="K100" s="1027"/>
      <c r="L100" s="1027"/>
      <c r="M100" s="1027"/>
      <c r="N100" s="1027"/>
      <c r="O100" s="1027"/>
      <c r="P100" s="1027"/>
      <c r="Y100" s="115"/>
      <c r="Z100" s="115"/>
      <c r="AA100" s="115"/>
      <c r="AB100" s="115"/>
      <c r="AC100" s="115"/>
      <c r="AD100" s="115"/>
      <c r="AE100" s="115"/>
      <c r="AF100" s="115"/>
      <c r="AG100" s="115"/>
      <c r="AH100" s="115"/>
      <c r="AI100" s="115"/>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2:84">
      <c r="B101" s="1027"/>
      <c r="C101" s="1714" t="s">
        <v>5048</v>
      </c>
      <c r="D101" s="1027"/>
      <c r="E101" s="1027"/>
      <c r="F101" s="1027"/>
      <c r="G101" s="1027"/>
      <c r="H101" s="1027"/>
      <c r="I101" s="1027"/>
      <c r="J101" s="1027"/>
      <c r="K101" s="1027"/>
      <c r="L101" s="1027"/>
      <c r="M101" s="1027"/>
      <c r="N101" s="1027"/>
      <c r="O101" s="1027"/>
      <c r="P101" s="1027"/>
      <c r="Y101" s="115"/>
      <c r="Z101" s="115"/>
      <c r="AA101" s="115"/>
      <c r="AB101" s="115"/>
      <c r="AC101" s="115"/>
      <c r="AD101" s="115"/>
      <c r="AE101" s="115"/>
      <c r="AF101" s="115"/>
      <c r="AG101" s="115"/>
      <c r="AH101" s="115"/>
      <c r="AI101" s="115"/>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2:84">
      <c r="B102" s="1027"/>
      <c r="C102" s="1714" t="s">
        <v>5049</v>
      </c>
      <c r="D102" s="1027"/>
      <c r="E102" s="1027"/>
      <c r="F102" s="1027"/>
      <c r="G102" s="1027"/>
      <c r="H102" s="1027"/>
      <c r="I102" s="1027"/>
      <c r="J102" s="1027"/>
      <c r="K102" s="1027"/>
      <c r="L102" s="1027"/>
      <c r="M102" s="1027"/>
      <c r="N102" s="1027"/>
      <c r="O102" s="1027"/>
      <c r="P102" s="1027"/>
      <c r="Y102" s="115"/>
      <c r="Z102" s="115"/>
      <c r="AA102" s="115"/>
      <c r="AB102" s="115"/>
      <c r="AC102" s="115"/>
      <c r="AD102" s="115"/>
      <c r="AE102" s="115"/>
      <c r="AF102" s="115"/>
      <c r="AG102" s="115"/>
      <c r="AH102" s="115"/>
      <c r="AI102" s="115"/>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2:84">
      <c r="B103" s="1027"/>
      <c r="C103" s="1714" t="s">
        <v>5050</v>
      </c>
      <c r="D103" s="1027"/>
      <c r="E103" s="1027"/>
      <c r="F103" s="1027"/>
      <c r="G103" s="1027"/>
      <c r="H103" s="1027"/>
      <c r="I103" s="1027"/>
      <c r="J103" s="1027"/>
      <c r="K103" s="1027"/>
      <c r="L103" s="1027"/>
      <c r="M103" s="1027"/>
      <c r="N103" s="1027"/>
      <c r="O103" s="1027"/>
      <c r="P103" s="1027"/>
      <c r="Y103" s="115"/>
      <c r="Z103" s="115"/>
      <c r="AA103" s="115"/>
      <c r="AB103" s="115"/>
      <c r="AC103" s="115"/>
      <c r="AD103" s="115"/>
      <c r="AE103" s="115"/>
      <c r="AF103" s="115"/>
      <c r="AG103" s="115"/>
      <c r="AH103" s="115"/>
      <c r="AI103" s="115"/>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2:84" ht="18.75">
      <c r="B104" s="1027"/>
      <c r="C104" s="1027"/>
      <c r="D104" s="1027"/>
      <c r="E104" s="1027"/>
      <c r="F104" s="1027"/>
      <c r="G104" s="1027"/>
      <c r="H104" s="1027"/>
      <c r="I104" s="1027"/>
      <c r="J104" s="1027"/>
      <c r="K104" s="1027"/>
      <c r="L104" s="1027"/>
      <c r="M104" s="1027"/>
      <c r="N104" s="1027"/>
      <c r="O104" s="1027"/>
      <c r="P104" s="1027"/>
      <c r="Q104" s="980"/>
      <c r="Y104" s="115"/>
      <c r="Z104" s="115"/>
      <c r="AA104" s="115"/>
      <c r="AB104" s="115"/>
      <c r="AC104" s="115"/>
      <c r="AD104" s="115"/>
      <c r="AE104" s="115"/>
      <c r="AF104" s="115"/>
      <c r="AG104" s="115"/>
      <c r="AH104" s="115"/>
      <c r="AI104" s="115"/>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2:84" ht="18.75">
      <c r="B105" s="1027"/>
      <c r="C105" s="1027" t="s">
        <v>5051</v>
      </c>
      <c r="D105" s="1027"/>
      <c r="E105" s="1027"/>
      <c r="F105" s="1027"/>
      <c r="G105" s="1027"/>
      <c r="H105" s="1027"/>
      <c r="I105" s="1027"/>
      <c r="J105" s="1027"/>
      <c r="K105" s="1027"/>
      <c r="L105" s="1027"/>
      <c r="M105" s="1027"/>
      <c r="N105" s="1027"/>
      <c r="O105" s="1027"/>
      <c r="P105" s="1027"/>
      <c r="Q105" s="980"/>
      <c r="Y105" s="115"/>
      <c r="Z105" s="115"/>
      <c r="AA105" s="115"/>
      <c r="AB105" s="115"/>
      <c r="AC105" s="115"/>
      <c r="AD105" s="115"/>
      <c r="AE105" s="115"/>
      <c r="AF105" s="115"/>
      <c r="AG105" s="115"/>
      <c r="AH105" s="115"/>
      <c r="AI105" s="115"/>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2:84" ht="18.75">
      <c r="B106" s="1027"/>
      <c r="C106" s="1714" t="s">
        <v>5052</v>
      </c>
      <c r="D106" s="1027"/>
      <c r="E106" s="1027"/>
      <c r="F106" s="1027"/>
      <c r="G106" s="1027"/>
      <c r="H106" s="1027"/>
      <c r="I106" s="1027"/>
      <c r="J106" s="1027"/>
      <c r="K106" s="1027"/>
      <c r="L106" s="1027"/>
      <c r="M106" s="1027"/>
      <c r="N106" s="1027"/>
      <c r="O106" s="1027"/>
      <c r="P106" s="1027"/>
      <c r="Q106" s="980"/>
      <c r="Y106" s="115"/>
      <c r="Z106" s="115"/>
      <c r="AA106" s="115"/>
      <c r="AB106" s="115"/>
      <c r="AC106" s="115"/>
      <c r="AD106" s="115"/>
      <c r="AE106" s="115"/>
      <c r="AF106" s="115"/>
      <c r="AG106" s="115"/>
      <c r="AH106" s="115"/>
      <c r="AI106" s="115"/>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2:84" ht="18.75">
      <c r="B107" s="1027"/>
      <c r="C107" s="1027"/>
      <c r="D107" s="1027"/>
      <c r="E107" s="1027"/>
      <c r="F107" s="1027"/>
      <c r="G107" s="1027"/>
      <c r="H107" s="1027"/>
      <c r="I107" s="1027"/>
      <c r="J107" s="1027"/>
      <c r="K107" s="1027"/>
      <c r="L107" s="1027"/>
      <c r="M107" s="1027"/>
      <c r="N107" s="1027"/>
      <c r="O107" s="1027"/>
      <c r="P107" s="1027"/>
      <c r="Q107" s="980"/>
      <c r="Y107" s="115"/>
      <c r="Z107" s="115"/>
      <c r="AA107" s="115"/>
      <c r="AB107" s="115"/>
      <c r="AC107" s="115"/>
      <c r="AD107" s="115"/>
      <c r="AE107" s="115"/>
      <c r="AF107" s="115"/>
      <c r="AG107" s="115"/>
      <c r="AH107" s="115"/>
      <c r="AI107" s="115"/>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2:84" ht="18.75">
      <c r="B108" s="1027"/>
      <c r="C108" s="1203" t="s">
        <v>4997</v>
      </c>
      <c r="D108" s="1203" t="s">
        <v>4971</v>
      </c>
      <c r="E108" s="1203" t="s">
        <v>1051</v>
      </c>
      <c r="F108" s="1027"/>
      <c r="G108" s="1027"/>
      <c r="H108" s="1027"/>
      <c r="I108" s="1027"/>
      <c r="J108" s="1027"/>
      <c r="K108" s="1027"/>
      <c r="L108" s="1027"/>
      <c r="M108" s="1027"/>
      <c r="N108" s="1027"/>
      <c r="O108" s="1027"/>
      <c r="P108" s="1027"/>
      <c r="Q108" s="980"/>
      <c r="Y108" s="115"/>
      <c r="Z108" s="115"/>
      <c r="AA108" s="115"/>
      <c r="AB108" s="115"/>
      <c r="AC108" s="115"/>
      <c r="AD108" s="115"/>
      <c r="AE108" s="115"/>
      <c r="AF108" s="115"/>
      <c r="AG108" s="115"/>
      <c r="AH108" s="115"/>
      <c r="AI108" s="115"/>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2:84" ht="18.75">
      <c r="B109" s="1027"/>
      <c r="C109" s="1757">
        <v>2</v>
      </c>
      <c r="D109" s="1760">
        <f>R109</f>
        <v>0</v>
      </c>
      <c r="E109" s="1757"/>
      <c r="F109" s="1027"/>
      <c r="G109" s="1027"/>
      <c r="H109" s="1027"/>
      <c r="I109" s="1027"/>
      <c r="J109" s="1027"/>
      <c r="K109" s="1027"/>
      <c r="L109" s="1027"/>
      <c r="M109" s="1027"/>
      <c r="N109" s="1027"/>
      <c r="O109" s="1027"/>
      <c r="P109" s="1027"/>
      <c r="Q109" s="980"/>
      <c r="R109" s="581">
        <f>IF(R90, 2, IF(R97, 1, 0))</f>
        <v>0</v>
      </c>
      <c r="Y109" s="115"/>
      <c r="Z109" s="115"/>
      <c r="AA109" s="115"/>
      <c r="AB109" s="115"/>
      <c r="AC109" s="115"/>
      <c r="AD109" s="115"/>
      <c r="AE109" s="115"/>
      <c r="AF109" s="115"/>
      <c r="AG109" s="115"/>
      <c r="AH109" s="115"/>
      <c r="AI109" s="115"/>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2:84" s="166" customFormat="1" ht="15.75">
      <c r="B110" s="1039"/>
      <c r="C110" s="1027"/>
      <c r="D110" s="1027"/>
      <c r="E110" s="1027"/>
      <c r="F110" s="1039"/>
      <c r="G110" s="1039"/>
      <c r="H110" s="1039"/>
      <c r="I110" s="1039"/>
      <c r="J110" s="1039"/>
      <c r="K110" s="1039"/>
      <c r="L110" s="1039"/>
      <c r="M110" s="1039"/>
      <c r="N110" s="1039"/>
      <c r="O110" s="1039"/>
      <c r="P110" s="1039"/>
      <c r="Q110" s="848"/>
      <c r="R110" s="1769"/>
      <c r="S110" s="11"/>
      <c r="T110" s="11"/>
      <c r="U110" s="11"/>
      <c r="V110" s="848"/>
      <c r="W110" s="848"/>
      <c r="X110" s="848"/>
      <c r="Y110" s="848"/>
      <c r="Z110" s="848"/>
      <c r="AA110" s="848"/>
      <c r="AB110" s="848"/>
      <c r="AC110" s="848"/>
      <c r="AD110" s="848"/>
      <c r="AE110" s="848"/>
      <c r="AF110" s="848"/>
      <c r="AG110" s="848"/>
      <c r="AH110" s="848"/>
      <c r="AI110" s="848"/>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row>
    <row r="111" spans="2:84" ht="18.75">
      <c r="B111" s="2263" t="s">
        <v>1055</v>
      </c>
      <c r="C111" s="2263"/>
      <c r="D111" s="8"/>
      <c r="E111" s="8"/>
      <c r="F111" s="8"/>
      <c r="G111" s="8"/>
      <c r="H111" s="8"/>
      <c r="I111" s="2263" t="s">
        <v>3638</v>
      </c>
      <c r="J111" s="2263"/>
      <c r="K111" s="17"/>
      <c r="L111" s="17"/>
      <c r="M111" s="17"/>
      <c r="N111" s="17"/>
      <c r="O111" s="17"/>
      <c r="P111" s="17"/>
      <c r="Y111" s="115"/>
      <c r="Z111" s="115"/>
      <c r="AA111" s="115"/>
      <c r="AB111" s="115"/>
      <c r="AC111" s="115"/>
      <c r="AD111" s="115"/>
      <c r="AE111" s="115"/>
      <c r="AF111" s="115"/>
      <c r="AG111" s="115"/>
      <c r="AH111" s="115"/>
      <c r="AI111" s="115"/>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2:84">
      <c r="B112" s="1030" t="s">
        <v>4117</v>
      </c>
      <c r="C112" s="1027"/>
      <c r="D112" s="1027"/>
      <c r="E112" s="1027"/>
      <c r="F112" s="1027"/>
      <c r="G112" s="1027"/>
      <c r="H112" s="1027"/>
      <c r="I112" s="1032" t="s">
        <v>4697</v>
      </c>
      <c r="J112" s="1030"/>
      <c r="K112" s="1030"/>
      <c r="L112" s="1030"/>
      <c r="M112" s="1030"/>
      <c r="N112" s="1030"/>
      <c r="O112" s="1030"/>
      <c r="P112" s="1030"/>
      <c r="Y112" s="115"/>
      <c r="Z112" s="115"/>
      <c r="AA112" s="115"/>
      <c r="AB112" s="115"/>
      <c r="AC112" s="115"/>
      <c r="AD112" s="115"/>
      <c r="AE112" s="115"/>
      <c r="AF112" s="115"/>
      <c r="AG112" s="115"/>
      <c r="AH112" s="115"/>
      <c r="AI112" s="115"/>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row>
    <row r="113" spans="2:84" ht="15.75">
      <c r="B113" s="1039"/>
      <c r="C113" s="2022"/>
      <c r="D113" s="2022"/>
      <c r="E113" s="2022"/>
      <c r="F113" s="2022"/>
      <c r="G113" s="2022"/>
      <c r="H113" s="1027"/>
      <c r="I113" s="2022"/>
      <c r="J113" s="2022"/>
      <c r="K113" s="2022"/>
      <c r="L113" s="2022"/>
      <c r="M113" s="2022"/>
      <c r="N113" s="2022"/>
      <c r="O113" s="2022"/>
      <c r="P113" s="1030"/>
      <c r="Y113" s="115"/>
      <c r="Z113" s="115"/>
      <c r="AA113" s="115"/>
      <c r="AB113" s="115"/>
      <c r="AC113" s="115"/>
      <c r="AD113" s="115"/>
      <c r="AE113" s="115"/>
      <c r="AF113" s="115"/>
      <c r="AG113" s="115"/>
      <c r="AH113" s="115"/>
      <c r="AI113" s="115"/>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row>
    <row r="114" spans="2:84" ht="15.75">
      <c r="B114" s="1039"/>
      <c r="C114" s="2022"/>
      <c r="D114" s="2022"/>
      <c r="E114" s="2022"/>
      <c r="F114" s="2022"/>
      <c r="G114" s="2022"/>
      <c r="H114" s="1027"/>
      <c r="I114" s="2022"/>
      <c r="J114" s="2022"/>
      <c r="K114" s="2022"/>
      <c r="L114" s="2022"/>
      <c r="M114" s="2022"/>
      <c r="N114" s="2022"/>
      <c r="O114" s="2022"/>
      <c r="P114" s="1030"/>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row>
    <row r="115" spans="2:84" ht="15.75">
      <c r="B115" s="1039"/>
      <c r="C115" s="2022"/>
      <c r="D115" s="2022"/>
      <c r="E115" s="2022"/>
      <c r="F115" s="2022"/>
      <c r="G115" s="2022"/>
      <c r="H115" s="1027"/>
      <c r="I115" s="2022"/>
      <c r="J115" s="2022"/>
      <c r="K115" s="2022"/>
      <c r="L115" s="2022"/>
      <c r="M115" s="2022"/>
      <c r="N115" s="2022"/>
      <c r="O115" s="2022"/>
      <c r="P115" s="1030"/>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2:84" ht="15.75">
      <c r="B116" s="1039"/>
      <c r="C116" s="2022"/>
      <c r="D116" s="2022"/>
      <c r="E116" s="2022"/>
      <c r="F116" s="2022"/>
      <c r="G116" s="2022"/>
      <c r="H116" s="1027"/>
      <c r="I116" s="2022"/>
      <c r="J116" s="2022"/>
      <c r="K116" s="2022"/>
      <c r="L116" s="2022"/>
      <c r="M116" s="2022"/>
      <c r="N116" s="2022"/>
      <c r="O116" s="2022"/>
      <c r="P116" s="1030"/>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2:84" ht="15.75">
      <c r="B117" s="1039"/>
      <c r="C117" s="2022"/>
      <c r="D117" s="2022"/>
      <c r="E117" s="2022"/>
      <c r="F117" s="2022"/>
      <c r="G117" s="2022"/>
      <c r="H117" s="1027"/>
      <c r="I117" s="2022"/>
      <c r="J117" s="2022"/>
      <c r="K117" s="2022"/>
      <c r="L117" s="2022"/>
      <c r="M117" s="2022"/>
      <c r="N117" s="2022"/>
      <c r="O117" s="2022"/>
      <c r="P117" s="1030"/>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row>
    <row r="118" spans="2:84" ht="15.75">
      <c r="B118" s="1039"/>
      <c r="C118" s="2022"/>
      <c r="D118" s="2022"/>
      <c r="E118" s="2022"/>
      <c r="F118" s="2022"/>
      <c r="G118" s="2022"/>
      <c r="H118" s="1027"/>
      <c r="I118" s="2022"/>
      <c r="J118" s="2022"/>
      <c r="K118" s="2022"/>
      <c r="L118" s="2022"/>
      <c r="M118" s="2022"/>
      <c r="N118" s="2022"/>
      <c r="O118" s="2022"/>
      <c r="P118" s="1030"/>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row>
    <row r="119" spans="2:84" ht="15.75">
      <c r="B119" s="1039"/>
      <c r="C119" s="2022"/>
      <c r="D119" s="2022"/>
      <c r="E119" s="2022"/>
      <c r="F119" s="2022"/>
      <c r="G119" s="2022"/>
      <c r="H119" s="1027"/>
      <c r="I119" s="2022"/>
      <c r="J119" s="2022"/>
      <c r="K119" s="2022"/>
      <c r="L119" s="2022"/>
      <c r="M119" s="2022"/>
      <c r="N119" s="2022"/>
      <c r="O119" s="2022"/>
      <c r="P119" s="1030"/>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row>
    <row r="120" spans="2:84" ht="15.75">
      <c r="B120" s="1039"/>
      <c r="C120" s="2022"/>
      <c r="D120" s="2022"/>
      <c r="E120" s="2022"/>
      <c r="F120" s="2022"/>
      <c r="G120" s="2022"/>
      <c r="H120" s="1027"/>
      <c r="I120" s="2022"/>
      <c r="J120" s="2022"/>
      <c r="K120" s="2022"/>
      <c r="L120" s="2022"/>
      <c r="M120" s="2022"/>
      <c r="N120" s="2022"/>
      <c r="O120" s="2022"/>
      <c r="P120" s="1030"/>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row>
    <row r="121" spans="2:84">
      <c r="B121" s="1027"/>
      <c r="C121" s="2022"/>
      <c r="D121" s="2022"/>
      <c r="E121" s="2022"/>
      <c r="F121" s="2022"/>
      <c r="G121" s="2022"/>
      <c r="H121" s="1027"/>
      <c r="I121" s="2022"/>
      <c r="J121" s="2022"/>
      <c r="K121" s="2022"/>
      <c r="L121" s="2022"/>
      <c r="M121" s="2022"/>
      <c r="N121" s="2022"/>
      <c r="O121" s="2022"/>
      <c r="P121" s="1030"/>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row>
    <row r="122" spans="2:84">
      <c r="B122" s="1027"/>
      <c r="C122" s="1030"/>
      <c r="D122" s="1030"/>
      <c r="E122" s="1030"/>
      <c r="F122" s="1030"/>
      <c r="G122" s="1030"/>
      <c r="H122" s="1027"/>
      <c r="I122" s="1756" t="s">
        <v>1058</v>
      </c>
      <c r="J122" s="1030"/>
      <c r="K122" s="1030"/>
      <c r="L122" s="1030"/>
      <c r="M122" s="1030"/>
      <c r="N122" s="1030"/>
      <c r="O122" s="1030"/>
      <c r="P122" s="1030"/>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row>
    <row r="123" spans="2:84" ht="16.149999999999999" customHeight="1">
      <c r="B123" s="1027"/>
      <c r="C123" s="1030"/>
      <c r="D123" s="1030"/>
      <c r="E123" s="1030"/>
      <c r="F123" s="1030"/>
      <c r="G123" s="1030"/>
      <c r="H123" s="1027"/>
      <c r="I123" s="2470"/>
      <c r="J123" s="2470"/>
      <c r="K123" s="2470"/>
      <c r="L123" s="2470"/>
      <c r="M123" s="2470"/>
      <c r="N123" s="2470"/>
      <c r="O123" s="2470"/>
      <c r="P123" s="1030"/>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row>
    <row r="124" spans="2:84" ht="23.45" customHeight="1">
      <c r="B124" s="852" t="s">
        <v>4975</v>
      </c>
      <c r="C124" s="852"/>
      <c r="D124" s="852"/>
      <c r="E124" s="776"/>
      <c r="F124" s="776"/>
      <c r="G124" s="776"/>
      <c r="H124" s="776"/>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row>
    <row r="125" spans="2:84" ht="17.45" customHeight="1">
      <c r="B125" s="1027" t="s">
        <v>5053</v>
      </c>
      <c r="C125" s="1027"/>
      <c r="D125" s="1027"/>
      <c r="E125" s="1027"/>
      <c r="F125" s="1027"/>
      <c r="G125" s="1027"/>
      <c r="H125" s="1027"/>
      <c r="I125" s="1027"/>
      <c r="J125" s="1027"/>
      <c r="K125" s="1027"/>
      <c r="L125" s="1027"/>
      <c r="M125" s="1027"/>
      <c r="N125" s="1027"/>
      <c r="O125" s="1027"/>
      <c r="P125" s="1027"/>
      <c r="Y125" s="115"/>
      <c r="Z125" s="115"/>
      <c r="AA125" s="115"/>
      <c r="AB125" s="115"/>
      <c r="AC125" s="115"/>
      <c r="AD125" s="115"/>
      <c r="AE125" s="115"/>
      <c r="AF125" s="115"/>
      <c r="AG125" s="115"/>
      <c r="AH125" s="115"/>
      <c r="AI125" s="115"/>
      <c r="AJ125" s="115"/>
      <c r="AK125" s="115"/>
      <c r="AL125" s="115"/>
      <c r="AM125" s="115"/>
      <c r="AN125" s="115"/>
      <c r="AO125" s="115"/>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row>
    <row r="126" spans="2:84">
      <c r="B126" s="1027" t="s">
        <v>5054</v>
      </c>
      <c r="C126" s="1027"/>
      <c r="D126" s="1027"/>
      <c r="E126" s="1027"/>
      <c r="F126" s="1027"/>
      <c r="G126" s="1027"/>
      <c r="H126" s="1027"/>
      <c r="I126" s="1027"/>
      <c r="J126" s="1027"/>
      <c r="K126" s="1027"/>
      <c r="L126" s="1027"/>
      <c r="M126" s="1027"/>
      <c r="N126" s="1027"/>
      <c r="O126" s="1027"/>
      <c r="P126" s="1027"/>
      <c r="Y126" s="115"/>
      <c r="Z126" s="115"/>
      <c r="AA126" s="115"/>
      <c r="AB126" s="115"/>
      <c r="AC126" s="115"/>
      <c r="AD126" s="115"/>
      <c r="AE126" s="115"/>
      <c r="AF126" s="115"/>
      <c r="AG126" s="115"/>
      <c r="AH126" s="115"/>
      <c r="AI126" s="115"/>
      <c r="AJ126" s="115"/>
      <c r="AK126" s="115"/>
      <c r="AL126" s="115"/>
      <c r="AM126" s="115"/>
      <c r="AN126" s="115"/>
      <c r="AO126" s="115"/>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row>
    <row r="127" spans="2:84">
      <c r="B127" s="1027"/>
      <c r="C127" s="1027"/>
      <c r="D127" s="1027"/>
      <c r="E127" s="1027"/>
      <c r="F127" s="1027"/>
      <c r="G127" s="1027"/>
      <c r="H127" s="1027"/>
      <c r="I127" s="1027"/>
      <c r="J127" s="1027"/>
      <c r="K127" s="1027"/>
      <c r="L127" s="1027"/>
      <c r="M127" s="1027"/>
      <c r="N127" s="1027"/>
      <c r="O127" s="1027"/>
      <c r="P127" s="1027"/>
      <c r="Y127" s="115"/>
      <c r="Z127" s="115"/>
      <c r="AA127" s="115"/>
      <c r="AB127" s="115"/>
      <c r="AC127" s="115"/>
      <c r="AD127" s="115"/>
      <c r="AE127" s="115"/>
      <c r="AF127" s="115"/>
      <c r="AG127" s="115"/>
      <c r="AH127" s="115"/>
      <c r="AI127" s="115"/>
      <c r="AJ127" s="115"/>
      <c r="AK127" s="115"/>
      <c r="AL127" s="115"/>
      <c r="AM127" s="115"/>
      <c r="AN127" s="115"/>
      <c r="AO127" s="115"/>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row>
    <row r="128" spans="2:84">
      <c r="B128" s="1027"/>
      <c r="C128" s="1212" t="s">
        <v>5002</v>
      </c>
      <c r="D128" s="2468" t="s">
        <v>5003</v>
      </c>
      <c r="E128" s="1864"/>
      <c r="F128" s="1864"/>
      <c r="G128" s="1864"/>
      <c r="H128" s="1864"/>
      <c r="I128" s="1864"/>
      <c r="J128" s="1864"/>
      <c r="K128" s="1864"/>
      <c r="L128" s="2269"/>
      <c r="M128" s="1027"/>
      <c r="N128" s="1027"/>
      <c r="O128" s="1027"/>
      <c r="P128" s="1027"/>
      <c r="Y128" s="115"/>
      <c r="Z128" s="115"/>
      <c r="AA128" s="115"/>
      <c r="AB128" s="115"/>
      <c r="AC128" s="115"/>
      <c r="AD128" s="115"/>
      <c r="AE128" s="115"/>
      <c r="AF128" s="115"/>
      <c r="AG128" s="115"/>
      <c r="AH128" s="115"/>
      <c r="AI128" s="115"/>
      <c r="AJ128" s="115"/>
      <c r="AK128" s="115"/>
      <c r="AL128" s="115"/>
      <c r="AM128" s="115"/>
      <c r="AN128" s="115"/>
      <c r="AO128" s="115"/>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row>
    <row r="129" spans="2:71">
      <c r="B129" s="1027"/>
      <c r="C129" s="2448">
        <f>IFERROR(VLOOKUP($B$12,'App R Data'!P7:Q1151,2,FALSE),0)</f>
        <v>0</v>
      </c>
      <c r="D129" s="2481" t="s">
        <v>5055</v>
      </c>
      <c r="E129" s="2482"/>
      <c r="F129" s="2482"/>
      <c r="G129" s="2482"/>
      <c r="H129" s="2482"/>
      <c r="I129" s="2482"/>
      <c r="J129" s="2482"/>
      <c r="K129" s="2482"/>
      <c r="L129" s="2483"/>
      <c r="M129" s="1027"/>
      <c r="N129" s="1027"/>
      <c r="O129" s="1027"/>
      <c r="P129" s="1027"/>
      <c r="Y129" s="115"/>
      <c r="Z129" s="115"/>
      <c r="AA129" s="115"/>
      <c r="AB129" s="115"/>
      <c r="AC129" s="115"/>
      <c r="AD129" s="115"/>
      <c r="AE129" s="115"/>
      <c r="AF129" s="115"/>
      <c r="AG129" s="115"/>
      <c r="AH129" s="115"/>
      <c r="AI129" s="115"/>
      <c r="AJ129" s="115"/>
      <c r="AK129" s="115"/>
      <c r="AL129" s="115"/>
      <c r="AM129" s="115"/>
      <c r="AN129" s="115"/>
      <c r="AO129" s="115"/>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row>
    <row r="130" spans="2:71">
      <c r="B130" s="1027"/>
      <c r="C130" s="2449"/>
      <c r="D130" s="2484"/>
      <c r="E130" s="2485"/>
      <c r="F130" s="2485"/>
      <c r="G130" s="2485"/>
      <c r="H130" s="2485"/>
      <c r="I130" s="2485"/>
      <c r="J130" s="2485"/>
      <c r="K130" s="2485"/>
      <c r="L130" s="2486"/>
      <c r="M130" s="1027"/>
      <c r="N130" s="1027"/>
      <c r="O130" s="1027"/>
      <c r="P130" s="1027"/>
      <c r="Y130" s="115"/>
      <c r="Z130" s="115"/>
      <c r="AA130" s="115"/>
      <c r="AB130" s="115"/>
      <c r="AC130" s="115"/>
      <c r="AD130" s="115"/>
      <c r="AE130" s="115"/>
      <c r="AF130" s="115"/>
      <c r="AG130" s="115"/>
      <c r="AH130" s="115"/>
      <c r="AI130" s="115"/>
      <c r="AJ130" s="115"/>
      <c r="AK130" s="115"/>
      <c r="AL130" s="115"/>
      <c r="AM130" s="115"/>
      <c r="AN130" s="115"/>
      <c r="AO130" s="115"/>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row>
    <row r="131" spans="2:71">
      <c r="B131" s="1027"/>
      <c r="C131" s="2449"/>
      <c r="D131" s="2484"/>
      <c r="E131" s="2485"/>
      <c r="F131" s="2485"/>
      <c r="G131" s="2485"/>
      <c r="H131" s="2485"/>
      <c r="I131" s="2485"/>
      <c r="J131" s="2485"/>
      <c r="K131" s="2485"/>
      <c r="L131" s="2486"/>
      <c r="M131" s="1027"/>
      <c r="N131" s="1027"/>
      <c r="O131" s="1027"/>
      <c r="P131" s="1027"/>
      <c r="Y131" s="115"/>
      <c r="Z131" s="115"/>
      <c r="AA131" s="115"/>
      <c r="AB131" s="115"/>
      <c r="AC131" s="115"/>
      <c r="AD131" s="115"/>
      <c r="AE131" s="115"/>
      <c r="AF131" s="115"/>
      <c r="AG131" s="115"/>
      <c r="AH131" s="115"/>
      <c r="AI131" s="115"/>
      <c r="AJ131" s="115"/>
      <c r="AK131" s="115"/>
      <c r="AL131" s="115"/>
      <c r="AM131" s="115"/>
      <c r="AN131" s="115"/>
      <c r="AO131" s="115"/>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row>
    <row r="132" spans="2:71">
      <c r="B132" s="1027"/>
      <c r="C132" s="2490"/>
      <c r="D132" s="2487"/>
      <c r="E132" s="2488"/>
      <c r="F132" s="2488"/>
      <c r="G132" s="2488"/>
      <c r="H132" s="2488"/>
      <c r="I132" s="2488"/>
      <c r="J132" s="2488"/>
      <c r="K132" s="2488"/>
      <c r="L132" s="2489"/>
      <c r="M132" s="1027"/>
      <c r="N132" s="1027"/>
      <c r="O132" s="1027"/>
      <c r="P132" s="1027"/>
      <c r="Y132" s="115"/>
      <c r="Z132" s="115"/>
      <c r="AA132" s="115"/>
      <c r="AB132" s="115"/>
      <c r="AC132" s="115"/>
      <c r="AD132" s="115"/>
      <c r="AE132" s="115"/>
      <c r="AF132" s="115"/>
      <c r="AG132" s="115"/>
      <c r="AH132" s="115"/>
      <c r="AI132" s="115"/>
      <c r="AJ132" s="115"/>
      <c r="AK132" s="115"/>
      <c r="AL132" s="115"/>
      <c r="AM132" s="115"/>
      <c r="AN132" s="115"/>
      <c r="AO132" s="115"/>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row>
    <row r="133" spans="2:71" ht="15" customHeight="1">
      <c r="B133" s="1027"/>
      <c r="C133" s="2492">
        <f>IFERROR(VLOOKUP($B$12,'App R Data'!K6:L894,2,FALSE),0)</f>
        <v>0</v>
      </c>
      <c r="D133" s="2493" t="s">
        <v>5056</v>
      </c>
      <c r="E133" s="2493"/>
      <c r="F133" s="2493"/>
      <c r="G133" s="2493"/>
      <c r="H133" s="2493"/>
      <c r="I133" s="2493"/>
      <c r="J133" s="2493"/>
      <c r="K133" s="2493"/>
      <c r="L133" s="2493"/>
      <c r="M133" s="1027"/>
      <c r="N133" s="1027"/>
      <c r="O133" s="1027"/>
      <c r="P133" s="1027"/>
      <c r="Y133" s="115"/>
      <c r="Z133" s="115"/>
      <c r="AA133" s="115"/>
      <c r="AB133" s="115"/>
      <c r="AC133" s="115"/>
      <c r="AD133" s="115"/>
      <c r="AE133" s="115"/>
      <c r="AF133" s="115"/>
      <c r="AG133" s="115"/>
      <c r="AH133" s="115"/>
      <c r="AI133" s="115"/>
      <c r="AJ133" s="115"/>
      <c r="AK133" s="115"/>
      <c r="AL133" s="115"/>
      <c r="AM133" s="115"/>
      <c r="AN133" s="115"/>
      <c r="AO133" s="115"/>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row>
    <row r="134" spans="2:71">
      <c r="B134" s="1027"/>
      <c r="C134" s="2492"/>
      <c r="D134" s="2493"/>
      <c r="E134" s="2493"/>
      <c r="F134" s="2493"/>
      <c r="G134" s="2493"/>
      <c r="H134" s="2493"/>
      <c r="I134" s="2493"/>
      <c r="J134" s="2493"/>
      <c r="K134" s="2493"/>
      <c r="L134" s="2493"/>
      <c r="M134" s="1027"/>
      <c r="N134" s="1027"/>
      <c r="O134" s="1027"/>
      <c r="P134" s="1027"/>
      <c r="Y134" s="115"/>
      <c r="Z134" s="115"/>
      <c r="AA134" s="115"/>
      <c r="AB134" s="115"/>
      <c r="AC134" s="115"/>
      <c r="AD134" s="115"/>
      <c r="AE134" s="115"/>
      <c r="AF134" s="115"/>
      <c r="AG134" s="115"/>
      <c r="AH134" s="115"/>
      <c r="AI134" s="115"/>
      <c r="AJ134" s="115"/>
      <c r="AK134" s="115"/>
      <c r="AL134" s="115"/>
      <c r="AM134" s="115"/>
      <c r="AN134" s="115"/>
      <c r="AO134" s="115"/>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row>
    <row r="135" spans="2:71">
      <c r="B135" s="1027"/>
      <c r="C135" s="2492"/>
      <c r="D135" s="2493"/>
      <c r="E135" s="2493"/>
      <c r="F135" s="2493"/>
      <c r="G135" s="2493"/>
      <c r="H135" s="2493"/>
      <c r="I135" s="2493"/>
      <c r="J135" s="2493"/>
      <c r="K135" s="2493"/>
      <c r="L135" s="2493"/>
      <c r="M135" s="1027"/>
      <c r="N135" s="1027"/>
      <c r="O135" s="1027"/>
      <c r="P135" s="1027"/>
      <c r="Y135" s="115"/>
      <c r="Z135" s="115"/>
      <c r="AA135" s="115"/>
      <c r="AB135" s="115"/>
      <c r="AC135" s="115"/>
      <c r="AD135" s="115"/>
      <c r="AE135" s="115"/>
      <c r="AF135" s="115"/>
      <c r="AG135" s="115"/>
      <c r="AH135" s="115"/>
      <c r="AI135" s="115"/>
      <c r="AJ135" s="115"/>
      <c r="AK135" s="115"/>
      <c r="AL135" s="115"/>
      <c r="AM135" s="115"/>
      <c r="AN135" s="115"/>
      <c r="AO135" s="115"/>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row>
    <row r="136" spans="2:71">
      <c r="B136" s="1027"/>
      <c r="C136" s="2492"/>
      <c r="D136" s="2493"/>
      <c r="E136" s="2493"/>
      <c r="F136" s="2493"/>
      <c r="G136" s="2493"/>
      <c r="H136" s="2493"/>
      <c r="I136" s="2493"/>
      <c r="J136" s="2493"/>
      <c r="K136" s="2493"/>
      <c r="L136" s="2493"/>
      <c r="M136" s="1027"/>
      <c r="N136" s="1027"/>
      <c r="O136" s="1027"/>
      <c r="P136" s="1027"/>
      <c r="Y136" s="115"/>
      <c r="Z136" s="115"/>
      <c r="AA136" s="115"/>
      <c r="AB136" s="115"/>
      <c r="AC136" s="115"/>
      <c r="AD136" s="115"/>
      <c r="AE136" s="115"/>
      <c r="AF136" s="115"/>
      <c r="AG136" s="115"/>
      <c r="AH136" s="115"/>
      <c r="AI136" s="115"/>
      <c r="AJ136" s="115"/>
      <c r="AK136" s="115"/>
      <c r="AL136" s="115"/>
      <c r="AM136" s="115"/>
      <c r="AN136" s="115"/>
      <c r="AO136" s="115"/>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row>
    <row r="137" spans="2:71">
      <c r="B137" s="1027"/>
      <c r="C137" s="2492"/>
      <c r="D137" s="2493"/>
      <c r="E137" s="2493"/>
      <c r="F137" s="2493"/>
      <c r="G137" s="2493"/>
      <c r="H137" s="2493"/>
      <c r="I137" s="2493"/>
      <c r="J137" s="2493"/>
      <c r="K137" s="2493"/>
      <c r="L137" s="2493"/>
      <c r="M137" s="1027"/>
      <c r="N137" s="1027"/>
      <c r="O137" s="1027"/>
      <c r="P137" s="1027"/>
      <c r="Y137" s="115"/>
      <c r="Z137" s="115"/>
      <c r="AA137" s="115"/>
      <c r="AB137" s="115"/>
      <c r="AC137" s="115"/>
      <c r="AD137" s="115"/>
      <c r="AE137" s="115"/>
      <c r="AF137" s="115"/>
      <c r="AG137" s="115"/>
      <c r="AH137" s="115"/>
      <c r="AI137" s="115"/>
      <c r="AJ137" s="115"/>
      <c r="AK137" s="115"/>
      <c r="AL137" s="115"/>
      <c r="AM137" s="115"/>
      <c r="AN137" s="115"/>
      <c r="AO137" s="115"/>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row>
    <row r="138" spans="2:71">
      <c r="B138" s="1027"/>
      <c r="C138" s="1027"/>
      <c r="D138" s="1027"/>
      <c r="E138" s="1027"/>
      <c r="F138" s="1027"/>
      <c r="G138" s="1027"/>
      <c r="H138" s="1027"/>
      <c r="I138" s="1027"/>
      <c r="J138" s="1027"/>
      <c r="K138" s="1027"/>
      <c r="L138" s="1027"/>
      <c r="M138" s="1027"/>
      <c r="N138" s="1027"/>
      <c r="O138" s="1027"/>
      <c r="P138" s="1027"/>
      <c r="Y138" s="115"/>
      <c r="Z138" s="115"/>
      <c r="AA138" s="115"/>
      <c r="AB138" s="115"/>
      <c r="AC138" s="115"/>
      <c r="AD138" s="115"/>
      <c r="AE138" s="115"/>
      <c r="AF138" s="115"/>
      <c r="AG138" s="115"/>
      <c r="AH138" s="115"/>
      <c r="AI138" s="115"/>
      <c r="AJ138" s="115"/>
      <c r="AK138" s="115"/>
      <c r="AL138" s="115"/>
      <c r="AM138" s="115"/>
      <c r="AN138" s="115"/>
      <c r="AO138" s="115"/>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row>
    <row r="139" spans="2:71" ht="18.75">
      <c r="B139" s="1027"/>
      <c r="C139" s="1027"/>
      <c r="D139" s="1027"/>
      <c r="E139" s="1027"/>
      <c r="F139" s="1027"/>
      <c r="G139" s="1027"/>
      <c r="H139" s="1027"/>
      <c r="I139" s="1206"/>
      <c r="J139" s="1206"/>
      <c r="K139" s="1206"/>
      <c r="L139" s="1206"/>
      <c r="M139" s="1206"/>
      <c r="N139" s="1206"/>
      <c r="O139" s="1206"/>
      <c r="P139" s="1206"/>
      <c r="Y139" s="115"/>
      <c r="Z139" s="115"/>
      <c r="AA139" s="115"/>
      <c r="AB139" s="115"/>
      <c r="AC139" s="115"/>
      <c r="AD139" s="115"/>
      <c r="AE139" s="115"/>
      <c r="AF139" s="115"/>
      <c r="AG139" s="115"/>
      <c r="AH139" s="115"/>
      <c r="AI139" s="115"/>
      <c r="AJ139" s="115"/>
      <c r="AK139" s="115"/>
      <c r="AL139" s="115"/>
      <c r="AM139" s="115"/>
      <c r="AN139" s="115"/>
      <c r="AO139" s="115"/>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row>
    <row r="140" spans="2:71" ht="18.75">
      <c r="B140" s="1206"/>
      <c r="C140" s="1203" t="s">
        <v>4997</v>
      </c>
      <c r="D140" s="1203" t="s">
        <v>4971</v>
      </c>
      <c r="E140" s="1203" t="s">
        <v>1051</v>
      </c>
      <c r="F140" s="1206"/>
      <c r="G140" s="1206"/>
      <c r="H140" s="1206"/>
      <c r="I140" s="1206"/>
      <c r="J140" s="1206"/>
      <c r="K140" s="1206"/>
      <c r="L140" s="1206"/>
      <c r="M140" s="1206"/>
      <c r="N140" s="1206"/>
      <c r="O140" s="1206"/>
      <c r="P140" s="1206"/>
      <c r="Y140" s="115"/>
      <c r="Z140" s="115"/>
      <c r="AA140" s="115"/>
      <c r="AB140" s="115"/>
      <c r="AC140" s="115"/>
      <c r="AD140" s="115"/>
      <c r="AE140" s="115"/>
      <c r="AF140" s="115"/>
      <c r="AG140" s="115"/>
      <c r="AH140" s="115"/>
      <c r="AI140" s="115"/>
      <c r="AJ140" s="115"/>
      <c r="AK140" s="115"/>
      <c r="AL140" s="115"/>
      <c r="AM140" s="115"/>
      <c r="AN140" s="115"/>
      <c r="AO140" s="115"/>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row>
    <row r="141" spans="2:71" ht="18.75">
      <c r="B141" s="1027"/>
      <c r="C141" s="1757">
        <v>8</v>
      </c>
      <c r="D141" s="1760">
        <f>SUM(C129:C136)</f>
        <v>0</v>
      </c>
      <c r="E141" s="1757"/>
      <c r="F141" s="1027"/>
      <c r="G141" s="1027"/>
      <c r="H141" s="1027"/>
      <c r="I141" s="1206"/>
      <c r="J141" s="1206"/>
      <c r="K141" s="1206"/>
      <c r="L141" s="1206"/>
      <c r="M141" s="1206"/>
      <c r="N141" s="1206"/>
      <c r="O141" s="1206"/>
      <c r="P141" s="1206"/>
      <c r="Y141" s="115"/>
      <c r="Z141" s="115"/>
      <c r="AA141" s="115"/>
      <c r="AB141" s="115"/>
      <c r="AC141" s="115"/>
      <c r="AD141" s="115"/>
      <c r="AE141" s="115"/>
      <c r="AF141" s="115"/>
      <c r="AG141" s="115"/>
      <c r="AH141" s="115"/>
      <c r="AI141" s="115"/>
      <c r="AJ141" s="115"/>
      <c r="AK141" s="115"/>
      <c r="AL141" s="115"/>
      <c r="AM141" s="115"/>
      <c r="AN141" s="115"/>
      <c r="AO141" s="115"/>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row>
    <row r="142" spans="2:71">
      <c r="B142" s="1027"/>
      <c r="C142" s="1027"/>
      <c r="D142" s="1027"/>
      <c r="E142" s="1027"/>
      <c r="F142" s="1027"/>
      <c r="G142" s="1027"/>
      <c r="H142" s="1027"/>
      <c r="I142" s="1027"/>
      <c r="J142" s="1027"/>
      <c r="K142" s="1027"/>
      <c r="L142" s="1027"/>
      <c r="M142" s="1027"/>
      <c r="N142" s="1027"/>
      <c r="O142" s="1027"/>
      <c r="P142" s="1027"/>
      <c r="Y142" s="115"/>
      <c r="Z142" s="115"/>
      <c r="AA142" s="115"/>
      <c r="AB142" s="115"/>
      <c r="AC142" s="115"/>
      <c r="AD142" s="115"/>
      <c r="AE142" s="115"/>
      <c r="AF142" s="115"/>
      <c r="AG142" s="115"/>
      <c r="AH142" s="115"/>
      <c r="AI142" s="115"/>
      <c r="AJ142" s="115"/>
      <c r="AK142" s="115"/>
      <c r="AL142" s="115"/>
      <c r="AM142" s="115"/>
      <c r="AN142" s="115"/>
      <c r="AO142" s="115"/>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row>
    <row r="143" spans="2:71" ht="18.75">
      <c r="B143" s="2263" t="s">
        <v>1055</v>
      </c>
      <c r="C143" s="2263"/>
      <c r="D143" s="8"/>
      <c r="E143" s="8"/>
      <c r="F143" s="8"/>
      <c r="G143" s="8"/>
      <c r="H143" s="8"/>
      <c r="I143" s="2263" t="s">
        <v>3638</v>
      </c>
      <c r="J143" s="2263"/>
      <c r="K143" s="17"/>
      <c r="L143" s="17"/>
      <c r="M143" s="17"/>
      <c r="N143" s="17"/>
      <c r="O143" s="17"/>
      <c r="P143" s="17"/>
      <c r="Y143" s="115"/>
      <c r="Z143" s="115"/>
      <c r="AA143" s="115"/>
      <c r="AB143" s="115"/>
      <c r="AC143" s="115"/>
      <c r="AD143" s="115"/>
      <c r="AE143" s="115"/>
      <c r="AF143" s="115"/>
      <c r="AG143" s="115"/>
      <c r="AH143" s="115"/>
      <c r="AI143" s="115"/>
      <c r="AJ143" s="115"/>
      <c r="AK143" s="115"/>
      <c r="AL143" s="115"/>
      <c r="AM143" s="115"/>
      <c r="AN143" s="115"/>
      <c r="AO143" s="115"/>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row>
    <row r="144" spans="2:71">
      <c r="B144" s="1030" t="s">
        <v>4117</v>
      </c>
      <c r="C144" s="1027"/>
      <c r="D144" s="1027"/>
      <c r="E144" s="1027"/>
      <c r="F144" s="1027"/>
      <c r="G144" s="1027"/>
      <c r="H144" s="1027"/>
      <c r="I144" s="1032" t="s">
        <v>4697</v>
      </c>
      <c r="J144" s="1030"/>
      <c r="K144" s="1030"/>
      <c r="L144" s="1030"/>
      <c r="M144" s="1030"/>
      <c r="N144" s="1030"/>
      <c r="O144" s="1030"/>
      <c r="P144" s="1030"/>
      <c r="Y144" s="417"/>
      <c r="Z144" s="115"/>
      <c r="AA144" s="115"/>
      <c r="AB144" s="115"/>
      <c r="AC144" s="115"/>
      <c r="AD144" s="115"/>
      <c r="AE144" s="115"/>
      <c r="AF144" s="115"/>
      <c r="AG144" s="115"/>
      <c r="AH144" s="115"/>
      <c r="AI144" s="115"/>
      <c r="AJ144" s="115"/>
      <c r="AK144" s="115"/>
      <c r="AL144" s="115"/>
      <c r="AM144" s="115"/>
      <c r="AN144" s="115"/>
      <c r="AO144" s="115"/>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row>
    <row r="145" spans="2:71" ht="15.75">
      <c r="B145" s="1039"/>
      <c r="C145" s="2022"/>
      <c r="D145" s="2022"/>
      <c r="E145" s="2022"/>
      <c r="F145" s="2022"/>
      <c r="G145" s="2022"/>
      <c r="H145" s="1027"/>
      <c r="I145" s="2022"/>
      <c r="J145" s="2022"/>
      <c r="K145" s="2022"/>
      <c r="L145" s="2022"/>
      <c r="M145" s="2022"/>
      <c r="N145" s="2022"/>
      <c r="O145" s="2022"/>
      <c r="P145" s="1030"/>
      <c r="Q145" s="981"/>
      <c r="Y145" s="417"/>
      <c r="Z145" s="115"/>
      <c r="AA145" s="115"/>
      <c r="AB145" s="115"/>
      <c r="AC145" s="115"/>
      <c r="AD145" s="115"/>
      <c r="AE145" s="115"/>
      <c r="AF145" s="115"/>
      <c r="AG145" s="115"/>
      <c r="AH145" s="115"/>
      <c r="AI145" s="115"/>
      <c r="AJ145" s="115"/>
      <c r="AK145" s="115"/>
      <c r="AL145" s="115"/>
      <c r="AM145" s="115"/>
      <c r="AN145" s="115"/>
      <c r="AO145" s="115"/>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row>
    <row r="146" spans="2:71" ht="15.75">
      <c r="B146" s="1039"/>
      <c r="C146" s="2022"/>
      <c r="D146" s="2022"/>
      <c r="E146" s="2022"/>
      <c r="F146" s="2022"/>
      <c r="G146" s="2022"/>
      <c r="H146" s="1027"/>
      <c r="I146" s="2022"/>
      <c r="J146" s="2022"/>
      <c r="K146" s="2022"/>
      <c r="L146" s="2022"/>
      <c r="M146" s="2022"/>
      <c r="N146" s="2022"/>
      <c r="O146" s="2022"/>
      <c r="P146" s="1030"/>
      <c r="Q146" s="981"/>
      <c r="Y146" s="115"/>
      <c r="Z146" s="115"/>
      <c r="AA146" s="115"/>
      <c r="AB146" s="115"/>
      <c r="AC146" s="115"/>
      <c r="AD146" s="115"/>
      <c r="AE146" s="115"/>
      <c r="AF146" s="115"/>
      <c r="AG146" s="115"/>
      <c r="AH146" s="115"/>
      <c r="AI146" s="115"/>
      <c r="AJ146" s="115"/>
      <c r="AK146" s="115"/>
      <c r="AL146" s="115"/>
      <c r="AM146" s="115"/>
      <c r="AN146" s="115"/>
      <c r="AO146" s="115"/>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row>
    <row r="147" spans="2:71" ht="15.75">
      <c r="B147" s="1039"/>
      <c r="C147" s="2022"/>
      <c r="D147" s="2022"/>
      <c r="E147" s="2022"/>
      <c r="F147" s="2022"/>
      <c r="G147" s="2022"/>
      <c r="H147" s="1027"/>
      <c r="I147" s="2022"/>
      <c r="J147" s="2022"/>
      <c r="K147" s="2022"/>
      <c r="L147" s="2022"/>
      <c r="M147" s="2022"/>
      <c r="N147" s="2022"/>
      <c r="O147" s="2022"/>
      <c r="P147" s="1030"/>
      <c r="Q147" s="981"/>
      <c r="Y147" s="417"/>
      <c r="Z147" s="115"/>
      <c r="AA147" s="115"/>
      <c r="AB147" s="115"/>
      <c r="AC147" s="115"/>
      <c r="AD147" s="115"/>
      <c r="AE147" s="115"/>
      <c r="AF147" s="115"/>
      <c r="AG147" s="115"/>
      <c r="AH147" s="115"/>
      <c r="AI147" s="115"/>
      <c r="AJ147" s="115"/>
      <c r="AK147" s="115"/>
      <c r="AL147" s="115"/>
      <c r="AM147" s="115"/>
      <c r="AN147" s="115"/>
      <c r="AO147" s="115"/>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row>
    <row r="148" spans="2:71" ht="15.75">
      <c r="B148" s="1039"/>
      <c r="C148" s="2022"/>
      <c r="D148" s="2022"/>
      <c r="E148" s="2022"/>
      <c r="F148" s="2022"/>
      <c r="G148" s="2022"/>
      <c r="H148" s="1027"/>
      <c r="I148" s="2022"/>
      <c r="J148" s="2022"/>
      <c r="K148" s="2022"/>
      <c r="L148" s="2022"/>
      <c r="M148" s="2022"/>
      <c r="N148" s="2022"/>
      <c r="O148" s="2022"/>
      <c r="P148" s="1030"/>
      <c r="Q148" s="981"/>
      <c r="Y148" s="417"/>
      <c r="Z148" s="115"/>
      <c r="AA148" s="115"/>
      <c r="AB148" s="115"/>
      <c r="AC148" s="115"/>
      <c r="AD148" s="115"/>
      <c r="AE148" s="115"/>
      <c r="AF148" s="115"/>
      <c r="AG148" s="115"/>
      <c r="AH148" s="115"/>
      <c r="AI148" s="115"/>
      <c r="AJ148" s="115"/>
      <c r="AK148" s="115"/>
      <c r="AL148" s="115"/>
      <c r="AM148" s="115"/>
      <c r="AN148" s="115"/>
      <c r="AO148" s="115"/>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row>
    <row r="149" spans="2:71" ht="15.75">
      <c r="B149" s="1039"/>
      <c r="C149" s="2022"/>
      <c r="D149" s="2022"/>
      <c r="E149" s="2022"/>
      <c r="F149" s="2022"/>
      <c r="G149" s="2022"/>
      <c r="H149" s="1027"/>
      <c r="I149" s="2022"/>
      <c r="J149" s="2022"/>
      <c r="K149" s="2022"/>
      <c r="L149" s="2022"/>
      <c r="M149" s="2022"/>
      <c r="N149" s="2022"/>
      <c r="O149" s="2022"/>
      <c r="P149" s="1030"/>
      <c r="Q149" s="981"/>
      <c r="Y149" s="417"/>
      <c r="Z149" s="115"/>
      <c r="AA149" s="115"/>
      <c r="AB149" s="115"/>
      <c r="AC149" s="115"/>
      <c r="AD149" s="115"/>
      <c r="AE149" s="115"/>
      <c r="AF149" s="115"/>
      <c r="AG149" s="115"/>
      <c r="AH149" s="115"/>
      <c r="AI149" s="115"/>
      <c r="AJ149" s="115"/>
      <c r="AK149" s="115"/>
      <c r="AL149" s="115"/>
      <c r="AM149" s="115"/>
      <c r="AN149" s="115"/>
      <c r="AO149" s="115"/>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row>
    <row r="150" spans="2:71" ht="15.75">
      <c r="B150" s="1039"/>
      <c r="C150" s="2022"/>
      <c r="D150" s="2022"/>
      <c r="E150" s="2022"/>
      <c r="F150" s="2022"/>
      <c r="G150" s="2022"/>
      <c r="H150" s="1027"/>
      <c r="I150" s="2022"/>
      <c r="J150" s="2022"/>
      <c r="K150" s="2022"/>
      <c r="L150" s="2022"/>
      <c r="M150" s="2022"/>
      <c r="N150" s="2022"/>
      <c r="O150" s="2022"/>
      <c r="P150" s="1030"/>
      <c r="Q150" s="981"/>
      <c r="Y150" s="417"/>
      <c r="Z150" s="115"/>
      <c r="AA150" s="115"/>
      <c r="AB150" s="115"/>
      <c r="AC150" s="115"/>
      <c r="AD150" s="115"/>
      <c r="AE150" s="115"/>
      <c r="AF150" s="115"/>
      <c r="AG150" s="115"/>
      <c r="AH150" s="115"/>
      <c r="AI150" s="115"/>
      <c r="AJ150" s="115"/>
      <c r="AK150" s="115"/>
      <c r="AL150" s="115"/>
      <c r="AM150" s="115"/>
      <c r="AN150" s="115"/>
      <c r="AO150" s="115"/>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row>
    <row r="151" spans="2:71" ht="15.75">
      <c r="B151" s="1039"/>
      <c r="C151" s="2022"/>
      <c r="D151" s="2022"/>
      <c r="E151" s="2022"/>
      <c r="F151" s="2022"/>
      <c r="G151" s="2022"/>
      <c r="H151" s="1027"/>
      <c r="I151" s="2022"/>
      <c r="J151" s="2022"/>
      <c r="K151" s="2022"/>
      <c r="L151" s="2022"/>
      <c r="M151" s="2022"/>
      <c r="N151" s="2022"/>
      <c r="O151" s="2022"/>
      <c r="P151" s="1030"/>
      <c r="Q151" s="981"/>
      <c r="Y151" s="115"/>
      <c r="Z151" s="115"/>
      <c r="AA151" s="115"/>
      <c r="AB151" s="115"/>
      <c r="AC151" s="115"/>
      <c r="AD151" s="115"/>
      <c r="AE151" s="115"/>
      <c r="AF151" s="115"/>
      <c r="AG151" s="115"/>
      <c r="AH151" s="115"/>
      <c r="AI151" s="115"/>
      <c r="AJ151" s="115"/>
      <c r="AK151" s="115"/>
      <c r="AL151" s="115"/>
      <c r="AM151" s="115"/>
      <c r="AN151" s="115"/>
      <c r="AO151" s="115"/>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row>
    <row r="152" spans="2:71" ht="15.75">
      <c r="B152" s="1039"/>
      <c r="C152" s="2022"/>
      <c r="D152" s="2022"/>
      <c r="E152" s="2022"/>
      <c r="F152" s="2022"/>
      <c r="G152" s="2022"/>
      <c r="H152" s="1027"/>
      <c r="I152" s="2022"/>
      <c r="J152" s="2022"/>
      <c r="K152" s="2022"/>
      <c r="L152" s="2022"/>
      <c r="M152" s="2022"/>
      <c r="N152" s="2022"/>
      <c r="O152" s="2022"/>
      <c r="P152" s="1030"/>
      <c r="Q152" s="981"/>
      <c r="Y152" s="115"/>
      <c r="Z152" s="115"/>
      <c r="AA152" s="115"/>
      <c r="AB152" s="115"/>
      <c r="AC152" s="115"/>
      <c r="AD152" s="115"/>
      <c r="AE152" s="115"/>
      <c r="AF152" s="115"/>
      <c r="AG152" s="115"/>
      <c r="AH152" s="115"/>
      <c r="AI152" s="115"/>
      <c r="AJ152" s="115"/>
      <c r="AK152" s="115"/>
      <c r="AL152" s="115"/>
      <c r="AM152" s="115"/>
      <c r="AN152" s="115"/>
      <c r="AO152" s="115"/>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row>
    <row r="153" spans="2:71">
      <c r="B153" s="1027"/>
      <c r="C153" s="2022"/>
      <c r="D153" s="2022"/>
      <c r="E153" s="2022"/>
      <c r="F153" s="2022"/>
      <c r="G153" s="2022"/>
      <c r="H153" s="1027"/>
      <c r="I153" s="2022"/>
      <c r="J153" s="2022"/>
      <c r="K153" s="2022"/>
      <c r="L153" s="2022"/>
      <c r="M153" s="2022"/>
      <c r="N153" s="2022"/>
      <c r="O153" s="2022"/>
      <c r="P153" s="1030"/>
      <c r="Y153" s="115"/>
      <c r="Z153" s="115"/>
      <c r="AA153" s="115"/>
      <c r="AB153" s="115"/>
      <c r="AC153" s="115"/>
      <c r="AD153" s="115"/>
      <c r="AE153" s="115"/>
      <c r="AF153" s="115"/>
      <c r="AG153" s="115"/>
      <c r="AH153" s="115"/>
      <c r="AI153" s="115"/>
      <c r="AJ153" s="115"/>
      <c r="AK153" s="115"/>
      <c r="AL153" s="115"/>
      <c r="AM153" s="115"/>
      <c r="AN153" s="115"/>
      <c r="AO153" s="115"/>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row>
    <row r="154" spans="2:71">
      <c r="B154" s="1027"/>
      <c r="C154" s="1030"/>
      <c r="D154" s="1030"/>
      <c r="E154" s="1030"/>
      <c r="F154" s="1030"/>
      <c r="G154" s="1030"/>
      <c r="H154" s="1027"/>
      <c r="I154" s="1756" t="s">
        <v>1058</v>
      </c>
      <c r="J154" s="1030"/>
      <c r="K154" s="1030"/>
      <c r="L154" s="1030"/>
      <c r="M154" s="1030"/>
      <c r="N154" s="1030"/>
      <c r="O154" s="1030"/>
      <c r="P154" s="1030"/>
      <c r="Y154" s="115"/>
      <c r="Z154" s="115"/>
      <c r="AA154" s="115"/>
      <c r="AB154" s="115"/>
      <c r="AC154" s="115"/>
      <c r="AD154" s="115"/>
      <c r="AE154" s="115"/>
      <c r="AF154" s="115"/>
      <c r="AG154" s="115"/>
      <c r="AH154" s="115"/>
      <c r="AI154" s="115"/>
      <c r="AJ154" s="115"/>
      <c r="AK154" s="115"/>
      <c r="AL154" s="115"/>
      <c r="AM154" s="115"/>
      <c r="AN154" s="115"/>
      <c r="AO154" s="115"/>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row>
    <row r="155" spans="2:71">
      <c r="B155" s="1027"/>
      <c r="C155" s="1030"/>
      <c r="D155" s="1030"/>
      <c r="E155" s="1030"/>
      <c r="F155" s="1030"/>
      <c r="G155" s="1030"/>
      <c r="H155" s="1027"/>
      <c r="I155" s="2470"/>
      <c r="J155" s="2470"/>
      <c r="K155" s="2470"/>
      <c r="L155" s="2470"/>
      <c r="M155" s="2470"/>
      <c r="N155" s="2470"/>
      <c r="O155" s="2470"/>
      <c r="P155" s="1030"/>
      <c r="Y155" s="97"/>
      <c r="Z155" s="97"/>
      <c r="AA155" s="97"/>
      <c r="AB155" s="97"/>
      <c r="AC155" s="97"/>
      <c r="AD155" s="97"/>
      <c r="AE155" s="9"/>
      <c r="AF155" s="9"/>
      <c r="AG155" s="9"/>
      <c r="AH155" s="9"/>
      <c r="AI155" s="9"/>
      <c r="AJ155" s="9"/>
      <c r="AK155" s="9"/>
      <c r="AL155" s="9"/>
      <c r="AM155" s="9"/>
      <c r="AN155" s="9"/>
      <c r="AO155" s="9"/>
      <c r="AP155" s="9"/>
      <c r="AQ155" s="9"/>
      <c r="AR155" s="9"/>
      <c r="AS155" s="9"/>
      <c r="AT155" s="9"/>
      <c r="AU155" s="9"/>
      <c r="AV155" s="9"/>
      <c r="AW155" s="9"/>
      <c r="AX155" s="9"/>
      <c r="AY155" s="9"/>
      <c r="AZ155" s="9"/>
    </row>
    <row r="156" spans="2:71" s="861" customFormat="1" ht="21">
      <c r="B156" s="852" t="s">
        <v>5057</v>
      </c>
      <c r="C156" s="852"/>
      <c r="D156" s="852"/>
      <c r="E156" s="852"/>
      <c r="F156" s="852"/>
      <c r="G156" s="852"/>
      <c r="H156" s="852"/>
      <c r="Q156" s="872"/>
      <c r="R156" s="1771"/>
      <c r="S156" s="870"/>
      <c r="T156" s="870"/>
      <c r="U156" s="870"/>
      <c r="V156" s="872"/>
      <c r="W156" s="872"/>
      <c r="X156" s="872"/>
      <c r="Y156" s="961"/>
      <c r="Z156" s="961"/>
      <c r="AA156" s="961"/>
      <c r="AB156" s="961"/>
      <c r="AC156" s="961"/>
      <c r="AD156" s="961"/>
      <c r="AE156" s="870"/>
      <c r="AF156" s="870"/>
      <c r="AG156" s="870"/>
      <c r="AH156" s="870"/>
      <c r="AI156" s="870"/>
      <c r="AJ156" s="870"/>
      <c r="AK156" s="870"/>
      <c r="AL156" s="870"/>
      <c r="AM156" s="870"/>
      <c r="AN156" s="870"/>
      <c r="AO156" s="870"/>
      <c r="AP156" s="870"/>
      <c r="AQ156" s="870"/>
      <c r="AR156" s="870"/>
      <c r="AS156" s="870"/>
      <c r="AT156" s="870"/>
      <c r="AU156" s="870"/>
      <c r="AV156" s="870"/>
      <c r="AW156" s="870"/>
      <c r="AX156" s="870"/>
      <c r="AY156" s="870"/>
      <c r="AZ156" s="870"/>
    </row>
    <row r="157" spans="2:71">
      <c r="B157" s="1027"/>
      <c r="C157" s="1027"/>
      <c r="D157" s="1027"/>
      <c r="E157" s="1027"/>
      <c r="F157" s="1027"/>
      <c r="G157" s="1027"/>
      <c r="H157" s="1027"/>
      <c r="I157" s="1027"/>
      <c r="J157" s="1027"/>
      <c r="K157" s="1027"/>
      <c r="L157" s="1027"/>
      <c r="M157" s="1027"/>
      <c r="N157" s="1027"/>
      <c r="O157" s="1027"/>
      <c r="P157" s="1027"/>
      <c r="R157" s="1772" t="s">
        <v>5057</v>
      </c>
      <c r="Y157" s="115"/>
      <c r="Z157" s="115"/>
      <c r="AA157" s="97"/>
      <c r="AB157" s="97"/>
      <c r="AC157" s="97"/>
      <c r="AD157" s="97"/>
      <c r="AE157" s="97"/>
      <c r="AF157" s="97"/>
      <c r="AG157" s="97"/>
      <c r="AH157" s="97"/>
      <c r="AI157" s="115"/>
      <c r="AJ157" s="115"/>
      <c r="AK157" s="115"/>
      <c r="AL157" s="115"/>
      <c r="AM157" s="115"/>
      <c r="AN157" s="115"/>
      <c r="AO157" s="115"/>
      <c r="AP157" s="9"/>
      <c r="AQ157" s="9"/>
      <c r="AR157" s="9"/>
      <c r="AS157" s="9"/>
      <c r="AT157" s="9"/>
      <c r="AU157" s="9"/>
      <c r="AV157" s="9"/>
      <c r="AW157" s="9"/>
      <c r="AX157" s="9"/>
      <c r="AY157" s="9"/>
      <c r="AZ157" s="9"/>
    </row>
    <row r="158" spans="2:71">
      <c r="B158" s="1756" t="s">
        <v>5058</v>
      </c>
      <c r="C158" s="1027"/>
      <c r="D158" s="1027"/>
      <c r="E158" s="1027"/>
      <c r="F158" s="792"/>
      <c r="G158" s="1027"/>
      <c r="H158" s="1027"/>
      <c r="I158" s="1027"/>
      <c r="J158" s="1027"/>
      <c r="K158" s="1027"/>
      <c r="L158" s="1027"/>
      <c r="M158" s="1027"/>
      <c r="N158" s="1027"/>
      <c r="O158" s="1027"/>
      <c r="P158" s="1027"/>
      <c r="R158" s="581" t="s">
        <v>5059</v>
      </c>
      <c r="S158" s="1326" t="b">
        <f>IF(F158="Yes",TRUE,FALSE)</f>
        <v>0</v>
      </c>
      <c r="Y158" s="115"/>
      <c r="Z158" s="115"/>
      <c r="AA158" s="97"/>
      <c r="AB158" s="97"/>
      <c r="AC158" s="97"/>
      <c r="AD158" s="97"/>
      <c r="AE158" s="97"/>
      <c r="AF158" s="97"/>
      <c r="AG158" s="97"/>
      <c r="AH158" s="97"/>
      <c r="AI158" s="115"/>
      <c r="AJ158" s="115"/>
      <c r="AK158" s="115"/>
      <c r="AL158" s="115"/>
      <c r="AM158" s="115"/>
      <c r="AN158" s="115"/>
      <c r="AO158" s="115"/>
      <c r="AP158" s="9"/>
      <c r="AQ158" s="9"/>
      <c r="AR158" s="9"/>
      <c r="AS158" s="9"/>
      <c r="AT158" s="9"/>
      <c r="AU158" s="9"/>
      <c r="AV158" s="9"/>
      <c r="AW158" s="9"/>
      <c r="AX158" s="9"/>
      <c r="AY158" s="9"/>
      <c r="AZ158" s="9"/>
    </row>
    <row r="159" spans="2:71" s="64" customFormat="1">
      <c r="B159" s="1714"/>
      <c r="C159" s="1714"/>
      <c r="D159" s="1714"/>
      <c r="E159" s="1714"/>
      <c r="F159" s="1714"/>
      <c r="G159" s="1714"/>
      <c r="H159" s="1714"/>
      <c r="I159" s="1714"/>
      <c r="J159" s="1714"/>
      <c r="K159" s="1714"/>
      <c r="L159" s="1714"/>
      <c r="M159" s="1714"/>
      <c r="N159" s="1714"/>
      <c r="O159" s="1714"/>
      <c r="P159" s="1714"/>
      <c r="Q159" s="372"/>
      <c r="R159" s="1773"/>
      <c r="S159" s="83"/>
      <c r="T159" s="9"/>
      <c r="U159" s="9"/>
      <c r="V159" s="115"/>
      <c r="W159" s="115"/>
      <c r="X159" s="115"/>
      <c r="Y159" s="115"/>
      <c r="Z159" s="115"/>
      <c r="AA159" s="97"/>
      <c r="AB159" s="97"/>
      <c r="AC159" s="97"/>
      <c r="AD159" s="97"/>
      <c r="AE159" s="97"/>
      <c r="AF159" s="97"/>
      <c r="AG159" s="97"/>
      <c r="AH159" s="97"/>
      <c r="AI159" s="115"/>
      <c r="AJ159" s="115"/>
      <c r="AK159" s="115"/>
      <c r="AL159" s="115"/>
      <c r="AM159" s="115"/>
      <c r="AN159" s="115"/>
      <c r="AO159" s="115"/>
      <c r="AP159" s="9"/>
      <c r="AQ159" s="9"/>
      <c r="AR159" s="9"/>
      <c r="AS159" s="9"/>
      <c r="AT159" s="9"/>
      <c r="AU159" s="9"/>
      <c r="AV159" s="9"/>
      <c r="AW159" s="9"/>
      <c r="AX159" s="9"/>
      <c r="AY159" s="9"/>
      <c r="AZ159" s="9"/>
      <c r="BA159" s="1477"/>
      <c r="BB159" s="1477"/>
      <c r="BC159" s="1477"/>
      <c r="BD159" s="1477"/>
      <c r="BE159" s="1477"/>
      <c r="BF159" s="1477"/>
      <c r="BG159" s="1477"/>
      <c r="BH159" s="1477"/>
      <c r="BI159" s="1477"/>
      <c r="BJ159" s="1477"/>
      <c r="BK159" s="1477"/>
      <c r="BL159" s="1477"/>
      <c r="BM159" s="1477"/>
      <c r="BN159" s="1477"/>
      <c r="BO159" s="1477"/>
      <c r="BP159" s="1477"/>
      <c r="BQ159" s="1477"/>
      <c r="BR159" s="1477"/>
      <c r="BS159" s="1477"/>
    </row>
    <row r="160" spans="2:71" s="64" customFormat="1">
      <c r="B160" s="1742" t="s">
        <v>4001</v>
      </c>
      <c r="C160" s="1714"/>
      <c r="D160" s="1714"/>
      <c r="E160" s="1714"/>
      <c r="F160" s="1714"/>
      <c r="G160" s="1714"/>
      <c r="H160" s="1714"/>
      <c r="I160" s="1714"/>
      <c r="J160" s="1714"/>
      <c r="K160" s="1714"/>
      <c r="L160" s="1714"/>
      <c r="M160" s="1714"/>
      <c r="N160" s="1714"/>
      <c r="O160" s="1714"/>
      <c r="P160" s="1714"/>
      <c r="Q160" s="372"/>
      <c r="R160" s="1773"/>
      <c r="S160" s="83"/>
      <c r="T160" s="9"/>
      <c r="U160" s="9"/>
      <c r="V160" s="115"/>
      <c r="W160" s="115"/>
      <c r="X160" s="115"/>
      <c r="Y160" s="115"/>
      <c r="Z160" s="115"/>
      <c r="AA160" s="97"/>
      <c r="AB160" s="97"/>
      <c r="AC160" s="97"/>
      <c r="AD160" s="97"/>
      <c r="AE160" s="97"/>
      <c r="AF160" s="97"/>
      <c r="AG160" s="97"/>
      <c r="AH160" s="97"/>
      <c r="AI160" s="115"/>
      <c r="AJ160" s="115"/>
      <c r="AK160" s="115"/>
      <c r="AL160" s="115"/>
      <c r="AM160" s="115"/>
      <c r="AN160" s="115"/>
      <c r="AO160" s="115"/>
      <c r="AP160" s="9"/>
      <c r="AQ160" s="9"/>
      <c r="AR160" s="9"/>
      <c r="AS160" s="9"/>
      <c r="AT160" s="9"/>
      <c r="AU160" s="9"/>
      <c r="AV160" s="9"/>
      <c r="AW160" s="9"/>
      <c r="AX160" s="9"/>
      <c r="AY160" s="9"/>
      <c r="AZ160" s="9"/>
      <c r="BA160" s="1477"/>
      <c r="BB160" s="1477"/>
      <c r="BC160" s="1477"/>
      <c r="BD160" s="1477"/>
      <c r="BE160" s="1477"/>
      <c r="BF160" s="1477"/>
      <c r="BG160" s="1477"/>
      <c r="BH160" s="1477"/>
      <c r="BI160" s="1477"/>
      <c r="BJ160" s="1477"/>
      <c r="BK160" s="1477"/>
      <c r="BL160" s="1477"/>
      <c r="BM160" s="1477"/>
      <c r="BN160" s="1477"/>
      <c r="BO160" s="1477"/>
      <c r="BP160" s="1477"/>
      <c r="BQ160" s="1477"/>
      <c r="BR160" s="1477"/>
      <c r="BS160" s="1477"/>
    </row>
    <row r="161" spans="2:52" s="64" customFormat="1">
      <c r="B161" s="2491" t="s">
        <v>5060</v>
      </c>
      <c r="C161" s="2491"/>
      <c r="D161" s="2491"/>
      <c r="E161" s="2491"/>
      <c r="F161" s="2491"/>
      <c r="G161" s="2491"/>
      <c r="H161" s="2491"/>
      <c r="I161" s="2491"/>
      <c r="J161" s="2491"/>
      <c r="K161" s="2491"/>
      <c r="L161" s="2491"/>
      <c r="M161" s="2491"/>
      <c r="N161" s="2491"/>
      <c r="O161" s="2491"/>
      <c r="P161" s="1714"/>
      <c r="Q161" s="372"/>
      <c r="R161" s="581"/>
      <c r="S161" s="918"/>
      <c r="T161" s="9"/>
      <c r="U161" s="9"/>
      <c r="V161" s="115"/>
      <c r="W161" s="115"/>
      <c r="X161" s="115"/>
      <c r="Y161" s="115"/>
      <c r="Z161" s="115"/>
      <c r="AA161" s="97"/>
      <c r="AB161" s="97"/>
      <c r="AC161" s="97"/>
      <c r="AD161" s="97"/>
      <c r="AE161" s="97"/>
      <c r="AF161" s="97"/>
      <c r="AG161" s="97"/>
      <c r="AH161" s="97"/>
      <c r="AI161" s="115"/>
      <c r="AJ161" s="115"/>
      <c r="AK161" s="115"/>
      <c r="AL161" s="115"/>
      <c r="AM161" s="115"/>
      <c r="AN161" s="115"/>
      <c r="AO161" s="115"/>
      <c r="AP161" s="9"/>
      <c r="AQ161" s="9"/>
      <c r="AR161" s="9"/>
      <c r="AS161" s="9"/>
      <c r="AT161" s="9"/>
      <c r="AU161" s="9"/>
      <c r="AV161" s="9"/>
      <c r="AW161" s="9"/>
      <c r="AX161" s="9"/>
      <c r="AY161" s="9"/>
      <c r="AZ161" s="9"/>
    </row>
    <row r="162" spans="2:52" s="64" customFormat="1">
      <c r="B162" s="1714"/>
      <c r="C162" s="1714"/>
      <c r="D162" s="1714"/>
      <c r="E162" s="1714"/>
      <c r="F162" s="1714"/>
      <c r="G162" s="1714"/>
      <c r="H162" s="1714"/>
      <c r="I162" s="1714"/>
      <c r="J162" s="1714"/>
      <c r="K162" s="1714"/>
      <c r="L162" s="1714"/>
      <c r="M162" s="1714"/>
      <c r="N162" s="1714"/>
      <c r="O162" s="1714"/>
      <c r="P162" s="1714"/>
      <c r="Q162" s="372"/>
      <c r="R162" s="581"/>
      <c r="S162" s="9"/>
      <c r="T162" s="9"/>
      <c r="U162" s="9"/>
      <c r="V162" s="115"/>
      <c r="W162" s="115"/>
      <c r="X162" s="115"/>
      <c r="Y162" s="115"/>
      <c r="Z162" s="115"/>
      <c r="AA162" s="97"/>
      <c r="AB162" s="97"/>
      <c r="AC162" s="97"/>
      <c r="AD162" s="97"/>
      <c r="AE162" s="97"/>
      <c r="AF162" s="97"/>
      <c r="AG162" s="97"/>
      <c r="AH162" s="97"/>
      <c r="AI162" s="115"/>
      <c r="AJ162" s="115"/>
      <c r="AK162" s="115"/>
      <c r="AL162" s="115"/>
      <c r="AM162" s="115"/>
      <c r="AN162" s="115"/>
      <c r="AO162" s="115"/>
      <c r="AP162" s="9"/>
      <c r="AQ162" s="9"/>
      <c r="AR162" s="9"/>
      <c r="AS162" s="9"/>
      <c r="AT162" s="9"/>
      <c r="AU162" s="9"/>
      <c r="AV162" s="9"/>
      <c r="AW162" s="9"/>
      <c r="AX162" s="9"/>
      <c r="AY162" s="9"/>
      <c r="AZ162" s="9"/>
    </row>
    <row r="163" spans="2:52" s="64" customFormat="1">
      <c r="B163" s="2469" t="s">
        <v>5061</v>
      </c>
      <c r="C163" s="2469"/>
      <c r="D163" s="2469"/>
      <c r="E163" s="2469"/>
      <c r="F163" s="2469"/>
      <c r="G163" s="2469"/>
      <c r="H163" s="2469"/>
      <c r="I163" s="2469"/>
      <c r="J163" s="2469"/>
      <c r="K163" s="2469"/>
      <c r="L163" s="2469"/>
      <c r="M163" s="2469"/>
      <c r="N163" s="2469"/>
      <c r="O163" s="2469"/>
      <c r="P163" s="1714"/>
      <c r="Q163" s="372"/>
      <c r="R163" s="581" t="s">
        <v>2837</v>
      </c>
      <c r="S163" s="1774">
        <f>'11. Unit Mix'!F130</f>
        <v>0</v>
      </c>
      <c r="T163" s="9" t="s">
        <v>5062</v>
      </c>
      <c r="U163" s="9"/>
      <c r="V163" s="115"/>
      <c r="W163" s="115"/>
      <c r="X163" s="115"/>
      <c r="Y163" s="115"/>
      <c r="Z163" s="115"/>
      <c r="AA163" s="97"/>
      <c r="AB163" s="97"/>
      <c r="AC163" s="97"/>
      <c r="AD163" s="97"/>
      <c r="AE163" s="97"/>
      <c r="AF163" s="97"/>
      <c r="AG163" s="97"/>
      <c r="AH163" s="97"/>
      <c r="AI163" s="115"/>
      <c r="AJ163" s="115"/>
      <c r="AK163" s="115"/>
      <c r="AL163" s="115"/>
      <c r="AM163" s="115"/>
      <c r="AN163" s="115"/>
      <c r="AO163" s="115"/>
      <c r="AP163" s="9"/>
      <c r="AQ163" s="9"/>
      <c r="AR163" s="9"/>
      <c r="AS163" s="9"/>
      <c r="AT163" s="9"/>
      <c r="AU163" s="9"/>
      <c r="AV163" s="9"/>
      <c r="AW163" s="9"/>
      <c r="AX163" s="9"/>
      <c r="AY163" s="9"/>
      <c r="AZ163" s="9"/>
    </row>
    <row r="164" spans="2:52" s="64" customFormat="1" ht="45" customHeight="1">
      <c r="B164" s="2469"/>
      <c r="C164" s="2469"/>
      <c r="D164" s="2469"/>
      <c r="E164" s="2469"/>
      <c r="F164" s="2469"/>
      <c r="G164" s="2469"/>
      <c r="H164" s="2469"/>
      <c r="I164" s="2469"/>
      <c r="J164" s="2469"/>
      <c r="K164" s="2469"/>
      <c r="L164" s="2469"/>
      <c r="M164" s="2469"/>
      <c r="N164" s="2469"/>
      <c r="O164" s="2469"/>
      <c r="P164" s="1714"/>
      <c r="Q164" s="372"/>
      <c r="R164" s="1773" t="s">
        <v>5063</v>
      </c>
      <c r="S164" s="79" t="b">
        <f>S163&gt;=24</f>
        <v>0</v>
      </c>
      <c r="T164" s="9"/>
      <c r="U164" s="9"/>
      <c r="V164" s="115"/>
      <c r="W164" s="115"/>
      <c r="X164" s="115"/>
      <c r="Y164" s="115"/>
      <c r="Z164" s="115"/>
      <c r="AA164" s="97"/>
      <c r="AB164" s="97"/>
      <c r="AC164" s="97"/>
      <c r="AD164" s="97"/>
      <c r="AE164" s="97"/>
      <c r="AF164" s="97"/>
      <c r="AG164" s="97"/>
      <c r="AH164" s="97"/>
      <c r="AI164" s="115"/>
      <c r="AJ164" s="115"/>
      <c r="AK164" s="115"/>
      <c r="AL164" s="115"/>
      <c r="AM164" s="115"/>
      <c r="AN164" s="115"/>
      <c r="AO164" s="115"/>
      <c r="AP164" s="9"/>
      <c r="AQ164" s="9"/>
      <c r="AR164" s="9"/>
      <c r="AS164" s="9"/>
      <c r="AT164" s="9"/>
      <c r="AU164" s="9"/>
      <c r="AV164" s="9"/>
      <c r="AW164" s="9"/>
      <c r="AX164" s="9"/>
      <c r="AY164" s="9"/>
      <c r="AZ164" s="9"/>
    </row>
    <row r="165" spans="2:52" s="64" customFormat="1">
      <c r="B165" s="1741"/>
      <c r="C165" s="1741"/>
      <c r="D165" s="1741"/>
      <c r="E165" s="1741"/>
      <c r="F165" s="1741"/>
      <c r="G165" s="1741"/>
      <c r="H165" s="1741"/>
      <c r="I165" s="1741"/>
      <c r="J165" s="1604"/>
      <c r="K165" s="1604"/>
      <c r="L165" s="1604"/>
      <c r="M165" s="1714"/>
      <c r="N165" s="1714"/>
      <c r="O165" s="1714"/>
      <c r="P165" s="1714"/>
      <c r="Q165" s="372"/>
      <c r="R165" s="1773"/>
      <c r="S165" s="9"/>
      <c r="T165" s="9"/>
      <c r="U165" s="9"/>
      <c r="V165" s="115"/>
      <c r="W165" s="115"/>
      <c r="X165" s="115"/>
      <c r="Y165" s="115"/>
      <c r="Z165" s="115"/>
      <c r="AA165" s="97"/>
      <c r="AB165" s="97"/>
      <c r="AC165" s="97"/>
      <c r="AD165" s="97"/>
      <c r="AE165" s="97"/>
      <c r="AF165" s="97"/>
      <c r="AG165" s="97"/>
      <c r="AH165" s="97"/>
      <c r="AI165" s="115"/>
      <c r="AJ165" s="115"/>
      <c r="AK165" s="115"/>
      <c r="AL165" s="115"/>
      <c r="AM165" s="115"/>
      <c r="AN165" s="115"/>
      <c r="AO165" s="115"/>
      <c r="AP165" s="9"/>
      <c r="AQ165" s="9"/>
      <c r="AR165" s="9"/>
      <c r="AS165" s="9"/>
      <c r="AT165" s="9"/>
      <c r="AU165" s="9"/>
      <c r="AV165" s="9"/>
      <c r="AW165" s="9"/>
      <c r="AX165" s="9"/>
      <c r="AY165" s="9"/>
      <c r="AZ165" s="9"/>
    </row>
    <row r="166" spans="2:52" s="64" customFormat="1">
      <c r="B166" s="1088" t="s">
        <v>5064</v>
      </c>
      <c r="C166" s="1714"/>
      <c r="D166" s="1714"/>
      <c r="E166" s="1714"/>
      <c r="F166" s="1714"/>
      <c r="G166" s="1714"/>
      <c r="H166" s="1714"/>
      <c r="I166" s="1714"/>
      <c r="J166" s="1714"/>
      <c r="K166" s="1714"/>
      <c r="L166" s="1714"/>
      <c r="M166" s="1714"/>
      <c r="N166" s="1714"/>
      <c r="O166" s="1714"/>
      <c r="P166" s="1714"/>
      <c r="Q166" s="372"/>
      <c r="R166" s="1773"/>
      <c r="S166" s="83"/>
      <c r="T166" s="9"/>
      <c r="U166" s="9"/>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9"/>
      <c r="AQ166" s="9"/>
      <c r="AR166" s="9"/>
      <c r="AS166" s="9"/>
      <c r="AT166" s="9"/>
      <c r="AU166" s="9"/>
      <c r="AV166" s="9"/>
      <c r="AW166" s="9"/>
      <c r="AX166" s="9"/>
      <c r="AY166" s="9"/>
      <c r="AZ166" s="9"/>
    </row>
    <row r="167" spans="2:52" s="64" customFormat="1">
      <c r="B167" s="1714"/>
      <c r="C167" s="1714"/>
      <c r="D167" s="1714"/>
      <c r="E167" s="1714"/>
      <c r="F167" s="1714"/>
      <c r="G167" s="1714"/>
      <c r="H167" s="1714"/>
      <c r="I167" s="1714"/>
      <c r="J167" s="1714"/>
      <c r="K167" s="1714"/>
      <c r="L167" s="1714"/>
      <c r="M167" s="1714"/>
      <c r="N167" s="1714"/>
      <c r="O167" s="1714"/>
      <c r="P167" s="1714"/>
      <c r="Q167" s="372"/>
      <c r="R167" s="1773"/>
      <c r="S167" s="83"/>
      <c r="T167" s="9"/>
      <c r="U167" s="9"/>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9"/>
      <c r="AQ167" s="9"/>
      <c r="AR167" s="9"/>
      <c r="AS167" s="9"/>
      <c r="AT167" s="9"/>
      <c r="AU167" s="9"/>
      <c r="AV167" s="9"/>
      <c r="AW167" s="9"/>
      <c r="AX167" s="9"/>
      <c r="AY167" s="9"/>
      <c r="AZ167" s="9"/>
    </row>
    <row r="168" spans="2:52" s="64" customFormat="1">
      <c r="B168" s="2471" t="s">
        <v>5065</v>
      </c>
      <c r="C168" s="2471"/>
      <c r="D168" s="1714"/>
      <c r="E168" s="1714"/>
      <c r="F168" s="1714"/>
      <c r="G168" s="1714"/>
      <c r="H168" s="1714"/>
      <c r="I168" s="1714"/>
      <c r="J168" s="1714"/>
      <c r="K168" s="1714"/>
      <c r="L168" s="1714"/>
      <c r="M168" s="1714"/>
      <c r="N168" s="1714"/>
      <c r="O168" s="1714"/>
      <c r="P168" s="1714"/>
      <c r="Q168" s="372"/>
      <c r="R168" s="1773"/>
      <c r="S168" s="83"/>
      <c r="T168" s="9"/>
      <c r="U168" s="9"/>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9"/>
      <c r="AQ168" s="9"/>
      <c r="AR168" s="9"/>
      <c r="AS168" s="9"/>
      <c r="AT168" s="9"/>
      <c r="AU168" s="9"/>
      <c r="AV168" s="9"/>
      <c r="AW168" s="9"/>
      <c r="AX168" s="9"/>
      <c r="AY168" s="9"/>
      <c r="AZ168" s="9"/>
    </row>
    <row r="169" spans="2:52" s="64" customFormat="1">
      <c r="B169" s="2469" t="s">
        <v>5066</v>
      </c>
      <c r="C169" s="2469"/>
      <c r="D169" s="2469"/>
      <c r="E169" s="2469"/>
      <c r="F169" s="2469"/>
      <c r="G169" s="2469"/>
      <c r="H169" s="2469"/>
      <c r="I169" s="2469"/>
      <c r="J169" s="2469"/>
      <c r="K169" s="2469"/>
      <c r="L169" s="2469"/>
      <c r="M169" s="2469"/>
      <c r="N169" s="2469"/>
      <c r="O169" s="2469"/>
      <c r="P169" s="1714"/>
      <c r="Q169" s="372"/>
      <c r="R169" s="1773"/>
      <c r="S169" s="83"/>
      <c r="T169" s="9"/>
      <c r="U169" s="9"/>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9"/>
      <c r="AQ169" s="9"/>
      <c r="AR169" s="9"/>
      <c r="AS169" s="9"/>
      <c r="AT169" s="9"/>
      <c r="AU169" s="9"/>
      <c r="AV169" s="9"/>
      <c r="AW169" s="9"/>
      <c r="AX169" s="9"/>
      <c r="AY169" s="9"/>
      <c r="AZ169" s="9"/>
    </row>
    <row r="170" spans="2:52" s="64" customFormat="1">
      <c r="B170" s="1604"/>
      <c r="C170" s="1604"/>
      <c r="D170" s="1604"/>
      <c r="E170" s="1604"/>
      <c r="F170" s="1604"/>
      <c r="G170" s="1604"/>
      <c r="H170" s="1604"/>
      <c r="I170" s="1604"/>
      <c r="J170" s="1604"/>
      <c r="K170" s="1604"/>
      <c r="L170" s="1604"/>
      <c r="M170" s="1604"/>
      <c r="N170" s="1714"/>
      <c r="O170" s="1714"/>
      <c r="P170" s="1714"/>
      <c r="Q170" s="372"/>
      <c r="R170" s="581" t="s">
        <v>2837</v>
      </c>
      <c r="S170" s="1774">
        <f>'11. Unit Mix'!F130</f>
        <v>0</v>
      </c>
      <c r="T170" s="9"/>
      <c r="U170" s="9"/>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9"/>
      <c r="AQ170" s="9"/>
      <c r="AR170" s="9"/>
      <c r="AS170" s="9"/>
      <c r="AT170" s="9"/>
      <c r="AU170" s="9"/>
      <c r="AV170" s="9"/>
      <c r="AW170" s="9"/>
      <c r="AX170" s="9"/>
      <c r="AY170" s="9"/>
      <c r="AZ170" s="9"/>
    </row>
    <row r="171" spans="2:52" s="64" customFormat="1">
      <c r="B171" s="1742" t="s">
        <v>5067</v>
      </c>
      <c r="C171" s="1742"/>
      <c r="D171" s="2471"/>
      <c r="E171" s="2471"/>
      <c r="F171" s="2471"/>
      <c r="G171" s="2471"/>
      <c r="H171" s="2471"/>
      <c r="I171" s="2471"/>
      <c r="J171" s="2471"/>
      <c r="K171" s="2471"/>
      <c r="L171" s="2471"/>
      <c r="M171" s="2471"/>
      <c r="N171" s="1714"/>
      <c r="O171" s="1714"/>
      <c r="P171" s="1714"/>
      <c r="Q171" s="372"/>
      <c r="R171" s="581" t="s">
        <v>5068</v>
      </c>
      <c r="S171" s="1775">
        <f>PC_CST_Building_Total+PC_CST_Accessory_Building_Total+PC_CST_Personal_Property_Total+PC_CST_General_Requirements_Total+PC_CST_Builders_Overhead_Total+PC_CST_Builders_Profit_Total+PC_CST_Constr_Mgmt_Fee_Total+PC_CST_Other_New_Construction_Total</f>
        <v>0</v>
      </c>
      <c r="T171" s="9"/>
      <c r="U171" s="9"/>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9"/>
      <c r="AQ171" s="9"/>
      <c r="AR171" s="9"/>
      <c r="AS171" s="9"/>
      <c r="AT171" s="9"/>
      <c r="AU171" s="9"/>
      <c r="AV171" s="9"/>
      <c r="AW171" s="9"/>
      <c r="AX171" s="9"/>
      <c r="AY171" s="9"/>
      <c r="AZ171" s="9"/>
    </row>
    <row r="172" spans="2:52" s="64" customFormat="1">
      <c r="B172" s="2480" t="s">
        <v>5069</v>
      </c>
      <c r="C172" s="2480"/>
      <c r="D172" s="2480"/>
      <c r="E172" s="2480"/>
      <c r="F172" s="2480"/>
      <c r="G172" s="2480"/>
      <c r="H172" s="2480"/>
      <c r="I172" s="2480"/>
      <c r="J172" s="2480"/>
      <c r="K172" s="2480"/>
      <c r="L172" s="2480"/>
      <c r="M172" s="2480"/>
      <c r="N172" s="2480"/>
      <c r="O172" s="2480"/>
      <c r="P172" s="1714"/>
      <c r="Q172" s="372"/>
      <c r="R172" s="581" t="s">
        <v>5070</v>
      </c>
      <c r="S172" s="1775">
        <f>IF(S170=0, 0, S171/S170)</f>
        <v>0</v>
      </c>
      <c r="T172" s="83"/>
      <c r="U172" s="9"/>
      <c r="V172" s="115"/>
      <c r="W172" s="115"/>
      <c r="X172" s="372"/>
      <c r="Y172" s="1477"/>
      <c r="Z172" s="115"/>
      <c r="AA172" s="115"/>
      <c r="AB172" s="1477"/>
      <c r="AC172" s="1477"/>
      <c r="AD172" s="115"/>
      <c r="AE172" s="115"/>
      <c r="AF172" s="115"/>
      <c r="AG172" s="115"/>
      <c r="AH172" s="115"/>
      <c r="AI172" s="115"/>
      <c r="AJ172" s="115"/>
      <c r="AK172" s="115"/>
      <c r="AL172" s="115"/>
      <c r="AM172" s="115"/>
      <c r="AN172" s="115"/>
      <c r="AO172" s="115"/>
      <c r="AP172" s="9"/>
      <c r="AQ172" s="9"/>
      <c r="AR172" s="9"/>
      <c r="AS172" s="9"/>
      <c r="AT172" s="9"/>
      <c r="AU172" s="9"/>
      <c r="AV172" s="9"/>
      <c r="AW172" s="9"/>
      <c r="AX172" s="9"/>
      <c r="AY172" s="9"/>
      <c r="AZ172" s="9"/>
    </row>
    <row r="173" spans="2:52" s="64" customFormat="1">
      <c r="B173" s="2480"/>
      <c r="C173" s="2480"/>
      <c r="D173" s="2480"/>
      <c r="E173" s="2480"/>
      <c r="F173" s="2480"/>
      <c r="G173" s="2480"/>
      <c r="H173" s="2480"/>
      <c r="I173" s="2480"/>
      <c r="J173" s="2480"/>
      <c r="K173" s="2480"/>
      <c r="L173" s="2480"/>
      <c r="M173" s="2480"/>
      <c r="N173" s="2480"/>
      <c r="O173" s="2480"/>
      <c r="P173" s="1714"/>
      <c r="Q173" s="372"/>
      <c r="R173" s="1773" t="s">
        <v>5071</v>
      </c>
      <c r="S173" s="79" t="b">
        <f>S172&gt;25000</f>
        <v>0</v>
      </c>
      <c r="T173" s="9"/>
      <c r="U173" s="9"/>
      <c r="V173" s="115"/>
      <c r="W173" s="115"/>
      <c r="X173" s="372"/>
      <c r="Y173" s="1477"/>
      <c r="Z173" s="115"/>
      <c r="AA173" s="115"/>
      <c r="AB173" s="115"/>
      <c r="AC173" s="115"/>
      <c r="AD173" s="115"/>
      <c r="AE173" s="115"/>
      <c r="AF173" s="115"/>
      <c r="AG173" s="115"/>
      <c r="AH173" s="115"/>
      <c r="AI173" s="115"/>
      <c r="AJ173" s="115"/>
      <c r="AK173" s="115"/>
      <c r="AL173" s="115"/>
      <c r="AM173" s="115"/>
      <c r="AN173" s="115"/>
      <c r="AO173" s="115"/>
      <c r="AP173" s="9"/>
      <c r="AQ173" s="9"/>
      <c r="AR173" s="9"/>
      <c r="AS173" s="9"/>
      <c r="AT173" s="9"/>
      <c r="AU173" s="9"/>
      <c r="AV173" s="9"/>
      <c r="AW173" s="9"/>
      <c r="AX173" s="9"/>
      <c r="AY173" s="9"/>
      <c r="AZ173" s="9"/>
    </row>
    <row r="174" spans="2:52" s="64" customFormat="1">
      <c r="B174" s="1207"/>
      <c r="C174" s="1207"/>
      <c r="D174" s="1207"/>
      <c r="E174" s="1207"/>
      <c r="F174" s="1207"/>
      <c r="G174" s="1207"/>
      <c r="H174" s="1742"/>
      <c r="I174" s="1604"/>
      <c r="J174" s="1604"/>
      <c r="K174" s="1604"/>
      <c r="L174" s="1604"/>
      <c r="M174" s="1604"/>
      <c r="N174" s="1714"/>
      <c r="O174" s="1714"/>
      <c r="P174" s="1714"/>
      <c r="Q174" s="372"/>
      <c r="R174" s="581"/>
      <c r="S174" s="9"/>
      <c r="T174" s="9"/>
      <c r="U174" s="9"/>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9"/>
      <c r="AQ174" s="9"/>
      <c r="AR174" s="9"/>
      <c r="AS174" s="9"/>
      <c r="AT174" s="9"/>
      <c r="AU174" s="9"/>
      <c r="AV174" s="9"/>
      <c r="AW174" s="9"/>
      <c r="AX174" s="9"/>
      <c r="AY174" s="9"/>
      <c r="AZ174" s="9"/>
    </row>
    <row r="175" spans="2:52" s="64" customFormat="1">
      <c r="B175" s="2469" t="s">
        <v>5072</v>
      </c>
      <c r="C175" s="2469"/>
      <c r="D175" s="2469"/>
      <c r="E175" s="2469"/>
      <c r="F175" s="2469"/>
      <c r="G175" s="2469"/>
      <c r="H175" s="2469"/>
      <c r="I175" s="2469"/>
      <c r="J175" s="2469"/>
      <c r="K175" s="2469"/>
      <c r="L175" s="2469"/>
      <c r="M175" s="2469"/>
      <c r="N175" s="2469"/>
      <c r="O175" s="2469"/>
      <c r="P175" s="1714"/>
      <c r="Q175" s="372"/>
      <c r="R175" s="1773" t="s">
        <v>5073</v>
      </c>
      <c r="S175" s="79" t="b">
        <f>IF('14. Project Costs'!D9&gt;=50%,TRUE,IF(ISTEXT(Tribal_Name),TRUE,FALSE))</f>
        <v>1</v>
      </c>
      <c r="T175" s="9"/>
      <c r="U175" s="9"/>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9"/>
      <c r="AQ175" s="9"/>
      <c r="AR175" s="9"/>
      <c r="AS175" s="9"/>
      <c r="AT175" s="9"/>
      <c r="AU175" s="9"/>
      <c r="AV175" s="9"/>
      <c r="AW175" s="9"/>
      <c r="AX175" s="9"/>
      <c r="AY175" s="9"/>
      <c r="AZ175" s="9"/>
    </row>
    <row r="176" spans="2:52" s="64" customFormat="1">
      <c r="B176" s="2469"/>
      <c r="C176" s="2469"/>
      <c r="D176" s="2469"/>
      <c r="E176" s="2469"/>
      <c r="F176" s="2469"/>
      <c r="G176" s="2469"/>
      <c r="H176" s="2469"/>
      <c r="I176" s="2469"/>
      <c r="J176" s="2469"/>
      <c r="K176" s="2469"/>
      <c r="L176" s="2469"/>
      <c r="M176" s="2469"/>
      <c r="N176" s="2469"/>
      <c r="O176" s="2469"/>
      <c r="P176" s="1714"/>
      <c r="Q176" s="372"/>
      <c r="R176" s="581"/>
      <c r="S176" s="9"/>
      <c r="T176" s="9"/>
      <c r="U176" s="9"/>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9"/>
      <c r="AQ176" s="9"/>
      <c r="AR176" s="9"/>
      <c r="AS176" s="9"/>
      <c r="AT176" s="9"/>
      <c r="AU176" s="9"/>
      <c r="AV176" s="9"/>
      <c r="AW176" s="9"/>
      <c r="AX176" s="9"/>
      <c r="AY176" s="9"/>
      <c r="AZ176" s="9"/>
    </row>
    <row r="177" spans="2:52" s="64" customFormat="1">
      <c r="B177" s="1604"/>
      <c r="C177" s="1604"/>
      <c r="D177" s="1604"/>
      <c r="E177" s="1604"/>
      <c r="F177" s="1604"/>
      <c r="G177" s="1604"/>
      <c r="H177" s="1604"/>
      <c r="I177" s="1604"/>
      <c r="J177" s="1604"/>
      <c r="K177" s="1604"/>
      <c r="L177" s="1604"/>
      <c r="M177" s="1604"/>
      <c r="N177" s="1714"/>
      <c r="O177" s="1714"/>
      <c r="P177" s="1714"/>
      <c r="Q177" s="372"/>
      <c r="R177" s="581"/>
      <c r="S177" s="9"/>
      <c r="T177" s="9"/>
      <c r="U177" s="9"/>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9"/>
      <c r="AQ177" s="9"/>
      <c r="AR177" s="9"/>
      <c r="AS177" s="9"/>
      <c r="AT177" s="9"/>
      <c r="AU177" s="9"/>
      <c r="AV177" s="9"/>
      <c r="AW177" s="9"/>
      <c r="AX177" s="9"/>
      <c r="AY177" s="9"/>
      <c r="AZ177" s="9"/>
    </row>
    <row r="178" spans="2:52" s="64" customFormat="1">
      <c r="B178" s="2469" t="s">
        <v>5074</v>
      </c>
      <c r="C178" s="2469"/>
      <c r="D178" s="2469"/>
      <c r="E178" s="2469"/>
      <c r="F178" s="2469"/>
      <c r="G178" s="2469"/>
      <c r="H178" s="2469"/>
      <c r="I178" s="2469"/>
      <c r="J178" s="2469"/>
      <c r="K178" s="2469"/>
      <c r="L178" s="2469"/>
      <c r="M178" s="2469"/>
      <c r="N178" s="2469"/>
      <c r="O178" s="2469"/>
      <c r="P178" s="1714"/>
      <c r="Q178" s="372"/>
      <c r="R178" s="581"/>
      <c r="S178" s="9"/>
      <c r="T178" s="9"/>
      <c r="U178" s="9"/>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9"/>
      <c r="AQ178" s="9"/>
      <c r="AR178" s="9"/>
      <c r="AS178" s="9"/>
      <c r="AT178" s="9"/>
      <c r="AU178" s="9"/>
      <c r="AV178" s="9"/>
      <c r="AW178" s="9"/>
      <c r="AX178" s="9"/>
      <c r="AY178" s="9"/>
      <c r="AZ178" s="9"/>
    </row>
    <row r="179" spans="2:52" s="64" customFormat="1">
      <c r="B179" s="2469"/>
      <c r="C179" s="2469"/>
      <c r="D179" s="2469"/>
      <c r="E179" s="2469"/>
      <c r="F179" s="2469"/>
      <c r="G179" s="2469"/>
      <c r="H179" s="2469"/>
      <c r="I179" s="2469"/>
      <c r="J179" s="2469"/>
      <c r="K179" s="2469"/>
      <c r="L179" s="2469"/>
      <c r="M179" s="2469"/>
      <c r="N179" s="2469"/>
      <c r="O179" s="2469"/>
      <c r="P179" s="1714"/>
      <c r="Q179" s="372"/>
      <c r="R179" s="581"/>
      <c r="S179" s="9"/>
      <c r="T179" s="9"/>
      <c r="U179" s="9"/>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9"/>
      <c r="AQ179" s="9"/>
      <c r="AR179" s="9"/>
      <c r="AS179" s="9"/>
      <c r="AT179" s="9"/>
      <c r="AU179" s="9"/>
      <c r="AV179" s="9"/>
      <c r="AW179" s="9"/>
      <c r="AX179" s="9"/>
      <c r="AY179" s="9"/>
      <c r="AZ179" s="9"/>
    </row>
    <row r="180" spans="2:52" s="64" customFormat="1">
      <c r="B180" s="2469"/>
      <c r="C180" s="2469"/>
      <c r="D180" s="2469"/>
      <c r="E180" s="2469"/>
      <c r="F180" s="2469"/>
      <c r="G180" s="2469"/>
      <c r="H180" s="2469"/>
      <c r="I180" s="2469"/>
      <c r="J180" s="2469"/>
      <c r="K180" s="2469"/>
      <c r="L180" s="2469"/>
      <c r="M180" s="2469"/>
      <c r="N180" s="2469"/>
      <c r="O180" s="2469"/>
      <c r="P180" s="1714"/>
      <c r="Q180" s="372"/>
      <c r="R180" s="581"/>
      <c r="S180" s="9"/>
      <c r="T180" s="9"/>
      <c r="U180" s="9"/>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9"/>
      <c r="AQ180" s="9"/>
      <c r="AR180" s="9"/>
      <c r="AS180" s="9"/>
      <c r="AT180" s="9"/>
      <c r="AU180" s="9"/>
      <c r="AV180" s="9"/>
      <c r="AW180" s="9"/>
      <c r="AX180" s="9"/>
      <c r="AY180" s="9"/>
      <c r="AZ180" s="9"/>
    </row>
    <row r="181" spans="2:52" s="64" customFormat="1">
      <c r="B181" s="1604"/>
      <c r="C181" s="1604"/>
      <c r="D181" s="1604"/>
      <c r="E181" s="1604"/>
      <c r="F181" s="1604"/>
      <c r="G181" s="1604"/>
      <c r="H181" s="1604"/>
      <c r="I181" s="1604"/>
      <c r="J181" s="1604"/>
      <c r="K181" s="1604"/>
      <c r="L181" s="1604"/>
      <c r="M181" s="1604"/>
      <c r="N181" s="1714"/>
      <c r="O181" s="1714"/>
      <c r="P181" s="1714"/>
      <c r="Q181" s="372"/>
      <c r="R181" s="581"/>
      <c r="S181" s="9"/>
      <c r="T181" s="9"/>
      <c r="U181" s="9"/>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9"/>
      <c r="AQ181" s="9"/>
      <c r="AR181" s="9"/>
      <c r="AS181" s="9"/>
      <c r="AT181" s="9"/>
      <c r="AU181" s="9"/>
      <c r="AV181" s="9"/>
      <c r="AW181" s="9"/>
      <c r="AX181" s="9"/>
      <c r="AY181" s="9"/>
      <c r="AZ181" s="9"/>
    </row>
    <row r="182" spans="2:52" s="64" customFormat="1">
      <c r="B182" s="2469" t="s">
        <v>5075</v>
      </c>
      <c r="C182" s="2469"/>
      <c r="D182" s="2469"/>
      <c r="E182" s="2469"/>
      <c r="F182" s="2469"/>
      <c r="G182" s="2469"/>
      <c r="H182" s="2469"/>
      <c r="I182" s="2469"/>
      <c r="J182" s="2469"/>
      <c r="K182" s="2469"/>
      <c r="L182" s="2469"/>
      <c r="M182" s="2469"/>
      <c r="N182" s="2469"/>
      <c r="O182" s="2469"/>
      <c r="P182" s="1714"/>
      <c r="Q182" s="372"/>
      <c r="R182" s="581"/>
      <c r="S182" s="9"/>
      <c r="T182" s="9"/>
      <c r="U182" s="9"/>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9"/>
      <c r="AQ182" s="9"/>
      <c r="AR182" s="9"/>
      <c r="AS182" s="9"/>
      <c r="AT182" s="9"/>
      <c r="AU182" s="9"/>
      <c r="AV182" s="9"/>
      <c r="AW182" s="9"/>
      <c r="AX182" s="9"/>
      <c r="AY182" s="9"/>
      <c r="AZ182" s="9"/>
    </row>
    <row r="183" spans="2:52" s="64" customFormat="1">
      <c r="B183" s="1741"/>
      <c r="C183" s="1741"/>
      <c r="D183" s="1741"/>
      <c r="E183" s="1741"/>
      <c r="F183" s="1741"/>
      <c r="G183" s="1741"/>
      <c r="H183" s="1741"/>
      <c r="I183" s="1741"/>
      <c r="J183" s="1741"/>
      <c r="K183" s="1741"/>
      <c r="L183" s="1741"/>
      <c r="M183" s="1741"/>
      <c r="N183" s="1741"/>
      <c r="O183" s="1741"/>
      <c r="P183" s="1714"/>
      <c r="Q183" s="372"/>
      <c r="R183" s="581"/>
      <c r="S183" s="9"/>
      <c r="T183" s="9"/>
      <c r="U183" s="9"/>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9"/>
      <c r="AQ183" s="9"/>
      <c r="AR183" s="9"/>
      <c r="AS183" s="9"/>
      <c r="AT183" s="9"/>
      <c r="AU183" s="9"/>
      <c r="AV183" s="9"/>
      <c r="AW183" s="9"/>
      <c r="AX183" s="9"/>
      <c r="AY183" s="9"/>
      <c r="AZ183" s="9"/>
    </row>
    <row r="184" spans="2:52" s="64" customFormat="1">
      <c r="B184" s="2469" t="s">
        <v>5076</v>
      </c>
      <c r="C184" s="2469"/>
      <c r="D184" s="2469"/>
      <c r="E184" s="2469"/>
      <c r="F184" s="2469"/>
      <c r="G184" s="2469"/>
      <c r="H184" s="2469"/>
      <c r="I184" s="2469"/>
      <c r="J184" s="2469"/>
      <c r="K184" s="2469"/>
      <c r="L184" s="2469"/>
      <c r="M184" s="2469"/>
      <c r="N184" s="2469"/>
      <c r="O184" s="2469"/>
      <c r="P184" s="1714"/>
      <c r="Q184" s="372"/>
      <c r="R184" s="581"/>
      <c r="S184" s="9"/>
      <c r="T184" s="9"/>
      <c r="U184" s="9"/>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9"/>
      <c r="AQ184" s="9"/>
      <c r="AR184" s="9"/>
      <c r="AS184" s="9"/>
      <c r="AT184" s="9"/>
      <c r="AU184" s="9"/>
      <c r="AV184" s="9"/>
      <c r="AW184" s="9"/>
      <c r="AX184" s="9"/>
      <c r="AY184" s="9"/>
      <c r="AZ184" s="9"/>
    </row>
    <row r="185" spans="2:52" s="64" customFormat="1">
      <c r="B185" s="1604"/>
      <c r="C185" s="1604"/>
      <c r="D185" s="1604"/>
      <c r="E185" s="1604"/>
      <c r="F185" s="1604"/>
      <c r="G185" s="1604"/>
      <c r="H185" s="1604"/>
      <c r="I185" s="1604"/>
      <c r="J185" s="1604"/>
      <c r="K185" s="1604"/>
      <c r="L185" s="1604"/>
      <c r="M185" s="1604"/>
      <c r="N185" s="1714"/>
      <c r="O185" s="1714"/>
      <c r="P185" s="1714"/>
      <c r="Q185" s="372"/>
      <c r="R185" s="581"/>
      <c r="S185" s="9"/>
      <c r="T185" s="9"/>
      <c r="U185" s="9"/>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9"/>
      <c r="AQ185" s="9"/>
      <c r="AR185" s="9"/>
      <c r="AS185" s="9"/>
      <c r="AT185" s="9"/>
      <c r="AU185" s="9"/>
      <c r="AV185" s="9"/>
      <c r="AW185" s="9"/>
      <c r="AX185" s="9"/>
      <c r="AY185" s="9"/>
      <c r="AZ185" s="9"/>
    </row>
    <row r="186" spans="2:52" s="64" customFormat="1">
      <c r="B186" s="2469" t="s">
        <v>5077</v>
      </c>
      <c r="C186" s="2469"/>
      <c r="D186" s="2469"/>
      <c r="E186" s="2469"/>
      <c r="F186" s="2469"/>
      <c r="G186" s="2469"/>
      <c r="H186" s="2469"/>
      <c r="I186" s="2469"/>
      <c r="J186" s="2469"/>
      <c r="K186" s="2469"/>
      <c r="L186" s="2469"/>
      <c r="M186" s="2469"/>
      <c r="N186" s="2469"/>
      <c r="O186" s="2469"/>
      <c r="P186" s="1714"/>
      <c r="Q186" s="372"/>
      <c r="R186" s="581" t="s">
        <v>5078</v>
      </c>
      <c r="S186" s="806">
        <f>'11. Unit Mix'!F130</f>
        <v>0</v>
      </c>
      <c r="T186" s="9"/>
      <c r="U186" s="9"/>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9"/>
      <c r="AQ186" s="9"/>
      <c r="AR186" s="9"/>
      <c r="AS186" s="9"/>
      <c r="AT186" s="9"/>
      <c r="AU186" s="9"/>
      <c r="AV186" s="9"/>
      <c r="AW186" s="9"/>
      <c r="AX186" s="9"/>
      <c r="AY186" s="9"/>
      <c r="AZ186" s="9"/>
    </row>
    <row r="187" spans="2:52" s="64" customFormat="1">
      <c r="B187" s="1604"/>
      <c r="C187" s="1604"/>
      <c r="D187" s="1604"/>
      <c r="E187" s="1604"/>
      <c r="F187" s="1604"/>
      <c r="G187" s="1604"/>
      <c r="H187" s="1604"/>
      <c r="I187" s="1604"/>
      <c r="J187" s="1604"/>
      <c r="K187" s="1604"/>
      <c r="L187" s="1604"/>
      <c r="M187" s="1604"/>
      <c r="N187" s="1714"/>
      <c r="O187" s="1714"/>
      <c r="P187" s="1714"/>
      <c r="Q187" s="372"/>
      <c r="R187" s="1773" t="s">
        <v>5079</v>
      </c>
      <c r="S187" s="79">
        <f>'11. Unit Mix'!BE66</f>
        <v>0</v>
      </c>
      <c r="T187" s="9"/>
      <c r="U187" s="9"/>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9"/>
      <c r="AQ187" s="9"/>
      <c r="AR187" s="9"/>
      <c r="AS187" s="9"/>
      <c r="AT187" s="9"/>
      <c r="AU187" s="9"/>
      <c r="AV187" s="9"/>
      <c r="AW187" s="9"/>
      <c r="AX187" s="9"/>
      <c r="AY187" s="9"/>
      <c r="AZ187" s="9"/>
    </row>
    <row r="188" spans="2:52" s="64" customFormat="1">
      <c r="B188" s="1208" t="s">
        <v>5080</v>
      </c>
      <c r="C188" s="1208"/>
      <c r="D188" s="1208"/>
      <c r="E188" s="1208"/>
      <c r="F188" s="1208"/>
      <c r="G188" s="1208"/>
      <c r="H188" s="1208"/>
      <c r="I188" s="1208"/>
      <c r="J188" s="1208"/>
      <c r="K188" s="1208"/>
      <c r="L188" s="1208"/>
      <c r="M188" s="1208"/>
      <c r="N188" s="1480"/>
      <c r="O188" s="1480"/>
      <c r="P188" s="1714"/>
      <c r="Q188" s="372"/>
      <c r="R188" s="1776" t="s">
        <v>5081</v>
      </c>
      <c r="S188" s="79" t="b">
        <f>IF(S186=0, FALSE, (S187/S186)&gt;=50%)</f>
        <v>0</v>
      </c>
      <c r="T188" s="9"/>
      <c r="U188" s="9"/>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9"/>
      <c r="AS188" s="9"/>
      <c r="AT188" s="9"/>
      <c r="AU188" s="9"/>
      <c r="AV188" s="9"/>
      <c r="AW188" s="9"/>
      <c r="AX188" s="9"/>
      <c r="AY188" s="9"/>
      <c r="AZ188" s="9"/>
    </row>
    <row r="189" spans="2:52" s="64" customFormat="1">
      <c r="B189" s="1604"/>
      <c r="C189" s="1604"/>
      <c r="D189" s="1604"/>
      <c r="E189" s="1604"/>
      <c r="F189" s="1604"/>
      <c r="G189" s="1604"/>
      <c r="H189" s="1604"/>
      <c r="I189" s="1604"/>
      <c r="J189" s="1604"/>
      <c r="K189" s="1604"/>
      <c r="L189" s="1604"/>
      <c r="M189" s="1604"/>
      <c r="N189" s="1714"/>
      <c r="O189" s="1714"/>
      <c r="P189" s="1714"/>
      <c r="Q189" s="372"/>
      <c r="R189" s="1773"/>
      <c r="S189" s="83"/>
      <c r="T189" s="9"/>
      <c r="U189" s="9"/>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9"/>
      <c r="AS189" s="9"/>
      <c r="AT189" s="9"/>
      <c r="AU189" s="9"/>
      <c r="AV189" s="9"/>
      <c r="AW189" s="9"/>
      <c r="AX189" s="9"/>
      <c r="AY189" s="9"/>
      <c r="AZ189" s="9"/>
    </row>
    <row r="190" spans="2:52" s="64" customFormat="1">
      <c r="B190" s="1208" t="s">
        <v>5082</v>
      </c>
      <c r="C190" s="1208"/>
      <c r="D190" s="1208"/>
      <c r="E190" s="1208"/>
      <c r="F190" s="1208"/>
      <c r="G190" s="1208"/>
      <c r="H190" s="1208"/>
      <c r="I190" s="1208"/>
      <c r="J190" s="1208"/>
      <c r="K190" s="1208"/>
      <c r="L190" s="1208"/>
      <c r="M190" s="1208"/>
      <c r="N190" s="1480"/>
      <c r="O190" s="1480"/>
      <c r="P190" s="1714"/>
      <c r="Q190" s="372"/>
      <c r="R190" s="1776" t="s">
        <v>5083</v>
      </c>
      <c r="S190" s="1777">
        <f>IF('11. Unit Mix'!F130=0, 0, Annual_Replacement_Reserve/'11. Unit Mix'!F130)</f>
        <v>0</v>
      </c>
      <c r="T190" s="9"/>
      <c r="U190" s="9"/>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9"/>
      <c r="AS190" s="9"/>
      <c r="AT190" s="9"/>
      <c r="AU190" s="9"/>
      <c r="AV190" s="9"/>
      <c r="AW190" s="9"/>
      <c r="AX190" s="9"/>
      <c r="AY190" s="9"/>
      <c r="AZ190" s="9"/>
    </row>
    <row r="191" spans="2:52" s="64" customFormat="1">
      <c r="B191" s="1714"/>
      <c r="C191" s="1714"/>
      <c r="D191" s="1714"/>
      <c r="E191" s="1714"/>
      <c r="F191" s="1714"/>
      <c r="G191" s="1714"/>
      <c r="H191" s="1714"/>
      <c r="I191" s="1714"/>
      <c r="J191" s="1714"/>
      <c r="K191" s="1714"/>
      <c r="L191" s="1714"/>
      <c r="M191" s="1714"/>
      <c r="N191" s="1714"/>
      <c r="O191" s="1714"/>
      <c r="P191" s="1714"/>
      <c r="Q191" s="372"/>
      <c r="R191" s="581" t="s">
        <v>5084</v>
      </c>
      <c r="S191" s="79" t="b">
        <f>S190&gt;=400</f>
        <v>0</v>
      </c>
      <c r="T191" s="9"/>
      <c r="U191" s="9"/>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9"/>
      <c r="AS191" s="9"/>
      <c r="AT191" s="9"/>
      <c r="AU191" s="9"/>
      <c r="AV191" s="9"/>
      <c r="AW191" s="9"/>
      <c r="AX191" s="9"/>
      <c r="AY191" s="9"/>
      <c r="AZ191" s="9"/>
    </row>
    <row r="192" spans="2:52" s="64" customFormat="1">
      <c r="B192" s="2469" t="s">
        <v>5085</v>
      </c>
      <c r="C192" s="2469"/>
      <c r="D192" s="2469"/>
      <c r="E192" s="2469"/>
      <c r="F192" s="2469"/>
      <c r="G192" s="2469"/>
      <c r="H192" s="2469"/>
      <c r="I192" s="2469"/>
      <c r="J192" s="2469"/>
      <c r="K192" s="2469"/>
      <c r="L192" s="2469"/>
      <c r="M192" s="2469"/>
      <c r="N192" s="2469"/>
      <c r="O192" s="2469"/>
      <c r="P192" s="1714"/>
      <c r="Q192" s="372"/>
      <c r="R192" s="581"/>
      <c r="S192" s="83"/>
      <c r="T192" s="9"/>
      <c r="U192" s="9"/>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9"/>
      <c r="AS192" s="9"/>
      <c r="AT192" s="9"/>
      <c r="AU192" s="9"/>
      <c r="AV192" s="9"/>
      <c r="AW192" s="9"/>
      <c r="AX192" s="9"/>
      <c r="AY192" s="9"/>
      <c r="AZ192" s="9"/>
    </row>
    <row r="193" spans="2:78" s="64" customFormat="1">
      <c r="B193" s="2469"/>
      <c r="C193" s="2469"/>
      <c r="D193" s="2469"/>
      <c r="E193" s="2469"/>
      <c r="F193" s="2469"/>
      <c r="G193" s="2469"/>
      <c r="H193" s="2469"/>
      <c r="I193" s="2469"/>
      <c r="J193" s="2469"/>
      <c r="K193" s="2469"/>
      <c r="L193" s="2469"/>
      <c r="M193" s="2469"/>
      <c r="N193" s="2469"/>
      <c r="O193" s="2469"/>
      <c r="P193" s="1714"/>
      <c r="Q193" s="372"/>
      <c r="R193" s="581"/>
      <c r="S193" s="9"/>
      <c r="T193" s="9"/>
      <c r="U193" s="9"/>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9"/>
      <c r="AS193" s="9"/>
      <c r="AT193" s="9"/>
      <c r="AU193" s="9"/>
      <c r="AV193" s="9"/>
      <c r="AW193" s="9"/>
      <c r="AX193" s="9"/>
      <c r="AY193" s="9"/>
      <c r="AZ193" s="9"/>
      <c r="BA193" s="1477"/>
      <c r="BB193" s="1477"/>
      <c r="BC193" s="1477"/>
      <c r="BD193" s="1477"/>
      <c r="BE193" s="1477"/>
      <c r="BF193" s="1477"/>
      <c r="BG193" s="1477"/>
      <c r="BH193" s="1477"/>
      <c r="BI193" s="1477"/>
      <c r="BJ193" s="1477"/>
      <c r="BK193" s="1477"/>
      <c r="BL193" s="1477"/>
      <c r="BM193" s="1477"/>
      <c r="BN193" s="1477"/>
      <c r="BO193" s="1477"/>
      <c r="BP193" s="1477"/>
      <c r="BQ193" s="1477"/>
      <c r="BR193" s="1477"/>
      <c r="BS193" s="1477"/>
      <c r="BT193" s="1477"/>
      <c r="BU193" s="1477"/>
      <c r="BV193" s="1477"/>
      <c r="BW193" s="1477"/>
      <c r="BX193" s="1477"/>
      <c r="BY193" s="1477"/>
      <c r="BZ193" s="1477"/>
    </row>
    <row r="194" spans="2:78" s="64" customFormat="1">
      <c r="B194" s="2469"/>
      <c r="C194" s="2469"/>
      <c r="D194" s="2469"/>
      <c r="E194" s="2469"/>
      <c r="F194" s="2469"/>
      <c r="G194" s="2469"/>
      <c r="H194" s="2469"/>
      <c r="I194" s="2469"/>
      <c r="J194" s="2469"/>
      <c r="K194" s="2469"/>
      <c r="L194" s="2469"/>
      <c r="M194" s="2469"/>
      <c r="N194" s="2469"/>
      <c r="O194" s="2469"/>
      <c r="P194" s="1714"/>
      <c r="Q194" s="372"/>
      <c r="R194" s="581"/>
      <c r="S194" s="9"/>
      <c r="T194" s="9"/>
      <c r="U194" s="9"/>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9"/>
      <c r="AS194" s="9"/>
      <c r="AT194" s="9"/>
      <c r="AU194" s="9"/>
      <c r="AV194" s="9"/>
      <c r="AW194" s="9"/>
      <c r="AX194" s="9"/>
      <c r="AY194" s="9"/>
      <c r="AZ194" s="9"/>
      <c r="BA194" s="1477"/>
      <c r="BB194" s="1477"/>
      <c r="BC194" s="1477"/>
      <c r="BD194" s="1477"/>
      <c r="BE194" s="1477"/>
      <c r="BF194" s="1477"/>
      <c r="BG194" s="1477"/>
      <c r="BH194" s="1477"/>
      <c r="BI194" s="1477"/>
      <c r="BJ194" s="1477"/>
      <c r="BK194" s="1477"/>
      <c r="BL194" s="1477"/>
      <c r="BM194" s="1477"/>
      <c r="BN194" s="1477"/>
      <c r="BO194" s="1477"/>
      <c r="BP194" s="1477"/>
      <c r="BQ194" s="1477"/>
      <c r="BR194" s="1477"/>
      <c r="BS194" s="1477"/>
      <c r="BT194" s="1477"/>
      <c r="BU194" s="1477"/>
      <c r="BV194" s="1477"/>
      <c r="BW194" s="1477"/>
      <c r="BX194" s="1477"/>
      <c r="BY194" s="1477"/>
      <c r="BZ194" s="1477"/>
    </row>
    <row r="195" spans="2:78" s="64" customFormat="1">
      <c r="B195" s="1741"/>
      <c r="C195" s="1741"/>
      <c r="D195" s="1741"/>
      <c r="E195" s="1741"/>
      <c r="F195" s="1741"/>
      <c r="G195" s="1741"/>
      <c r="H195" s="1741"/>
      <c r="I195" s="1741"/>
      <c r="J195" s="1604"/>
      <c r="K195" s="1604"/>
      <c r="L195" s="1604"/>
      <c r="M195" s="1604"/>
      <c r="N195" s="1714"/>
      <c r="O195" s="1714"/>
      <c r="P195" s="1714"/>
      <c r="Q195" s="372"/>
      <c r="R195" s="581"/>
      <c r="S195" s="9"/>
      <c r="T195" s="9"/>
      <c r="U195" s="9"/>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9"/>
      <c r="AS195" s="9"/>
      <c r="AT195" s="9"/>
      <c r="AU195" s="9"/>
      <c r="AV195" s="9"/>
      <c r="AW195" s="9"/>
      <c r="AX195" s="9"/>
      <c r="AY195" s="9"/>
      <c r="AZ195" s="9"/>
      <c r="BA195" s="1477"/>
      <c r="BB195" s="1477"/>
      <c r="BC195" s="1477"/>
      <c r="BD195" s="1477"/>
      <c r="BE195" s="1477"/>
      <c r="BF195" s="1477"/>
      <c r="BG195" s="1477"/>
      <c r="BH195" s="1477"/>
      <c r="BI195" s="1477"/>
      <c r="BJ195" s="1477"/>
      <c r="BK195" s="1477"/>
      <c r="BL195" s="1477"/>
      <c r="BM195" s="1477"/>
      <c r="BN195" s="1477"/>
      <c r="BO195" s="1477"/>
      <c r="BP195" s="1477"/>
      <c r="BQ195" s="1477"/>
      <c r="BR195" s="1477"/>
      <c r="BS195" s="1477"/>
      <c r="BT195" s="1477"/>
      <c r="BU195" s="1477"/>
      <c r="BV195" s="1477"/>
      <c r="BW195" s="1477"/>
      <c r="BX195" s="1477"/>
      <c r="BY195" s="1477"/>
      <c r="BZ195" s="1477"/>
    </row>
    <row r="196" spans="2:78" s="64" customFormat="1">
      <c r="B196" s="2469" t="s">
        <v>5086</v>
      </c>
      <c r="C196" s="2469"/>
      <c r="D196" s="2469"/>
      <c r="E196" s="2469"/>
      <c r="F196" s="2469"/>
      <c r="G196" s="2469"/>
      <c r="H196" s="2469"/>
      <c r="I196" s="2469"/>
      <c r="J196" s="2469"/>
      <c r="K196" s="2469"/>
      <c r="L196" s="2469"/>
      <c r="M196" s="2469"/>
      <c r="N196" s="2469"/>
      <c r="O196" s="2469"/>
      <c r="P196" s="1714"/>
      <c r="Q196" s="372"/>
      <c r="R196" s="581" t="s">
        <v>5087</v>
      </c>
      <c r="S196" s="9" t="b">
        <f>COUNTIF('Dropdown Lists'!AC2:AC12,Tribal_Name)=1</f>
        <v>0</v>
      </c>
      <c r="T196" s="9"/>
      <c r="U196" s="9"/>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9"/>
      <c r="AS196" s="9"/>
      <c r="AT196" s="9"/>
      <c r="AU196" s="9"/>
      <c r="AV196" s="9"/>
      <c r="AW196" s="9"/>
      <c r="AX196" s="9"/>
      <c r="AY196" s="9"/>
      <c r="AZ196" s="9"/>
      <c r="BA196" s="1477"/>
      <c r="BB196" s="1477"/>
      <c r="BC196" s="1477"/>
      <c r="BD196" s="1477"/>
      <c r="BE196" s="1477"/>
      <c r="BF196" s="1477"/>
      <c r="BG196" s="1477"/>
      <c r="BH196" s="1477"/>
      <c r="BI196" s="1477"/>
      <c r="BJ196" s="1477"/>
      <c r="BK196" s="1477"/>
      <c r="BL196" s="1477"/>
      <c r="BM196" s="1477"/>
      <c r="BN196" s="1477"/>
      <c r="BO196" s="1477"/>
      <c r="BP196" s="1477"/>
      <c r="BQ196" s="1477"/>
      <c r="BR196" s="1477"/>
      <c r="BS196" s="1477"/>
      <c r="BT196" s="1477"/>
      <c r="BU196" s="1477"/>
      <c r="BV196" s="1477"/>
      <c r="BW196" s="1477"/>
      <c r="BX196" s="1477"/>
      <c r="BY196" s="1477"/>
      <c r="BZ196" s="1477"/>
    </row>
    <row r="197" spans="2:78" s="64" customFormat="1">
      <c r="B197" s="2469"/>
      <c r="C197" s="2469"/>
      <c r="D197" s="2469"/>
      <c r="E197" s="2469"/>
      <c r="F197" s="2469"/>
      <c r="G197" s="2469"/>
      <c r="H197" s="2469"/>
      <c r="I197" s="2469"/>
      <c r="J197" s="2469"/>
      <c r="K197" s="2469"/>
      <c r="L197" s="2469"/>
      <c r="M197" s="2469"/>
      <c r="N197" s="2469"/>
      <c r="O197" s="2469"/>
      <c r="P197" s="1714"/>
      <c r="Q197" s="372"/>
      <c r="R197" s="581"/>
      <c r="S197" s="9"/>
      <c r="T197" s="9"/>
      <c r="U197" s="9"/>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9"/>
      <c r="AQ197" s="9"/>
      <c r="AR197" s="9"/>
      <c r="AS197" s="9"/>
      <c r="AT197" s="9"/>
      <c r="AU197" s="9"/>
      <c r="AV197" s="9"/>
      <c r="AW197" s="9"/>
      <c r="AX197" s="9"/>
      <c r="AY197" s="9"/>
      <c r="AZ197" s="9"/>
      <c r="BA197" s="1477"/>
      <c r="BB197" s="1477"/>
      <c r="BC197" s="1477"/>
      <c r="BD197" s="1477"/>
      <c r="BE197" s="1477"/>
      <c r="BF197" s="1477"/>
      <c r="BG197" s="1477"/>
      <c r="BH197" s="1477"/>
      <c r="BI197" s="1477"/>
      <c r="BJ197" s="1477"/>
      <c r="BK197" s="1477"/>
      <c r="BL197" s="1477"/>
      <c r="BM197" s="1477"/>
      <c r="BN197" s="1477"/>
      <c r="BO197" s="1477"/>
      <c r="BP197" s="1477"/>
      <c r="BQ197" s="1477"/>
      <c r="BR197" s="1477"/>
      <c r="BS197" s="1477"/>
      <c r="BT197" s="1477"/>
      <c r="BU197" s="1477"/>
      <c r="BV197" s="1477"/>
      <c r="BW197" s="1477"/>
      <c r="BX197" s="1477"/>
      <c r="BY197" s="1477"/>
      <c r="BZ197" s="1477"/>
    </row>
    <row r="198" spans="2:78" s="64" customFormat="1">
      <c r="B198" s="1714"/>
      <c r="C198" s="1714"/>
      <c r="D198" s="1714"/>
      <c r="E198" s="1714"/>
      <c r="F198" s="1714"/>
      <c r="G198" s="1714"/>
      <c r="H198" s="1714"/>
      <c r="I198" s="1741"/>
      <c r="J198" s="1741"/>
      <c r="K198" s="1741"/>
      <c r="L198" s="1741"/>
      <c r="M198" s="1741"/>
      <c r="N198" s="1741"/>
      <c r="O198" s="1741"/>
      <c r="P198" s="1741"/>
      <c r="Q198" s="982"/>
      <c r="R198" s="581"/>
      <c r="S198" s="9"/>
      <c r="T198" s="9"/>
      <c r="U198" s="9"/>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9"/>
      <c r="AQ198" s="9"/>
      <c r="AR198" s="9"/>
      <c r="AS198" s="9"/>
      <c r="AT198" s="9"/>
      <c r="AU198" s="9"/>
      <c r="AV198" s="9"/>
      <c r="AW198" s="9"/>
      <c r="AX198" s="9"/>
      <c r="AY198" s="9"/>
      <c r="AZ198" s="9"/>
      <c r="BA198" s="1477"/>
      <c r="BB198" s="1477"/>
      <c r="BC198" s="1477"/>
      <c r="BD198" s="1477"/>
      <c r="BE198" s="1477"/>
      <c r="BF198" s="1477"/>
      <c r="BG198" s="1477"/>
      <c r="BH198" s="1477"/>
      <c r="BI198" s="1477"/>
      <c r="BJ198" s="1477"/>
      <c r="BK198" s="1477"/>
      <c r="BL198" s="1477"/>
      <c r="BM198" s="1477"/>
      <c r="BN198" s="1477"/>
      <c r="BO198" s="1477"/>
      <c r="BP198" s="1477"/>
      <c r="BQ198" s="1477"/>
      <c r="BR198" s="1477"/>
      <c r="BS198" s="1477"/>
      <c r="BT198" s="1477"/>
      <c r="BU198" s="1477"/>
      <c r="BV198" s="1477"/>
      <c r="BW198" s="1477"/>
      <c r="BX198" s="1477"/>
      <c r="BY198" s="1477"/>
      <c r="BZ198" s="1477"/>
    </row>
    <row r="199" spans="2:78" s="64" customFormat="1" ht="18.75">
      <c r="B199" s="1027"/>
      <c r="C199" s="1203" t="s">
        <v>4997</v>
      </c>
      <c r="D199" s="1203" t="s">
        <v>4971</v>
      </c>
      <c r="E199" s="1203" t="s">
        <v>1051</v>
      </c>
      <c r="F199" s="1027"/>
      <c r="G199" s="1027"/>
      <c r="H199" s="1206"/>
      <c r="I199" s="1206"/>
      <c r="J199" s="1206"/>
      <c r="K199" s="1206"/>
      <c r="L199" s="1206"/>
      <c r="M199" s="1206"/>
      <c r="N199" s="1206"/>
      <c r="O199" s="1206"/>
      <c r="P199" s="1206"/>
      <c r="Q199" s="980"/>
      <c r="R199" s="581"/>
      <c r="S199" s="9"/>
      <c r="T199" s="9"/>
      <c r="U199" s="9"/>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9"/>
      <c r="AQ199" s="9"/>
      <c r="AR199" s="9"/>
      <c r="AS199" s="9"/>
      <c r="AT199" s="9"/>
      <c r="AU199" s="9"/>
      <c r="AV199" s="9"/>
      <c r="AW199" s="9"/>
      <c r="AX199" s="9"/>
      <c r="AY199" s="9"/>
      <c r="AZ199" s="9"/>
      <c r="BA199" s="1477"/>
      <c r="BB199" s="1477"/>
      <c r="BC199" s="1477"/>
      <c r="BD199" s="1477"/>
      <c r="BE199" s="1477"/>
      <c r="BF199" s="1477"/>
      <c r="BG199" s="1477"/>
      <c r="BH199" s="1477"/>
      <c r="BI199" s="1477"/>
      <c r="BJ199" s="1477"/>
      <c r="BK199" s="1477"/>
      <c r="BL199" s="1477"/>
      <c r="BM199" s="1477"/>
      <c r="BN199" s="1477"/>
      <c r="BO199" s="1477"/>
      <c r="BP199" s="1477"/>
      <c r="BQ199" s="1477"/>
      <c r="BR199" s="1477"/>
      <c r="BS199" s="1477"/>
      <c r="BT199" s="1477"/>
      <c r="BU199" s="1477"/>
      <c r="BV199" s="1477"/>
      <c r="BW199" s="1477"/>
      <c r="BX199" s="1477"/>
      <c r="BY199" s="1477"/>
      <c r="BZ199" s="1477"/>
    </row>
    <row r="200" spans="2:78" s="64" customFormat="1" ht="18.75">
      <c r="B200" s="1206"/>
      <c r="C200" s="1757">
        <v>25</v>
      </c>
      <c r="D200" s="1760">
        <f>S201</f>
        <v>0</v>
      </c>
      <c r="E200" s="1757"/>
      <c r="F200" s="1206"/>
      <c r="G200" s="1206"/>
      <c r="H200" s="1206"/>
      <c r="I200" s="1206"/>
      <c r="J200" s="1206"/>
      <c r="K200" s="1206"/>
      <c r="L200" s="1206"/>
      <c r="M200" s="1206"/>
      <c r="N200" s="1206"/>
      <c r="O200" s="1206"/>
      <c r="P200" s="1206"/>
      <c r="Q200" s="372"/>
      <c r="R200" s="1773" t="s">
        <v>4997</v>
      </c>
      <c r="S200" s="79">
        <v>25</v>
      </c>
      <c r="T200" s="9" t="s">
        <v>5088</v>
      </c>
      <c r="U200" s="9"/>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9"/>
      <c r="AQ200" s="9"/>
      <c r="AR200" s="9"/>
      <c r="AS200" s="9"/>
      <c r="AT200" s="9"/>
      <c r="AU200" s="9"/>
      <c r="AV200" s="9"/>
      <c r="AW200" s="9"/>
      <c r="AX200" s="9"/>
      <c r="AY200" s="9"/>
      <c r="AZ200" s="9"/>
      <c r="BA200" s="1477"/>
      <c r="BB200" s="1477"/>
      <c r="BC200" s="1477"/>
      <c r="BD200" s="1477"/>
      <c r="BE200" s="1477"/>
      <c r="BF200" s="1477"/>
      <c r="BG200" s="1477"/>
      <c r="BH200" s="1477"/>
      <c r="BI200" s="1477"/>
      <c r="BJ200" s="1477"/>
      <c r="BK200" s="1477"/>
      <c r="BL200" s="1477"/>
      <c r="BM200" s="1477"/>
      <c r="BN200" s="1477"/>
      <c r="BO200" s="1477"/>
      <c r="BP200" s="1477"/>
      <c r="BQ200" s="1477"/>
      <c r="BR200" s="1477"/>
      <c r="BS200" s="1477"/>
      <c r="BT200" s="1477"/>
      <c r="BU200" s="1477"/>
      <c r="BV200" s="1477"/>
      <c r="BW200" s="1477"/>
      <c r="BX200" s="1477"/>
      <c r="BY200" s="1477"/>
      <c r="BZ200" s="1477"/>
    </row>
    <row r="201" spans="2:78" s="64" customFormat="1" ht="18.75">
      <c r="B201" s="1714"/>
      <c r="C201" s="1714"/>
      <c r="D201" s="1714"/>
      <c r="E201" s="1714"/>
      <c r="F201" s="1714"/>
      <c r="G201" s="1714"/>
      <c r="H201" s="1206"/>
      <c r="I201" s="1206"/>
      <c r="J201" s="1206"/>
      <c r="K201" s="1206"/>
      <c r="L201" s="1206"/>
      <c r="M201" s="1206"/>
      <c r="N201" s="1206"/>
      <c r="O201" s="1206"/>
      <c r="P201" s="1206"/>
      <c r="Q201" s="372"/>
      <c r="R201" s="581" t="s">
        <v>5089</v>
      </c>
      <c r="S201" s="79">
        <f>IF(S158,IF(OR(S196,AND(S171,S173,S175,S188,S191)),S200,0),0)</f>
        <v>0</v>
      </c>
      <c r="T201" s="918" t="s">
        <v>5090</v>
      </c>
      <c r="U201" s="9"/>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9"/>
      <c r="AQ201" s="9"/>
      <c r="AR201" s="9"/>
      <c r="AS201" s="9"/>
      <c r="AT201" s="9"/>
      <c r="AU201" s="9"/>
      <c r="AV201" s="9"/>
      <c r="AW201" s="9"/>
      <c r="AX201" s="9"/>
      <c r="AY201" s="9"/>
      <c r="AZ201" s="9"/>
      <c r="BA201" s="1477"/>
      <c r="BB201" s="1477"/>
      <c r="BC201" s="1477"/>
      <c r="BD201" s="1477"/>
      <c r="BE201" s="1477"/>
      <c r="BF201" s="1477"/>
      <c r="BG201" s="1477"/>
      <c r="BH201" s="1477"/>
      <c r="BI201" s="1477"/>
      <c r="BJ201" s="1477"/>
      <c r="BK201" s="1477"/>
      <c r="BL201" s="1477"/>
      <c r="BM201" s="1477"/>
      <c r="BN201" s="1477"/>
      <c r="BO201" s="1477"/>
      <c r="BP201" s="1477"/>
      <c r="BQ201" s="1477"/>
      <c r="BR201" s="1477"/>
      <c r="BS201" s="1477"/>
      <c r="BT201" s="1477"/>
      <c r="BU201" s="1477"/>
      <c r="BV201" s="1477"/>
      <c r="BW201" s="1477"/>
      <c r="BX201" s="1477"/>
      <c r="BY201" s="1477"/>
      <c r="BZ201" s="1477"/>
    </row>
    <row r="202" spans="2:78">
      <c r="B202" s="1027"/>
      <c r="C202" s="1027"/>
      <c r="D202" s="1027"/>
      <c r="E202" s="1027"/>
      <c r="F202" s="1027"/>
      <c r="G202" s="1027"/>
      <c r="H202" s="1027"/>
      <c r="I202" s="1027"/>
      <c r="J202" s="1027"/>
      <c r="K202" s="1027"/>
      <c r="L202" s="1027"/>
      <c r="M202" s="1027"/>
      <c r="N202" s="1027"/>
      <c r="O202" s="1027"/>
      <c r="P202" s="1027"/>
      <c r="T202" s="918"/>
      <c r="Y202" s="115"/>
      <c r="Z202" s="115"/>
      <c r="AA202" s="115"/>
      <c r="AB202" s="115"/>
      <c r="AC202" s="115"/>
      <c r="AD202" s="115"/>
      <c r="AE202" s="115"/>
      <c r="AF202" s="115"/>
      <c r="AG202" s="115"/>
      <c r="AH202" s="115"/>
      <c r="AI202" s="115"/>
      <c r="AJ202" s="115"/>
      <c r="AK202" s="115"/>
      <c r="AL202" s="115"/>
      <c r="AM202" s="115"/>
      <c r="AN202" s="115"/>
      <c r="AO202" s="115"/>
      <c r="AP202" s="9"/>
      <c r="AQ202" s="9"/>
      <c r="AR202" s="9"/>
      <c r="AS202" s="9"/>
      <c r="AT202" s="9"/>
      <c r="AU202" s="9"/>
      <c r="AV202" s="9"/>
      <c r="AW202" s="9"/>
      <c r="AX202" s="9"/>
      <c r="AY202" s="9"/>
      <c r="AZ202" s="9"/>
    </row>
    <row r="203" spans="2:78" ht="18.75">
      <c r="B203" s="2263" t="s">
        <v>1055</v>
      </c>
      <c r="C203" s="2263"/>
      <c r="D203" s="8"/>
      <c r="E203" s="8"/>
      <c r="F203" s="8"/>
      <c r="G203" s="8"/>
      <c r="H203" s="8"/>
      <c r="I203" s="2263" t="s">
        <v>3638</v>
      </c>
      <c r="J203" s="2263"/>
      <c r="K203" s="17"/>
      <c r="L203" s="17"/>
      <c r="M203" s="17"/>
      <c r="N203" s="17"/>
      <c r="O203" s="17"/>
      <c r="P203" s="17"/>
      <c r="Y203" s="115"/>
      <c r="Z203" s="115"/>
      <c r="AA203" s="115"/>
      <c r="AB203" s="115"/>
      <c r="AC203" s="115"/>
      <c r="AD203" s="115"/>
      <c r="AE203" s="115"/>
      <c r="AF203" s="115"/>
      <c r="AG203" s="115"/>
      <c r="AH203" s="115"/>
      <c r="AI203" s="115"/>
      <c r="AJ203" s="115"/>
      <c r="AK203" s="115"/>
      <c r="AL203" s="115"/>
      <c r="AM203" s="115"/>
      <c r="AN203" s="115"/>
      <c r="AO203" s="115"/>
      <c r="AP203" s="9"/>
      <c r="AQ203" s="9"/>
      <c r="AR203" s="9"/>
      <c r="AS203" s="9"/>
      <c r="AT203" s="9"/>
      <c r="AU203" s="9"/>
      <c r="AV203" s="9"/>
      <c r="AW203" s="9"/>
      <c r="AX203" s="9"/>
      <c r="AY203" s="9"/>
      <c r="AZ203" s="9"/>
    </row>
    <row r="204" spans="2:78">
      <c r="B204" s="1030" t="s">
        <v>4117</v>
      </c>
      <c r="C204" s="1027"/>
      <c r="D204" s="1027"/>
      <c r="E204" s="1027"/>
      <c r="F204" s="1027"/>
      <c r="G204" s="1027"/>
      <c r="H204" s="1027"/>
      <c r="I204" s="1032" t="s">
        <v>4697</v>
      </c>
      <c r="J204" s="1030"/>
      <c r="K204" s="1030"/>
      <c r="L204" s="1030"/>
      <c r="M204" s="1030"/>
      <c r="N204" s="1030"/>
      <c r="O204" s="1030"/>
      <c r="P204" s="1030"/>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2:78" ht="15.75">
      <c r="B205" s="1039"/>
      <c r="C205" s="2022"/>
      <c r="D205" s="2022"/>
      <c r="E205" s="2022"/>
      <c r="F205" s="2022"/>
      <c r="G205" s="2022"/>
      <c r="H205" s="1027"/>
      <c r="I205" s="2022"/>
      <c r="J205" s="2022"/>
      <c r="K205" s="2022"/>
      <c r="L205" s="2022"/>
      <c r="M205" s="2022"/>
      <c r="N205" s="2022"/>
      <c r="O205" s="2022"/>
      <c r="P205" s="1030"/>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2:78" ht="15.75">
      <c r="B206" s="1039"/>
      <c r="C206" s="2022"/>
      <c r="D206" s="2022"/>
      <c r="E206" s="2022"/>
      <c r="F206" s="2022"/>
      <c r="G206" s="2022"/>
      <c r="H206" s="1027"/>
      <c r="I206" s="2022"/>
      <c r="J206" s="2022"/>
      <c r="K206" s="2022"/>
      <c r="L206" s="2022"/>
      <c r="M206" s="2022"/>
      <c r="N206" s="2022"/>
      <c r="O206" s="2022"/>
      <c r="P206" s="1030"/>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2:78" ht="15.75">
      <c r="B207" s="1039"/>
      <c r="C207" s="2022"/>
      <c r="D207" s="2022"/>
      <c r="E207" s="2022"/>
      <c r="F207" s="2022"/>
      <c r="G207" s="2022"/>
      <c r="H207" s="1027"/>
      <c r="I207" s="2022"/>
      <c r="J207" s="2022"/>
      <c r="K207" s="2022"/>
      <c r="L207" s="2022"/>
      <c r="M207" s="2022"/>
      <c r="N207" s="2022"/>
      <c r="O207" s="2022"/>
      <c r="P207" s="1030"/>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2:78" ht="15.75">
      <c r="B208" s="1039"/>
      <c r="C208" s="2022"/>
      <c r="D208" s="2022"/>
      <c r="E208" s="2022"/>
      <c r="F208" s="2022"/>
      <c r="G208" s="2022"/>
      <c r="H208" s="1027"/>
      <c r="I208" s="2022"/>
      <c r="J208" s="2022"/>
      <c r="K208" s="2022"/>
      <c r="L208" s="2022"/>
      <c r="M208" s="2022"/>
      <c r="N208" s="2022"/>
      <c r="O208" s="2022"/>
      <c r="P208" s="1030"/>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2:78" ht="15.75">
      <c r="B209" s="1039"/>
      <c r="C209" s="2022"/>
      <c r="D209" s="2022"/>
      <c r="E209" s="2022"/>
      <c r="F209" s="2022"/>
      <c r="G209" s="2022"/>
      <c r="H209" s="1027"/>
      <c r="I209" s="2022"/>
      <c r="J209" s="2022"/>
      <c r="K209" s="2022"/>
      <c r="L209" s="2022"/>
      <c r="M209" s="2022"/>
      <c r="N209" s="2022"/>
      <c r="O209" s="2022"/>
      <c r="P209" s="1030"/>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2:78" ht="15.75">
      <c r="B210" s="1039"/>
      <c r="C210" s="2022"/>
      <c r="D210" s="2022"/>
      <c r="E210" s="2022"/>
      <c r="F210" s="2022"/>
      <c r="G210" s="2022"/>
      <c r="H210" s="1027"/>
      <c r="I210" s="2022"/>
      <c r="J210" s="2022"/>
      <c r="K210" s="2022"/>
      <c r="L210" s="2022"/>
      <c r="M210" s="2022"/>
      <c r="N210" s="2022"/>
      <c r="O210" s="2022"/>
      <c r="P210" s="1030"/>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2:78" ht="15.75">
      <c r="B211" s="1039"/>
      <c r="C211" s="2022"/>
      <c r="D211" s="2022"/>
      <c r="E211" s="2022"/>
      <c r="F211" s="2022"/>
      <c r="G211" s="2022"/>
      <c r="H211" s="1027"/>
      <c r="I211" s="2022"/>
      <c r="J211" s="2022"/>
      <c r="K211" s="2022"/>
      <c r="L211" s="2022"/>
      <c r="M211" s="2022"/>
      <c r="N211" s="2022"/>
      <c r="O211" s="2022"/>
      <c r="P211" s="1030"/>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2:78" ht="15.75">
      <c r="B212" s="1039"/>
      <c r="C212" s="2022"/>
      <c r="D212" s="2022"/>
      <c r="E212" s="2022"/>
      <c r="F212" s="2022"/>
      <c r="G212" s="2022"/>
      <c r="H212" s="1027"/>
      <c r="I212" s="2022"/>
      <c r="J212" s="2022"/>
      <c r="K212" s="2022"/>
      <c r="L212" s="2022"/>
      <c r="M212" s="2022"/>
      <c r="N212" s="2022"/>
      <c r="O212" s="2022"/>
      <c r="P212" s="1030"/>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2:78">
      <c r="B213" s="1027"/>
      <c r="C213" s="2022"/>
      <c r="D213" s="2022"/>
      <c r="E213" s="2022"/>
      <c r="F213" s="2022"/>
      <c r="G213" s="2022"/>
      <c r="H213" s="1027"/>
      <c r="I213" s="2022"/>
      <c r="J213" s="2022"/>
      <c r="K213" s="2022"/>
      <c r="L213" s="2022"/>
      <c r="M213" s="2022"/>
      <c r="N213" s="2022"/>
      <c r="O213" s="2022"/>
      <c r="P213" s="1030"/>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2:78">
      <c r="B214" s="1027"/>
      <c r="C214" s="1030"/>
      <c r="D214" s="1030"/>
      <c r="E214" s="1030"/>
      <c r="F214" s="1030"/>
      <c r="G214" s="1030"/>
      <c r="H214" s="1027"/>
      <c r="I214" s="1756" t="s">
        <v>1058</v>
      </c>
      <c r="J214" s="1030"/>
      <c r="K214" s="1030"/>
      <c r="L214" s="1030"/>
      <c r="M214" s="1030"/>
      <c r="N214" s="1030"/>
      <c r="O214" s="1030"/>
      <c r="P214" s="1030"/>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2:78">
      <c r="B215" s="1027"/>
      <c r="C215" s="1030"/>
      <c r="D215" s="1030"/>
      <c r="E215" s="1030"/>
      <c r="F215" s="1030"/>
      <c r="G215" s="1030"/>
      <c r="H215" s="1209"/>
      <c r="I215" s="2470"/>
      <c r="J215" s="2470"/>
      <c r="K215" s="2470"/>
      <c r="L215" s="2470"/>
      <c r="M215" s="2470"/>
      <c r="N215" s="2470"/>
      <c r="O215" s="2470"/>
      <c r="P215" s="1030"/>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2:78">
      <c r="B216" s="1030"/>
      <c r="C216" s="1030"/>
      <c r="D216" s="1030"/>
      <c r="E216" s="1030"/>
      <c r="F216" s="1030"/>
      <c r="G216" s="1030"/>
      <c r="H216" s="1030"/>
      <c r="I216" s="1030"/>
      <c r="J216" s="1030"/>
      <c r="K216" s="1030"/>
      <c r="L216" s="1030"/>
      <c r="M216" s="1030"/>
      <c r="N216" s="1030"/>
      <c r="O216" s="1030"/>
      <c r="P216" s="1030"/>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sheetData>
  <sheetProtection algorithmName="SHA-512" hashValue="x8RmD6X4jEprqINFKXEwFJWxQhL8hovGMX8fmfZbR3Swa9WLEXlkuGUIlgAhp9AXKgSKXJkDX2tsbB5A8KeoVA==" saltValue="kxKy+eo5hogYvuQcPrSFyw==" spinCount="100000" sheet="1" objects="1" scenarios="1" selectLockedCells="1"/>
  <mergeCells count="96">
    <mergeCell ref="D129:L132"/>
    <mergeCell ref="D171:E171"/>
    <mergeCell ref="I155:O155"/>
    <mergeCell ref="C129:C132"/>
    <mergeCell ref="B203:C203"/>
    <mergeCell ref="I203:J203"/>
    <mergeCell ref="B161:O161"/>
    <mergeCell ref="C133:C137"/>
    <mergeCell ref="D133:L137"/>
    <mergeCell ref="I143:J143"/>
    <mergeCell ref="C145:G153"/>
    <mergeCell ref="I145:O153"/>
    <mergeCell ref="C205:G213"/>
    <mergeCell ref="I205:O213"/>
    <mergeCell ref="I215:O215"/>
    <mergeCell ref="B163:O164"/>
    <mergeCell ref="B169:O169"/>
    <mergeCell ref="B172:O173"/>
    <mergeCell ref="B168:C168"/>
    <mergeCell ref="L171:M171"/>
    <mergeCell ref="J171:K171"/>
    <mergeCell ref="D87:K87"/>
    <mergeCell ref="D88:K88"/>
    <mergeCell ref="D89:K89"/>
    <mergeCell ref="D90:K90"/>
    <mergeCell ref="D91:K91"/>
    <mergeCell ref="D51:I51"/>
    <mergeCell ref="C113:G121"/>
    <mergeCell ref="I113:O121"/>
    <mergeCell ref="D93:K93"/>
    <mergeCell ref="D94:K94"/>
    <mergeCell ref="D95:K95"/>
    <mergeCell ref="D96:K96"/>
    <mergeCell ref="C67:G75"/>
    <mergeCell ref="B65:C65"/>
    <mergeCell ref="I65:J65"/>
    <mergeCell ref="B111:C111"/>
    <mergeCell ref="I111:J111"/>
    <mergeCell ref="D92:K92"/>
    <mergeCell ref="D83:K83"/>
    <mergeCell ref="D84:K84"/>
    <mergeCell ref="D85:K85"/>
    <mergeCell ref="J50:M50"/>
    <mergeCell ref="J52:M52"/>
    <mergeCell ref="J53:M53"/>
    <mergeCell ref="L28:O28"/>
    <mergeCell ref="L29:O29"/>
    <mergeCell ref="L30:O30"/>
    <mergeCell ref="D128:L128"/>
    <mergeCell ref="J55:M55"/>
    <mergeCell ref="B192:O194"/>
    <mergeCell ref="B196:O197"/>
    <mergeCell ref="B178:O180"/>
    <mergeCell ref="B182:O182"/>
    <mergeCell ref="B184:O184"/>
    <mergeCell ref="B186:O186"/>
    <mergeCell ref="B175:O176"/>
    <mergeCell ref="I77:O77"/>
    <mergeCell ref="I67:O75"/>
    <mergeCell ref="F171:G171"/>
    <mergeCell ref="H171:I171"/>
    <mergeCell ref="I123:O123"/>
    <mergeCell ref="B143:C143"/>
    <mergeCell ref="D86:K86"/>
    <mergeCell ref="D16:K16"/>
    <mergeCell ref="D17:K19"/>
    <mergeCell ref="C20:C27"/>
    <mergeCell ref="D55:I55"/>
    <mergeCell ref="L16:O16"/>
    <mergeCell ref="L17:O17"/>
    <mergeCell ref="L18:O18"/>
    <mergeCell ref="L19:O19"/>
    <mergeCell ref="L20:O20"/>
    <mergeCell ref="L21:O21"/>
    <mergeCell ref="L22:O22"/>
    <mergeCell ref="L23:O23"/>
    <mergeCell ref="L24:O24"/>
    <mergeCell ref="L25:O25"/>
    <mergeCell ref="L26:O26"/>
    <mergeCell ref="L27:O27"/>
    <mergeCell ref="C17:C19"/>
    <mergeCell ref="D54:I54"/>
    <mergeCell ref="J51:M51"/>
    <mergeCell ref="D20:K27"/>
    <mergeCell ref="C28:C32"/>
    <mergeCell ref="B41:O42"/>
    <mergeCell ref="D48:I48"/>
    <mergeCell ref="L32:O32"/>
    <mergeCell ref="J54:M54"/>
    <mergeCell ref="D28:K32"/>
    <mergeCell ref="D49:I49"/>
    <mergeCell ref="D50:I50"/>
    <mergeCell ref="D52:I52"/>
    <mergeCell ref="D53:I53"/>
    <mergeCell ref="J48:M48"/>
    <mergeCell ref="J49:M49"/>
  </mergeCells>
  <conditionalFormatting sqref="B14">
    <cfRule type="expression" dxfId="223" priority="25">
      <formula>S14</formula>
    </cfRule>
  </conditionalFormatting>
  <conditionalFormatting sqref="B158">
    <cfRule type="expression" dxfId="222" priority="1">
      <formula>NOT(#REF!)</formula>
    </cfRule>
  </conditionalFormatting>
  <conditionalFormatting sqref="I174:M174">
    <cfRule type="expression" dxfId="221" priority="12">
      <formula>NOT($R$22)</formula>
    </cfRule>
  </conditionalFormatting>
  <dataValidations count="3">
    <dataValidation type="list" allowBlank="1" showInputMessage="1" showErrorMessage="1" sqref="F158" xr:uid="{9ABC0BD4-534F-41CF-8A79-941D291ACADA}">
      <formula1>YesNo</formula1>
    </dataValidation>
    <dataValidation type="custom" allowBlank="1" showInputMessage="1" showErrorMessage="1" sqref="K1" xr:uid="{55D98E41-1C0B-4BE8-9520-06FBFF737126}">
      <formula1>"&lt;0&gt;0"</formula1>
    </dataValidation>
    <dataValidation type="list" allowBlank="1" showInputMessage="1" showErrorMessage="1" sqref="C86 C94" xr:uid="{BDF5BD06-BB3F-47EB-B60E-37A8F72DF927}">
      <formula1>$S$90:$S$92</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2" manualBreakCount="2">
    <brk id="78" max="17" man="1"/>
    <brk id="155" max="17"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61A32-E7D4-4449-A708-3AEA97DBBD53}">
  <sheetPr codeName="Sheet24">
    <pageSetUpPr fitToPage="1"/>
  </sheetPr>
  <dimension ref="A1:CX734"/>
  <sheetViews>
    <sheetView workbookViewId="0">
      <selection activeCell="C32" sqref="C32:H42"/>
    </sheetView>
  </sheetViews>
  <sheetFormatPr defaultColWidth="8.85546875" defaultRowHeight="15"/>
  <cols>
    <col min="1" max="1" width="4.42578125" style="3" customWidth="1"/>
    <col min="2" max="2" width="7.140625" customWidth="1"/>
    <col min="3" max="3" width="17.140625" customWidth="1"/>
    <col min="4" max="4" width="16.42578125" customWidth="1"/>
    <col min="5" max="6" width="14.28515625" customWidth="1"/>
    <col min="7" max="8" width="15.7109375" customWidth="1"/>
    <col min="9" max="9" width="7.140625" customWidth="1"/>
    <col min="10" max="10" width="16.7109375" customWidth="1"/>
    <col min="11" max="15" width="15" customWidth="1"/>
    <col min="16" max="16" width="7.140625" customWidth="1"/>
    <col min="17" max="21" width="8.85546875" style="9" customWidth="1"/>
    <col min="22" max="27" width="8.85546875" style="9"/>
    <col min="28" max="33" width="8.85546875" style="376"/>
    <col min="34" max="51" width="8.85546875" style="237"/>
  </cols>
  <sheetData>
    <row r="1" spans="1:102" ht="28.5">
      <c r="B1" s="4" t="str">
        <f>'1. TOC'!B1</f>
        <v>WHEDA 2025 Multifamily Application</v>
      </c>
      <c r="C1" s="4"/>
      <c r="D1" s="4"/>
      <c r="E1" s="4"/>
      <c r="F1" s="4"/>
      <c r="G1" s="4"/>
      <c r="H1" s="4"/>
      <c r="I1" s="4"/>
      <c r="J1" s="115" t="str">
        <f>'1. TOC'!L1</f>
        <v>v25.1.12</v>
      </c>
      <c r="K1" s="3"/>
      <c r="L1" s="947" t="str">
        <f>HYPERLINK("#Table_of_Contents", Table_of_Contents)</f>
        <v>Table of Contents</v>
      </c>
      <c r="M1" s="4"/>
      <c r="N1" s="4"/>
      <c r="O1" s="4"/>
      <c r="P1" s="4"/>
      <c r="AB1" s="115"/>
      <c r="AC1" s="115"/>
      <c r="AD1" s="115"/>
      <c r="AE1" s="115"/>
      <c r="AF1" s="115"/>
      <c r="AG1" s="115"/>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row>
    <row r="2" spans="1:102" ht="21">
      <c r="B2" s="886" t="str">
        <f>_xlfn.CONCAT(IF(ISBLANK(WHEDA_Project_Number),"",_xlfn.CONCAT(WHEDA_Project_Number," - ")), Project_Name, IF(ISBLANK(Credit_percentage_applied_for),"",_xlfn.CONCAT(" - ", Credit_percentage_applied_for," HTC")))</f>
        <v/>
      </c>
      <c r="C2" s="789"/>
      <c r="D2" s="789"/>
      <c r="E2" s="789"/>
      <c r="F2" s="789"/>
      <c r="G2" s="789"/>
      <c r="H2" s="789"/>
      <c r="I2" s="789"/>
      <c r="J2" s="789"/>
      <c r="K2" s="789"/>
      <c r="L2" s="789"/>
      <c r="M2" s="789"/>
      <c r="N2" s="789"/>
      <c r="O2" s="789"/>
      <c r="P2" s="789"/>
      <c r="AB2" s="115"/>
      <c r="AC2" s="115"/>
      <c r="AD2" s="115"/>
      <c r="AE2" s="115"/>
      <c r="AF2" s="115"/>
      <c r="AG2" s="115"/>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row>
    <row r="3" spans="1:102" s="166" customFormat="1" ht="15.75">
      <c r="A3" s="854" t="s">
        <v>5091</v>
      </c>
      <c r="C3" s="895"/>
      <c r="D3" s="895"/>
      <c r="E3" s="895"/>
      <c r="F3" s="895"/>
      <c r="G3" s="895"/>
      <c r="H3" s="895"/>
      <c r="I3" s="895"/>
      <c r="J3" s="895"/>
      <c r="K3" s="895"/>
      <c r="L3" s="895"/>
      <c r="M3" s="895"/>
      <c r="N3" s="895"/>
      <c r="O3" s="895"/>
      <c r="P3" s="895"/>
      <c r="Q3" s="11"/>
      <c r="R3" s="11"/>
      <c r="S3" s="11"/>
      <c r="T3" s="11"/>
      <c r="U3" s="11"/>
      <c r="V3" s="11"/>
      <c r="W3" s="11"/>
      <c r="X3" s="11"/>
      <c r="Y3" s="11"/>
      <c r="Z3" s="11"/>
      <c r="AA3" s="11"/>
      <c r="AB3" s="848"/>
      <c r="AC3" s="848"/>
      <c r="AD3" s="848"/>
      <c r="AE3" s="848"/>
      <c r="AF3" s="848"/>
      <c r="AG3" s="848"/>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row>
    <row r="4" spans="1:102" s="166" customFormat="1" ht="28.5">
      <c r="A4" s="854"/>
      <c r="B4" s="4" t="s">
        <v>5092</v>
      </c>
      <c r="C4" s="895"/>
      <c r="D4" s="895"/>
      <c r="E4" s="895"/>
      <c r="F4" s="895"/>
      <c r="G4" s="895"/>
      <c r="H4" s="895"/>
      <c r="I4" s="895"/>
      <c r="J4" s="895"/>
      <c r="K4" s="895"/>
      <c r="L4" s="895"/>
      <c r="M4" s="895"/>
      <c r="N4" s="895"/>
      <c r="O4" s="895"/>
      <c r="P4" s="895"/>
      <c r="Q4" s="11"/>
      <c r="R4" s="11"/>
      <c r="S4" s="11"/>
      <c r="T4" s="11"/>
      <c r="U4" s="11"/>
      <c r="V4" s="11"/>
      <c r="W4" s="11"/>
      <c r="X4" s="11"/>
      <c r="Y4" s="11"/>
      <c r="Z4" s="11"/>
      <c r="AA4" s="11"/>
      <c r="AB4" s="848"/>
      <c r="AC4" s="848"/>
      <c r="AD4" s="848"/>
      <c r="AE4" s="848"/>
      <c r="AF4" s="848"/>
      <c r="AG4" s="848"/>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row>
    <row r="5" spans="1:102" s="3" customFormat="1" ht="20.25" customHeight="1">
      <c r="A5" s="854"/>
      <c r="B5" s="852" t="s">
        <v>5093</v>
      </c>
      <c r="C5" s="768"/>
      <c r="D5" s="768"/>
      <c r="E5" s="768"/>
      <c r="F5" s="768"/>
      <c r="G5" s="768"/>
      <c r="H5" s="768"/>
      <c r="I5" s="768"/>
      <c r="J5" s="768"/>
      <c r="K5" s="768"/>
      <c r="L5" s="768"/>
      <c r="M5" s="768"/>
      <c r="N5" s="768"/>
      <c r="O5" s="768"/>
      <c r="P5" s="768"/>
      <c r="Q5" s="9"/>
      <c r="R5" s="9"/>
      <c r="S5" s="9"/>
      <c r="T5" s="9"/>
      <c r="U5" s="9"/>
      <c r="V5" s="9"/>
      <c r="W5" s="9"/>
      <c r="X5" s="9"/>
      <c r="Y5" s="9"/>
      <c r="Z5" s="9"/>
      <c r="AA5" s="9"/>
      <c r="AB5" s="115"/>
      <c r="AC5" s="115"/>
      <c r="AD5" s="115"/>
      <c r="AE5" s="115"/>
      <c r="AF5" s="115"/>
      <c r="AG5" s="115"/>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row>
    <row r="6" spans="1:102" s="3" customFormat="1" ht="14.25" customHeight="1">
      <c r="A6" s="854"/>
      <c r="B6" s="1216" t="s">
        <v>4996</v>
      </c>
      <c r="C6" s="1217"/>
      <c r="D6" s="1217"/>
      <c r="E6" s="1217"/>
      <c r="F6" s="1217"/>
      <c r="G6" s="1217"/>
      <c r="H6" s="1217"/>
      <c r="I6" s="1217"/>
      <c r="J6" s="1217"/>
      <c r="K6" s="1217"/>
      <c r="L6" s="1217"/>
      <c r="M6" s="1217"/>
      <c r="N6" s="1217"/>
      <c r="O6" s="1217"/>
      <c r="P6" s="1217"/>
      <c r="Q6" s="9"/>
      <c r="R6" s="9"/>
      <c r="S6" s="9"/>
      <c r="T6" s="9"/>
      <c r="U6" s="9"/>
      <c r="V6" s="9"/>
      <c r="W6" s="9"/>
      <c r="X6" s="9"/>
      <c r="Y6" s="9"/>
      <c r="Z6" s="9"/>
      <c r="AA6" s="9"/>
      <c r="AB6" s="115"/>
      <c r="AC6" s="115"/>
      <c r="AD6" s="115"/>
      <c r="AE6" s="115"/>
      <c r="AF6" s="115"/>
      <c r="AG6" s="115"/>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row>
    <row r="7" spans="1:102" s="3" customFormat="1" ht="15" customHeight="1">
      <c r="A7" s="854"/>
      <c r="B7" s="1217"/>
      <c r="C7" s="1217"/>
      <c r="D7" s="1217"/>
      <c r="E7" s="1217"/>
      <c r="F7" s="1217"/>
      <c r="G7" s="1217"/>
      <c r="H7" s="1217"/>
      <c r="I7" s="1217"/>
      <c r="J7" s="1217"/>
      <c r="K7" s="1217"/>
      <c r="L7" s="1217"/>
      <c r="M7" s="1217"/>
      <c r="N7" s="1217"/>
      <c r="O7" s="1217"/>
      <c r="P7" s="1217"/>
      <c r="Q7" s="9"/>
      <c r="R7" s="9"/>
      <c r="S7" s="9"/>
      <c r="T7" s="9"/>
      <c r="U7" s="9"/>
      <c r="V7" s="9"/>
      <c r="W7" s="9"/>
      <c r="X7" s="9"/>
      <c r="Y7" s="9"/>
      <c r="Z7" s="9"/>
      <c r="AA7" s="9"/>
      <c r="AB7" s="115"/>
      <c r="AC7" s="115"/>
      <c r="AD7" s="115"/>
      <c r="AE7" s="115"/>
      <c r="AF7" s="115"/>
      <c r="AG7" s="115"/>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row>
    <row r="8" spans="1:102" s="3" customFormat="1" ht="15" customHeight="1">
      <c r="A8" s="854"/>
      <c r="B8" s="1217"/>
      <c r="C8" s="1226" t="s">
        <v>4997</v>
      </c>
      <c r="D8" s="1226" t="s">
        <v>4971</v>
      </c>
      <c r="E8" s="1226" t="s">
        <v>1051</v>
      </c>
      <c r="F8" s="1217"/>
      <c r="G8" s="1217"/>
      <c r="H8" s="1217"/>
      <c r="I8" s="1217"/>
      <c r="J8" s="1217"/>
      <c r="K8" s="1217"/>
      <c r="L8" s="1217"/>
      <c r="M8" s="1217"/>
      <c r="N8" s="1217"/>
      <c r="O8" s="1217"/>
      <c r="P8" s="1217"/>
      <c r="Q8" s="9"/>
      <c r="R8" s="9"/>
      <c r="S8" s="9"/>
      <c r="T8" s="9"/>
      <c r="U8" s="9"/>
      <c r="V8" s="9"/>
      <c r="W8" s="9"/>
      <c r="X8" s="9"/>
      <c r="Y8" s="9"/>
      <c r="Z8" s="9"/>
      <c r="AA8" s="9"/>
      <c r="AB8" s="115"/>
      <c r="AC8" s="115"/>
      <c r="AD8" s="115"/>
      <c r="AE8" s="115"/>
      <c r="AF8" s="115"/>
      <c r="AG8" s="115"/>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row>
    <row r="9" spans="1:102" s="3" customFormat="1" ht="15" customHeight="1">
      <c r="A9" s="854"/>
      <c r="B9" s="1217"/>
      <c r="C9" s="878">
        <v>53</v>
      </c>
      <c r="D9" s="860">
        <f>SUM(D28,D59,D96,D132)</f>
        <v>0</v>
      </c>
      <c r="E9" s="879">
        <f>SUM(E28,E59,E96,E132)</f>
        <v>0</v>
      </c>
      <c r="F9" s="1217"/>
      <c r="G9" s="1217"/>
      <c r="H9" s="1217"/>
      <c r="I9" s="1217"/>
      <c r="J9" s="1217"/>
      <c r="K9" s="1217"/>
      <c r="L9" s="1217"/>
      <c r="M9" s="1217"/>
      <c r="N9" s="1217"/>
      <c r="O9" s="1217"/>
      <c r="P9" s="1217"/>
      <c r="Q9" s="9"/>
      <c r="R9" s="9"/>
      <c r="S9" s="9"/>
      <c r="T9" s="9"/>
      <c r="U9" s="9"/>
      <c r="V9" s="9"/>
      <c r="W9" s="9"/>
      <c r="X9" s="9"/>
      <c r="Y9" s="9"/>
      <c r="Z9" s="9"/>
      <c r="AA9" s="9"/>
      <c r="AB9" s="115"/>
      <c r="AC9" s="115"/>
      <c r="AD9" s="115"/>
      <c r="AE9" s="115"/>
      <c r="AF9" s="115"/>
      <c r="AG9" s="115"/>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row>
    <row r="10" spans="1:102" s="3" customFormat="1" ht="15" customHeight="1">
      <c r="A10" s="772"/>
      <c r="B10" s="1027"/>
      <c r="C10" s="1027"/>
      <c r="D10" s="1027"/>
      <c r="E10" s="1027"/>
      <c r="F10" s="1027"/>
      <c r="G10" s="1027"/>
      <c r="H10" s="1027"/>
      <c r="I10" s="1027"/>
      <c r="J10" s="1027"/>
      <c r="K10" s="1027"/>
      <c r="L10" s="1027"/>
      <c r="M10" s="1027"/>
      <c r="N10" s="1027"/>
      <c r="O10" s="1027"/>
      <c r="P10" s="1027"/>
      <c r="Q10" s="9"/>
      <c r="R10" s="9"/>
      <c r="S10" s="9"/>
      <c r="T10" s="9"/>
      <c r="U10" s="9"/>
      <c r="V10" s="9"/>
      <c r="W10" s="9"/>
      <c r="X10" s="9"/>
      <c r="Y10" s="9"/>
      <c r="Z10" s="9"/>
      <c r="AA10" s="9"/>
      <c r="AB10" s="115"/>
      <c r="AC10" s="115"/>
      <c r="AD10" s="115"/>
      <c r="AE10" s="115"/>
      <c r="AF10" s="115"/>
      <c r="AG10" s="115"/>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row>
    <row r="11" spans="1:102" ht="21" customHeight="1">
      <c r="B11" s="852" t="s">
        <v>5094</v>
      </c>
      <c r="C11" s="776"/>
      <c r="D11" s="776"/>
      <c r="E11" s="776"/>
      <c r="F11" s="776"/>
      <c r="G11" s="776"/>
      <c r="H11" s="776"/>
      <c r="I11" s="776"/>
      <c r="J11" s="776"/>
      <c r="K11" s="776"/>
      <c r="L11" s="776"/>
      <c r="M11" s="776"/>
      <c r="N11" s="776"/>
      <c r="O11" s="776"/>
      <c r="P11" s="776"/>
      <c r="AB11" s="115"/>
      <c r="AC11" s="115"/>
      <c r="AD11" s="115"/>
      <c r="AE11" s="115"/>
      <c r="AF11" s="115"/>
      <c r="AG11" s="115"/>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row>
    <row r="12" spans="1:102">
      <c r="B12" s="1030" t="s">
        <v>4001</v>
      </c>
      <c r="C12" s="1027"/>
      <c r="D12" s="1027"/>
      <c r="E12" s="1027"/>
      <c r="F12" s="1027"/>
      <c r="G12" s="1027"/>
      <c r="H12" s="1027"/>
      <c r="I12" s="1027"/>
      <c r="J12" s="1027"/>
      <c r="K12" s="1027"/>
      <c r="L12" s="1027"/>
      <c r="M12" s="1027"/>
      <c r="N12" s="1027"/>
      <c r="O12" s="1027"/>
      <c r="P12" s="1027"/>
      <c r="AB12" s="115"/>
      <c r="AC12" s="115"/>
      <c r="AD12" s="115"/>
      <c r="AE12" s="115"/>
      <c r="AF12" s="115"/>
      <c r="AG12" s="115"/>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row>
    <row r="13" spans="1:102" s="1" customFormat="1">
      <c r="A13" s="547"/>
      <c r="B13" s="1035" t="s">
        <v>5095</v>
      </c>
      <c r="C13" s="1218"/>
      <c r="D13" s="1218"/>
      <c r="E13" s="1218"/>
      <c r="F13" s="1218"/>
      <c r="G13" s="1218"/>
      <c r="H13" s="1218"/>
      <c r="I13" s="1218"/>
      <c r="J13" s="1218"/>
      <c r="K13" s="1747" t="s">
        <v>5096</v>
      </c>
      <c r="L13" s="1747" t="s">
        <v>5002</v>
      </c>
      <c r="M13" s="1218"/>
      <c r="N13" s="1218"/>
      <c r="O13" s="1218"/>
      <c r="P13" s="1218"/>
      <c r="Q13" s="9"/>
      <c r="R13" s="9"/>
      <c r="S13" s="9"/>
      <c r="T13" s="9"/>
      <c r="U13" s="9"/>
      <c r="V13" s="9"/>
      <c r="W13" s="9"/>
      <c r="X13" s="9"/>
      <c r="Y13" s="9"/>
      <c r="Z13" s="9"/>
      <c r="AA13" s="9"/>
      <c r="AB13" s="115"/>
      <c r="AC13" s="115"/>
      <c r="AD13" s="115"/>
      <c r="AE13" s="115"/>
      <c r="AF13" s="115"/>
      <c r="AG13" s="115"/>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row>
    <row r="14" spans="1:102">
      <c r="B14" s="1035" t="s">
        <v>5097</v>
      </c>
      <c r="C14" s="1027"/>
      <c r="D14" s="1027"/>
      <c r="E14" s="1027"/>
      <c r="F14" s="1027"/>
      <c r="G14" s="1027"/>
      <c r="H14" s="1027"/>
      <c r="I14" s="1027"/>
      <c r="J14" s="1027"/>
      <c r="K14" s="1200" t="s">
        <v>5098</v>
      </c>
      <c r="L14" s="1200">
        <v>1</v>
      </c>
      <c r="M14" s="1027"/>
      <c r="N14" s="1027"/>
      <c r="O14" s="1027"/>
      <c r="P14" s="1027"/>
      <c r="AB14" s="115"/>
      <c r="AC14" s="115"/>
      <c r="AD14" s="115"/>
      <c r="AE14" s="115"/>
      <c r="AF14" s="115"/>
      <c r="AG14" s="115"/>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row>
    <row r="15" spans="1:102">
      <c r="B15" s="1088" t="s">
        <v>5099</v>
      </c>
      <c r="C15" s="1027"/>
      <c r="D15" s="1027"/>
      <c r="E15" s="1027"/>
      <c r="F15" s="1027"/>
      <c r="G15" s="1027"/>
      <c r="H15" s="1027"/>
      <c r="I15" s="1027"/>
      <c r="J15" s="1027"/>
      <c r="K15" s="1200" t="s">
        <v>5100</v>
      </c>
      <c r="L15" s="1200">
        <v>3</v>
      </c>
      <c r="M15" s="1027"/>
      <c r="N15" s="1027"/>
      <c r="O15" s="1027"/>
      <c r="P15" s="1027"/>
      <c r="AB15" s="115"/>
      <c r="AC15" s="115"/>
      <c r="AD15" s="115"/>
      <c r="AE15" s="115"/>
      <c r="AF15" s="115"/>
      <c r="AG15" s="115"/>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row>
    <row r="16" spans="1:102">
      <c r="B16" s="1027"/>
      <c r="C16" s="1027"/>
      <c r="D16" s="1027"/>
      <c r="E16" s="1027"/>
      <c r="F16" s="1027"/>
      <c r="G16" s="1027"/>
      <c r="H16" s="1027"/>
      <c r="I16" s="1027"/>
      <c r="J16" s="1027"/>
      <c r="K16" s="1200" t="s">
        <v>5101</v>
      </c>
      <c r="L16" s="1200">
        <v>5</v>
      </c>
      <c r="M16" s="1027"/>
      <c r="N16" s="1027"/>
      <c r="O16" s="1027"/>
      <c r="P16" s="1027"/>
      <c r="AB16" s="115"/>
      <c r="AC16" s="115"/>
      <c r="AD16" s="115"/>
      <c r="AE16" s="115"/>
      <c r="AF16" s="115"/>
      <c r="AG16" s="115"/>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row>
    <row r="17" spans="1:102" s="39" customFormat="1">
      <c r="A17" s="97"/>
      <c r="B17" s="1035"/>
      <c r="C17" s="1035"/>
      <c r="D17" s="1035"/>
      <c r="E17" s="1035"/>
      <c r="F17" s="1035"/>
      <c r="G17" s="1035"/>
      <c r="H17" s="1035"/>
      <c r="I17" s="1035"/>
      <c r="J17" s="1035"/>
      <c r="K17" s="1035"/>
      <c r="L17" s="1035"/>
      <c r="M17" s="1035"/>
      <c r="N17" s="1035"/>
      <c r="O17" s="1035"/>
      <c r="P17" s="1035"/>
      <c r="Q17" s="9"/>
      <c r="R17" s="9"/>
      <c r="S17" s="9"/>
      <c r="T17" s="9"/>
      <c r="U17" s="9"/>
      <c r="V17" s="9"/>
      <c r="W17" s="9"/>
      <c r="X17" s="9"/>
      <c r="Y17" s="9"/>
      <c r="Z17" s="9"/>
      <c r="AA17" s="9"/>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row>
    <row r="18" spans="1:102">
      <c r="B18" s="1027"/>
      <c r="C18" s="2504" t="s">
        <v>5102</v>
      </c>
      <c r="D18" s="2504"/>
      <c r="E18" s="2504" t="s">
        <v>5103</v>
      </c>
      <c r="F18" s="2504"/>
      <c r="G18" s="2504" t="s">
        <v>5104</v>
      </c>
      <c r="H18" s="2504"/>
      <c r="I18" s="2504" t="s">
        <v>5002</v>
      </c>
      <c r="J18" s="2504"/>
      <c r="K18" s="1027"/>
      <c r="L18" s="1027"/>
      <c r="M18" s="1027"/>
      <c r="N18" s="1027"/>
      <c r="O18" s="1027"/>
      <c r="P18" s="1027"/>
      <c r="Q18" s="9">
        <f>LowIncome3BRUnits</f>
        <v>0</v>
      </c>
      <c r="R18" s="9" t="s">
        <v>5105</v>
      </c>
      <c r="AB18" s="115"/>
      <c r="AC18" s="115"/>
      <c r="AD18" s="115"/>
      <c r="AE18" s="115"/>
      <c r="AF18" s="115"/>
      <c r="AG18" s="115"/>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row>
    <row r="19" spans="1:102">
      <c r="B19" s="1027"/>
      <c r="C19" s="2513">
        <f>Q18</f>
        <v>0</v>
      </c>
      <c r="D19" s="2513"/>
      <c r="E19" s="2514">
        <f>Q19</f>
        <v>0</v>
      </c>
      <c r="F19" s="2513"/>
      <c r="G19" s="2515">
        <f>Q20</f>
        <v>0</v>
      </c>
      <c r="H19" s="2515"/>
      <c r="I19" s="2510">
        <f>IF(AND(G19&gt;=5%,G19&lt;11%),L14,IF(AND(G19&gt;=11%,G19&lt;16%),L15,IF(G19&gt;=16%,L16,0)))</f>
        <v>0</v>
      </c>
      <c r="J19" s="2510"/>
      <c r="K19" s="1027"/>
      <c r="L19" s="1027"/>
      <c r="M19" s="1027"/>
      <c r="N19" s="1027"/>
      <c r="O19" s="1027"/>
      <c r="P19" s="1027"/>
      <c r="Q19" s="808">
        <f>'11. Unit Mix'!F126</f>
        <v>0</v>
      </c>
      <c r="R19" s="9" t="s">
        <v>5106</v>
      </c>
      <c r="AB19" s="115"/>
      <c r="AC19" s="115"/>
      <c r="AD19" s="115"/>
      <c r="AE19" s="115"/>
      <c r="AF19" s="115"/>
      <c r="AG19" s="115"/>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row>
    <row r="20" spans="1:102">
      <c r="B20" s="1027"/>
      <c r="C20" s="1027"/>
      <c r="D20" s="1027"/>
      <c r="E20" s="1027"/>
      <c r="F20" s="1027"/>
      <c r="G20" s="1027"/>
      <c r="H20" s="1027"/>
      <c r="I20" s="1027"/>
      <c r="J20" s="1027"/>
      <c r="K20" s="1027"/>
      <c r="L20" s="1027"/>
      <c r="M20" s="1027"/>
      <c r="N20" s="1027"/>
      <c r="O20" s="1027"/>
      <c r="P20" s="1027"/>
      <c r="Q20" s="9">
        <f>IF(Q19=0, 0, ROUNDDOWN(Q18/Q19, 2))</f>
        <v>0</v>
      </c>
      <c r="AB20" s="115"/>
      <c r="AC20" s="115"/>
      <c r="AD20" s="115"/>
      <c r="AE20" s="115"/>
      <c r="AF20" s="115"/>
      <c r="AG20" s="115"/>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row>
    <row r="21" spans="1:102">
      <c r="B21" s="1027" t="s">
        <v>5107</v>
      </c>
      <c r="C21" s="1027"/>
      <c r="D21" s="1027"/>
      <c r="E21" s="1027"/>
      <c r="F21" s="1027"/>
      <c r="G21" s="1027"/>
      <c r="H21" s="1027"/>
      <c r="I21" s="1027"/>
      <c r="J21" s="1027"/>
      <c r="K21" s="1027"/>
      <c r="L21" s="1027"/>
      <c r="M21" s="1027"/>
      <c r="N21" s="1027"/>
      <c r="O21" s="1027"/>
      <c r="P21" s="1027"/>
      <c r="AB21" s="115"/>
      <c r="AC21" s="115"/>
      <c r="AD21" s="115"/>
      <c r="AE21" s="115"/>
      <c r="AF21" s="115"/>
      <c r="AG21" s="115"/>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row>
    <row r="22" spans="1:102">
      <c r="B22" s="1027"/>
      <c r="C22" s="1027"/>
      <c r="D22" s="1027"/>
      <c r="E22" s="1027"/>
      <c r="F22" s="1027"/>
      <c r="G22" s="1027"/>
      <c r="H22" s="1027"/>
      <c r="I22" s="1027"/>
      <c r="J22" s="1027"/>
      <c r="K22" s="1027"/>
      <c r="L22" s="1027"/>
      <c r="M22" s="1027"/>
      <c r="N22" s="1027"/>
      <c r="O22" s="1027"/>
      <c r="P22" s="1027"/>
      <c r="AB22" s="115"/>
      <c r="AC22" s="115"/>
      <c r="AD22" s="115"/>
      <c r="AE22" s="115"/>
      <c r="AF22" s="115"/>
      <c r="AG22" s="115"/>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row>
    <row r="23" spans="1:102" ht="30">
      <c r="B23" s="1027"/>
      <c r="C23" s="1747" t="s">
        <v>5108</v>
      </c>
      <c r="D23" s="1753" t="s">
        <v>5109</v>
      </c>
      <c r="E23" s="2504" t="s">
        <v>5110</v>
      </c>
      <c r="F23" s="2504"/>
      <c r="G23" s="1747" t="s">
        <v>5002</v>
      </c>
      <c r="H23" s="1027"/>
      <c r="I23" s="1027"/>
      <c r="J23" s="1027"/>
      <c r="K23" s="1747" t="s">
        <v>5096</v>
      </c>
      <c r="L23" s="1747" t="s">
        <v>5002</v>
      </c>
      <c r="M23" s="1027"/>
      <c r="N23" s="1027"/>
      <c r="O23" s="1027"/>
      <c r="P23" s="1027"/>
      <c r="AB23" s="115"/>
      <c r="AC23" s="115"/>
      <c r="AD23" s="115"/>
      <c r="AE23" s="115"/>
      <c r="AF23" s="115"/>
      <c r="AG23" s="115"/>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row>
    <row r="24" spans="1:102">
      <c r="B24" s="1027"/>
      <c r="C24" s="1743" t="str">
        <f>IFERROR(IF(E24&gt;50%,"Yes","No")," ")</f>
        <v>No</v>
      </c>
      <c r="D24" s="1743">
        <f>Age_Restricted_Number_of_Units</f>
        <v>0</v>
      </c>
      <c r="E24" s="2505">
        <f>IF(Total_Units&gt;0,D24/Total_Units,0)</f>
        <v>0</v>
      </c>
      <c r="F24" s="2505"/>
      <c r="G24" s="1743">
        <f>IF(isQualifiedSenior="Yes",5,0)</f>
        <v>0</v>
      </c>
      <c r="H24" s="1027"/>
      <c r="I24" s="1027"/>
      <c r="J24" s="1027"/>
      <c r="K24" s="1200" t="s">
        <v>5111</v>
      </c>
      <c r="L24" s="1200">
        <v>5</v>
      </c>
      <c r="M24" s="1027"/>
      <c r="N24" s="1027"/>
      <c r="O24" s="1027"/>
      <c r="P24" s="1027"/>
      <c r="AB24" s="115"/>
      <c r="AC24" s="115"/>
      <c r="AD24" s="115"/>
      <c r="AE24" s="115"/>
      <c r="AF24" s="115"/>
      <c r="AG24" s="115"/>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row>
    <row r="25" spans="1:102" ht="18.75">
      <c r="B25" s="1219"/>
      <c r="C25" s="1219"/>
      <c r="D25" s="1219"/>
      <c r="E25" s="1219"/>
      <c r="F25" s="1219"/>
      <c r="G25" s="1219"/>
      <c r="H25" s="1219"/>
      <c r="I25" s="1219"/>
      <c r="J25" s="1219"/>
      <c r="K25" s="1219"/>
      <c r="L25" s="1219"/>
      <c r="M25" s="1219"/>
      <c r="N25" s="1219"/>
      <c r="O25" s="1219"/>
      <c r="P25" s="1219"/>
      <c r="AB25" s="115"/>
      <c r="AC25" s="115"/>
      <c r="AD25" s="115"/>
      <c r="AE25" s="115"/>
      <c r="AF25" s="115"/>
      <c r="AG25" s="115"/>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row>
    <row r="26" spans="1:102" ht="18.75">
      <c r="B26" s="1219"/>
      <c r="C26" s="1219"/>
      <c r="D26" s="1219"/>
      <c r="E26" s="1219"/>
      <c r="F26" s="1219"/>
      <c r="G26" s="1219"/>
      <c r="H26" s="1219"/>
      <c r="I26" s="1219"/>
      <c r="J26" s="1219"/>
      <c r="K26" s="1219"/>
      <c r="L26" s="1219"/>
      <c r="M26" s="1219"/>
      <c r="N26" s="1219"/>
      <c r="O26" s="1219"/>
      <c r="P26" s="1219"/>
      <c r="Q26" s="9">
        <f>IF(isQualifiedSenior="Yes",G24,I19)</f>
        <v>0</v>
      </c>
      <c r="AB26" s="115"/>
      <c r="AC26" s="115"/>
      <c r="AD26" s="115"/>
      <c r="AE26" s="115"/>
      <c r="AF26" s="115"/>
      <c r="AG26" s="115"/>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row>
    <row r="27" spans="1:102" ht="15.75">
      <c r="B27" s="1027"/>
      <c r="C27" s="1227" t="s">
        <v>4997</v>
      </c>
      <c r="D27" s="1227" t="s">
        <v>4971</v>
      </c>
      <c r="E27" s="1227" t="s">
        <v>1051</v>
      </c>
      <c r="F27" s="1027"/>
      <c r="G27" s="1027"/>
      <c r="H27" s="1027"/>
      <c r="I27" s="1027"/>
      <c r="J27" s="1027"/>
      <c r="K27" s="1027"/>
      <c r="L27" s="1027"/>
      <c r="M27" s="1027"/>
      <c r="N27" s="1027"/>
      <c r="O27" s="1027"/>
      <c r="P27" s="1027"/>
      <c r="AB27" s="115"/>
      <c r="AC27" s="115"/>
      <c r="AD27" s="115"/>
      <c r="AE27" s="115"/>
      <c r="AF27" s="115"/>
      <c r="AG27" s="115"/>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row>
    <row r="28" spans="1:102" ht="18.75">
      <c r="B28" s="1219"/>
      <c r="C28" s="858">
        <v>5</v>
      </c>
      <c r="D28" s="1760">
        <f>Q26</f>
        <v>0</v>
      </c>
      <c r="E28" s="1757"/>
      <c r="F28" s="1219"/>
      <c r="G28" s="1219"/>
      <c r="H28" s="1219"/>
      <c r="I28" s="1219"/>
      <c r="J28" s="1219"/>
      <c r="K28" s="1219"/>
      <c r="L28" s="1219"/>
      <c r="M28" s="1219"/>
      <c r="N28" s="1219"/>
      <c r="O28" s="1219"/>
      <c r="P28" s="1219"/>
      <c r="AB28" s="115"/>
      <c r="AC28" s="115"/>
      <c r="AD28" s="115"/>
      <c r="AE28" s="115"/>
      <c r="AF28" s="115"/>
      <c r="AG28" s="115"/>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row>
    <row r="29" spans="1:102">
      <c r="B29" s="1027"/>
      <c r="C29" s="1027"/>
      <c r="D29" s="1027"/>
      <c r="E29" s="1027"/>
      <c r="F29" s="1027"/>
      <c r="G29" s="1027"/>
      <c r="H29" s="1027"/>
      <c r="I29" s="1027"/>
      <c r="J29" s="1027"/>
      <c r="K29" s="1027"/>
      <c r="L29" s="1027"/>
      <c r="M29" s="1027"/>
      <c r="N29" s="1027"/>
      <c r="O29" s="1027"/>
      <c r="P29" s="1027"/>
      <c r="AB29" s="115"/>
      <c r="AC29" s="115"/>
      <c r="AD29" s="115"/>
      <c r="AE29" s="115"/>
      <c r="AF29" s="115"/>
      <c r="AG29" s="115"/>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row>
    <row r="30" spans="1:102" ht="18.75">
      <c r="B30" s="8" t="s">
        <v>5112</v>
      </c>
      <c r="C30" s="8"/>
      <c r="D30" s="8"/>
      <c r="E30" s="8"/>
      <c r="F30" s="8"/>
      <c r="G30" s="8"/>
      <c r="H30" s="8"/>
      <c r="I30" s="8"/>
      <c r="J30" s="8" t="s">
        <v>5113</v>
      </c>
      <c r="K30" s="8"/>
      <c r="L30" s="8"/>
      <c r="M30" s="8"/>
      <c r="N30" s="8"/>
      <c r="O30" s="8"/>
      <c r="P30" s="8"/>
      <c r="AB30" s="115"/>
      <c r="AC30" s="115"/>
      <c r="AD30" s="115"/>
      <c r="AE30" s="115"/>
      <c r="AF30" s="115"/>
      <c r="AG30" s="115"/>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row>
    <row r="31" spans="1:102">
      <c r="B31" s="1030" t="s">
        <v>4802</v>
      </c>
      <c r="C31" s="1027"/>
      <c r="D31" s="1027"/>
      <c r="E31" s="1027"/>
      <c r="F31" s="1027"/>
      <c r="G31" s="1027"/>
      <c r="H31" s="1027"/>
      <c r="I31" s="1027"/>
      <c r="J31" s="1032" t="s">
        <v>3637</v>
      </c>
      <c r="K31" s="1027"/>
      <c r="L31" s="1027"/>
      <c r="M31" s="1027"/>
      <c r="N31" s="1027"/>
      <c r="O31" s="1027"/>
      <c r="P31" s="1027"/>
      <c r="AB31" s="115"/>
      <c r="AC31" s="115"/>
      <c r="AD31" s="115"/>
      <c r="AE31" s="115"/>
      <c r="AF31" s="115"/>
      <c r="AG31" s="115"/>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row>
    <row r="32" spans="1:102">
      <c r="B32" s="1027"/>
      <c r="C32" s="2022"/>
      <c r="D32" s="2022"/>
      <c r="E32" s="2022"/>
      <c r="F32" s="2022"/>
      <c r="G32" s="2022"/>
      <c r="H32" s="2022"/>
      <c r="I32" s="1027"/>
      <c r="J32" s="1998"/>
      <c r="K32" s="1998"/>
      <c r="L32" s="1998"/>
      <c r="M32" s="1998"/>
      <c r="N32" s="1998"/>
      <c r="O32" s="2501"/>
      <c r="P32" s="1027"/>
      <c r="AB32" s="115"/>
      <c r="AC32" s="115"/>
      <c r="AD32" s="115"/>
      <c r="AE32" s="115"/>
      <c r="AF32" s="115"/>
      <c r="AG32" s="115"/>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row>
    <row r="33" spans="1:102">
      <c r="B33" s="1027"/>
      <c r="C33" s="2022"/>
      <c r="D33" s="2022"/>
      <c r="E33" s="2022"/>
      <c r="F33" s="2022"/>
      <c r="G33" s="2022"/>
      <c r="H33" s="2022"/>
      <c r="I33" s="1027"/>
      <c r="J33" s="1998"/>
      <c r="K33" s="1998"/>
      <c r="L33" s="1998"/>
      <c r="M33" s="1998"/>
      <c r="N33" s="1998"/>
      <c r="O33" s="2501"/>
      <c r="P33" s="1027"/>
      <c r="AB33" s="115"/>
      <c r="AC33" s="115"/>
      <c r="AD33" s="115"/>
      <c r="AE33" s="115"/>
      <c r="AF33" s="115"/>
      <c r="AG33" s="115"/>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row>
    <row r="34" spans="1:102">
      <c r="B34" s="1027"/>
      <c r="C34" s="2022"/>
      <c r="D34" s="2022"/>
      <c r="E34" s="2022"/>
      <c r="F34" s="2022"/>
      <c r="G34" s="2022"/>
      <c r="H34" s="2022"/>
      <c r="I34" s="1027"/>
      <c r="J34" s="1998"/>
      <c r="K34" s="1998"/>
      <c r="L34" s="1998"/>
      <c r="M34" s="1998"/>
      <c r="N34" s="1998"/>
      <c r="O34" s="2501"/>
      <c r="P34" s="1027"/>
      <c r="AB34" s="115"/>
      <c r="AC34" s="115"/>
      <c r="AD34" s="115"/>
      <c r="AE34" s="115"/>
      <c r="AF34" s="115"/>
      <c r="AG34" s="115"/>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row>
    <row r="35" spans="1:102">
      <c r="B35" s="1027"/>
      <c r="C35" s="2022"/>
      <c r="D35" s="2022"/>
      <c r="E35" s="2022"/>
      <c r="F35" s="2022"/>
      <c r="G35" s="2022"/>
      <c r="H35" s="2022"/>
      <c r="I35" s="1027"/>
      <c r="J35" s="1998"/>
      <c r="K35" s="1998"/>
      <c r="L35" s="1998"/>
      <c r="M35" s="1998"/>
      <c r="N35" s="1998"/>
      <c r="O35" s="2501"/>
      <c r="P35" s="1027"/>
      <c r="AB35" s="115"/>
      <c r="AC35" s="115"/>
      <c r="AD35" s="115"/>
      <c r="AE35" s="115"/>
      <c r="AF35" s="115"/>
      <c r="AG35" s="115"/>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row>
    <row r="36" spans="1:102">
      <c r="B36" s="1027"/>
      <c r="C36" s="2022"/>
      <c r="D36" s="2022"/>
      <c r="E36" s="2022"/>
      <c r="F36" s="2022"/>
      <c r="G36" s="2022"/>
      <c r="H36" s="2022"/>
      <c r="I36" s="1027"/>
      <c r="J36" s="1998"/>
      <c r="K36" s="1998"/>
      <c r="L36" s="1998"/>
      <c r="M36" s="1998"/>
      <c r="N36" s="1998"/>
      <c r="O36" s="2501"/>
      <c r="P36" s="1027"/>
      <c r="AB36" s="115"/>
      <c r="AC36" s="115"/>
      <c r="AD36" s="115"/>
      <c r="AE36" s="115"/>
      <c r="AF36" s="115"/>
      <c r="AG36" s="115"/>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row>
    <row r="37" spans="1:102">
      <c r="B37" s="1027"/>
      <c r="C37" s="2022"/>
      <c r="D37" s="2022"/>
      <c r="E37" s="2022"/>
      <c r="F37" s="2022"/>
      <c r="G37" s="2022"/>
      <c r="H37" s="2022"/>
      <c r="I37" s="1027"/>
      <c r="J37" s="1998"/>
      <c r="K37" s="1998"/>
      <c r="L37" s="1998"/>
      <c r="M37" s="1998"/>
      <c r="N37" s="1998"/>
      <c r="O37" s="2501"/>
      <c r="P37" s="1027"/>
      <c r="AB37" s="115"/>
      <c r="AC37" s="115"/>
      <c r="AD37" s="115"/>
      <c r="AE37" s="115"/>
      <c r="AF37" s="115"/>
      <c r="AG37" s="115"/>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row>
    <row r="38" spans="1:102">
      <c r="B38" s="1027"/>
      <c r="C38" s="2022"/>
      <c r="D38" s="2022"/>
      <c r="E38" s="2022"/>
      <c r="F38" s="2022"/>
      <c r="G38" s="2022"/>
      <c r="H38" s="2022"/>
      <c r="I38" s="1027"/>
      <c r="J38" s="1998"/>
      <c r="K38" s="1998"/>
      <c r="L38" s="1998"/>
      <c r="M38" s="1998"/>
      <c r="N38" s="1998"/>
      <c r="O38" s="2501"/>
      <c r="P38" s="1027"/>
      <c r="AB38" s="115"/>
      <c r="AC38" s="115"/>
      <c r="AD38" s="115"/>
      <c r="AE38" s="115"/>
      <c r="AF38" s="115"/>
      <c r="AG38" s="115"/>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row>
    <row r="39" spans="1:102">
      <c r="B39" s="1027"/>
      <c r="C39" s="2022"/>
      <c r="D39" s="2022"/>
      <c r="E39" s="2022"/>
      <c r="F39" s="2022"/>
      <c r="G39" s="2022"/>
      <c r="H39" s="2022"/>
      <c r="I39" s="1027"/>
      <c r="J39" s="1998"/>
      <c r="K39" s="1998"/>
      <c r="L39" s="1998"/>
      <c r="M39" s="1998"/>
      <c r="N39" s="1998"/>
      <c r="O39" s="2501"/>
      <c r="P39" s="1027"/>
      <c r="AB39" s="115"/>
      <c r="AC39" s="115"/>
      <c r="AD39" s="115"/>
      <c r="AE39" s="115"/>
      <c r="AF39" s="115"/>
      <c r="AG39" s="115"/>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row>
    <row r="40" spans="1:102">
      <c r="B40" s="1027"/>
      <c r="C40" s="2022"/>
      <c r="D40" s="2022"/>
      <c r="E40" s="2022"/>
      <c r="F40" s="2022"/>
      <c r="G40" s="2022"/>
      <c r="H40" s="2022"/>
      <c r="I40" s="1027"/>
      <c r="J40" s="2502"/>
      <c r="K40" s="2502"/>
      <c r="L40" s="2502"/>
      <c r="M40" s="2502"/>
      <c r="N40" s="2502"/>
      <c r="O40" s="2022"/>
      <c r="P40" s="1027"/>
      <c r="AB40" s="115"/>
      <c r="AC40" s="115"/>
      <c r="AD40" s="115"/>
      <c r="AE40" s="115"/>
      <c r="AF40" s="115"/>
      <c r="AG40" s="115"/>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row>
    <row r="41" spans="1:102">
      <c r="B41" s="1027"/>
      <c r="C41" s="2022"/>
      <c r="D41" s="2022"/>
      <c r="E41" s="2022"/>
      <c r="F41" s="2022"/>
      <c r="G41" s="2022"/>
      <c r="H41" s="2022"/>
      <c r="I41" s="1027"/>
      <c r="J41" s="1756" t="s">
        <v>1058</v>
      </c>
      <c r="K41" s="1027"/>
      <c r="L41" s="1027"/>
      <c r="M41" s="1027"/>
      <c r="N41" s="1027"/>
      <c r="O41" s="1027"/>
      <c r="P41" s="1027"/>
      <c r="AB41" s="115"/>
      <c r="AC41" s="115"/>
      <c r="AD41" s="115"/>
      <c r="AE41" s="115"/>
      <c r="AF41" s="115"/>
      <c r="AG41" s="115"/>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row>
    <row r="42" spans="1:102">
      <c r="B42" s="1027"/>
      <c r="C42" s="2022"/>
      <c r="D42" s="2022"/>
      <c r="E42" s="2022"/>
      <c r="F42" s="2022"/>
      <c r="G42" s="2022"/>
      <c r="H42" s="2022"/>
      <c r="I42" s="1027"/>
      <c r="J42" s="2495"/>
      <c r="K42" s="2495"/>
      <c r="L42" s="2495"/>
      <c r="M42" s="2495"/>
      <c r="N42" s="2495"/>
      <c r="O42" s="2495"/>
      <c r="P42" s="1027"/>
      <c r="AB42" s="115"/>
      <c r="AC42" s="115"/>
      <c r="AD42" s="115"/>
      <c r="AE42" s="115"/>
      <c r="AF42" s="115"/>
      <c r="AG42" s="115"/>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row>
    <row r="43" spans="1:102">
      <c r="B43" s="1027"/>
      <c r="C43" s="1027"/>
      <c r="D43" s="1027"/>
      <c r="E43" s="1027"/>
      <c r="F43" s="1027"/>
      <c r="G43" s="1027"/>
      <c r="H43" s="1027"/>
      <c r="I43" s="1027"/>
      <c r="J43" s="1027"/>
      <c r="K43" s="1027"/>
      <c r="L43" s="1027"/>
      <c r="M43" s="1027"/>
      <c r="N43" s="1027"/>
      <c r="O43" s="1027"/>
      <c r="P43" s="1027"/>
      <c r="AB43" s="115"/>
      <c r="AC43" s="115"/>
      <c r="AD43" s="115"/>
      <c r="AE43" s="115"/>
      <c r="AF43" s="115"/>
      <c r="AG43" s="115"/>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row>
    <row r="44" spans="1:102" ht="21" customHeight="1">
      <c r="B44" s="852" t="s">
        <v>5114</v>
      </c>
      <c r="C44" s="776"/>
      <c r="D44" s="776"/>
      <c r="E44" s="776"/>
      <c r="F44" s="776"/>
      <c r="G44" s="776"/>
      <c r="H44" s="776"/>
      <c r="I44" s="776"/>
      <c r="J44" s="776"/>
      <c r="K44" s="776"/>
      <c r="L44" s="776"/>
      <c r="M44" s="776"/>
      <c r="N44" s="776"/>
      <c r="O44" s="776"/>
      <c r="P44" s="776"/>
      <c r="S44" s="157"/>
      <c r="T44" s="157"/>
      <c r="U44" s="157"/>
      <c r="V44" s="157"/>
      <c r="W44" s="157"/>
      <c r="X44" s="157"/>
      <c r="Y44" s="157"/>
      <c r="Z44" s="157"/>
      <c r="AA44" s="157"/>
      <c r="AB44" s="487"/>
      <c r="AC44" s="487"/>
      <c r="AD44" s="487"/>
      <c r="AE44" s="487"/>
      <c r="AF44" s="487"/>
      <c r="AG44" s="487"/>
      <c r="AH44" s="487"/>
      <c r="AI44" s="487"/>
      <c r="AJ44" s="157"/>
      <c r="AK44" s="157"/>
      <c r="AL44" s="157"/>
      <c r="AM44" s="157"/>
      <c r="AN44" s="157"/>
      <c r="AO44" s="157"/>
      <c r="AP44" s="157"/>
      <c r="AQ44" s="157"/>
      <c r="AR44" s="157"/>
      <c r="AS44" s="157"/>
      <c r="AT44" s="157"/>
      <c r="AU44" s="157"/>
      <c r="AV44" s="157"/>
      <c r="AW44" s="157"/>
      <c r="AX44" s="157"/>
      <c r="AY44" s="157"/>
      <c r="AZ44" s="157"/>
      <c r="BA44" s="157"/>
      <c r="BB44" s="157"/>
      <c r="BC44" s="157"/>
    </row>
    <row r="45" spans="1:102">
      <c r="B45" s="1742" t="s">
        <v>4001</v>
      </c>
      <c r="C45" s="1027"/>
      <c r="D45" s="1027"/>
      <c r="E45" s="1027"/>
      <c r="F45" s="1027"/>
      <c r="G45" s="1027"/>
      <c r="H45" s="1027"/>
      <c r="I45" s="1027"/>
      <c r="J45" s="1027"/>
      <c r="K45" s="1027"/>
      <c r="L45" s="1027"/>
      <c r="M45" s="1027"/>
      <c r="N45" s="1027"/>
      <c r="O45" s="1027"/>
      <c r="P45" s="1027"/>
      <c r="S45" s="157"/>
      <c r="T45" s="157"/>
      <c r="U45" s="157"/>
      <c r="V45" s="157"/>
      <c r="W45" s="157"/>
      <c r="X45" s="157"/>
      <c r="Y45" s="157"/>
      <c r="Z45" s="157"/>
      <c r="AA45" s="157"/>
      <c r="AB45" s="487"/>
      <c r="AC45" s="487"/>
      <c r="AD45" s="487"/>
      <c r="AE45" s="487"/>
      <c r="AF45" s="487"/>
      <c r="AG45" s="487"/>
      <c r="AH45" s="487"/>
      <c r="AI45" s="487"/>
      <c r="AJ45" s="487"/>
      <c r="AK45" s="487"/>
      <c r="AL45" s="487"/>
      <c r="AM45" s="487"/>
      <c r="AN45" s="487"/>
      <c r="AO45" s="157"/>
      <c r="AP45" s="157"/>
      <c r="AQ45" s="157"/>
      <c r="AR45" s="157"/>
      <c r="AS45" s="157"/>
      <c r="AT45" s="157"/>
      <c r="AU45" s="157"/>
      <c r="AV45" s="157"/>
      <c r="AW45" s="157"/>
      <c r="AX45" s="157"/>
      <c r="AY45" s="157"/>
      <c r="AZ45" s="157"/>
      <c r="BA45" s="157"/>
      <c r="BB45" s="157"/>
      <c r="BC45" s="157"/>
    </row>
    <row r="46" spans="1:102" s="26" customFormat="1">
      <c r="A46" s="1477"/>
      <c r="B46" s="1714" t="s">
        <v>5115</v>
      </c>
      <c r="C46" s="1714"/>
      <c r="D46" s="1714"/>
      <c r="E46" s="1714"/>
      <c r="F46" s="1714"/>
      <c r="G46" s="1714"/>
      <c r="H46" s="1714"/>
      <c r="I46" s="1714"/>
      <c r="J46" s="1714"/>
      <c r="K46" s="1714"/>
      <c r="L46" s="1714"/>
      <c r="M46" s="1714"/>
      <c r="N46" s="1714"/>
      <c r="O46" s="1714"/>
      <c r="P46" s="1714"/>
      <c r="Q46" s="9"/>
      <c r="R46" s="9"/>
      <c r="S46" s="157"/>
      <c r="T46" s="157"/>
      <c r="U46" s="157"/>
      <c r="V46" s="157"/>
      <c r="W46" s="157"/>
      <c r="X46" s="157"/>
      <c r="Y46" s="157"/>
      <c r="Z46" s="157"/>
      <c r="AA46" s="157"/>
      <c r="AB46" s="487"/>
      <c r="AC46" s="487"/>
      <c r="AD46" s="487"/>
      <c r="AE46" s="487"/>
      <c r="AF46" s="487"/>
      <c r="AG46" s="487"/>
      <c r="AH46" s="487"/>
      <c r="AI46" s="487"/>
      <c r="AJ46" s="487"/>
      <c r="AK46" s="487"/>
      <c r="AL46" s="487"/>
      <c r="AM46" s="487"/>
      <c r="AN46" s="487"/>
      <c r="AO46" s="157"/>
      <c r="AP46" s="157"/>
      <c r="AQ46" s="157"/>
      <c r="AR46" s="157"/>
      <c r="AS46" s="157"/>
      <c r="AT46" s="157"/>
      <c r="AU46" s="157"/>
      <c r="AV46" s="157"/>
      <c r="AW46" s="157"/>
      <c r="AX46" s="157"/>
      <c r="AY46" s="157"/>
      <c r="AZ46" s="157"/>
      <c r="BA46" s="157"/>
      <c r="BB46" s="157"/>
      <c r="BC46" s="157"/>
      <c r="BD46" s="1478"/>
      <c r="BE46" s="1478"/>
      <c r="BF46" s="1478"/>
      <c r="BG46" s="1478"/>
      <c r="BH46" s="1478"/>
      <c r="BI46" s="1478"/>
      <c r="BJ46" s="1478"/>
      <c r="BK46" s="1478"/>
      <c r="BL46" s="1478"/>
      <c r="BM46" s="1478"/>
      <c r="BN46" s="1478"/>
      <c r="BO46" s="1478"/>
      <c r="BP46" s="1478"/>
      <c r="BQ46" s="1478"/>
      <c r="BR46" s="1478"/>
      <c r="BS46" s="1478"/>
      <c r="BT46" s="1478"/>
      <c r="BU46" s="1478"/>
      <c r="BV46" s="1478"/>
      <c r="BW46" s="1478"/>
      <c r="BX46" s="1478"/>
      <c r="BY46" s="1478"/>
      <c r="BZ46" s="1478"/>
      <c r="CA46" s="1478"/>
      <c r="CB46" s="1478"/>
      <c r="CC46" s="1478"/>
      <c r="CD46" s="1478"/>
      <c r="CE46" s="1478"/>
      <c r="CF46" s="1478"/>
      <c r="CG46" s="1478"/>
      <c r="CH46" s="1478"/>
      <c r="CI46" s="1478"/>
      <c r="CJ46" s="1478"/>
      <c r="CK46" s="1478"/>
      <c r="CL46" s="1478"/>
      <c r="CM46" s="1478"/>
      <c r="CN46" s="1478"/>
      <c r="CO46" s="1478"/>
      <c r="CP46" s="1478"/>
      <c r="CQ46" s="1478"/>
      <c r="CR46" s="1478"/>
      <c r="CS46" s="1478"/>
      <c r="CT46" s="1478"/>
      <c r="CU46" s="1478"/>
      <c r="CV46" s="1478"/>
      <c r="CW46" s="1478"/>
      <c r="CX46" s="1478"/>
    </row>
    <row r="47" spans="1:102" s="26" customFormat="1">
      <c r="A47" s="1477"/>
      <c r="B47" s="1220" t="s">
        <v>5116</v>
      </c>
      <c r="C47" s="1221"/>
      <c r="D47" s="1221"/>
      <c r="E47" s="1221"/>
      <c r="F47" s="1221"/>
      <c r="G47" s="1221"/>
      <c r="H47" s="1221"/>
      <c r="I47" s="1221"/>
      <c r="J47" s="1221"/>
      <c r="K47" s="1221"/>
      <c r="L47" s="1221"/>
      <c r="M47" s="1221"/>
      <c r="N47" s="1714"/>
      <c r="O47" s="1714"/>
      <c r="P47" s="1714"/>
      <c r="Q47" s="9"/>
      <c r="R47" s="9"/>
      <c r="S47" s="157"/>
      <c r="T47" s="157"/>
      <c r="U47" s="157"/>
      <c r="V47" s="157"/>
      <c r="W47" s="157"/>
      <c r="X47" s="157"/>
      <c r="Y47" s="157"/>
      <c r="Z47" s="157"/>
      <c r="AA47" s="157"/>
      <c r="AB47" s="487"/>
      <c r="AC47" s="487"/>
      <c r="AD47" s="487"/>
      <c r="AE47" s="487"/>
      <c r="AF47" s="487"/>
      <c r="AG47" s="487"/>
      <c r="AH47" s="487"/>
      <c r="AI47" s="487"/>
      <c r="AJ47" s="487"/>
      <c r="AK47" s="487"/>
      <c r="AL47" s="487"/>
      <c r="AM47" s="487"/>
      <c r="AN47" s="487"/>
      <c r="AO47" s="157"/>
      <c r="AP47" s="157"/>
      <c r="AQ47" s="157"/>
      <c r="AR47" s="157"/>
      <c r="AS47" s="157"/>
      <c r="AT47" s="157"/>
      <c r="AU47" s="157"/>
      <c r="AV47" s="157"/>
      <c r="AW47" s="157"/>
      <c r="AX47" s="157"/>
      <c r="AY47" s="157"/>
      <c r="AZ47" s="157"/>
      <c r="BA47" s="157"/>
      <c r="BB47" s="157"/>
      <c r="BC47" s="157"/>
      <c r="BD47" s="1478"/>
      <c r="BE47" s="1478"/>
      <c r="BF47" s="1478"/>
      <c r="BG47" s="1478"/>
      <c r="BH47" s="1478"/>
      <c r="BI47" s="1478"/>
      <c r="BJ47" s="1478"/>
      <c r="BK47" s="1478"/>
      <c r="BL47" s="1478"/>
      <c r="BM47" s="1478"/>
      <c r="BN47" s="1478"/>
      <c r="BO47" s="1478"/>
      <c r="BP47" s="1478"/>
      <c r="BQ47" s="1478"/>
      <c r="BR47" s="1478"/>
      <c r="BS47" s="1478"/>
      <c r="BT47" s="1478"/>
      <c r="BU47" s="1478"/>
      <c r="BV47" s="1478"/>
      <c r="BW47" s="1478"/>
      <c r="BX47" s="1478"/>
      <c r="BY47" s="1478"/>
      <c r="BZ47" s="1478"/>
      <c r="CA47" s="1478"/>
      <c r="CB47" s="1478"/>
      <c r="CC47" s="1478"/>
      <c r="CD47" s="1478"/>
      <c r="CE47" s="1478"/>
      <c r="CF47" s="1478"/>
      <c r="CG47" s="1478"/>
      <c r="CH47" s="1478"/>
      <c r="CI47" s="1478"/>
      <c r="CJ47" s="1478"/>
      <c r="CK47" s="1478"/>
      <c r="CL47" s="1478"/>
      <c r="CM47" s="1478"/>
      <c r="CN47" s="1478"/>
      <c r="CO47" s="1478"/>
      <c r="CP47" s="1478"/>
      <c r="CQ47" s="1478"/>
      <c r="CR47" s="1478"/>
      <c r="CS47" s="1478"/>
      <c r="CT47" s="1478"/>
      <c r="CU47" s="1478"/>
      <c r="CV47" s="1478"/>
      <c r="CW47" s="1478"/>
      <c r="CX47" s="1478"/>
    </row>
    <row r="48" spans="1:102" s="26" customFormat="1">
      <c r="A48" s="1477"/>
      <c r="B48" s="1567" t="s">
        <v>5117</v>
      </c>
      <c r="C48" s="1567"/>
      <c r="D48" s="1567"/>
      <c r="E48" s="1567"/>
      <c r="F48" s="1567"/>
      <c r="G48" s="1567"/>
      <c r="H48" s="1567"/>
      <c r="I48" s="1567"/>
      <c r="J48" s="1567"/>
      <c r="K48" s="1567"/>
      <c r="L48" s="1567"/>
      <c r="M48" s="1567"/>
      <c r="N48" s="1714"/>
      <c r="O48" s="1714"/>
      <c r="P48" s="1714"/>
      <c r="Q48" s="9"/>
      <c r="R48" s="9"/>
      <c r="S48" s="157"/>
      <c r="T48" s="157"/>
      <c r="U48" s="157"/>
      <c r="V48" s="83"/>
      <c r="W48" s="157"/>
      <c r="X48" s="157"/>
      <c r="Y48" s="157"/>
      <c r="Z48" s="157"/>
      <c r="AA48" s="157"/>
      <c r="AB48" s="487"/>
      <c r="AC48" s="487"/>
      <c r="AD48" s="487"/>
      <c r="AE48" s="487"/>
      <c r="AF48" s="487"/>
      <c r="AG48" s="487"/>
      <c r="AH48" s="487"/>
      <c r="AI48" s="487"/>
      <c r="AJ48" s="487"/>
      <c r="AK48" s="487"/>
      <c r="AL48" s="487"/>
      <c r="AM48" s="487"/>
      <c r="AN48" s="487"/>
      <c r="AO48" s="157"/>
      <c r="AP48" s="157"/>
      <c r="AQ48" s="157"/>
      <c r="AR48" s="157"/>
      <c r="AS48" s="157"/>
      <c r="AT48" s="157"/>
      <c r="AU48" s="157"/>
      <c r="AV48" s="157"/>
      <c r="AW48" s="157"/>
      <c r="AX48" s="157"/>
      <c r="AY48" s="157"/>
      <c r="AZ48" s="157"/>
      <c r="BA48" s="157"/>
      <c r="BB48" s="157"/>
      <c r="BC48" s="157"/>
      <c r="BD48" s="1478"/>
      <c r="BE48" s="1478"/>
      <c r="BF48" s="1478"/>
      <c r="BG48" s="1478"/>
      <c r="BH48" s="1478"/>
      <c r="BI48" s="1478"/>
      <c r="BJ48" s="1478"/>
      <c r="BK48" s="1478"/>
      <c r="BL48" s="1478"/>
      <c r="BM48" s="1478"/>
      <c r="BN48" s="1478"/>
      <c r="BO48" s="1478"/>
      <c r="BP48" s="1478"/>
      <c r="BQ48" s="1478"/>
      <c r="BR48" s="1478"/>
      <c r="BS48" s="1478"/>
      <c r="BT48" s="1478"/>
      <c r="BU48" s="1478"/>
      <c r="BV48" s="1478"/>
      <c r="BW48" s="1478"/>
      <c r="BX48" s="1478"/>
      <c r="BY48" s="1478"/>
      <c r="BZ48" s="1478"/>
      <c r="CA48" s="1478"/>
      <c r="CB48" s="1478"/>
      <c r="CC48" s="1478"/>
      <c r="CD48" s="1478"/>
      <c r="CE48" s="1478"/>
      <c r="CF48" s="1478"/>
      <c r="CG48" s="1478"/>
      <c r="CH48" s="1478"/>
      <c r="CI48" s="1478"/>
      <c r="CJ48" s="1478"/>
      <c r="CK48" s="1478"/>
      <c r="CL48" s="1478"/>
      <c r="CM48" s="1478"/>
      <c r="CN48" s="1478"/>
      <c r="CO48" s="1478"/>
      <c r="CP48" s="1478"/>
      <c r="CQ48" s="1478"/>
      <c r="CR48" s="1478"/>
      <c r="CS48" s="1478"/>
      <c r="CT48" s="1478"/>
      <c r="CU48" s="1478"/>
      <c r="CV48" s="1478"/>
      <c r="CW48" s="1478"/>
      <c r="CX48" s="1478"/>
    </row>
    <row r="49" spans="1:55" s="26" customFormat="1">
      <c r="A49" s="1477"/>
      <c r="B49" s="1088" t="s">
        <v>5118</v>
      </c>
      <c r="C49" s="1567"/>
      <c r="D49" s="1567"/>
      <c r="E49" s="1567"/>
      <c r="F49" s="1567"/>
      <c r="G49" s="1567"/>
      <c r="H49" s="1567"/>
      <c r="I49" s="1567"/>
      <c r="J49" s="1567"/>
      <c r="K49" s="1567"/>
      <c r="L49" s="1567"/>
      <c r="M49" s="1567"/>
      <c r="N49" s="1714"/>
      <c r="O49" s="1714"/>
      <c r="P49" s="1714"/>
      <c r="Q49" s="9"/>
      <c r="R49" s="9"/>
      <c r="S49" s="157"/>
      <c r="T49" s="157"/>
      <c r="U49" s="157"/>
      <c r="V49" s="83"/>
      <c r="W49" s="157"/>
      <c r="X49" s="157"/>
      <c r="Y49" s="157"/>
      <c r="Z49" s="157"/>
      <c r="AA49" s="157"/>
      <c r="AB49" s="487"/>
      <c r="AC49" s="487"/>
      <c r="AD49" s="487"/>
      <c r="AE49" s="487"/>
      <c r="AF49" s="487"/>
      <c r="AG49" s="487"/>
      <c r="AH49" s="487"/>
      <c r="AI49" s="487"/>
      <c r="AJ49" s="487"/>
      <c r="AK49" s="487"/>
      <c r="AL49" s="487"/>
      <c r="AM49" s="487"/>
      <c r="AN49" s="487"/>
      <c r="AO49" s="157"/>
      <c r="AP49" s="157"/>
      <c r="AQ49" s="157"/>
      <c r="AR49" s="157"/>
      <c r="AS49" s="157"/>
      <c r="AT49" s="157"/>
      <c r="AU49" s="157"/>
      <c r="AV49" s="157"/>
      <c r="AW49" s="157"/>
      <c r="AX49" s="157"/>
      <c r="AY49" s="157"/>
      <c r="AZ49" s="157"/>
      <c r="BA49" s="157"/>
      <c r="BB49" s="157"/>
      <c r="BC49" s="157"/>
    </row>
    <row r="50" spans="1:55" s="26" customFormat="1" ht="15" customHeight="1">
      <c r="A50" s="1477"/>
      <c r="B50" s="1088" t="s">
        <v>5119</v>
      </c>
      <c r="C50" s="1714"/>
      <c r="D50" s="1714"/>
      <c r="E50" s="1714"/>
      <c r="F50" s="1714"/>
      <c r="G50" s="1714"/>
      <c r="H50" s="1714"/>
      <c r="I50" s="1714"/>
      <c r="J50" s="1714"/>
      <c r="K50" s="1714"/>
      <c r="L50" s="1714"/>
      <c r="M50" s="1714"/>
      <c r="N50" s="1714"/>
      <c r="O50" s="1714"/>
      <c r="P50" s="1714"/>
      <c r="Q50" s="9"/>
      <c r="R50" s="9"/>
      <c r="S50" s="157"/>
      <c r="T50" s="157"/>
      <c r="U50" s="1327"/>
      <c r="V50" s="83"/>
      <c r="W50" s="157"/>
      <c r="X50" s="157"/>
      <c r="Y50" s="157"/>
      <c r="Z50" s="157"/>
      <c r="AA50" s="157"/>
      <c r="AB50" s="487"/>
      <c r="AC50" s="487"/>
      <c r="AD50" s="487"/>
      <c r="AE50" s="487"/>
      <c r="AF50" s="487"/>
      <c r="AG50" s="487"/>
      <c r="AH50" s="487"/>
      <c r="AI50" s="487"/>
      <c r="AJ50" s="487"/>
      <c r="AK50" s="487"/>
      <c r="AL50" s="487"/>
      <c r="AM50" s="487"/>
      <c r="AN50" s="487"/>
      <c r="AO50" s="157"/>
      <c r="AP50" s="157"/>
      <c r="AQ50" s="157"/>
      <c r="AR50" s="157"/>
      <c r="AS50" s="157"/>
      <c r="AT50" s="157"/>
      <c r="AU50" s="157"/>
      <c r="AV50" s="157"/>
      <c r="AW50" s="157"/>
      <c r="AX50" s="157"/>
      <c r="AY50" s="157"/>
      <c r="AZ50" s="157"/>
      <c r="BA50" s="157"/>
      <c r="BB50" s="157"/>
      <c r="BC50" s="157"/>
    </row>
    <row r="51" spans="1:55" ht="18.75">
      <c r="B51" s="1222"/>
      <c r="C51" s="1027"/>
      <c r="D51" s="1027"/>
      <c r="E51" s="1027"/>
      <c r="F51" s="1027"/>
      <c r="G51" s="1027"/>
      <c r="H51" s="1027"/>
      <c r="I51" s="1027"/>
      <c r="J51" s="1027"/>
      <c r="K51" s="1027"/>
      <c r="L51" s="1027"/>
      <c r="M51" s="1027"/>
      <c r="N51" s="1027"/>
      <c r="O51" s="1027"/>
      <c r="P51" s="1027"/>
      <c r="X51" s="157"/>
      <c r="Y51" s="157"/>
      <c r="Z51" s="157"/>
      <c r="AA51" s="157"/>
      <c r="AB51" s="487"/>
      <c r="AC51" s="487"/>
      <c r="AD51" s="487"/>
      <c r="AE51" s="487"/>
      <c r="AF51" s="487"/>
      <c r="AG51" s="487"/>
      <c r="AH51" s="487"/>
      <c r="AI51" s="487"/>
      <c r="AJ51" s="487"/>
      <c r="AK51" s="487"/>
      <c r="AL51" s="487"/>
      <c r="AM51" s="487"/>
      <c r="AN51" s="487"/>
      <c r="AO51" s="157"/>
      <c r="AP51" s="157"/>
      <c r="AQ51" s="157"/>
      <c r="AR51" s="157"/>
      <c r="AS51" s="157"/>
      <c r="AT51" s="157"/>
      <c r="AU51" s="157"/>
      <c r="AV51" s="157"/>
      <c r="AW51" s="157"/>
      <c r="AX51" s="157"/>
      <c r="AY51" s="157"/>
      <c r="AZ51" s="157"/>
      <c r="BA51" s="157"/>
      <c r="BB51" s="157"/>
      <c r="BC51" s="157"/>
    </row>
    <row r="52" spans="1:55" s="26" customFormat="1" ht="28.9" customHeight="1">
      <c r="A52" s="1477"/>
      <c r="B52" s="1714"/>
      <c r="C52" s="2503" t="s">
        <v>5120</v>
      </c>
      <c r="D52" s="2503"/>
      <c r="E52" s="2509" t="s">
        <v>5121</v>
      </c>
      <c r="F52" s="2509"/>
      <c r="G52" s="2503" t="s">
        <v>5122</v>
      </c>
      <c r="H52" s="2503"/>
      <c r="I52" s="2506" t="s">
        <v>5123</v>
      </c>
      <c r="J52" s="2507"/>
      <c r="K52" s="2503" t="s">
        <v>5124</v>
      </c>
      <c r="L52" s="1714"/>
      <c r="M52" s="1714"/>
      <c r="N52" s="1714"/>
      <c r="O52" s="1714"/>
      <c r="P52" s="1714"/>
      <c r="Q52" s="9"/>
      <c r="R52" s="9"/>
      <c r="S52" s="83"/>
      <c r="T52" s="83"/>
      <c r="U52" s="83"/>
      <c r="V52" s="83"/>
      <c r="W52" s="83"/>
      <c r="X52" s="1328"/>
      <c r="Y52" s="1328"/>
      <c r="Z52" s="1328"/>
      <c r="AA52" s="1328"/>
      <c r="AB52" s="487"/>
      <c r="AC52" s="487"/>
      <c r="AD52" s="487"/>
      <c r="AE52" s="487"/>
      <c r="AF52" s="487"/>
      <c r="AG52" s="487"/>
      <c r="AH52" s="487"/>
      <c r="AI52" s="487"/>
      <c r="AJ52" s="487"/>
      <c r="AK52" s="487"/>
      <c r="AL52" s="487"/>
      <c r="AM52" s="487"/>
      <c r="AN52" s="487"/>
      <c r="AO52" s="157"/>
      <c r="AP52" s="157"/>
      <c r="AQ52" s="157"/>
      <c r="AR52" s="157"/>
      <c r="AS52" s="157"/>
      <c r="AT52" s="157"/>
      <c r="AU52" s="157"/>
      <c r="AV52" s="157"/>
      <c r="AW52" s="157"/>
      <c r="AX52" s="157"/>
      <c r="AY52" s="157"/>
      <c r="AZ52" s="157"/>
      <c r="BA52" s="157"/>
      <c r="BB52" s="157"/>
      <c r="BC52" s="157"/>
    </row>
    <row r="53" spans="1:55" s="26" customFormat="1">
      <c r="A53" s="1477"/>
      <c r="B53" s="1714"/>
      <c r="C53" s="2503"/>
      <c r="D53" s="2503"/>
      <c r="E53" s="2509"/>
      <c r="F53" s="2509"/>
      <c r="G53" s="2503"/>
      <c r="H53" s="2503"/>
      <c r="I53" s="2508"/>
      <c r="J53" s="2503"/>
      <c r="K53" s="2503"/>
      <c r="L53" s="1714"/>
      <c r="M53" s="1714"/>
      <c r="N53" s="1714"/>
      <c r="O53" s="1714"/>
      <c r="P53" s="1714"/>
      <c r="Q53" s="9"/>
      <c r="R53" s="9"/>
      <c r="S53" s="83"/>
      <c r="T53" s="83"/>
      <c r="U53" s="83"/>
      <c r="V53" s="83"/>
      <c r="W53" s="83"/>
      <c r="X53" s="157"/>
      <c r="Y53" s="157"/>
      <c r="Z53" s="157"/>
      <c r="AA53" s="157"/>
      <c r="AB53" s="487"/>
      <c r="AC53" s="487"/>
      <c r="AD53" s="487"/>
      <c r="AE53" s="487"/>
      <c r="AF53" s="487"/>
      <c r="AG53" s="487"/>
      <c r="AH53" s="487"/>
      <c r="AI53" s="487"/>
      <c r="AJ53" s="487"/>
      <c r="AK53" s="487"/>
      <c r="AL53" s="487"/>
      <c r="AM53" s="487"/>
      <c r="AN53" s="487"/>
      <c r="AO53" s="157"/>
      <c r="AP53" s="157"/>
      <c r="AQ53" s="157"/>
      <c r="AR53" s="157"/>
      <c r="AS53" s="157"/>
      <c r="AT53" s="157"/>
      <c r="AU53" s="157"/>
      <c r="AV53" s="157"/>
      <c r="AW53" s="157"/>
      <c r="AX53" s="157"/>
      <c r="AY53" s="157"/>
      <c r="AZ53" s="157"/>
      <c r="BA53" s="157"/>
      <c r="BB53" s="157"/>
      <c r="BC53" s="157"/>
    </row>
    <row r="54" spans="1:55" s="26" customFormat="1" ht="14.45" customHeight="1">
      <c r="A54" s="1477"/>
      <c r="B54" s="1714"/>
      <c r="C54" s="2499">
        <v>0.5</v>
      </c>
      <c r="D54" s="2499"/>
      <c r="E54" s="2500">
        <f>('11. Unit Mix'!F122+Total60Voucher)</f>
        <v>0</v>
      </c>
      <c r="F54" s="2500"/>
      <c r="G54" s="2498">
        <f>IF(SUM($E$54:$E$56)=0,0,E54/Total_Units)</f>
        <v>0</v>
      </c>
      <c r="H54" s="2498"/>
      <c r="I54" s="1605" t="s">
        <v>5125</v>
      </c>
      <c r="J54" s="1644">
        <v>0.47300000000000009</v>
      </c>
      <c r="K54" s="1606">
        <f>IF(G54&gt;=0.05,ROUNDDOWN(G54*100*J54,4),0)</f>
        <v>0</v>
      </c>
      <c r="L54" s="1714"/>
      <c r="M54" s="1714"/>
      <c r="N54" s="1714"/>
      <c r="O54" s="1714"/>
      <c r="P54" s="1714"/>
      <c r="Q54" s="9"/>
      <c r="R54" s="9"/>
      <c r="S54" s="83"/>
      <c r="T54" s="83"/>
      <c r="U54" s="83"/>
      <c r="V54" s="83"/>
      <c r="W54" s="83"/>
      <c r="X54" s="157"/>
      <c r="Y54" s="157"/>
      <c r="Z54" s="157"/>
      <c r="AA54" s="157"/>
      <c r="AB54" s="487"/>
      <c r="AC54" s="487"/>
      <c r="AD54" s="487"/>
      <c r="AE54" s="487"/>
      <c r="AF54" s="487"/>
      <c r="AG54" s="487"/>
      <c r="AH54" s="487"/>
      <c r="AI54" s="487"/>
      <c r="AJ54" s="487"/>
      <c r="AK54" s="487"/>
      <c r="AL54" s="487"/>
      <c r="AM54" s="487"/>
      <c r="AN54" s="487"/>
      <c r="AO54" s="157"/>
      <c r="AP54" s="157"/>
      <c r="AQ54" s="157"/>
      <c r="AR54" s="157"/>
      <c r="AS54" s="157"/>
      <c r="AT54" s="157"/>
      <c r="AU54" s="157"/>
      <c r="AV54" s="157"/>
      <c r="AW54" s="157"/>
      <c r="AX54" s="157"/>
      <c r="AY54" s="157"/>
      <c r="AZ54" s="157"/>
      <c r="BA54" s="157"/>
      <c r="BB54" s="157"/>
      <c r="BC54" s="157"/>
    </row>
    <row r="55" spans="1:55" s="26" customFormat="1" ht="15.6" customHeight="1">
      <c r="A55" s="1477"/>
      <c r="B55" s="1714"/>
      <c r="C55" s="2499">
        <v>0.4</v>
      </c>
      <c r="D55" s="2499"/>
      <c r="E55" s="2500">
        <f>'11. Unit Mix'!F121</f>
        <v>0</v>
      </c>
      <c r="F55" s="2500"/>
      <c r="G55" s="2498">
        <f>IF(SUM($E$54:$E$56)=0, 0, E55/Total_Units)</f>
        <v>0</v>
      </c>
      <c r="H55" s="2498"/>
      <c r="I55" s="1607" t="s">
        <v>5125</v>
      </c>
      <c r="J55" s="1645">
        <v>0.58850000000000013</v>
      </c>
      <c r="K55" s="1606">
        <f t="shared" ref="K55:K56" si="0">IF(G55&gt;=0.05,ROUNDDOWN(G55*100*J55,4),0)</f>
        <v>0</v>
      </c>
      <c r="L55" s="1714"/>
      <c r="M55" s="1714"/>
      <c r="N55" s="1714"/>
      <c r="O55" s="1714"/>
      <c r="P55" s="1714"/>
      <c r="Q55" s="9"/>
      <c r="R55" s="9"/>
      <c r="S55" s="157"/>
      <c r="T55" s="157"/>
      <c r="U55" s="157"/>
      <c r="V55" s="157"/>
      <c r="W55" s="157"/>
      <c r="X55" s="157"/>
      <c r="Y55" s="157"/>
      <c r="Z55" s="157"/>
      <c r="AA55" s="157"/>
      <c r="AB55" s="487"/>
      <c r="AC55" s="487"/>
      <c r="AD55" s="487"/>
      <c r="AE55" s="487"/>
      <c r="AF55" s="487"/>
      <c r="AG55" s="487"/>
      <c r="AH55" s="487"/>
      <c r="AI55" s="487"/>
      <c r="AJ55" s="487"/>
      <c r="AK55" s="487"/>
      <c r="AL55" s="487"/>
      <c r="AM55" s="487"/>
      <c r="AN55" s="487"/>
      <c r="AO55" s="157"/>
      <c r="AP55" s="157"/>
      <c r="AQ55" s="157"/>
      <c r="AR55" s="157"/>
      <c r="AS55" s="157"/>
      <c r="AT55" s="157"/>
      <c r="AU55" s="157"/>
      <c r="AV55" s="157"/>
      <c r="AW55" s="157"/>
      <c r="AX55" s="157"/>
      <c r="AY55" s="157"/>
      <c r="AZ55" s="157"/>
      <c r="BA55" s="157"/>
      <c r="BB55" s="157"/>
      <c r="BC55" s="157"/>
    </row>
    <row r="56" spans="1:55" s="26" customFormat="1">
      <c r="A56" s="1477"/>
      <c r="B56" s="1714"/>
      <c r="C56" s="2499" t="s">
        <v>5126</v>
      </c>
      <c r="D56" s="2499"/>
      <c r="E56" s="2500">
        <f>SUM('11. Unit Mix'!F119:F120)</f>
        <v>0</v>
      </c>
      <c r="F56" s="2500"/>
      <c r="G56" s="2498">
        <f>IF(SUM($E$54:$E$56)=0, 0, E56/Total_Units)</f>
        <v>0</v>
      </c>
      <c r="H56" s="2498"/>
      <c r="I56" s="1607" t="s">
        <v>5125</v>
      </c>
      <c r="J56" s="1645">
        <v>0.70950000000000013</v>
      </c>
      <c r="K56" s="1606">
        <f t="shared" si="0"/>
        <v>0</v>
      </c>
      <c r="L56" s="1714"/>
      <c r="M56" s="1714"/>
      <c r="N56" s="1714"/>
      <c r="O56" s="1714"/>
      <c r="P56" s="1714"/>
      <c r="Q56" s="9"/>
      <c r="R56" s="9"/>
      <c r="S56" s="157"/>
      <c r="T56" s="1329"/>
      <c r="U56" s="157"/>
      <c r="V56" s="157"/>
      <c r="W56" s="157"/>
      <c r="X56" s="157"/>
      <c r="Y56" s="157"/>
      <c r="Z56" s="157"/>
      <c r="AA56" s="157"/>
      <c r="AB56" s="487"/>
      <c r="AC56" s="487"/>
      <c r="AD56" s="487"/>
      <c r="AE56" s="487"/>
      <c r="AF56" s="487"/>
      <c r="AG56" s="487"/>
      <c r="AH56" s="487"/>
      <c r="AI56" s="487"/>
      <c r="AJ56" s="487"/>
      <c r="AK56" s="487"/>
      <c r="AL56" s="487"/>
      <c r="AM56" s="487"/>
      <c r="AN56" s="487"/>
      <c r="AO56" s="157"/>
      <c r="AP56" s="157"/>
      <c r="AQ56" s="157"/>
      <c r="AR56" s="157"/>
      <c r="AS56" s="157"/>
      <c r="AT56" s="157"/>
      <c r="AU56" s="157"/>
      <c r="AV56" s="157"/>
      <c r="AW56" s="157"/>
      <c r="AX56" s="157"/>
      <c r="AY56" s="157"/>
      <c r="AZ56" s="157"/>
      <c r="BA56" s="157"/>
      <c r="BB56" s="157"/>
      <c r="BC56" s="157"/>
    </row>
    <row r="57" spans="1:55" s="26" customFormat="1">
      <c r="A57" s="1477"/>
      <c r="B57" s="2469"/>
      <c r="C57" s="2469"/>
      <c r="D57" s="2469"/>
      <c r="E57" s="2469"/>
      <c r="F57" s="2469"/>
      <c r="G57" s="2469"/>
      <c r="H57" s="2469"/>
      <c r="I57" s="2469"/>
      <c r="J57" s="2469"/>
      <c r="K57" s="2469"/>
      <c r="L57" s="2469"/>
      <c r="M57" s="2469"/>
      <c r="N57" s="1714"/>
      <c r="O57" s="1714"/>
      <c r="P57" s="1714"/>
      <c r="Q57" s="9"/>
      <c r="R57" s="9"/>
      <c r="S57" s="157"/>
      <c r="T57" s="1329"/>
      <c r="U57" s="157"/>
      <c r="V57" s="157"/>
      <c r="W57" s="157"/>
      <c r="X57" s="157"/>
      <c r="Y57" s="157"/>
      <c r="Z57" s="157"/>
      <c r="AA57" s="157"/>
      <c r="AB57" s="487"/>
      <c r="AC57" s="487"/>
      <c r="AD57" s="487"/>
      <c r="AE57" s="487"/>
      <c r="AF57" s="487"/>
      <c r="AG57" s="487"/>
      <c r="AH57" s="487"/>
      <c r="AI57" s="487"/>
      <c r="AJ57" s="487"/>
      <c r="AK57" s="487"/>
      <c r="AL57" s="487"/>
      <c r="AM57" s="487"/>
      <c r="AN57" s="487"/>
      <c r="AO57" s="157"/>
      <c r="AP57" s="157"/>
      <c r="AQ57" s="157"/>
      <c r="AR57" s="157"/>
      <c r="AS57" s="157"/>
      <c r="AT57" s="157"/>
      <c r="AU57" s="157"/>
      <c r="AV57" s="157"/>
      <c r="AW57" s="157"/>
      <c r="AX57" s="157"/>
      <c r="AY57" s="157"/>
      <c r="AZ57" s="157"/>
      <c r="BA57" s="157"/>
      <c r="BB57" s="157"/>
      <c r="BC57" s="157"/>
    </row>
    <row r="58" spans="1:55" s="26" customFormat="1" ht="15.75">
      <c r="A58" s="1477"/>
      <c r="B58" s="1027"/>
      <c r="C58" s="1227" t="s">
        <v>4997</v>
      </c>
      <c r="D58" s="1227" t="s">
        <v>4971</v>
      </c>
      <c r="E58" s="1227" t="s">
        <v>1051</v>
      </c>
      <c r="F58" s="1714"/>
      <c r="G58" s="1714"/>
      <c r="H58" s="1714"/>
      <c r="I58" s="1714"/>
      <c r="J58" s="1714"/>
      <c r="K58" s="1714"/>
      <c r="L58" s="1027"/>
      <c r="M58" s="1027"/>
      <c r="N58" s="1027"/>
      <c r="O58" s="1027"/>
      <c r="P58" s="1027"/>
      <c r="Q58" s="157"/>
      <c r="R58" s="157"/>
      <c r="S58" s="157"/>
      <c r="T58" s="157"/>
      <c r="U58" s="157"/>
      <c r="V58" s="83"/>
      <c r="W58" s="83"/>
      <c r="X58" s="157"/>
      <c r="Y58" s="157"/>
      <c r="Z58" s="157"/>
      <c r="AA58" s="157"/>
      <c r="AB58" s="487"/>
      <c r="AC58" s="487"/>
      <c r="AD58" s="487"/>
      <c r="AE58" s="487"/>
      <c r="AF58" s="487"/>
      <c r="AG58" s="487"/>
      <c r="AH58" s="487"/>
      <c r="AI58" s="487"/>
      <c r="AJ58" s="487"/>
      <c r="AK58" s="487"/>
      <c r="AL58" s="487"/>
      <c r="AM58" s="487"/>
      <c r="AN58" s="487"/>
      <c r="AO58" s="157"/>
      <c r="AP58" s="157"/>
      <c r="AQ58" s="157"/>
      <c r="AR58" s="157"/>
      <c r="AS58" s="157"/>
      <c r="AT58" s="157"/>
      <c r="AU58" s="157"/>
      <c r="AV58" s="157"/>
      <c r="AW58" s="157"/>
      <c r="AX58" s="157"/>
      <c r="AY58" s="157"/>
      <c r="AZ58" s="157"/>
      <c r="BA58" s="157"/>
      <c r="BB58" s="157"/>
      <c r="BC58" s="157"/>
    </row>
    <row r="59" spans="1:55" s="26" customFormat="1" ht="18.75">
      <c r="A59" s="1477"/>
      <c r="B59" s="1219"/>
      <c r="C59" s="858">
        <v>35</v>
      </c>
      <c r="D59" s="983">
        <f>MIN(ROUNDDOWN(SUM(K54:K56),0),C59)</f>
        <v>0</v>
      </c>
      <c r="E59" s="1757"/>
      <c r="F59" s="1714"/>
      <c r="G59" s="1714"/>
      <c r="H59" s="1714"/>
      <c r="I59" s="1714"/>
      <c r="J59" s="1714"/>
      <c r="K59" s="1714"/>
      <c r="L59" s="1219"/>
      <c r="M59" s="1219"/>
      <c r="N59" s="1219"/>
      <c r="O59" s="1219"/>
      <c r="P59" s="1219"/>
      <c r="Q59" s="157"/>
      <c r="R59" s="157"/>
      <c r="S59" s="157"/>
      <c r="T59" s="157"/>
      <c r="U59" s="157"/>
      <c r="V59" s="83"/>
      <c r="W59" s="83"/>
      <c r="X59" s="157"/>
      <c r="Y59" s="157"/>
      <c r="Z59" s="157"/>
      <c r="AA59" s="157"/>
      <c r="AB59" s="487"/>
      <c r="AC59" s="487"/>
      <c r="AD59" s="487"/>
      <c r="AE59" s="487"/>
      <c r="AF59" s="487"/>
      <c r="AG59" s="487"/>
      <c r="AH59" s="487"/>
      <c r="AI59" s="487"/>
      <c r="AJ59" s="487"/>
      <c r="AK59" s="487"/>
      <c r="AL59" s="487"/>
      <c r="AM59" s="487"/>
      <c r="AN59" s="487"/>
      <c r="AO59" s="157"/>
      <c r="AP59" s="157"/>
      <c r="AQ59" s="157"/>
      <c r="AR59" s="157"/>
      <c r="AS59" s="157"/>
      <c r="AT59" s="157"/>
      <c r="AU59" s="157"/>
      <c r="AV59" s="157"/>
      <c r="AW59" s="157"/>
      <c r="AX59" s="157"/>
      <c r="AY59" s="157"/>
      <c r="AZ59" s="157"/>
      <c r="BA59" s="157"/>
      <c r="BB59" s="157"/>
      <c r="BC59" s="157"/>
    </row>
    <row r="60" spans="1:55" s="26" customFormat="1">
      <c r="A60" s="1477"/>
      <c r="B60" s="1714"/>
      <c r="C60" s="1714"/>
      <c r="D60" s="1714"/>
      <c r="E60" s="1714"/>
      <c r="F60" s="1714"/>
      <c r="G60" s="1714"/>
      <c r="H60" s="1714"/>
      <c r="I60" s="1714"/>
      <c r="J60" s="1714"/>
      <c r="K60" s="1714"/>
      <c r="L60" s="1714"/>
      <c r="M60" s="1714"/>
      <c r="N60" s="1714"/>
      <c r="O60" s="1714"/>
      <c r="P60" s="1714"/>
      <c r="Q60" s="9"/>
      <c r="R60" s="9"/>
      <c r="S60" s="157"/>
      <c r="T60" s="157"/>
      <c r="U60" s="157"/>
      <c r="V60" s="157"/>
      <c r="W60" s="157"/>
      <c r="X60" s="157"/>
      <c r="Y60" s="157"/>
      <c r="Z60" s="157"/>
      <c r="AA60" s="157"/>
      <c r="AB60" s="487"/>
      <c r="AC60" s="487"/>
      <c r="AD60" s="487"/>
      <c r="AE60" s="487"/>
      <c r="AF60" s="487"/>
      <c r="AG60" s="487"/>
      <c r="AH60" s="487"/>
      <c r="AI60" s="487"/>
      <c r="AJ60" s="487"/>
      <c r="AK60" s="487"/>
      <c r="AL60" s="487"/>
      <c r="AM60" s="487"/>
      <c r="AN60" s="487"/>
      <c r="AO60" s="157"/>
      <c r="AP60" s="157"/>
      <c r="AQ60" s="157"/>
      <c r="AR60" s="157"/>
      <c r="AS60" s="157"/>
      <c r="AT60" s="157"/>
      <c r="AU60" s="157"/>
      <c r="AV60" s="157"/>
      <c r="AW60" s="157"/>
      <c r="AX60" s="157"/>
      <c r="AY60" s="157"/>
      <c r="AZ60" s="157"/>
      <c r="BA60" s="157"/>
      <c r="BB60" s="157"/>
      <c r="BC60" s="157"/>
    </row>
    <row r="61" spans="1:55" s="26" customFormat="1" ht="18.75">
      <c r="A61" s="1477"/>
      <c r="B61" s="8" t="s">
        <v>5112</v>
      </c>
      <c r="C61" s="8"/>
      <c r="D61" s="8"/>
      <c r="E61" s="8"/>
      <c r="F61" s="8"/>
      <c r="G61" s="8"/>
      <c r="H61" s="8"/>
      <c r="I61" s="8"/>
      <c r="J61" s="8" t="s">
        <v>5113</v>
      </c>
      <c r="K61" s="8"/>
      <c r="L61" s="8"/>
      <c r="M61" s="8"/>
      <c r="N61" s="8"/>
      <c r="O61" s="8"/>
      <c r="P61" s="8"/>
      <c r="Q61" s="9"/>
      <c r="R61" s="9"/>
      <c r="S61" s="157"/>
      <c r="T61" s="157"/>
      <c r="U61" s="157"/>
      <c r="V61" s="157"/>
      <c r="W61" s="157"/>
      <c r="X61" s="157"/>
      <c r="Y61" s="157"/>
      <c r="Z61" s="157"/>
      <c r="AA61" s="157"/>
      <c r="AB61" s="487"/>
      <c r="AC61" s="487"/>
      <c r="AD61" s="487"/>
      <c r="AE61" s="487"/>
      <c r="AF61" s="487"/>
      <c r="AG61" s="487"/>
      <c r="AH61" s="487"/>
      <c r="AI61" s="487"/>
      <c r="AJ61" s="487"/>
      <c r="AK61" s="487"/>
      <c r="AL61" s="487"/>
      <c r="AM61" s="487"/>
      <c r="AN61" s="487"/>
      <c r="AO61" s="157"/>
      <c r="AP61" s="157"/>
      <c r="AQ61" s="157"/>
      <c r="AR61" s="157"/>
      <c r="AS61" s="157"/>
      <c r="AT61" s="157"/>
      <c r="AU61" s="157"/>
      <c r="AV61" s="157"/>
      <c r="AW61" s="157"/>
      <c r="AX61" s="157"/>
      <c r="AY61" s="157"/>
      <c r="AZ61" s="157"/>
      <c r="BA61" s="157"/>
      <c r="BB61" s="157"/>
      <c r="BC61" s="157"/>
    </row>
    <row r="62" spans="1:55" s="26" customFormat="1">
      <c r="A62" s="1477"/>
      <c r="B62" s="1030" t="s">
        <v>4802</v>
      </c>
      <c r="C62" s="1027"/>
      <c r="D62" s="1027"/>
      <c r="E62" s="1027"/>
      <c r="F62" s="1027"/>
      <c r="G62" s="1027"/>
      <c r="H62" s="1027"/>
      <c r="I62" s="1027"/>
      <c r="J62" s="1032" t="s">
        <v>3637</v>
      </c>
      <c r="K62" s="1027"/>
      <c r="L62" s="1027"/>
      <c r="M62" s="1027"/>
      <c r="N62" s="1027"/>
      <c r="O62" s="1027"/>
      <c r="P62" s="1027"/>
      <c r="Q62" s="9"/>
      <c r="R62" s="9"/>
      <c r="S62" s="157"/>
      <c r="T62" s="157"/>
      <c r="U62" s="157"/>
      <c r="V62" s="157"/>
      <c r="W62" s="157"/>
      <c r="X62" s="157"/>
      <c r="Y62" s="157"/>
      <c r="Z62" s="157"/>
      <c r="AA62" s="157"/>
      <c r="AB62" s="487"/>
      <c r="AC62" s="487"/>
      <c r="AD62" s="487"/>
      <c r="AE62" s="487"/>
      <c r="AF62" s="487"/>
      <c r="AG62" s="487"/>
      <c r="AH62" s="487"/>
      <c r="AI62" s="487"/>
      <c r="AJ62" s="487"/>
      <c r="AK62" s="487"/>
      <c r="AL62" s="487"/>
      <c r="AM62" s="487"/>
      <c r="AN62" s="487"/>
      <c r="AO62" s="157"/>
      <c r="AP62" s="157"/>
      <c r="AQ62" s="157"/>
      <c r="AR62" s="157"/>
      <c r="AS62" s="157"/>
      <c r="AT62" s="157"/>
      <c r="AU62" s="157"/>
      <c r="AV62" s="157"/>
      <c r="AW62" s="157"/>
      <c r="AX62" s="157"/>
      <c r="AY62" s="157"/>
      <c r="AZ62" s="157"/>
      <c r="BA62" s="157"/>
      <c r="BB62" s="157"/>
      <c r="BC62" s="157"/>
    </row>
    <row r="63" spans="1:55" s="26" customFormat="1">
      <c r="A63" s="1477"/>
      <c r="B63" s="1027"/>
      <c r="C63" s="2022"/>
      <c r="D63" s="2022"/>
      <c r="E63" s="2022"/>
      <c r="F63" s="2022"/>
      <c r="G63" s="2022"/>
      <c r="H63" s="2022"/>
      <c r="I63" s="1027"/>
      <c r="J63" s="1998"/>
      <c r="K63" s="1998"/>
      <c r="L63" s="1998"/>
      <c r="M63" s="1998"/>
      <c r="N63" s="1998"/>
      <c r="O63" s="2501"/>
      <c r="P63" s="1027"/>
      <c r="Q63" s="9"/>
      <c r="R63" s="9"/>
      <c r="S63" s="157"/>
      <c r="T63" s="157"/>
      <c r="U63" s="157"/>
      <c r="V63" s="157"/>
      <c r="W63" s="157"/>
      <c r="X63" s="157"/>
      <c r="Y63" s="157"/>
      <c r="Z63" s="157"/>
      <c r="AA63" s="157"/>
      <c r="AB63" s="487"/>
      <c r="AC63" s="487"/>
      <c r="AD63" s="487"/>
      <c r="AE63" s="487"/>
      <c r="AF63" s="487"/>
      <c r="AG63" s="487"/>
      <c r="AH63" s="487"/>
      <c r="AI63" s="487"/>
      <c r="AJ63" s="487"/>
      <c r="AK63" s="487"/>
      <c r="AL63" s="487"/>
      <c r="AM63" s="487"/>
      <c r="AN63" s="487"/>
      <c r="AO63" s="157"/>
      <c r="AP63" s="157"/>
      <c r="AQ63" s="157"/>
      <c r="AR63" s="157"/>
      <c r="AS63" s="157"/>
      <c r="AT63" s="157"/>
      <c r="AU63" s="157"/>
      <c r="AV63" s="157"/>
      <c r="AW63" s="157"/>
      <c r="AX63" s="157"/>
      <c r="AY63" s="157"/>
      <c r="AZ63" s="157"/>
      <c r="BA63" s="157"/>
      <c r="BB63" s="157"/>
      <c r="BC63" s="157"/>
    </row>
    <row r="64" spans="1:55" s="26" customFormat="1">
      <c r="A64" s="1477"/>
      <c r="B64" s="1027"/>
      <c r="C64" s="2022"/>
      <c r="D64" s="2022"/>
      <c r="E64" s="2022"/>
      <c r="F64" s="2022"/>
      <c r="G64" s="2022"/>
      <c r="H64" s="2022"/>
      <c r="I64" s="1027"/>
      <c r="J64" s="1998"/>
      <c r="K64" s="1998"/>
      <c r="L64" s="1998"/>
      <c r="M64" s="1998"/>
      <c r="N64" s="1998"/>
      <c r="O64" s="2501"/>
      <c r="P64" s="1027"/>
      <c r="Q64" s="9"/>
      <c r="R64" s="9"/>
      <c r="S64" s="157"/>
      <c r="T64" s="157"/>
      <c r="U64" s="157"/>
      <c r="V64" s="157"/>
      <c r="W64" s="157"/>
      <c r="X64" s="157"/>
      <c r="Y64" s="157"/>
      <c r="Z64" s="157"/>
      <c r="AA64" s="157"/>
      <c r="AB64" s="487"/>
      <c r="AC64" s="487"/>
      <c r="AD64" s="487"/>
      <c r="AE64" s="487"/>
      <c r="AF64" s="487"/>
      <c r="AG64" s="487"/>
      <c r="AH64" s="487"/>
      <c r="AI64" s="487"/>
      <c r="AJ64" s="157"/>
      <c r="AK64" s="157"/>
      <c r="AL64" s="157"/>
      <c r="AM64" s="157"/>
      <c r="AN64" s="157"/>
      <c r="AO64" s="157"/>
      <c r="AP64" s="157"/>
      <c r="AQ64" s="157"/>
      <c r="AR64" s="157"/>
      <c r="AS64" s="157"/>
      <c r="AT64" s="157"/>
      <c r="AU64" s="157"/>
      <c r="AV64" s="157"/>
      <c r="AW64" s="157"/>
      <c r="AX64" s="157"/>
      <c r="AY64" s="157"/>
      <c r="AZ64" s="157"/>
      <c r="BA64" s="157"/>
      <c r="BB64" s="157"/>
      <c r="BC64" s="157"/>
    </row>
    <row r="65" spans="1:55">
      <c r="B65" s="1027"/>
      <c r="C65" s="2022"/>
      <c r="D65" s="2022"/>
      <c r="E65" s="2022"/>
      <c r="F65" s="2022"/>
      <c r="G65" s="2022"/>
      <c r="H65" s="2022"/>
      <c r="I65" s="1027"/>
      <c r="J65" s="1998"/>
      <c r="K65" s="1998"/>
      <c r="L65" s="1998"/>
      <c r="M65" s="1998"/>
      <c r="N65" s="1998"/>
      <c r="O65" s="2501"/>
      <c r="P65" s="1027"/>
      <c r="S65" s="157"/>
      <c r="T65" s="157"/>
      <c r="U65" s="157"/>
      <c r="V65" s="157"/>
      <c r="W65" s="157"/>
      <c r="X65" s="157"/>
      <c r="Y65" s="157"/>
      <c r="Z65" s="157"/>
      <c r="AA65" s="157"/>
      <c r="AB65" s="487"/>
      <c r="AC65" s="487"/>
      <c r="AD65" s="487"/>
      <c r="AE65" s="487"/>
      <c r="AF65" s="487"/>
      <c r="AG65" s="487"/>
      <c r="AH65" s="487"/>
      <c r="AI65" s="487"/>
      <c r="AJ65" s="157"/>
      <c r="AK65" s="157"/>
      <c r="AL65" s="157"/>
      <c r="AM65" s="157"/>
      <c r="AN65" s="157"/>
      <c r="AO65" s="157"/>
      <c r="AP65" s="157"/>
      <c r="AQ65" s="157"/>
      <c r="AR65" s="157"/>
      <c r="AS65" s="157"/>
      <c r="AT65" s="157"/>
      <c r="AU65" s="157"/>
      <c r="AV65" s="157"/>
      <c r="AW65" s="157"/>
      <c r="AX65" s="157"/>
      <c r="AY65" s="157"/>
      <c r="AZ65" s="157"/>
      <c r="BA65" s="157"/>
      <c r="BB65" s="157"/>
      <c r="BC65" s="157"/>
    </row>
    <row r="66" spans="1:55">
      <c r="B66" s="1027"/>
      <c r="C66" s="2022"/>
      <c r="D66" s="2022"/>
      <c r="E66" s="2022"/>
      <c r="F66" s="2022"/>
      <c r="G66" s="2022"/>
      <c r="H66" s="2022"/>
      <c r="I66" s="1027"/>
      <c r="J66" s="1998"/>
      <c r="K66" s="1998"/>
      <c r="L66" s="1998"/>
      <c r="M66" s="1998"/>
      <c r="N66" s="1998"/>
      <c r="O66" s="2501"/>
      <c r="P66" s="1027"/>
      <c r="S66" s="157"/>
      <c r="T66" s="157"/>
      <c r="U66" s="157"/>
      <c r="V66" s="157"/>
      <c r="W66" s="157"/>
      <c r="X66" s="157"/>
      <c r="Y66" s="157"/>
      <c r="Z66" s="157"/>
      <c r="AA66" s="157"/>
      <c r="AB66" s="487"/>
      <c r="AC66" s="487"/>
      <c r="AD66" s="487"/>
      <c r="AE66" s="487"/>
      <c r="AF66" s="487"/>
      <c r="AG66" s="487"/>
      <c r="AH66" s="487"/>
      <c r="AI66" s="487"/>
      <c r="AJ66" s="157"/>
      <c r="AK66" s="157"/>
      <c r="AL66" s="157"/>
      <c r="AM66" s="157"/>
      <c r="AN66" s="157"/>
      <c r="AO66" s="157"/>
      <c r="AP66" s="157"/>
      <c r="AQ66" s="157"/>
      <c r="AR66" s="157"/>
      <c r="AS66" s="157"/>
      <c r="AT66" s="157"/>
      <c r="AU66" s="157"/>
      <c r="AV66" s="157"/>
      <c r="AW66" s="157"/>
      <c r="AX66" s="157"/>
      <c r="AY66" s="157"/>
      <c r="AZ66" s="157"/>
      <c r="BA66" s="157"/>
      <c r="BB66" s="157"/>
      <c r="BC66" s="157"/>
    </row>
    <row r="67" spans="1:55">
      <c r="B67" s="1027"/>
      <c r="C67" s="2022"/>
      <c r="D67" s="2022"/>
      <c r="E67" s="2022"/>
      <c r="F67" s="2022"/>
      <c r="G67" s="2022"/>
      <c r="H67" s="2022"/>
      <c r="I67" s="1027"/>
      <c r="J67" s="1998"/>
      <c r="K67" s="1998"/>
      <c r="L67" s="1998"/>
      <c r="M67" s="1998"/>
      <c r="N67" s="1998"/>
      <c r="O67" s="2501"/>
      <c r="P67" s="1027"/>
      <c r="S67" s="157"/>
      <c r="T67" s="157"/>
      <c r="U67" s="157"/>
      <c r="V67" s="157"/>
      <c r="W67" s="157"/>
      <c r="X67" s="157"/>
      <c r="Y67" s="157"/>
      <c r="Z67" s="157"/>
      <c r="AA67" s="157"/>
      <c r="AB67" s="487"/>
      <c r="AC67" s="487"/>
      <c r="AD67" s="487"/>
      <c r="AE67" s="487"/>
      <c r="AF67" s="487"/>
      <c r="AG67" s="487"/>
      <c r="AH67" s="487"/>
      <c r="AI67" s="487"/>
      <c r="AJ67" s="157"/>
      <c r="AK67" s="157"/>
      <c r="AL67" s="157"/>
      <c r="AM67" s="157"/>
      <c r="AN67" s="157"/>
      <c r="AO67" s="157"/>
      <c r="AP67" s="157"/>
      <c r="AQ67" s="157"/>
      <c r="AR67" s="157"/>
      <c r="AS67" s="157"/>
      <c r="AT67" s="157"/>
      <c r="AU67" s="157"/>
      <c r="AV67" s="157"/>
      <c r="AW67" s="157"/>
      <c r="AX67" s="157"/>
      <c r="AY67" s="157"/>
      <c r="AZ67" s="157"/>
      <c r="BA67" s="157"/>
      <c r="BB67" s="157"/>
      <c r="BC67" s="157"/>
    </row>
    <row r="68" spans="1:55">
      <c r="B68" s="1027"/>
      <c r="C68" s="2022"/>
      <c r="D68" s="2022"/>
      <c r="E68" s="2022"/>
      <c r="F68" s="2022"/>
      <c r="G68" s="2022"/>
      <c r="H68" s="2022"/>
      <c r="I68" s="1027"/>
      <c r="J68" s="1998"/>
      <c r="K68" s="1998"/>
      <c r="L68" s="1998"/>
      <c r="M68" s="1998"/>
      <c r="N68" s="1998"/>
      <c r="O68" s="2501"/>
      <c r="P68" s="1027"/>
      <c r="S68" s="157"/>
      <c r="T68" s="157"/>
      <c r="U68" s="157"/>
      <c r="V68" s="157"/>
      <c r="W68" s="157"/>
      <c r="X68" s="157"/>
      <c r="Y68" s="157"/>
      <c r="Z68" s="157"/>
      <c r="AA68" s="157"/>
      <c r="AB68" s="487"/>
      <c r="AC68" s="487"/>
      <c r="AD68" s="487"/>
      <c r="AE68" s="487"/>
      <c r="AF68" s="487"/>
      <c r="AG68" s="487"/>
      <c r="AH68" s="487"/>
      <c r="AI68" s="487"/>
      <c r="AJ68" s="157"/>
      <c r="AK68" s="157"/>
      <c r="AL68" s="157"/>
      <c r="AM68" s="157"/>
      <c r="AN68" s="157"/>
      <c r="AO68" s="157"/>
      <c r="AP68" s="157"/>
      <c r="AQ68" s="157"/>
      <c r="AR68" s="157"/>
      <c r="AS68" s="157"/>
      <c r="AT68" s="157"/>
      <c r="AU68" s="157"/>
      <c r="AV68" s="157"/>
      <c r="AW68" s="157"/>
      <c r="AX68" s="157"/>
      <c r="AY68" s="157"/>
      <c r="AZ68" s="157"/>
      <c r="BA68" s="157"/>
      <c r="BB68" s="157"/>
      <c r="BC68" s="157"/>
    </row>
    <row r="69" spans="1:55">
      <c r="B69" s="1027"/>
      <c r="C69" s="2022"/>
      <c r="D69" s="2022"/>
      <c r="E69" s="2022"/>
      <c r="F69" s="2022"/>
      <c r="G69" s="2022"/>
      <c r="H69" s="2022"/>
      <c r="I69" s="1027"/>
      <c r="J69" s="1998"/>
      <c r="K69" s="1998"/>
      <c r="L69" s="1998"/>
      <c r="M69" s="1998"/>
      <c r="N69" s="1998"/>
      <c r="O69" s="2501"/>
      <c r="P69" s="1027"/>
      <c r="S69" s="157"/>
      <c r="T69" s="157"/>
      <c r="U69" s="157"/>
      <c r="V69" s="157"/>
      <c r="W69" s="157"/>
      <c r="X69" s="157"/>
      <c r="Y69" s="157"/>
      <c r="Z69" s="157"/>
      <c r="AA69" s="157"/>
      <c r="AB69" s="487"/>
      <c r="AC69" s="487"/>
      <c r="AD69" s="487"/>
      <c r="AE69" s="487"/>
      <c r="AF69" s="487"/>
      <c r="AG69" s="487"/>
      <c r="AH69" s="487"/>
      <c r="AI69" s="487"/>
      <c r="AJ69" s="157"/>
      <c r="AK69" s="157"/>
      <c r="AL69" s="157"/>
      <c r="AM69" s="157"/>
      <c r="AN69" s="157"/>
      <c r="AO69" s="157"/>
      <c r="AP69" s="157"/>
      <c r="AQ69" s="157"/>
      <c r="AR69" s="157"/>
      <c r="AS69" s="157"/>
      <c r="AT69" s="157"/>
      <c r="AU69" s="157"/>
      <c r="AV69" s="157"/>
      <c r="AW69" s="157"/>
      <c r="AX69" s="157"/>
      <c r="AY69" s="157"/>
      <c r="AZ69" s="157"/>
      <c r="BA69" s="157"/>
      <c r="BB69" s="157"/>
      <c r="BC69" s="157"/>
    </row>
    <row r="70" spans="1:55">
      <c r="B70" s="1027"/>
      <c r="C70" s="2022"/>
      <c r="D70" s="2022"/>
      <c r="E70" s="2022"/>
      <c r="F70" s="2022"/>
      <c r="G70" s="2022"/>
      <c r="H70" s="2022"/>
      <c r="I70" s="1027"/>
      <c r="J70" s="1998"/>
      <c r="K70" s="1998"/>
      <c r="L70" s="1998"/>
      <c r="M70" s="1998"/>
      <c r="N70" s="1998"/>
      <c r="O70" s="2501"/>
      <c r="P70" s="1027"/>
      <c r="S70" s="157"/>
      <c r="T70" s="157"/>
      <c r="U70" s="157"/>
      <c r="V70" s="157"/>
      <c r="W70" s="157"/>
      <c r="X70" s="157"/>
      <c r="Y70" s="157"/>
      <c r="Z70" s="157"/>
      <c r="AA70" s="157"/>
      <c r="AB70" s="487"/>
      <c r="AC70" s="487"/>
      <c r="AD70" s="487"/>
      <c r="AE70" s="487"/>
      <c r="AF70" s="487"/>
      <c r="AG70" s="487"/>
      <c r="AH70" s="487"/>
      <c r="AI70" s="487"/>
      <c r="AJ70" s="157"/>
      <c r="AK70" s="157"/>
      <c r="AL70" s="157"/>
      <c r="AM70" s="157"/>
      <c r="AN70" s="157"/>
      <c r="AO70" s="157"/>
      <c r="AP70" s="157"/>
      <c r="AQ70" s="157"/>
      <c r="AR70" s="157"/>
      <c r="AS70" s="157"/>
      <c r="AT70" s="157"/>
      <c r="AU70" s="157"/>
      <c r="AV70" s="157"/>
      <c r="AW70" s="157"/>
      <c r="AX70" s="157"/>
      <c r="AY70" s="157"/>
      <c r="AZ70" s="157"/>
      <c r="BA70" s="157"/>
      <c r="BB70" s="157"/>
      <c r="BC70" s="157"/>
    </row>
    <row r="71" spans="1:55">
      <c r="B71" s="1027"/>
      <c r="C71" s="2022"/>
      <c r="D71" s="2022"/>
      <c r="E71" s="2022"/>
      <c r="F71" s="2022"/>
      <c r="G71" s="2022"/>
      <c r="H71" s="2022"/>
      <c r="I71" s="1027"/>
      <c r="J71" s="2502"/>
      <c r="K71" s="2502"/>
      <c r="L71" s="2502"/>
      <c r="M71" s="2502"/>
      <c r="N71" s="2502"/>
      <c r="O71" s="2022"/>
      <c r="P71" s="1027"/>
      <c r="S71" s="157"/>
      <c r="T71" s="157"/>
      <c r="U71" s="157"/>
      <c r="V71" s="157"/>
      <c r="W71" s="157"/>
      <c r="X71" s="157"/>
      <c r="Y71" s="157"/>
      <c r="Z71" s="157"/>
      <c r="AA71" s="157"/>
      <c r="AB71" s="487"/>
      <c r="AC71" s="487"/>
      <c r="AD71" s="487"/>
      <c r="AE71" s="487"/>
      <c r="AF71" s="487"/>
      <c r="AG71" s="487"/>
      <c r="AH71" s="487"/>
      <c r="AI71" s="487"/>
      <c r="AJ71" s="157"/>
      <c r="AK71" s="157"/>
      <c r="AL71" s="157"/>
      <c r="AM71" s="157"/>
      <c r="AN71" s="157"/>
      <c r="AO71" s="157"/>
      <c r="AP71" s="157"/>
      <c r="AQ71" s="157"/>
      <c r="AR71" s="157"/>
      <c r="AS71" s="157"/>
      <c r="AT71" s="157"/>
      <c r="AU71" s="157"/>
      <c r="AV71" s="157"/>
      <c r="AW71" s="157"/>
      <c r="AX71" s="157"/>
      <c r="AY71" s="157"/>
      <c r="AZ71" s="157"/>
      <c r="BA71" s="157"/>
      <c r="BB71" s="157"/>
      <c r="BC71" s="157"/>
    </row>
    <row r="72" spans="1:55">
      <c r="B72" s="1027"/>
      <c r="C72" s="2022"/>
      <c r="D72" s="2022"/>
      <c r="E72" s="2022"/>
      <c r="F72" s="2022"/>
      <c r="G72" s="2022"/>
      <c r="H72" s="2022"/>
      <c r="I72" s="1027"/>
      <c r="J72" s="1756" t="s">
        <v>1058</v>
      </c>
      <c r="K72" s="1027"/>
      <c r="L72" s="1027"/>
      <c r="M72" s="1027"/>
      <c r="N72" s="1027"/>
      <c r="O72" s="1027"/>
      <c r="P72" s="1027"/>
      <c r="S72" s="157"/>
      <c r="T72" s="157"/>
      <c r="U72" s="157"/>
      <c r="V72" s="157"/>
      <c r="W72" s="157"/>
      <c r="X72" s="157"/>
      <c r="Y72" s="157"/>
      <c r="Z72" s="157"/>
      <c r="AA72" s="157"/>
      <c r="AB72" s="487"/>
      <c r="AC72" s="487"/>
      <c r="AD72" s="487"/>
      <c r="AE72" s="487"/>
      <c r="AF72" s="487"/>
      <c r="AG72" s="487"/>
      <c r="AH72" s="487"/>
      <c r="AI72" s="487"/>
      <c r="AJ72" s="157"/>
      <c r="AK72" s="157"/>
      <c r="AL72" s="157"/>
      <c r="AM72" s="157"/>
      <c r="AN72" s="157"/>
      <c r="AO72" s="157"/>
      <c r="AP72" s="157"/>
      <c r="AQ72" s="157"/>
      <c r="AR72" s="157"/>
      <c r="AS72" s="157"/>
      <c r="AT72" s="157"/>
      <c r="AU72" s="157"/>
      <c r="AV72" s="157"/>
      <c r="AW72" s="157"/>
      <c r="AX72" s="157"/>
      <c r="AY72" s="157"/>
      <c r="AZ72" s="157"/>
      <c r="BA72" s="157"/>
      <c r="BB72" s="157"/>
      <c r="BC72" s="157"/>
    </row>
    <row r="73" spans="1:55">
      <c r="B73" s="1027"/>
      <c r="C73" s="2022"/>
      <c r="D73" s="2022"/>
      <c r="E73" s="2022"/>
      <c r="F73" s="2022"/>
      <c r="G73" s="2022"/>
      <c r="H73" s="2022"/>
      <c r="I73" s="1027"/>
      <c r="J73" s="2495"/>
      <c r="K73" s="2495"/>
      <c r="L73" s="2495"/>
      <c r="M73" s="2495"/>
      <c r="N73" s="2495"/>
      <c r="O73" s="2495"/>
      <c r="P73" s="1027"/>
      <c r="S73" s="157"/>
      <c r="T73" s="157"/>
      <c r="U73" s="157"/>
      <c r="V73" s="157"/>
      <c r="W73" s="157"/>
      <c r="X73" s="157"/>
      <c r="Y73" s="157"/>
      <c r="Z73" s="157"/>
      <c r="AA73" s="157"/>
      <c r="AB73" s="487"/>
      <c r="AC73" s="487"/>
      <c r="AD73" s="487"/>
      <c r="AE73" s="487"/>
      <c r="AF73" s="487"/>
      <c r="AG73" s="487"/>
      <c r="AH73" s="487"/>
      <c r="AI73" s="487"/>
      <c r="AJ73" s="157"/>
      <c r="AK73" s="157"/>
      <c r="AL73" s="157"/>
      <c r="AM73" s="157"/>
      <c r="AN73" s="157"/>
      <c r="AO73" s="157"/>
      <c r="AP73" s="157"/>
      <c r="AQ73" s="157"/>
      <c r="AR73" s="157"/>
      <c r="AS73" s="157"/>
      <c r="AT73" s="157"/>
      <c r="AU73" s="157"/>
      <c r="AV73" s="157"/>
      <c r="AW73" s="157"/>
      <c r="AX73" s="157"/>
      <c r="AY73" s="157"/>
      <c r="AZ73" s="157"/>
      <c r="BA73" s="157"/>
      <c r="BB73" s="157"/>
      <c r="BC73" s="157"/>
    </row>
    <row r="74" spans="1:55">
      <c r="B74" s="1027"/>
      <c r="C74" s="1027"/>
      <c r="D74" s="1027"/>
      <c r="E74" s="1027"/>
      <c r="F74" s="1027"/>
      <c r="G74" s="1027"/>
      <c r="H74" s="1027"/>
      <c r="I74" s="1027"/>
      <c r="J74" s="643"/>
      <c r="K74" s="643"/>
      <c r="L74" s="643"/>
      <c r="M74" s="643"/>
      <c r="N74" s="643"/>
      <c r="O74" s="643"/>
      <c r="P74" s="1027"/>
      <c r="S74" s="157"/>
      <c r="T74" s="157"/>
      <c r="U74" s="157"/>
      <c r="V74" s="157"/>
      <c r="W74" s="157"/>
      <c r="X74" s="157"/>
      <c r="Y74" s="157"/>
      <c r="Z74" s="157"/>
      <c r="AA74" s="157"/>
      <c r="AB74" s="487"/>
      <c r="AC74" s="487"/>
      <c r="AD74" s="487"/>
      <c r="AE74" s="487"/>
      <c r="AF74" s="487"/>
      <c r="AG74" s="487"/>
      <c r="AH74" s="487"/>
      <c r="AI74" s="487"/>
      <c r="AJ74" s="157"/>
      <c r="AK74" s="157"/>
      <c r="AL74" s="157"/>
      <c r="AM74" s="157"/>
      <c r="AN74" s="157"/>
      <c r="AO74" s="157"/>
      <c r="AP74" s="157"/>
      <c r="AQ74" s="157"/>
      <c r="AR74" s="157"/>
      <c r="AS74" s="157"/>
      <c r="AT74" s="157"/>
      <c r="AU74" s="157"/>
      <c r="AV74" s="157"/>
      <c r="AW74" s="157"/>
      <c r="AX74" s="157"/>
      <c r="AY74" s="157"/>
      <c r="AZ74" s="157"/>
      <c r="BA74" s="157"/>
      <c r="BB74" s="157"/>
      <c r="BC74" s="157"/>
    </row>
    <row r="75" spans="1:55" s="26" customFormat="1" ht="21" customHeight="1">
      <c r="A75" s="1477"/>
      <c r="B75" s="852" t="s">
        <v>5127</v>
      </c>
      <c r="C75" s="776"/>
      <c r="D75" s="776"/>
      <c r="E75" s="776"/>
      <c r="F75" s="776"/>
      <c r="G75" s="776"/>
      <c r="H75" s="776"/>
      <c r="I75" s="776"/>
      <c r="J75" s="776"/>
      <c r="K75" s="776"/>
      <c r="L75" s="776"/>
      <c r="M75" s="776"/>
      <c r="N75" s="776"/>
      <c r="O75" s="776"/>
      <c r="P75" s="776"/>
      <c r="Q75" s="157"/>
      <c r="R75" s="157"/>
      <c r="S75" s="157"/>
      <c r="T75" s="157"/>
      <c r="U75" s="157"/>
      <c r="V75" s="157"/>
      <c r="W75" s="157"/>
      <c r="X75" s="157"/>
      <c r="Y75" s="157"/>
      <c r="Z75" s="157"/>
      <c r="AA75" s="157"/>
      <c r="AB75" s="487"/>
      <c r="AC75" s="487"/>
      <c r="AD75" s="487"/>
      <c r="AE75" s="487"/>
      <c r="AF75" s="487"/>
      <c r="AG75" s="48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478"/>
    </row>
    <row r="76" spans="1:55" s="26" customFormat="1">
      <c r="A76" s="1477"/>
      <c r="B76" s="1742" t="s">
        <v>4001</v>
      </c>
      <c r="C76" s="1714"/>
      <c r="D76" s="1714"/>
      <c r="E76" s="1714"/>
      <c r="F76" s="1714"/>
      <c r="G76" s="1714"/>
      <c r="H76" s="1714"/>
      <c r="I76" s="1714"/>
      <c r="J76" s="1714"/>
      <c r="K76" s="1714"/>
      <c r="L76" s="1714"/>
      <c r="M76" s="1714"/>
      <c r="N76" s="1714"/>
      <c r="O76" s="1714"/>
      <c r="P76" s="1714"/>
      <c r="Q76" s="83"/>
      <c r="R76" s="157"/>
      <c r="S76" s="157"/>
      <c r="T76" s="157"/>
      <c r="U76" s="157"/>
      <c r="V76" s="157"/>
      <c r="W76" s="157"/>
      <c r="X76" s="157"/>
      <c r="Y76" s="157"/>
      <c r="Z76" s="157"/>
      <c r="AA76" s="157"/>
      <c r="AB76" s="487"/>
      <c r="AC76" s="487"/>
      <c r="AD76" s="487"/>
      <c r="AE76" s="487"/>
      <c r="AF76" s="487"/>
      <c r="AG76" s="487"/>
      <c r="AH76" s="487"/>
      <c r="AI76" s="487"/>
      <c r="AJ76" s="487"/>
      <c r="AK76" s="487"/>
      <c r="AL76" s="487"/>
      <c r="AM76" s="487"/>
      <c r="AN76" s="157"/>
      <c r="AO76" s="157"/>
      <c r="AP76" s="157"/>
      <c r="AQ76" s="157"/>
      <c r="AR76" s="157"/>
      <c r="AS76" s="157"/>
      <c r="AT76" s="157"/>
      <c r="AU76" s="157"/>
      <c r="AV76" s="157"/>
      <c r="AW76" s="157"/>
      <c r="AX76" s="157"/>
      <c r="AY76" s="157"/>
      <c r="AZ76" s="157"/>
      <c r="BA76" s="157"/>
      <c r="BB76" s="157"/>
      <c r="BC76" s="1478"/>
    </row>
    <row r="77" spans="1:55" s="26" customFormat="1" ht="15" customHeight="1">
      <c r="A77" s="1477"/>
      <c r="B77" s="1567" t="s">
        <v>5128</v>
      </c>
      <c r="C77" s="1567"/>
      <c r="D77" s="1567"/>
      <c r="E77" s="1567"/>
      <c r="F77" s="1567"/>
      <c r="G77" s="1567"/>
      <c r="H77" s="1567"/>
      <c r="I77" s="1567"/>
      <c r="J77" s="1567"/>
      <c r="K77" s="1567"/>
      <c r="L77" s="1567"/>
      <c r="M77" s="1567"/>
      <c r="N77" s="1714"/>
      <c r="O77" s="1714"/>
      <c r="P77" s="1714"/>
      <c r="Q77" s="157"/>
      <c r="R77" s="157"/>
      <c r="S77" s="157"/>
      <c r="T77" s="157"/>
      <c r="U77" s="157"/>
      <c r="V77" s="157"/>
      <c r="W77" s="157"/>
      <c r="X77" s="157"/>
      <c r="Y77" s="157"/>
      <c r="Z77" s="157"/>
      <c r="AA77" s="157"/>
      <c r="AB77" s="487"/>
      <c r="AC77" s="487"/>
      <c r="AD77" s="487"/>
      <c r="AE77" s="487"/>
      <c r="AF77" s="487"/>
      <c r="AG77" s="487"/>
      <c r="AH77" s="487"/>
      <c r="AI77" s="487"/>
      <c r="AJ77" s="487"/>
      <c r="AK77" s="487"/>
      <c r="AL77" s="487"/>
      <c r="AM77" s="487"/>
      <c r="AN77" s="157"/>
      <c r="AO77" s="157"/>
      <c r="AP77" s="157"/>
      <c r="AQ77" s="157"/>
      <c r="AR77" s="157"/>
      <c r="AS77" s="157"/>
      <c r="AT77" s="157"/>
      <c r="AU77" s="157"/>
      <c r="AV77" s="157"/>
      <c r="AW77" s="157"/>
      <c r="AX77" s="157"/>
      <c r="AY77" s="157"/>
      <c r="AZ77" s="157"/>
      <c r="BA77" s="157"/>
      <c r="BB77" s="157"/>
      <c r="BC77" s="1478"/>
    </row>
    <row r="78" spans="1:55" s="26" customFormat="1" ht="15" customHeight="1">
      <c r="A78" s="1477"/>
      <c r="B78" s="1567" t="s">
        <v>5129</v>
      </c>
      <c r="C78" s="1567"/>
      <c r="D78" s="1567"/>
      <c r="E78" s="1567"/>
      <c r="F78" s="1567"/>
      <c r="G78" s="1567"/>
      <c r="H78" s="1567"/>
      <c r="I78" s="1567"/>
      <c r="J78" s="1567"/>
      <c r="K78" s="1567"/>
      <c r="L78" s="1567"/>
      <c r="M78" s="1567"/>
      <c r="N78" s="1714"/>
      <c r="O78" s="1714"/>
      <c r="P78" s="1714"/>
      <c r="Q78" s="157"/>
      <c r="R78" s="157"/>
      <c r="S78" s="157"/>
      <c r="T78" s="157"/>
      <c r="U78" s="157"/>
      <c r="V78" s="157"/>
      <c r="W78" s="157"/>
      <c r="X78" s="157"/>
      <c r="Y78" s="157"/>
      <c r="Z78" s="157"/>
      <c r="AA78" s="157"/>
      <c r="AB78" s="487"/>
      <c r="AC78" s="487"/>
      <c r="AD78" s="487"/>
      <c r="AE78" s="487"/>
      <c r="AF78" s="487"/>
      <c r="AG78" s="487"/>
      <c r="AH78" s="487"/>
      <c r="AI78" s="487"/>
      <c r="AJ78" s="487"/>
      <c r="AK78" s="487"/>
      <c r="AL78" s="487"/>
      <c r="AM78" s="487"/>
      <c r="AN78" s="157"/>
      <c r="AO78" s="157"/>
      <c r="AP78" s="157"/>
      <c r="AQ78" s="157"/>
      <c r="AR78" s="157"/>
      <c r="AS78" s="157"/>
      <c r="AT78" s="157"/>
      <c r="AU78" s="157"/>
      <c r="AV78" s="157"/>
      <c r="AW78" s="157"/>
      <c r="AX78" s="157"/>
      <c r="AY78" s="157"/>
      <c r="AZ78" s="157"/>
      <c r="BA78" s="157"/>
      <c r="BB78" s="157"/>
      <c r="BC78" s="1478"/>
    </row>
    <row r="79" spans="1:55" s="26" customFormat="1">
      <c r="A79" s="1477"/>
      <c r="B79" s="1567" t="s">
        <v>5130</v>
      </c>
      <c r="C79" s="1567"/>
      <c r="D79" s="1567"/>
      <c r="E79" s="1567"/>
      <c r="F79" s="1567"/>
      <c r="G79" s="1567"/>
      <c r="H79" s="1567"/>
      <c r="I79" s="1567"/>
      <c r="J79" s="1567"/>
      <c r="K79" s="1567"/>
      <c r="L79" s="1567"/>
      <c r="M79" s="1567"/>
      <c r="N79" s="1714"/>
      <c r="O79" s="1714"/>
      <c r="P79" s="1714"/>
      <c r="Q79" s="157"/>
      <c r="R79" s="157"/>
      <c r="S79" s="157"/>
      <c r="T79" s="157"/>
      <c r="U79" s="157"/>
      <c r="V79" s="157"/>
      <c r="W79" s="157"/>
      <c r="X79" s="157"/>
      <c r="Y79" s="157"/>
      <c r="Z79" s="157"/>
      <c r="AA79" s="157"/>
      <c r="AB79" s="487"/>
      <c r="AC79" s="487"/>
      <c r="AD79" s="487"/>
      <c r="AE79" s="487"/>
      <c r="AF79" s="487"/>
      <c r="AG79" s="487"/>
      <c r="AH79" s="487"/>
      <c r="AI79" s="487"/>
      <c r="AJ79" s="487"/>
      <c r="AK79" s="487"/>
      <c r="AL79" s="487"/>
      <c r="AM79" s="487"/>
      <c r="AN79" s="157"/>
      <c r="AO79" s="157"/>
      <c r="AP79" s="157"/>
      <c r="AQ79" s="157"/>
      <c r="AR79" s="157"/>
      <c r="AS79" s="157"/>
      <c r="AT79" s="157"/>
      <c r="AU79" s="157"/>
      <c r="AV79" s="157"/>
      <c r="AW79" s="157"/>
      <c r="AX79" s="157"/>
      <c r="AY79" s="157"/>
      <c r="AZ79" s="157"/>
      <c r="BA79" s="157"/>
      <c r="BB79" s="157"/>
      <c r="BC79" s="1478"/>
    </row>
    <row r="80" spans="1:55" s="26" customFormat="1" ht="15" customHeight="1">
      <c r="A80" s="1477"/>
      <c r="B80" s="1714" t="s">
        <v>5131</v>
      </c>
      <c r="C80" s="1714"/>
      <c r="D80" s="1714"/>
      <c r="E80" s="1714"/>
      <c r="F80" s="1714"/>
      <c r="G80" s="1714"/>
      <c r="H80" s="1714"/>
      <c r="I80" s="1714"/>
      <c r="J80" s="1714"/>
      <c r="K80" s="1714"/>
      <c r="L80" s="1714"/>
      <c r="M80" s="1714"/>
      <c r="N80" s="1714"/>
      <c r="O80" s="1714"/>
      <c r="P80" s="1714"/>
      <c r="Q80" s="157"/>
      <c r="R80" s="157"/>
      <c r="S80" s="157"/>
      <c r="T80" s="157"/>
      <c r="U80" s="157"/>
      <c r="V80" s="157"/>
      <c r="W80" s="157"/>
      <c r="X80" s="157"/>
      <c r="Y80" s="157"/>
      <c r="Z80" s="157"/>
      <c r="AA80" s="157"/>
      <c r="AB80" s="487"/>
      <c r="AC80" s="487"/>
      <c r="AD80" s="487"/>
      <c r="AE80" s="487"/>
      <c r="AF80" s="487"/>
      <c r="AG80" s="487"/>
      <c r="AH80" s="487"/>
      <c r="AI80" s="487"/>
      <c r="AJ80" s="487"/>
      <c r="AK80" s="487"/>
      <c r="AL80" s="487"/>
      <c r="AM80" s="487"/>
      <c r="AN80" s="157"/>
      <c r="AO80" s="157"/>
      <c r="AP80" s="157"/>
      <c r="AQ80" s="157"/>
      <c r="AR80" s="157"/>
      <c r="AS80" s="157"/>
      <c r="AT80" s="157"/>
      <c r="AU80" s="157"/>
      <c r="AV80" s="157"/>
      <c r="AW80" s="157"/>
      <c r="AX80" s="157"/>
      <c r="AY80" s="157"/>
      <c r="AZ80" s="157"/>
      <c r="BA80" s="157"/>
      <c r="BB80" s="157"/>
      <c r="BC80" s="1478"/>
    </row>
    <row r="81" spans="1:54" s="26" customFormat="1">
      <c r="A81" s="1477"/>
      <c r="B81" s="1714"/>
      <c r="C81" s="1714"/>
      <c r="D81" s="1714"/>
      <c r="E81" s="1714"/>
      <c r="F81" s="1714"/>
      <c r="G81" s="1714"/>
      <c r="H81" s="1714"/>
      <c r="I81" s="1714"/>
      <c r="J81" s="1714"/>
      <c r="K81" s="1714"/>
      <c r="L81" s="1714"/>
      <c r="M81" s="1714"/>
      <c r="N81" s="1714"/>
      <c r="O81" s="1714"/>
      <c r="P81" s="1714"/>
      <c r="Q81" s="157"/>
      <c r="R81" s="157"/>
      <c r="S81" s="157"/>
      <c r="T81" s="157"/>
      <c r="U81" s="157"/>
      <c r="V81" s="157"/>
      <c r="W81" s="157"/>
      <c r="X81" s="157"/>
      <c r="Y81" s="157"/>
      <c r="Z81" s="157"/>
      <c r="AA81" s="157"/>
      <c r="AB81" s="487"/>
      <c r="AC81" s="487"/>
      <c r="AD81" s="487"/>
      <c r="AE81" s="487"/>
      <c r="AF81" s="487"/>
      <c r="AG81" s="487"/>
      <c r="AH81" s="487"/>
      <c r="AI81" s="487"/>
      <c r="AJ81" s="487"/>
      <c r="AK81" s="487"/>
      <c r="AL81" s="487"/>
      <c r="AM81" s="487"/>
      <c r="AN81" s="157"/>
      <c r="AO81" s="157"/>
      <c r="AP81" s="157"/>
      <c r="AQ81" s="157"/>
      <c r="AR81" s="157"/>
      <c r="AS81" s="157"/>
      <c r="AT81" s="157"/>
      <c r="AU81" s="157"/>
      <c r="AV81" s="157"/>
      <c r="AW81" s="157"/>
      <c r="AX81" s="157"/>
      <c r="AY81" s="157"/>
      <c r="AZ81" s="157"/>
      <c r="BA81" s="157"/>
      <c r="BB81" s="157"/>
    </row>
    <row r="82" spans="1:54" s="26" customFormat="1">
      <c r="A82" s="1477"/>
      <c r="B82" s="2469" t="s">
        <v>5132</v>
      </c>
      <c r="C82" s="2469"/>
      <c r="D82" s="2469"/>
      <c r="E82" s="2469"/>
      <c r="F82" s="2469"/>
      <c r="G82" s="2469"/>
      <c r="H82" s="2469"/>
      <c r="I82" s="2469"/>
      <c r="J82" s="2469"/>
      <c r="K82" s="2469"/>
      <c r="L82" s="2469"/>
      <c r="M82" s="2469"/>
      <c r="N82" s="1714"/>
      <c r="O82" s="1714"/>
      <c r="P82" s="1714"/>
      <c r="Q82" s="157"/>
      <c r="R82" s="157"/>
      <c r="S82" s="157"/>
      <c r="T82" s="157"/>
      <c r="U82" s="157"/>
      <c r="V82" s="157"/>
      <c r="W82" s="157"/>
      <c r="X82" s="157"/>
      <c r="Y82" s="157"/>
      <c r="Z82" s="157"/>
      <c r="AA82" s="157"/>
      <c r="AB82" s="487"/>
      <c r="AC82" s="487"/>
      <c r="AD82" s="487"/>
      <c r="AE82" s="487"/>
      <c r="AF82" s="487"/>
      <c r="AG82" s="487"/>
      <c r="AH82" s="487"/>
      <c r="AI82" s="487"/>
      <c r="AJ82" s="487"/>
      <c r="AK82" s="487"/>
      <c r="AL82" s="487"/>
      <c r="AM82" s="487"/>
      <c r="AN82" s="157"/>
      <c r="AO82" s="157"/>
      <c r="AP82" s="157"/>
      <c r="AQ82" s="157"/>
      <c r="AR82" s="157"/>
      <c r="AS82" s="157"/>
      <c r="AT82" s="157"/>
      <c r="AU82" s="157"/>
      <c r="AV82" s="157"/>
      <c r="AW82" s="157"/>
      <c r="AX82" s="157"/>
      <c r="AY82" s="157"/>
      <c r="AZ82" s="157"/>
      <c r="BA82" s="157"/>
      <c r="BB82" s="157"/>
    </row>
    <row r="83" spans="1:54" s="26" customFormat="1">
      <c r="A83" s="1477"/>
      <c r="B83" s="2469"/>
      <c r="C83" s="2469"/>
      <c r="D83" s="2469"/>
      <c r="E83" s="2469"/>
      <c r="F83" s="2469"/>
      <c r="G83" s="2469"/>
      <c r="H83" s="2469"/>
      <c r="I83" s="2469"/>
      <c r="J83" s="2469"/>
      <c r="K83" s="2469"/>
      <c r="L83" s="2469"/>
      <c r="M83" s="2469"/>
      <c r="N83" s="1714"/>
      <c r="O83" s="1714"/>
      <c r="P83" s="1714"/>
      <c r="Q83" s="157"/>
      <c r="R83" s="157"/>
      <c r="S83" s="157"/>
      <c r="T83" s="157"/>
      <c r="U83" s="157"/>
      <c r="V83" s="157"/>
      <c r="W83" s="157"/>
      <c r="X83" s="157"/>
      <c r="Y83" s="157"/>
      <c r="Z83" s="157"/>
      <c r="AA83" s="157"/>
      <c r="AB83" s="487"/>
      <c r="AC83" s="487"/>
      <c r="AD83" s="487"/>
      <c r="AE83" s="487"/>
      <c r="AF83" s="487"/>
      <c r="AG83" s="487"/>
      <c r="AH83" s="487"/>
      <c r="AI83" s="487"/>
      <c r="AJ83" s="487"/>
      <c r="AK83" s="487"/>
      <c r="AL83" s="487"/>
      <c r="AM83" s="487"/>
      <c r="AN83" s="157"/>
      <c r="AO83" s="157"/>
      <c r="AP83" s="157"/>
      <c r="AQ83" s="157"/>
      <c r="AR83" s="157"/>
      <c r="AS83" s="157"/>
      <c r="AT83" s="157"/>
      <c r="AU83" s="157"/>
      <c r="AV83" s="157"/>
      <c r="AW83" s="157"/>
      <c r="AX83" s="157"/>
      <c r="AY83" s="157"/>
      <c r="AZ83" s="157"/>
      <c r="BA83" s="157"/>
      <c r="BB83" s="157"/>
    </row>
    <row r="84" spans="1:54" s="585" customFormat="1">
      <c r="A84" s="284"/>
      <c r="B84" s="1088"/>
      <c r="C84" s="1088"/>
      <c r="D84" s="1088"/>
      <c r="E84" s="1088"/>
      <c r="F84" s="1088"/>
      <c r="G84" s="1088"/>
      <c r="H84" s="1088"/>
      <c r="I84" s="1088"/>
      <c r="J84" s="1088"/>
      <c r="K84" s="1088"/>
      <c r="L84" s="1088"/>
      <c r="M84" s="1088"/>
      <c r="N84" s="1088"/>
      <c r="O84" s="1088"/>
      <c r="P84" s="1088"/>
      <c r="Q84" s="157"/>
      <c r="R84" s="157"/>
      <c r="S84" s="157"/>
      <c r="T84" s="157"/>
      <c r="U84" s="157"/>
      <c r="V84" s="157"/>
      <c r="W84" s="157"/>
      <c r="X84" s="157"/>
      <c r="Y84" s="157"/>
      <c r="Z84" s="157"/>
      <c r="AA84" s="157"/>
      <c r="AB84" s="1306"/>
      <c r="AC84" s="1306"/>
      <c r="AD84" s="1306"/>
      <c r="AE84" s="1306"/>
      <c r="AF84" s="1306"/>
      <c r="AG84" s="1306"/>
      <c r="AH84" s="1306"/>
      <c r="AI84" s="1306"/>
      <c r="AJ84" s="1306"/>
      <c r="AK84" s="1306"/>
      <c r="AL84" s="1306"/>
      <c r="AM84" s="1306"/>
      <c r="AN84" s="1306"/>
      <c r="AO84" s="1306"/>
      <c r="AP84" s="1306"/>
      <c r="AQ84" s="1306"/>
      <c r="AR84" s="1306"/>
      <c r="AS84" s="1306"/>
      <c r="AT84" s="1306"/>
      <c r="AU84" s="1306"/>
      <c r="AV84" s="1306"/>
      <c r="AW84" s="1306"/>
      <c r="AX84" s="1306"/>
      <c r="AY84" s="1306"/>
      <c r="AZ84" s="1306"/>
      <c r="BA84" s="1306"/>
      <c r="BB84" s="1306"/>
    </row>
    <row r="85" spans="1:54" s="26" customFormat="1">
      <c r="A85" s="1477"/>
      <c r="B85" s="1714" t="s">
        <v>5133</v>
      </c>
      <c r="C85" s="1714"/>
      <c r="D85" s="1714"/>
      <c r="E85" s="1714"/>
      <c r="F85" s="1714"/>
      <c r="G85" s="1714"/>
      <c r="H85" s="1714"/>
      <c r="I85" s="1714"/>
      <c r="J85" s="1714"/>
      <c r="K85" s="1714"/>
      <c r="L85" s="1714"/>
      <c r="M85" s="1714"/>
      <c r="N85" s="1714"/>
      <c r="O85" s="1714"/>
      <c r="P85" s="1714"/>
      <c r="Q85" s="157"/>
      <c r="R85" s="157"/>
      <c r="S85" s="157"/>
      <c r="T85" s="157"/>
      <c r="U85" s="157"/>
      <c r="V85" s="157"/>
      <c r="W85" s="157"/>
      <c r="X85" s="157"/>
      <c r="Y85" s="157"/>
      <c r="Z85" s="157"/>
      <c r="AA85" s="157"/>
      <c r="AB85" s="487"/>
      <c r="AC85" s="487"/>
      <c r="AD85" s="487"/>
      <c r="AE85" s="487"/>
      <c r="AF85" s="487"/>
      <c r="AG85" s="487"/>
      <c r="AH85" s="487"/>
      <c r="AI85" s="487"/>
      <c r="AJ85" s="487"/>
      <c r="AK85" s="487"/>
      <c r="AL85" s="487"/>
      <c r="AM85" s="487"/>
      <c r="AN85" s="157"/>
      <c r="AO85" s="157"/>
      <c r="AP85" s="157"/>
      <c r="AQ85" s="157"/>
      <c r="AR85" s="157"/>
      <c r="AS85" s="157"/>
      <c r="AT85" s="157"/>
      <c r="AU85" s="157"/>
      <c r="AV85" s="157"/>
      <c r="AW85" s="157"/>
      <c r="AX85" s="157"/>
      <c r="AY85" s="157"/>
      <c r="AZ85" s="157"/>
      <c r="BA85" s="157"/>
      <c r="BB85" s="157"/>
    </row>
    <row r="86" spans="1:54" s="26" customFormat="1">
      <c r="A86" s="1477"/>
      <c r="B86" s="1714" t="s">
        <v>5134</v>
      </c>
      <c r="C86" s="1608"/>
      <c r="D86" s="1608"/>
      <c r="E86" s="1608"/>
      <c r="F86" s="1608"/>
      <c r="G86" s="1608"/>
      <c r="H86" s="1608"/>
      <c r="I86" s="1608"/>
      <c r="J86" s="1608"/>
      <c r="K86" s="1608"/>
      <c r="L86" s="1608"/>
      <c r="M86" s="1608"/>
      <c r="N86" s="1714"/>
      <c r="O86" s="1714"/>
      <c r="P86" s="1714"/>
      <c r="Q86" s="1330"/>
      <c r="R86" s="157"/>
      <c r="S86" s="157"/>
      <c r="T86" s="157"/>
      <c r="U86" s="157"/>
      <c r="V86" s="157"/>
      <c r="W86" s="157"/>
      <c r="X86" s="157"/>
      <c r="Y86" s="157"/>
      <c r="Z86" s="157"/>
      <c r="AA86" s="157"/>
      <c r="AB86" s="487"/>
      <c r="AC86" s="487"/>
      <c r="AD86" s="487"/>
      <c r="AE86" s="487"/>
      <c r="AF86" s="487"/>
      <c r="AG86" s="487"/>
      <c r="AH86" s="487"/>
      <c r="AI86" s="487"/>
      <c r="AJ86" s="487"/>
      <c r="AK86" s="487"/>
      <c r="AL86" s="487"/>
      <c r="AM86" s="487"/>
      <c r="AN86" s="157"/>
      <c r="AO86" s="157"/>
      <c r="AP86" s="157"/>
      <c r="AQ86" s="157"/>
      <c r="AR86" s="157"/>
      <c r="AS86" s="157"/>
      <c r="AT86" s="157"/>
      <c r="AU86" s="157"/>
      <c r="AV86" s="157"/>
      <c r="AW86" s="157"/>
      <c r="AX86" s="157"/>
      <c r="AY86" s="157"/>
      <c r="AZ86" s="157"/>
      <c r="BA86" s="157"/>
      <c r="BB86" s="157"/>
    </row>
    <row r="87" spans="1:54" s="585" customFormat="1">
      <c r="A87" s="284"/>
      <c r="B87" s="1307"/>
      <c r="C87" s="1307"/>
      <c r="D87" s="1307"/>
      <c r="E87" s="1307"/>
      <c r="F87" s="1307"/>
      <c r="G87" s="1307"/>
      <c r="H87" s="1307"/>
      <c r="I87" s="1307"/>
      <c r="J87" s="1307"/>
      <c r="K87" s="1307"/>
      <c r="L87" s="1307"/>
      <c r="M87" s="1307"/>
      <c r="N87" s="1088"/>
      <c r="O87" s="1088"/>
      <c r="P87" s="1088"/>
      <c r="Q87" s="1330"/>
      <c r="R87" s="157"/>
      <c r="S87" s="157"/>
      <c r="T87" s="157"/>
      <c r="U87" s="157"/>
      <c r="V87" s="157"/>
      <c r="W87" s="157"/>
      <c r="X87" s="157"/>
      <c r="Y87" s="157"/>
      <c r="Z87" s="157"/>
      <c r="AA87" s="157"/>
      <c r="AB87" s="1306"/>
      <c r="AC87" s="1306"/>
      <c r="AD87" s="1306"/>
      <c r="AE87" s="1306"/>
      <c r="AF87" s="1306"/>
      <c r="AG87" s="1306"/>
      <c r="AH87" s="1306"/>
      <c r="AI87" s="1306"/>
      <c r="AJ87" s="1306"/>
      <c r="AK87" s="1306"/>
      <c r="AL87" s="1306"/>
      <c r="AM87" s="1306"/>
      <c r="AN87" s="1306"/>
      <c r="AO87" s="1306"/>
      <c r="AP87" s="1306"/>
      <c r="AQ87" s="1306"/>
      <c r="AR87" s="1306"/>
      <c r="AS87" s="1306"/>
      <c r="AT87" s="1306"/>
      <c r="AU87" s="1306"/>
      <c r="AV87" s="1306"/>
      <c r="AW87" s="1306"/>
      <c r="AX87" s="1306"/>
      <c r="AY87" s="1306"/>
      <c r="AZ87" s="1306"/>
      <c r="BA87" s="1306"/>
      <c r="BB87" s="1306"/>
    </row>
    <row r="88" spans="1:54" s="26" customFormat="1">
      <c r="A88" s="1477"/>
      <c r="B88" s="2469" t="s">
        <v>5135</v>
      </c>
      <c r="C88" s="2469"/>
      <c r="D88" s="2469"/>
      <c r="E88" s="2469"/>
      <c r="F88" s="2469"/>
      <c r="G88" s="2469"/>
      <c r="H88" s="2469"/>
      <c r="I88" s="2469"/>
      <c r="J88" s="2469"/>
      <c r="K88" s="2469"/>
      <c r="L88" s="2469"/>
      <c r="M88" s="2469"/>
      <c r="N88" s="1714"/>
      <c r="O88" s="1714"/>
      <c r="P88" s="1714"/>
      <c r="Q88" s="157"/>
      <c r="R88" s="157"/>
      <c r="S88" s="157"/>
      <c r="T88" s="157"/>
      <c r="U88" s="157"/>
      <c r="V88" s="157"/>
      <c r="W88" s="157"/>
      <c r="X88" s="157"/>
      <c r="Y88" s="157"/>
      <c r="Z88" s="157"/>
      <c r="AA88" s="157"/>
      <c r="AB88" s="487"/>
      <c r="AC88" s="487"/>
      <c r="AD88" s="487"/>
      <c r="AE88" s="487"/>
      <c r="AF88" s="487"/>
      <c r="AG88" s="487"/>
      <c r="AH88" s="487"/>
      <c r="AI88" s="487"/>
      <c r="AJ88" s="487"/>
      <c r="AK88" s="487"/>
      <c r="AL88" s="487"/>
      <c r="AM88" s="487"/>
      <c r="AN88" s="157"/>
      <c r="AO88" s="157"/>
      <c r="AP88" s="157"/>
      <c r="AQ88" s="157"/>
      <c r="AR88" s="157"/>
      <c r="AS88" s="157"/>
      <c r="AT88" s="157"/>
      <c r="AU88" s="157"/>
      <c r="AV88" s="157"/>
      <c r="AW88" s="157"/>
      <c r="AX88" s="157"/>
      <c r="AY88" s="157"/>
      <c r="AZ88" s="157"/>
      <c r="BA88" s="157"/>
      <c r="BB88" s="157"/>
    </row>
    <row r="89" spans="1:54" s="26" customFormat="1">
      <c r="A89" s="1477"/>
      <c r="B89" s="2469"/>
      <c r="C89" s="2469"/>
      <c r="D89" s="2469"/>
      <c r="E89" s="2469"/>
      <c r="F89" s="2469"/>
      <c r="G89" s="2469"/>
      <c r="H89" s="2469"/>
      <c r="I89" s="2469"/>
      <c r="J89" s="2469"/>
      <c r="K89" s="2469"/>
      <c r="L89" s="2469"/>
      <c r="M89" s="2469"/>
      <c r="N89" s="1714"/>
      <c r="O89" s="1714"/>
      <c r="P89" s="1714"/>
      <c r="Q89" s="157"/>
      <c r="R89" s="157"/>
      <c r="S89" s="157"/>
      <c r="T89" s="157"/>
      <c r="U89" s="157"/>
      <c r="V89" s="157"/>
      <c r="W89" s="157"/>
      <c r="X89" s="157"/>
      <c r="Y89" s="157"/>
      <c r="Z89" s="157"/>
      <c r="AA89" s="157"/>
      <c r="AB89" s="487"/>
      <c r="AC89" s="487"/>
      <c r="AD89" s="487"/>
      <c r="AE89" s="487"/>
      <c r="AF89" s="487"/>
      <c r="AG89" s="487"/>
      <c r="AH89" s="487"/>
      <c r="AI89" s="487"/>
      <c r="AJ89" s="487"/>
      <c r="AK89" s="487"/>
      <c r="AL89" s="487"/>
      <c r="AM89" s="487"/>
      <c r="AN89" s="157"/>
      <c r="AO89" s="157"/>
      <c r="AP89" s="157"/>
      <c r="AQ89" s="157"/>
      <c r="AR89" s="157"/>
      <c r="AS89" s="157"/>
      <c r="AT89" s="157"/>
      <c r="AU89" s="157"/>
      <c r="AV89" s="157"/>
      <c r="AW89" s="157"/>
      <c r="AX89" s="157"/>
      <c r="AY89" s="157"/>
      <c r="AZ89" s="157"/>
      <c r="BA89" s="157"/>
      <c r="BB89" s="157"/>
    </row>
    <row r="90" spans="1:54" s="26" customFormat="1">
      <c r="A90" s="1477"/>
      <c r="B90" s="1714"/>
      <c r="C90" s="1714"/>
      <c r="D90" s="1714"/>
      <c r="E90" s="1714"/>
      <c r="F90" s="1714"/>
      <c r="G90" s="1714"/>
      <c r="H90" s="1714"/>
      <c r="I90" s="1714"/>
      <c r="J90" s="1714"/>
      <c r="K90" s="1714"/>
      <c r="L90" s="1714"/>
      <c r="M90" s="1714"/>
      <c r="N90" s="1714"/>
      <c r="O90" s="1714"/>
      <c r="P90" s="1714"/>
      <c r="Q90" s="157"/>
      <c r="R90" s="157"/>
      <c r="S90" s="157"/>
      <c r="T90" s="157"/>
      <c r="U90" s="157"/>
      <c r="V90" s="157"/>
      <c r="W90" s="157"/>
      <c r="X90" s="157"/>
      <c r="Y90" s="157"/>
      <c r="Z90" s="157"/>
      <c r="AA90" s="157"/>
      <c r="AB90" s="487"/>
      <c r="AC90" s="487"/>
      <c r="AD90" s="487"/>
      <c r="AE90" s="487"/>
      <c r="AF90" s="487"/>
      <c r="AG90" s="487"/>
      <c r="AH90" s="487"/>
      <c r="AI90" s="487"/>
      <c r="AJ90" s="487"/>
      <c r="AK90" s="487"/>
      <c r="AL90" s="487"/>
      <c r="AM90" s="487"/>
      <c r="AN90" s="157"/>
      <c r="AO90" s="157"/>
      <c r="AP90" s="157"/>
      <c r="AQ90" s="157"/>
      <c r="AR90" s="157"/>
      <c r="AS90" s="157"/>
      <c r="AT90" s="157"/>
      <c r="AU90" s="157"/>
      <c r="AV90" s="157"/>
      <c r="AW90" s="157"/>
      <c r="AX90" s="157"/>
      <c r="AY90" s="157"/>
      <c r="AZ90" s="157"/>
      <c r="BA90" s="157"/>
      <c r="BB90" s="157"/>
    </row>
    <row r="91" spans="1:54" s="26" customFormat="1">
      <c r="A91" s="1477"/>
      <c r="B91" s="1714"/>
      <c r="C91" s="2256" t="s">
        <v>1167</v>
      </c>
      <c r="D91" s="2256"/>
      <c r="E91" s="2256" t="s">
        <v>2837</v>
      </c>
      <c r="F91" s="2256" t="s">
        <v>1171</v>
      </c>
      <c r="G91" s="2256"/>
      <c r="H91" s="2256" t="s">
        <v>5002</v>
      </c>
      <c r="I91" s="1714"/>
      <c r="J91" s="1714"/>
      <c r="K91" s="1714"/>
      <c r="L91" s="1714"/>
      <c r="M91" s="1714"/>
      <c r="N91" s="1714"/>
      <c r="O91" s="1714"/>
      <c r="P91" s="1714"/>
      <c r="Q91" s="157"/>
      <c r="R91" s="157"/>
      <c r="S91" s="157"/>
      <c r="T91" s="157"/>
      <c r="U91" s="157"/>
      <c r="V91" s="157"/>
      <c r="W91" s="157"/>
      <c r="X91" s="157"/>
      <c r="Y91" s="157"/>
      <c r="Z91" s="157"/>
      <c r="AA91" s="157"/>
      <c r="AB91" s="487"/>
      <c r="AC91" s="487"/>
      <c r="AD91" s="487"/>
      <c r="AE91" s="487"/>
      <c r="AF91" s="487"/>
      <c r="AG91" s="487"/>
      <c r="AH91" s="487"/>
      <c r="AI91" s="487"/>
      <c r="AJ91" s="487"/>
      <c r="AK91" s="487"/>
      <c r="AL91" s="487"/>
      <c r="AM91" s="487"/>
      <c r="AN91" s="157"/>
      <c r="AO91" s="157"/>
      <c r="AP91" s="157"/>
      <c r="AQ91" s="157"/>
      <c r="AR91" s="157"/>
      <c r="AS91" s="157"/>
      <c r="AT91" s="157"/>
      <c r="AU91" s="157"/>
      <c r="AV91" s="157"/>
      <c r="AW91" s="157"/>
      <c r="AX91" s="157"/>
      <c r="AY91" s="157"/>
      <c r="AZ91" s="157"/>
      <c r="BA91" s="157"/>
      <c r="BB91" s="157"/>
    </row>
    <row r="92" spans="1:54" s="26" customFormat="1" ht="15" customHeight="1">
      <c r="A92" s="1477"/>
      <c r="B92" s="1567"/>
      <c r="C92" s="2256"/>
      <c r="D92" s="2256"/>
      <c r="E92" s="2256"/>
      <c r="F92" s="2256"/>
      <c r="G92" s="2256"/>
      <c r="H92" s="2256"/>
      <c r="I92" s="1714"/>
      <c r="J92" s="1714"/>
      <c r="K92" s="1714"/>
      <c r="L92" s="1714"/>
      <c r="M92" s="1714"/>
      <c r="N92" s="1714"/>
      <c r="O92" s="1714"/>
      <c r="P92" s="1714"/>
      <c r="Q92" s="157"/>
      <c r="R92" s="157"/>
      <c r="S92" s="157"/>
      <c r="T92" s="157"/>
      <c r="U92" s="157"/>
      <c r="V92" s="157"/>
      <c r="W92" s="157"/>
      <c r="X92" s="157"/>
      <c r="Y92" s="157"/>
      <c r="Z92" s="157"/>
      <c r="AA92" s="157"/>
      <c r="AB92" s="487"/>
      <c r="AC92" s="487"/>
      <c r="AD92" s="487"/>
      <c r="AE92" s="487"/>
      <c r="AF92" s="487"/>
      <c r="AG92" s="487"/>
      <c r="AH92" s="487"/>
      <c r="AI92" s="487"/>
      <c r="AJ92" s="487"/>
      <c r="AK92" s="487"/>
      <c r="AL92" s="487"/>
      <c r="AM92" s="487"/>
      <c r="AN92" s="157"/>
      <c r="AO92" s="157"/>
      <c r="AP92" s="157"/>
      <c r="AQ92" s="157"/>
      <c r="AR92" s="157"/>
      <c r="AS92" s="157"/>
      <c r="AT92" s="157"/>
      <c r="AU92" s="157"/>
      <c r="AV92" s="157"/>
      <c r="AW92" s="157"/>
      <c r="AX92" s="157"/>
      <c r="AY92" s="157"/>
      <c r="AZ92" s="157"/>
      <c r="BA92" s="157"/>
      <c r="BB92" s="157"/>
    </row>
    <row r="93" spans="1:54" s="26" customFormat="1" ht="15" customHeight="1">
      <c r="A93" s="1477"/>
      <c r="B93" s="1567"/>
      <c r="C93" s="2496">
        <f>'4. Project Description'!F39</f>
        <v>0</v>
      </c>
      <c r="D93" s="2496"/>
      <c r="E93" s="1609">
        <f>'11. Unit Mix'!F130</f>
        <v>0</v>
      </c>
      <c r="F93" s="2497">
        <f>ROUNDDOWN(IF(E93=0, 0, C93/E93), 2)</f>
        <v>0</v>
      </c>
      <c r="G93" s="2497"/>
      <c r="H93" s="1610">
        <f>IF(ROUNDDOWN(F93*100*0.75, 0)&gt;10,10,ROUNDDOWN(F93*100*0.75, 0))</f>
        <v>0</v>
      </c>
      <c r="I93" s="1714"/>
      <c r="J93" s="1714"/>
      <c r="K93" s="1714"/>
      <c r="L93" s="1714"/>
      <c r="M93" s="1714"/>
      <c r="N93" s="1714"/>
      <c r="O93" s="1714"/>
      <c r="P93" s="1714"/>
      <c r="Q93" s="157"/>
      <c r="R93" s="157"/>
      <c r="S93" s="157"/>
      <c r="T93" s="157"/>
      <c r="U93" s="157"/>
      <c r="V93" s="157"/>
      <c r="W93" s="157"/>
      <c r="X93" s="157"/>
      <c r="Y93" s="157"/>
      <c r="Z93" s="157"/>
      <c r="AA93" s="157"/>
      <c r="AB93" s="487"/>
      <c r="AC93" s="487"/>
      <c r="AD93" s="487"/>
      <c r="AE93" s="487"/>
      <c r="AF93" s="487"/>
      <c r="AG93" s="487"/>
      <c r="AH93" s="487"/>
      <c r="AI93" s="487"/>
      <c r="AJ93" s="487"/>
      <c r="AK93" s="487"/>
      <c r="AL93" s="487"/>
      <c r="AM93" s="487"/>
      <c r="AN93" s="157"/>
      <c r="AO93" s="157"/>
      <c r="AP93" s="157"/>
      <c r="AQ93" s="157"/>
      <c r="AR93" s="157"/>
      <c r="AS93" s="157"/>
      <c r="AT93" s="157"/>
      <c r="AU93" s="157"/>
      <c r="AV93" s="157"/>
      <c r="AW93" s="157"/>
      <c r="AX93" s="157"/>
      <c r="AY93" s="157"/>
      <c r="AZ93" s="157"/>
      <c r="BA93" s="157"/>
      <c r="BB93" s="157"/>
    </row>
    <row r="94" spans="1:54" s="26" customFormat="1">
      <c r="A94" s="1477"/>
      <c r="B94" s="1714"/>
      <c r="C94" s="1714"/>
      <c r="D94" s="1714"/>
      <c r="E94" s="1714"/>
      <c r="F94" s="1714"/>
      <c r="G94" s="1714"/>
      <c r="H94" s="1714"/>
      <c r="I94" s="1714"/>
      <c r="J94" s="1714"/>
      <c r="K94" s="1714"/>
      <c r="L94" s="1714"/>
      <c r="M94" s="1714"/>
      <c r="N94" s="1714"/>
      <c r="O94" s="1714"/>
      <c r="P94" s="1714"/>
      <c r="Q94" s="157"/>
      <c r="R94" s="157"/>
      <c r="S94" s="157"/>
      <c r="T94" s="157"/>
      <c r="U94" s="157"/>
      <c r="V94" s="157"/>
      <c r="W94" s="157"/>
      <c r="X94" s="157"/>
      <c r="Y94" s="157"/>
      <c r="Z94" s="157"/>
      <c r="AA94" s="157"/>
      <c r="AB94" s="487"/>
      <c r="AC94" s="487"/>
      <c r="AD94" s="487"/>
      <c r="AE94" s="487"/>
      <c r="AF94" s="487"/>
      <c r="AG94" s="487"/>
      <c r="AH94" s="487"/>
      <c r="AI94" s="487"/>
      <c r="AJ94" s="487"/>
      <c r="AK94" s="487"/>
      <c r="AL94" s="487"/>
      <c r="AM94" s="487"/>
      <c r="AN94" s="157"/>
      <c r="AO94" s="157"/>
      <c r="AP94" s="157"/>
      <c r="AQ94" s="157"/>
      <c r="AR94" s="157"/>
      <c r="AS94" s="157"/>
      <c r="AT94" s="157"/>
      <c r="AU94" s="157"/>
      <c r="AV94" s="157"/>
      <c r="AW94" s="157"/>
      <c r="AX94" s="157"/>
      <c r="AY94" s="157"/>
      <c r="AZ94" s="157"/>
      <c r="BA94" s="157"/>
      <c r="BB94" s="157"/>
    </row>
    <row r="95" spans="1:54" s="26" customFormat="1" ht="15.75">
      <c r="A95" s="1477"/>
      <c r="B95" s="1027"/>
      <c r="C95" s="1227" t="s">
        <v>4997</v>
      </c>
      <c r="D95" s="1227" t="s">
        <v>4971</v>
      </c>
      <c r="E95" s="1227" t="s">
        <v>1051</v>
      </c>
      <c r="F95" s="1027"/>
      <c r="G95" s="1027"/>
      <c r="H95" s="1027"/>
      <c r="I95" s="1027"/>
      <c r="J95" s="1027"/>
      <c r="K95" s="1027"/>
      <c r="L95" s="1027"/>
      <c r="M95" s="1027"/>
      <c r="N95" s="1027"/>
      <c r="O95" s="1027"/>
      <c r="P95" s="1027"/>
      <c r="Q95" s="157"/>
      <c r="R95" s="157"/>
      <c r="S95" s="157"/>
      <c r="T95" s="157"/>
      <c r="U95" s="157"/>
      <c r="V95" s="157"/>
      <c r="W95" s="157"/>
      <c r="X95" s="157"/>
      <c r="Y95" s="157"/>
      <c r="Z95" s="157"/>
      <c r="AA95" s="157"/>
      <c r="AB95" s="487"/>
      <c r="AC95" s="487"/>
      <c r="AD95" s="487"/>
      <c r="AE95" s="487"/>
      <c r="AF95" s="487"/>
      <c r="AG95" s="487"/>
      <c r="AH95" s="487"/>
      <c r="AI95" s="487"/>
      <c r="AJ95" s="487"/>
      <c r="AK95" s="487"/>
      <c r="AL95" s="487"/>
      <c r="AM95" s="487"/>
      <c r="AN95" s="157"/>
      <c r="AO95" s="157"/>
      <c r="AP95" s="157"/>
      <c r="AQ95" s="157"/>
      <c r="AR95" s="157"/>
      <c r="AS95" s="157"/>
      <c r="AT95" s="157"/>
      <c r="AU95" s="157"/>
      <c r="AV95" s="157"/>
      <c r="AW95" s="157"/>
      <c r="AX95" s="157"/>
      <c r="AY95" s="157"/>
      <c r="AZ95" s="157"/>
      <c r="BA95" s="157"/>
      <c r="BB95" s="157"/>
    </row>
    <row r="96" spans="1:54" s="26" customFormat="1" ht="18.75">
      <c r="A96" s="1477"/>
      <c r="B96" s="1219"/>
      <c r="C96" s="858">
        <v>10</v>
      </c>
      <c r="D96" s="1760">
        <f>H93</f>
        <v>0</v>
      </c>
      <c r="E96" s="1757"/>
      <c r="F96" s="1219"/>
      <c r="G96" s="1219"/>
      <c r="H96" s="1219"/>
      <c r="I96" s="1219"/>
      <c r="J96" s="1219"/>
      <c r="K96" s="1219"/>
      <c r="L96" s="1219"/>
      <c r="M96" s="1219"/>
      <c r="N96" s="1219"/>
      <c r="O96" s="1219"/>
      <c r="P96" s="1219"/>
      <c r="Q96" s="157"/>
      <c r="R96" s="157"/>
      <c r="S96" s="157"/>
      <c r="T96" s="157"/>
      <c r="U96" s="157"/>
      <c r="V96" s="157"/>
      <c r="W96" s="157"/>
      <c r="X96" s="157"/>
      <c r="Y96" s="157"/>
      <c r="Z96" s="157"/>
      <c r="AA96" s="157"/>
      <c r="AB96" s="487"/>
      <c r="AC96" s="487"/>
      <c r="AD96" s="487"/>
      <c r="AE96" s="487"/>
      <c r="AF96" s="487"/>
      <c r="AG96" s="487"/>
      <c r="AH96" s="487"/>
      <c r="AI96" s="487"/>
      <c r="AJ96" s="487"/>
      <c r="AK96" s="487"/>
      <c r="AL96" s="487"/>
      <c r="AM96" s="487"/>
      <c r="AN96" s="157"/>
      <c r="AO96" s="157"/>
      <c r="AP96" s="157"/>
      <c r="AQ96" s="157"/>
      <c r="AR96" s="157"/>
      <c r="AS96" s="157"/>
      <c r="AT96" s="157"/>
      <c r="AU96" s="157"/>
      <c r="AV96" s="157"/>
      <c r="AW96" s="157"/>
      <c r="AX96" s="157"/>
      <c r="AY96" s="157"/>
      <c r="AZ96" s="157"/>
      <c r="BA96" s="157"/>
      <c r="BB96" s="157"/>
    </row>
    <row r="97" spans="1:54" s="26" customFormat="1">
      <c r="A97" s="1477"/>
      <c r="B97" s="1714"/>
      <c r="C97" s="1714"/>
      <c r="D97" s="1714"/>
      <c r="E97" s="1714"/>
      <c r="F97" s="1714"/>
      <c r="G97" s="1714"/>
      <c r="H97" s="1714"/>
      <c r="I97" s="1714"/>
      <c r="J97" s="1714"/>
      <c r="K97" s="1714"/>
      <c r="L97" s="1714"/>
      <c r="M97" s="1714"/>
      <c r="N97" s="1714"/>
      <c r="O97" s="1714"/>
      <c r="P97" s="1714"/>
      <c r="Q97" s="157"/>
      <c r="R97" s="157"/>
      <c r="S97" s="157"/>
      <c r="T97" s="157"/>
      <c r="U97" s="157"/>
      <c r="V97" s="157"/>
      <c r="W97" s="157"/>
      <c r="X97" s="157"/>
      <c r="Y97" s="157"/>
      <c r="Z97" s="157"/>
      <c r="AA97" s="157"/>
      <c r="AB97" s="487"/>
      <c r="AC97" s="487"/>
      <c r="AD97" s="487"/>
      <c r="AE97" s="487"/>
      <c r="AF97" s="487"/>
      <c r="AG97" s="487"/>
      <c r="AH97" s="487"/>
      <c r="AI97" s="487"/>
      <c r="AJ97" s="487"/>
      <c r="AK97" s="487"/>
      <c r="AL97" s="487"/>
      <c r="AM97" s="487"/>
      <c r="AN97" s="157"/>
      <c r="AO97" s="157"/>
      <c r="AP97" s="157"/>
      <c r="AQ97" s="157"/>
      <c r="AR97" s="157"/>
      <c r="AS97" s="157"/>
      <c r="AT97" s="157"/>
      <c r="AU97" s="157"/>
      <c r="AV97" s="157"/>
      <c r="AW97" s="157"/>
      <c r="AX97" s="157"/>
      <c r="AY97" s="157"/>
      <c r="AZ97" s="157"/>
      <c r="BA97" s="157"/>
      <c r="BB97" s="157"/>
    </row>
    <row r="98" spans="1:54" s="26" customFormat="1">
      <c r="A98" s="1477"/>
      <c r="B98" s="1714"/>
      <c r="C98" s="1714"/>
      <c r="D98" s="1714"/>
      <c r="E98" s="1714"/>
      <c r="F98" s="1714"/>
      <c r="G98" s="1714"/>
      <c r="H98" s="1714"/>
      <c r="I98" s="1714"/>
      <c r="J98" s="1714"/>
      <c r="K98" s="1714"/>
      <c r="L98" s="1714"/>
      <c r="M98" s="1714"/>
      <c r="N98" s="1714"/>
      <c r="O98" s="1714"/>
      <c r="P98" s="1714"/>
      <c r="Q98" s="157"/>
      <c r="R98" s="157"/>
      <c r="S98" s="157"/>
      <c r="T98" s="157"/>
      <c r="U98" s="157"/>
      <c r="V98" s="157"/>
      <c r="W98" s="157"/>
      <c r="X98" s="157"/>
      <c r="Y98" s="157"/>
      <c r="Z98" s="157"/>
      <c r="AA98" s="157"/>
      <c r="AB98" s="487"/>
      <c r="AC98" s="487"/>
      <c r="AD98" s="487"/>
      <c r="AE98" s="487"/>
      <c r="AF98" s="487"/>
      <c r="AG98" s="487"/>
      <c r="AH98" s="487"/>
      <c r="AI98" s="487"/>
      <c r="AJ98" s="487"/>
      <c r="AK98" s="487"/>
      <c r="AL98" s="487"/>
      <c r="AM98" s="487"/>
      <c r="AN98" s="157"/>
      <c r="AO98" s="157"/>
      <c r="AP98" s="157"/>
      <c r="AQ98" s="157"/>
      <c r="AR98" s="157"/>
      <c r="AS98" s="157"/>
      <c r="AT98" s="157"/>
      <c r="AU98" s="157"/>
      <c r="AV98" s="157"/>
      <c r="AW98" s="157"/>
      <c r="AX98" s="157"/>
      <c r="AY98" s="157"/>
      <c r="AZ98" s="157"/>
      <c r="BA98" s="157"/>
      <c r="BB98" s="157"/>
    </row>
    <row r="99" spans="1:54" s="26" customFormat="1" ht="18.75">
      <c r="A99" s="1477"/>
      <c r="B99" s="8" t="s">
        <v>5112</v>
      </c>
      <c r="C99" s="8"/>
      <c r="D99" s="8"/>
      <c r="E99" s="8"/>
      <c r="F99" s="8"/>
      <c r="G99" s="8"/>
      <c r="H99" s="8"/>
      <c r="I99" s="8"/>
      <c r="J99" s="8" t="s">
        <v>5113</v>
      </c>
      <c r="K99" s="8"/>
      <c r="L99" s="8"/>
      <c r="M99" s="8"/>
      <c r="N99" s="8"/>
      <c r="O99" s="8"/>
      <c r="P99" s="8"/>
      <c r="Q99" s="157"/>
      <c r="R99" s="157"/>
      <c r="S99" s="157"/>
      <c r="T99" s="157"/>
      <c r="U99" s="157"/>
      <c r="V99" s="157"/>
      <c r="W99" s="157"/>
      <c r="X99" s="157"/>
      <c r="Y99" s="157"/>
      <c r="Z99" s="157"/>
      <c r="AA99" s="157"/>
      <c r="AB99" s="487"/>
      <c r="AC99" s="487"/>
      <c r="AD99" s="487"/>
      <c r="AE99" s="487"/>
      <c r="AF99" s="487"/>
      <c r="AG99" s="487"/>
      <c r="AH99" s="487"/>
      <c r="AI99" s="487"/>
      <c r="AJ99" s="487"/>
      <c r="AK99" s="487"/>
      <c r="AL99" s="487"/>
      <c r="AM99" s="487"/>
      <c r="AN99" s="157"/>
      <c r="AO99" s="157"/>
      <c r="AP99" s="157"/>
      <c r="AQ99" s="157"/>
      <c r="AR99" s="157"/>
      <c r="AS99" s="157"/>
      <c r="AT99" s="157"/>
      <c r="AU99" s="157"/>
      <c r="AV99" s="157"/>
      <c r="AW99" s="157"/>
      <c r="AX99" s="157"/>
      <c r="AY99" s="157"/>
      <c r="AZ99" s="157"/>
      <c r="BA99" s="157"/>
      <c r="BB99" s="157"/>
    </row>
    <row r="100" spans="1:54" s="26" customFormat="1">
      <c r="A100" s="1477"/>
      <c r="B100" s="1030" t="s">
        <v>4802</v>
      </c>
      <c r="C100" s="1027"/>
      <c r="D100" s="1027"/>
      <c r="E100" s="1027"/>
      <c r="F100" s="1027"/>
      <c r="G100" s="1027"/>
      <c r="H100" s="1027"/>
      <c r="I100" s="1714"/>
      <c r="J100" s="1032" t="s">
        <v>3637</v>
      </c>
      <c r="K100" s="1027"/>
      <c r="L100" s="1027"/>
      <c r="M100" s="1027"/>
      <c r="N100" s="1027"/>
      <c r="O100" s="1027"/>
      <c r="P100" s="1027"/>
      <c r="Q100" s="157"/>
      <c r="R100" s="157"/>
      <c r="S100" s="157"/>
      <c r="T100" s="157"/>
      <c r="U100" s="157"/>
      <c r="V100" s="157"/>
      <c r="W100" s="157"/>
      <c r="X100" s="157"/>
      <c r="Y100" s="157"/>
      <c r="Z100" s="157"/>
      <c r="AA100" s="157"/>
      <c r="AB100" s="487"/>
      <c r="AC100" s="487"/>
      <c r="AD100" s="487"/>
      <c r="AE100" s="487"/>
      <c r="AF100" s="487"/>
      <c r="AG100" s="487"/>
      <c r="AH100" s="487"/>
      <c r="AI100" s="487"/>
      <c r="AJ100" s="487"/>
      <c r="AK100" s="487"/>
      <c r="AL100" s="487"/>
      <c r="AM100" s="487"/>
      <c r="AN100" s="157"/>
      <c r="AO100" s="157"/>
      <c r="AP100" s="157"/>
      <c r="AQ100" s="157"/>
      <c r="AR100" s="157"/>
      <c r="AS100" s="157"/>
      <c r="AT100" s="157"/>
      <c r="AU100" s="157"/>
      <c r="AV100" s="157"/>
      <c r="AW100" s="157"/>
      <c r="AX100" s="157"/>
      <c r="AY100" s="157"/>
      <c r="AZ100" s="157"/>
      <c r="BA100" s="157"/>
      <c r="BB100" s="157"/>
    </row>
    <row r="101" spans="1:54" s="26" customFormat="1">
      <c r="A101" s="1477"/>
      <c r="B101" s="1714"/>
      <c r="C101" s="2022"/>
      <c r="D101" s="2022"/>
      <c r="E101" s="2022"/>
      <c r="F101" s="2022"/>
      <c r="G101" s="2022"/>
      <c r="H101" s="2022"/>
      <c r="I101" s="1714"/>
      <c r="J101" s="2022"/>
      <c r="K101" s="2022"/>
      <c r="L101" s="2022"/>
      <c r="M101" s="2022"/>
      <c r="N101" s="2022"/>
      <c r="O101" s="2022"/>
      <c r="P101" s="1027"/>
      <c r="Q101" s="157"/>
      <c r="R101" s="157"/>
      <c r="S101" s="157"/>
      <c r="T101" s="157"/>
      <c r="U101" s="157"/>
      <c r="V101" s="157"/>
      <c r="W101" s="157"/>
      <c r="X101" s="157"/>
      <c r="Y101" s="157"/>
      <c r="Z101" s="157"/>
      <c r="AA101" s="157"/>
      <c r="AB101" s="487"/>
      <c r="AC101" s="487"/>
      <c r="AD101" s="487"/>
      <c r="AE101" s="487"/>
      <c r="AF101" s="487"/>
      <c r="AG101" s="487"/>
      <c r="AH101" s="487"/>
      <c r="AI101" s="487"/>
      <c r="AJ101" s="487"/>
      <c r="AK101" s="487"/>
      <c r="AL101" s="487"/>
      <c r="AM101" s="487"/>
      <c r="AN101" s="157"/>
      <c r="AO101" s="157"/>
      <c r="AP101" s="157"/>
      <c r="AQ101" s="157"/>
      <c r="AR101" s="157"/>
      <c r="AS101" s="157"/>
      <c r="AT101" s="157"/>
      <c r="AU101" s="157"/>
      <c r="AV101" s="157"/>
      <c r="AW101" s="157"/>
      <c r="AX101" s="157"/>
      <c r="AY101" s="157"/>
      <c r="AZ101" s="157"/>
      <c r="BA101" s="157"/>
      <c r="BB101" s="157"/>
    </row>
    <row r="102" spans="1:54" s="26" customFormat="1">
      <c r="A102" s="1477"/>
      <c r="B102" s="1714"/>
      <c r="C102" s="2022"/>
      <c r="D102" s="2022"/>
      <c r="E102" s="2022"/>
      <c r="F102" s="2022"/>
      <c r="G102" s="2022"/>
      <c r="H102" s="2022"/>
      <c r="I102" s="1714"/>
      <c r="J102" s="2022"/>
      <c r="K102" s="2022"/>
      <c r="L102" s="2022"/>
      <c r="M102" s="2022"/>
      <c r="N102" s="2022"/>
      <c r="O102" s="2022"/>
      <c r="P102" s="1223"/>
      <c r="Q102" s="157"/>
      <c r="R102" s="157"/>
      <c r="S102" s="157"/>
      <c r="T102" s="157"/>
      <c r="U102" s="157"/>
      <c r="V102" s="157"/>
      <c r="W102" s="157"/>
      <c r="X102" s="157"/>
      <c r="Y102" s="157"/>
      <c r="Z102" s="157"/>
      <c r="AA102" s="157"/>
      <c r="AB102" s="487"/>
      <c r="AC102" s="487"/>
      <c r="AD102" s="487"/>
      <c r="AE102" s="487"/>
      <c r="AF102" s="487"/>
      <c r="AG102" s="487"/>
      <c r="AH102" s="487"/>
      <c r="AI102" s="487"/>
      <c r="AJ102" s="487"/>
      <c r="AK102" s="487"/>
      <c r="AL102" s="487"/>
      <c r="AM102" s="487"/>
      <c r="AN102" s="157"/>
      <c r="AO102" s="157"/>
      <c r="AP102" s="157"/>
      <c r="AQ102" s="157"/>
      <c r="AR102" s="157"/>
      <c r="AS102" s="157"/>
      <c r="AT102" s="157"/>
      <c r="AU102" s="157"/>
      <c r="AV102" s="157"/>
      <c r="AW102" s="157"/>
      <c r="AX102" s="157"/>
      <c r="AY102" s="157"/>
      <c r="AZ102" s="157"/>
      <c r="BA102" s="157"/>
      <c r="BB102" s="157"/>
    </row>
    <row r="103" spans="1:54" s="26" customFormat="1">
      <c r="A103" s="1477"/>
      <c r="B103" s="1714"/>
      <c r="C103" s="2022"/>
      <c r="D103" s="2022"/>
      <c r="E103" s="2022"/>
      <c r="F103" s="2022"/>
      <c r="G103" s="2022"/>
      <c r="H103" s="2022"/>
      <c r="I103" s="1714"/>
      <c r="J103" s="2022"/>
      <c r="K103" s="2022"/>
      <c r="L103" s="2022"/>
      <c r="M103" s="2022"/>
      <c r="N103" s="2022"/>
      <c r="O103" s="2022"/>
      <c r="P103" s="1223"/>
      <c r="Q103" s="157"/>
      <c r="R103" s="157"/>
      <c r="S103" s="157"/>
      <c r="T103" s="157"/>
      <c r="U103" s="157"/>
      <c r="V103" s="157"/>
      <c r="W103" s="157"/>
      <c r="X103" s="157"/>
      <c r="Y103" s="157"/>
      <c r="Z103" s="157"/>
      <c r="AA103" s="157"/>
      <c r="AB103" s="487"/>
      <c r="AC103" s="487"/>
      <c r="AD103" s="487"/>
      <c r="AE103" s="487"/>
      <c r="AF103" s="487"/>
      <c r="AG103" s="487"/>
      <c r="AH103" s="487"/>
      <c r="AI103" s="487"/>
      <c r="AJ103" s="487"/>
      <c r="AK103" s="487"/>
      <c r="AL103" s="487"/>
      <c r="AM103" s="487"/>
      <c r="AN103" s="157"/>
      <c r="AO103" s="157"/>
      <c r="AP103" s="157"/>
      <c r="AQ103" s="157"/>
      <c r="AR103" s="157"/>
      <c r="AS103" s="157"/>
      <c r="AT103" s="157"/>
      <c r="AU103" s="157"/>
      <c r="AV103" s="157"/>
      <c r="AW103" s="157"/>
      <c r="AX103" s="157"/>
      <c r="AY103" s="157"/>
      <c r="AZ103" s="157"/>
      <c r="BA103" s="157"/>
      <c r="BB103" s="157"/>
    </row>
    <row r="104" spans="1:54" s="26" customFormat="1">
      <c r="A104" s="1477"/>
      <c r="B104" s="1714"/>
      <c r="C104" s="2022"/>
      <c r="D104" s="2022"/>
      <c r="E104" s="2022"/>
      <c r="F104" s="2022"/>
      <c r="G104" s="2022"/>
      <c r="H104" s="2022"/>
      <c r="I104" s="1714"/>
      <c r="J104" s="2022"/>
      <c r="K104" s="2022"/>
      <c r="L104" s="2022"/>
      <c r="M104" s="2022"/>
      <c r="N104" s="2022"/>
      <c r="O104" s="2022"/>
      <c r="P104" s="1223"/>
      <c r="Q104" s="157"/>
      <c r="R104" s="157"/>
      <c r="S104" s="157"/>
      <c r="T104" s="157"/>
      <c r="U104" s="157"/>
      <c r="V104" s="157"/>
      <c r="W104" s="157"/>
      <c r="X104" s="157"/>
      <c r="Y104" s="157"/>
      <c r="Z104" s="157"/>
      <c r="AA104" s="157"/>
      <c r="AB104" s="487"/>
      <c r="AC104" s="487"/>
      <c r="AD104" s="487"/>
      <c r="AE104" s="487"/>
      <c r="AF104" s="487"/>
      <c r="AG104" s="487"/>
      <c r="AH104" s="487"/>
      <c r="AI104" s="487"/>
      <c r="AJ104" s="487"/>
      <c r="AK104" s="487"/>
      <c r="AL104" s="487"/>
      <c r="AM104" s="487"/>
      <c r="AN104" s="157"/>
      <c r="AO104" s="157"/>
      <c r="AP104" s="157"/>
      <c r="AQ104" s="157"/>
      <c r="AR104" s="157"/>
      <c r="AS104" s="157"/>
      <c r="AT104" s="157"/>
      <c r="AU104" s="157"/>
      <c r="AV104" s="157"/>
      <c r="AW104" s="157"/>
      <c r="AX104" s="157"/>
      <c r="AY104" s="157"/>
      <c r="AZ104" s="157"/>
      <c r="BA104" s="157"/>
      <c r="BB104" s="157"/>
    </row>
    <row r="105" spans="1:54" s="26" customFormat="1">
      <c r="A105" s="1477"/>
      <c r="B105" s="1714"/>
      <c r="C105" s="2022"/>
      <c r="D105" s="2022"/>
      <c r="E105" s="2022"/>
      <c r="F105" s="2022"/>
      <c r="G105" s="2022"/>
      <c r="H105" s="2022"/>
      <c r="I105" s="1714"/>
      <c r="J105" s="2022"/>
      <c r="K105" s="2022"/>
      <c r="L105" s="2022"/>
      <c r="M105" s="2022"/>
      <c r="N105" s="2022"/>
      <c r="O105" s="2022"/>
      <c r="P105" s="1223"/>
      <c r="Q105" s="157"/>
      <c r="R105" s="157"/>
      <c r="S105" s="157"/>
      <c r="T105" s="157"/>
      <c r="U105" s="157"/>
      <c r="V105" s="157"/>
      <c r="W105" s="157"/>
      <c r="X105" s="157"/>
      <c r="Y105" s="157"/>
      <c r="Z105" s="157"/>
      <c r="AA105" s="157"/>
      <c r="AB105" s="487"/>
      <c r="AC105" s="487"/>
      <c r="AD105" s="487"/>
      <c r="AE105" s="487"/>
      <c r="AF105" s="487"/>
      <c r="AG105" s="487"/>
      <c r="AH105" s="487"/>
      <c r="AI105" s="487"/>
      <c r="AJ105" s="487"/>
      <c r="AK105" s="487"/>
      <c r="AL105" s="487"/>
      <c r="AM105" s="487"/>
      <c r="AN105" s="157"/>
      <c r="AO105" s="157"/>
      <c r="AP105" s="157"/>
      <c r="AQ105" s="157"/>
      <c r="AR105" s="157"/>
      <c r="AS105" s="157"/>
      <c r="AT105" s="157"/>
      <c r="AU105" s="157"/>
      <c r="AV105" s="157"/>
      <c r="AW105" s="157"/>
      <c r="AX105" s="157"/>
      <c r="AY105" s="157"/>
      <c r="AZ105" s="157"/>
      <c r="BA105" s="157"/>
      <c r="BB105" s="157"/>
    </row>
    <row r="106" spans="1:54" s="26" customFormat="1">
      <c r="A106" s="1477"/>
      <c r="B106" s="1714"/>
      <c r="C106" s="2022"/>
      <c r="D106" s="2022"/>
      <c r="E106" s="2022"/>
      <c r="F106" s="2022"/>
      <c r="G106" s="2022"/>
      <c r="H106" s="2022"/>
      <c r="I106" s="1714"/>
      <c r="J106" s="2022"/>
      <c r="K106" s="2022"/>
      <c r="L106" s="2022"/>
      <c r="M106" s="2022"/>
      <c r="N106" s="2022"/>
      <c r="O106" s="2022"/>
      <c r="P106" s="1223"/>
      <c r="Q106" s="157"/>
      <c r="R106" s="157"/>
      <c r="S106" s="157"/>
      <c r="T106" s="157"/>
      <c r="U106" s="157"/>
      <c r="V106" s="157"/>
      <c r="W106" s="157"/>
      <c r="X106" s="157"/>
      <c r="Y106" s="157"/>
      <c r="Z106" s="157"/>
      <c r="AA106" s="157"/>
      <c r="AB106" s="487"/>
      <c r="AC106" s="487"/>
      <c r="AD106" s="487"/>
      <c r="AE106" s="487"/>
      <c r="AF106" s="487"/>
      <c r="AG106" s="487"/>
      <c r="AH106" s="487"/>
      <c r="AI106" s="487"/>
      <c r="AJ106" s="487"/>
      <c r="AK106" s="487"/>
      <c r="AL106" s="487"/>
      <c r="AM106" s="487"/>
      <c r="AN106" s="157"/>
      <c r="AO106" s="157"/>
      <c r="AP106" s="157"/>
      <c r="AQ106" s="157"/>
      <c r="AR106" s="157"/>
      <c r="AS106" s="157"/>
      <c r="AT106" s="157"/>
      <c r="AU106" s="157"/>
      <c r="AV106" s="157"/>
      <c r="AW106" s="157"/>
      <c r="AX106" s="157"/>
      <c r="AY106" s="157"/>
      <c r="AZ106" s="157"/>
      <c r="BA106" s="157"/>
      <c r="BB106" s="157"/>
    </row>
    <row r="107" spans="1:54" s="26" customFormat="1">
      <c r="A107" s="1477"/>
      <c r="B107" s="1714"/>
      <c r="C107" s="2022"/>
      <c r="D107" s="2022"/>
      <c r="E107" s="2022"/>
      <c r="F107" s="2022"/>
      <c r="G107" s="2022"/>
      <c r="H107" s="2022"/>
      <c r="I107" s="1714"/>
      <c r="J107" s="2022"/>
      <c r="K107" s="2022"/>
      <c r="L107" s="2022"/>
      <c r="M107" s="2022"/>
      <c r="N107" s="2022"/>
      <c r="O107" s="2022"/>
      <c r="P107" s="1223"/>
      <c r="Q107" s="157"/>
      <c r="R107" s="157"/>
      <c r="S107" s="157"/>
      <c r="T107" s="157"/>
      <c r="U107" s="157"/>
      <c r="V107" s="157"/>
      <c r="W107" s="157"/>
      <c r="X107" s="157"/>
      <c r="Y107" s="157"/>
      <c r="Z107" s="157"/>
      <c r="AA107" s="157"/>
      <c r="AB107" s="487"/>
      <c r="AC107" s="487"/>
      <c r="AD107" s="487"/>
      <c r="AE107" s="487"/>
      <c r="AF107" s="487"/>
      <c r="AG107" s="487"/>
      <c r="AH107" s="487"/>
      <c r="AI107" s="487"/>
      <c r="AJ107" s="487"/>
      <c r="AK107" s="487"/>
      <c r="AL107" s="487"/>
      <c r="AM107" s="487"/>
      <c r="AN107" s="157"/>
      <c r="AO107" s="157"/>
      <c r="AP107" s="157"/>
      <c r="AQ107" s="157"/>
      <c r="AR107" s="157"/>
      <c r="AS107" s="157"/>
      <c r="AT107" s="157"/>
      <c r="AU107" s="157"/>
      <c r="AV107" s="157"/>
      <c r="AW107" s="157"/>
      <c r="AX107" s="157"/>
      <c r="AY107" s="157"/>
      <c r="AZ107" s="157"/>
      <c r="BA107" s="157"/>
      <c r="BB107" s="157"/>
    </row>
    <row r="108" spans="1:54" s="26" customFormat="1">
      <c r="A108" s="1477"/>
      <c r="B108" s="1714"/>
      <c r="C108" s="2022"/>
      <c r="D108" s="2022"/>
      <c r="E108" s="2022"/>
      <c r="F108" s="2022"/>
      <c r="G108" s="2022"/>
      <c r="H108" s="2022"/>
      <c r="I108" s="1714"/>
      <c r="J108" s="2022"/>
      <c r="K108" s="2022"/>
      <c r="L108" s="2022"/>
      <c r="M108" s="2022"/>
      <c r="N108" s="2022"/>
      <c r="O108" s="2022"/>
      <c r="P108" s="1223"/>
      <c r="Q108" s="157"/>
      <c r="R108" s="157"/>
      <c r="S108" s="157"/>
      <c r="T108" s="157"/>
      <c r="U108" s="157"/>
      <c r="V108" s="157"/>
      <c r="W108" s="157"/>
      <c r="X108" s="157"/>
      <c r="Y108" s="157"/>
      <c r="Z108" s="157"/>
      <c r="AA108" s="157"/>
      <c r="AB108" s="487"/>
      <c r="AC108" s="487"/>
      <c r="AD108" s="487"/>
      <c r="AE108" s="487"/>
      <c r="AF108" s="487"/>
      <c r="AG108" s="487"/>
      <c r="AH108" s="487"/>
      <c r="AI108" s="487"/>
      <c r="AJ108" s="487"/>
      <c r="AK108" s="487"/>
      <c r="AL108" s="487"/>
      <c r="AM108" s="487"/>
      <c r="AN108" s="157"/>
      <c r="AO108" s="157"/>
      <c r="AP108" s="157"/>
      <c r="AQ108" s="157"/>
      <c r="AR108" s="157"/>
      <c r="AS108" s="157"/>
      <c r="AT108" s="157"/>
      <c r="AU108" s="157"/>
      <c r="AV108" s="157"/>
      <c r="AW108" s="157"/>
      <c r="AX108" s="157"/>
      <c r="AY108" s="157"/>
      <c r="AZ108" s="157"/>
      <c r="BA108" s="157"/>
      <c r="BB108" s="157"/>
    </row>
    <row r="109" spans="1:54" s="26" customFormat="1">
      <c r="A109" s="1477"/>
      <c r="B109" s="1714"/>
      <c r="C109" s="2022"/>
      <c r="D109" s="2022"/>
      <c r="E109" s="2022"/>
      <c r="F109" s="2022"/>
      <c r="G109" s="2022"/>
      <c r="H109" s="2022"/>
      <c r="I109" s="1714"/>
      <c r="J109" s="2022"/>
      <c r="K109" s="2022"/>
      <c r="L109" s="2022"/>
      <c r="M109" s="2022"/>
      <c r="N109" s="2022"/>
      <c r="O109" s="2022"/>
      <c r="P109" s="1223"/>
      <c r="Q109" s="157"/>
      <c r="R109" s="157"/>
      <c r="S109" s="157"/>
      <c r="T109" s="157"/>
      <c r="U109" s="157"/>
      <c r="V109" s="157"/>
      <c r="W109" s="157"/>
      <c r="X109" s="157"/>
      <c r="Y109" s="157"/>
      <c r="Z109" s="157"/>
      <c r="AA109" s="157"/>
      <c r="AB109" s="487"/>
      <c r="AC109" s="487"/>
      <c r="AD109" s="487"/>
      <c r="AE109" s="487"/>
      <c r="AF109" s="487"/>
      <c r="AG109" s="487"/>
      <c r="AH109" s="487"/>
      <c r="AI109" s="487"/>
      <c r="AJ109" s="487"/>
      <c r="AK109" s="487"/>
      <c r="AL109" s="487"/>
      <c r="AM109" s="487"/>
      <c r="AN109" s="157"/>
      <c r="AO109" s="157"/>
      <c r="AP109" s="157"/>
      <c r="AQ109" s="157"/>
      <c r="AR109" s="157"/>
      <c r="AS109" s="157"/>
      <c r="AT109" s="157"/>
      <c r="AU109" s="157"/>
      <c r="AV109" s="157"/>
      <c r="AW109" s="157"/>
      <c r="AX109" s="157"/>
      <c r="AY109" s="157"/>
      <c r="AZ109" s="157"/>
      <c r="BA109" s="157"/>
      <c r="BB109" s="157"/>
    </row>
    <row r="110" spans="1:54" s="26" customFormat="1">
      <c r="A110" s="1477"/>
      <c r="B110" s="1714"/>
      <c r="C110" s="2022"/>
      <c r="D110" s="2022"/>
      <c r="E110" s="2022"/>
      <c r="F110" s="2022"/>
      <c r="G110" s="2022"/>
      <c r="H110" s="2022"/>
      <c r="I110" s="1714"/>
      <c r="J110" s="1756" t="s">
        <v>1058</v>
      </c>
      <c r="K110" s="1714"/>
      <c r="L110" s="1714"/>
      <c r="M110" s="1714"/>
      <c r="N110" s="1714"/>
      <c r="O110" s="1714"/>
      <c r="P110" s="1714"/>
      <c r="Q110" s="157"/>
      <c r="R110" s="157"/>
      <c r="S110" s="157"/>
      <c r="T110" s="157"/>
      <c r="U110" s="157"/>
      <c r="V110" s="157"/>
      <c r="W110" s="157"/>
      <c r="X110" s="157"/>
      <c r="Y110" s="157"/>
      <c r="Z110" s="157"/>
      <c r="AA110" s="157"/>
      <c r="AB110" s="487"/>
      <c r="AC110" s="487"/>
      <c r="AD110" s="487"/>
      <c r="AE110" s="487"/>
      <c r="AF110" s="487"/>
      <c r="AG110" s="487"/>
      <c r="AH110" s="487"/>
      <c r="AI110" s="487"/>
      <c r="AJ110" s="487"/>
      <c r="AK110" s="487"/>
      <c r="AL110" s="487"/>
      <c r="AM110" s="487"/>
      <c r="AN110" s="157"/>
      <c r="AO110" s="157"/>
      <c r="AP110" s="157"/>
      <c r="AQ110" s="157"/>
      <c r="AR110" s="157"/>
      <c r="AS110" s="157"/>
      <c r="AT110" s="157"/>
      <c r="AU110" s="157"/>
      <c r="AV110" s="157"/>
      <c r="AW110" s="157"/>
      <c r="AX110" s="157"/>
      <c r="AY110" s="157"/>
      <c r="AZ110" s="157"/>
      <c r="BA110" s="157"/>
      <c r="BB110" s="157"/>
    </row>
    <row r="111" spans="1:54">
      <c r="A111" s="1477"/>
      <c r="B111" s="1714"/>
      <c r="C111" s="2022"/>
      <c r="D111" s="2022"/>
      <c r="E111" s="2022"/>
      <c r="F111" s="2022"/>
      <c r="G111" s="2022"/>
      <c r="H111" s="2022"/>
      <c r="I111" s="1714"/>
      <c r="J111" s="2495"/>
      <c r="K111" s="2495"/>
      <c r="L111" s="2495"/>
      <c r="M111" s="2495"/>
      <c r="N111" s="2495"/>
      <c r="O111" s="2495"/>
      <c r="P111" s="1714"/>
      <c r="Q111" s="157"/>
      <c r="R111" s="157"/>
      <c r="S111" s="157"/>
      <c r="T111" s="157"/>
      <c r="U111" s="157"/>
      <c r="V111" s="157"/>
      <c r="W111" s="157"/>
      <c r="X111" s="157"/>
      <c r="Y111" s="157"/>
      <c r="Z111" s="157"/>
      <c r="AA111" s="157"/>
      <c r="AB111" s="487"/>
      <c r="AC111" s="487"/>
      <c r="AD111" s="487"/>
      <c r="AE111" s="487"/>
      <c r="AF111" s="487"/>
      <c r="AG111" s="487"/>
      <c r="AH111" s="487"/>
      <c r="AI111" s="487"/>
      <c r="AJ111" s="487"/>
      <c r="AK111" s="487"/>
      <c r="AL111" s="487"/>
      <c r="AM111" s="487"/>
      <c r="AN111" s="157"/>
      <c r="AO111" s="157"/>
      <c r="AP111" s="157"/>
      <c r="AQ111" s="157"/>
      <c r="AR111" s="157"/>
      <c r="AS111" s="157"/>
      <c r="AT111" s="157"/>
      <c r="AU111" s="157"/>
      <c r="AV111" s="157"/>
      <c r="AW111" s="157"/>
      <c r="AX111" s="157"/>
      <c r="AY111" s="157"/>
      <c r="AZ111" s="157"/>
      <c r="BA111" s="157"/>
      <c r="BB111" s="157"/>
    </row>
    <row r="112" spans="1:54">
      <c r="A112" s="1477"/>
      <c r="B112" s="1714"/>
      <c r="C112" s="1027"/>
      <c r="D112" s="1027"/>
      <c r="E112" s="1027"/>
      <c r="F112" s="1027"/>
      <c r="G112" s="1027"/>
      <c r="H112" s="1027"/>
      <c r="I112" s="1714"/>
      <c r="J112" s="1714"/>
      <c r="K112" s="1714"/>
      <c r="L112" s="1714"/>
      <c r="M112" s="1714"/>
      <c r="N112" s="1714"/>
      <c r="O112" s="1714"/>
      <c r="P112" s="1714"/>
      <c r="Q112" s="157"/>
      <c r="R112" s="157"/>
      <c r="S112" s="157"/>
      <c r="T112" s="157"/>
      <c r="U112" s="157"/>
      <c r="V112" s="157"/>
      <c r="W112" s="157"/>
      <c r="X112" s="157"/>
      <c r="Y112" s="157"/>
      <c r="Z112" s="157"/>
      <c r="AA112" s="157"/>
      <c r="AB112" s="487"/>
      <c r="AC112" s="487"/>
      <c r="AD112" s="487"/>
      <c r="AE112" s="487"/>
      <c r="AF112" s="487"/>
      <c r="AG112" s="487"/>
      <c r="AH112" s="487"/>
      <c r="AI112" s="487"/>
      <c r="AJ112" s="487"/>
      <c r="AK112" s="487"/>
      <c r="AL112" s="487"/>
      <c r="AM112" s="487"/>
      <c r="AN112" s="157"/>
      <c r="AO112" s="157"/>
      <c r="AP112" s="157"/>
      <c r="AQ112" s="157"/>
      <c r="AR112" s="157"/>
      <c r="AS112" s="157"/>
      <c r="AT112" s="157"/>
      <c r="AU112" s="157"/>
      <c r="AV112" s="157"/>
      <c r="AW112" s="157"/>
      <c r="AX112" s="157"/>
      <c r="AY112" s="157"/>
      <c r="AZ112" s="157"/>
      <c r="BA112" s="157"/>
      <c r="BB112" s="157"/>
    </row>
    <row r="113" spans="2:73" ht="21" customHeight="1">
      <c r="B113" s="852" t="s">
        <v>5136</v>
      </c>
      <c r="C113" s="776"/>
      <c r="D113" s="776"/>
      <c r="E113" s="776"/>
      <c r="F113" s="776"/>
      <c r="G113" s="776"/>
      <c r="H113" s="776"/>
      <c r="I113" s="776"/>
      <c r="J113" s="776"/>
      <c r="K113" s="776"/>
      <c r="L113" s="776"/>
      <c r="M113" s="776"/>
      <c r="N113" s="776"/>
      <c r="O113" s="776"/>
      <c r="P113" s="776"/>
      <c r="AB113" s="115"/>
      <c r="AC113" s="115"/>
      <c r="AD113" s="115"/>
      <c r="AE113" s="115"/>
      <c r="AF113" s="115"/>
      <c r="AG113" s="115"/>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row>
    <row r="114" spans="2:73">
      <c r="B114" s="1030" t="s">
        <v>4001</v>
      </c>
      <c r="C114" s="1027"/>
      <c r="D114" s="1027"/>
      <c r="E114" s="1027"/>
      <c r="F114" s="1027"/>
      <c r="G114" s="1027"/>
      <c r="H114" s="1027"/>
      <c r="I114" s="1027"/>
      <c r="J114" s="1027"/>
      <c r="K114" s="1027"/>
      <c r="L114" s="1027"/>
      <c r="M114" s="1027"/>
      <c r="N114" s="1027"/>
      <c r="O114" s="1027"/>
      <c r="P114" s="1027"/>
      <c r="Q114" s="9" t="b">
        <f>I123&gt;0</f>
        <v>0</v>
      </c>
      <c r="AB114" s="115"/>
      <c r="AC114" s="115"/>
      <c r="AD114" s="115"/>
      <c r="AE114" s="115"/>
      <c r="AF114" s="115"/>
      <c r="AG114" s="115"/>
      <c r="AH114" s="115"/>
      <c r="AI114" s="115"/>
      <c r="AJ114" s="115"/>
      <c r="AK114" s="115"/>
      <c r="AL114" s="115"/>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row>
    <row r="115" spans="2:73">
      <c r="B115" s="1027" t="s">
        <v>5137</v>
      </c>
      <c r="C115" s="1027"/>
      <c r="D115" s="1027"/>
      <c r="E115" s="1027"/>
      <c r="F115" s="1027"/>
      <c r="G115" s="1027"/>
      <c r="H115" s="1027"/>
      <c r="I115" s="1027"/>
      <c r="J115" s="1027"/>
      <c r="K115" s="1027"/>
      <c r="L115" s="1027"/>
      <c r="M115" s="1027"/>
      <c r="N115" s="1067"/>
      <c r="O115" s="1027"/>
      <c r="P115" s="1027"/>
      <c r="AB115" s="115"/>
      <c r="AC115" s="115"/>
      <c r="AD115" s="115"/>
      <c r="AE115" s="115"/>
      <c r="AF115" s="115"/>
      <c r="AG115" s="115"/>
      <c r="AH115" s="115"/>
      <c r="AI115" s="115"/>
      <c r="AJ115" s="115"/>
      <c r="AK115" s="115"/>
      <c r="AL115" s="115"/>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row>
    <row r="116" spans="2:73">
      <c r="B116" s="2494" t="s">
        <v>5138</v>
      </c>
      <c r="C116" s="2494"/>
      <c r="D116" s="2494"/>
      <c r="E116" s="2494"/>
      <c r="F116" s="2494"/>
      <c r="G116" s="2494"/>
      <c r="H116" s="2494"/>
      <c r="I116" s="2494"/>
      <c r="J116" s="2494"/>
      <c r="K116" s="2494"/>
      <c r="L116" s="2494"/>
      <c r="M116" s="2494"/>
      <c r="N116" s="2494"/>
      <c r="O116" s="2494"/>
      <c r="P116" s="2494"/>
      <c r="Q116" s="1331"/>
      <c r="AB116" s="115"/>
      <c r="AC116" s="115"/>
      <c r="AD116" s="115"/>
      <c r="AE116" s="115"/>
      <c r="AF116" s="115"/>
      <c r="AG116" s="115"/>
      <c r="AH116" s="115"/>
      <c r="AI116" s="115"/>
      <c r="AJ116" s="115"/>
      <c r="AK116" s="115"/>
      <c r="AL116" s="115"/>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row>
    <row r="117" spans="2:73">
      <c r="B117" s="2494"/>
      <c r="C117" s="2494"/>
      <c r="D117" s="2494"/>
      <c r="E117" s="2494"/>
      <c r="F117" s="2494"/>
      <c r="G117" s="2494"/>
      <c r="H117" s="2494"/>
      <c r="I117" s="2494"/>
      <c r="J117" s="2494"/>
      <c r="K117" s="2494"/>
      <c r="L117" s="2494"/>
      <c r="M117" s="2494"/>
      <c r="N117" s="2494"/>
      <c r="O117" s="2494"/>
      <c r="P117" s="2494"/>
      <c r="Q117" s="1331"/>
      <c r="AB117" s="115"/>
      <c r="AC117" s="115"/>
      <c r="AD117" s="115"/>
      <c r="AE117" s="115"/>
      <c r="AF117" s="115"/>
      <c r="AG117" s="115"/>
      <c r="AH117" s="115"/>
      <c r="AI117" s="115"/>
      <c r="AJ117" s="115"/>
      <c r="AK117" s="115"/>
      <c r="AL117" s="115"/>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row>
    <row r="118" spans="2:73">
      <c r="B118" s="2469" t="s">
        <v>5139</v>
      </c>
      <c r="C118" s="2469"/>
      <c r="D118" s="2469"/>
      <c r="E118" s="2469"/>
      <c r="F118" s="2469"/>
      <c r="G118" s="2469"/>
      <c r="H118" s="2469"/>
      <c r="I118" s="2469"/>
      <c r="J118" s="2469"/>
      <c r="K118" s="2469"/>
      <c r="L118" s="2469"/>
      <c r="M118" s="2469"/>
      <c r="N118" s="2469"/>
      <c r="O118" s="2469"/>
      <c r="P118" s="2469"/>
      <c r="AB118" s="115"/>
      <c r="AC118" s="115"/>
      <c r="AD118" s="115"/>
      <c r="AE118" s="115"/>
      <c r="AF118" s="115"/>
      <c r="AG118" s="115"/>
      <c r="AH118" s="115"/>
      <c r="AI118" s="115"/>
      <c r="AJ118" s="115"/>
      <c r="AK118" s="115"/>
      <c r="AL118" s="115"/>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row>
    <row r="119" spans="2:73">
      <c r="B119" s="2469"/>
      <c r="C119" s="2469"/>
      <c r="D119" s="2469"/>
      <c r="E119" s="2469"/>
      <c r="F119" s="2469"/>
      <c r="G119" s="2469"/>
      <c r="H119" s="2469"/>
      <c r="I119" s="2469"/>
      <c r="J119" s="2469"/>
      <c r="K119" s="2469"/>
      <c r="L119" s="2469"/>
      <c r="M119" s="2469"/>
      <c r="N119" s="2469"/>
      <c r="O119" s="2469"/>
      <c r="P119" s="2469"/>
      <c r="AB119" s="115"/>
      <c r="AC119" s="115"/>
      <c r="AD119" s="115"/>
      <c r="AE119" s="115"/>
      <c r="AF119" s="115"/>
      <c r="AG119" s="115"/>
      <c r="AH119" s="115"/>
      <c r="AI119" s="115"/>
      <c r="AJ119" s="115"/>
      <c r="AK119" s="115"/>
      <c r="AL119" s="115"/>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row>
    <row r="120" spans="2:73">
      <c r="B120" s="1027" t="s">
        <v>5140</v>
      </c>
      <c r="C120" s="1027"/>
      <c r="D120" s="1027"/>
      <c r="E120" s="1027"/>
      <c r="F120" s="1027"/>
      <c r="G120" s="1027"/>
      <c r="H120" s="1027"/>
      <c r="I120" s="1027"/>
      <c r="J120" s="1027"/>
      <c r="K120" s="1027"/>
      <c r="L120" s="1027"/>
      <c r="M120" s="1027"/>
      <c r="N120" s="1067"/>
      <c r="O120" s="1027"/>
      <c r="P120" s="1027"/>
      <c r="AB120" s="115"/>
      <c r="AC120" s="115"/>
      <c r="AD120" s="115"/>
      <c r="AE120" s="115"/>
      <c r="AF120" s="115"/>
      <c r="AG120" s="115"/>
      <c r="AH120" s="115"/>
      <c r="AI120" s="115"/>
      <c r="AJ120" s="115"/>
      <c r="AK120" s="115"/>
      <c r="AL120" s="115"/>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row>
    <row r="121" spans="2:73">
      <c r="B121" s="1027" t="s">
        <v>5141</v>
      </c>
      <c r="C121" s="1027"/>
      <c r="D121" s="1027"/>
      <c r="E121" s="1027"/>
      <c r="F121" s="1027"/>
      <c r="G121" s="1027"/>
      <c r="H121" s="1027"/>
      <c r="I121" s="1027"/>
      <c r="J121" s="1027"/>
      <c r="K121" s="1027"/>
      <c r="L121" s="1027"/>
      <c r="M121" s="1027"/>
      <c r="N121" s="1027"/>
      <c r="O121" s="1027"/>
      <c r="P121" s="1027"/>
      <c r="AB121" s="115"/>
      <c r="AC121" s="115"/>
      <c r="AD121" s="115"/>
      <c r="AE121" s="115"/>
      <c r="AF121" s="115"/>
      <c r="AG121" s="115"/>
      <c r="AH121" s="115"/>
      <c r="AI121" s="115"/>
      <c r="AJ121" s="115"/>
      <c r="AK121" s="115"/>
      <c r="AL121" s="115"/>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row>
    <row r="122" spans="2:73">
      <c r="B122" s="1027"/>
      <c r="C122" s="1027"/>
      <c r="D122" s="1027"/>
      <c r="E122" s="1027"/>
      <c r="F122" s="1027"/>
      <c r="G122" s="1027"/>
      <c r="H122" s="1027"/>
      <c r="I122" s="1027"/>
      <c r="J122" s="1027"/>
      <c r="K122" s="1027"/>
      <c r="L122" s="1027"/>
      <c r="M122" s="1027"/>
      <c r="N122" s="1027"/>
      <c r="O122" s="1027"/>
      <c r="P122" s="1027"/>
      <c r="AB122" s="115"/>
      <c r="AC122" s="115"/>
      <c r="AD122" s="115"/>
      <c r="AE122" s="115"/>
      <c r="AF122" s="115"/>
      <c r="AG122" s="115"/>
      <c r="AH122" s="115"/>
      <c r="AI122" s="115"/>
      <c r="AJ122" s="115"/>
      <c r="AK122" s="115"/>
      <c r="AL122" s="115"/>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row>
    <row r="123" spans="2:73">
      <c r="B123" s="1027"/>
      <c r="C123" s="1040" t="s">
        <v>5142</v>
      </c>
      <c r="D123" s="792"/>
      <c r="E123" s="1040" t="s">
        <v>5143</v>
      </c>
      <c r="F123" s="158">
        <f>Total_Units</f>
        <v>0</v>
      </c>
      <c r="G123" s="2511" t="s">
        <v>5144</v>
      </c>
      <c r="H123" s="2511"/>
      <c r="I123" s="2512">
        <f>IF(F123=0,0,ROUNDDOWN(D123/F123, 2))</f>
        <v>0</v>
      </c>
      <c r="J123" s="2512"/>
      <c r="K123" s="1027"/>
      <c r="L123" s="1027"/>
      <c r="M123" s="1027"/>
      <c r="N123" s="1027"/>
      <c r="O123" s="1027"/>
      <c r="P123" s="1027"/>
      <c r="AB123" s="115"/>
      <c r="AC123" s="115"/>
      <c r="AD123" s="115"/>
      <c r="AE123" s="115"/>
      <c r="AF123" s="115"/>
      <c r="AG123" s="115"/>
      <c r="AH123" s="115"/>
      <c r="AI123" s="115"/>
      <c r="AJ123" s="115"/>
      <c r="AK123" s="115"/>
      <c r="AL123" s="115"/>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row>
    <row r="124" spans="2:73">
      <c r="B124" s="1027"/>
      <c r="C124" s="1027"/>
      <c r="D124" s="1027"/>
      <c r="E124" s="1027"/>
      <c r="F124" s="1027"/>
      <c r="G124" s="1027"/>
      <c r="H124" s="1027"/>
      <c r="I124" s="1027"/>
      <c r="J124" s="1027"/>
      <c r="K124" s="1027"/>
      <c r="L124" s="1027"/>
      <c r="M124" s="1027"/>
      <c r="N124" s="1027"/>
      <c r="O124" s="1027"/>
      <c r="P124" s="1027"/>
      <c r="AB124" s="115"/>
      <c r="AC124" s="115"/>
      <c r="AD124" s="115"/>
      <c r="AE124" s="115"/>
      <c r="AF124" s="115"/>
      <c r="AG124" s="115"/>
      <c r="AH124" s="115"/>
      <c r="AI124" s="115"/>
      <c r="AJ124" s="115"/>
      <c r="AK124" s="115"/>
      <c r="AL124" s="115"/>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row>
    <row r="125" spans="2:73">
      <c r="B125" s="1027"/>
      <c r="C125" s="741" t="s">
        <v>5096</v>
      </c>
      <c r="D125" s="741" t="s">
        <v>5002</v>
      </c>
      <c r="E125" s="1027"/>
      <c r="F125" s="1027"/>
      <c r="G125" s="1027"/>
      <c r="H125" s="1027"/>
      <c r="I125" s="1027"/>
      <c r="J125" s="1027"/>
      <c r="K125" s="1027"/>
      <c r="L125" s="1027"/>
      <c r="M125" s="1027"/>
      <c r="N125" s="1027"/>
      <c r="O125" s="1027"/>
      <c r="P125" s="1027"/>
      <c r="AB125" s="115"/>
      <c r="AC125" s="115"/>
      <c r="AD125" s="115"/>
      <c r="AE125" s="115"/>
      <c r="AF125" s="115"/>
      <c r="AG125" s="115"/>
      <c r="AH125" s="115"/>
      <c r="AI125" s="115"/>
      <c r="AJ125" s="115"/>
      <c r="AK125" s="115"/>
      <c r="AL125" s="115"/>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row>
    <row r="126" spans="2:73">
      <c r="B126" s="1027"/>
      <c r="C126" s="1224" t="s">
        <v>5145</v>
      </c>
      <c r="D126" s="1225">
        <v>1</v>
      </c>
      <c r="E126" s="1027"/>
      <c r="F126" s="1027"/>
      <c r="G126" s="1027"/>
      <c r="H126" s="1027"/>
      <c r="I126" s="1027"/>
      <c r="J126" s="1027"/>
      <c r="K126" s="1027"/>
      <c r="L126" s="1027"/>
      <c r="M126" s="1027"/>
      <c r="N126" s="1027"/>
      <c r="O126" s="1027"/>
      <c r="P126" s="1027"/>
      <c r="AB126" s="115"/>
      <c r="AC126" s="115"/>
      <c r="AD126" s="115"/>
      <c r="AE126" s="115"/>
      <c r="AF126" s="115"/>
      <c r="AG126" s="115"/>
      <c r="AH126" s="115"/>
      <c r="AI126" s="115"/>
      <c r="AJ126" s="115"/>
      <c r="AK126" s="115"/>
      <c r="AL126" s="115"/>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row>
    <row r="127" spans="2:73">
      <c r="B127" s="1027"/>
      <c r="C127" s="1224" t="s">
        <v>5146</v>
      </c>
      <c r="D127" s="1225">
        <v>2</v>
      </c>
      <c r="E127" s="1027"/>
      <c r="F127" s="1027"/>
      <c r="G127" s="1027"/>
      <c r="H127" s="1027"/>
      <c r="I127" s="1027"/>
      <c r="J127" s="1027"/>
      <c r="K127" s="1027"/>
      <c r="L127" s="1027"/>
      <c r="M127" s="1027"/>
      <c r="N127" s="1027"/>
      <c r="O127" s="1027"/>
      <c r="P127" s="1027"/>
      <c r="Q127" s="9">
        <f>IF(AND(I123&gt;=1%, I123 &lt;= 5%), D126, 0)</f>
        <v>0</v>
      </c>
      <c r="AB127" s="115"/>
      <c r="AC127" s="115"/>
      <c r="AD127" s="115"/>
      <c r="AE127" s="115"/>
      <c r="AF127" s="115"/>
      <c r="AG127" s="115"/>
      <c r="AH127" s="115"/>
      <c r="AI127" s="115"/>
      <c r="AJ127" s="115"/>
      <c r="AK127" s="115"/>
      <c r="AL127" s="115"/>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row>
    <row r="128" spans="2:73">
      <c r="B128" s="1027"/>
      <c r="C128" s="1224" t="s">
        <v>5147</v>
      </c>
      <c r="D128" s="1225">
        <v>3</v>
      </c>
      <c r="E128" s="1027"/>
      <c r="F128" s="1027"/>
      <c r="G128" s="1027"/>
      <c r="H128" s="1027"/>
      <c r="I128" s="1027"/>
      <c r="J128" s="1027"/>
      <c r="K128" s="1027"/>
      <c r="L128" s="1027"/>
      <c r="M128" s="1027"/>
      <c r="N128" s="1027"/>
      <c r="O128" s="1027"/>
      <c r="P128" s="1027"/>
      <c r="Q128" s="9">
        <f>IF(AND(I123&gt;5%, I123 &lt;= 10%), D127, 0)</f>
        <v>0</v>
      </c>
      <c r="AB128" s="115"/>
      <c r="AC128" s="115"/>
      <c r="AD128" s="115"/>
      <c r="AE128" s="115"/>
      <c r="AF128" s="115"/>
      <c r="AG128" s="115"/>
      <c r="AH128" s="115"/>
      <c r="AI128" s="115"/>
      <c r="AJ128" s="115"/>
      <c r="AK128" s="115"/>
      <c r="AL128" s="115"/>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row>
    <row r="129" spans="2:73">
      <c r="B129" s="1027"/>
      <c r="C129" s="1027"/>
      <c r="D129" s="1027"/>
      <c r="E129" s="1027"/>
      <c r="F129" s="1027"/>
      <c r="G129" s="1027"/>
      <c r="H129" s="1027"/>
      <c r="I129" s="1027"/>
      <c r="J129" s="1027"/>
      <c r="K129" s="1027"/>
      <c r="L129" s="1027"/>
      <c r="M129" s="1027"/>
      <c r="N129" s="1027"/>
      <c r="O129" s="1027"/>
      <c r="P129" s="1027"/>
      <c r="Q129" s="9">
        <f>IF(AND(I123&gt;10%, I123 &lt;= 100%), D128, 0)</f>
        <v>0</v>
      </c>
      <c r="AB129" s="115"/>
      <c r="AC129" s="115"/>
      <c r="AD129" s="115"/>
      <c r="AE129" s="115"/>
      <c r="AF129" s="115"/>
      <c r="AG129" s="115"/>
      <c r="AH129" s="115"/>
      <c r="AI129" s="115"/>
      <c r="AJ129" s="115"/>
      <c r="AK129" s="115"/>
      <c r="AL129" s="115"/>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row>
    <row r="130" spans="2:73">
      <c r="B130" s="1027"/>
      <c r="C130" s="1027"/>
      <c r="D130" s="1027"/>
      <c r="E130" s="1027"/>
      <c r="F130" s="1027"/>
      <c r="G130" s="1027"/>
      <c r="H130" s="1027"/>
      <c r="I130" s="1027"/>
      <c r="J130" s="1027"/>
      <c r="K130" s="1027"/>
      <c r="L130" s="1027"/>
      <c r="M130" s="1027"/>
      <c r="N130" s="1027"/>
      <c r="O130" s="1027"/>
      <c r="P130" s="1027"/>
      <c r="Q130" s="9">
        <f>SUM(Q127:Q129)</f>
        <v>0</v>
      </c>
      <c r="AB130" s="115"/>
      <c r="AC130" s="115"/>
      <c r="AD130" s="115"/>
      <c r="AE130" s="115"/>
      <c r="AF130" s="115"/>
      <c r="AG130" s="115"/>
      <c r="AH130" s="115"/>
      <c r="AI130" s="115"/>
      <c r="AJ130" s="115"/>
      <c r="AK130" s="115"/>
      <c r="AL130" s="115"/>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row>
    <row r="131" spans="2:73" ht="15.75">
      <c r="B131" s="1027"/>
      <c r="C131" s="1227" t="s">
        <v>4997</v>
      </c>
      <c r="D131" s="1227" t="s">
        <v>4971</v>
      </c>
      <c r="E131" s="1227" t="s">
        <v>1051</v>
      </c>
      <c r="F131" s="1027"/>
      <c r="G131" s="1027"/>
      <c r="H131" s="1027"/>
      <c r="I131" s="1027"/>
      <c r="J131" s="1027"/>
      <c r="K131" s="1027"/>
      <c r="L131" s="1027"/>
      <c r="M131" s="1027"/>
      <c r="N131" s="1027"/>
      <c r="O131" s="1027"/>
      <c r="P131" s="1027"/>
      <c r="AB131" s="115"/>
      <c r="AC131" s="115"/>
      <c r="AD131" s="115"/>
      <c r="AE131" s="115"/>
      <c r="AF131" s="115"/>
      <c r="AG131" s="115"/>
      <c r="AH131" s="115"/>
      <c r="AI131" s="115"/>
      <c r="AJ131" s="115"/>
      <c r="AK131" s="115"/>
      <c r="AL131" s="115"/>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row>
    <row r="132" spans="2:73" ht="18.75">
      <c r="B132" s="1219"/>
      <c r="C132" s="858">
        <v>3</v>
      </c>
      <c r="D132" s="1760">
        <f>Q132</f>
        <v>0</v>
      </c>
      <c r="E132" s="1757"/>
      <c r="F132" s="1219"/>
      <c r="G132" s="1219"/>
      <c r="H132" s="1219"/>
      <c r="I132" s="1219"/>
      <c r="J132" s="1219"/>
      <c r="K132" s="1219"/>
      <c r="L132" s="1219"/>
      <c r="M132" s="1219"/>
      <c r="N132" s="1219"/>
      <c r="O132" s="1219"/>
      <c r="P132" s="1219"/>
      <c r="Q132" s="9">
        <f>IF(Q130&gt;3, 3, Q130)</f>
        <v>0</v>
      </c>
      <c r="AB132" s="115"/>
      <c r="AC132" s="115"/>
      <c r="AD132" s="115"/>
      <c r="AE132" s="115"/>
      <c r="AF132" s="115"/>
      <c r="AG132" s="115"/>
      <c r="AH132" s="115"/>
      <c r="AI132" s="115"/>
      <c r="AJ132" s="115"/>
      <c r="AK132" s="115"/>
      <c r="AL132" s="115"/>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row>
    <row r="133" spans="2:73">
      <c r="B133" s="1027"/>
      <c r="C133" s="1027"/>
      <c r="D133" s="1027"/>
      <c r="E133" s="1027"/>
      <c r="F133" s="1027"/>
      <c r="G133" s="1027"/>
      <c r="H133" s="1027"/>
      <c r="I133" s="1027"/>
      <c r="J133" s="1027"/>
      <c r="K133" s="1027"/>
      <c r="L133" s="1027"/>
      <c r="M133" s="1027"/>
      <c r="N133" s="1027"/>
      <c r="O133" s="1027"/>
      <c r="P133" s="1027"/>
      <c r="AB133" s="115"/>
      <c r="AC133" s="115"/>
      <c r="AD133" s="115"/>
      <c r="AE133" s="115"/>
      <c r="AF133" s="115"/>
      <c r="AG133" s="115"/>
      <c r="AH133" s="115"/>
      <c r="AI133" s="115"/>
      <c r="AJ133" s="115"/>
      <c r="AK133" s="115"/>
      <c r="AL133" s="115"/>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row>
    <row r="134" spans="2:73">
      <c r="B134" s="1027"/>
      <c r="C134" s="1027"/>
      <c r="D134" s="1027"/>
      <c r="E134" s="1027"/>
      <c r="F134" s="1027"/>
      <c r="G134" s="1027"/>
      <c r="H134" s="1027"/>
      <c r="I134" s="1027"/>
      <c r="J134" s="1027"/>
      <c r="K134" s="1027"/>
      <c r="L134" s="1027"/>
      <c r="M134" s="1027"/>
      <c r="N134" s="1027"/>
      <c r="O134" s="1027"/>
      <c r="P134" s="1027"/>
      <c r="AB134" s="115"/>
      <c r="AC134" s="115"/>
      <c r="AD134" s="115"/>
      <c r="AE134" s="115"/>
      <c r="AF134" s="115"/>
      <c r="AG134" s="115"/>
      <c r="AH134" s="115"/>
      <c r="AI134" s="115"/>
      <c r="AJ134" s="115"/>
      <c r="AK134" s="115"/>
      <c r="AL134" s="115"/>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row>
    <row r="135" spans="2:73" ht="18.75">
      <c r="B135" s="8" t="s">
        <v>5112</v>
      </c>
      <c r="C135" s="8"/>
      <c r="D135" s="8"/>
      <c r="E135" s="8"/>
      <c r="F135" s="8"/>
      <c r="G135" s="8"/>
      <c r="H135" s="8"/>
      <c r="I135" s="8"/>
      <c r="J135" s="8" t="s">
        <v>5113</v>
      </c>
      <c r="K135" s="8"/>
      <c r="L135" s="8"/>
      <c r="M135" s="8"/>
      <c r="N135" s="8"/>
      <c r="O135" s="8"/>
      <c r="P135" s="8"/>
      <c r="AB135" s="115"/>
      <c r="AC135" s="115"/>
      <c r="AD135" s="115"/>
      <c r="AE135" s="115"/>
      <c r="AF135" s="115"/>
      <c r="AG135" s="115"/>
      <c r="AH135" s="115"/>
      <c r="AI135" s="115"/>
      <c r="AJ135" s="115"/>
      <c r="AK135" s="115"/>
      <c r="AL135" s="115"/>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row>
    <row r="136" spans="2:73">
      <c r="B136" s="1030" t="s">
        <v>4802</v>
      </c>
      <c r="C136" s="1027"/>
      <c r="D136" s="1027"/>
      <c r="E136" s="1027"/>
      <c r="F136" s="1027"/>
      <c r="G136" s="1027"/>
      <c r="H136" s="1027"/>
      <c r="I136" s="1027"/>
      <c r="J136" s="1032" t="s">
        <v>3637</v>
      </c>
      <c r="K136" s="1027"/>
      <c r="L136" s="1027"/>
      <c r="M136" s="1027"/>
      <c r="N136" s="1027"/>
      <c r="O136" s="1027"/>
      <c r="P136" s="1027"/>
      <c r="AB136" s="115"/>
      <c r="AC136" s="115"/>
      <c r="AD136" s="115"/>
      <c r="AE136" s="115"/>
      <c r="AF136" s="115"/>
      <c r="AG136" s="115"/>
      <c r="AH136" s="115"/>
      <c r="AI136" s="115"/>
      <c r="AJ136" s="115"/>
      <c r="AK136" s="115"/>
      <c r="AL136" s="115"/>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row>
    <row r="137" spans="2:73">
      <c r="B137" s="1027"/>
      <c r="C137" s="2022"/>
      <c r="D137" s="2022"/>
      <c r="E137" s="2022"/>
      <c r="F137" s="2022"/>
      <c r="G137" s="2022"/>
      <c r="H137" s="2022"/>
      <c r="I137" s="1027"/>
      <c r="J137" s="1998"/>
      <c r="K137" s="1998"/>
      <c r="L137" s="1998"/>
      <c r="M137" s="1998"/>
      <c r="N137" s="1998"/>
      <c r="O137" s="2501"/>
      <c r="P137" s="1027"/>
      <c r="AB137" s="115"/>
      <c r="AC137" s="115"/>
      <c r="AD137" s="115"/>
      <c r="AE137" s="115"/>
      <c r="AF137" s="115"/>
      <c r="AG137" s="115"/>
      <c r="AH137" s="115"/>
      <c r="AI137" s="115"/>
      <c r="AJ137" s="115"/>
      <c r="AK137" s="115"/>
      <c r="AL137" s="115"/>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row>
    <row r="138" spans="2:73">
      <c r="B138" s="1027"/>
      <c r="C138" s="2022"/>
      <c r="D138" s="2022"/>
      <c r="E138" s="2022"/>
      <c r="F138" s="2022"/>
      <c r="G138" s="2022"/>
      <c r="H138" s="2022"/>
      <c r="I138" s="1027"/>
      <c r="J138" s="1998"/>
      <c r="K138" s="1998"/>
      <c r="L138" s="1998"/>
      <c r="M138" s="1998"/>
      <c r="N138" s="1998"/>
      <c r="O138" s="2501"/>
      <c r="P138" s="1027"/>
      <c r="AB138" s="115"/>
      <c r="AC138" s="115"/>
      <c r="AD138" s="115"/>
      <c r="AE138" s="115"/>
      <c r="AF138" s="115"/>
      <c r="AG138" s="115"/>
      <c r="AH138" s="115"/>
      <c r="AI138" s="115"/>
      <c r="AJ138" s="115"/>
      <c r="AK138" s="115"/>
      <c r="AL138" s="115"/>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row>
    <row r="139" spans="2:73">
      <c r="B139" s="1027"/>
      <c r="C139" s="2022"/>
      <c r="D139" s="2022"/>
      <c r="E139" s="2022"/>
      <c r="F139" s="2022"/>
      <c r="G139" s="2022"/>
      <c r="H139" s="2022"/>
      <c r="I139" s="1027"/>
      <c r="J139" s="1998"/>
      <c r="K139" s="1998"/>
      <c r="L139" s="1998"/>
      <c r="M139" s="1998"/>
      <c r="N139" s="1998"/>
      <c r="O139" s="2501"/>
      <c r="P139" s="1027"/>
      <c r="AB139" s="115"/>
      <c r="AC139" s="115"/>
      <c r="AD139" s="115"/>
      <c r="AE139" s="115"/>
      <c r="AF139" s="115"/>
      <c r="AG139" s="115"/>
      <c r="AH139" s="115"/>
      <c r="AI139" s="115"/>
      <c r="AJ139" s="115"/>
      <c r="AK139" s="115"/>
      <c r="AL139" s="115"/>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row r="140" spans="2:73">
      <c r="B140" s="1027"/>
      <c r="C140" s="2022"/>
      <c r="D140" s="2022"/>
      <c r="E140" s="2022"/>
      <c r="F140" s="2022"/>
      <c r="G140" s="2022"/>
      <c r="H140" s="2022"/>
      <c r="I140" s="1027"/>
      <c r="J140" s="1998"/>
      <c r="K140" s="1998"/>
      <c r="L140" s="1998"/>
      <c r="M140" s="1998"/>
      <c r="N140" s="1998"/>
      <c r="O140" s="2501"/>
      <c r="P140" s="1027"/>
      <c r="AB140" s="115"/>
      <c r="AC140" s="115"/>
      <c r="AD140" s="115"/>
      <c r="AE140" s="115"/>
      <c r="AF140" s="115"/>
      <c r="AG140" s="115"/>
      <c r="AH140" s="115"/>
      <c r="AI140" s="115"/>
      <c r="AJ140" s="115"/>
      <c r="AK140" s="115"/>
      <c r="AL140" s="115"/>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row>
    <row r="141" spans="2:73">
      <c r="B141" s="1027"/>
      <c r="C141" s="2022"/>
      <c r="D141" s="2022"/>
      <c r="E141" s="2022"/>
      <c r="F141" s="2022"/>
      <c r="G141" s="2022"/>
      <c r="H141" s="2022"/>
      <c r="I141" s="1027"/>
      <c r="J141" s="1998"/>
      <c r="K141" s="1998"/>
      <c r="L141" s="1998"/>
      <c r="M141" s="1998"/>
      <c r="N141" s="1998"/>
      <c r="O141" s="2501"/>
      <c r="P141" s="1027"/>
      <c r="AB141" s="115"/>
      <c r="AC141" s="115"/>
      <c r="AD141" s="115"/>
      <c r="AE141" s="115"/>
      <c r="AF141" s="115"/>
      <c r="AG141" s="115"/>
      <c r="AH141" s="115"/>
      <c r="AI141" s="115"/>
      <c r="AJ141" s="115"/>
      <c r="AK141" s="115"/>
      <c r="AL141" s="115"/>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row>
    <row r="142" spans="2:73">
      <c r="B142" s="1027"/>
      <c r="C142" s="2022"/>
      <c r="D142" s="2022"/>
      <c r="E142" s="2022"/>
      <c r="F142" s="2022"/>
      <c r="G142" s="2022"/>
      <c r="H142" s="2022"/>
      <c r="I142" s="1027"/>
      <c r="J142" s="1998"/>
      <c r="K142" s="1998"/>
      <c r="L142" s="1998"/>
      <c r="M142" s="1998"/>
      <c r="N142" s="1998"/>
      <c r="O142" s="2501"/>
      <c r="P142" s="1027"/>
      <c r="AB142" s="115"/>
      <c r="AC142" s="115"/>
      <c r="AD142" s="115"/>
      <c r="AE142" s="115"/>
      <c r="AF142" s="115"/>
      <c r="AG142" s="115"/>
      <c r="AH142" s="115"/>
      <c r="AI142" s="115"/>
      <c r="AJ142" s="115"/>
      <c r="AK142" s="115"/>
      <c r="AL142" s="115"/>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row>
    <row r="143" spans="2:73">
      <c r="B143" s="1027"/>
      <c r="C143" s="2022"/>
      <c r="D143" s="2022"/>
      <c r="E143" s="2022"/>
      <c r="F143" s="2022"/>
      <c r="G143" s="2022"/>
      <c r="H143" s="2022"/>
      <c r="I143" s="1027"/>
      <c r="J143" s="1998"/>
      <c r="K143" s="1998"/>
      <c r="L143" s="1998"/>
      <c r="M143" s="1998"/>
      <c r="N143" s="1998"/>
      <c r="O143" s="2501"/>
      <c r="P143" s="1027"/>
      <c r="AB143" s="115"/>
      <c r="AC143" s="115"/>
      <c r="AD143" s="115"/>
      <c r="AE143" s="115"/>
      <c r="AF143" s="115"/>
      <c r="AG143" s="115"/>
      <c r="AH143" s="115"/>
      <c r="AI143" s="115"/>
      <c r="AJ143" s="115"/>
      <c r="AK143" s="115"/>
      <c r="AL143" s="115"/>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row>
    <row r="144" spans="2:73">
      <c r="B144" s="1027"/>
      <c r="C144" s="2022"/>
      <c r="D144" s="2022"/>
      <c r="E144" s="2022"/>
      <c r="F144" s="2022"/>
      <c r="G144" s="2022"/>
      <c r="H144" s="2022"/>
      <c r="I144" s="1027"/>
      <c r="J144" s="1998"/>
      <c r="K144" s="1998"/>
      <c r="L144" s="1998"/>
      <c r="M144" s="1998"/>
      <c r="N144" s="1998"/>
      <c r="O144" s="2501"/>
      <c r="P144" s="1027"/>
      <c r="AB144" s="115"/>
      <c r="AC144" s="115"/>
      <c r="AD144" s="115"/>
      <c r="AE144" s="115"/>
      <c r="AF144" s="115"/>
      <c r="AG144" s="115"/>
      <c r="AH144" s="115"/>
      <c r="AI144" s="115"/>
      <c r="AJ144" s="115"/>
      <c r="AK144" s="115"/>
      <c r="AL144" s="115"/>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row>
    <row r="145" spans="2:102">
      <c r="B145" s="1027"/>
      <c r="C145" s="2022"/>
      <c r="D145" s="2022"/>
      <c r="E145" s="2022"/>
      <c r="F145" s="2022"/>
      <c r="G145" s="2022"/>
      <c r="H145" s="2022"/>
      <c r="I145" s="1027"/>
      <c r="J145" s="2502"/>
      <c r="K145" s="2502"/>
      <c r="L145" s="2502"/>
      <c r="M145" s="2502"/>
      <c r="N145" s="2502"/>
      <c r="O145" s="2022"/>
      <c r="P145" s="1027"/>
      <c r="AB145" s="115"/>
      <c r="AC145" s="115"/>
      <c r="AD145" s="115"/>
      <c r="AE145" s="115"/>
      <c r="AF145" s="115"/>
      <c r="AG145" s="115"/>
      <c r="AH145" s="115"/>
      <c r="AI145" s="115"/>
      <c r="AJ145" s="115"/>
      <c r="AK145" s="115"/>
      <c r="AL145" s="115"/>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row>
    <row r="146" spans="2:102">
      <c r="B146" s="1027"/>
      <c r="C146" s="2022"/>
      <c r="D146" s="2022"/>
      <c r="E146" s="2022"/>
      <c r="F146" s="2022"/>
      <c r="G146" s="2022"/>
      <c r="H146" s="2022"/>
      <c r="I146" s="1027"/>
      <c r="J146" s="1756" t="s">
        <v>1058</v>
      </c>
      <c r="K146" s="1027"/>
      <c r="L146" s="1027"/>
      <c r="M146" s="1027"/>
      <c r="N146" s="1027"/>
      <c r="O146" s="1027"/>
      <c r="P146" s="1027"/>
      <c r="AB146" s="115"/>
      <c r="AC146" s="115"/>
      <c r="AD146" s="115"/>
      <c r="AE146" s="115"/>
      <c r="AF146" s="115"/>
      <c r="AG146" s="115"/>
      <c r="AH146" s="115"/>
      <c r="AI146" s="115"/>
      <c r="AJ146" s="115"/>
      <c r="AK146" s="115"/>
      <c r="AL146" s="115"/>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row>
    <row r="147" spans="2:102">
      <c r="B147" s="1027"/>
      <c r="C147" s="2022"/>
      <c r="D147" s="2022"/>
      <c r="E147" s="2022"/>
      <c r="F147" s="2022"/>
      <c r="G147" s="2022"/>
      <c r="H147" s="2022"/>
      <c r="I147" s="1027"/>
      <c r="J147" s="2495"/>
      <c r="K147" s="2495"/>
      <c r="L147" s="2495"/>
      <c r="M147" s="2495"/>
      <c r="N147" s="2495"/>
      <c r="O147" s="2495"/>
      <c r="P147" s="1027"/>
      <c r="AB147" s="115"/>
      <c r="AC147" s="115"/>
      <c r="AD147" s="115"/>
      <c r="AE147" s="115"/>
      <c r="AF147" s="115"/>
      <c r="AG147" s="115"/>
      <c r="AH147" s="115"/>
      <c r="AI147" s="115"/>
      <c r="AJ147" s="115"/>
      <c r="AK147" s="115"/>
      <c r="AL147" s="115"/>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row>
    <row r="148" spans="2:102">
      <c r="B148" s="1027"/>
      <c r="C148" s="1027"/>
      <c r="D148" s="1027"/>
      <c r="E148" s="1027"/>
      <c r="F148" s="1027"/>
      <c r="G148" s="1027"/>
      <c r="H148" s="1027"/>
      <c r="I148" s="1027"/>
      <c r="J148" s="1027"/>
      <c r="K148" s="1027"/>
      <c r="L148" s="1027"/>
      <c r="M148" s="1027"/>
      <c r="N148" s="1027"/>
      <c r="O148" s="1027"/>
      <c r="P148" s="1027"/>
      <c r="AB148" s="115"/>
      <c r="AC148" s="115"/>
      <c r="AD148" s="115"/>
      <c r="AE148" s="115"/>
      <c r="AF148" s="115"/>
      <c r="AG148" s="115"/>
      <c r="AH148" s="115"/>
      <c r="AI148" s="115"/>
      <c r="AJ148" s="115"/>
      <c r="AK148" s="115"/>
      <c r="AL148" s="115"/>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row>
    <row r="149" spans="2:102">
      <c r="B149" s="3"/>
      <c r="C149" s="3"/>
      <c r="D149" s="3"/>
      <c r="E149" s="3"/>
      <c r="F149" s="3"/>
      <c r="G149" s="3"/>
      <c r="H149" s="3"/>
      <c r="I149" s="3"/>
      <c r="J149" s="3"/>
      <c r="K149" s="3"/>
      <c r="L149" s="3"/>
      <c r="M149" s="3"/>
      <c r="N149" s="3"/>
      <c r="O149" s="3"/>
      <c r="P149" s="3"/>
      <c r="AB149" s="115"/>
      <c r="AC149" s="115"/>
      <c r="AD149" s="115"/>
      <c r="AE149" s="115"/>
      <c r="AF149" s="115"/>
      <c r="AG149" s="115"/>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c r="B150" s="3"/>
      <c r="C150" s="3"/>
      <c r="D150" s="3"/>
      <c r="E150" s="3"/>
      <c r="F150" s="3"/>
      <c r="G150" s="3"/>
      <c r="H150" s="3"/>
      <c r="I150" s="3"/>
      <c r="J150" s="3"/>
      <c r="K150" s="3"/>
      <c r="L150" s="3"/>
      <c r="M150" s="3"/>
      <c r="N150" s="3"/>
      <c r="O150" s="3"/>
      <c r="P150" s="3"/>
      <c r="AB150" s="115"/>
      <c r="AC150" s="115"/>
      <c r="AD150" s="115"/>
      <c r="AE150" s="115"/>
      <c r="AF150" s="115"/>
      <c r="AG150" s="115"/>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c r="B151" s="3"/>
      <c r="C151" s="3"/>
      <c r="D151" s="3"/>
      <c r="E151" s="3"/>
      <c r="F151" s="3"/>
      <c r="G151" s="3"/>
      <c r="H151" s="3"/>
      <c r="I151" s="3"/>
      <c r="J151" s="3"/>
      <c r="K151" s="3"/>
      <c r="L151" s="3"/>
      <c r="M151" s="3"/>
      <c r="N151" s="3"/>
      <c r="O151" s="3"/>
      <c r="P151" s="3"/>
      <c r="AB151" s="115"/>
      <c r="AC151" s="115"/>
      <c r="AD151" s="115"/>
      <c r="AE151" s="115"/>
      <c r="AF151" s="115"/>
      <c r="AG151" s="115"/>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c r="B152" s="3"/>
      <c r="C152" s="3"/>
      <c r="D152" s="3"/>
      <c r="E152" s="3"/>
      <c r="F152" s="3"/>
      <c r="G152" s="3"/>
      <c r="H152" s="3"/>
      <c r="I152" s="3"/>
      <c r="J152" s="3"/>
      <c r="K152" s="3"/>
      <c r="L152" s="3"/>
      <c r="M152" s="3"/>
      <c r="N152" s="3"/>
      <c r="O152" s="3"/>
      <c r="P152" s="3"/>
      <c r="AB152" s="115"/>
      <c r="AC152" s="115"/>
      <c r="AD152" s="115"/>
      <c r="AE152" s="115"/>
      <c r="AF152" s="115"/>
      <c r="AG152" s="115"/>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c r="B153" s="3"/>
      <c r="C153" s="3"/>
      <c r="D153" s="3"/>
      <c r="E153" s="3"/>
      <c r="F153" s="3"/>
      <c r="G153" s="3"/>
      <c r="H153" s="3"/>
      <c r="I153" s="3"/>
      <c r="J153" s="3"/>
      <c r="K153" s="3"/>
      <c r="L153" s="3"/>
      <c r="M153" s="3"/>
      <c r="N153" s="3"/>
      <c r="O153" s="3"/>
      <c r="P153" s="3"/>
      <c r="AB153" s="115"/>
      <c r="AC153" s="115"/>
      <c r="AD153" s="115"/>
      <c r="AE153" s="115"/>
      <c r="AF153" s="115"/>
      <c r="AG153" s="115"/>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c r="B154" s="3"/>
      <c r="C154" s="3"/>
      <c r="D154" s="3"/>
      <c r="E154" s="3"/>
      <c r="F154" s="3"/>
      <c r="G154" s="3"/>
      <c r="H154" s="3"/>
      <c r="I154" s="3"/>
      <c r="J154" s="3"/>
      <c r="K154" s="3"/>
      <c r="L154" s="3"/>
      <c r="M154" s="3"/>
      <c r="N154" s="3"/>
      <c r="O154" s="3"/>
      <c r="P154" s="3"/>
      <c r="AB154" s="115"/>
      <c r="AC154" s="115"/>
      <c r="AD154" s="115"/>
      <c r="AE154" s="115"/>
      <c r="AF154" s="115"/>
      <c r="AG154" s="115"/>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c r="B155" s="3"/>
      <c r="C155" s="3"/>
      <c r="D155" s="3"/>
      <c r="E155" s="3"/>
      <c r="F155" s="3"/>
      <c r="G155" s="3"/>
      <c r="H155" s="3"/>
      <c r="I155" s="3"/>
      <c r="J155" s="3"/>
      <c r="K155" s="3"/>
      <c r="L155" s="3"/>
      <c r="M155" s="3"/>
      <c r="N155" s="3"/>
      <c r="O155" s="3"/>
      <c r="P155" s="3"/>
      <c r="AB155" s="115"/>
      <c r="AC155" s="115"/>
      <c r="AD155" s="115"/>
      <c r="AE155" s="115"/>
      <c r="AF155" s="115"/>
      <c r="AG155" s="115"/>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c r="B156" s="3"/>
      <c r="C156" s="3"/>
      <c r="D156" s="3"/>
      <c r="E156" s="3"/>
      <c r="F156" s="3"/>
      <c r="G156" s="3"/>
      <c r="H156" s="3"/>
      <c r="I156" s="3"/>
      <c r="J156" s="3"/>
      <c r="K156" s="3"/>
      <c r="L156" s="3"/>
      <c r="M156" s="3"/>
      <c r="N156" s="3"/>
      <c r="O156" s="3"/>
      <c r="P156" s="3"/>
      <c r="AB156" s="115"/>
      <c r="AC156" s="115"/>
      <c r="AD156" s="115"/>
      <c r="AE156" s="115"/>
      <c r="AF156" s="115"/>
      <c r="AG156" s="115"/>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c r="B157" s="3"/>
      <c r="C157" s="3"/>
      <c r="D157" s="3"/>
      <c r="E157" s="3"/>
      <c r="F157" s="3"/>
      <c r="G157" s="3"/>
      <c r="H157" s="3"/>
      <c r="I157" s="3"/>
      <c r="J157" s="3"/>
      <c r="K157" s="3"/>
      <c r="L157" s="3"/>
      <c r="M157" s="3"/>
      <c r="N157" s="3"/>
      <c r="O157" s="3"/>
      <c r="P157" s="3"/>
      <c r="AB157" s="115"/>
      <c r="AC157" s="115"/>
      <c r="AD157" s="115"/>
      <c r="AE157" s="115"/>
      <c r="AF157" s="115"/>
      <c r="AG157" s="115"/>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3"/>
      <c r="C158" s="3"/>
      <c r="D158" s="3"/>
      <c r="E158" s="3"/>
      <c r="F158" s="3"/>
      <c r="G158" s="3"/>
      <c r="H158" s="3"/>
      <c r="I158" s="3"/>
      <c r="J158" s="3"/>
      <c r="K158" s="3"/>
      <c r="L158" s="3"/>
      <c r="M158" s="3"/>
      <c r="N158" s="3"/>
      <c r="O158" s="3"/>
      <c r="P158" s="3"/>
      <c r="AB158" s="115"/>
      <c r="AC158" s="115"/>
      <c r="AD158" s="115"/>
      <c r="AE158" s="115"/>
      <c r="AF158" s="115"/>
      <c r="AG158" s="115"/>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3"/>
      <c r="C159" s="3"/>
      <c r="D159" s="3"/>
      <c r="E159" s="3"/>
      <c r="F159" s="3"/>
      <c r="G159" s="3"/>
      <c r="H159" s="3"/>
      <c r="I159" s="3"/>
      <c r="J159" s="3"/>
      <c r="K159" s="3"/>
      <c r="L159" s="3"/>
      <c r="M159" s="3"/>
      <c r="N159" s="3"/>
      <c r="O159" s="3"/>
      <c r="P159" s="3"/>
      <c r="AB159" s="115"/>
      <c r="AC159" s="115"/>
      <c r="AD159" s="115"/>
      <c r="AE159" s="115"/>
      <c r="AF159" s="115"/>
      <c r="AG159" s="115"/>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c r="B160" s="3"/>
      <c r="C160" s="3"/>
      <c r="D160" s="3"/>
      <c r="E160" s="3"/>
      <c r="F160" s="3"/>
      <c r="G160" s="3"/>
      <c r="H160" s="3"/>
      <c r="I160" s="3"/>
      <c r="J160" s="3"/>
      <c r="K160" s="3"/>
      <c r="L160" s="3"/>
      <c r="M160" s="3"/>
      <c r="N160" s="3"/>
      <c r="O160" s="3"/>
      <c r="P160" s="3"/>
      <c r="AB160" s="115"/>
      <c r="AC160" s="115"/>
      <c r="AD160" s="115"/>
      <c r="AE160" s="115"/>
      <c r="AF160" s="115"/>
      <c r="AG160" s="115"/>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c r="B161" s="3"/>
      <c r="C161" s="3"/>
      <c r="D161" s="3"/>
      <c r="E161" s="3"/>
      <c r="F161" s="3"/>
      <c r="G161" s="3"/>
      <c r="H161" s="3"/>
      <c r="I161" s="3"/>
      <c r="J161" s="3"/>
      <c r="K161" s="3"/>
      <c r="L161" s="3"/>
      <c r="M161" s="3"/>
      <c r="N161" s="3"/>
      <c r="O161" s="3"/>
      <c r="P161" s="3"/>
      <c r="AB161" s="115"/>
      <c r="AC161" s="115"/>
      <c r="AD161" s="115"/>
      <c r="AE161" s="115"/>
      <c r="AF161" s="115"/>
      <c r="AG161" s="115"/>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3"/>
      <c r="C162" s="3"/>
      <c r="D162" s="3"/>
      <c r="E162" s="3"/>
      <c r="F162" s="3"/>
      <c r="G162" s="3"/>
      <c r="H162" s="3"/>
      <c r="I162" s="3"/>
      <c r="J162" s="3"/>
      <c r="K162" s="3"/>
      <c r="L162" s="3"/>
      <c r="M162" s="3"/>
      <c r="N162" s="3"/>
      <c r="O162" s="3"/>
      <c r="P162" s="3"/>
      <c r="AB162" s="115"/>
      <c r="AC162" s="115"/>
      <c r="AD162" s="115"/>
      <c r="AE162" s="115"/>
      <c r="AF162" s="115"/>
      <c r="AG162" s="115"/>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3"/>
      <c r="C163" s="3"/>
      <c r="D163" s="3"/>
      <c r="E163" s="3"/>
      <c r="F163" s="3"/>
      <c r="G163" s="3"/>
      <c r="H163" s="3"/>
      <c r="I163" s="3"/>
      <c r="J163" s="3"/>
      <c r="K163" s="3"/>
      <c r="L163" s="3"/>
      <c r="M163" s="3"/>
      <c r="N163" s="3"/>
      <c r="O163" s="3"/>
      <c r="P163" s="3"/>
      <c r="AB163" s="115"/>
      <c r="AC163" s="115"/>
      <c r="AD163" s="115"/>
      <c r="AE163" s="115"/>
      <c r="AF163" s="115"/>
      <c r="AG163" s="115"/>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3"/>
      <c r="C164" s="3"/>
      <c r="D164" s="3"/>
      <c r="E164" s="3"/>
      <c r="F164" s="3"/>
      <c r="G164" s="3"/>
      <c r="H164" s="3"/>
      <c r="I164" s="3"/>
      <c r="J164" s="3"/>
      <c r="K164" s="3"/>
      <c r="L164" s="3"/>
      <c r="M164" s="3"/>
      <c r="N164" s="3"/>
      <c r="O164" s="3"/>
      <c r="P164" s="3"/>
      <c r="AB164" s="115"/>
      <c r="AC164" s="115"/>
      <c r="AD164" s="115"/>
      <c r="AE164" s="115"/>
      <c r="AF164" s="115"/>
      <c r="AG164" s="115"/>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3"/>
      <c r="C165" s="3"/>
      <c r="D165" s="3"/>
      <c r="E165" s="3"/>
      <c r="F165" s="3"/>
      <c r="G165" s="3"/>
      <c r="H165" s="3"/>
      <c r="I165" s="3"/>
      <c r="J165" s="3"/>
      <c r="K165" s="3"/>
      <c r="L165" s="3"/>
      <c r="M165" s="3"/>
      <c r="N165" s="3"/>
      <c r="O165" s="3"/>
      <c r="P165" s="3"/>
      <c r="AB165" s="115"/>
      <c r="AC165" s="115"/>
      <c r="AD165" s="115"/>
      <c r="AE165" s="115"/>
      <c r="AF165" s="115"/>
      <c r="AG165" s="115"/>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3"/>
      <c r="C166" s="3"/>
      <c r="D166" s="3"/>
      <c r="E166" s="3"/>
      <c r="F166" s="3"/>
      <c r="G166" s="3"/>
      <c r="H166" s="3"/>
      <c r="I166" s="3"/>
      <c r="J166" s="3"/>
      <c r="K166" s="3"/>
      <c r="L166" s="3"/>
      <c r="M166" s="3"/>
      <c r="N166" s="3"/>
      <c r="O166" s="3"/>
      <c r="P166" s="3"/>
      <c r="AB166" s="115"/>
      <c r="AC166" s="115"/>
      <c r="AD166" s="115"/>
      <c r="AE166" s="115"/>
      <c r="AF166" s="115"/>
      <c r="AG166" s="115"/>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c r="B167" s="3"/>
      <c r="C167" s="3"/>
      <c r="D167" s="3"/>
      <c r="E167" s="3"/>
      <c r="F167" s="3"/>
      <c r="G167" s="3"/>
      <c r="H167" s="3"/>
      <c r="I167" s="3"/>
      <c r="J167" s="3"/>
      <c r="K167" s="3"/>
      <c r="L167" s="3"/>
      <c r="M167" s="3"/>
      <c r="N167" s="3"/>
      <c r="O167" s="3"/>
      <c r="P167" s="3"/>
      <c r="AB167" s="115"/>
      <c r="AC167" s="115"/>
      <c r="AD167" s="115"/>
      <c r="AE167" s="115"/>
      <c r="AF167" s="115"/>
      <c r="AG167" s="115"/>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3"/>
      <c r="C168" s="3"/>
      <c r="D168" s="3"/>
      <c r="E168" s="3"/>
      <c r="F168" s="3"/>
      <c r="G168" s="3"/>
      <c r="H168" s="3"/>
      <c r="I168" s="3"/>
      <c r="J168" s="3"/>
      <c r="K168" s="3"/>
      <c r="L168" s="3"/>
      <c r="M168" s="3"/>
      <c r="N168" s="3"/>
      <c r="O168" s="3"/>
      <c r="P168" s="3"/>
      <c r="AB168" s="115"/>
      <c r="AC168" s="115"/>
      <c r="AD168" s="115"/>
      <c r="AE168" s="115"/>
      <c r="AF168" s="115"/>
      <c r="AG168" s="115"/>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c r="B169" s="3"/>
      <c r="C169" s="3"/>
      <c r="D169" s="3"/>
      <c r="E169" s="3"/>
      <c r="F169" s="3"/>
      <c r="G169" s="3"/>
      <c r="H169" s="3"/>
      <c r="I169" s="3"/>
      <c r="J169" s="3"/>
      <c r="K169" s="3"/>
      <c r="L169" s="3"/>
      <c r="M169" s="3"/>
      <c r="N169" s="3"/>
      <c r="O169" s="3"/>
      <c r="P169" s="3"/>
      <c r="AB169" s="115"/>
      <c r="AC169" s="115"/>
      <c r="AD169" s="115"/>
      <c r="AE169" s="115"/>
      <c r="AF169" s="115"/>
      <c r="AG169" s="115"/>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3"/>
      <c r="C170" s="3"/>
      <c r="D170" s="3"/>
      <c r="E170" s="3"/>
      <c r="F170" s="3"/>
      <c r="G170" s="3"/>
      <c r="H170" s="3"/>
      <c r="I170" s="3"/>
      <c r="J170" s="3"/>
      <c r="K170" s="3"/>
      <c r="L170" s="3"/>
      <c r="M170" s="3"/>
      <c r="N170" s="3"/>
      <c r="O170" s="3"/>
      <c r="P170" s="3"/>
      <c r="AB170" s="115"/>
      <c r="AC170" s="115"/>
      <c r="AD170" s="115"/>
      <c r="AE170" s="115"/>
      <c r="AF170" s="115"/>
      <c r="AG170" s="115"/>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3"/>
      <c r="C171" s="3"/>
      <c r="D171" s="3"/>
      <c r="E171" s="3"/>
      <c r="F171" s="3"/>
      <c r="G171" s="3"/>
      <c r="H171" s="3"/>
      <c r="I171" s="3"/>
      <c r="J171" s="3"/>
      <c r="K171" s="3"/>
      <c r="L171" s="3"/>
      <c r="M171" s="3"/>
      <c r="N171" s="3"/>
      <c r="O171" s="3"/>
      <c r="P171" s="3"/>
      <c r="AB171" s="115"/>
      <c r="AC171" s="115"/>
      <c r="AD171" s="115"/>
      <c r="AE171" s="115"/>
      <c r="AF171" s="115"/>
      <c r="AG171" s="115"/>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3"/>
      <c r="C172" s="3"/>
      <c r="D172" s="3"/>
      <c r="E172" s="3"/>
      <c r="F172" s="3"/>
      <c r="G172" s="3"/>
      <c r="H172" s="3"/>
      <c r="I172" s="3"/>
      <c r="J172" s="3"/>
      <c r="K172" s="3"/>
      <c r="L172" s="3"/>
      <c r="M172" s="3"/>
      <c r="N172" s="3"/>
      <c r="O172" s="3"/>
      <c r="P172" s="3"/>
      <c r="AB172" s="115"/>
      <c r="AC172" s="115"/>
      <c r="AD172" s="115"/>
      <c r="AE172" s="115"/>
      <c r="AF172" s="115"/>
      <c r="AG172" s="115"/>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3"/>
      <c r="C173" s="3"/>
      <c r="D173" s="3"/>
      <c r="E173" s="3"/>
      <c r="F173" s="3"/>
      <c r="G173" s="3"/>
      <c r="H173" s="3"/>
      <c r="I173" s="3"/>
      <c r="J173" s="3"/>
      <c r="K173" s="3"/>
      <c r="L173" s="3"/>
      <c r="M173" s="3"/>
      <c r="N173" s="3"/>
      <c r="O173" s="3"/>
      <c r="P173" s="3"/>
      <c r="AB173" s="115"/>
      <c r="AC173" s="115"/>
      <c r="AD173" s="115"/>
      <c r="AE173" s="115"/>
      <c r="AF173" s="115"/>
      <c r="AG173" s="115"/>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3"/>
      <c r="C174" s="3"/>
      <c r="D174" s="3"/>
      <c r="E174" s="3"/>
      <c r="F174" s="3"/>
      <c r="G174" s="3"/>
      <c r="H174" s="3"/>
      <c r="I174" s="3"/>
      <c r="J174" s="3"/>
      <c r="K174" s="3"/>
      <c r="L174" s="3"/>
      <c r="M174" s="3"/>
      <c r="N174" s="3"/>
      <c r="O174" s="3"/>
      <c r="P174" s="3"/>
      <c r="AB174" s="115"/>
      <c r="AC174" s="115"/>
      <c r="AD174" s="115"/>
      <c r="AE174" s="115"/>
      <c r="AF174" s="115"/>
      <c r="AG174" s="115"/>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3"/>
      <c r="C175" s="3"/>
      <c r="D175" s="3"/>
      <c r="E175" s="3"/>
      <c r="F175" s="3"/>
      <c r="G175" s="3"/>
      <c r="H175" s="3"/>
      <c r="I175" s="3"/>
      <c r="J175" s="3"/>
      <c r="K175" s="3"/>
      <c r="L175" s="3"/>
      <c r="M175" s="3"/>
      <c r="N175" s="3"/>
      <c r="O175" s="3"/>
      <c r="P175" s="3"/>
      <c r="AB175" s="115"/>
      <c r="AC175" s="115"/>
      <c r="AD175" s="115"/>
      <c r="AE175" s="115"/>
      <c r="AF175" s="115"/>
      <c r="AG175" s="115"/>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3"/>
      <c r="C176" s="3"/>
      <c r="D176" s="3"/>
      <c r="E176" s="3"/>
      <c r="F176" s="3"/>
      <c r="G176" s="3"/>
      <c r="H176" s="3"/>
      <c r="I176" s="3"/>
      <c r="J176" s="3"/>
      <c r="K176" s="3"/>
      <c r="L176" s="3"/>
      <c r="M176" s="3"/>
      <c r="N176" s="3"/>
      <c r="O176" s="3"/>
      <c r="P176" s="3"/>
      <c r="AB176" s="115"/>
      <c r="AC176" s="115"/>
      <c r="AD176" s="115"/>
      <c r="AE176" s="115"/>
      <c r="AF176" s="115"/>
      <c r="AG176" s="115"/>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102">
      <c r="B177" s="3"/>
      <c r="C177" s="3"/>
      <c r="D177" s="3"/>
      <c r="E177" s="3"/>
      <c r="F177" s="3"/>
      <c r="G177" s="3"/>
      <c r="H177" s="3"/>
      <c r="I177" s="3"/>
      <c r="J177" s="3"/>
      <c r="K177" s="3"/>
      <c r="L177" s="3"/>
      <c r="M177" s="3"/>
      <c r="N177" s="3"/>
      <c r="O177" s="3"/>
      <c r="P177" s="3"/>
      <c r="AB177" s="115"/>
      <c r="AC177" s="115"/>
      <c r="AD177" s="115"/>
      <c r="AE177" s="115"/>
      <c r="AF177" s="115"/>
      <c r="AG177" s="115"/>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row>
    <row r="178" spans="2:102">
      <c r="B178" s="3"/>
      <c r="C178" s="3"/>
      <c r="D178" s="3"/>
      <c r="E178" s="3"/>
      <c r="F178" s="3"/>
      <c r="G178" s="3"/>
      <c r="H178" s="3"/>
      <c r="I178" s="3"/>
      <c r="J178" s="3"/>
      <c r="K178" s="3"/>
      <c r="L178" s="3"/>
      <c r="M178" s="3"/>
      <c r="N178" s="3"/>
      <c r="O178" s="3"/>
      <c r="P178" s="3"/>
      <c r="AB178" s="115"/>
      <c r="AC178" s="115"/>
      <c r="AD178" s="115"/>
      <c r="AE178" s="115"/>
      <c r="AF178" s="115"/>
      <c r="AG178" s="115"/>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row>
    <row r="179" spans="2:102">
      <c r="B179" s="3"/>
      <c r="C179" s="3"/>
      <c r="D179" s="3"/>
      <c r="E179" s="3"/>
      <c r="F179" s="3"/>
      <c r="G179" s="3"/>
      <c r="H179" s="3"/>
      <c r="I179" s="3"/>
      <c r="J179" s="3"/>
      <c r="K179" s="3"/>
      <c r="L179" s="3"/>
      <c r="M179" s="3"/>
      <c r="N179" s="3"/>
      <c r="O179" s="3"/>
      <c r="P179" s="3"/>
      <c r="AB179" s="115"/>
      <c r="AC179" s="115"/>
      <c r="AD179" s="115"/>
      <c r="AE179" s="115"/>
      <c r="AF179" s="115"/>
      <c r="AG179" s="115"/>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row>
    <row r="180" spans="2:102">
      <c r="B180" s="3"/>
      <c r="C180" s="3"/>
      <c r="D180" s="3"/>
      <c r="E180" s="3"/>
      <c r="F180" s="3"/>
      <c r="G180" s="3"/>
      <c r="H180" s="3"/>
      <c r="I180" s="3"/>
      <c r="J180" s="3"/>
      <c r="K180" s="3"/>
      <c r="L180" s="3"/>
      <c r="M180" s="3"/>
      <c r="N180" s="3"/>
      <c r="O180" s="3"/>
      <c r="P180" s="3"/>
      <c r="AB180" s="115"/>
      <c r="AC180" s="115"/>
      <c r="AD180" s="115"/>
      <c r="AE180" s="115"/>
      <c r="AF180" s="115"/>
      <c r="AG180" s="115"/>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row>
    <row r="181" spans="2:102">
      <c r="B181" s="3"/>
      <c r="C181" s="3"/>
      <c r="D181" s="3"/>
      <c r="E181" s="3"/>
      <c r="F181" s="3"/>
      <c r="G181" s="3"/>
      <c r="H181" s="3"/>
      <c r="I181" s="3"/>
      <c r="J181" s="3"/>
      <c r="K181" s="3"/>
      <c r="L181" s="3"/>
      <c r="M181" s="3"/>
      <c r="N181" s="3"/>
      <c r="O181" s="3"/>
      <c r="P181" s="3"/>
      <c r="AB181" s="115"/>
      <c r="AC181" s="115"/>
      <c r="AD181" s="115"/>
      <c r="AE181" s="115"/>
      <c r="AF181" s="115"/>
      <c r="AG181" s="115"/>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row>
    <row r="182" spans="2:102">
      <c r="B182" s="3"/>
      <c r="C182" s="3"/>
      <c r="D182" s="3"/>
      <c r="E182" s="3"/>
      <c r="F182" s="3"/>
      <c r="G182" s="3"/>
      <c r="H182" s="3"/>
      <c r="I182" s="3"/>
      <c r="J182" s="3"/>
      <c r="K182" s="3"/>
      <c r="L182" s="3"/>
      <c r="M182" s="3"/>
      <c r="N182" s="3"/>
      <c r="O182" s="3"/>
      <c r="P182" s="3"/>
      <c r="AB182" s="115"/>
      <c r="AC182" s="115"/>
      <c r="AD182" s="115"/>
      <c r="AE182" s="115"/>
      <c r="AF182" s="115"/>
      <c r="AG182" s="115"/>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row>
    <row r="183" spans="2:102">
      <c r="B183" s="3"/>
      <c r="C183" s="3"/>
      <c r="D183" s="3"/>
      <c r="E183" s="3"/>
      <c r="F183" s="3"/>
      <c r="G183" s="3"/>
      <c r="H183" s="3"/>
      <c r="I183" s="3"/>
      <c r="J183" s="3"/>
      <c r="K183" s="3"/>
      <c r="L183" s="3"/>
      <c r="M183" s="3"/>
      <c r="N183" s="3"/>
      <c r="O183" s="3"/>
      <c r="P183" s="3"/>
      <c r="AB183" s="115"/>
      <c r="AC183" s="115"/>
      <c r="AD183" s="115"/>
      <c r="AE183" s="115"/>
      <c r="AF183" s="115"/>
      <c r="AG183" s="115"/>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row>
    <row r="184" spans="2:102">
      <c r="B184" s="3"/>
      <c r="C184" s="3"/>
      <c r="D184" s="3"/>
      <c r="E184" s="3"/>
      <c r="F184" s="3"/>
      <c r="G184" s="3"/>
      <c r="H184" s="3"/>
      <c r="I184" s="3"/>
      <c r="J184" s="3"/>
      <c r="K184" s="3"/>
      <c r="L184" s="3"/>
      <c r="M184" s="3"/>
      <c r="N184" s="3"/>
      <c r="O184" s="3"/>
      <c r="P184" s="3"/>
      <c r="AB184" s="115"/>
      <c r="AC184" s="115"/>
      <c r="AD184" s="115"/>
      <c r="AE184" s="115"/>
      <c r="AF184" s="115"/>
      <c r="AG184" s="115"/>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row>
    <row r="185" spans="2:102">
      <c r="B185" s="3"/>
      <c r="C185" s="3"/>
      <c r="D185" s="3"/>
      <c r="E185" s="3"/>
      <c r="F185" s="3"/>
      <c r="G185" s="3"/>
      <c r="H185" s="3"/>
      <c r="I185" s="3"/>
      <c r="J185" s="3"/>
      <c r="K185" s="3"/>
      <c r="L185" s="3"/>
      <c r="M185" s="3"/>
      <c r="N185" s="3"/>
      <c r="O185" s="3"/>
      <c r="P185" s="3"/>
      <c r="AB185" s="115"/>
      <c r="AC185" s="115"/>
      <c r="AD185" s="115"/>
      <c r="AE185" s="115"/>
      <c r="AF185" s="115"/>
      <c r="AG185" s="115"/>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row>
    <row r="186" spans="2:102">
      <c r="B186" s="3"/>
      <c r="C186" s="3"/>
      <c r="D186" s="3"/>
      <c r="E186" s="3"/>
      <c r="F186" s="3"/>
      <c r="G186" s="3"/>
      <c r="H186" s="3"/>
      <c r="I186" s="3"/>
      <c r="J186" s="3"/>
      <c r="K186" s="3"/>
      <c r="L186" s="3"/>
      <c r="M186" s="3"/>
      <c r="N186" s="3"/>
      <c r="O186" s="3"/>
      <c r="P186" s="3"/>
      <c r="AB186" s="115"/>
      <c r="AC186" s="115"/>
      <c r="AD186" s="115"/>
      <c r="AE186" s="115"/>
      <c r="AF186" s="115"/>
      <c r="AG186" s="115"/>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row>
    <row r="187" spans="2:102">
      <c r="B187" s="3"/>
      <c r="C187" s="3"/>
      <c r="D187" s="3"/>
      <c r="E187" s="3"/>
      <c r="F187" s="3"/>
      <c r="G187" s="3"/>
      <c r="H187" s="3"/>
      <c r="I187" s="3"/>
      <c r="J187" s="3"/>
      <c r="K187" s="3"/>
      <c r="L187" s="3"/>
      <c r="M187" s="3"/>
      <c r="N187" s="3"/>
      <c r="O187" s="3"/>
      <c r="P187" s="3"/>
      <c r="AB187" s="115"/>
      <c r="AC187" s="115"/>
      <c r="AD187" s="115"/>
      <c r="AE187" s="115"/>
      <c r="AF187" s="115"/>
      <c r="AG187" s="115"/>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row>
    <row r="188" spans="2:102">
      <c r="B188" s="3"/>
      <c r="C188" s="3"/>
      <c r="D188" s="3"/>
      <c r="E188" s="3"/>
      <c r="F188" s="3"/>
      <c r="G188" s="3"/>
      <c r="H188" s="3"/>
      <c r="I188" s="3"/>
      <c r="J188" s="3"/>
      <c r="K188" s="3"/>
      <c r="L188" s="3"/>
      <c r="M188" s="3"/>
      <c r="N188" s="3"/>
      <c r="O188" s="3"/>
      <c r="P188" s="3"/>
      <c r="AB188" s="115"/>
      <c r="AC188" s="115"/>
      <c r="AD188" s="115"/>
      <c r="AE188" s="115"/>
      <c r="AF188" s="115"/>
      <c r="AG188" s="115"/>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row>
    <row r="189" spans="2:102">
      <c r="B189" s="3"/>
      <c r="C189" s="3"/>
      <c r="D189" s="3"/>
      <c r="E189" s="3"/>
      <c r="F189" s="3"/>
      <c r="G189" s="3"/>
      <c r="H189" s="3"/>
      <c r="I189" s="3"/>
      <c r="J189" s="3"/>
      <c r="K189" s="3"/>
      <c r="L189" s="3"/>
      <c r="M189" s="3"/>
      <c r="N189" s="3"/>
      <c r="O189" s="3"/>
      <c r="P189" s="3"/>
      <c r="AB189" s="115"/>
      <c r="AC189" s="115"/>
      <c r="AD189" s="115"/>
      <c r="AE189" s="115"/>
      <c r="AF189" s="115"/>
      <c r="AG189" s="115"/>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row>
    <row r="190" spans="2:102">
      <c r="B190" s="3"/>
      <c r="C190" s="3"/>
      <c r="D190" s="3"/>
      <c r="E190" s="3"/>
      <c r="F190" s="3"/>
      <c r="G190" s="3"/>
      <c r="H190" s="3"/>
      <c r="I190" s="3"/>
      <c r="J190" s="3"/>
      <c r="K190" s="3"/>
      <c r="L190" s="3"/>
      <c r="M190" s="3"/>
      <c r="N190" s="3"/>
      <c r="O190" s="3"/>
      <c r="P190" s="3"/>
      <c r="AB190" s="115"/>
      <c r="AC190" s="115"/>
      <c r="AD190" s="115"/>
      <c r="AE190" s="115"/>
      <c r="AF190" s="115"/>
      <c r="AG190" s="115"/>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row>
    <row r="191" spans="2:102">
      <c r="B191" s="3"/>
      <c r="C191" s="3"/>
      <c r="D191" s="3"/>
      <c r="E191" s="3"/>
      <c r="F191" s="3"/>
      <c r="G191" s="3"/>
      <c r="H191" s="3"/>
      <c r="I191" s="3"/>
      <c r="J191" s="3"/>
      <c r="K191" s="3"/>
      <c r="L191" s="3"/>
      <c r="M191" s="3"/>
      <c r="N191" s="3"/>
      <c r="O191" s="3"/>
      <c r="P191" s="3"/>
      <c r="AB191" s="115"/>
      <c r="AC191" s="115"/>
      <c r="AD191" s="115"/>
      <c r="AE191" s="115"/>
      <c r="AF191" s="115"/>
      <c r="AG191" s="115"/>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row>
    <row r="192" spans="2:102">
      <c r="B192" s="3"/>
      <c r="C192" s="3"/>
      <c r="D192" s="3"/>
      <c r="E192" s="3"/>
      <c r="F192" s="3"/>
      <c r="G192" s="3"/>
      <c r="H192" s="3"/>
      <c r="I192" s="3"/>
      <c r="J192" s="3"/>
      <c r="K192" s="3"/>
      <c r="L192" s="3"/>
      <c r="M192" s="3"/>
      <c r="N192" s="3"/>
      <c r="O192" s="3"/>
      <c r="P192" s="3"/>
      <c r="AB192" s="115"/>
      <c r="AC192" s="115"/>
      <c r="AD192" s="115"/>
      <c r="AE192" s="115"/>
      <c r="AF192" s="115"/>
      <c r="AG192" s="115"/>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row>
    <row r="193" spans="2:102">
      <c r="B193" s="3"/>
      <c r="C193" s="3"/>
      <c r="D193" s="3"/>
      <c r="E193" s="3"/>
      <c r="F193" s="3"/>
      <c r="G193" s="3"/>
      <c r="H193" s="3"/>
      <c r="I193" s="3"/>
      <c r="J193" s="3"/>
      <c r="K193" s="3"/>
      <c r="L193" s="3"/>
      <c r="M193" s="3"/>
      <c r="N193" s="3"/>
      <c r="O193" s="3"/>
      <c r="P193" s="3"/>
      <c r="AB193" s="115"/>
      <c r="AC193" s="115"/>
      <c r="AD193" s="115"/>
      <c r="AE193" s="115"/>
      <c r="AF193" s="115"/>
      <c r="AG193" s="115"/>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row>
    <row r="194" spans="2:102">
      <c r="B194" s="3"/>
      <c r="C194" s="3"/>
      <c r="D194" s="3"/>
      <c r="E194" s="3"/>
      <c r="F194" s="3"/>
      <c r="G194" s="3"/>
      <c r="H194" s="3"/>
      <c r="I194" s="3"/>
      <c r="J194" s="3"/>
      <c r="K194" s="3"/>
      <c r="L194" s="3"/>
      <c r="M194" s="3"/>
      <c r="N194" s="3"/>
      <c r="O194" s="3"/>
      <c r="P194" s="3"/>
      <c r="AB194" s="115"/>
      <c r="AC194" s="115"/>
      <c r="AD194" s="115"/>
      <c r="AE194" s="115"/>
      <c r="AF194" s="115"/>
      <c r="AG194" s="115"/>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row>
    <row r="195" spans="2:102">
      <c r="B195" s="3"/>
      <c r="C195" s="3"/>
      <c r="D195" s="3"/>
      <c r="E195" s="3"/>
      <c r="F195" s="3"/>
      <c r="G195" s="3"/>
      <c r="H195" s="3"/>
      <c r="I195" s="3"/>
      <c r="J195" s="3"/>
      <c r="K195" s="3"/>
      <c r="L195" s="3"/>
      <c r="M195" s="3"/>
      <c r="N195" s="3"/>
      <c r="O195" s="3"/>
      <c r="P195" s="3"/>
      <c r="AB195" s="115"/>
      <c r="AC195" s="115"/>
      <c r="AD195" s="115"/>
      <c r="AE195" s="115"/>
      <c r="AF195" s="115"/>
      <c r="AG195" s="115"/>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row>
    <row r="196" spans="2:102">
      <c r="B196" s="3"/>
      <c r="C196" s="3"/>
      <c r="D196" s="3"/>
      <c r="E196" s="3"/>
      <c r="F196" s="3"/>
      <c r="G196" s="3"/>
      <c r="H196" s="3"/>
      <c r="I196" s="3"/>
      <c r="J196" s="3"/>
      <c r="K196" s="3"/>
      <c r="L196" s="3"/>
      <c r="M196" s="3"/>
      <c r="N196" s="3"/>
      <c r="O196" s="3"/>
      <c r="P196" s="3"/>
      <c r="AB196" s="115"/>
      <c r="AC196" s="115"/>
      <c r="AD196" s="115"/>
      <c r="AE196" s="115"/>
      <c r="AF196" s="115"/>
      <c r="AG196" s="115"/>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row>
    <row r="197" spans="2:102">
      <c r="B197" s="3"/>
      <c r="C197" s="3"/>
      <c r="D197" s="3"/>
      <c r="E197" s="3"/>
      <c r="F197" s="3"/>
      <c r="G197" s="3"/>
      <c r="H197" s="3"/>
      <c r="I197" s="3"/>
      <c r="J197" s="3"/>
      <c r="K197" s="3"/>
      <c r="L197" s="3"/>
      <c r="M197" s="3"/>
      <c r="N197" s="3"/>
      <c r="O197" s="3"/>
      <c r="P197" s="3"/>
      <c r="AB197" s="115"/>
      <c r="AC197" s="115"/>
      <c r="AD197" s="115"/>
      <c r="AE197" s="115"/>
      <c r="AF197" s="115"/>
      <c r="AG197" s="115"/>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row>
    <row r="198" spans="2:102">
      <c r="B198" s="3"/>
      <c r="C198" s="3"/>
      <c r="D198" s="3"/>
      <c r="E198" s="3"/>
      <c r="F198" s="3"/>
      <c r="G198" s="3"/>
      <c r="H198" s="3"/>
      <c r="I198" s="3"/>
      <c r="J198" s="3"/>
      <c r="K198" s="3"/>
      <c r="L198" s="3"/>
      <c r="M198" s="3"/>
      <c r="N198" s="3"/>
      <c r="O198" s="3"/>
      <c r="P198" s="3"/>
      <c r="AB198" s="115"/>
      <c r="AC198" s="115"/>
      <c r="AD198" s="115"/>
      <c r="AE198" s="115"/>
      <c r="AF198" s="115"/>
      <c r="AG198" s="115"/>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row>
    <row r="199" spans="2:102">
      <c r="B199" s="3"/>
      <c r="C199" s="3"/>
      <c r="D199" s="3"/>
      <c r="E199" s="3"/>
      <c r="F199" s="3"/>
      <c r="G199" s="3"/>
      <c r="H199" s="3"/>
      <c r="I199" s="3"/>
      <c r="J199" s="3"/>
      <c r="K199" s="3"/>
      <c r="L199" s="3"/>
      <c r="M199" s="3"/>
      <c r="N199" s="3"/>
      <c r="O199" s="3"/>
      <c r="P199" s="3"/>
      <c r="AB199" s="115"/>
      <c r="AC199" s="115"/>
      <c r="AD199" s="115"/>
      <c r="AE199" s="115"/>
      <c r="AF199" s="115"/>
      <c r="AG199" s="115"/>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row>
    <row r="200" spans="2:102">
      <c r="B200" s="3"/>
      <c r="C200" s="3"/>
      <c r="D200" s="3"/>
      <c r="E200" s="3"/>
      <c r="F200" s="3"/>
      <c r="G200" s="3"/>
      <c r="H200" s="3"/>
      <c r="I200" s="3"/>
      <c r="J200" s="3"/>
      <c r="K200" s="3"/>
      <c r="L200" s="3"/>
      <c r="M200" s="3"/>
      <c r="N200" s="3"/>
      <c r="O200" s="3"/>
      <c r="P200" s="3"/>
      <c r="AB200" s="115"/>
      <c r="AC200" s="115"/>
      <c r="AD200" s="115"/>
      <c r="AE200" s="115"/>
      <c r="AF200" s="115"/>
      <c r="AG200" s="115"/>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row>
    <row r="201" spans="2:102">
      <c r="B201" s="3"/>
      <c r="C201" s="3"/>
      <c r="D201" s="3"/>
      <c r="E201" s="3"/>
      <c r="F201" s="3"/>
      <c r="G201" s="3"/>
      <c r="H201" s="3"/>
      <c r="I201" s="3"/>
      <c r="J201" s="3"/>
      <c r="K201" s="3"/>
      <c r="L201" s="3"/>
      <c r="M201" s="3"/>
      <c r="N201" s="3"/>
      <c r="O201" s="3"/>
      <c r="P201" s="3"/>
      <c r="AB201" s="115"/>
      <c r="AC201" s="115"/>
      <c r="AD201" s="115"/>
      <c r="AE201" s="115"/>
      <c r="AF201" s="115"/>
      <c r="AG201" s="115"/>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row>
    <row r="202" spans="2:102">
      <c r="B202" s="3"/>
      <c r="C202" s="3"/>
      <c r="D202" s="3"/>
      <c r="E202" s="3"/>
      <c r="F202" s="3"/>
      <c r="G202" s="3"/>
      <c r="H202" s="3"/>
      <c r="I202" s="3"/>
      <c r="J202" s="3"/>
      <c r="K202" s="3"/>
      <c r="L202" s="3"/>
      <c r="M202" s="3"/>
      <c r="N202" s="3"/>
      <c r="O202" s="3"/>
      <c r="P202" s="3"/>
      <c r="AB202" s="115"/>
      <c r="AC202" s="115"/>
      <c r="AD202" s="115"/>
      <c r="AE202" s="115"/>
      <c r="AF202" s="115"/>
      <c r="AG202" s="115"/>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row>
    <row r="203" spans="2:102">
      <c r="B203" s="3"/>
      <c r="C203" s="3"/>
      <c r="D203" s="3"/>
      <c r="E203" s="3"/>
      <c r="F203" s="3"/>
      <c r="G203" s="3"/>
      <c r="H203" s="3"/>
      <c r="I203" s="3"/>
      <c r="J203" s="3"/>
      <c r="K203" s="3"/>
      <c r="L203" s="3"/>
      <c r="M203" s="3"/>
      <c r="N203" s="3"/>
      <c r="O203" s="3"/>
      <c r="P203" s="3"/>
      <c r="AB203" s="115"/>
      <c r="AC203" s="115"/>
      <c r="AD203" s="115"/>
      <c r="AE203" s="115"/>
      <c r="AF203" s="115"/>
      <c r="AG203" s="115"/>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row>
    <row r="204" spans="2:102">
      <c r="B204" s="3"/>
      <c r="C204" s="3"/>
      <c r="D204" s="3"/>
      <c r="E204" s="3"/>
      <c r="F204" s="3"/>
      <c r="G204" s="3"/>
      <c r="H204" s="3"/>
      <c r="I204" s="3"/>
      <c r="J204" s="3"/>
      <c r="K204" s="3"/>
      <c r="L204" s="3"/>
      <c r="M204" s="3"/>
      <c r="N204" s="3"/>
      <c r="O204" s="3"/>
      <c r="P204" s="3"/>
      <c r="AB204" s="115"/>
      <c r="AC204" s="115"/>
      <c r="AD204" s="115"/>
      <c r="AE204" s="115"/>
      <c r="AF204" s="115"/>
      <c r="AG204" s="115"/>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row>
    <row r="205" spans="2:102">
      <c r="B205" s="3"/>
      <c r="C205" s="3"/>
      <c r="D205" s="3"/>
      <c r="E205" s="3"/>
      <c r="F205" s="3"/>
      <c r="G205" s="3"/>
      <c r="H205" s="3"/>
      <c r="I205" s="3"/>
      <c r="J205" s="3"/>
      <c r="K205" s="3"/>
      <c r="L205" s="3"/>
      <c r="M205" s="3"/>
      <c r="N205" s="3"/>
      <c r="O205" s="3"/>
      <c r="P205" s="3"/>
      <c r="AB205" s="115"/>
      <c r="AC205" s="115"/>
      <c r="AD205" s="115"/>
      <c r="AE205" s="115"/>
      <c r="AF205" s="115"/>
      <c r="AG205" s="115"/>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row>
    <row r="206" spans="2:102">
      <c r="B206" s="3"/>
      <c r="C206" s="3"/>
      <c r="D206" s="3"/>
      <c r="E206" s="3"/>
      <c r="F206" s="3"/>
      <c r="G206" s="3"/>
      <c r="H206" s="3"/>
      <c r="I206" s="3"/>
      <c r="J206" s="3"/>
      <c r="K206" s="3"/>
      <c r="L206" s="3"/>
      <c r="M206" s="3"/>
      <c r="N206" s="3"/>
      <c r="O206" s="3"/>
      <c r="P206" s="3"/>
      <c r="AB206" s="115"/>
      <c r="AC206" s="115"/>
      <c r="AD206" s="115"/>
      <c r="AE206" s="115"/>
      <c r="AF206" s="115"/>
      <c r="AG206" s="115"/>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row>
    <row r="207" spans="2:102">
      <c r="B207" s="3"/>
      <c r="C207" s="3"/>
      <c r="D207" s="3"/>
      <c r="E207" s="3"/>
      <c r="F207" s="3"/>
      <c r="G207" s="3"/>
      <c r="H207" s="3"/>
      <c r="I207" s="3"/>
      <c r="J207" s="3"/>
      <c r="K207" s="3"/>
      <c r="L207" s="3"/>
      <c r="M207" s="3"/>
      <c r="N207" s="3"/>
      <c r="O207" s="3"/>
      <c r="P207" s="3"/>
      <c r="AB207" s="115"/>
      <c r="AC207" s="115"/>
      <c r="AD207" s="115"/>
      <c r="AE207" s="115"/>
      <c r="AF207" s="115"/>
      <c r="AG207" s="115"/>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row>
    <row r="208" spans="2:102">
      <c r="B208" s="3"/>
      <c r="C208" s="3"/>
      <c r="D208" s="3"/>
      <c r="E208" s="3"/>
      <c r="F208" s="3"/>
      <c r="G208" s="3"/>
      <c r="H208" s="3"/>
      <c r="I208" s="3"/>
      <c r="J208" s="3"/>
      <c r="K208" s="3"/>
      <c r="L208" s="3"/>
      <c r="M208" s="3"/>
      <c r="N208" s="3"/>
      <c r="O208" s="3"/>
      <c r="P208" s="3"/>
      <c r="AB208" s="115"/>
      <c r="AC208" s="115"/>
      <c r="AD208" s="115"/>
      <c r="AE208" s="115"/>
      <c r="AF208" s="115"/>
      <c r="AG208" s="115"/>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row>
    <row r="209" spans="2:102">
      <c r="B209" s="3"/>
      <c r="C209" s="3"/>
      <c r="D209" s="3"/>
      <c r="E209" s="3"/>
      <c r="F209" s="3"/>
      <c r="G209" s="3"/>
      <c r="H209" s="3"/>
      <c r="I209" s="3"/>
      <c r="J209" s="3"/>
      <c r="K209" s="3"/>
      <c r="L209" s="3"/>
      <c r="M209" s="3"/>
      <c r="N209" s="3"/>
      <c r="O209" s="3"/>
      <c r="P209" s="3"/>
      <c r="AB209" s="115"/>
      <c r="AC209" s="115"/>
      <c r="AD209" s="115"/>
      <c r="AE209" s="115"/>
      <c r="AF209" s="115"/>
      <c r="AG209" s="115"/>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row>
    <row r="210" spans="2:102">
      <c r="B210" s="3"/>
      <c r="C210" s="3"/>
      <c r="D210" s="3"/>
      <c r="E210" s="3"/>
      <c r="F210" s="3"/>
      <c r="G210" s="3"/>
      <c r="H210" s="3"/>
      <c r="I210" s="3"/>
      <c r="J210" s="3"/>
      <c r="K210" s="3"/>
      <c r="L210" s="3"/>
      <c r="M210" s="3"/>
      <c r="N210" s="3"/>
      <c r="O210" s="3"/>
      <c r="P210" s="3"/>
      <c r="AB210" s="115"/>
      <c r="AC210" s="115"/>
      <c r="AD210" s="115"/>
      <c r="AE210" s="115"/>
      <c r="AF210" s="115"/>
      <c r="AG210" s="115"/>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row>
    <row r="211" spans="2:102">
      <c r="B211" s="3"/>
      <c r="C211" s="3"/>
      <c r="D211" s="3"/>
      <c r="E211" s="3"/>
      <c r="F211" s="3"/>
      <c r="G211" s="3"/>
      <c r="H211" s="3"/>
      <c r="I211" s="3"/>
      <c r="J211" s="3"/>
      <c r="K211" s="3"/>
      <c r="L211" s="3"/>
      <c r="M211" s="3"/>
      <c r="N211" s="3"/>
      <c r="O211" s="3"/>
      <c r="P211" s="3"/>
      <c r="AB211" s="115"/>
      <c r="AC211" s="115"/>
      <c r="AD211" s="115"/>
      <c r="AE211" s="115"/>
      <c r="AF211" s="115"/>
      <c r="AG211" s="115"/>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row>
    <row r="212" spans="2:102">
      <c r="B212" s="3"/>
      <c r="C212" s="3"/>
      <c r="D212" s="3"/>
      <c r="E212" s="3"/>
      <c r="F212" s="3"/>
      <c r="G212" s="3"/>
      <c r="H212" s="3"/>
      <c r="I212" s="3"/>
      <c r="J212" s="3"/>
      <c r="K212" s="3"/>
      <c r="L212" s="3"/>
      <c r="M212" s="3"/>
      <c r="N212" s="3"/>
      <c r="O212" s="3"/>
      <c r="P212" s="3"/>
      <c r="AB212" s="115"/>
      <c r="AC212" s="115"/>
      <c r="AD212" s="115"/>
      <c r="AE212" s="115"/>
      <c r="AF212" s="115"/>
      <c r="AG212" s="115"/>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row>
    <row r="213" spans="2:102">
      <c r="B213" s="3"/>
      <c r="C213" s="3"/>
      <c r="D213" s="3"/>
      <c r="E213" s="3"/>
      <c r="F213" s="3"/>
      <c r="G213" s="3"/>
      <c r="H213" s="3"/>
      <c r="I213" s="3"/>
      <c r="J213" s="3"/>
      <c r="K213" s="3"/>
      <c r="L213" s="3"/>
      <c r="M213" s="3"/>
      <c r="N213" s="3"/>
      <c r="O213" s="3"/>
      <c r="P213" s="3"/>
      <c r="AB213" s="115"/>
      <c r="AC213" s="115"/>
      <c r="AD213" s="115"/>
      <c r="AE213" s="115"/>
      <c r="AF213" s="115"/>
      <c r="AG213" s="115"/>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row>
    <row r="214" spans="2:102">
      <c r="B214" s="3"/>
      <c r="C214" s="3"/>
      <c r="D214" s="3"/>
      <c r="E214" s="3"/>
      <c r="F214" s="3"/>
      <c r="G214" s="3"/>
      <c r="H214" s="3"/>
      <c r="I214" s="3"/>
      <c r="J214" s="3"/>
      <c r="K214" s="3"/>
      <c r="L214" s="3"/>
      <c r="M214" s="3"/>
      <c r="N214" s="3"/>
      <c r="O214" s="3"/>
      <c r="P214" s="3"/>
      <c r="AB214" s="115"/>
      <c r="AC214" s="115"/>
      <c r="AD214" s="115"/>
      <c r="AE214" s="115"/>
      <c r="AF214" s="115"/>
      <c r="AG214" s="115"/>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row>
    <row r="215" spans="2:102">
      <c r="B215" s="3"/>
      <c r="C215" s="3"/>
      <c r="D215" s="3"/>
      <c r="E215" s="3"/>
      <c r="F215" s="3"/>
      <c r="G215" s="3"/>
      <c r="H215" s="3"/>
      <c r="I215" s="3"/>
      <c r="J215" s="3"/>
      <c r="K215" s="3"/>
      <c r="L215" s="3"/>
      <c r="M215" s="3"/>
      <c r="N215" s="3"/>
      <c r="O215" s="3"/>
      <c r="P215" s="3"/>
      <c r="AB215" s="115"/>
      <c r="AC215" s="115"/>
      <c r="AD215" s="115"/>
      <c r="AE215" s="115"/>
      <c r="AF215" s="115"/>
      <c r="AG215" s="115"/>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row>
    <row r="216" spans="2:102">
      <c r="B216" s="3"/>
      <c r="C216" s="3"/>
      <c r="D216" s="3"/>
      <c r="E216" s="3"/>
      <c r="F216" s="3"/>
      <c r="G216" s="3"/>
      <c r="H216" s="3"/>
      <c r="I216" s="3"/>
      <c r="J216" s="3"/>
      <c r="K216" s="3"/>
      <c r="L216" s="3"/>
      <c r="M216" s="3"/>
      <c r="N216" s="3"/>
      <c r="O216" s="3"/>
      <c r="P216" s="3"/>
      <c r="AB216" s="115"/>
      <c r="AC216" s="115"/>
      <c r="AD216" s="115"/>
      <c r="AE216" s="115"/>
      <c r="AF216" s="115"/>
      <c r="AG216" s="115"/>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row>
    <row r="217" spans="2:102">
      <c r="B217" s="3"/>
      <c r="C217" s="3"/>
      <c r="D217" s="3"/>
      <c r="E217" s="3"/>
      <c r="F217" s="3"/>
      <c r="G217" s="3"/>
      <c r="H217" s="3"/>
      <c r="I217" s="3"/>
      <c r="J217" s="3"/>
      <c r="K217" s="3"/>
      <c r="L217" s="3"/>
      <c r="M217" s="3"/>
      <c r="N217" s="3"/>
      <c r="O217" s="3"/>
      <c r="P217" s="3"/>
      <c r="AB217" s="115"/>
      <c r="AC217" s="115"/>
      <c r="AD217" s="115"/>
      <c r="AE217" s="115"/>
      <c r="AF217" s="115"/>
      <c r="AG217" s="115"/>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row>
    <row r="218" spans="2:102">
      <c r="B218" s="3"/>
      <c r="C218" s="3"/>
      <c r="D218" s="3"/>
      <c r="E218" s="3"/>
      <c r="F218" s="3"/>
      <c r="G218" s="3"/>
      <c r="H218" s="3"/>
      <c r="I218" s="3"/>
      <c r="J218" s="3"/>
      <c r="K218" s="3"/>
      <c r="L218" s="3"/>
      <c r="M218" s="3"/>
      <c r="N218" s="3"/>
      <c r="O218" s="3"/>
      <c r="P218" s="3"/>
      <c r="AB218" s="115"/>
      <c r="AC218" s="115"/>
      <c r="AD218" s="115"/>
      <c r="AE218" s="115"/>
      <c r="AF218" s="115"/>
      <c r="AG218" s="115"/>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row>
    <row r="219" spans="2:102">
      <c r="B219" s="3"/>
      <c r="C219" s="3"/>
      <c r="D219" s="3"/>
      <c r="E219" s="3"/>
      <c r="F219" s="3"/>
      <c r="G219" s="3"/>
      <c r="H219" s="3"/>
      <c r="I219" s="3"/>
      <c r="J219" s="3"/>
      <c r="K219" s="3"/>
      <c r="L219" s="3"/>
      <c r="M219" s="3"/>
      <c r="N219" s="3"/>
      <c r="O219" s="3"/>
      <c r="P219" s="3"/>
      <c r="AB219" s="115"/>
      <c r="AC219" s="115"/>
      <c r="AD219" s="115"/>
      <c r="AE219" s="115"/>
      <c r="AF219" s="115"/>
      <c r="AG219" s="115"/>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row>
    <row r="220" spans="2:102">
      <c r="B220" s="3"/>
      <c r="C220" s="3"/>
      <c r="D220" s="3"/>
      <c r="E220" s="3"/>
      <c r="F220" s="3"/>
      <c r="G220" s="3"/>
      <c r="H220" s="3"/>
      <c r="I220" s="3"/>
      <c r="J220" s="3"/>
      <c r="K220" s="3"/>
      <c r="L220" s="3"/>
      <c r="M220" s="3"/>
      <c r="N220" s="3"/>
      <c r="O220" s="3"/>
      <c r="P220" s="3"/>
      <c r="AB220" s="115"/>
      <c r="AC220" s="115"/>
      <c r="AD220" s="115"/>
      <c r="AE220" s="115"/>
      <c r="AF220" s="115"/>
      <c r="AG220" s="115"/>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row>
    <row r="221" spans="2:102">
      <c r="B221" s="3"/>
      <c r="C221" s="3"/>
      <c r="D221" s="3"/>
      <c r="E221" s="3"/>
      <c r="F221" s="3"/>
      <c r="G221" s="3"/>
      <c r="H221" s="3"/>
      <c r="I221" s="3"/>
      <c r="J221" s="3"/>
      <c r="K221" s="3"/>
      <c r="L221" s="3"/>
      <c r="M221" s="3"/>
      <c r="N221" s="3"/>
      <c r="O221" s="3"/>
      <c r="P221" s="3"/>
      <c r="AB221" s="115"/>
      <c r="AC221" s="115"/>
      <c r="AD221" s="115"/>
      <c r="AE221" s="115"/>
      <c r="AF221" s="115"/>
      <c r="AG221" s="115"/>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row>
    <row r="222" spans="2:102">
      <c r="B222" s="3"/>
      <c r="C222" s="3"/>
      <c r="D222" s="3"/>
      <c r="E222" s="3"/>
      <c r="F222" s="3"/>
      <c r="G222" s="3"/>
      <c r="H222" s="3"/>
      <c r="I222" s="3"/>
      <c r="J222" s="3"/>
      <c r="K222" s="3"/>
      <c r="L222" s="3"/>
      <c r="M222" s="3"/>
      <c r="N222" s="3"/>
      <c r="O222" s="3"/>
      <c r="P222" s="3"/>
      <c r="AB222" s="115"/>
      <c r="AC222" s="115"/>
      <c r="AD222" s="115"/>
      <c r="AE222" s="115"/>
      <c r="AF222" s="115"/>
      <c r="AG222" s="115"/>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row>
    <row r="223" spans="2:102">
      <c r="B223" s="3"/>
      <c r="C223" s="3"/>
      <c r="D223" s="3"/>
      <c r="E223" s="3"/>
      <c r="F223" s="3"/>
      <c r="G223" s="3"/>
      <c r="H223" s="3"/>
      <c r="I223" s="3"/>
      <c r="J223" s="3"/>
      <c r="K223" s="3"/>
      <c r="L223" s="3"/>
      <c r="M223" s="3"/>
      <c r="N223" s="3"/>
      <c r="O223" s="3"/>
      <c r="P223" s="3"/>
      <c r="AB223" s="115"/>
      <c r="AC223" s="115"/>
      <c r="AD223" s="115"/>
      <c r="AE223" s="115"/>
      <c r="AF223" s="115"/>
      <c r="AG223" s="115"/>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row>
    <row r="224" spans="2:102">
      <c r="B224" s="3"/>
      <c r="C224" s="3"/>
      <c r="D224" s="3"/>
      <c r="E224" s="3"/>
      <c r="F224" s="3"/>
      <c r="G224" s="3"/>
      <c r="H224" s="3"/>
      <c r="I224" s="3"/>
      <c r="J224" s="3"/>
      <c r="K224" s="3"/>
      <c r="L224" s="3"/>
      <c r="M224" s="3"/>
      <c r="N224" s="3"/>
      <c r="O224" s="3"/>
      <c r="P224" s="3"/>
      <c r="AB224" s="115"/>
      <c r="AC224" s="115"/>
      <c r="AD224" s="115"/>
      <c r="AE224" s="115"/>
      <c r="AF224" s="115"/>
      <c r="AG224" s="115"/>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row>
    <row r="225" spans="2:102">
      <c r="B225" s="3"/>
      <c r="C225" s="3"/>
      <c r="D225" s="3"/>
      <c r="E225" s="3"/>
      <c r="F225" s="3"/>
      <c r="G225" s="3"/>
      <c r="H225" s="3"/>
      <c r="I225" s="3"/>
      <c r="J225" s="3"/>
      <c r="K225" s="3"/>
      <c r="L225" s="3"/>
      <c r="M225" s="3"/>
      <c r="N225" s="3"/>
      <c r="O225" s="3"/>
      <c r="P225" s="3"/>
      <c r="AB225" s="115"/>
      <c r="AC225" s="115"/>
      <c r="AD225" s="115"/>
      <c r="AE225" s="115"/>
      <c r="AF225" s="115"/>
      <c r="AG225" s="115"/>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row>
    <row r="226" spans="2:102">
      <c r="B226" s="3"/>
      <c r="C226" s="3"/>
      <c r="D226" s="3"/>
      <c r="E226" s="3"/>
      <c r="F226" s="3"/>
      <c r="G226" s="3"/>
      <c r="H226" s="3"/>
      <c r="I226" s="3"/>
      <c r="J226" s="3"/>
      <c r="K226" s="3"/>
      <c r="L226" s="3"/>
      <c r="M226" s="3"/>
      <c r="N226" s="3"/>
      <c r="O226" s="3"/>
      <c r="P226" s="3"/>
      <c r="AB226" s="115"/>
      <c r="AC226" s="115"/>
      <c r="AD226" s="115"/>
      <c r="AE226" s="115"/>
      <c r="AF226" s="115"/>
      <c r="AG226" s="115"/>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row>
    <row r="227" spans="2:102">
      <c r="B227" s="3"/>
      <c r="C227" s="3"/>
      <c r="D227" s="3"/>
      <c r="E227" s="3"/>
      <c r="F227" s="3"/>
      <c r="G227" s="3"/>
      <c r="H227" s="3"/>
      <c r="I227" s="3"/>
      <c r="J227" s="3"/>
      <c r="K227" s="3"/>
      <c r="L227" s="3"/>
      <c r="M227" s="3"/>
      <c r="N227" s="3"/>
      <c r="O227" s="3"/>
      <c r="P227" s="3"/>
      <c r="AB227" s="115"/>
      <c r="AC227" s="115"/>
      <c r="AD227" s="115"/>
      <c r="AE227" s="115"/>
      <c r="AF227" s="115"/>
      <c r="AG227" s="115"/>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row>
    <row r="228" spans="2:102">
      <c r="B228" s="3"/>
      <c r="C228" s="3"/>
      <c r="D228" s="3"/>
      <c r="E228" s="3"/>
      <c r="F228" s="3"/>
      <c r="G228" s="3"/>
      <c r="H228" s="3"/>
      <c r="I228" s="3"/>
      <c r="J228" s="3"/>
      <c r="K228" s="3"/>
      <c r="L228" s="3"/>
      <c r="M228" s="3"/>
      <c r="N228" s="3"/>
      <c r="O228" s="3"/>
      <c r="P228" s="3"/>
      <c r="AB228" s="115"/>
      <c r="AC228" s="115"/>
      <c r="AD228" s="115"/>
      <c r="AE228" s="115"/>
      <c r="AF228" s="115"/>
      <c r="AG228" s="115"/>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row>
    <row r="229" spans="2:102">
      <c r="B229" s="3"/>
      <c r="C229" s="3"/>
      <c r="D229" s="3"/>
      <c r="E229" s="3"/>
      <c r="F229" s="3"/>
      <c r="G229" s="3"/>
      <c r="H229" s="3"/>
      <c r="I229" s="3"/>
      <c r="J229" s="3"/>
      <c r="K229" s="3"/>
      <c r="L229" s="3"/>
      <c r="M229" s="3"/>
      <c r="N229" s="3"/>
      <c r="O229" s="3"/>
      <c r="P229" s="3"/>
      <c r="AB229" s="115"/>
      <c r="AC229" s="115"/>
      <c r="AD229" s="115"/>
      <c r="AE229" s="115"/>
      <c r="AF229" s="115"/>
      <c r="AG229" s="115"/>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row>
    <row r="230" spans="2:102">
      <c r="B230" s="3"/>
      <c r="C230" s="3"/>
      <c r="D230" s="3"/>
      <c r="E230" s="3"/>
      <c r="F230" s="3"/>
      <c r="G230" s="3"/>
      <c r="H230" s="3"/>
      <c r="I230" s="3"/>
      <c r="J230" s="3"/>
      <c r="K230" s="3"/>
      <c r="L230" s="3"/>
      <c r="M230" s="3"/>
      <c r="N230" s="3"/>
      <c r="O230" s="3"/>
      <c r="P230" s="3"/>
      <c r="AB230" s="115"/>
      <c r="AC230" s="115"/>
      <c r="AD230" s="115"/>
      <c r="AE230" s="115"/>
      <c r="AF230" s="115"/>
      <c r="AG230" s="115"/>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row>
    <row r="231" spans="2:102">
      <c r="B231" s="3"/>
      <c r="C231" s="3"/>
      <c r="D231" s="3"/>
      <c r="E231" s="3"/>
      <c r="F231" s="3"/>
      <c r="G231" s="3"/>
      <c r="H231" s="3"/>
      <c r="I231" s="3"/>
      <c r="J231" s="3"/>
      <c r="K231" s="3"/>
      <c r="L231" s="3"/>
      <c r="M231" s="3"/>
      <c r="N231" s="3"/>
      <c r="O231" s="3"/>
      <c r="P231" s="3"/>
      <c r="AB231" s="115"/>
      <c r="AC231" s="115"/>
      <c r="AD231" s="115"/>
      <c r="AE231" s="115"/>
      <c r="AF231" s="115"/>
      <c r="AG231" s="115"/>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row>
    <row r="232" spans="2:102">
      <c r="B232" s="3"/>
      <c r="C232" s="3"/>
      <c r="D232" s="3"/>
      <c r="E232" s="3"/>
      <c r="F232" s="3"/>
      <c r="G232" s="3"/>
      <c r="H232" s="3"/>
      <c r="I232" s="3"/>
      <c r="J232" s="3"/>
      <c r="K232" s="3"/>
      <c r="L232" s="3"/>
      <c r="M232" s="3"/>
      <c r="N232" s="3"/>
      <c r="O232" s="3"/>
      <c r="P232" s="3"/>
      <c r="AB232" s="115"/>
      <c r="AC232" s="115"/>
      <c r="AD232" s="115"/>
      <c r="AE232" s="115"/>
      <c r="AF232" s="115"/>
      <c r="AG232" s="115"/>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row>
    <row r="233" spans="2:102">
      <c r="B233" s="3"/>
      <c r="C233" s="3"/>
      <c r="D233" s="3"/>
      <c r="E233" s="3"/>
      <c r="F233" s="3"/>
      <c r="G233" s="3"/>
      <c r="H233" s="3"/>
      <c r="I233" s="3"/>
      <c r="J233" s="3"/>
      <c r="K233" s="3"/>
      <c r="L233" s="3"/>
      <c r="M233" s="3"/>
      <c r="N233" s="3"/>
      <c r="O233" s="3"/>
      <c r="P233" s="3"/>
      <c r="AB233" s="115"/>
      <c r="AC233" s="115"/>
      <c r="AD233" s="115"/>
      <c r="AE233" s="115"/>
      <c r="AF233" s="115"/>
      <c r="AG233" s="115"/>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row>
    <row r="234" spans="2:102">
      <c r="B234" s="3"/>
      <c r="C234" s="3"/>
      <c r="D234" s="3"/>
      <c r="E234" s="3"/>
      <c r="F234" s="3"/>
      <c r="G234" s="3"/>
      <c r="H234" s="3"/>
      <c r="I234" s="3"/>
      <c r="J234" s="3"/>
      <c r="K234" s="3"/>
      <c r="L234" s="3"/>
      <c r="M234" s="3"/>
      <c r="N234" s="3"/>
      <c r="O234" s="3"/>
      <c r="P234" s="3"/>
      <c r="AB234" s="115"/>
      <c r="AC234" s="115"/>
      <c r="AD234" s="115"/>
      <c r="AE234" s="115"/>
      <c r="AF234" s="115"/>
      <c r="AG234" s="115"/>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row>
    <row r="235" spans="2:102">
      <c r="B235" s="3"/>
      <c r="C235" s="3"/>
      <c r="D235" s="3"/>
      <c r="E235" s="3"/>
      <c r="F235" s="3"/>
      <c r="G235" s="3"/>
      <c r="H235" s="3"/>
      <c r="I235" s="3"/>
      <c r="J235" s="3"/>
      <c r="K235" s="3"/>
      <c r="L235" s="3"/>
      <c r="M235" s="3"/>
      <c r="N235" s="3"/>
      <c r="O235" s="3"/>
      <c r="P235" s="3"/>
      <c r="AB235" s="115"/>
      <c r="AC235" s="115"/>
      <c r="AD235" s="115"/>
      <c r="AE235" s="115"/>
      <c r="AF235" s="115"/>
      <c r="AG235" s="115"/>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row>
    <row r="236" spans="2:102">
      <c r="B236" s="3"/>
      <c r="C236" s="3"/>
      <c r="D236" s="3"/>
      <c r="E236" s="3"/>
      <c r="F236" s="3"/>
      <c r="G236" s="3"/>
      <c r="H236" s="3"/>
      <c r="I236" s="3"/>
      <c r="J236" s="3"/>
      <c r="K236" s="3"/>
      <c r="L236" s="3"/>
      <c r="M236" s="3"/>
      <c r="N236" s="3"/>
      <c r="O236" s="3"/>
      <c r="P236" s="3"/>
      <c r="AB236" s="115"/>
      <c r="AC236" s="115"/>
      <c r="AD236" s="115"/>
      <c r="AE236" s="115"/>
      <c r="AF236" s="115"/>
      <c r="AG236" s="115"/>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row>
    <row r="237" spans="2:102">
      <c r="B237" s="3"/>
      <c r="C237" s="3"/>
      <c r="D237" s="3"/>
      <c r="E237" s="3"/>
      <c r="F237" s="3"/>
      <c r="G237" s="3"/>
      <c r="H237" s="3"/>
      <c r="I237" s="3"/>
      <c r="J237" s="3"/>
      <c r="K237" s="3"/>
      <c r="L237" s="3"/>
      <c r="M237" s="3"/>
      <c r="N237" s="3"/>
      <c r="O237" s="3"/>
      <c r="P237" s="3"/>
      <c r="AB237" s="115"/>
      <c r="AC237" s="115"/>
      <c r="AD237" s="115"/>
      <c r="AE237" s="115"/>
      <c r="AF237" s="115"/>
      <c r="AG237" s="115"/>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row>
    <row r="238" spans="2:102">
      <c r="B238" s="3"/>
      <c r="C238" s="3"/>
      <c r="D238" s="3"/>
      <c r="E238" s="3"/>
      <c r="F238" s="3"/>
      <c r="G238" s="3"/>
      <c r="H238" s="3"/>
      <c r="I238" s="3"/>
      <c r="J238" s="3"/>
      <c r="K238" s="3"/>
      <c r="L238" s="3"/>
      <c r="M238" s="3"/>
      <c r="N238" s="3"/>
      <c r="O238" s="3"/>
      <c r="P238" s="3"/>
      <c r="AB238" s="115"/>
      <c r="AC238" s="115"/>
      <c r="AD238" s="115"/>
      <c r="AE238" s="115"/>
      <c r="AF238" s="115"/>
      <c r="AG238" s="115"/>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row>
    <row r="239" spans="2:102">
      <c r="B239" s="3"/>
      <c r="C239" s="3"/>
      <c r="D239" s="3"/>
      <c r="E239" s="3"/>
      <c r="F239" s="3"/>
      <c r="G239" s="3"/>
      <c r="H239" s="3"/>
      <c r="I239" s="3"/>
      <c r="J239" s="3"/>
      <c r="K239" s="3"/>
      <c r="L239" s="3"/>
      <c r="M239" s="3"/>
      <c r="N239" s="3"/>
      <c r="O239" s="3"/>
      <c r="P239" s="3"/>
      <c r="AB239" s="115"/>
      <c r="AC239" s="115"/>
      <c r="AD239" s="115"/>
      <c r="AE239" s="115"/>
      <c r="AF239" s="115"/>
      <c r="AG239" s="115"/>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row>
    <row r="240" spans="2:102">
      <c r="B240" s="3"/>
      <c r="C240" s="3"/>
      <c r="D240" s="3"/>
      <c r="E240" s="3"/>
      <c r="F240" s="3"/>
      <c r="G240" s="3"/>
      <c r="H240" s="3"/>
      <c r="I240" s="3"/>
      <c r="J240" s="3"/>
      <c r="K240" s="3"/>
      <c r="L240" s="3"/>
      <c r="M240" s="3"/>
      <c r="N240" s="3"/>
      <c r="O240" s="3"/>
      <c r="P240" s="3"/>
      <c r="AB240" s="115"/>
      <c r="AC240" s="115"/>
      <c r="AD240" s="115"/>
      <c r="AE240" s="115"/>
      <c r="AF240" s="115"/>
      <c r="AG240" s="115"/>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row>
    <row r="241" spans="2:102">
      <c r="B241" s="3"/>
      <c r="C241" s="3"/>
      <c r="D241" s="3"/>
      <c r="E241" s="3"/>
      <c r="F241" s="3"/>
      <c r="G241" s="3"/>
      <c r="H241" s="3"/>
      <c r="I241" s="3"/>
      <c r="J241" s="3"/>
      <c r="K241" s="3"/>
      <c r="L241" s="3"/>
      <c r="M241" s="3"/>
      <c r="N241" s="3"/>
      <c r="O241" s="3"/>
      <c r="P241" s="3"/>
      <c r="AB241" s="115"/>
      <c r="AC241" s="115"/>
      <c r="AD241" s="115"/>
      <c r="AE241" s="115"/>
      <c r="AF241" s="115"/>
      <c r="AG241" s="115"/>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row>
    <row r="242" spans="2:102">
      <c r="B242" s="3"/>
      <c r="C242" s="3"/>
      <c r="D242" s="3"/>
      <c r="E242" s="3"/>
      <c r="F242" s="3"/>
      <c r="G242" s="3"/>
      <c r="H242" s="3"/>
      <c r="I242" s="3"/>
      <c r="J242" s="3"/>
      <c r="K242" s="3"/>
      <c r="L242" s="3"/>
      <c r="M242" s="3"/>
      <c r="N242" s="3"/>
      <c r="O242" s="3"/>
      <c r="P242" s="3"/>
      <c r="AB242" s="115"/>
      <c r="AC242" s="115"/>
      <c r="AD242" s="115"/>
      <c r="AE242" s="115"/>
      <c r="AF242" s="115"/>
      <c r="AG242" s="115"/>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row>
    <row r="243" spans="2:102">
      <c r="B243" s="3"/>
      <c r="C243" s="3"/>
      <c r="D243" s="3"/>
      <c r="E243" s="3"/>
      <c r="F243" s="3"/>
      <c r="G243" s="3"/>
      <c r="H243" s="3"/>
      <c r="I243" s="3"/>
      <c r="J243" s="3"/>
      <c r="K243" s="3"/>
      <c r="L243" s="3"/>
      <c r="M243" s="3"/>
      <c r="N243" s="3"/>
      <c r="O243" s="3"/>
      <c r="P243" s="3"/>
      <c r="AB243" s="115"/>
      <c r="AC243" s="115"/>
      <c r="AD243" s="115"/>
      <c r="AE243" s="115"/>
      <c r="AF243" s="115"/>
      <c r="AG243" s="115"/>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row>
    <row r="244" spans="2:102">
      <c r="B244" s="3"/>
      <c r="C244" s="3"/>
      <c r="D244" s="3"/>
      <c r="E244" s="3"/>
      <c r="F244" s="3"/>
      <c r="G244" s="3"/>
      <c r="H244" s="3"/>
      <c r="I244" s="3"/>
      <c r="J244" s="3"/>
      <c r="K244" s="3"/>
      <c r="L244" s="3"/>
      <c r="M244" s="3"/>
      <c r="N244" s="3"/>
      <c r="O244" s="3"/>
      <c r="P244" s="3"/>
      <c r="AB244" s="115"/>
      <c r="AC244" s="115"/>
      <c r="AD244" s="115"/>
      <c r="AE244" s="115"/>
      <c r="AF244" s="115"/>
      <c r="AG244" s="115"/>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row>
    <row r="245" spans="2:102">
      <c r="B245" s="3"/>
      <c r="C245" s="3"/>
      <c r="D245" s="3"/>
      <c r="E245" s="3"/>
      <c r="F245" s="3"/>
      <c r="G245" s="3"/>
      <c r="H245" s="3"/>
      <c r="I245" s="3"/>
      <c r="J245" s="3"/>
      <c r="K245" s="3"/>
      <c r="L245" s="3"/>
      <c r="M245" s="3"/>
      <c r="N245" s="3"/>
      <c r="O245" s="3"/>
      <c r="P245" s="3"/>
      <c r="AB245" s="115"/>
      <c r="AC245" s="115"/>
      <c r="AD245" s="115"/>
      <c r="AE245" s="115"/>
      <c r="AF245" s="115"/>
      <c r="AG245" s="115"/>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row>
    <row r="246" spans="2:102">
      <c r="B246" s="3"/>
      <c r="C246" s="3"/>
      <c r="D246" s="3"/>
      <c r="E246" s="3"/>
      <c r="F246" s="3"/>
      <c r="G246" s="3"/>
      <c r="H246" s="3"/>
      <c r="I246" s="3"/>
      <c r="J246" s="3"/>
      <c r="K246" s="3"/>
      <c r="L246" s="3"/>
      <c r="M246" s="3"/>
      <c r="N246" s="3"/>
      <c r="O246" s="3"/>
      <c r="P246" s="3"/>
      <c r="AB246" s="115"/>
      <c r="AC246" s="115"/>
      <c r="AD246" s="115"/>
      <c r="AE246" s="115"/>
      <c r="AF246" s="115"/>
      <c r="AG246" s="115"/>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row>
    <row r="247" spans="2:102">
      <c r="B247" s="3"/>
      <c r="C247" s="3"/>
      <c r="D247" s="3"/>
      <c r="E247" s="3"/>
      <c r="F247" s="3"/>
      <c r="G247" s="3"/>
      <c r="H247" s="3"/>
      <c r="I247" s="3"/>
      <c r="J247" s="3"/>
      <c r="K247" s="3"/>
      <c r="L247" s="3"/>
      <c r="M247" s="3"/>
      <c r="N247" s="3"/>
      <c r="O247" s="3"/>
      <c r="P247" s="3"/>
      <c r="AB247" s="115"/>
      <c r="AC247" s="115"/>
      <c r="AD247" s="115"/>
      <c r="AE247" s="115"/>
      <c r="AF247" s="115"/>
      <c r="AG247" s="115"/>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row>
    <row r="248" spans="2:102">
      <c r="B248" s="3"/>
      <c r="C248" s="3"/>
      <c r="D248" s="3"/>
      <c r="E248" s="3"/>
      <c r="F248" s="3"/>
      <c r="G248" s="3"/>
      <c r="H248" s="3"/>
      <c r="I248" s="3"/>
      <c r="J248" s="3"/>
      <c r="K248" s="3"/>
      <c r="L248" s="3"/>
      <c r="M248" s="3"/>
      <c r="N248" s="3"/>
      <c r="O248" s="3"/>
      <c r="P248" s="3"/>
      <c r="AB248" s="115"/>
      <c r="AC248" s="115"/>
      <c r="AD248" s="115"/>
      <c r="AE248" s="115"/>
      <c r="AF248" s="115"/>
      <c r="AG248" s="115"/>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row>
    <row r="249" spans="2:102">
      <c r="B249" s="3"/>
      <c r="C249" s="3"/>
      <c r="D249" s="3"/>
      <c r="E249" s="3"/>
      <c r="F249" s="3"/>
      <c r="G249" s="3"/>
      <c r="H249" s="3"/>
      <c r="I249" s="3"/>
      <c r="J249" s="3"/>
      <c r="K249" s="3"/>
      <c r="L249" s="3"/>
      <c r="M249" s="3"/>
      <c r="N249" s="3"/>
      <c r="O249" s="3"/>
      <c r="P249" s="3"/>
      <c r="AB249" s="115"/>
      <c r="AC249" s="115"/>
      <c r="AD249" s="115"/>
      <c r="AE249" s="115"/>
      <c r="AF249" s="115"/>
      <c r="AG249" s="115"/>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row>
    <row r="250" spans="2:102">
      <c r="B250" s="3"/>
      <c r="C250" s="3"/>
      <c r="D250" s="3"/>
      <c r="E250" s="3"/>
      <c r="F250" s="3"/>
      <c r="G250" s="3"/>
      <c r="H250" s="3"/>
      <c r="I250" s="3"/>
      <c r="J250" s="3"/>
      <c r="K250" s="3"/>
      <c r="L250" s="3"/>
      <c r="M250" s="3"/>
      <c r="N250" s="3"/>
      <c r="O250" s="3"/>
      <c r="P250" s="3"/>
      <c r="AB250" s="115"/>
      <c r="AC250" s="115"/>
      <c r="AD250" s="115"/>
      <c r="AE250" s="115"/>
      <c r="AF250" s="115"/>
      <c r="AG250" s="115"/>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row>
    <row r="251" spans="2:102">
      <c r="B251" s="3"/>
      <c r="C251" s="3"/>
      <c r="D251" s="3"/>
      <c r="E251" s="3"/>
      <c r="F251" s="3"/>
      <c r="G251" s="3"/>
      <c r="H251" s="3"/>
      <c r="I251" s="3"/>
      <c r="J251" s="3"/>
      <c r="K251" s="3"/>
      <c r="L251" s="3"/>
      <c r="M251" s="3"/>
      <c r="N251" s="3"/>
      <c r="O251" s="3"/>
      <c r="P251" s="3"/>
      <c r="AB251" s="115"/>
      <c r="AC251" s="115"/>
      <c r="AD251" s="115"/>
      <c r="AE251" s="115"/>
      <c r="AF251" s="115"/>
      <c r="AG251" s="115"/>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row>
    <row r="252" spans="2:102">
      <c r="B252" s="3"/>
      <c r="C252" s="3"/>
      <c r="D252" s="3"/>
      <c r="E252" s="3"/>
      <c r="F252" s="3"/>
      <c r="G252" s="3"/>
      <c r="H252" s="3"/>
      <c r="I252" s="3"/>
      <c r="J252" s="3"/>
      <c r="K252" s="3"/>
      <c r="L252" s="3"/>
      <c r="M252" s="3"/>
      <c r="N252" s="3"/>
      <c r="O252" s="3"/>
      <c r="P252" s="3"/>
      <c r="AB252" s="115"/>
      <c r="AC252" s="115"/>
      <c r="AD252" s="115"/>
      <c r="AE252" s="115"/>
      <c r="AF252" s="115"/>
      <c r="AG252" s="115"/>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row>
    <row r="253" spans="2:102">
      <c r="B253" s="3"/>
      <c r="C253" s="3"/>
      <c r="D253" s="3"/>
      <c r="E253" s="3"/>
      <c r="F253" s="3"/>
      <c r="G253" s="3"/>
      <c r="H253" s="3"/>
      <c r="I253" s="3"/>
      <c r="J253" s="3"/>
      <c r="K253" s="3"/>
      <c r="L253" s="3"/>
      <c r="M253" s="3"/>
      <c r="N253" s="3"/>
      <c r="O253" s="3"/>
      <c r="P253" s="3"/>
      <c r="AB253" s="115"/>
      <c r="AC253" s="115"/>
      <c r="AD253" s="115"/>
      <c r="AE253" s="115"/>
      <c r="AF253" s="115"/>
      <c r="AG253" s="115"/>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row>
    <row r="254" spans="2:102">
      <c r="B254" s="3"/>
      <c r="C254" s="3"/>
      <c r="D254" s="3"/>
      <c r="E254" s="3"/>
      <c r="F254" s="3"/>
      <c r="G254" s="3"/>
      <c r="H254" s="3"/>
      <c r="I254" s="3"/>
      <c r="J254" s="3"/>
      <c r="K254" s="3"/>
      <c r="L254" s="3"/>
      <c r="M254" s="3"/>
      <c r="N254" s="3"/>
      <c r="O254" s="3"/>
      <c r="P254" s="3"/>
      <c r="AB254" s="115"/>
      <c r="AC254" s="115"/>
      <c r="AD254" s="115"/>
      <c r="AE254" s="115"/>
      <c r="AF254" s="115"/>
      <c r="AG254" s="115"/>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row>
    <row r="255" spans="2:102">
      <c r="B255" s="3"/>
      <c r="C255" s="3"/>
      <c r="D255" s="3"/>
      <c r="E255" s="3"/>
      <c r="F255" s="3"/>
      <c r="G255" s="3"/>
      <c r="H255" s="3"/>
      <c r="I255" s="3"/>
      <c r="J255" s="3"/>
      <c r="K255" s="3"/>
      <c r="L255" s="3"/>
      <c r="M255" s="3"/>
      <c r="N255" s="3"/>
      <c r="O255" s="3"/>
      <c r="P255" s="3"/>
      <c r="AB255" s="115"/>
      <c r="AC255" s="115"/>
      <c r="AD255" s="115"/>
      <c r="AE255" s="115"/>
      <c r="AF255" s="115"/>
      <c r="AG255" s="115"/>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row>
    <row r="256" spans="2:102">
      <c r="B256" s="3"/>
      <c r="C256" s="3"/>
      <c r="D256" s="3"/>
      <c r="E256" s="3"/>
      <c r="F256" s="3"/>
      <c r="G256" s="3"/>
      <c r="H256" s="3"/>
      <c r="I256" s="3"/>
      <c r="J256" s="3"/>
      <c r="K256" s="3"/>
      <c r="L256" s="3"/>
      <c r="M256" s="3"/>
      <c r="N256" s="3"/>
      <c r="O256" s="3"/>
      <c r="P256" s="3"/>
      <c r="AB256" s="115"/>
      <c r="AC256" s="115"/>
      <c r="AD256" s="115"/>
      <c r="AE256" s="115"/>
      <c r="AF256" s="115"/>
      <c r="AG256" s="115"/>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row>
    <row r="257" spans="2:102">
      <c r="B257" s="3"/>
      <c r="C257" s="3"/>
      <c r="D257" s="3"/>
      <c r="E257" s="3"/>
      <c r="F257" s="3"/>
      <c r="G257" s="3"/>
      <c r="H257" s="3"/>
      <c r="I257" s="3"/>
      <c r="J257" s="3"/>
      <c r="K257" s="3"/>
      <c r="L257" s="3"/>
      <c r="M257" s="3"/>
      <c r="N257" s="3"/>
      <c r="O257" s="3"/>
      <c r="P257" s="3"/>
      <c r="AB257" s="115"/>
      <c r="AC257" s="115"/>
      <c r="AD257" s="115"/>
      <c r="AE257" s="115"/>
      <c r="AF257" s="115"/>
      <c r="AG257" s="115"/>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row>
    <row r="258" spans="2:102">
      <c r="B258" s="3"/>
      <c r="C258" s="3"/>
      <c r="D258" s="3"/>
      <c r="E258" s="3"/>
      <c r="F258" s="3"/>
      <c r="G258" s="3"/>
      <c r="H258" s="3"/>
      <c r="I258" s="3"/>
      <c r="J258" s="3"/>
      <c r="K258" s="3"/>
      <c r="L258" s="3"/>
      <c r="M258" s="3"/>
      <c r="N258" s="3"/>
      <c r="O258" s="3"/>
      <c r="P258" s="3"/>
      <c r="AB258" s="115"/>
      <c r="AC258" s="115"/>
      <c r="AD258" s="115"/>
      <c r="AE258" s="115"/>
      <c r="AF258" s="115"/>
      <c r="AG258" s="115"/>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row>
    <row r="259" spans="2:102">
      <c r="B259" s="3"/>
      <c r="C259" s="3"/>
      <c r="D259" s="3"/>
      <c r="E259" s="3"/>
      <c r="F259" s="3"/>
      <c r="G259" s="3"/>
      <c r="H259" s="3"/>
      <c r="I259" s="3"/>
      <c r="J259" s="3"/>
      <c r="K259" s="3"/>
      <c r="L259" s="3"/>
      <c r="M259" s="3"/>
      <c r="N259" s="3"/>
      <c r="O259" s="3"/>
      <c r="P259" s="3"/>
      <c r="AB259" s="115"/>
      <c r="AC259" s="115"/>
      <c r="AD259" s="115"/>
      <c r="AE259" s="115"/>
      <c r="AF259" s="115"/>
      <c r="AG259" s="115"/>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row>
    <row r="260" spans="2:102">
      <c r="B260" s="3"/>
      <c r="C260" s="3"/>
      <c r="D260" s="3"/>
      <c r="E260" s="3"/>
      <c r="F260" s="3"/>
      <c r="G260" s="3"/>
      <c r="H260" s="3"/>
      <c r="I260" s="3"/>
      <c r="J260" s="3"/>
      <c r="K260" s="3"/>
      <c r="L260" s="3"/>
      <c r="M260" s="3"/>
      <c r="N260" s="3"/>
      <c r="O260" s="3"/>
      <c r="P260" s="3"/>
      <c r="AB260" s="115"/>
      <c r="AC260" s="115"/>
      <c r="AD260" s="115"/>
      <c r="AE260" s="115"/>
      <c r="AF260" s="115"/>
      <c r="AG260" s="115"/>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row>
    <row r="261" spans="2:102">
      <c r="B261" s="3"/>
      <c r="C261" s="3"/>
      <c r="D261" s="3"/>
      <c r="E261" s="3"/>
      <c r="F261" s="3"/>
      <c r="G261" s="3"/>
      <c r="H261" s="3"/>
      <c r="I261" s="3"/>
      <c r="J261" s="3"/>
      <c r="K261" s="3"/>
      <c r="L261" s="3"/>
      <c r="M261" s="3"/>
      <c r="N261" s="3"/>
      <c r="O261" s="3"/>
      <c r="P261" s="3"/>
      <c r="AB261" s="115"/>
      <c r="AC261" s="115"/>
      <c r="AD261" s="115"/>
      <c r="AE261" s="115"/>
      <c r="AF261" s="115"/>
      <c r="AG261" s="115"/>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row>
    <row r="262" spans="2:102">
      <c r="B262" s="3"/>
      <c r="C262" s="3"/>
      <c r="D262" s="3"/>
      <c r="E262" s="3"/>
      <c r="F262" s="3"/>
      <c r="G262" s="3"/>
      <c r="H262" s="3"/>
      <c r="I262" s="3"/>
      <c r="J262" s="3"/>
      <c r="K262" s="3"/>
      <c r="L262" s="3"/>
      <c r="M262" s="3"/>
      <c r="N262" s="3"/>
      <c r="O262" s="3"/>
      <c r="P262" s="3"/>
      <c r="AB262" s="115"/>
      <c r="AC262" s="115"/>
      <c r="AD262" s="115"/>
      <c r="AE262" s="115"/>
      <c r="AF262" s="115"/>
      <c r="AG262" s="115"/>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row>
    <row r="263" spans="2:102">
      <c r="B263" s="3"/>
      <c r="C263" s="3"/>
      <c r="D263" s="3"/>
      <c r="E263" s="3"/>
      <c r="F263" s="3"/>
      <c r="G263" s="3"/>
      <c r="H263" s="3"/>
      <c r="I263" s="3"/>
      <c r="J263" s="3"/>
      <c r="K263" s="3"/>
      <c r="L263" s="3"/>
      <c r="M263" s="3"/>
      <c r="N263" s="3"/>
      <c r="O263" s="3"/>
      <c r="P263" s="3"/>
      <c r="AB263" s="115"/>
      <c r="AC263" s="115"/>
      <c r="AD263" s="115"/>
      <c r="AE263" s="115"/>
      <c r="AF263" s="115"/>
      <c r="AG263" s="115"/>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row>
    <row r="264" spans="2:102">
      <c r="B264" s="3"/>
      <c r="C264" s="3"/>
      <c r="D264" s="3"/>
      <c r="E264" s="3"/>
      <c r="F264" s="3"/>
      <c r="G264" s="3"/>
      <c r="H264" s="3"/>
      <c r="I264" s="3"/>
      <c r="J264" s="3"/>
      <c r="K264" s="3"/>
      <c r="L264" s="3"/>
      <c r="M264" s="3"/>
      <c r="N264" s="3"/>
      <c r="O264" s="3"/>
      <c r="P264" s="3"/>
      <c r="AB264" s="115"/>
      <c r="AC264" s="115"/>
      <c r="AD264" s="115"/>
      <c r="AE264" s="115"/>
      <c r="AF264" s="115"/>
      <c r="AG264" s="115"/>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row>
    <row r="265" spans="2:102">
      <c r="B265" s="3"/>
      <c r="C265" s="3"/>
      <c r="D265" s="3"/>
      <c r="E265" s="3"/>
      <c r="F265" s="3"/>
      <c r="G265" s="3"/>
      <c r="H265" s="3"/>
      <c r="I265" s="3"/>
      <c r="J265" s="3"/>
      <c r="K265" s="3"/>
      <c r="L265" s="3"/>
      <c r="M265" s="3"/>
      <c r="N265" s="3"/>
      <c r="O265" s="3"/>
      <c r="P265" s="3"/>
      <c r="AB265" s="115"/>
      <c r="AC265" s="115"/>
      <c r="AD265" s="115"/>
      <c r="AE265" s="115"/>
      <c r="AF265" s="115"/>
      <c r="AG265" s="115"/>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row>
    <row r="266" spans="2:102">
      <c r="B266" s="3"/>
      <c r="C266" s="3"/>
      <c r="D266" s="3"/>
      <c r="E266" s="3"/>
      <c r="F266" s="3"/>
      <c r="G266" s="3"/>
      <c r="H266" s="3"/>
      <c r="I266" s="3"/>
      <c r="J266" s="3"/>
      <c r="K266" s="3"/>
      <c r="L266" s="3"/>
      <c r="M266" s="3"/>
      <c r="N266" s="3"/>
      <c r="O266" s="3"/>
      <c r="P266" s="3"/>
      <c r="AB266" s="115"/>
      <c r="AC266" s="115"/>
      <c r="AD266" s="115"/>
      <c r="AE266" s="115"/>
      <c r="AF266" s="115"/>
      <c r="AG266" s="115"/>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row>
    <row r="267" spans="2:102">
      <c r="B267" s="3"/>
      <c r="C267" s="3"/>
      <c r="D267" s="3"/>
      <c r="E267" s="3"/>
      <c r="F267" s="3"/>
      <c r="G267" s="3"/>
      <c r="H267" s="3"/>
      <c r="I267" s="3"/>
      <c r="J267" s="3"/>
      <c r="K267" s="3"/>
      <c r="L267" s="3"/>
      <c r="M267" s="3"/>
      <c r="N267" s="3"/>
      <c r="O267" s="3"/>
      <c r="P267" s="3"/>
      <c r="AB267" s="115"/>
      <c r="AC267" s="115"/>
      <c r="AD267" s="115"/>
      <c r="AE267" s="115"/>
      <c r="AF267" s="115"/>
      <c r="AG267" s="115"/>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row>
    <row r="268" spans="2:102">
      <c r="B268" s="3"/>
      <c r="C268" s="3"/>
      <c r="D268" s="3"/>
      <c r="E268" s="3"/>
      <c r="F268" s="3"/>
      <c r="G268" s="3"/>
      <c r="H268" s="3"/>
      <c r="I268" s="3"/>
      <c r="J268" s="3"/>
      <c r="K268" s="3"/>
      <c r="L268" s="3"/>
      <c r="M268" s="3"/>
      <c r="N268" s="3"/>
      <c r="O268" s="3"/>
      <c r="P268" s="3"/>
      <c r="AB268" s="115"/>
      <c r="AC268" s="115"/>
      <c r="AD268" s="115"/>
      <c r="AE268" s="115"/>
      <c r="AF268" s="115"/>
      <c r="AG268" s="115"/>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row>
    <row r="269" spans="2:102">
      <c r="B269" s="3"/>
      <c r="C269" s="3"/>
      <c r="D269" s="3"/>
      <c r="E269" s="3"/>
      <c r="F269" s="3"/>
      <c r="G269" s="3"/>
      <c r="H269" s="3"/>
      <c r="I269" s="3"/>
      <c r="J269" s="3"/>
      <c r="K269" s="3"/>
      <c r="L269" s="3"/>
      <c r="M269" s="3"/>
      <c r="N269" s="3"/>
      <c r="O269" s="3"/>
      <c r="P269" s="3"/>
      <c r="AB269" s="115"/>
      <c r="AC269" s="115"/>
      <c r="AD269" s="115"/>
      <c r="AE269" s="115"/>
      <c r="AF269" s="115"/>
      <c r="AG269" s="115"/>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row>
    <row r="270" spans="2:102">
      <c r="B270" s="3"/>
      <c r="C270" s="3"/>
      <c r="D270" s="3"/>
      <c r="E270" s="3"/>
      <c r="F270" s="3"/>
      <c r="G270" s="3"/>
      <c r="H270" s="3"/>
      <c r="I270" s="3"/>
      <c r="J270" s="3"/>
      <c r="K270" s="3"/>
      <c r="L270" s="3"/>
      <c r="M270" s="3"/>
      <c r="N270" s="3"/>
      <c r="O270" s="3"/>
      <c r="P270" s="3"/>
      <c r="AB270" s="115"/>
      <c r="AC270" s="115"/>
      <c r="AD270" s="115"/>
      <c r="AE270" s="115"/>
      <c r="AF270" s="115"/>
      <c r="AG270" s="115"/>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row>
    <row r="271" spans="2:102">
      <c r="B271" s="3"/>
      <c r="C271" s="3"/>
      <c r="D271" s="3"/>
      <c r="E271" s="3"/>
      <c r="F271" s="3"/>
      <c r="G271" s="3"/>
      <c r="H271" s="3"/>
      <c r="I271" s="3"/>
      <c r="J271" s="3"/>
      <c r="K271" s="3"/>
      <c r="L271" s="3"/>
      <c r="M271" s="3"/>
      <c r="N271" s="3"/>
      <c r="O271" s="3"/>
      <c r="P271" s="3"/>
      <c r="AB271" s="115"/>
      <c r="AC271" s="115"/>
      <c r="AD271" s="115"/>
      <c r="AE271" s="115"/>
      <c r="AF271" s="115"/>
      <c r="AG271" s="115"/>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row>
    <row r="272" spans="2:102">
      <c r="B272" s="3"/>
      <c r="C272" s="3"/>
      <c r="D272" s="3"/>
      <c r="E272" s="3"/>
      <c r="F272" s="3"/>
      <c r="G272" s="3"/>
      <c r="H272" s="3"/>
      <c r="I272" s="3"/>
      <c r="J272" s="3"/>
      <c r="K272" s="3"/>
      <c r="L272" s="3"/>
      <c r="M272" s="3"/>
      <c r="N272" s="3"/>
      <c r="O272" s="3"/>
      <c r="P272" s="3"/>
      <c r="AB272" s="115"/>
      <c r="AC272" s="115"/>
      <c r="AD272" s="115"/>
      <c r="AE272" s="115"/>
      <c r="AF272" s="115"/>
      <c r="AG272" s="115"/>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row>
    <row r="273" spans="2:102">
      <c r="B273" s="3"/>
      <c r="C273" s="3"/>
      <c r="D273" s="3"/>
      <c r="E273" s="3"/>
      <c r="F273" s="3"/>
      <c r="G273" s="3"/>
      <c r="H273" s="3"/>
      <c r="I273" s="3"/>
      <c r="J273" s="3"/>
      <c r="K273" s="3"/>
      <c r="L273" s="3"/>
      <c r="M273" s="3"/>
      <c r="N273" s="3"/>
      <c r="O273" s="3"/>
      <c r="P273" s="3"/>
      <c r="AB273" s="115"/>
      <c r="AC273" s="115"/>
      <c r="AD273" s="115"/>
      <c r="AE273" s="115"/>
      <c r="AF273" s="115"/>
      <c r="AG273" s="115"/>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row>
    <row r="274" spans="2:102">
      <c r="B274" s="3"/>
      <c r="C274" s="3"/>
      <c r="D274" s="3"/>
      <c r="E274" s="3"/>
      <c r="F274" s="3"/>
      <c r="G274" s="3"/>
      <c r="H274" s="3"/>
      <c r="I274" s="3"/>
      <c r="J274" s="3"/>
      <c r="K274" s="3"/>
      <c r="L274" s="3"/>
      <c r="M274" s="3"/>
      <c r="N274" s="3"/>
      <c r="O274" s="3"/>
      <c r="P274" s="3"/>
      <c r="AB274" s="115"/>
      <c r="AC274" s="115"/>
      <c r="AD274" s="115"/>
      <c r="AE274" s="115"/>
      <c r="AF274" s="115"/>
      <c r="AG274" s="115"/>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row>
    <row r="275" spans="2:102">
      <c r="B275" s="3"/>
      <c r="C275" s="3"/>
      <c r="D275" s="3"/>
      <c r="E275" s="3"/>
      <c r="F275" s="3"/>
      <c r="G275" s="3"/>
      <c r="H275" s="3"/>
      <c r="I275" s="3"/>
      <c r="J275" s="3"/>
      <c r="K275" s="3"/>
      <c r="L275" s="3"/>
      <c r="M275" s="3"/>
      <c r="N275" s="3"/>
      <c r="O275" s="3"/>
      <c r="P275" s="3"/>
      <c r="AB275" s="115"/>
      <c r="AC275" s="115"/>
      <c r="AD275" s="115"/>
      <c r="AE275" s="115"/>
      <c r="AF275" s="115"/>
      <c r="AG275" s="115"/>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row>
    <row r="276" spans="2:102">
      <c r="B276" s="3"/>
      <c r="C276" s="3"/>
      <c r="D276" s="3"/>
      <c r="E276" s="3"/>
      <c r="F276" s="3"/>
      <c r="G276" s="3"/>
      <c r="H276" s="3"/>
      <c r="I276" s="3"/>
      <c r="J276" s="3"/>
      <c r="K276" s="3"/>
      <c r="L276" s="3"/>
      <c r="M276" s="3"/>
      <c r="N276" s="3"/>
      <c r="O276" s="3"/>
      <c r="P276" s="3"/>
      <c r="AB276" s="115"/>
      <c r="AC276" s="115"/>
      <c r="AD276" s="115"/>
      <c r="AE276" s="115"/>
      <c r="AF276" s="115"/>
      <c r="AG276" s="115"/>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row>
    <row r="277" spans="2:102">
      <c r="B277" s="3"/>
      <c r="C277" s="3"/>
      <c r="D277" s="3"/>
      <c r="E277" s="3"/>
      <c r="F277" s="3"/>
      <c r="G277" s="3"/>
      <c r="H277" s="3"/>
      <c r="I277" s="3"/>
      <c r="J277" s="3"/>
      <c r="K277" s="3"/>
      <c r="L277" s="3"/>
      <c r="M277" s="3"/>
      <c r="N277" s="3"/>
      <c r="O277" s="3"/>
      <c r="P277" s="3"/>
      <c r="AB277" s="115"/>
      <c r="AC277" s="115"/>
      <c r="AD277" s="115"/>
      <c r="AE277" s="115"/>
      <c r="AF277" s="115"/>
      <c r="AG277" s="115"/>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row>
    <row r="278" spans="2:102">
      <c r="B278" s="3"/>
      <c r="C278" s="3"/>
      <c r="D278" s="3"/>
      <c r="E278" s="3"/>
      <c r="F278" s="3"/>
      <c r="G278" s="3"/>
      <c r="H278" s="3"/>
      <c r="I278" s="3"/>
      <c r="J278" s="3"/>
      <c r="K278" s="3"/>
      <c r="L278" s="3"/>
      <c r="M278" s="3"/>
      <c r="N278" s="3"/>
      <c r="O278" s="3"/>
      <c r="P278" s="3"/>
      <c r="AB278" s="115"/>
      <c r="AC278" s="115"/>
      <c r="AD278" s="115"/>
      <c r="AE278" s="115"/>
      <c r="AF278" s="115"/>
      <c r="AG278" s="115"/>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row>
    <row r="279" spans="2:102">
      <c r="B279" s="3"/>
      <c r="C279" s="3"/>
      <c r="D279" s="3"/>
      <c r="E279" s="3"/>
      <c r="F279" s="3"/>
      <c r="G279" s="3"/>
      <c r="H279" s="3"/>
      <c r="I279" s="3"/>
      <c r="J279" s="3"/>
      <c r="K279" s="3"/>
      <c r="L279" s="3"/>
      <c r="M279" s="3"/>
      <c r="N279" s="3"/>
      <c r="O279" s="3"/>
      <c r="P279" s="3"/>
      <c r="AB279" s="115"/>
      <c r="AC279" s="115"/>
      <c r="AD279" s="115"/>
      <c r="AE279" s="115"/>
      <c r="AF279" s="115"/>
      <c r="AG279" s="115"/>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row>
    <row r="280" spans="2:102">
      <c r="B280" s="3"/>
      <c r="C280" s="3"/>
      <c r="D280" s="3"/>
      <c r="E280" s="3"/>
      <c r="F280" s="3"/>
      <c r="G280" s="3"/>
      <c r="H280" s="3"/>
      <c r="I280" s="3"/>
      <c r="J280" s="3"/>
      <c r="K280" s="3"/>
      <c r="L280" s="3"/>
      <c r="M280" s="3"/>
      <c r="N280" s="3"/>
      <c r="O280" s="3"/>
      <c r="P280" s="3"/>
      <c r="AB280" s="115"/>
      <c r="AC280" s="115"/>
      <c r="AD280" s="115"/>
      <c r="AE280" s="115"/>
      <c r="AF280" s="115"/>
      <c r="AG280" s="115"/>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row>
    <row r="281" spans="2:102">
      <c r="B281" s="3"/>
      <c r="C281" s="3"/>
      <c r="D281" s="3"/>
      <c r="E281" s="3"/>
      <c r="F281" s="3"/>
      <c r="G281" s="3"/>
      <c r="H281" s="3"/>
      <c r="I281" s="3"/>
      <c r="J281" s="3"/>
      <c r="K281" s="3"/>
      <c r="L281" s="3"/>
      <c r="M281" s="3"/>
      <c r="N281" s="3"/>
      <c r="O281" s="3"/>
      <c r="P281" s="3"/>
      <c r="AB281" s="115"/>
      <c r="AC281" s="115"/>
      <c r="AD281" s="115"/>
      <c r="AE281" s="115"/>
      <c r="AF281" s="115"/>
      <c r="AG281" s="115"/>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row>
    <row r="282" spans="2:102">
      <c r="B282" s="3"/>
      <c r="C282" s="3"/>
      <c r="D282" s="3"/>
      <c r="E282" s="3"/>
      <c r="F282" s="3"/>
      <c r="G282" s="3"/>
      <c r="H282" s="3"/>
      <c r="I282" s="3"/>
      <c r="J282" s="3"/>
      <c r="K282" s="3"/>
      <c r="L282" s="3"/>
      <c r="M282" s="3"/>
      <c r="N282" s="3"/>
      <c r="O282" s="3"/>
      <c r="P282" s="3"/>
      <c r="AB282" s="115"/>
      <c r="AC282" s="115"/>
      <c r="AD282" s="115"/>
      <c r="AE282" s="115"/>
      <c r="AF282" s="115"/>
      <c r="AG282" s="115"/>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row>
    <row r="283" spans="2:102">
      <c r="B283" s="3"/>
      <c r="C283" s="3"/>
      <c r="D283" s="3"/>
      <c r="E283" s="3"/>
      <c r="F283" s="3"/>
      <c r="G283" s="3"/>
      <c r="H283" s="3"/>
      <c r="I283" s="3"/>
      <c r="J283" s="3"/>
      <c r="K283" s="3"/>
      <c r="L283" s="3"/>
      <c r="M283" s="3"/>
      <c r="N283" s="3"/>
      <c r="O283" s="3"/>
      <c r="P283" s="3"/>
      <c r="AB283" s="115"/>
      <c r="AC283" s="115"/>
      <c r="AD283" s="115"/>
      <c r="AE283" s="115"/>
      <c r="AF283" s="115"/>
      <c r="AG283" s="115"/>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row>
    <row r="284" spans="2:102">
      <c r="B284" s="3"/>
      <c r="C284" s="3"/>
      <c r="D284" s="3"/>
      <c r="E284" s="3"/>
      <c r="F284" s="3"/>
      <c r="G284" s="3"/>
      <c r="H284" s="3"/>
      <c r="I284" s="3"/>
      <c r="J284" s="3"/>
      <c r="K284" s="3"/>
      <c r="L284" s="3"/>
      <c r="M284" s="3"/>
      <c r="N284" s="3"/>
      <c r="O284" s="3"/>
      <c r="P284" s="3"/>
      <c r="AB284" s="115"/>
      <c r="AC284" s="115"/>
      <c r="AD284" s="115"/>
      <c r="AE284" s="115"/>
      <c r="AF284" s="115"/>
      <c r="AG284" s="115"/>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row>
    <row r="285" spans="2:102">
      <c r="B285" s="3"/>
      <c r="C285" s="3"/>
      <c r="D285" s="3"/>
      <c r="E285" s="3"/>
      <c r="F285" s="3"/>
      <c r="G285" s="3"/>
      <c r="H285" s="3"/>
      <c r="I285" s="3"/>
      <c r="J285" s="3"/>
      <c r="K285" s="3"/>
      <c r="L285" s="3"/>
      <c r="M285" s="3"/>
      <c r="N285" s="3"/>
      <c r="O285" s="3"/>
      <c r="P285" s="3"/>
      <c r="AB285" s="115"/>
      <c r="AC285" s="115"/>
      <c r="AD285" s="115"/>
      <c r="AE285" s="115"/>
      <c r="AF285" s="115"/>
      <c r="AG285" s="115"/>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row>
    <row r="286" spans="2:102">
      <c r="B286" s="3"/>
      <c r="C286" s="3"/>
      <c r="D286" s="3"/>
      <c r="E286" s="3"/>
      <c r="F286" s="3"/>
      <c r="G286" s="3"/>
      <c r="H286" s="3"/>
      <c r="I286" s="3"/>
      <c r="J286" s="3"/>
      <c r="K286" s="3"/>
      <c r="L286" s="3"/>
      <c r="M286" s="3"/>
      <c r="N286" s="3"/>
      <c r="O286" s="3"/>
      <c r="P286" s="3"/>
      <c r="AB286" s="115"/>
      <c r="AC286" s="115"/>
      <c r="AD286" s="115"/>
      <c r="AE286" s="115"/>
      <c r="AF286" s="115"/>
      <c r="AG286" s="115"/>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row>
    <row r="287" spans="2:102">
      <c r="B287" s="3"/>
      <c r="C287" s="3"/>
      <c r="D287" s="3"/>
      <c r="E287" s="3"/>
      <c r="F287" s="3"/>
      <c r="G287" s="3"/>
      <c r="H287" s="3"/>
      <c r="I287" s="3"/>
      <c r="J287" s="3"/>
      <c r="K287" s="3"/>
      <c r="L287" s="3"/>
      <c r="M287" s="3"/>
      <c r="N287" s="3"/>
      <c r="O287" s="3"/>
      <c r="P287" s="3"/>
      <c r="AB287" s="115"/>
      <c r="AC287" s="115"/>
      <c r="AD287" s="115"/>
      <c r="AE287" s="115"/>
      <c r="AF287" s="115"/>
      <c r="AG287" s="115"/>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row>
    <row r="288" spans="2:102">
      <c r="B288" s="3"/>
      <c r="C288" s="3"/>
      <c r="D288" s="3"/>
      <c r="E288" s="3"/>
      <c r="F288" s="3"/>
      <c r="G288" s="3"/>
      <c r="H288" s="3"/>
      <c r="I288" s="3"/>
      <c r="J288" s="3"/>
      <c r="K288" s="3"/>
      <c r="L288" s="3"/>
      <c r="M288" s="3"/>
      <c r="N288" s="3"/>
      <c r="O288" s="3"/>
      <c r="P288" s="3"/>
      <c r="AB288" s="115"/>
      <c r="AC288" s="115"/>
      <c r="AD288" s="115"/>
      <c r="AE288" s="115"/>
      <c r="AF288" s="115"/>
      <c r="AG288" s="115"/>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row>
    <row r="289" spans="2:102">
      <c r="B289" s="3"/>
      <c r="C289" s="3"/>
      <c r="D289" s="3"/>
      <c r="E289" s="3"/>
      <c r="F289" s="3"/>
      <c r="G289" s="3"/>
      <c r="H289" s="3"/>
      <c r="I289" s="3"/>
      <c r="J289" s="3"/>
      <c r="K289" s="3"/>
      <c r="L289" s="3"/>
      <c r="M289" s="3"/>
      <c r="N289" s="3"/>
      <c r="O289" s="3"/>
      <c r="P289" s="3"/>
      <c r="AB289" s="115"/>
      <c r="AC289" s="115"/>
      <c r="AD289" s="115"/>
      <c r="AE289" s="115"/>
      <c r="AF289" s="115"/>
      <c r="AG289" s="115"/>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row>
    <row r="290" spans="2:102">
      <c r="B290" s="3"/>
      <c r="C290" s="3"/>
      <c r="D290" s="3"/>
      <c r="E290" s="3"/>
      <c r="F290" s="3"/>
      <c r="G290" s="3"/>
      <c r="H290" s="3"/>
      <c r="I290" s="3"/>
      <c r="J290" s="3"/>
      <c r="K290" s="3"/>
      <c r="L290" s="3"/>
      <c r="M290" s="3"/>
      <c r="N290" s="3"/>
      <c r="O290" s="3"/>
      <c r="P290" s="3"/>
      <c r="AB290" s="115"/>
      <c r="AC290" s="115"/>
      <c r="AD290" s="115"/>
      <c r="AE290" s="115"/>
      <c r="AF290" s="115"/>
      <c r="AG290" s="115"/>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row>
    <row r="291" spans="2:102">
      <c r="B291" s="3"/>
      <c r="C291" s="3"/>
      <c r="D291" s="3"/>
      <c r="E291" s="3"/>
      <c r="F291" s="3"/>
      <c r="G291" s="3"/>
      <c r="H291" s="3"/>
      <c r="I291" s="3"/>
      <c r="J291" s="3"/>
      <c r="K291" s="3"/>
      <c r="L291" s="3"/>
      <c r="M291" s="3"/>
      <c r="N291" s="3"/>
      <c r="O291" s="3"/>
      <c r="P291" s="3"/>
      <c r="AB291" s="115"/>
      <c r="AC291" s="115"/>
      <c r="AD291" s="115"/>
      <c r="AE291" s="115"/>
      <c r="AF291" s="115"/>
      <c r="AG291" s="115"/>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row>
    <row r="292" spans="2:102">
      <c r="B292" s="3"/>
      <c r="C292" s="3"/>
      <c r="D292" s="3"/>
      <c r="E292" s="3"/>
      <c r="F292" s="3"/>
      <c r="G292" s="3"/>
      <c r="H292" s="3"/>
      <c r="I292" s="3"/>
      <c r="J292" s="3"/>
      <c r="K292" s="3"/>
      <c r="L292" s="3"/>
      <c r="M292" s="3"/>
      <c r="N292" s="3"/>
      <c r="O292" s="3"/>
      <c r="P292" s="3"/>
      <c r="AB292" s="115"/>
      <c r="AC292" s="115"/>
      <c r="AD292" s="115"/>
      <c r="AE292" s="115"/>
      <c r="AF292" s="115"/>
      <c r="AG292" s="115"/>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row>
    <row r="293" spans="2:102">
      <c r="B293" s="3"/>
      <c r="C293" s="3"/>
      <c r="D293" s="3"/>
      <c r="E293" s="3"/>
      <c r="F293" s="3"/>
      <c r="G293" s="3"/>
      <c r="H293" s="3"/>
      <c r="I293" s="3"/>
      <c r="J293" s="3"/>
      <c r="K293" s="3"/>
      <c r="L293" s="3"/>
      <c r="M293" s="3"/>
      <c r="N293" s="3"/>
      <c r="O293" s="3"/>
      <c r="P293" s="3"/>
      <c r="AB293" s="115"/>
      <c r="AC293" s="115"/>
      <c r="AD293" s="115"/>
      <c r="AE293" s="115"/>
      <c r="AF293" s="115"/>
      <c r="AG293" s="115"/>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row>
    <row r="294" spans="2:102">
      <c r="B294" s="3"/>
      <c r="C294" s="3"/>
      <c r="D294" s="3"/>
      <c r="E294" s="3"/>
      <c r="F294" s="3"/>
      <c r="G294" s="3"/>
      <c r="H294" s="3"/>
      <c r="I294" s="3"/>
      <c r="J294" s="3"/>
      <c r="K294" s="3"/>
      <c r="L294" s="3"/>
      <c r="M294" s="3"/>
      <c r="N294" s="3"/>
      <c r="O294" s="3"/>
      <c r="P294" s="3"/>
      <c r="AB294" s="115"/>
      <c r="AC294" s="115"/>
      <c r="AD294" s="115"/>
      <c r="AE294" s="115"/>
      <c r="AF294" s="115"/>
      <c r="AG294" s="115"/>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row>
    <row r="295" spans="2:102">
      <c r="B295" s="3"/>
      <c r="C295" s="3"/>
      <c r="D295" s="3"/>
      <c r="E295" s="3"/>
      <c r="F295" s="3"/>
      <c r="G295" s="3"/>
      <c r="H295" s="3"/>
      <c r="I295" s="3"/>
      <c r="J295" s="3"/>
      <c r="K295" s="3"/>
      <c r="L295" s="3"/>
      <c r="M295" s="3"/>
      <c r="N295" s="3"/>
      <c r="O295" s="3"/>
      <c r="P295" s="3"/>
      <c r="AB295" s="115"/>
      <c r="AC295" s="115"/>
      <c r="AD295" s="115"/>
      <c r="AE295" s="115"/>
      <c r="AF295" s="115"/>
      <c r="AG295" s="115"/>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row>
    <row r="296" spans="2:102">
      <c r="B296" s="3"/>
      <c r="C296" s="3"/>
      <c r="D296" s="3"/>
      <c r="E296" s="3"/>
      <c r="F296" s="3"/>
      <c r="G296" s="3"/>
      <c r="H296" s="3"/>
      <c r="I296" s="3"/>
      <c r="J296" s="3"/>
      <c r="K296" s="3"/>
      <c r="L296" s="3"/>
      <c r="M296" s="3"/>
      <c r="N296" s="3"/>
      <c r="O296" s="3"/>
      <c r="P296" s="3"/>
      <c r="AB296" s="115"/>
      <c r="AC296" s="115"/>
      <c r="AD296" s="115"/>
      <c r="AE296" s="115"/>
      <c r="AF296" s="115"/>
      <c r="AG296" s="115"/>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row>
    <row r="297" spans="2:102">
      <c r="B297" s="3"/>
      <c r="C297" s="3"/>
      <c r="D297" s="3"/>
      <c r="E297" s="3"/>
      <c r="F297" s="3"/>
      <c r="G297" s="3"/>
      <c r="H297" s="3"/>
      <c r="I297" s="3"/>
      <c r="J297" s="3"/>
      <c r="K297" s="3"/>
      <c r="L297" s="3"/>
      <c r="M297" s="3"/>
      <c r="N297" s="3"/>
      <c r="O297" s="3"/>
      <c r="P297" s="3"/>
      <c r="AB297" s="115"/>
      <c r="AC297" s="115"/>
      <c r="AD297" s="115"/>
      <c r="AE297" s="115"/>
      <c r="AF297" s="115"/>
      <c r="AG297" s="115"/>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row>
    <row r="298" spans="2:102">
      <c r="B298" s="3"/>
      <c r="C298" s="3"/>
      <c r="D298" s="3"/>
      <c r="E298" s="3"/>
      <c r="F298" s="3"/>
      <c r="G298" s="3"/>
      <c r="H298" s="3"/>
      <c r="I298" s="3"/>
      <c r="J298" s="3"/>
      <c r="K298" s="3"/>
      <c r="L298" s="3"/>
      <c r="M298" s="3"/>
      <c r="N298" s="3"/>
      <c r="O298" s="3"/>
      <c r="P298" s="3"/>
      <c r="AB298" s="115"/>
      <c r="AC298" s="115"/>
      <c r="AD298" s="115"/>
      <c r="AE298" s="115"/>
      <c r="AF298" s="115"/>
      <c r="AG298" s="115"/>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row>
    <row r="299" spans="2:102">
      <c r="B299" s="3"/>
      <c r="C299" s="3"/>
      <c r="D299" s="3"/>
      <c r="E299" s="3"/>
      <c r="F299" s="3"/>
      <c r="G299" s="3"/>
      <c r="H299" s="3"/>
      <c r="I299" s="3"/>
      <c r="J299" s="3"/>
      <c r="K299" s="3"/>
      <c r="L299" s="3"/>
      <c r="M299" s="3"/>
      <c r="N299" s="3"/>
      <c r="O299" s="3"/>
      <c r="P299" s="3"/>
      <c r="AB299" s="115"/>
      <c r="AC299" s="115"/>
      <c r="AD299" s="115"/>
      <c r="AE299" s="115"/>
      <c r="AF299" s="115"/>
      <c r="AG299" s="115"/>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row>
    <row r="300" spans="2:102">
      <c r="B300" s="3"/>
      <c r="C300" s="3"/>
      <c r="D300" s="3"/>
      <c r="E300" s="3"/>
      <c r="F300" s="3"/>
      <c r="G300" s="3"/>
      <c r="H300" s="3"/>
      <c r="I300" s="3"/>
      <c r="J300" s="3"/>
      <c r="K300" s="3"/>
      <c r="L300" s="3"/>
      <c r="M300" s="3"/>
      <c r="N300" s="3"/>
      <c r="O300" s="3"/>
      <c r="P300" s="3"/>
      <c r="AB300" s="115"/>
      <c r="AC300" s="115"/>
      <c r="AD300" s="115"/>
      <c r="AE300" s="115"/>
      <c r="AF300" s="115"/>
      <c r="AG300" s="115"/>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row>
    <row r="301" spans="2:102">
      <c r="B301" s="3"/>
      <c r="C301" s="3"/>
      <c r="D301" s="3"/>
      <c r="E301" s="3"/>
      <c r="F301" s="3"/>
      <c r="G301" s="3"/>
      <c r="H301" s="3"/>
      <c r="I301" s="3"/>
      <c r="J301" s="3"/>
      <c r="K301" s="3"/>
      <c r="L301" s="3"/>
      <c r="M301" s="3"/>
      <c r="N301" s="3"/>
      <c r="O301" s="3"/>
      <c r="P301" s="3"/>
      <c r="AB301" s="115"/>
      <c r="AC301" s="115"/>
      <c r="AD301" s="115"/>
      <c r="AE301" s="115"/>
      <c r="AF301" s="115"/>
      <c r="AG301" s="115"/>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row>
    <row r="302" spans="2:102">
      <c r="B302" s="3"/>
      <c r="C302" s="3"/>
      <c r="D302" s="3"/>
      <c r="E302" s="3"/>
      <c r="F302" s="3"/>
      <c r="G302" s="3"/>
      <c r="H302" s="3"/>
      <c r="I302" s="3"/>
      <c r="J302" s="3"/>
      <c r="K302" s="3"/>
      <c r="L302" s="3"/>
      <c r="M302" s="3"/>
      <c r="N302" s="3"/>
      <c r="O302" s="3"/>
      <c r="P302" s="3"/>
      <c r="AB302" s="115"/>
      <c r="AC302" s="115"/>
      <c r="AD302" s="115"/>
      <c r="AE302" s="115"/>
      <c r="AF302" s="115"/>
      <c r="AG302" s="115"/>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row>
    <row r="303" spans="2:102">
      <c r="B303" s="3"/>
      <c r="C303" s="3"/>
      <c r="D303" s="3"/>
      <c r="E303" s="3"/>
      <c r="F303" s="3"/>
      <c r="G303" s="3"/>
      <c r="H303" s="3"/>
      <c r="I303" s="3"/>
      <c r="J303" s="3"/>
      <c r="K303" s="3"/>
      <c r="L303" s="3"/>
      <c r="M303" s="3"/>
      <c r="N303" s="3"/>
      <c r="O303" s="3"/>
      <c r="P303" s="3"/>
      <c r="AB303" s="115"/>
      <c r="AC303" s="115"/>
      <c r="AD303" s="115"/>
      <c r="AE303" s="115"/>
      <c r="AF303" s="115"/>
      <c r="AG303" s="115"/>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row>
    <row r="304" spans="2:102">
      <c r="B304" s="3"/>
      <c r="C304" s="3"/>
      <c r="D304" s="3"/>
      <c r="E304" s="3"/>
      <c r="F304" s="3"/>
      <c r="G304" s="3"/>
      <c r="H304" s="3"/>
      <c r="I304" s="3"/>
      <c r="J304" s="3"/>
      <c r="K304" s="3"/>
      <c r="L304" s="3"/>
      <c r="M304" s="3"/>
      <c r="N304" s="3"/>
      <c r="O304" s="3"/>
      <c r="P304" s="3"/>
      <c r="AB304" s="115"/>
      <c r="AC304" s="115"/>
      <c r="AD304" s="115"/>
      <c r="AE304" s="115"/>
      <c r="AF304" s="115"/>
      <c r="AG304" s="115"/>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row>
    <row r="305" spans="2:102">
      <c r="B305" s="3"/>
      <c r="C305" s="3"/>
      <c r="D305" s="3"/>
      <c r="E305" s="3"/>
      <c r="F305" s="3"/>
      <c r="G305" s="3"/>
      <c r="H305" s="3"/>
      <c r="I305" s="3"/>
      <c r="J305" s="3"/>
      <c r="K305" s="3"/>
      <c r="L305" s="3"/>
      <c r="M305" s="3"/>
      <c r="N305" s="3"/>
      <c r="O305" s="3"/>
      <c r="P305" s="3"/>
      <c r="AB305" s="115"/>
      <c r="AC305" s="115"/>
      <c r="AD305" s="115"/>
      <c r="AE305" s="115"/>
      <c r="AF305" s="115"/>
      <c r="AG305" s="115"/>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row>
    <row r="306" spans="2:102">
      <c r="B306" s="3"/>
      <c r="C306" s="3"/>
      <c r="D306" s="3"/>
      <c r="E306" s="3"/>
      <c r="F306" s="3"/>
      <c r="G306" s="3"/>
      <c r="H306" s="3"/>
      <c r="I306" s="3"/>
      <c r="J306" s="3"/>
      <c r="K306" s="3"/>
      <c r="L306" s="3"/>
      <c r="M306" s="3"/>
      <c r="N306" s="3"/>
      <c r="O306" s="3"/>
      <c r="P306" s="3"/>
      <c r="AB306" s="115"/>
      <c r="AC306" s="115"/>
      <c r="AD306" s="115"/>
      <c r="AE306" s="115"/>
      <c r="AF306" s="115"/>
      <c r="AG306" s="115"/>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row>
    <row r="307" spans="2:102">
      <c r="B307" s="3"/>
      <c r="C307" s="3"/>
      <c r="D307" s="3"/>
      <c r="E307" s="3"/>
      <c r="F307" s="3"/>
      <c r="G307" s="3"/>
      <c r="H307" s="3"/>
      <c r="I307" s="3"/>
      <c r="J307" s="3"/>
      <c r="K307" s="3"/>
      <c r="L307" s="3"/>
      <c r="M307" s="3"/>
      <c r="N307" s="3"/>
      <c r="O307" s="3"/>
      <c r="P307" s="3"/>
      <c r="AB307" s="115"/>
      <c r="AC307" s="115"/>
      <c r="AD307" s="115"/>
      <c r="AE307" s="115"/>
      <c r="AF307" s="115"/>
      <c r="AG307" s="115"/>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row>
    <row r="308" spans="2:102">
      <c r="B308" s="3"/>
      <c r="C308" s="3"/>
      <c r="D308" s="3"/>
      <c r="E308" s="3"/>
      <c r="F308" s="3"/>
      <c r="G308" s="3"/>
      <c r="H308" s="3"/>
      <c r="I308" s="3"/>
      <c r="J308" s="3"/>
      <c r="K308" s="3"/>
      <c r="L308" s="3"/>
      <c r="M308" s="3"/>
      <c r="N308" s="3"/>
      <c r="O308" s="3"/>
      <c r="P308" s="3"/>
      <c r="AB308" s="115"/>
      <c r="AC308" s="115"/>
      <c r="AD308" s="115"/>
      <c r="AE308" s="115"/>
      <c r="AF308" s="115"/>
      <c r="AG308" s="115"/>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row>
    <row r="309" spans="2:102">
      <c r="B309" s="3"/>
      <c r="C309" s="3"/>
      <c r="D309" s="3"/>
      <c r="E309" s="3"/>
      <c r="F309" s="3"/>
      <c r="G309" s="3"/>
      <c r="H309" s="3"/>
      <c r="I309" s="3"/>
      <c r="J309" s="3"/>
      <c r="K309" s="3"/>
      <c r="L309" s="3"/>
      <c r="M309" s="3"/>
      <c r="N309" s="3"/>
      <c r="O309" s="3"/>
      <c r="P309" s="3"/>
      <c r="AB309" s="115"/>
      <c r="AC309" s="115"/>
      <c r="AD309" s="115"/>
      <c r="AE309" s="115"/>
      <c r="AF309" s="115"/>
      <c r="AG309" s="115"/>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row>
    <row r="310" spans="2:102">
      <c r="B310" s="3"/>
      <c r="C310" s="3"/>
      <c r="D310" s="3"/>
      <c r="E310" s="3"/>
      <c r="F310" s="3"/>
      <c r="G310" s="3"/>
      <c r="H310" s="3"/>
      <c r="I310" s="3"/>
      <c r="J310" s="3"/>
      <c r="K310" s="3"/>
      <c r="L310" s="3"/>
      <c r="M310" s="3"/>
      <c r="N310" s="3"/>
      <c r="O310" s="3"/>
      <c r="P310" s="3"/>
      <c r="AB310" s="115"/>
      <c r="AC310" s="115"/>
      <c r="AD310" s="115"/>
      <c r="AE310" s="115"/>
      <c r="AF310" s="115"/>
      <c r="AG310" s="115"/>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row>
    <row r="311" spans="2:102">
      <c r="B311" s="3"/>
      <c r="C311" s="3"/>
      <c r="D311" s="3"/>
      <c r="E311" s="3"/>
      <c r="F311" s="3"/>
      <c r="G311" s="3"/>
      <c r="H311" s="3"/>
      <c r="I311" s="3"/>
      <c r="J311" s="3"/>
      <c r="K311" s="3"/>
      <c r="L311" s="3"/>
      <c r="M311" s="3"/>
      <c r="N311" s="3"/>
      <c r="O311" s="3"/>
      <c r="P311" s="3"/>
      <c r="AB311" s="115"/>
      <c r="AC311" s="115"/>
      <c r="AD311" s="115"/>
      <c r="AE311" s="115"/>
      <c r="AF311" s="115"/>
      <c r="AG311" s="115"/>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row>
    <row r="312" spans="2:102">
      <c r="B312" s="3"/>
      <c r="C312" s="3"/>
      <c r="D312" s="3"/>
      <c r="E312" s="3"/>
      <c r="F312" s="3"/>
      <c r="G312" s="3"/>
      <c r="H312" s="3"/>
      <c r="I312" s="3"/>
      <c r="J312" s="3"/>
      <c r="K312" s="3"/>
      <c r="L312" s="3"/>
      <c r="M312" s="3"/>
      <c r="N312" s="3"/>
      <c r="O312" s="3"/>
      <c r="P312" s="3"/>
      <c r="AB312" s="115"/>
      <c r="AC312" s="115"/>
      <c r="AD312" s="115"/>
      <c r="AE312" s="115"/>
      <c r="AF312" s="115"/>
      <c r="AG312" s="115"/>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row>
    <row r="313" spans="2:102">
      <c r="B313" s="3"/>
      <c r="C313" s="3"/>
      <c r="D313" s="3"/>
      <c r="E313" s="3"/>
      <c r="F313" s="3"/>
      <c r="G313" s="3"/>
      <c r="H313" s="3"/>
      <c r="I313" s="3"/>
      <c r="J313" s="3"/>
      <c r="K313" s="3"/>
      <c r="L313" s="3"/>
      <c r="M313" s="3"/>
      <c r="N313" s="3"/>
      <c r="O313" s="3"/>
      <c r="P313" s="3"/>
      <c r="AB313" s="115"/>
      <c r="AC313" s="115"/>
      <c r="AD313" s="115"/>
      <c r="AE313" s="115"/>
      <c r="AF313" s="115"/>
      <c r="AG313" s="115"/>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row>
    <row r="314" spans="2:102">
      <c r="B314" s="3"/>
      <c r="C314" s="3"/>
      <c r="D314" s="3"/>
      <c r="E314" s="3"/>
      <c r="F314" s="3"/>
      <c r="G314" s="3"/>
      <c r="H314" s="3"/>
      <c r="I314" s="3"/>
      <c r="J314" s="3"/>
      <c r="K314" s="3"/>
      <c r="L314" s="3"/>
      <c r="M314" s="3"/>
      <c r="N314" s="3"/>
      <c r="O314" s="3"/>
      <c r="P314" s="3"/>
      <c r="AB314" s="115"/>
      <c r="AC314" s="115"/>
      <c r="AD314" s="115"/>
      <c r="AE314" s="115"/>
      <c r="AF314" s="115"/>
      <c r="AG314" s="115"/>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row>
    <row r="315" spans="2:102">
      <c r="B315" s="3"/>
      <c r="C315" s="3"/>
      <c r="D315" s="3"/>
      <c r="E315" s="3"/>
      <c r="F315" s="3"/>
      <c r="G315" s="3"/>
      <c r="H315" s="3"/>
      <c r="I315" s="3"/>
      <c r="J315" s="3"/>
      <c r="K315" s="3"/>
      <c r="L315" s="3"/>
      <c r="M315" s="3"/>
      <c r="N315" s="3"/>
      <c r="O315" s="3"/>
      <c r="P315" s="3"/>
      <c r="AB315" s="115"/>
      <c r="AC315" s="115"/>
      <c r="AD315" s="115"/>
      <c r="AE315" s="115"/>
      <c r="AF315" s="115"/>
      <c r="AG315" s="115"/>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row>
    <row r="316" spans="2:102">
      <c r="B316" s="3"/>
      <c r="C316" s="3"/>
      <c r="D316" s="3"/>
      <c r="E316" s="3"/>
      <c r="F316" s="3"/>
      <c r="G316" s="3"/>
      <c r="H316" s="3"/>
      <c r="I316" s="3"/>
      <c r="J316" s="3"/>
      <c r="K316" s="3"/>
      <c r="L316" s="3"/>
      <c r="M316" s="3"/>
      <c r="N316" s="3"/>
      <c r="O316" s="3"/>
      <c r="P316" s="3"/>
      <c r="AB316" s="115"/>
      <c r="AC316" s="115"/>
      <c r="AD316" s="115"/>
      <c r="AE316" s="115"/>
      <c r="AF316" s="115"/>
      <c r="AG316" s="115"/>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row>
    <row r="317" spans="2:102">
      <c r="B317" s="3"/>
      <c r="C317" s="3"/>
      <c r="D317" s="3"/>
      <c r="E317" s="3"/>
      <c r="F317" s="3"/>
      <c r="G317" s="3"/>
      <c r="H317" s="3"/>
      <c r="I317" s="3"/>
      <c r="J317" s="3"/>
      <c r="K317" s="3"/>
      <c r="L317" s="3"/>
      <c r="M317" s="3"/>
      <c r="N317" s="3"/>
      <c r="O317" s="3"/>
      <c r="P317" s="3"/>
      <c r="AB317" s="115"/>
      <c r="AC317" s="115"/>
      <c r="AD317" s="115"/>
      <c r="AE317" s="115"/>
      <c r="AF317" s="115"/>
      <c r="AG317" s="115"/>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row>
    <row r="318" spans="2:102">
      <c r="B318" s="3"/>
      <c r="C318" s="3"/>
      <c r="D318" s="3"/>
      <c r="E318" s="3"/>
      <c r="F318" s="3"/>
      <c r="G318" s="3"/>
      <c r="H318" s="3"/>
      <c r="I318" s="3"/>
      <c r="J318" s="3"/>
      <c r="K318" s="3"/>
      <c r="L318" s="3"/>
      <c r="M318" s="3"/>
      <c r="N318" s="3"/>
      <c r="O318" s="3"/>
      <c r="P318" s="3"/>
      <c r="AB318" s="115"/>
      <c r="AC318" s="115"/>
      <c r="AD318" s="115"/>
      <c r="AE318" s="115"/>
      <c r="AF318" s="115"/>
      <c r="AG318" s="115"/>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row>
    <row r="319" spans="2:102">
      <c r="B319" s="3"/>
      <c r="C319" s="3"/>
      <c r="D319" s="3"/>
      <c r="E319" s="3"/>
      <c r="F319" s="3"/>
      <c r="G319" s="3"/>
      <c r="H319" s="3"/>
      <c r="I319" s="3"/>
      <c r="J319" s="3"/>
      <c r="K319" s="3"/>
      <c r="L319" s="3"/>
      <c r="M319" s="3"/>
      <c r="N319" s="3"/>
      <c r="O319" s="3"/>
      <c r="P319" s="3"/>
      <c r="AB319" s="115"/>
      <c r="AC319" s="115"/>
      <c r="AD319" s="115"/>
      <c r="AE319" s="115"/>
      <c r="AF319" s="115"/>
      <c r="AG319" s="115"/>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row>
    <row r="320" spans="2:102">
      <c r="B320" s="3"/>
      <c r="C320" s="3"/>
      <c r="D320" s="3"/>
      <c r="E320" s="3"/>
      <c r="F320" s="3"/>
      <c r="G320" s="3"/>
      <c r="H320" s="3"/>
      <c r="I320" s="3"/>
      <c r="J320" s="3"/>
      <c r="K320" s="3"/>
      <c r="L320" s="3"/>
      <c r="M320" s="3"/>
      <c r="N320" s="3"/>
      <c r="O320" s="3"/>
      <c r="P320" s="3"/>
      <c r="AB320" s="115"/>
      <c r="AC320" s="115"/>
      <c r="AD320" s="115"/>
      <c r="AE320" s="115"/>
      <c r="AF320" s="115"/>
      <c r="AG320" s="115"/>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row>
    <row r="321" spans="2:102">
      <c r="B321" s="3"/>
      <c r="C321" s="3"/>
      <c r="D321" s="3"/>
      <c r="E321" s="3"/>
      <c r="F321" s="3"/>
      <c r="G321" s="3"/>
      <c r="H321" s="3"/>
      <c r="I321" s="3"/>
      <c r="J321" s="3"/>
      <c r="K321" s="3"/>
      <c r="L321" s="3"/>
      <c r="M321" s="3"/>
      <c r="N321" s="3"/>
      <c r="O321" s="3"/>
      <c r="P321" s="3"/>
      <c r="AB321" s="115"/>
      <c r="AC321" s="115"/>
      <c r="AD321" s="115"/>
      <c r="AE321" s="115"/>
      <c r="AF321" s="115"/>
      <c r="AG321" s="115"/>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row>
    <row r="322" spans="2:102">
      <c r="B322" s="3"/>
      <c r="C322" s="3"/>
      <c r="D322" s="3"/>
      <c r="E322" s="3"/>
      <c r="F322" s="3"/>
      <c r="G322" s="3"/>
      <c r="H322" s="3"/>
      <c r="I322" s="3"/>
      <c r="J322" s="3"/>
      <c r="K322" s="3"/>
      <c r="L322" s="3"/>
      <c r="M322" s="3"/>
      <c r="N322" s="3"/>
      <c r="O322" s="3"/>
      <c r="P322" s="3"/>
      <c r="AB322" s="115"/>
      <c r="AC322" s="115"/>
      <c r="AD322" s="115"/>
      <c r="AE322" s="115"/>
      <c r="AF322" s="115"/>
      <c r="AG322" s="115"/>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row>
    <row r="323" spans="2:102">
      <c r="B323" s="3"/>
      <c r="C323" s="3"/>
      <c r="D323" s="3"/>
      <c r="E323" s="3"/>
      <c r="F323" s="3"/>
      <c r="G323" s="3"/>
      <c r="H323" s="3"/>
      <c r="I323" s="3"/>
      <c r="J323" s="3"/>
      <c r="K323" s="3"/>
      <c r="L323" s="3"/>
      <c r="M323" s="3"/>
      <c r="N323" s="3"/>
      <c r="O323" s="3"/>
      <c r="P323" s="3"/>
      <c r="AB323" s="115"/>
      <c r="AC323" s="115"/>
      <c r="AD323" s="115"/>
      <c r="AE323" s="115"/>
      <c r="AF323" s="115"/>
      <c r="AG323" s="115"/>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row>
    <row r="324" spans="2:102">
      <c r="B324" s="3"/>
      <c r="C324" s="3"/>
      <c r="D324" s="3"/>
      <c r="E324" s="3"/>
      <c r="F324" s="3"/>
      <c r="G324" s="3"/>
      <c r="H324" s="3"/>
      <c r="I324" s="3"/>
      <c r="J324" s="3"/>
      <c r="K324" s="3"/>
      <c r="L324" s="3"/>
      <c r="M324" s="3"/>
      <c r="N324" s="3"/>
      <c r="O324" s="3"/>
      <c r="P324" s="3"/>
      <c r="AB324" s="115"/>
      <c r="AC324" s="115"/>
      <c r="AD324" s="115"/>
      <c r="AE324" s="115"/>
      <c r="AF324" s="115"/>
      <c r="AG324" s="115"/>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row>
    <row r="325" spans="2:102">
      <c r="B325" s="3"/>
      <c r="C325" s="3"/>
      <c r="D325" s="3"/>
      <c r="E325" s="3"/>
      <c r="F325" s="3"/>
      <c r="G325" s="3"/>
      <c r="H325" s="3"/>
      <c r="I325" s="3"/>
      <c r="J325" s="3"/>
      <c r="K325" s="3"/>
      <c r="L325" s="3"/>
      <c r="M325" s="3"/>
      <c r="N325" s="3"/>
      <c r="O325" s="3"/>
      <c r="P325" s="3"/>
      <c r="AB325" s="115"/>
      <c r="AC325" s="115"/>
      <c r="AD325" s="115"/>
      <c r="AE325" s="115"/>
      <c r="AF325" s="115"/>
      <c r="AG325" s="115"/>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row>
    <row r="326" spans="2:102">
      <c r="B326" s="3"/>
      <c r="C326" s="3"/>
      <c r="D326" s="3"/>
      <c r="E326" s="3"/>
      <c r="F326" s="3"/>
      <c r="G326" s="3"/>
      <c r="H326" s="3"/>
      <c r="I326" s="3"/>
      <c r="J326" s="3"/>
      <c r="K326" s="3"/>
      <c r="L326" s="3"/>
      <c r="M326" s="3"/>
      <c r="N326" s="3"/>
      <c r="O326" s="3"/>
      <c r="P326" s="3"/>
      <c r="AB326" s="115"/>
      <c r="AC326" s="115"/>
      <c r="AD326" s="115"/>
      <c r="AE326" s="115"/>
      <c r="AF326" s="115"/>
      <c r="AG326" s="115"/>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row>
    <row r="327" spans="2:102">
      <c r="B327" s="3"/>
      <c r="C327" s="3"/>
      <c r="D327" s="3"/>
      <c r="E327" s="3"/>
      <c r="F327" s="3"/>
      <c r="G327" s="3"/>
      <c r="H327" s="3"/>
      <c r="I327" s="3"/>
      <c r="J327" s="3"/>
      <c r="K327" s="3"/>
      <c r="L327" s="3"/>
      <c r="M327" s="3"/>
      <c r="N327" s="3"/>
      <c r="O327" s="3"/>
      <c r="P327" s="3"/>
      <c r="AB327" s="115"/>
      <c r="AC327" s="115"/>
      <c r="AD327" s="115"/>
      <c r="AE327" s="115"/>
      <c r="AF327" s="115"/>
      <c r="AG327" s="115"/>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row>
    <row r="328" spans="2:102">
      <c r="B328" s="3"/>
      <c r="C328" s="3"/>
      <c r="D328" s="3"/>
      <c r="E328" s="3"/>
      <c r="F328" s="3"/>
      <c r="G328" s="3"/>
      <c r="H328" s="3"/>
      <c r="I328" s="3"/>
      <c r="J328" s="3"/>
      <c r="K328" s="3"/>
      <c r="L328" s="3"/>
      <c r="M328" s="3"/>
      <c r="N328" s="3"/>
      <c r="O328" s="3"/>
      <c r="P328" s="3"/>
      <c r="AB328" s="115"/>
      <c r="AC328" s="115"/>
      <c r="AD328" s="115"/>
      <c r="AE328" s="115"/>
      <c r="AF328" s="115"/>
      <c r="AG328" s="115"/>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row>
    <row r="329" spans="2:102">
      <c r="B329" s="3"/>
      <c r="C329" s="3"/>
      <c r="D329" s="3"/>
      <c r="E329" s="3"/>
      <c r="F329" s="3"/>
      <c r="G329" s="3"/>
      <c r="H329" s="3"/>
      <c r="I329" s="3"/>
      <c r="J329" s="3"/>
      <c r="K329" s="3"/>
      <c r="L329" s="3"/>
      <c r="M329" s="3"/>
      <c r="N329" s="3"/>
      <c r="O329" s="3"/>
      <c r="P329" s="3"/>
      <c r="AB329" s="115"/>
      <c r="AC329" s="115"/>
      <c r="AD329" s="115"/>
      <c r="AE329" s="115"/>
      <c r="AF329" s="115"/>
      <c r="AG329" s="115"/>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row>
    <row r="330" spans="2:102">
      <c r="B330" s="3"/>
      <c r="C330" s="3"/>
      <c r="D330" s="3"/>
      <c r="E330" s="3"/>
      <c r="F330" s="3"/>
      <c r="G330" s="3"/>
      <c r="H330" s="3"/>
      <c r="I330" s="3"/>
      <c r="J330" s="3"/>
      <c r="K330" s="3"/>
      <c r="L330" s="3"/>
      <c r="M330" s="3"/>
      <c r="N330" s="3"/>
      <c r="O330" s="3"/>
      <c r="P330" s="3"/>
      <c r="AB330" s="115"/>
      <c r="AC330" s="115"/>
      <c r="AD330" s="115"/>
      <c r="AE330" s="115"/>
      <c r="AF330" s="115"/>
      <c r="AG330" s="115"/>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row>
    <row r="331" spans="2:102">
      <c r="B331" s="3"/>
      <c r="C331" s="3"/>
      <c r="D331" s="3"/>
      <c r="E331" s="3"/>
      <c r="F331" s="3"/>
      <c r="G331" s="3"/>
      <c r="H331" s="3"/>
      <c r="I331" s="3"/>
      <c r="J331" s="3"/>
      <c r="K331" s="3"/>
      <c r="L331" s="3"/>
      <c r="M331" s="3"/>
      <c r="N331" s="3"/>
      <c r="O331" s="3"/>
      <c r="P331" s="3"/>
      <c r="AB331" s="115"/>
      <c r="AC331" s="115"/>
      <c r="AD331" s="115"/>
      <c r="AE331" s="115"/>
      <c r="AF331" s="115"/>
      <c r="AG331" s="115"/>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row>
    <row r="332" spans="2:102">
      <c r="B332" s="3"/>
      <c r="C332" s="3"/>
      <c r="D332" s="3"/>
      <c r="E332" s="3"/>
      <c r="F332" s="3"/>
      <c r="G332" s="3"/>
      <c r="H332" s="3"/>
      <c r="I332" s="3"/>
      <c r="J332" s="3"/>
      <c r="K332" s="3"/>
      <c r="L332" s="3"/>
      <c r="M332" s="3"/>
      <c r="N332" s="3"/>
      <c r="O332" s="3"/>
      <c r="P332" s="3"/>
      <c r="AB332" s="115"/>
      <c r="AC332" s="115"/>
      <c r="AD332" s="115"/>
      <c r="AE332" s="115"/>
      <c r="AF332" s="115"/>
      <c r="AG332" s="115"/>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row>
    <row r="333" spans="2:102">
      <c r="B333" s="3"/>
      <c r="C333" s="3"/>
      <c r="D333" s="3"/>
      <c r="E333" s="3"/>
      <c r="F333" s="3"/>
      <c r="G333" s="3"/>
      <c r="H333" s="3"/>
      <c r="I333" s="3"/>
      <c r="J333" s="3"/>
      <c r="K333" s="3"/>
      <c r="L333" s="3"/>
      <c r="M333" s="3"/>
      <c r="N333" s="3"/>
      <c r="O333" s="3"/>
      <c r="P333" s="3"/>
      <c r="AB333" s="115"/>
      <c r="AC333" s="115"/>
      <c r="AD333" s="115"/>
      <c r="AE333" s="115"/>
      <c r="AF333" s="115"/>
      <c r="AG333" s="115"/>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row>
    <row r="334" spans="2:102">
      <c r="B334" s="3"/>
      <c r="C334" s="3"/>
      <c r="D334" s="3"/>
      <c r="E334" s="3"/>
      <c r="F334" s="3"/>
      <c r="G334" s="3"/>
      <c r="H334" s="3"/>
      <c r="I334" s="3"/>
      <c r="J334" s="3"/>
      <c r="K334" s="3"/>
      <c r="L334" s="3"/>
      <c r="M334" s="3"/>
      <c r="N334" s="3"/>
      <c r="O334" s="3"/>
      <c r="P334" s="3"/>
      <c r="AB334" s="115"/>
      <c r="AC334" s="115"/>
      <c r="AD334" s="115"/>
      <c r="AE334" s="115"/>
      <c r="AF334" s="115"/>
      <c r="AG334" s="115"/>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row>
    <row r="335" spans="2:102">
      <c r="B335" s="3"/>
      <c r="C335" s="3"/>
      <c r="D335" s="3"/>
      <c r="E335" s="3"/>
      <c r="F335" s="3"/>
      <c r="G335" s="3"/>
      <c r="H335" s="3"/>
      <c r="I335" s="3"/>
      <c r="J335" s="3"/>
      <c r="K335" s="3"/>
      <c r="L335" s="3"/>
      <c r="M335" s="3"/>
      <c r="N335" s="3"/>
      <c r="O335" s="3"/>
      <c r="P335" s="3"/>
      <c r="AB335" s="115"/>
      <c r="AC335" s="115"/>
      <c r="AD335" s="115"/>
      <c r="AE335" s="115"/>
      <c r="AF335" s="115"/>
      <c r="AG335" s="115"/>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row>
    <row r="336" spans="2:102">
      <c r="B336" s="3"/>
      <c r="C336" s="3"/>
      <c r="D336" s="3"/>
      <c r="E336" s="3"/>
      <c r="F336" s="3"/>
      <c r="G336" s="3"/>
      <c r="H336" s="3"/>
      <c r="I336" s="3"/>
      <c r="J336" s="3"/>
      <c r="K336" s="3"/>
      <c r="L336" s="3"/>
      <c r="M336" s="3"/>
      <c r="N336" s="3"/>
      <c r="O336" s="3"/>
      <c r="P336" s="3"/>
      <c r="AB336" s="115"/>
      <c r="AC336" s="115"/>
      <c r="AD336" s="115"/>
      <c r="AE336" s="115"/>
      <c r="AF336" s="115"/>
      <c r="AG336" s="115"/>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row>
    <row r="337" spans="2:102">
      <c r="B337" s="3"/>
      <c r="C337" s="3"/>
      <c r="D337" s="3"/>
      <c r="E337" s="3"/>
      <c r="F337" s="3"/>
      <c r="G337" s="3"/>
      <c r="H337" s="3"/>
      <c r="I337" s="3"/>
      <c r="J337" s="3"/>
      <c r="K337" s="3"/>
      <c r="L337" s="3"/>
      <c r="M337" s="3"/>
      <c r="N337" s="3"/>
      <c r="O337" s="3"/>
      <c r="P337" s="3"/>
      <c r="AB337" s="115"/>
      <c r="AC337" s="115"/>
      <c r="AD337" s="115"/>
      <c r="AE337" s="115"/>
      <c r="AF337" s="115"/>
      <c r="AG337" s="115"/>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row>
    <row r="338" spans="2:102">
      <c r="B338" s="3"/>
      <c r="C338" s="3"/>
      <c r="D338" s="3"/>
      <c r="E338" s="3"/>
      <c r="F338" s="3"/>
      <c r="G338" s="3"/>
      <c r="H338" s="3"/>
      <c r="I338" s="3"/>
      <c r="J338" s="3"/>
      <c r="K338" s="3"/>
      <c r="L338" s="3"/>
      <c r="M338" s="3"/>
      <c r="N338" s="3"/>
      <c r="O338" s="3"/>
      <c r="P338" s="3"/>
      <c r="AB338" s="115"/>
      <c r="AC338" s="115"/>
      <c r="AD338" s="115"/>
      <c r="AE338" s="115"/>
      <c r="AF338" s="115"/>
      <c r="AG338" s="115"/>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row>
    <row r="339" spans="2:102">
      <c r="B339" s="3"/>
      <c r="C339" s="3"/>
      <c r="D339" s="3"/>
      <c r="E339" s="3"/>
      <c r="F339" s="3"/>
      <c r="G339" s="3"/>
      <c r="H339" s="3"/>
      <c r="I339" s="3"/>
      <c r="J339" s="3"/>
      <c r="K339" s="3"/>
      <c r="L339" s="3"/>
      <c r="M339" s="3"/>
      <c r="N339" s="3"/>
      <c r="O339" s="3"/>
      <c r="P339" s="3"/>
      <c r="AB339" s="115"/>
      <c r="AC339" s="115"/>
      <c r="AD339" s="115"/>
      <c r="AE339" s="115"/>
      <c r="AF339" s="115"/>
      <c r="AG339" s="115"/>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row>
    <row r="340" spans="2:102">
      <c r="B340" s="3"/>
      <c r="C340" s="3"/>
      <c r="D340" s="3"/>
      <c r="E340" s="3"/>
      <c r="F340" s="3"/>
      <c r="G340" s="3"/>
      <c r="H340" s="3"/>
      <c r="I340" s="3"/>
      <c r="J340" s="3"/>
      <c r="K340" s="3"/>
      <c r="L340" s="3"/>
      <c r="M340" s="3"/>
      <c r="N340" s="3"/>
      <c r="O340" s="3"/>
      <c r="P340" s="3"/>
      <c r="AB340" s="115"/>
      <c r="AC340" s="115"/>
      <c r="AD340" s="115"/>
      <c r="AE340" s="115"/>
      <c r="AF340" s="115"/>
      <c r="AG340" s="115"/>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row>
    <row r="341" spans="2:102">
      <c r="B341" s="3"/>
      <c r="C341" s="3"/>
      <c r="D341" s="3"/>
      <c r="E341" s="3"/>
      <c r="F341" s="3"/>
      <c r="G341" s="3"/>
      <c r="H341" s="3"/>
      <c r="I341" s="3"/>
      <c r="J341" s="3"/>
      <c r="K341" s="3"/>
      <c r="L341" s="3"/>
      <c r="M341" s="3"/>
      <c r="N341" s="3"/>
      <c r="O341" s="3"/>
      <c r="P341" s="3"/>
      <c r="AB341" s="115"/>
      <c r="AC341" s="115"/>
      <c r="AD341" s="115"/>
      <c r="AE341" s="115"/>
      <c r="AF341" s="115"/>
      <c r="AG341" s="115"/>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row>
    <row r="342" spans="2:102">
      <c r="B342" s="3"/>
      <c r="C342" s="3"/>
      <c r="D342" s="3"/>
      <c r="E342" s="3"/>
      <c r="F342" s="3"/>
      <c r="G342" s="3"/>
      <c r="H342" s="3"/>
      <c r="I342" s="3"/>
      <c r="J342" s="3"/>
      <c r="K342" s="3"/>
      <c r="L342" s="3"/>
      <c r="M342" s="3"/>
      <c r="N342" s="3"/>
      <c r="O342" s="3"/>
      <c r="P342" s="3"/>
      <c r="AB342" s="115"/>
      <c r="AC342" s="115"/>
      <c r="AD342" s="115"/>
      <c r="AE342" s="115"/>
      <c r="AF342" s="115"/>
      <c r="AG342" s="115"/>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row>
    <row r="343" spans="2:102">
      <c r="B343" s="3"/>
      <c r="C343" s="3"/>
      <c r="D343" s="3"/>
      <c r="E343" s="3"/>
      <c r="F343" s="3"/>
      <c r="G343" s="3"/>
      <c r="H343" s="3"/>
      <c r="I343" s="3"/>
      <c r="J343" s="3"/>
      <c r="K343" s="3"/>
      <c r="L343" s="3"/>
      <c r="M343" s="3"/>
      <c r="N343" s="3"/>
      <c r="O343" s="3"/>
      <c r="P343" s="3"/>
      <c r="AB343" s="115"/>
      <c r="AC343" s="115"/>
      <c r="AD343" s="115"/>
      <c r="AE343" s="115"/>
      <c r="AF343" s="115"/>
      <c r="AG343" s="115"/>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row>
    <row r="344" spans="2:102">
      <c r="B344" s="3"/>
      <c r="C344" s="3"/>
      <c r="D344" s="3"/>
      <c r="E344" s="3"/>
      <c r="F344" s="3"/>
      <c r="G344" s="3"/>
      <c r="H344" s="3"/>
      <c r="I344" s="3"/>
      <c r="J344" s="3"/>
      <c r="K344" s="3"/>
      <c r="L344" s="3"/>
      <c r="M344" s="3"/>
      <c r="N344" s="3"/>
      <c r="O344" s="3"/>
      <c r="P344" s="3"/>
      <c r="AB344" s="115"/>
      <c r="AC344" s="115"/>
      <c r="AD344" s="115"/>
      <c r="AE344" s="115"/>
      <c r="AF344" s="115"/>
      <c r="AG344" s="115"/>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row>
    <row r="345" spans="2:102">
      <c r="B345" s="3"/>
      <c r="C345" s="3"/>
      <c r="D345" s="3"/>
      <c r="E345" s="3"/>
      <c r="F345" s="3"/>
      <c r="G345" s="3"/>
      <c r="H345" s="3"/>
      <c r="I345" s="3"/>
      <c r="J345" s="3"/>
      <c r="K345" s="3"/>
      <c r="L345" s="3"/>
      <c r="M345" s="3"/>
      <c r="N345" s="3"/>
      <c r="O345" s="3"/>
      <c r="P345" s="3"/>
      <c r="AB345" s="115"/>
      <c r="AC345" s="115"/>
      <c r="AD345" s="115"/>
      <c r="AE345" s="115"/>
      <c r="AF345" s="115"/>
      <c r="AG345" s="115"/>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row>
    <row r="346" spans="2:102">
      <c r="B346" s="3"/>
      <c r="C346" s="3"/>
      <c r="D346" s="3"/>
      <c r="E346" s="3"/>
      <c r="F346" s="3"/>
      <c r="G346" s="3"/>
      <c r="H346" s="3"/>
      <c r="I346" s="3"/>
      <c r="J346" s="3"/>
      <c r="K346" s="3"/>
      <c r="L346" s="3"/>
      <c r="M346" s="3"/>
      <c r="N346" s="3"/>
      <c r="O346" s="3"/>
      <c r="P346" s="3"/>
      <c r="AB346" s="115"/>
      <c r="AC346" s="115"/>
      <c r="AD346" s="115"/>
      <c r="AE346" s="115"/>
      <c r="AF346" s="115"/>
      <c r="AG346" s="115"/>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row>
    <row r="347" spans="2:102">
      <c r="B347" s="3"/>
      <c r="C347" s="3"/>
      <c r="D347" s="3"/>
      <c r="E347" s="3"/>
      <c r="F347" s="3"/>
      <c r="G347" s="3"/>
      <c r="H347" s="3"/>
      <c r="I347" s="3"/>
      <c r="J347" s="3"/>
      <c r="K347" s="3"/>
      <c r="L347" s="3"/>
      <c r="M347" s="3"/>
      <c r="N347" s="3"/>
      <c r="O347" s="3"/>
      <c r="P347" s="3"/>
      <c r="AB347" s="115"/>
      <c r="AC347" s="115"/>
      <c r="AD347" s="115"/>
      <c r="AE347" s="115"/>
      <c r="AF347" s="115"/>
      <c r="AG347" s="115"/>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row>
    <row r="348" spans="2:102">
      <c r="B348" s="3"/>
      <c r="C348" s="3"/>
      <c r="D348" s="3"/>
      <c r="E348" s="3"/>
      <c r="F348" s="3"/>
      <c r="G348" s="3"/>
      <c r="H348" s="3"/>
      <c r="I348" s="3"/>
      <c r="J348" s="3"/>
      <c r="K348" s="3"/>
      <c r="L348" s="3"/>
      <c r="M348" s="3"/>
      <c r="N348" s="3"/>
      <c r="O348" s="3"/>
      <c r="P348" s="3"/>
      <c r="AB348" s="115"/>
      <c r="AC348" s="115"/>
      <c r="AD348" s="115"/>
      <c r="AE348" s="115"/>
      <c r="AF348" s="115"/>
      <c r="AG348" s="115"/>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row>
    <row r="349" spans="2:102">
      <c r="B349" s="3"/>
      <c r="C349" s="3"/>
      <c r="D349" s="3"/>
      <c r="E349" s="3"/>
      <c r="F349" s="3"/>
      <c r="G349" s="3"/>
      <c r="H349" s="3"/>
      <c r="I349" s="3"/>
      <c r="J349" s="3"/>
      <c r="K349" s="3"/>
      <c r="L349" s="3"/>
      <c r="M349" s="3"/>
      <c r="N349" s="3"/>
      <c r="O349" s="3"/>
      <c r="P349" s="3"/>
      <c r="AB349" s="115"/>
      <c r="AC349" s="115"/>
      <c r="AD349" s="115"/>
      <c r="AE349" s="115"/>
      <c r="AF349" s="115"/>
      <c r="AG349" s="115"/>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row>
    <row r="350" spans="2:102">
      <c r="B350" s="3"/>
      <c r="C350" s="3"/>
      <c r="D350" s="3"/>
      <c r="E350" s="3"/>
      <c r="F350" s="3"/>
      <c r="G350" s="3"/>
      <c r="H350" s="3"/>
      <c r="I350" s="3"/>
      <c r="J350" s="3"/>
      <c r="K350" s="3"/>
      <c r="L350" s="3"/>
      <c r="M350" s="3"/>
      <c r="N350" s="3"/>
      <c r="O350" s="3"/>
      <c r="P350" s="3"/>
      <c r="AB350" s="115"/>
      <c r="AC350" s="115"/>
      <c r="AD350" s="115"/>
      <c r="AE350" s="115"/>
      <c r="AF350" s="115"/>
      <c r="AG350" s="115"/>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row>
    <row r="351" spans="2:102">
      <c r="B351" s="3"/>
      <c r="C351" s="3"/>
      <c r="D351" s="3"/>
      <c r="E351" s="3"/>
      <c r="F351" s="3"/>
      <c r="G351" s="3"/>
      <c r="H351" s="3"/>
      <c r="I351" s="3"/>
      <c r="J351" s="3"/>
      <c r="K351" s="3"/>
      <c r="L351" s="3"/>
      <c r="M351" s="3"/>
      <c r="N351" s="3"/>
      <c r="O351" s="3"/>
      <c r="P351" s="3"/>
      <c r="AB351" s="115"/>
      <c r="AC351" s="115"/>
      <c r="AD351" s="115"/>
      <c r="AE351" s="115"/>
      <c r="AF351" s="115"/>
      <c r="AG351" s="115"/>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row>
    <row r="352" spans="2:102">
      <c r="B352" s="3"/>
      <c r="C352" s="3"/>
      <c r="D352" s="3"/>
      <c r="E352" s="3"/>
      <c r="F352" s="3"/>
      <c r="G352" s="3"/>
      <c r="H352" s="3"/>
      <c r="I352" s="3"/>
      <c r="J352" s="3"/>
      <c r="K352" s="3"/>
      <c r="L352" s="3"/>
      <c r="M352" s="3"/>
      <c r="N352" s="3"/>
      <c r="O352" s="3"/>
      <c r="P352" s="3"/>
      <c r="AB352" s="115"/>
      <c r="AC352" s="115"/>
      <c r="AD352" s="115"/>
      <c r="AE352" s="115"/>
      <c r="AF352" s="115"/>
      <c r="AG352" s="115"/>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row>
    <row r="353" spans="2:102">
      <c r="B353" s="3"/>
      <c r="C353" s="3"/>
      <c r="D353" s="3"/>
      <c r="E353" s="3"/>
      <c r="F353" s="3"/>
      <c r="G353" s="3"/>
      <c r="H353" s="3"/>
      <c r="I353" s="3"/>
      <c r="J353" s="3"/>
      <c r="K353" s="3"/>
      <c r="L353" s="3"/>
      <c r="M353" s="3"/>
      <c r="N353" s="3"/>
      <c r="O353" s="3"/>
      <c r="P353" s="3"/>
      <c r="AB353" s="115"/>
      <c r="AC353" s="115"/>
      <c r="AD353" s="115"/>
      <c r="AE353" s="115"/>
      <c r="AF353" s="115"/>
      <c r="AG353" s="115"/>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row>
    <row r="354" spans="2:102">
      <c r="B354" s="3"/>
      <c r="C354" s="3"/>
      <c r="D354" s="3"/>
      <c r="E354" s="3"/>
      <c r="F354" s="3"/>
      <c r="G354" s="3"/>
      <c r="H354" s="3"/>
      <c r="I354" s="3"/>
      <c r="J354" s="3"/>
      <c r="K354" s="3"/>
      <c r="L354" s="3"/>
      <c r="M354" s="3"/>
      <c r="N354" s="3"/>
      <c r="O354" s="3"/>
      <c r="P354" s="3"/>
      <c r="AB354" s="115"/>
      <c r="AC354" s="115"/>
      <c r="AD354" s="115"/>
      <c r="AE354" s="115"/>
      <c r="AF354" s="115"/>
      <c r="AG354" s="115"/>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row>
    <row r="355" spans="2:102">
      <c r="B355" s="3"/>
      <c r="C355" s="3"/>
      <c r="D355" s="3"/>
      <c r="E355" s="3"/>
      <c r="F355" s="3"/>
      <c r="G355" s="3"/>
      <c r="H355" s="3"/>
      <c r="I355" s="3"/>
      <c r="J355" s="3"/>
      <c r="K355" s="3"/>
      <c r="L355" s="3"/>
      <c r="M355" s="3"/>
      <c r="N355" s="3"/>
      <c r="O355" s="3"/>
      <c r="P355" s="3"/>
      <c r="AB355" s="115"/>
      <c r="AC355" s="115"/>
      <c r="AD355" s="115"/>
      <c r="AE355" s="115"/>
      <c r="AF355" s="115"/>
      <c r="AG355" s="115"/>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row>
    <row r="356" spans="2:102">
      <c r="B356" s="3"/>
      <c r="C356" s="3"/>
      <c r="D356" s="3"/>
      <c r="E356" s="3"/>
      <c r="F356" s="3"/>
      <c r="G356" s="3"/>
      <c r="H356" s="3"/>
      <c r="I356" s="3"/>
      <c r="J356" s="3"/>
      <c r="K356" s="3"/>
      <c r="L356" s="3"/>
      <c r="M356" s="3"/>
      <c r="N356" s="3"/>
      <c r="O356" s="3"/>
      <c r="P356" s="3"/>
      <c r="AB356" s="115"/>
      <c r="AC356" s="115"/>
      <c r="AD356" s="115"/>
      <c r="AE356" s="115"/>
      <c r="AF356" s="115"/>
      <c r="AG356" s="115"/>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row>
    <row r="357" spans="2:102">
      <c r="B357" s="3"/>
      <c r="C357" s="3"/>
      <c r="D357" s="3"/>
      <c r="E357" s="3"/>
      <c r="F357" s="3"/>
      <c r="G357" s="3"/>
      <c r="H357" s="3"/>
      <c r="I357" s="3"/>
      <c r="J357" s="3"/>
      <c r="K357" s="3"/>
      <c r="L357" s="3"/>
      <c r="M357" s="3"/>
      <c r="N357" s="3"/>
      <c r="O357" s="3"/>
      <c r="P357" s="3"/>
      <c r="AB357" s="115"/>
      <c r="AC357" s="115"/>
      <c r="AD357" s="115"/>
      <c r="AE357" s="115"/>
      <c r="AF357" s="115"/>
      <c r="AG357" s="115"/>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row>
    <row r="358" spans="2:102">
      <c r="B358" s="3"/>
      <c r="C358" s="3"/>
      <c r="D358" s="3"/>
      <c r="E358" s="3"/>
      <c r="F358" s="3"/>
      <c r="G358" s="3"/>
      <c r="H358" s="3"/>
      <c r="I358" s="3"/>
      <c r="J358" s="3"/>
      <c r="K358" s="3"/>
      <c r="L358" s="3"/>
      <c r="M358" s="3"/>
      <c r="N358" s="3"/>
      <c r="O358" s="3"/>
      <c r="P358" s="3"/>
      <c r="AB358" s="115"/>
      <c r="AC358" s="115"/>
      <c r="AD358" s="115"/>
      <c r="AE358" s="115"/>
      <c r="AF358" s="115"/>
      <c r="AG358" s="115"/>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row>
    <row r="359" spans="2:102">
      <c r="B359" s="3"/>
      <c r="C359" s="3"/>
      <c r="D359" s="3"/>
      <c r="E359" s="3"/>
      <c r="F359" s="3"/>
      <c r="G359" s="3"/>
      <c r="H359" s="3"/>
      <c r="I359" s="3"/>
      <c r="J359" s="3"/>
      <c r="K359" s="3"/>
      <c r="L359" s="3"/>
      <c r="M359" s="3"/>
      <c r="N359" s="3"/>
      <c r="O359" s="3"/>
      <c r="P359" s="3"/>
      <c r="AB359" s="115"/>
      <c r="AC359" s="115"/>
      <c r="AD359" s="115"/>
      <c r="AE359" s="115"/>
      <c r="AF359" s="115"/>
      <c r="AG359" s="115"/>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row>
    <row r="360" spans="2:102">
      <c r="B360" s="3"/>
      <c r="C360" s="3"/>
      <c r="D360" s="3"/>
      <c r="E360" s="3"/>
      <c r="F360" s="3"/>
      <c r="G360" s="3"/>
      <c r="H360" s="3"/>
      <c r="I360" s="3"/>
      <c r="J360" s="3"/>
      <c r="K360" s="3"/>
      <c r="L360" s="3"/>
      <c r="M360" s="3"/>
      <c r="N360" s="3"/>
      <c r="O360" s="3"/>
      <c r="P360" s="3"/>
      <c r="AB360" s="115"/>
      <c r="AC360" s="115"/>
      <c r="AD360" s="115"/>
      <c r="AE360" s="115"/>
      <c r="AF360" s="115"/>
      <c r="AG360" s="115"/>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row>
    <row r="361" spans="2:102">
      <c r="B361" s="3"/>
      <c r="C361" s="3"/>
      <c r="D361" s="3"/>
      <c r="E361" s="3"/>
      <c r="F361" s="3"/>
      <c r="G361" s="3"/>
      <c r="H361" s="3"/>
      <c r="I361" s="3"/>
      <c r="J361" s="3"/>
      <c r="K361" s="3"/>
      <c r="L361" s="3"/>
      <c r="M361" s="3"/>
      <c r="N361" s="3"/>
      <c r="O361" s="3"/>
      <c r="P361" s="3"/>
      <c r="AB361" s="115"/>
      <c r="AC361" s="115"/>
      <c r="AD361" s="115"/>
      <c r="AE361" s="115"/>
      <c r="AF361" s="115"/>
      <c r="AG361" s="115"/>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row>
    <row r="362" spans="2:102">
      <c r="B362" s="3"/>
      <c r="C362" s="3"/>
      <c r="D362" s="3"/>
      <c r="E362" s="3"/>
      <c r="F362" s="3"/>
      <c r="G362" s="3"/>
      <c r="H362" s="3"/>
      <c r="I362" s="3"/>
      <c r="J362" s="3"/>
      <c r="K362" s="3"/>
      <c r="L362" s="3"/>
      <c r="M362" s="3"/>
      <c r="N362" s="3"/>
      <c r="O362" s="3"/>
      <c r="P362" s="3"/>
      <c r="AB362" s="115"/>
      <c r="AC362" s="115"/>
      <c r="AD362" s="115"/>
      <c r="AE362" s="115"/>
      <c r="AF362" s="115"/>
      <c r="AG362" s="115"/>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row>
    <row r="363" spans="2:102">
      <c r="B363" s="3"/>
      <c r="C363" s="3"/>
      <c r="D363" s="3"/>
      <c r="E363" s="3"/>
      <c r="F363" s="3"/>
      <c r="G363" s="3"/>
      <c r="H363" s="3"/>
      <c r="I363" s="3"/>
      <c r="J363" s="3"/>
      <c r="K363" s="3"/>
      <c r="L363" s="3"/>
      <c r="M363" s="3"/>
      <c r="N363" s="3"/>
      <c r="O363" s="3"/>
      <c r="P363" s="3"/>
      <c r="AB363" s="115"/>
      <c r="AC363" s="115"/>
      <c r="AD363" s="115"/>
      <c r="AE363" s="115"/>
      <c r="AF363" s="115"/>
      <c r="AG363" s="115"/>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row>
    <row r="364" spans="2:102">
      <c r="B364" s="3"/>
      <c r="C364" s="3"/>
      <c r="D364" s="3"/>
      <c r="E364" s="3"/>
      <c r="F364" s="3"/>
      <c r="G364" s="3"/>
      <c r="H364" s="3"/>
      <c r="I364" s="3"/>
      <c r="J364" s="3"/>
      <c r="K364" s="3"/>
      <c r="L364" s="3"/>
      <c r="M364" s="3"/>
      <c r="N364" s="3"/>
      <c r="O364" s="3"/>
      <c r="P364" s="3"/>
      <c r="AB364" s="115"/>
      <c r="AC364" s="115"/>
      <c r="AD364" s="115"/>
      <c r="AE364" s="115"/>
      <c r="AF364" s="115"/>
      <c r="AG364" s="115"/>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row>
    <row r="365" spans="2:102">
      <c r="B365" s="3"/>
      <c r="C365" s="3"/>
      <c r="D365" s="3"/>
      <c r="E365" s="3"/>
      <c r="F365" s="3"/>
      <c r="G365" s="3"/>
      <c r="H365" s="3"/>
      <c r="I365" s="3"/>
      <c r="J365" s="3"/>
      <c r="K365" s="3"/>
      <c r="L365" s="3"/>
      <c r="M365" s="3"/>
      <c r="N365" s="3"/>
      <c r="O365" s="3"/>
      <c r="P365" s="3"/>
      <c r="AB365" s="115"/>
      <c r="AC365" s="115"/>
      <c r="AD365" s="115"/>
      <c r="AE365" s="115"/>
      <c r="AF365" s="115"/>
      <c r="AG365" s="115"/>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row>
    <row r="366" spans="2:102">
      <c r="B366" s="3"/>
      <c r="C366" s="3"/>
      <c r="D366" s="3"/>
      <c r="E366" s="3"/>
      <c r="F366" s="3"/>
      <c r="G366" s="3"/>
      <c r="H366" s="3"/>
      <c r="I366" s="3"/>
      <c r="J366" s="3"/>
      <c r="K366" s="3"/>
      <c r="L366" s="3"/>
      <c r="M366" s="3"/>
      <c r="N366" s="3"/>
      <c r="O366" s="3"/>
      <c r="P366" s="3"/>
      <c r="AB366" s="115"/>
      <c r="AC366" s="115"/>
      <c r="AD366" s="115"/>
      <c r="AE366" s="115"/>
      <c r="AF366" s="115"/>
      <c r="AG366" s="115"/>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row>
    <row r="367" spans="2:102">
      <c r="B367" s="3"/>
      <c r="C367" s="3"/>
      <c r="D367" s="3"/>
      <c r="E367" s="3"/>
      <c r="F367" s="3"/>
      <c r="G367" s="3"/>
      <c r="H367" s="3"/>
      <c r="I367" s="3"/>
      <c r="J367" s="3"/>
      <c r="K367" s="3"/>
      <c r="L367" s="3"/>
      <c r="M367" s="3"/>
      <c r="N367" s="3"/>
      <c r="O367" s="3"/>
      <c r="P367" s="3"/>
      <c r="AB367" s="115"/>
      <c r="AC367" s="115"/>
      <c r="AD367" s="115"/>
      <c r="AE367" s="115"/>
      <c r="AF367" s="115"/>
      <c r="AG367" s="115"/>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row>
    <row r="368" spans="2:102">
      <c r="B368" s="3"/>
      <c r="C368" s="3"/>
      <c r="D368" s="3"/>
      <c r="E368" s="3"/>
      <c r="F368" s="3"/>
      <c r="G368" s="3"/>
      <c r="H368" s="3"/>
      <c r="I368" s="3"/>
      <c r="J368" s="3"/>
      <c r="K368" s="3"/>
      <c r="L368" s="3"/>
      <c r="M368" s="3"/>
      <c r="N368" s="3"/>
      <c r="O368" s="3"/>
      <c r="P368" s="3"/>
      <c r="AB368" s="115"/>
      <c r="AC368" s="115"/>
      <c r="AD368" s="115"/>
      <c r="AE368" s="115"/>
      <c r="AF368" s="115"/>
      <c r="AG368" s="115"/>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row>
    <row r="369" spans="2:102">
      <c r="B369" s="3"/>
      <c r="C369" s="3"/>
      <c r="D369" s="3"/>
      <c r="E369" s="3"/>
      <c r="F369" s="3"/>
      <c r="G369" s="3"/>
      <c r="H369" s="3"/>
      <c r="I369" s="3"/>
      <c r="J369" s="3"/>
      <c r="K369" s="3"/>
      <c r="L369" s="3"/>
      <c r="M369" s="3"/>
      <c r="N369" s="3"/>
      <c r="O369" s="3"/>
      <c r="P369" s="3"/>
      <c r="AB369" s="115"/>
      <c r="AC369" s="115"/>
      <c r="AD369" s="115"/>
      <c r="AE369" s="115"/>
      <c r="AF369" s="115"/>
      <c r="AG369" s="115"/>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row>
    <row r="370" spans="2:102">
      <c r="B370" s="3"/>
      <c r="C370" s="3"/>
      <c r="D370" s="3"/>
      <c r="E370" s="3"/>
      <c r="F370" s="3"/>
      <c r="G370" s="3"/>
      <c r="H370" s="3"/>
      <c r="I370" s="3"/>
      <c r="J370" s="3"/>
      <c r="K370" s="3"/>
      <c r="L370" s="3"/>
      <c r="M370" s="3"/>
      <c r="N370" s="3"/>
      <c r="O370" s="3"/>
      <c r="P370" s="3"/>
      <c r="AB370" s="115"/>
      <c r="AC370" s="115"/>
      <c r="AD370" s="115"/>
      <c r="AE370" s="115"/>
      <c r="AF370" s="115"/>
      <c r="AG370" s="115"/>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row>
    <row r="371" spans="2:102">
      <c r="AB371" s="115"/>
      <c r="AC371" s="115"/>
      <c r="AD371" s="115"/>
      <c r="AE371" s="115"/>
      <c r="AF371" s="115"/>
      <c r="AG371" s="115"/>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row>
    <row r="372" spans="2:102">
      <c r="AB372" s="115"/>
      <c r="AC372" s="115"/>
      <c r="AD372" s="115"/>
      <c r="AE372" s="115"/>
      <c r="AF372" s="115"/>
      <c r="AG372" s="115"/>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row>
    <row r="373" spans="2:102">
      <c r="AB373" s="115"/>
      <c r="AC373" s="115"/>
      <c r="AD373" s="115"/>
      <c r="AE373" s="115"/>
      <c r="AF373" s="115"/>
      <c r="AG373" s="115"/>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row>
    <row r="374" spans="2:102">
      <c r="AB374" s="115"/>
      <c r="AC374" s="115"/>
      <c r="AD374" s="115"/>
      <c r="AE374" s="115"/>
      <c r="AF374" s="115"/>
      <c r="AG374" s="115"/>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row>
    <row r="375" spans="2:102">
      <c r="AB375" s="115"/>
      <c r="AC375" s="115"/>
      <c r="AD375" s="115"/>
      <c r="AE375" s="115"/>
      <c r="AF375" s="115"/>
      <c r="AG375" s="115"/>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row>
    <row r="376" spans="2:102">
      <c r="AB376" s="115"/>
      <c r="AC376" s="115"/>
      <c r="AD376" s="115"/>
      <c r="AE376" s="115"/>
      <c r="AF376" s="115"/>
      <c r="AG376" s="115"/>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row>
    <row r="377" spans="2:102">
      <c r="AB377" s="115"/>
      <c r="AC377" s="115"/>
      <c r="AD377" s="115"/>
      <c r="AE377" s="115"/>
      <c r="AF377" s="115"/>
      <c r="AG377" s="115"/>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row>
    <row r="378" spans="2:102">
      <c r="AB378" s="115"/>
      <c r="AC378" s="115"/>
      <c r="AD378" s="115"/>
      <c r="AE378" s="115"/>
      <c r="AF378" s="115"/>
      <c r="AG378" s="115"/>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row>
    <row r="379" spans="2:102">
      <c r="AB379" s="115"/>
      <c r="AC379" s="115"/>
      <c r="AD379" s="115"/>
      <c r="AE379" s="115"/>
      <c r="AF379" s="115"/>
      <c r="AG379" s="115"/>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row>
    <row r="380" spans="2:102">
      <c r="AB380" s="115"/>
      <c r="AC380" s="115"/>
      <c r="AD380" s="115"/>
      <c r="AE380" s="115"/>
      <c r="AF380" s="115"/>
      <c r="AG380" s="115"/>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row>
    <row r="381" spans="2:102">
      <c r="AB381" s="115"/>
      <c r="AC381" s="115"/>
      <c r="AD381" s="115"/>
      <c r="AE381" s="115"/>
      <c r="AF381" s="115"/>
      <c r="AG381" s="115"/>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row>
    <row r="382" spans="2:102">
      <c r="AB382" s="115"/>
      <c r="AC382" s="115"/>
      <c r="AD382" s="115"/>
      <c r="AE382" s="115"/>
      <c r="AF382" s="115"/>
      <c r="AG382" s="115"/>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row>
    <row r="383" spans="2:102">
      <c r="AB383" s="115"/>
      <c r="AC383" s="115"/>
      <c r="AD383" s="115"/>
      <c r="AE383" s="115"/>
      <c r="AF383" s="115"/>
      <c r="AG383" s="115"/>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row>
    <row r="384" spans="2:102">
      <c r="AB384" s="115"/>
      <c r="AC384" s="115"/>
      <c r="AD384" s="115"/>
      <c r="AE384" s="115"/>
      <c r="AF384" s="115"/>
      <c r="AG384" s="115"/>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row>
    <row r="385" spans="28:102">
      <c r="AB385" s="115"/>
      <c r="AC385" s="115"/>
      <c r="AD385" s="115"/>
      <c r="AE385" s="115"/>
      <c r="AF385" s="115"/>
      <c r="AG385" s="115"/>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row>
    <row r="386" spans="28:102">
      <c r="AB386" s="115"/>
      <c r="AC386" s="115"/>
      <c r="AD386" s="115"/>
      <c r="AE386" s="115"/>
      <c r="AF386" s="115"/>
      <c r="AG386" s="115"/>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row>
    <row r="387" spans="28:102">
      <c r="AB387" s="115"/>
      <c r="AC387" s="115"/>
      <c r="AD387" s="115"/>
      <c r="AE387" s="115"/>
      <c r="AF387" s="115"/>
      <c r="AG387" s="115"/>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row>
    <row r="388" spans="28:102">
      <c r="AB388" s="115"/>
      <c r="AC388" s="115"/>
      <c r="AD388" s="115"/>
      <c r="AE388" s="115"/>
      <c r="AF388" s="115"/>
      <c r="AG388" s="115"/>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row>
    <row r="389" spans="28:102">
      <c r="AB389" s="115"/>
      <c r="AC389" s="115"/>
      <c r="AD389" s="115"/>
      <c r="AE389" s="115"/>
      <c r="AF389" s="115"/>
      <c r="AG389" s="115"/>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row>
    <row r="390" spans="28:102">
      <c r="AB390" s="115"/>
      <c r="AC390" s="115"/>
      <c r="AD390" s="115"/>
      <c r="AE390" s="115"/>
      <c r="AF390" s="115"/>
      <c r="AG390" s="115"/>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row>
    <row r="391" spans="28:102">
      <c r="AB391" s="115"/>
      <c r="AC391" s="115"/>
      <c r="AD391" s="115"/>
      <c r="AE391" s="115"/>
      <c r="AF391" s="115"/>
      <c r="AG391" s="115"/>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row>
    <row r="392" spans="28:102">
      <c r="AB392" s="115"/>
      <c r="AC392" s="115"/>
      <c r="AD392" s="115"/>
      <c r="AE392" s="115"/>
      <c r="AF392" s="115"/>
      <c r="AG392" s="115"/>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row>
    <row r="393" spans="28:102">
      <c r="AB393" s="115"/>
      <c r="AC393" s="115"/>
      <c r="AD393" s="115"/>
      <c r="AE393" s="115"/>
      <c r="AF393" s="115"/>
      <c r="AG393" s="115"/>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row>
    <row r="394" spans="28:102">
      <c r="AB394" s="115"/>
      <c r="AC394" s="115"/>
      <c r="AD394" s="115"/>
      <c r="AE394" s="115"/>
      <c r="AF394" s="115"/>
      <c r="AG394" s="115"/>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row>
    <row r="395" spans="28:102">
      <c r="AB395" s="115"/>
      <c r="AC395" s="115"/>
      <c r="AD395" s="115"/>
      <c r="AE395" s="115"/>
      <c r="AF395" s="115"/>
      <c r="AG395" s="115"/>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row>
    <row r="396" spans="28:102">
      <c r="AB396" s="115"/>
      <c r="AC396" s="115"/>
      <c r="AD396" s="115"/>
      <c r="AE396" s="115"/>
      <c r="AF396" s="115"/>
      <c r="AG396" s="115"/>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row>
    <row r="397" spans="28:102">
      <c r="AB397" s="115"/>
      <c r="AC397" s="115"/>
      <c r="AD397" s="115"/>
      <c r="AE397" s="115"/>
      <c r="AF397" s="115"/>
      <c r="AG397" s="115"/>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row>
    <row r="398" spans="28:102">
      <c r="AB398" s="115"/>
      <c r="AC398" s="115"/>
      <c r="AD398" s="115"/>
      <c r="AE398" s="115"/>
      <c r="AF398" s="115"/>
      <c r="AG398" s="115"/>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row>
    <row r="399" spans="28:102">
      <c r="AB399" s="115"/>
      <c r="AC399" s="115"/>
      <c r="AD399" s="115"/>
      <c r="AE399" s="115"/>
      <c r="AF399" s="115"/>
      <c r="AG399" s="115"/>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row>
    <row r="400" spans="28:102">
      <c r="AB400" s="115"/>
      <c r="AC400" s="115"/>
      <c r="AD400" s="115"/>
      <c r="AE400" s="115"/>
      <c r="AF400" s="115"/>
      <c r="AG400" s="115"/>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row>
    <row r="401" spans="28:102">
      <c r="AB401" s="115"/>
      <c r="AC401" s="115"/>
      <c r="AD401" s="115"/>
      <c r="AE401" s="115"/>
      <c r="AF401" s="115"/>
      <c r="AG401" s="115"/>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row>
    <row r="402" spans="28:102">
      <c r="AB402" s="115"/>
      <c r="AC402" s="115"/>
      <c r="AD402" s="115"/>
      <c r="AE402" s="115"/>
      <c r="AF402" s="115"/>
      <c r="AG402" s="115"/>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row>
    <row r="403" spans="28:102">
      <c r="AB403" s="115"/>
      <c r="AC403" s="115"/>
      <c r="AD403" s="115"/>
      <c r="AE403" s="115"/>
      <c r="AF403" s="115"/>
      <c r="AG403" s="115"/>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row>
    <row r="404" spans="28:102">
      <c r="AB404" s="115"/>
      <c r="AC404" s="115"/>
      <c r="AD404" s="115"/>
      <c r="AE404" s="115"/>
      <c r="AF404" s="115"/>
      <c r="AG404" s="115"/>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row>
    <row r="405" spans="28:102">
      <c r="AB405" s="115"/>
      <c r="AC405" s="115"/>
      <c r="AD405" s="115"/>
      <c r="AE405" s="115"/>
      <c r="AF405" s="115"/>
      <c r="AG405" s="115"/>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row>
    <row r="406" spans="28:102">
      <c r="AB406" s="115"/>
      <c r="AC406" s="115"/>
      <c r="AD406" s="115"/>
      <c r="AE406" s="115"/>
      <c r="AF406" s="115"/>
      <c r="AG406" s="115"/>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row>
    <row r="407" spans="28:102">
      <c r="AB407" s="115"/>
      <c r="AC407" s="115"/>
      <c r="AD407" s="115"/>
      <c r="AE407" s="115"/>
      <c r="AF407" s="115"/>
      <c r="AG407" s="115"/>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row>
    <row r="408" spans="28:102">
      <c r="AB408" s="115"/>
      <c r="AC408" s="115"/>
      <c r="AD408" s="115"/>
      <c r="AE408" s="115"/>
      <c r="AF408" s="115"/>
      <c r="AG408" s="115"/>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row>
    <row r="409" spans="28:102">
      <c r="AB409" s="115"/>
      <c r="AC409" s="115"/>
      <c r="AD409" s="115"/>
      <c r="AE409" s="115"/>
      <c r="AF409" s="115"/>
      <c r="AG409" s="115"/>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row>
    <row r="410" spans="28:102">
      <c r="AB410" s="115"/>
      <c r="AC410" s="115"/>
      <c r="AD410" s="115"/>
      <c r="AE410" s="115"/>
      <c r="AF410" s="115"/>
      <c r="AG410" s="115"/>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row>
    <row r="411" spans="28:102">
      <c r="AB411" s="115"/>
      <c r="AC411" s="115"/>
      <c r="AD411" s="115"/>
      <c r="AE411" s="115"/>
      <c r="AF411" s="115"/>
      <c r="AG411" s="115"/>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row>
    <row r="412" spans="28:102">
      <c r="AB412" s="115"/>
      <c r="AC412" s="115"/>
      <c r="AD412" s="115"/>
      <c r="AE412" s="115"/>
      <c r="AF412" s="115"/>
      <c r="AG412" s="115"/>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row>
    <row r="413" spans="28:102">
      <c r="AB413" s="115"/>
      <c r="AC413" s="115"/>
      <c r="AD413" s="115"/>
      <c r="AE413" s="115"/>
      <c r="AF413" s="115"/>
      <c r="AG413" s="115"/>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row>
    <row r="414" spans="28:102">
      <c r="AB414" s="115"/>
      <c r="AC414" s="115"/>
      <c r="AD414" s="115"/>
      <c r="AE414" s="115"/>
      <c r="AF414" s="115"/>
      <c r="AG414" s="115"/>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row>
    <row r="415" spans="28:102">
      <c r="AB415" s="115"/>
      <c r="AC415" s="115"/>
      <c r="AD415" s="115"/>
      <c r="AE415" s="115"/>
      <c r="AF415" s="115"/>
      <c r="AG415" s="115"/>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row>
    <row r="416" spans="28:102">
      <c r="AB416" s="115"/>
      <c r="AC416" s="115"/>
      <c r="AD416" s="115"/>
      <c r="AE416" s="115"/>
      <c r="AF416" s="115"/>
      <c r="AG416" s="115"/>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row>
    <row r="417" spans="28:102">
      <c r="AB417" s="115"/>
      <c r="AC417" s="115"/>
      <c r="AD417" s="115"/>
      <c r="AE417" s="115"/>
      <c r="AF417" s="115"/>
      <c r="AG417" s="115"/>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row>
    <row r="418" spans="28:102">
      <c r="AB418" s="115"/>
      <c r="AC418" s="115"/>
      <c r="AD418" s="115"/>
      <c r="AE418" s="115"/>
      <c r="AF418" s="115"/>
      <c r="AG418" s="115"/>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row>
    <row r="419" spans="28:102">
      <c r="AB419" s="115"/>
      <c r="AC419" s="115"/>
      <c r="AD419" s="115"/>
      <c r="AE419" s="115"/>
      <c r="AF419" s="115"/>
      <c r="AG419" s="115"/>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row>
    <row r="420" spans="28:102">
      <c r="AB420" s="115"/>
      <c r="AC420" s="115"/>
      <c r="AD420" s="115"/>
      <c r="AE420" s="115"/>
      <c r="AF420" s="115"/>
      <c r="AG420" s="115"/>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row>
    <row r="421" spans="28:102">
      <c r="AB421" s="115"/>
      <c r="AC421" s="115"/>
      <c r="AD421" s="115"/>
      <c r="AE421" s="115"/>
      <c r="AF421" s="115"/>
      <c r="AG421" s="115"/>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row>
    <row r="422" spans="28:102">
      <c r="AB422" s="115"/>
      <c r="AC422" s="115"/>
      <c r="AD422" s="115"/>
      <c r="AE422" s="115"/>
      <c r="AF422" s="115"/>
      <c r="AG422" s="115"/>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row>
    <row r="423" spans="28:102">
      <c r="AB423" s="115"/>
      <c r="AC423" s="115"/>
      <c r="AD423" s="115"/>
      <c r="AE423" s="115"/>
      <c r="AF423" s="115"/>
      <c r="AG423" s="115"/>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row>
    <row r="424" spans="28:102">
      <c r="AB424" s="115"/>
      <c r="AC424" s="115"/>
      <c r="AD424" s="115"/>
      <c r="AE424" s="115"/>
      <c r="AF424" s="115"/>
      <c r="AG424" s="115"/>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row>
    <row r="425" spans="28:102">
      <c r="AB425" s="115"/>
      <c r="AC425" s="115"/>
      <c r="AD425" s="115"/>
      <c r="AE425" s="115"/>
      <c r="AF425" s="115"/>
      <c r="AG425" s="115"/>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row>
    <row r="426" spans="28:102">
      <c r="AB426" s="115"/>
      <c r="AC426" s="115"/>
      <c r="AD426" s="115"/>
      <c r="AE426" s="115"/>
      <c r="AF426" s="115"/>
      <c r="AG426" s="115"/>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row>
    <row r="427" spans="28:102">
      <c r="AB427" s="115"/>
      <c r="AC427" s="115"/>
      <c r="AD427" s="115"/>
      <c r="AE427" s="115"/>
      <c r="AF427" s="115"/>
      <c r="AG427" s="115"/>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row>
    <row r="428" spans="28:102">
      <c r="AB428" s="115"/>
      <c r="AC428" s="115"/>
      <c r="AD428" s="115"/>
      <c r="AE428" s="115"/>
      <c r="AF428" s="115"/>
      <c r="AG428" s="115"/>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row>
    <row r="429" spans="28:102">
      <c r="AB429" s="115"/>
      <c r="AC429" s="115"/>
      <c r="AD429" s="115"/>
      <c r="AE429" s="115"/>
      <c r="AF429" s="115"/>
      <c r="AG429" s="115"/>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row>
    <row r="430" spans="28:102">
      <c r="AB430" s="115"/>
      <c r="AC430" s="115"/>
      <c r="AD430" s="115"/>
      <c r="AE430" s="115"/>
      <c r="AF430" s="115"/>
      <c r="AG430" s="115"/>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row>
    <row r="431" spans="28:102">
      <c r="AB431" s="115"/>
      <c r="AC431" s="115"/>
      <c r="AD431" s="115"/>
      <c r="AE431" s="115"/>
      <c r="AF431" s="115"/>
      <c r="AG431" s="115"/>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row>
    <row r="432" spans="28:102">
      <c r="AB432" s="115"/>
      <c r="AC432" s="115"/>
      <c r="AD432" s="115"/>
      <c r="AE432" s="115"/>
      <c r="AF432" s="115"/>
      <c r="AG432" s="115"/>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row>
    <row r="433" spans="28:102">
      <c r="AB433" s="115"/>
      <c r="AC433" s="115"/>
      <c r="AD433" s="115"/>
      <c r="AE433" s="115"/>
      <c r="AF433" s="115"/>
      <c r="AG433" s="115"/>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row>
    <row r="434" spans="28:102">
      <c r="AB434" s="115"/>
      <c r="AC434" s="115"/>
      <c r="AD434" s="115"/>
      <c r="AE434" s="115"/>
      <c r="AF434" s="115"/>
      <c r="AG434" s="115"/>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row>
    <row r="435" spans="28:102">
      <c r="AB435" s="115"/>
      <c r="AC435" s="115"/>
      <c r="AD435" s="115"/>
      <c r="AE435" s="115"/>
      <c r="AF435" s="115"/>
      <c r="AG435" s="115"/>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row>
    <row r="436" spans="28:102">
      <c r="AB436" s="115"/>
      <c r="AC436" s="115"/>
      <c r="AD436" s="115"/>
      <c r="AE436" s="115"/>
      <c r="AF436" s="115"/>
      <c r="AG436" s="115"/>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row>
    <row r="437" spans="28:102">
      <c r="AB437" s="115"/>
      <c r="AC437" s="115"/>
      <c r="AD437" s="115"/>
      <c r="AE437" s="115"/>
      <c r="AF437" s="115"/>
      <c r="AG437" s="115"/>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row>
    <row r="438" spans="28:102">
      <c r="AB438" s="115"/>
      <c r="AC438" s="115"/>
      <c r="AD438" s="115"/>
      <c r="AE438" s="115"/>
      <c r="AF438" s="115"/>
      <c r="AG438" s="115"/>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row>
    <row r="439" spans="28:102">
      <c r="AB439" s="115"/>
      <c r="AC439" s="115"/>
      <c r="AD439" s="115"/>
      <c r="AE439" s="115"/>
      <c r="AF439" s="115"/>
      <c r="AG439" s="115"/>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row>
    <row r="440" spans="28:102">
      <c r="AB440" s="115"/>
      <c r="AC440" s="115"/>
      <c r="AD440" s="115"/>
      <c r="AE440" s="115"/>
      <c r="AF440" s="115"/>
      <c r="AG440" s="115"/>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row>
    <row r="441" spans="28:102">
      <c r="AB441" s="115"/>
      <c r="AC441" s="115"/>
      <c r="AD441" s="115"/>
      <c r="AE441" s="115"/>
      <c r="AF441" s="115"/>
      <c r="AG441" s="115"/>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row>
    <row r="442" spans="28:102">
      <c r="AB442" s="115"/>
      <c r="AC442" s="115"/>
      <c r="AD442" s="115"/>
      <c r="AE442" s="115"/>
      <c r="AF442" s="115"/>
      <c r="AG442" s="115"/>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row>
    <row r="443" spans="28:102">
      <c r="AB443" s="115"/>
      <c r="AC443" s="115"/>
      <c r="AD443" s="115"/>
      <c r="AE443" s="115"/>
      <c r="AF443" s="115"/>
      <c r="AG443" s="115"/>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row>
    <row r="444" spans="28:102">
      <c r="AB444" s="115"/>
      <c r="AC444" s="115"/>
      <c r="AD444" s="115"/>
      <c r="AE444" s="115"/>
      <c r="AF444" s="115"/>
      <c r="AG444" s="115"/>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row>
    <row r="445" spans="28:102">
      <c r="AB445" s="115"/>
      <c r="AC445" s="115"/>
      <c r="AD445" s="115"/>
      <c r="AE445" s="115"/>
      <c r="AF445" s="115"/>
      <c r="AG445" s="115"/>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row>
    <row r="446" spans="28:102">
      <c r="AB446" s="115"/>
      <c r="AC446" s="115"/>
      <c r="AD446" s="115"/>
      <c r="AE446" s="115"/>
      <c r="AF446" s="115"/>
      <c r="AG446" s="115"/>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row>
    <row r="447" spans="28:102">
      <c r="AB447" s="115"/>
      <c r="AC447" s="115"/>
      <c r="AD447" s="115"/>
      <c r="AE447" s="115"/>
      <c r="AF447" s="115"/>
      <c r="AG447" s="115"/>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row>
    <row r="448" spans="28:102">
      <c r="AB448" s="115"/>
      <c r="AC448" s="115"/>
      <c r="AD448" s="115"/>
      <c r="AE448" s="115"/>
      <c r="AF448" s="115"/>
      <c r="AG448" s="115"/>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row>
    <row r="449" spans="28:102">
      <c r="AB449" s="115"/>
      <c r="AC449" s="115"/>
      <c r="AD449" s="115"/>
      <c r="AE449" s="115"/>
      <c r="AF449" s="115"/>
      <c r="AG449" s="115"/>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row>
    <row r="450" spans="28:102">
      <c r="AB450" s="115"/>
      <c r="AC450" s="115"/>
      <c r="AD450" s="115"/>
      <c r="AE450" s="115"/>
      <c r="AF450" s="115"/>
      <c r="AG450" s="115"/>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row>
    <row r="451" spans="28:102">
      <c r="AB451" s="115"/>
      <c r="AC451" s="115"/>
      <c r="AD451" s="115"/>
      <c r="AE451" s="115"/>
      <c r="AF451" s="115"/>
      <c r="AG451" s="115"/>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row>
    <row r="452" spans="28:102">
      <c r="AB452" s="115"/>
      <c r="AC452" s="115"/>
      <c r="AD452" s="115"/>
      <c r="AE452" s="115"/>
      <c r="AF452" s="115"/>
      <c r="AG452" s="115"/>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row>
    <row r="453" spans="28:102">
      <c r="AB453" s="115"/>
      <c r="AC453" s="115"/>
      <c r="AD453" s="115"/>
      <c r="AE453" s="115"/>
      <c r="AF453" s="115"/>
      <c r="AG453" s="115"/>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row>
    <row r="454" spans="28:102">
      <c r="AB454" s="115"/>
      <c r="AC454" s="115"/>
      <c r="AD454" s="115"/>
      <c r="AE454" s="115"/>
      <c r="AF454" s="115"/>
      <c r="AG454" s="115"/>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row>
    <row r="455" spans="28:102">
      <c r="AB455" s="115"/>
      <c r="AC455" s="115"/>
      <c r="AD455" s="115"/>
      <c r="AE455" s="115"/>
      <c r="AF455" s="115"/>
      <c r="AG455" s="115"/>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row>
    <row r="456" spans="28:102">
      <c r="AB456" s="115"/>
      <c r="AC456" s="115"/>
      <c r="AD456" s="115"/>
      <c r="AE456" s="115"/>
      <c r="AF456" s="115"/>
      <c r="AG456" s="115"/>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row>
    <row r="457" spans="28:102">
      <c r="AB457" s="115"/>
      <c r="AC457" s="115"/>
      <c r="AD457" s="115"/>
      <c r="AE457" s="115"/>
      <c r="AF457" s="115"/>
      <c r="AG457" s="115"/>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row>
    <row r="458" spans="28:102">
      <c r="AB458" s="115"/>
      <c r="AC458" s="115"/>
      <c r="AD458" s="115"/>
      <c r="AE458" s="115"/>
      <c r="AF458" s="115"/>
      <c r="AG458" s="115"/>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row>
    <row r="459" spans="28:102">
      <c r="AB459" s="115"/>
      <c r="AC459" s="115"/>
      <c r="AD459" s="115"/>
      <c r="AE459" s="115"/>
      <c r="AF459" s="115"/>
      <c r="AG459" s="115"/>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row>
    <row r="460" spans="28:102">
      <c r="AB460" s="115"/>
      <c r="AC460" s="115"/>
      <c r="AD460" s="115"/>
      <c r="AE460" s="115"/>
      <c r="AF460" s="115"/>
      <c r="AG460" s="115"/>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row>
    <row r="461" spans="28:102">
      <c r="AB461" s="115"/>
      <c r="AC461" s="115"/>
      <c r="AD461" s="115"/>
      <c r="AE461" s="115"/>
      <c r="AF461" s="115"/>
      <c r="AG461" s="115"/>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row>
    <row r="462" spans="28:102">
      <c r="AB462" s="115"/>
      <c r="AC462" s="115"/>
      <c r="AD462" s="115"/>
      <c r="AE462" s="115"/>
      <c r="AF462" s="115"/>
      <c r="AG462" s="115"/>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row>
    <row r="463" spans="28:102">
      <c r="AB463" s="115"/>
      <c r="AC463" s="115"/>
      <c r="AD463" s="115"/>
      <c r="AE463" s="115"/>
      <c r="AF463" s="115"/>
      <c r="AG463" s="115"/>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row>
    <row r="464" spans="28:102">
      <c r="AB464" s="115"/>
      <c r="AC464" s="115"/>
      <c r="AD464" s="115"/>
      <c r="AE464" s="115"/>
      <c r="AF464" s="115"/>
      <c r="AG464" s="115"/>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row>
    <row r="465" spans="28:102">
      <c r="AB465" s="115"/>
      <c r="AC465" s="115"/>
      <c r="AD465" s="115"/>
      <c r="AE465" s="115"/>
      <c r="AF465" s="115"/>
      <c r="AG465" s="115"/>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row>
    <row r="466" spans="28:102">
      <c r="AB466" s="115"/>
      <c r="AC466" s="115"/>
      <c r="AD466" s="115"/>
      <c r="AE466" s="115"/>
      <c r="AF466" s="115"/>
      <c r="AG466" s="115"/>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row>
    <row r="467" spans="28:102">
      <c r="AB467" s="115"/>
      <c r="AC467" s="115"/>
      <c r="AD467" s="115"/>
      <c r="AE467" s="115"/>
      <c r="AF467" s="115"/>
      <c r="AG467" s="115"/>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row>
    <row r="468" spans="28:102">
      <c r="AB468" s="115"/>
      <c r="AC468" s="115"/>
      <c r="AD468" s="115"/>
      <c r="AE468" s="115"/>
      <c r="AF468" s="115"/>
      <c r="AG468" s="115"/>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row>
    <row r="469" spans="28:102">
      <c r="AB469" s="115"/>
      <c r="AC469" s="115"/>
      <c r="AD469" s="115"/>
      <c r="AE469" s="115"/>
      <c r="AF469" s="115"/>
      <c r="AG469" s="115"/>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row>
    <row r="470" spans="28:102">
      <c r="AB470" s="115"/>
      <c r="AC470" s="115"/>
      <c r="AD470" s="115"/>
      <c r="AE470" s="115"/>
      <c r="AF470" s="115"/>
      <c r="AG470" s="115"/>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row>
    <row r="471" spans="28:102">
      <c r="AB471" s="115"/>
      <c r="AC471" s="115"/>
      <c r="AD471" s="115"/>
      <c r="AE471" s="115"/>
      <c r="AF471" s="115"/>
      <c r="AG471" s="115"/>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row>
    <row r="472" spans="28:102">
      <c r="AB472" s="115"/>
      <c r="AC472" s="115"/>
      <c r="AD472" s="115"/>
      <c r="AE472" s="115"/>
      <c r="AF472" s="115"/>
      <c r="AG472" s="115"/>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row>
    <row r="473" spans="28:102">
      <c r="AB473" s="115"/>
      <c r="AC473" s="115"/>
      <c r="AD473" s="115"/>
      <c r="AE473" s="115"/>
      <c r="AF473" s="115"/>
      <c r="AG473" s="115"/>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row>
    <row r="474" spans="28:102">
      <c r="AB474" s="115"/>
      <c r="AC474" s="115"/>
      <c r="AD474" s="115"/>
      <c r="AE474" s="115"/>
      <c r="AF474" s="115"/>
      <c r="AG474" s="115"/>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row>
    <row r="475" spans="28:102">
      <c r="AB475" s="115"/>
      <c r="AC475" s="115"/>
      <c r="AD475" s="115"/>
      <c r="AE475" s="115"/>
      <c r="AF475" s="115"/>
      <c r="AG475" s="115"/>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row>
    <row r="476" spans="28:102">
      <c r="AB476" s="115"/>
      <c r="AC476" s="115"/>
      <c r="AD476" s="115"/>
      <c r="AE476" s="115"/>
      <c r="AF476" s="115"/>
      <c r="AG476" s="115"/>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row>
    <row r="477" spans="28:102">
      <c r="AB477" s="115"/>
      <c r="AC477" s="115"/>
      <c r="AD477" s="115"/>
      <c r="AE477" s="115"/>
      <c r="AF477" s="115"/>
      <c r="AG477" s="115"/>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row>
    <row r="478" spans="28:102">
      <c r="AB478" s="115"/>
      <c r="AC478" s="115"/>
      <c r="AD478" s="115"/>
      <c r="AE478" s="115"/>
      <c r="AF478" s="115"/>
      <c r="AG478" s="115"/>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row>
    <row r="479" spans="28:102">
      <c r="AB479" s="115"/>
      <c r="AC479" s="115"/>
      <c r="AD479" s="115"/>
      <c r="AE479" s="115"/>
      <c r="AF479" s="115"/>
      <c r="AG479" s="115"/>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row>
    <row r="480" spans="28:102">
      <c r="AB480" s="115"/>
      <c r="AC480" s="115"/>
      <c r="AD480" s="115"/>
      <c r="AE480" s="115"/>
      <c r="AF480" s="115"/>
      <c r="AG480" s="115"/>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row>
    <row r="481" spans="28:102">
      <c r="AB481" s="115"/>
      <c r="AC481" s="115"/>
      <c r="AD481" s="115"/>
      <c r="AE481" s="115"/>
      <c r="AF481" s="115"/>
      <c r="AG481" s="115"/>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row>
    <row r="482" spans="28:102">
      <c r="AB482" s="115"/>
      <c r="AC482" s="115"/>
      <c r="AD482" s="115"/>
      <c r="AE482" s="115"/>
      <c r="AF482" s="115"/>
      <c r="AG482" s="115"/>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row>
    <row r="483" spans="28:102">
      <c r="AB483" s="115"/>
      <c r="AC483" s="115"/>
      <c r="AD483" s="115"/>
      <c r="AE483" s="115"/>
      <c r="AF483" s="115"/>
      <c r="AG483" s="115"/>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row>
    <row r="484" spans="28:102">
      <c r="AB484" s="115"/>
      <c r="AC484" s="115"/>
      <c r="AD484" s="115"/>
      <c r="AE484" s="115"/>
      <c r="AF484" s="115"/>
      <c r="AG484" s="115"/>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row>
    <row r="485" spans="28:102">
      <c r="AB485" s="115"/>
      <c r="AC485" s="115"/>
      <c r="AD485" s="115"/>
      <c r="AE485" s="115"/>
      <c r="AF485" s="115"/>
      <c r="AG485" s="115"/>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row>
    <row r="486" spans="28:102">
      <c r="AB486" s="115"/>
      <c r="AC486" s="115"/>
      <c r="AD486" s="115"/>
      <c r="AE486" s="115"/>
      <c r="AF486" s="115"/>
      <c r="AG486" s="115"/>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row>
    <row r="487" spans="28:102">
      <c r="AB487" s="115"/>
      <c r="AC487" s="115"/>
      <c r="AD487" s="115"/>
      <c r="AE487" s="115"/>
      <c r="AF487" s="115"/>
      <c r="AG487" s="115"/>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row>
    <row r="488" spans="28:102">
      <c r="AB488" s="115"/>
      <c r="AC488" s="115"/>
      <c r="AD488" s="115"/>
      <c r="AE488" s="115"/>
      <c r="AF488" s="115"/>
      <c r="AG488" s="115"/>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row>
    <row r="489" spans="28:102">
      <c r="AB489" s="115"/>
      <c r="AC489" s="115"/>
      <c r="AD489" s="115"/>
      <c r="AE489" s="115"/>
      <c r="AF489" s="115"/>
      <c r="AG489" s="115"/>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row>
    <row r="490" spans="28:102">
      <c r="AB490" s="115"/>
      <c r="AC490" s="115"/>
      <c r="AD490" s="115"/>
      <c r="AE490" s="115"/>
      <c r="AF490" s="115"/>
      <c r="AG490" s="115"/>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row>
    <row r="491" spans="28:102">
      <c r="AB491" s="115"/>
      <c r="AC491" s="115"/>
      <c r="AD491" s="115"/>
      <c r="AE491" s="115"/>
      <c r="AF491" s="115"/>
      <c r="AG491" s="115"/>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row>
    <row r="492" spans="28:102">
      <c r="AB492" s="115"/>
      <c r="AC492" s="115"/>
      <c r="AD492" s="115"/>
      <c r="AE492" s="115"/>
      <c r="AF492" s="115"/>
      <c r="AG492" s="115"/>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row>
    <row r="493" spans="28:102">
      <c r="AB493" s="115"/>
      <c r="AC493" s="115"/>
      <c r="AD493" s="115"/>
      <c r="AE493" s="115"/>
      <c r="AF493" s="115"/>
      <c r="AG493" s="115"/>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row>
    <row r="494" spans="28:102">
      <c r="AB494" s="115"/>
      <c r="AC494" s="115"/>
      <c r="AD494" s="115"/>
      <c r="AE494" s="115"/>
      <c r="AF494" s="115"/>
      <c r="AG494" s="115"/>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row>
    <row r="495" spans="28:102">
      <c r="AB495" s="115"/>
      <c r="AC495" s="115"/>
      <c r="AD495" s="115"/>
      <c r="AE495" s="115"/>
      <c r="AF495" s="115"/>
      <c r="AG495" s="115"/>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row>
    <row r="496" spans="28:102">
      <c r="AB496" s="115"/>
      <c r="AC496" s="115"/>
      <c r="AD496" s="115"/>
      <c r="AE496" s="115"/>
      <c r="AF496" s="115"/>
      <c r="AG496" s="115"/>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row>
    <row r="497" spans="28:102">
      <c r="AB497" s="115"/>
      <c r="AC497" s="115"/>
      <c r="AD497" s="115"/>
      <c r="AE497" s="115"/>
      <c r="AF497" s="115"/>
      <c r="AG497" s="115"/>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row>
    <row r="498" spans="28:102">
      <c r="AB498" s="115"/>
      <c r="AC498" s="115"/>
      <c r="AD498" s="115"/>
      <c r="AE498" s="115"/>
      <c r="AF498" s="115"/>
      <c r="AG498" s="115"/>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row>
    <row r="499" spans="28:102">
      <c r="AB499" s="115"/>
      <c r="AC499" s="115"/>
      <c r="AD499" s="115"/>
      <c r="AE499" s="115"/>
      <c r="AF499" s="115"/>
      <c r="AG499" s="115"/>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row>
    <row r="500" spans="28:102">
      <c r="AB500" s="115"/>
      <c r="AC500" s="115"/>
      <c r="AD500" s="115"/>
      <c r="AE500" s="115"/>
      <c r="AF500" s="115"/>
      <c r="AG500" s="115"/>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row>
    <row r="501" spans="28:102">
      <c r="AB501" s="115"/>
      <c r="AC501" s="115"/>
      <c r="AD501" s="115"/>
      <c r="AE501" s="115"/>
      <c r="AF501" s="115"/>
      <c r="AG501" s="115"/>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row>
    <row r="502" spans="28:102">
      <c r="AB502" s="115"/>
      <c r="AC502" s="115"/>
      <c r="AD502" s="115"/>
      <c r="AE502" s="115"/>
      <c r="AF502" s="115"/>
      <c r="AG502" s="115"/>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row>
    <row r="503" spans="28:102">
      <c r="AB503" s="115"/>
      <c r="AC503" s="115"/>
      <c r="AD503" s="115"/>
      <c r="AE503" s="115"/>
      <c r="AF503" s="115"/>
      <c r="AG503" s="115"/>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row>
    <row r="504" spans="28:102">
      <c r="AB504" s="115"/>
      <c r="AC504" s="115"/>
      <c r="AD504" s="115"/>
      <c r="AE504" s="115"/>
      <c r="AF504" s="115"/>
      <c r="AG504" s="115"/>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row>
    <row r="505" spans="28:102">
      <c r="AB505" s="115"/>
      <c r="AC505" s="115"/>
      <c r="AD505" s="115"/>
      <c r="AE505" s="115"/>
      <c r="AF505" s="115"/>
      <c r="AG505" s="115"/>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row>
    <row r="506" spans="28:102">
      <c r="AB506" s="115"/>
      <c r="AC506" s="115"/>
      <c r="AD506" s="115"/>
      <c r="AE506" s="115"/>
      <c r="AF506" s="115"/>
      <c r="AG506" s="115"/>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row>
    <row r="507" spans="28:102">
      <c r="AB507" s="115"/>
      <c r="AC507" s="115"/>
      <c r="AD507" s="115"/>
      <c r="AE507" s="115"/>
      <c r="AF507" s="115"/>
      <c r="AG507" s="115"/>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row>
    <row r="508" spans="28:102">
      <c r="AB508" s="115"/>
      <c r="AC508" s="115"/>
      <c r="AD508" s="115"/>
      <c r="AE508" s="115"/>
      <c r="AF508" s="115"/>
      <c r="AG508" s="115"/>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row>
    <row r="509" spans="28:102">
      <c r="AB509" s="115"/>
      <c r="AC509" s="115"/>
      <c r="AD509" s="115"/>
      <c r="AE509" s="115"/>
      <c r="AF509" s="115"/>
      <c r="AG509" s="115"/>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row>
    <row r="510" spans="28:102">
      <c r="AB510" s="115"/>
      <c r="AC510" s="115"/>
      <c r="AD510" s="115"/>
      <c r="AE510" s="115"/>
      <c r="AF510" s="115"/>
      <c r="AG510" s="115"/>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row>
    <row r="511" spans="28:102">
      <c r="AB511" s="115"/>
      <c r="AC511" s="115"/>
      <c r="AD511" s="115"/>
      <c r="AE511" s="115"/>
      <c r="AF511" s="115"/>
      <c r="AG511" s="115"/>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row>
    <row r="512" spans="28:102">
      <c r="AB512" s="115"/>
      <c r="AC512" s="115"/>
      <c r="AD512" s="115"/>
      <c r="AE512" s="115"/>
      <c r="AF512" s="115"/>
      <c r="AG512" s="115"/>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row>
    <row r="513" spans="28:102">
      <c r="AB513" s="115"/>
      <c r="AC513" s="115"/>
      <c r="AD513" s="115"/>
      <c r="AE513" s="115"/>
      <c r="AF513" s="115"/>
      <c r="AG513" s="115"/>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row>
    <row r="514" spans="28:102">
      <c r="AB514" s="115"/>
      <c r="AC514" s="115"/>
      <c r="AD514" s="115"/>
      <c r="AE514" s="115"/>
      <c r="AF514" s="115"/>
      <c r="AG514" s="115"/>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row>
    <row r="515" spans="28:102">
      <c r="AB515" s="115"/>
      <c r="AC515" s="115"/>
      <c r="AD515" s="115"/>
      <c r="AE515" s="115"/>
      <c r="AF515" s="115"/>
      <c r="AG515" s="115"/>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row>
    <row r="516" spans="28:102">
      <c r="AB516" s="115"/>
      <c r="AC516" s="115"/>
      <c r="AD516" s="115"/>
      <c r="AE516" s="115"/>
      <c r="AF516" s="115"/>
      <c r="AG516" s="115"/>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row>
    <row r="517" spans="28:102">
      <c r="AB517" s="115"/>
      <c r="AC517" s="115"/>
      <c r="AD517" s="115"/>
      <c r="AE517" s="115"/>
      <c r="AF517" s="115"/>
      <c r="AG517" s="115"/>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row>
    <row r="518" spans="28:102">
      <c r="AB518" s="115"/>
      <c r="AC518" s="115"/>
      <c r="AD518" s="115"/>
      <c r="AE518" s="115"/>
      <c r="AF518" s="115"/>
      <c r="AG518" s="115"/>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row>
    <row r="519" spans="28:102">
      <c r="AB519" s="115"/>
      <c r="AC519" s="115"/>
      <c r="AD519" s="115"/>
      <c r="AE519" s="115"/>
      <c r="AF519" s="115"/>
      <c r="AG519" s="115"/>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row>
    <row r="520" spans="28:102">
      <c r="AB520" s="115"/>
      <c r="AC520" s="115"/>
      <c r="AD520" s="115"/>
      <c r="AE520" s="115"/>
      <c r="AF520" s="115"/>
      <c r="AG520" s="115"/>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row>
    <row r="521" spans="28:102">
      <c r="AB521" s="115"/>
      <c r="AC521" s="115"/>
      <c r="AD521" s="115"/>
      <c r="AE521" s="115"/>
      <c r="AF521" s="115"/>
      <c r="AG521" s="115"/>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row>
    <row r="522" spans="28:102">
      <c r="AB522" s="115"/>
      <c r="AC522" s="115"/>
      <c r="AD522" s="115"/>
      <c r="AE522" s="115"/>
      <c r="AF522" s="115"/>
      <c r="AG522" s="115"/>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row>
    <row r="523" spans="28:102">
      <c r="AB523" s="115"/>
      <c r="AC523" s="115"/>
      <c r="AD523" s="115"/>
      <c r="AE523" s="115"/>
      <c r="AF523" s="115"/>
      <c r="AG523" s="115"/>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row>
    <row r="524" spans="28:102">
      <c r="AB524" s="115"/>
      <c r="AC524" s="115"/>
      <c r="AD524" s="115"/>
      <c r="AE524" s="115"/>
      <c r="AF524" s="115"/>
      <c r="AG524" s="115"/>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row>
    <row r="525" spans="28:102">
      <c r="AB525" s="115"/>
      <c r="AC525" s="115"/>
      <c r="AD525" s="115"/>
      <c r="AE525" s="115"/>
      <c r="AF525" s="115"/>
      <c r="AG525" s="115"/>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row>
    <row r="526" spans="28:102">
      <c r="AB526" s="115"/>
      <c r="AC526" s="115"/>
      <c r="AD526" s="115"/>
      <c r="AE526" s="115"/>
      <c r="AF526" s="115"/>
      <c r="AG526" s="115"/>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row>
    <row r="527" spans="28:102">
      <c r="AB527" s="115"/>
      <c r="AC527" s="115"/>
      <c r="AD527" s="115"/>
      <c r="AE527" s="115"/>
      <c r="AF527" s="115"/>
      <c r="AG527" s="115"/>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row>
    <row r="528" spans="28:102">
      <c r="AB528" s="115"/>
      <c r="AC528" s="115"/>
      <c r="AD528" s="115"/>
      <c r="AE528" s="115"/>
      <c r="AF528" s="115"/>
      <c r="AG528" s="115"/>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row>
    <row r="529" spans="28:102">
      <c r="AB529" s="115"/>
      <c r="AC529" s="115"/>
      <c r="AD529" s="115"/>
      <c r="AE529" s="115"/>
      <c r="AF529" s="115"/>
      <c r="AG529" s="115"/>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row>
    <row r="530" spans="28:102">
      <c r="AB530" s="115"/>
      <c r="AC530" s="115"/>
      <c r="AD530" s="115"/>
      <c r="AE530" s="115"/>
      <c r="AF530" s="115"/>
      <c r="AG530" s="115"/>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row>
    <row r="531" spans="28:102">
      <c r="AB531" s="115"/>
      <c r="AC531" s="115"/>
      <c r="AD531" s="115"/>
      <c r="AE531" s="115"/>
      <c r="AF531" s="115"/>
      <c r="AG531" s="115"/>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row>
    <row r="532" spans="28:102">
      <c r="AB532" s="115"/>
      <c r="AC532" s="115"/>
      <c r="AD532" s="115"/>
      <c r="AE532" s="115"/>
      <c r="AF532" s="115"/>
      <c r="AG532" s="115"/>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row>
    <row r="533" spans="28:102">
      <c r="AB533" s="115"/>
      <c r="AC533" s="115"/>
      <c r="AD533" s="115"/>
      <c r="AE533" s="115"/>
      <c r="AF533" s="115"/>
      <c r="AG533" s="115"/>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row>
    <row r="534" spans="28:102">
      <c r="AB534" s="115"/>
      <c r="AC534" s="115"/>
      <c r="AD534" s="115"/>
      <c r="AE534" s="115"/>
      <c r="AF534" s="115"/>
      <c r="AG534" s="115"/>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row>
    <row r="535" spans="28:102">
      <c r="AB535" s="115"/>
      <c r="AC535" s="115"/>
      <c r="AD535" s="115"/>
      <c r="AE535" s="115"/>
      <c r="AF535" s="115"/>
      <c r="AG535" s="115"/>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row>
    <row r="536" spans="28:102">
      <c r="AB536" s="115"/>
      <c r="AC536" s="115"/>
      <c r="AD536" s="115"/>
      <c r="AE536" s="115"/>
      <c r="AF536" s="115"/>
      <c r="AG536" s="115"/>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row>
    <row r="537" spans="28:102">
      <c r="AB537" s="115"/>
      <c r="AC537" s="115"/>
      <c r="AD537" s="115"/>
      <c r="AE537" s="115"/>
      <c r="AF537" s="115"/>
      <c r="AG537" s="115"/>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row>
    <row r="538" spans="28:102">
      <c r="AB538" s="115"/>
      <c r="AC538" s="115"/>
      <c r="AD538" s="115"/>
      <c r="AE538" s="115"/>
      <c r="AF538" s="115"/>
      <c r="AG538" s="115"/>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row>
    <row r="539" spans="28:102">
      <c r="AB539" s="115"/>
      <c r="AC539" s="115"/>
      <c r="AD539" s="115"/>
      <c r="AE539" s="115"/>
      <c r="AF539" s="115"/>
      <c r="AG539" s="115"/>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row>
    <row r="540" spans="28:102">
      <c r="AB540" s="115"/>
      <c r="AC540" s="115"/>
      <c r="AD540" s="115"/>
      <c r="AE540" s="115"/>
      <c r="AF540" s="115"/>
      <c r="AG540" s="115"/>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row>
    <row r="541" spans="28:102">
      <c r="AB541" s="115"/>
      <c r="AC541" s="115"/>
      <c r="AD541" s="115"/>
      <c r="AE541" s="115"/>
      <c r="AF541" s="115"/>
      <c r="AG541" s="115"/>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row>
    <row r="542" spans="28:102">
      <c r="AB542" s="115"/>
      <c r="AC542" s="115"/>
      <c r="AD542" s="115"/>
      <c r="AE542" s="115"/>
      <c r="AF542" s="115"/>
      <c r="AG542" s="115"/>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row>
    <row r="543" spans="28:102">
      <c r="AB543" s="115"/>
      <c r="AC543" s="115"/>
      <c r="AD543" s="115"/>
      <c r="AE543" s="115"/>
      <c r="AF543" s="115"/>
      <c r="AG543" s="115"/>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row>
    <row r="544" spans="28:102">
      <c r="AB544" s="115"/>
      <c r="AC544" s="115"/>
      <c r="AD544" s="115"/>
      <c r="AE544" s="115"/>
      <c r="AF544" s="115"/>
      <c r="AG544" s="115"/>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row>
    <row r="545" spans="28:102">
      <c r="AB545" s="115"/>
      <c r="AC545" s="115"/>
      <c r="AD545" s="115"/>
      <c r="AE545" s="115"/>
      <c r="AF545" s="115"/>
      <c r="AG545" s="115"/>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row>
    <row r="546" spans="28:102">
      <c r="AB546" s="115"/>
      <c r="AC546" s="115"/>
      <c r="AD546" s="115"/>
      <c r="AE546" s="115"/>
      <c r="AF546" s="115"/>
      <c r="AG546" s="115"/>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row>
    <row r="547" spans="28:102">
      <c r="AB547" s="115"/>
      <c r="AC547" s="115"/>
      <c r="AD547" s="115"/>
      <c r="AE547" s="115"/>
      <c r="AF547" s="115"/>
      <c r="AG547" s="115"/>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row>
    <row r="548" spans="28:102">
      <c r="AB548" s="115"/>
      <c r="AC548" s="115"/>
      <c r="AD548" s="115"/>
      <c r="AE548" s="115"/>
      <c r="AF548" s="115"/>
      <c r="AG548" s="115"/>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row>
    <row r="549" spans="28:102">
      <c r="AB549" s="115"/>
      <c r="AC549" s="115"/>
      <c r="AD549" s="115"/>
      <c r="AE549" s="115"/>
      <c r="AF549" s="115"/>
      <c r="AG549" s="115"/>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row>
    <row r="550" spans="28:102">
      <c r="AB550" s="115"/>
      <c r="AC550" s="115"/>
      <c r="AD550" s="115"/>
      <c r="AE550" s="115"/>
      <c r="AF550" s="115"/>
      <c r="AG550" s="115"/>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row>
    <row r="551" spans="28:102">
      <c r="AB551" s="115"/>
      <c r="AC551" s="115"/>
      <c r="AD551" s="115"/>
      <c r="AE551" s="115"/>
      <c r="AF551" s="115"/>
      <c r="AG551" s="115"/>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row>
    <row r="552" spans="28:102">
      <c r="AB552" s="115"/>
      <c r="AC552" s="115"/>
      <c r="AD552" s="115"/>
      <c r="AE552" s="115"/>
      <c r="AF552" s="115"/>
      <c r="AG552" s="115"/>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row>
    <row r="553" spans="28:102">
      <c r="AB553" s="115"/>
      <c r="AC553" s="115"/>
      <c r="AD553" s="115"/>
      <c r="AE553" s="115"/>
      <c r="AF553" s="115"/>
      <c r="AG553" s="115"/>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row>
    <row r="554" spans="28:102">
      <c r="AB554" s="115"/>
      <c r="AC554" s="115"/>
      <c r="AD554" s="115"/>
      <c r="AE554" s="115"/>
      <c r="AF554" s="115"/>
      <c r="AG554" s="115"/>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row>
    <row r="555" spans="28:102">
      <c r="AB555" s="115"/>
      <c r="AC555" s="115"/>
      <c r="AD555" s="115"/>
      <c r="AE555" s="115"/>
      <c r="AF555" s="115"/>
      <c r="AG555" s="115"/>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row>
    <row r="556" spans="28:102">
      <c r="AB556" s="115"/>
      <c r="AC556" s="115"/>
      <c r="AD556" s="115"/>
      <c r="AE556" s="115"/>
      <c r="AF556" s="115"/>
      <c r="AG556" s="115"/>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row>
    <row r="557" spans="28:102">
      <c r="AB557" s="115"/>
      <c r="AC557" s="115"/>
      <c r="AD557" s="115"/>
      <c r="AE557" s="115"/>
      <c r="AF557" s="115"/>
      <c r="AG557" s="115"/>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row>
    <row r="558" spans="28:102">
      <c r="AB558" s="115"/>
      <c r="AC558" s="115"/>
      <c r="AD558" s="115"/>
      <c r="AE558" s="115"/>
      <c r="AF558" s="115"/>
      <c r="AG558" s="115"/>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row>
    <row r="559" spans="28:102">
      <c r="AB559" s="115"/>
      <c r="AC559" s="115"/>
      <c r="AD559" s="115"/>
      <c r="AE559" s="115"/>
      <c r="AF559" s="115"/>
      <c r="AG559" s="115"/>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row>
    <row r="560" spans="28:102">
      <c r="AB560" s="115"/>
      <c r="AC560" s="115"/>
      <c r="AD560" s="115"/>
      <c r="AE560" s="115"/>
      <c r="AF560" s="115"/>
      <c r="AG560" s="115"/>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row>
    <row r="561" spans="28:102">
      <c r="AB561" s="115"/>
      <c r="AC561" s="115"/>
      <c r="AD561" s="115"/>
      <c r="AE561" s="115"/>
      <c r="AF561" s="115"/>
      <c r="AG561" s="115"/>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row>
    <row r="562" spans="28:102">
      <c r="AB562" s="115"/>
      <c r="AC562" s="115"/>
      <c r="AD562" s="115"/>
      <c r="AE562" s="115"/>
      <c r="AF562" s="115"/>
      <c r="AG562" s="115"/>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row>
    <row r="563" spans="28:102">
      <c r="AB563" s="115"/>
      <c r="AC563" s="115"/>
      <c r="AD563" s="115"/>
      <c r="AE563" s="115"/>
      <c r="AF563" s="115"/>
      <c r="AG563" s="115"/>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row>
    <row r="564" spans="28:102">
      <c r="AB564" s="115"/>
      <c r="AC564" s="115"/>
      <c r="AD564" s="115"/>
      <c r="AE564" s="115"/>
      <c r="AF564" s="115"/>
      <c r="AG564" s="115"/>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row>
    <row r="565" spans="28:102">
      <c r="AB565" s="115"/>
      <c r="AC565" s="115"/>
      <c r="AD565" s="115"/>
      <c r="AE565" s="115"/>
      <c r="AF565" s="115"/>
      <c r="AG565" s="115"/>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row>
    <row r="566" spans="28:102">
      <c r="AB566" s="115"/>
      <c r="AC566" s="115"/>
      <c r="AD566" s="115"/>
      <c r="AE566" s="115"/>
      <c r="AF566" s="115"/>
      <c r="AG566" s="115"/>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row>
    <row r="567" spans="28:102">
      <c r="AB567" s="115"/>
      <c r="AC567" s="115"/>
      <c r="AD567" s="115"/>
      <c r="AE567" s="115"/>
      <c r="AF567" s="115"/>
      <c r="AG567" s="115"/>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row>
    <row r="568" spans="28:102">
      <c r="AB568" s="115"/>
      <c r="AC568" s="115"/>
      <c r="AD568" s="115"/>
      <c r="AE568" s="115"/>
      <c r="AF568" s="115"/>
      <c r="AG568" s="115"/>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row>
    <row r="569" spans="28:102">
      <c r="AB569" s="115"/>
      <c r="AC569" s="115"/>
      <c r="AD569" s="115"/>
      <c r="AE569" s="115"/>
      <c r="AF569" s="115"/>
      <c r="AG569" s="115"/>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row>
    <row r="570" spans="28:102">
      <c r="AB570" s="115"/>
      <c r="AC570" s="115"/>
      <c r="AD570" s="115"/>
      <c r="AE570" s="115"/>
      <c r="AF570" s="115"/>
      <c r="AG570" s="115"/>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row>
    <row r="571" spans="28:102">
      <c r="AB571" s="115"/>
      <c r="AC571" s="115"/>
      <c r="AD571" s="115"/>
      <c r="AE571" s="115"/>
      <c r="AF571" s="115"/>
      <c r="AG571" s="115"/>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row>
    <row r="572" spans="28:102">
      <c r="AB572" s="115"/>
      <c r="AC572" s="115"/>
      <c r="AD572" s="115"/>
      <c r="AE572" s="115"/>
      <c r="AF572" s="115"/>
      <c r="AG572" s="115"/>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row>
    <row r="573" spans="28:102">
      <c r="AB573" s="115"/>
      <c r="AC573" s="115"/>
      <c r="AD573" s="115"/>
      <c r="AE573" s="115"/>
      <c r="AF573" s="115"/>
      <c r="AG573" s="115"/>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row>
    <row r="574" spans="28:102">
      <c r="AB574" s="115"/>
      <c r="AC574" s="115"/>
      <c r="AD574" s="115"/>
      <c r="AE574" s="115"/>
      <c r="AF574" s="115"/>
      <c r="AG574" s="115"/>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row>
    <row r="575" spans="28:102">
      <c r="AB575" s="115"/>
      <c r="AC575" s="115"/>
      <c r="AD575" s="115"/>
      <c r="AE575" s="115"/>
      <c r="AF575" s="115"/>
      <c r="AG575" s="115"/>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row>
    <row r="576" spans="28:102">
      <c r="AB576" s="115"/>
      <c r="AC576" s="115"/>
      <c r="AD576" s="115"/>
      <c r="AE576" s="115"/>
      <c r="AF576" s="115"/>
      <c r="AG576" s="115"/>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row>
    <row r="577" spans="28:102">
      <c r="AB577" s="115"/>
      <c r="AC577" s="115"/>
      <c r="AD577" s="115"/>
      <c r="AE577" s="115"/>
      <c r="AF577" s="115"/>
      <c r="AG577" s="115"/>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row>
    <row r="578" spans="28:102">
      <c r="AB578" s="115"/>
      <c r="AC578" s="115"/>
      <c r="AD578" s="115"/>
      <c r="AE578" s="115"/>
      <c r="AF578" s="115"/>
      <c r="AG578" s="115"/>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row>
    <row r="579" spans="28:102">
      <c r="AB579" s="115"/>
      <c r="AC579" s="115"/>
      <c r="AD579" s="115"/>
      <c r="AE579" s="115"/>
      <c r="AF579" s="115"/>
      <c r="AG579" s="115"/>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row>
    <row r="580" spans="28:102">
      <c r="AB580" s="115"/>
      <c r="AC580" s="115"/>
      <c r="AD580" s="115"/>
      <c r="AE580" s="115"/>
      <c r="AF580" s="115"/>
      <c r="AG580" s="115"/>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row>
    <row r="581" spans="28:102">
      <c r="AB581" s="115"/>
      <c r="AC581" s="115"/>
      <c r="AD581" s="115"/>
      <c r="AE581" s="115"/>
      <c r="AF581" s="115"/>
      <c r="AG581" s="115"/>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row>
    <row r="582" spans="28:102">
      <c r="AB582" s="115"/>
      <c r="AC582" s="115"/>
      <c r="AD582" s="115"/>
      <c r="AE582" s="115"/>
      <c r="AF582" s="115"/>
      <c r="AG582" s="115"/>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row>
    <row r="583" spans="28:102">
      <c r="AB583" s="115"/>
      <c r="AC583" s="115"/>
      <c r="AD583" s="115"/>
      <c r="AE583" s="115"/>
      <c r="AF583" s="115"/>
      <c r="AG583" s="115"/>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row>
    <row r="584" spans="28:102">
      <c r="AB584" s="115"/>
      <c r="AC584" s="115"/>
      <c r="AD584" s="115"/>
      <c r="AE584" s="115"/>
      <c r="AF584" s="115"/>
      <c r="AG584" s="115"/>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row>
    <row r="585" spans="28:102">
      <c r="AB585" s="115"/>
      <c r="AC585" s="115"/>
      <c r="AD585" s="115"/>
      <c r="AE585" s="115"/>
      <c r="AF585" s="115"/>
      <c r="AG585" s="115"/>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row>
    <row r="586" spans="28:102">
      <c r="AB586" s="115"/>
      <c r="AC586" s="115"/>
      <c r="AD586" s="115"/>
      <c r="AE586" s="115"/>
      <c r="AF586" s="115"/>
      <c r="AG586" s="115"/>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row>
    <row r="587" spans="28:102">
      <c r="AB587" s="115"/>
      <c r="AC587" s="115"/>
      <c r="AD587" s="115"/>
      <c r="AE587" s="115"/>
      <c r="AF587" s="115"/>
      <c r="AG587" s="115"/>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row>
    <row r="588" spans="28:102">
      <c r="AB588" s="115"/>
      <c r="AC588" s="115"/>
      <c r="AD588" s="115"/>
      <c r="AE588" s="115"/>
      <c r="AF588" s="115"/>
      <c r="AG588" s="115"/>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row>
    <row r="589" spans="28:102">
      <c r="AB589" s="115"/>
      <c r="AC589" s="115"/>
      <c r="AD589" s="115"/>
      <c r="AE589" s="115"/>
      <c r="AF589" s="115"/>
      <c r="AG589" s="115"/>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row>
    <row r="590" spans="28:102">
      <c r="AB590" s="115"/>
      <c r="AC590" s="115"/>
      <c r="AD590" s="115"/>
      <c r="AE590" s="115"/>
      <c r="AF590" s="115"/>
      <c r="AG590" s="115"/>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row>
    <row r="591" spans="28:102">
      <c r="AB591" s="115"/>
      <c r="AC591" s="115"/>
      <c r="AD591" s="115"/>
      <c r="AE591" s="115"/>
      <c r="AF591" s="115"/>
      <c r="AG591" s="115"/>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row>
    <row r="592" spans="28:102">
      <c r="AB592" s="115"/>
      <c r="AC592" s="115"/>
      <c r="AD592" s="115"/>
      <c r="AE592" s="115"/>
      <c r="AF592" s="115"/>
      <c r="AG592" s="115"/>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row>
    <row r="593" spans="28:102">
      <c r="AB593" s="115"/>
      <c r="AC593" s="115"/>
      <c r="AD593" s="115"/>
      <c r="AE593" s="115"/>
      <c r="AF593" s="115"/>
      <c r="AG593" s="115"/>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row>
    <row r="594" spans="28:102">
      <c r="AB594" s="115"/>
      <c r="AC594" s="115"/>
      <c r="AD594" s="115"/>
      <c r="AE594" s="115"/>
      <c r="AF594" s="115"/>
      <c r="AG594" s="115"/>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row>
    <row r="595" spans="28:102">
      <c r="AB595" s="115"/>
      <c r="AC595" s="115"/>
      <c r="AD595" s="115"/>
      <c r="AE595" s="115"/>
      <c r="AF595" s="115"/>
      <c r="AG595" s="115"/>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row>
    <row r="596" spans="28:102">
      <c r="AB596" s="115"/>
      <c r="AC596" s="115"/>
      <c r="AD596" s="115"/>
      <c r="AE596" s="115"/>
      <c r="AF596" s="115"/>
      <c r="AG596" s="115"/>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row>
    <row r="597" spans="28:102">
      <c r="AB597" s="115"/>
      <c r="AC597" s="115"/>
      <c r="AD597" s="115"/>
      <c r="AE597" s="115"/>
      <c r="AF597" s="115"/>
      <c r="AG597" s="115"/>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row>
    <row r="598" spans="28:102">
      <c r="AB598" s="115"/>
      <c r="AC598" s="115"/>
      <c r="AD598" s="115"/>
      <c r="AE598" s="115"/>
      <c r="AF598" s="115"/>
      <c r="AG598" s="115"/>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row>
    <row r="599" spans="28:102">
      <c r="AB599" s="115"/>
      <c r="AC599" s="115"/>
      <c r="AD599" s="115"/>
      <c r="AE599" s="115"/>
      <c r="AF599" s="115"/>
      <c r="AG599" s="115"/>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row>
    <row r="600" spans="28:102">
      <c r="AB600" s="115"/>
      <c r="AC600" s="115"/>
      <c r="AD600" s="115"/>
      <c r="AE600" s="115"/>
      <c r="AF600" s="115"/>
      <c r="AG600" s="115"/>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row>
    <row r="601" spans="28:102">
      <c r="AB601" s="115"/>
      <c r="AC601" s="115"/>
      <c r="AD601" s="115"/>
      <c r="AE601" s="115"/>
      <c r="AF601" s="115"/>
      <c r="AG601" s="115"/>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row>
    <row r="602" spans="28:102">
      <c r="AB602" s="115"/>
      <c r="AC602" s="115"/>
      <c r="AD602" s="115"/>
      <c r="AE602" s="115"/>
      <c r="AF602" s="115"/>
      <c r="AG602" s="115"/>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row>
    <row r="603" spans="28:102">
      <c r="AB603" s="115"/>
      <c r="AC603" s="115"/>
      <c r="AD603" s="115"/>
      <c r="AE603" s="115"/>
      <c r="AF603" s="115"/>
      <c r="AG603" s="115"/>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row>
    <row r="604" spans="28:102">
      <c r="AB604" s="115"/>
      <c r="AC604" s="115"/>
      <c r="AD604" s="115"/>
      <c r="AE604" s="115"/>
      <c r="AF604" s="115"/>
      <c r="AG604" s="115"/>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row>
    <row r="605" spans="28:102">
      <c r="AB605" s="115"/>
      <c r="AC605" s="115"/>
      <c r="AD605" s="115"/>
      <c r="AE605" s="115"/>
      <c r="AF605" s="115"/>
      <c r="AG605" s="115"/>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row>
    <row r="606" spans="28:102">
      <c r="AB606" s="115"/>
      <c r="AC606" s="115"/>
      <c r="AD606" s="115"/>
      <c r="AE606" s="115"/>
      <c r="AF606" s="115"/>
      <c r="AG606" s="115"/>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row>
    <row r="607" spans="28:102">
      <c r="AB607" s="115"/>
      <c r="AC607" s="115"/>
      <c r="AD607" s="115"/>
      <c r="AE607" s="115"/>
      <c r="AF607" s="115"/>
      <c r="AG607" s="115"/>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row>
    <row r="608" spans="28:102">
      <c r="AB608" s="115"/>
      <c r="AC608" s="115"/>
      <c r="AD608" s="115"/>
      <c r="AE608" s="115"/>
      <c r="AF608" s="115"/>
      <c r="AG608" s="115"/>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row>
    <row r="609" spans="28:102">
      <c r="AB609" s="115"/>
      <c r="AC609" s="115"/>
      <c r="AD609" s="115"/>
      <c r="AE609" s="115"/>
      <c r="AF609" s="115"/>
      <c r="AG609" s="115"/>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row>
    <row r="610" spans="28:102">
      <c r="AB610" s="115"/>
      <c r="AC610" s="115"/>
      <c r="AD610" s="115"/>
      <c r="AE610" s="115"/>
      <c r="AF610" s="115"/>
      <c r="AG610" s="115"/>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row>
    <row r="611" spans="28:102">
      <c r="AB611" s="115"/>
      <c r="AC611" s="115"/>
      <c r="AD611" s="115"/>
      <c r="AE611" s="115"/>
      <c r="AF611" s="115"/>
      <c r="AG611" s="115"/>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row>
    <row r="612" spans="28:102">
      <c r="AB612" s="115"/>
      <c r="AC612" s="115"/>
      <c r="AD612" s="115"/>
      <c r="AE612" s="115"/>
      <c r="AF612" s="115"/>
      <c r="AG612" s="115"/>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row>
    <row r="613" spans="28:102">
      <c r="AB613" s="115"/>
      <c r="AC613" s="115"/>
      <c r="AD613" s="115"/>
      <c r="AE613" s="115"/>
      <c r="AF613" s="115"/>
      <c r="AG613" s="115"/>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row>
    <row r="614" spans="28:102">
      <c r="AB614" s="115"/>
      <c r="AC614" s="115"/>
      <c r="AD614" s="115"/>
      <c r="AE614" s="115"/>
      <c r="AF614" s="115"/>
      <c r="AG614" s="115"/>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row>
    <row r="615" spans="28:102">
      <c r="AB615" s="115"/>
      <c r="AC615" s="115"/>
      <c r="AD615" s="115"/>
      <c r="AE615" s="115"/>
      <c r="AF615" s="115"/>
      <c r="AG615" s="115"/>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row>
    <row r="616" spans="28:102">
      <c r="AB616" s="115"/>
      <c r="AC616" s="115"/>
      <c r="AD616" s="115"/>
      <c r="AE616" s="115"/>
      <c r="AF616" s="115"/>
      <c r="AG616" s="115"/>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row>
    <row r="617" spans="28:102">
      <c r="AB617" s="115"/>
      <c r="AC617" s="115"/>
      <c r="AD617" s="115"/>
      <c r="AE617" s="115"/>
      <c r="AF617" s="115"/>
      <c r="AG617" s="115"/>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row>
    <row r="618" spans="28:102">
      <c r="AB618" s="115"/>
      <c r="AC618" s="115"/>
      <c r="AD618" s="115"/>
      <c r="AE618" s="115"/>
      <c r="AF618" s="115"/>
      <c r="AG618" s="115"/>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row>
    <row r="619" spans="28:102">
      <c r="AB619" s="115"/>
      <c r="AC619" s="115"/>
      <c r="AD619" s="115"/>
      <c r="AE619" s="115"/>
      <c r="AF619" s="115"/>
      <c r="AG619" s="115"/>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row>
    <row r="620" spans="28:102">
      <c r="AB620" s="115"/>
      <c r="AC620" s="115"/>
      <c r="AD620" s="115"/>
      <c r="AE620" s="115"/>
      <c r="AF620" s="115"/>
      <c r="AG620" s="115"/>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row>
    <row r="621" spans="28:102">
      <c r="AB621" s="115"/>
      <c r="AC621" s="115"/>
      <c r="AD621" s="115"/>
      <c r="AE621" s="115"/>
      <c r="AF621" s="115"/>
      <c r="AG621" s="115"/>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row>
    <row r="622" spans="28:102">
      <c r="AB622" s="115"/>
      <c r="AC622" s="115"/>
      <c r="AD622" s="115"/>
      <c r="AE622" s="115"/>
      <c r="AF622" s="115"/>
      <c r="AG622" s="115"/>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row>
    <row r="623" spans="28:102">
      <c r="AB623" s="115"/>
      <c r="AC623" s="115"/>
      <c r="AD623" s="115"/>
      <c r="AE623" s="115"/>
      <c r="AF623" s="115"/>
      <c r="AG623" s="115"/>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row>
    <row r="624" spans="28:102">
      <c r="AB624" s="115"/>
      <c r="AC624" s="115"/>
      <c r="AD624" s="115"/>
      <c r="AE624" s="115"/>
      <c r="AF624" s="115"/>
      <c r="AG624" s="115"/>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row>
    <row r="625" spans="28:102">
      <c r="AB625" s="115"/>
      <c r="AC625" s="115"/>
      <c r="AD625" s="115"/>
      <c r="AE625" s="115"/>
      <c r="AF625" s="115"/>
      <c r="AG625" s="115"/>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row>
    <row r="626" spans="28:102">
      <c r="AB626" s="115"/>
      <c r="AC626" s="115"/>
      <c r="AD626" s="115"/>
      <c r="AE626" s="115"/>
      <c r="AF626" s="115"/>
      <c r="AG626" s="115"/>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row>
    <row r="627" spans="28:102">
      <c r="AB627" s="115"/>
      <c r="AC627" s="115"/>
      <c r="AD627" s="115"/>
      <c r="AE627" s="115"/>
      <c r="AF627" s="115"/>
      <c r="AG627" s="115"/>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row>
    <row r="628" spans="28:102">
      <c r="AB628" s="115"/>
      <c r="AC628" s="115"/>
      <c r="AD628" s="115"/>
      <c r="AE628" s="115"/>
      <c r="AF628" s="115"/>
      <c r="AG628" s="115"/>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row>
    <row r="629" spans="28:102">
      <c r="AB629" s="115"/>
      <c r="AC629" s="115"/>
      <c r="AD629" s="115"/>
      <c r="AE629" s="115"/>
      <c r="AF629" s="115"/>
      <c r="AG629" s="115"/>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row>
    <row r="630" spans="28:102">
      <c r="AB630" s="115"/>
      <c r="AC630" s="115"/>
      <c r="AD630" s="115"/>
      <c r="AE630" s="115"/>
      <c r="AF630" s="115"/>
      <c r="AG630" s="115"/>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row>
    <row r="631" spans="28:102">
      <c r="AB631" s="115"/>
      <c r="AC631" s="115"/>
      <c r="AD631" s="115"/>
      <c r="AE631" s="115"/>
      <c r="AF631" s="115"/>
      <c r="AG631" s="115"/>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row>
    <row r="632" spans="28:102">
      <c r="AB632" s="115"/>
      <c r="AC632" s="115"/>
      <c r="AD632" s="115"/>
      <c r="AE632" s="115"/>
      <c r="AF632" s="115"/>
      <c r="AG632" s="115"/>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row>
    <row r="633" spans="28:102">
      <c r="AB633" s="115"/>
      <c r="AC633" s="115"/>
      <c r="AD633" s="115"/>
      <c r="AE633" s="115"/>
      <c r="AF633" s="115"/>
      <c r="AG633" s="115"/>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row>
    <row r="634" spans="28:102">
      <c r="AB634" s="115"/>
      <c r="AC634" s="115"/>
      <c r="AD634" s="115"/>
      <c r="AE634" s="115"/>
      <c r="AF634" s="115"/>
      <c r="AG634" s="115"/>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row>
    <row r="635" spans="28:102">
      <c r="AB635" s="115"/>
      <c r="AC635" s="115"/>
      <c r="AD635" s="115"/>
      <c r="AE635" s="115"/>
      <c r="AF635" s="115"/>
      <c r="AG635" s="115"/>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row>
    <row r="636" spans="28:102">
      <c r="AB636" s="115"/>
      <c r="AC636" s="115"/>
      <c r="AD636" s="115"/>
      <c r="AE636" s="115"/>
      <c r="AF636" s="115"/>
      <c r="AG636" s="115"/>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row>
    <row r="637" spans="28:102">
      <c r="AB637" s="115"/>
      <c r="AC637" s="115"/>
      <c r="AD637" s="115"/>
      <c r="AE637" s="115"/>
      <c r="AF637" s="115"/>
      <c r="AG637" s="115"/>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row>
    <row r="638" spans="28:102">
      <c r="AB638" s="115"/>
      <c r="AC638" s="115"/>
      <c r="AD638" s="115"/>
      <c r="AE638" s="115"/>
      <c r="AF638" s="115"/>
      <c r="AG638" s="115"/>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row>
    <row r="639" spans="28:102">
      <c r="AB639" s="115"/>
      <c r="AC639" s="115"/>
      <c r="AD639" s="115"/>
      <c r="AE639" s="115"/>
      <c r="AF639" s="115"/>
      <c r="AG639" s="115"/>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row>
    <row r="640" spans="28:102">
      <c r="AB640" s="115"/>
      <c r="AC640" s="115"/>
      <c r="AD640" s="115"/>
      <c r="AE640" s="115"/>
      <c r="AF640" s="115"/>
      <c r="AG640" s="115"/>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row>
    <row r="641" spans="28:102">
      <c r="AB641" s="115"/>
      <c r="AC641" s="115"/>
      <c r="AD641" s="115"/>
      <c r="AE641" s="115"/>
      <c r="AF641" s="115"/>
      <c r="AG641" s="115"/>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row>
    <row r="642" spans="28:102">
      <c r="AB642" s="115"/>
      <c r="AC642" s="115"/>
      <c r="AD642" s="115"/>
      <c r="AE642" s="115"/>
      <c r="AF642" s="115"/>
      <c r="AG642" s="115"/>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row>
    <row r="643" spans="28:102">
      <c r="AB643" s="115"/>
      <c r="AC643" s="115"/>
      <c r="AD643" s="115"/>
      <c r="AE643" s="115"/>
      <c r="AF643" s="115"/>
      <c r="AG643" s="115"/>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row>
    <row r="644" spans="28:102">
      <c r="AB644" s="115"/>
      <c r="AC644" s="115"/>
      <c r="AD644" s="115"/>
      <c r="AE644" s="115"/>
      <c r="AF644" s="115"/>
      <c r="AG644" s="115"/>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row>
    <row r="645" spans="28:102">
      <c r="AB645" s="115"/>
      <c r="AC645" s="115"/>
      <c r="AD645" s="115"/>
      <c r="AE645" s="115"/>
      <c r="AF645" s="115"/>
      <c r="AG645" s="115"/>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row>
    <row r="646" spans="28:102">
      <c r="AB646" s="115"/>
      <c r="AC646" s="115"/>
      <c r="AD646" s="115"/>
      <c r="AE646" s="115"/>
      <c r="AF646" s="115"/>
      <c r="AG646" s="115"/>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row>
    <row r="647" spans="28:102">
      <c r="AB647" s="115"/>
      <c r="AC647" s="115"/>
      <c r="AD647" s="115"/>
      <c r="AE647" s="115"/>
      <c r="AF647" s="115"/>
      <c r="AG647" s="115"/>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row>
    <row r="648" spans="28:102">
      <c r="AB648" s="115"/>
      <c r="AC648" s="115"/>
      <c r="AD648" s="115"/>
      <c r="AE648" s="115"/>
      <c r="AF648" s="115"/>
      <c r="AG648" s="115"/>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row>
    <row r="649" spans="28:102">
      <c r="AB649" s="115"/>
      <c r="AC649" s="115"/>
      <c r="AD649" s="115"/>
      <c r="AE649" s="115"/>
      <c r="AF649" s="115"/>
      <c r="AG649" s="115"/>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row>
    <row r="650" spans="28:102">
      <c r="AB650" s="115"/>
      <c r="AC650" s="115"/>
      <c r="AD650" s="115"/>
      <c r="AE650" s="115"/>
      <c r="AF650" s="115"/>
      <c r="AG650" s="115"/>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row>
    <row r="651" spans="28:102">
      <c r="AB651" s="115"/>
      <c r="AC651" s="115"/>
      <c r="AD651" s="115"/>
      <c r="AE651" s="115"/>
      <c r="AF651" s="115"/>
      <c r="AG651" s="115"/>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row>
    <row r="652" spans="28:102">
      <c r="AB652" s="115"/>
      <c r="AC652" s="115"/>
      <c r="AD652" s="115"/>
      <c r="AE652" s="115"/>
      <c r="AF652" s="115"/>
      <c r="AG652" s="115"/>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row>
    <row r="653" spans="28:102">
      <c r="AB653" s="115"/>
      <c r="AC653" s="115"/>
      <c r="AD653" s="115"/>
      <c r="AE653" s="115"/>
      <c r="AF653" s="115"/>
      <c r="AG653" s="115"/>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row>
    <row r="654" spans="28:102">
      <c r="AB654" s="115"/>
      <c r="AC654" s="115"/>
      <c r="AD654" s="115"/>
      <c r="AE654" s="115"/>
      <c r="AF654" s="115"/>
      <c r="AG654" s="115"/>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row>
    <row r="655" spans="28:102">
      <c r="AB655" s="115"/>
      <c r="AC655" s="115"/>
      <c r="AD655" s="115"/>
      <c r="AE655" s="115"/>
      <c r="AF655" s="115"/>
      <c r="AG655" s="115"/>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row>
    <row r="656" spans="28:102">
      <c r="AB656" s="115"/>
      <c r="AC656" s="115"/>
      <c r="AD656" s="115"/>
      <c r="AE656" s="115"/>
      <c r="AF656" s="115"/>
      <c r="AG656" s="115"/>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row>
    <row r="657" spans="28:102">
      <c r="AB657" s="115"/>
      <c r="AC657" s="115"/>
      <c r="AD657" s="115"/>
      <c r="AE657" s="115"/>
      <c r="AF657" s="115"/>
      <c r="AG657" s="115"/>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row>
    <row r="658" spans="28:102">
      <c r="AB658" s="115"/>
      <c r="AC658" s="115"/>
      <c r="AD658" s="115"/>
      <c r="AE658" s="115"/>
      <c r="AF658" s="115"/>
      <c r="AG658" s="115"/>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row>
    <row r="659" spans="28:102">
      <c r="AB659" s="115"/>
      <c r="AC659" s="115"/>
      <c r="AD659" s="115"/>
      <c r="AE659" s="115"/>
      <c r="AF659" s="115"/>
      <c r="AG659" s="115"/>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row>
    <row r="660" spans="28:102">
      <c r="AB660" s="115"/>
      <c r="AC660" s="115"/>
      <c r="AD660" s="115"/>
      <c r="AE660" s="115"/>
      <c r="AF660" s="115"/>
      <c r="AG660" s="115"/>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row>
    <row r="661" spans="28:102">
      <c r="AB661" s="115"/>
      <c r="AC661" s="115"/>
      <c r="AD661" s="115"/>
      <c r="AE661" s="115"/>
      <c r="AF661" s="115"/>
      <c r="AG661" s="115"/>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row>
    <row r="662" spans="28:102">
      <c r="AB662" s="115"/>
      <c r="AC662" s="115"/>
      <c r="AD662" s="115"/>
      <c r="AE662" s="115"/>
      <c r="AF662" s="115"/>
      <c r="AG662" s="115"/>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row>
    <row r="663" spans="28:102">
      <c r="AB663" s="115"/>
      <c r="AC663" s="115"/>
      <c r="AD663" s="115"/>
      <c r="AE663" s="115"/>
      <c r="AF663" s="115"/>
      <c r="AG663" s="115"/>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row>
    <row r="664" spans="28:102">
      <c r="AB664" s="115"/>
      <c r="AC664" s="115"/>
      <c r="AD664" s="115"/>
      <c r="AE664" s="115"/>
      <c r="AF664" s="115"/>
      <c r="AG664" s="115"/>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row>
    <row r="665" spans="28:102">
      <c r="AB665" s="115"/>
      <c r="AC665" s="115"/>
      <c r="AD665" s="115"/>
      <c r="AE665" s="115"/>
      <c r="AF665" s="115"/>
      <c r="AG665" s="115"/>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row>
    <row r="666" spans="28:102">
      <c r="AB666" s="115"/>
      <c r="AC666" s="115"/>
      <c r="AD666" s="115"/>
      <c r="AE666" s="115"/>
      <c r="AF666" s="115"/>
      <c r="AG666" s="115"/>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row>
    <row r="667" spans="28:102">
      <c r="AB667" s="115"/>
      <c r="AC667" s="115"/>
      <c r="AD667" s="115"/>
      <c r="AE667" s="115"/>
      <c r="AF667" s="115"/>
      <c r="AG667" s="115"/>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row>
    <row r="668" spans="28:102">
      <c r="AB668" s="115"/>
      <c r="AC668" s="115"/>
      <c r="AD668" s="115"/>
      <c r="AE668" s="115"/>
      <c r="AF668" s="115"/>
      <c r="AG668" s="115"/>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row>
    <row r="669" spans="28:102">
      <c r="AB669" s="115"/>
      <c r="AC669" s="115"/>
      <c r="AD669" s="115"/>
      <c r="AE669" s="115"/>
      <c r="AF669" s="115"/>
      <c r="AG669" s="115"/>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row>
    <row r="670" spans="28:102">
      <c r="AB670" s="115"/>
      <c r="AC670" s="115"/>
      <c r="AD670" s="115"/>
      <c r="AE670" s="115"/>
      <c r="AF670" s="115"/>
      <c r="AG670" s="115"/>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row>
    <row r="671" spans="28:102">
      <c r="AB671" s="115"/>
      <c r="AC671" s="115"/>
      <c r="AD671" s="115"/>
      <c r="AE671" s="115"/>
      <c r="AF671" s="115"/>
      <c r="AG671" s="115"/>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row>
    <row r="672" spans="28:102">
      <c r="AB672" s="115"/>
      <c r="AC672" s="115"/>
      <c r="AD672" s="115"/>
      <c r="AE672" s="115"/>
      <c r="AF672" s="115"/>
      <c r="AG672" s="115"/>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row>
    <row r="673" spans="28:102">
      <c r="AB673" s="115"/>
      <c r="AC673" s="115"/>
      <c r="AD673" s="115"/>
      <c r="AE673" s="115"/>
      <c r="AF673" s="115"/>
      <c r="AG673" s="115"/>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row>
    <row r="674" spans="28:102">
      <c r="AB674" s="115"/>
      <c r="AC674" s="115"/>
      <c r="AD674" s="115"/>
      <c r="AE674" s="115"/>
      <c r="AF674" s="115"/>
      <c r="AG674" s="115"/>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row>
    <row r="675" spans="28:102">
      <c r="AB675" s="115"/>
      <c r="AC675" s="115"/>
      <c r="AD675" s="115"/>
      <c r="AE675" s="115"/>
      <c r="AF675" s="115"/>
      <c r="AG675" s="115"/>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row>
    <row r="676" spans="28:102">
      <c r="AB676" s="115"/>
      <c r="AC676" s="115"/>
      <c r="AD676" s="115"/>
      <c r="AE676" s="115"/>
      <c r="AF676" s="115"/>
      <c r="AG676" s="115"/>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row>
    <row r="677" spans="28:102">
      <c r="AB677" s="115"/>
      <c r="AC677" s="115"/>
      <c r="AD677" s="115"/>
      <c r="AE677" s="115"/>
      <c r="AF677" s="115"/>
      <c r="AG677" s="115"/>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row>
    <row r="678" spans="28:102">
      <c r="AB678" s="115"/>
      <c r="AC678" s="115"/>
      <c r="AD678" s="115"/>
      <c r="AE678" s="115"/>
      <c r="AF678" s="115"/>
      <c r="AG678" s="115"/>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row>
    <row r="679" spans="28:102">
      <c r="AB679" s="115"/>
      <c r="AC679" s="115"/>
      <c r="AD679" s="115"/>
      <c r="AE679" s="115"/>
      <c r="AF679" s="115"/>
      <c r="AG679" s="115"/>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row>
    <row r="680" spans="28:102">
      <c r="AB680" s="115"/>
      <c r="AC680" s="115"/>
      <c r="AD680" s="115"/>
      <c r="AE680" s="115"/>
      <c r="AF680" s="115"/>
      <c r="AG680" s="115"/>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row>
    <row r="681" spans="28:102">
      <c r="AB681" s="115"/>
      <c r="AC681" s="115"/>
      <c r="AD681" s="115"/>
      <c r="AE681" s="115"/>
      <c r="AF681" s="115"/>
      <c r="AG681" s="115"/>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row>
    <row r="682" spans="28:102">
      <c r="AB682" s="115"/>
      <c r="AC682" s="115"/>
      <c r="AD682" s="115"/>
      <c r="AE682" s="115"/>
      <c r="AF682" s="115"/>
      <c r="AG682" s="115"/>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row>
    <row r="683" spans="28:102">
      <c r="AB683" s="115"/>
      <c r="AC683" s="115"/>
      <c r="AD683" s="115"/>
      <c r="AE683" s="115"/>
      <c r="AF683" s="115"/>
      <c r="AG683" s="115"/>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row>
    <row r="684" spans="28:102">
      <c r="AB684" s="115"/>
      <c r="AC684" s="115"/>
      <c r="AD684" s="115"/>
      <c r="AE684" s="115"/>
      <c r="AF684" s="115"/>
      <c r="AG684" s="115"/>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row>
    <row r="685" spans="28:102">
      <c r="AB685" s="115"/>
      <c r="AC685" s="115"/>
      <c r="AD685" s="115"/>
      <c r="AE685" s="115"/>
      <c r="AF685" s="115"/>
      <c r="AG685" s="115"/>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row>
    <row r="686" spans="28:102">
      <c r="AB686" s="115"/>
      <c r="AC686" s="115"/>
      <c r="AD686" s="115"/>
      <c r="AE686" s="115"/>
      <c r="AF686" s="115"/>
      <c r="AG686" s="115"/>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row>
    <row r="687" spans="28:102">
      <c r="AB687" s="115"/>
      <c r="AC687" s="115"/>
      <c r="AD687" s="115"/>
      <c r="AE687" s="115"/>
      <c r="AF687" s="115"/>
      <c r="AG687" s="115"/>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row>
    <row r="688" spans="28:102">
      <c r="AB688" s="115"/>
      <c r="AC688" s="115"/>
      <c r="AD688" s="115"/>
      <c r="AE688" s="115"/>
      <c r="AF688" s="115"/>
      <c r="AG688" s="115"/>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row>
    <row r="689" spans="28:102">
      <c r="AB689" s="115"/>
      <c r="AC689" s="115"/>
      <c r="AD689" s="115"/>
      <c r="AE689" s="115"/>
      <c r="AF689" s="115"/>
      <c r="AG689" s="115"/>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row>
    <row r="690" spans="28:102">
      <c r="AB690" s="115"/>
      <c r="AC690" s="115"/>
      <c r="AD690" s="115"/>
      <c r="AE690" s="115"/>
      <c r="AF690" s="115"/>
      <c r="AG690" s="115"/>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row>
    <row r="691" spans="28:102">
      <c r="AB691" s="115"/>
      <c r="AC691" s="115"/>
      <c r="AD691" s="115"/>
      <c r="AE691" s="115"/>
      <c r="AF691" s="115"/>
      <c r="AG691" s="115"/>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row>
    <row r="692" spans="28:102">
      <c r="AB692" s="115"/>
      <c r="AC692" s="115"/>
      <c r="AD692" s="115"/>
      <c r="AE692" s="115"/>
      <c r="AF692" s="115"/>
      <c r="AG692" s="115"/>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row>
    <row r="693" spans="28:102">
      <c r="AB693" s="115"/>
      <c r="AC693" s="115"/>
      <c r="AD693" s="115"/>
      <c r="AE693" s="115"/>
      <c r="AF693" s="115"/>
      <c r="AG693" s="115"/>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row>
    <row r="694" spans="28:102">
      <c r="AB694" s="115"/>
      <c r="AC694" s="115"/>
      <c r="AD694" s="115"/>
      <c r="AE694" s="115"/>
      <c r="AF694" s="115"/>
      <c r="AG694" s="115"/>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row>
    <row r="695" spans="28:102">
      <c r="AB695" s="115"/>
      <c r="AC695" s="115"/>
      <c r="AD695" s="115"/>
      <c r="AE695" s="115"/>
      <c r="AF695" s="115"/>
      <c r="AG695" s="115"/>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row>
    <row r="696" spans="28:102">
      <c r="AB696" s="115"/>
      <c r="AC696" s="115"/>
      <c r="AD696" s="115"/>
      <c r="AE696" s="115"/>
      <c r="AF696" s="115"/>
      <c r="AG696" s="115"/>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row>
    <row r="697" spans="28:102">
      <c r="AB697" s="115"/>
      <c r="AC697" s="115"/>
      <c r="AD697" s="115"/>
      <c r="AE697" s="115"/>
      <c r="AF697" s="115"/>
      <c r="AG697" s="115"/>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row>
    <row r="698" spans="28:102">
      <c r="AB698" s="115"/>
      <c r="AC698" s="115"/>
      <c r="AD698" s="115"/>
      <c r="AE698" s="115"/>
      <c r="AF698" s="115"/>
      <c r="AG698" s="115"/>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row>
    <row r="699" spans="28:102">
      <c r="AB699" s="115"/>
      <c r="AC699" s="115"/>
      <c r="AD699" s="115"/>
      <c r="AE699" s="115"/>
      <c r="AF699" s="115"/>
      <c r="AG699" s="115"/>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row>
    <row r="700" spans="28:102">
      <c r="AB700" s="115"/>
      <c r="AC700" s="115"/>
      <c r="AD700" s="115"/>
      <c r="AE700" s="115"/>
      <c r="AF700" s="115"/>
      <c r="AG700" s="115"/>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row>
    <row r="701" spans="28:102">
      <c r="AB701" s="115"/>
      <c r="AC701" s="115"/>
      <c r="AD701" s="115"/>
      <c r="AE701" s="115"/>
      <c r="AF701" s="115"/>
      <c r="AG701" s="115"/>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row>
    <row r="702" spans="28:102">
      <c r="AB702" s="115"/>
      <c r="AC702" s="115"/>
      <c r="AD702" s="115"/>
      <c r="AE702" s="115"/>
      <c r="AF702" s="115"/>
      <c r="AG702" s="115"/>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row>
    <row r="703" spans="28:102">
      <c r="AB703" s="115"/>
      <c r="AC703" s="115"/>
      <c r="AD703" s="115"/>
      <c r="AE703" s="115"/>
      <c r="AF703" s="115"/>
      <c r="AG703" s="115"/>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row>
    <row r="704" spans="28:102">
      <c r="AB704" s="115"/>
      <c r="AC704" s="115"/>
      <c r="AD704" s="115"/>
      <c r="AE704" s="115"/>
      <c r="AF704" s="115"/>
      <c r="AG704" s="115"/>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row>
    <row r="705" spans="28:102">
      <c r="AB705" s="115"/>
      <c r="AC705" s="115"/>
      <c r="AD705" s="115"/>
      <c r="AE705" s="115"/>
      <c r="AF705" s="115"/>
      <c r="AG705" s="115"/>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row>
    <row r="706" spans="28:102">
      <c r="AB706" s="115"/>
      <c r="AC706" s="115"/>
      <c r="AD706" s="115"/>
      <c r="AE706" s="115"/>
      <c r="AF706" s="115"/>
      <c r="AG706" s="115"/>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row>
    <row r="707" spans="28:102">
      <c r="AB707" s="115"/>
      <c r="AC707" s="115"/>
      <c r="AD707" s="115"/>
      <c r="AE707" s="115"/>
      <c r="AF707" s="115"/>
      <c r="AG707" s="115"/>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row>
    <row r="708" spans="28:102">
      <c r="AB708" s="115"/>
      <c r="AC708" s="115"/>
      <c r="AD708" s="115"/>
      <c r="AE708" s="115"/>
      <c r="AF708" s="115"/>
      <c r="AG708" s="115"/>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row>
    <row r="709" spans="28:102">
      <c r="AB709" s="115"/>
      <c r="AC709" s="115"/>
      <c r="AD709" s="115"/>
      <c r="AE709" s="115"/>
      <c r="AF709" s="115"/>
      <c r="AG709" s="115"/>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row>
    <row r="710" spans="28:102">
      <c r="AB710" s="115"/>
      <c r="AC710" s="115"/>
      <c r="AD710" s="115"/>
      <c r="AE710" s="115"/>
      <c r="AF710" s="115"/>
      <c r="AG710" s="115"/>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row>
    <row r="711" spans="28:102">
      <c r="AB711" s="115"/>
      <c r="AC711" s="115"/>
      <c r="AD711" s="115"/>
      <c r="AE711" s="115"/>
      <c r="AF711" s="115"/>
      <c r="AG711" s="115"/>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row>
    <row r="712" spans="28:102">
      <c r="AB712" s="115"/>
      <c r="AC712" s="115"/>
      <c r="AD712" s="115"/>
      <c r="AE712" s="115"/>
      <c r="AF712" s="115"/>
      <c r="AG712" s="115"/>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row>
    <row r="713" spans="28:102">
      <c r="AB713" s="115"/>
      <c r="AC713" s="115"/>
      <c r="AD713" s="115"/>
      <c r="AE713" s="115"/>
      <c r="AF713" s="115"/>
      <c r="AG713" s="115"/>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row>
    <row r="714" spans="28:102">
      <c r="AB714" s="115"/>
      <c r="AC714" s="115"/>
      <c r="AD714" s="115"/>
      <c r="AE714" s="115"/>
      <c r="AF714" s="115"/>
      <c r="AG714" s="115"/>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row>
    <row r="715" spans="28:102">
      <c r="AB715" s="115"/>
      <c r="AC715" s="115"/>
      <c r="AD715" s="115"/>
      <c r="AE715" s="115"/>
      <c r="AF715" s="115"/>
      <c r="AG715" s="115"/>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row>
    <row r="716" spans="28:102">
      <c r="AB716" s="115"/>
      <c r="AC716" s="115"/>
      <c r="AD716" s="115"/>
      <c r="AE716" s="115"/>
      <c r="AF716" s="115"/>
      <c r="AG716" s="115"/>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row>
    <row r="717" spans="28:102">
      <c r="AB717" s="115"/>
      <c r="AC717" s="115"/>
      <c r="AD717" s="115"/>
      <c r="AE717" s="115"/>
      <c r="AF717" s="115"/>
      <c r="AG717" s="115"/>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row>
    <row r="718" spans="28:102">
      <c r="AB718" s="115"/>
      <c r="AC718" s="115"/>
      <c r="AD718" s="115"/>
      <c r="AE718" s="115"/>
      <c r="AF718" s="115"/>
      <c r="AG718" s="115"/>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row>
    <row r="719" spans="28:102">
      <c r="AB719" s="115"/>
      <c r="AC719" s="115"/>
      <c r="AD719" s="115"/>
      <c r="AE719" s="115"/>
      <c r="AF719" s="115"/>
      <c r="AG719" s="115"/>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row>
    <row r="720" spans="28:102">
      <c r="AB720" s="115"/>
      <c r="AC720" s="115"/>
      <c r="AD720" s="115"/>
      <c r="AE720" s="115"/>
      <c r="AF720" s="115"/>
      <c r="AG720" s="115"/>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row>
    <row r="721" spans="28:102">
      <c r="AB721" s="115"/>
      <c r="AC721" s="115"/>
      <c r="AD721" s="115"/>
      <c r="AE721" s="115"/>
      <c r="AF721" s="115"/>
      <c r="AG721" s="115"/>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row>
    <row r="722" spans="28:102">
      <c r="AB722" s="115"/>
      <c r="AC722" s="115"/>
      <c r="AD722" s="115"/>
      <c r="AE722" s="115"/>
      <c r="AF722" s="115"/>
      <c r="AG722" s="115"/>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row>
    <row r="723" spans="28:102">
      <c r="AB723" s="115"/>
      <c r="AC723" s="115"/>
      <c r="AD723" s="115"/>
      <c r="AE723" s="115"/>
      <c r="AF723" s="115"/>
      <c r="AG723" s="115"/>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row>
    <row r="724" spans="28:102">
      <c r="AB724" s="115"/>
      <c r="AC724" s="115"/>
      <c r="AD724" s="115"/>
      <c r="AE724" s="115"/>
      <c r="AF724" s="115"/>
      <c r="AG724" s="115"/>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row>
    <row r="725" spans="28:102">
      <c r="AB725" s="115"/>
      <c r="AC725" s="115"/>
      <c r="AD725" s="115"/>
      <c r="AE725" s="115"/>
      <c r="AF725" s="115"/>
      <c r="AG725" s="115"/>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row>
    <row r="726" spans="28:102">
      <c r="AB726" s="115"/>
      <c r="AC726" s="115"/>
      <c r="AD726" s="115"/>
      <c r="AE726" s="115"/>
      <c r="AF726" s="115"/>
      <c r="AG726" s="115"/>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row>
    <row r="727" spans="28:102">
      <c r="AB727" s="115"/>
      <c r="AC727" s="115"/>
      <c r="AD727" s="115"/>
      <c r="AE727" s="115"/>
      <c r="AF727" s="115"/>
      <c r="AG727" s="115"/>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row>
    <row r="728" spans="28:102">
      <c r="AB728" s="115"/>
      <c r="AC728" s="115"/>
      <c r="AD728" s="115"/>
      <c r="AE728" s="115"/>
      <c r="AF728" s="115"/>
      <c r="AG728" s="115"/>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row>
    <row r="729" spans="28:102">
      <c r="AB729" s="115"/>
      <c r="AC729" s="115"/>
      <c r="AD729" s="115"/>
      <c r="AE729" s="115"/>
      <c r="AF729" s="115"/>
      <c r="AG729" s="115"/>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row>
    <row r="730" spans="28:102">
      <c r="AB730" s="115"/>
      <c r="AC730" s="115"/>
      <c r="AD730" s="115"/>
      <c r="AE730" s="115"/>
      <c r="AF730" s="115"/>
      <c r="AG730" s="115"/>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row>
    <row r="731" spans="28:102">
      <c r="AB731" s="115"/>
      <c r="AC731" s="115"/>
      <c r="AD731" s="115"/>
      <c r="AE731" s="115"/>
      <c r="AF731" s="115"/>
      <c r="AG731" s="115"/>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row>
    <row r="732" spans="28:102">
      <c r="AB732" s="115"/>
      <c r="AC732" s="115"/>
      <c r="AD732" s="115"/>
      <c r="AE732" s="115"/>
      <c r="AF732" s="115"/>
      <c r="AG732" s="115"/>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row>
    <row r="733" spans="28:102">
      <c r="AB733" s="115"/>
      <c r="AC733" s="115"/>
      <c r="AD733" s="115"/>
      <c r="AE733" s="115"/>
      <c r="AF733" s="115"/>
      <c r="AG733" s="115"/>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row>
    <row r="734" spans="28:102">
      <c r="AB734" s="115"/>
      <c r="AC734" s="115"/>
      <c r="AD734" s="115"/>
      <c r="AE734" s="115"/>
      <c r="AF734" s="115"/>
      <c r="AG734" s="115"/>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row>
  </sheetData>
  <sheetProtection algorithmName="SHA-512" hashValue="4+1LcYJIeIw1+EcT10+ewljSZoiPKk19CMZ3wjxEZNxv/+pHgpp8gRR2DQ48fNu3rvP70BM8yu/pPAO62bbHlg==" saltValue="DkRtdXyBCJJ8SEem4eosPQ==" spinCount="100000" sheet="1" objects="1" scenarios="1" selectLockedCells="1"/>
  <mergeCells count="49">
    <mergeCell ref="C137:H147"/>
    <mergeCell ref="J137:O145"/>
    <mergeCell ref="J147:O147"/>
    <mergeCell ref="I18:J18"/>
    <mergeCell ref="I19:J19"/>
    <mergeCell ref="J32:O40"/>
    <mergeCell ref="G123:H123"/>
    <mergeCell ref="I123:J123"/>
    <mergeCell ref="C18:D18"/>
    <mergeCell ref="C19:D19"/>
    <mergeCell ref="E18:F18"/>
    <mergeCell ref="E19:F19"/>
    <mergeCell ref="G18:H18"/>
    <mergeCell ref="G19:H19"/>
    <mergeCell ref="G52:H53"/>
    <mergeCell ref="G54:H54"/>
    <mergeCell ref="E23:F23"/>
    <mergeCell ref="E24:F24"/>
    <mergeCell ref="C32:H42"/>
    <mergeCell ref="K52:K53"/>
    <mergeCell ref="I52:J53"/>
    <mergeCell ref="E52:F53"/>
    <mergeCell ref="E54:F54"/>
    <mergeCell ref="C52:D53"/>
    <mergeCell ref="C54:D54"/>
    <mergeCell ref="J42:O42"/>
    <mergeCell ref="G55:H55"/>
    <mergeCell ref="C55:D55"/>
    <mergeCell ref="E55:F55"/>
    <mergeCell ref="G56:H56"/>
    <mergeCell ref="C56:D56"/>
    <mergeCell ref="E56:F56"/>
    <mergeCell ref="B57:M57"/>
    <mergeCell ref="C63:H73"/>
    <mergeCell ref="J63:O71"/>
    <mergeCell ref="J73:O73"/>
    <mergeCell ref="B116:P117"/>
    <mergeCell ref="B118:P119"/>
    <mergeCell ref="B82:M83"/>
    <mergeCell ref="B88:M89"/>
    <mergeCell ref="H91:H92"/>
    <mergeCell ref="J101:O109"/>
    <mergeCell ref="J111:O111"/>
    <mergeCell ref="C91:D92"/>
    <mergeCell ref="C93:D93"/>
    <mergeCell ref="E91:E92"/>
    <mergeCell ref="F91:G92"/>
    <mergeCell ref="F93:G93"/>
    <mergeCell ref="C101:H111"/>
  </mergeCells>
  <conditionalFormatting sqref="A3:A10">
    <cfRule type="cellIs" dxfId="220" priority="15" operator="equal">
      <formula>"In Progress"</formula>
    </cfRule>
    <cfRule type="cellIs" dxfId="219" priority="16" operator="equal">
      <formula>"Not Started"</formula>
    </cfRule>
    <cfRule type="cellIs" dxfId="218" priority="17" operator="equal">
      <formula>"Completed"</formula>
    </cfRule>
  </conditionalFormatting>
  <conditionalFormatting sqref="B13:B14">
    <cfRule type="expression" dxfId="217" priority="212">
      <formula>NOT($Q$16)</formula>
    </cfRule>
  </conditionalFormatting>
  <dataValidations count="1">
    <dataValidation type="custom" allowBlank="1" showInputMessage="1" showErrorMessage="1" sqref="L1" xr:uid="{99B1AEDF-9E72-4D09-8122-DE413218A050}">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1" manualBreakCount="1">
    <brk id="98" max="1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7938A-0AF0-5244-B69C-254B5B0C2342}">
  <sheetPr codeName="Sheet34"/>
  <dimension ref="A1:AO167"/>
  <sheetViews>
    <sheetView workbookViewId="0"/>
  </sheetViews>
  <sheetFormatPr defaultColWidth="11.42578125" defaultRowHeight="15"/>
  <cols>
    <col min="1" max="1" width="9.140625" customWidth="1"/>
    <col min="2" max="2" width="7.42578125" bestFit="1" customWidth="1"/>
    <col min="3" max="3" width="15" bestFit="1" customWidth="1"/>
    <col min="4" max="4" width="36.42578125" customWidth="1"/>
    <col min="5" max="5" width="22.5703125" bestFit="1" customWidth="1"/>
    <col min="6" max="6" width="31.5703125" bestFit="1" customWidth="1"/>
    <col min="7" max="7" width="15.5703125" bestFit="1" customWidth="1"/>
    <col min="8" max="8" width="15" bestFit="1" customWidth="1"/>
    <col min="9" max="9" width="11.5703125" bestFit="1" customWidth="1"/>
    <col min="10" max="10" width="11.5703125" customWidth="1"/>
    <col min="11" max="11" width="18.42578125" bestFit="1" customWidth="1"/>
    <col min="12" max="13" width="26.5703125" bestFit="1" customWidth="1"/>
    <col min="14" max="14" width="30.5703125" bestFit="1" customWidth="1"/>
    <col min="15" max="15" width="21.5703125" bestFit="1" customWidth="1"/>
    <col min="16" max="16" width="29" bestFit="1" customWidth="1"/>
    <col min="17" max="17" width="35.28515625" bestFit="1" customWidth="1"/>
    <col min="18" max="18" width="21.42578125" bestFit="1" customWidth="1"/>
    <col min="19" max="19" width="12.42578125" bestFit="1" customWidth="1"/>
    <col min="20" max="20" width="13.42578125" bestFit="1" customWidth="1"/>
    <col min="21" max="21" width="6.85546875" bestFit="1" customWidth="1"/>
    <col min="22" max="22" width="27.5703125" bestFit="1" customWidth="1"/>
    <col min="23" max="23" width="13" bestFit="1" customWidth="1"/>
    <col min="24" max="24" width="14.7109375" style="55" customWidth="1"/>
    <col min="25" max="25" width="14.42578125" bestFit="1" customWidth="1"/>
    <col min="26" max="26" width="44.5703125" customWidth="1"/>
    <col min="27" max="27" width="27.5703125" bestFit="1" customWidth="1"/>
    <col min="28" max="28" width="12.28515625" bestFit="1" customWidth="1"/>
    <col min="29" max="29" width="41.28515625" style="50" bestFit="1" customWidth="1"/>
    <col min="30" max="30" width="13.28515625" customWidth="1"/>
    <col min="31" max="31" width="13.42578125" customWidth="1"/>
    <col min="32" max="32" width="11.28515625" bestFit="1" customWidth="1"/>
    <col min="33" max="33" width="13.28515625" customWidth="1"/>
    <col min="34" max="34" width="17" bestFit="1" customWidth="1"/>
    <col min="35" max="35" width="27.85546875" bestFit="1" customWidth="1"/>
    <col min="36" max="38" width="35.140625" bestFit="1" customWidth="1"/>
  </cols>
  <sheetData>
    <row r="1" spans="1:41" s="315" customFormat="1" ht="75">
      <c r="A1" s="312" t="s">
        <v>224</v>
      </c>
      <c r="B1" s="312" t="s">
        <v>225</v>
      </c>
      <c r="C1" s="312" t="s">
        <v>226</v>
      </c>
      <c r="D1" s="312" t="s">
        <v>227</v>
      </c>
      <c r="E1" s="312" t="s">
        <v>228</v>
      </c>
      <c r="F1" s="312" t="s">
        <v>229</v>
      </c>
      <c r="G1" s="313" t="s">
        <v>230</v>
      </c>
      <c r="H1" s="312" t="s">
        <v>231</v>
      </c>
      <c r="I1" s="312" t="s">
        <v>232</v>
      </c>
      <c r="J1" s="312" t="s">
        <v>233</v>
      </c>
      <c r="K1" s="313" t="s">
        <v>234</v>
      </c>
      <c r="L1" s="313" t="s">
        <v>235</v>
      </c>
      <c r="M1" s="313" t="s">
        <v>236</v>
      </c>
      <c r="N1" s="313" t="s">
        <v>237</v>
      </c>
      <c r="O1" s="313" t="s">
        <v>238</v>
      </c>
      <c r="P1" s="313" t="s">
        <v>239</v>
      </c>
      <c r="Q1" s="313" t="s">
        <v>240</v>
      </c>
      <c r="R1" s="313" t="s">
        <v>241</v>
      </c>
      <c r="S1" s="312" t="s">
        <v>242</v>
      </c>
      <c r="T1" s="311" t="s">
        <v>243</v>
      </c>
      <c r="U1" s="311" t="s">
        <v>244</v>
      </c>
      <c r="V1" s="314" t="s">
        <v>245</v>
      </c>
      <c r="W1" s="315" t="s">
        <v>246</v>
      </c>
      <c r="X1" s="313" t="s">
        <v>247</v>
      </c>
      <c r="Y1" s="313" t="s">
        <v>248</v>
      </c>
      <c r="Z1" s="315" t="s">
        <v>249</v>
      </c>
      <c r="AA1" s="315" t="s">
        <v>250</v>
      </c>
      <c r="AB1" s="313" t="s">
        <v>251</v>
      </c>
      <c r="AC1" s="582" t="s">
        <v>252</v>
      </c>
      <c r="AD1" s="313" t="s">
        <v>253</v>
      </c>
      <c r="AE1" s="313" t="s">
        <v>254</v>
      </c>
      <c r="AF1" s="313" t="s">
        <v>255</v>
      </c>
      <c r="AG1" s="313" t="s">
        <v>256</v>
      </c>
      <c r="AH1" s="313" t="s">
        <v>257</v>
      </c>
      <c r="AI1" s="315" t="s">
        <v>258</v>
      </c>
      <c r="AJ1" s="315" t="s">
        <v>259</v>
      </c>
      <c r="AK1" s="315" t="s">
        <v>260</v>
      </c>
      <c r="AL1" s="315" t="s">
        <v>261</v>
      </c>
    </row>
    <row r="2" spans="1:41" ht="15.75">
      <c r="A2" s="175" t="s">
        <v>19</v>
      </c>
      <c r="B2" s="175">
        <v>0</v>
      </c>
      <c r="C2" s="2" t="s">
        <v>262</v>
      </c>
      <c r="D2" s="175" t="s">
        <v>263</v>
      </c>
      <c r="E2" s="176" t="s">
        <v>264</v>
      </c>
      <c r="F2" s="177" t="s">
        <v>265</v>
      </c>
      <c r="G2" s="175" t="s">
        <v>266</v>
      </c>
      <c r="H2" s="175" t="s">
        <v>267</v>
      </c>
      <c r="I2" s="178">
        <v>0.2</v>
      </c>
      <c r="J2" s="178">
        <v>0.3</v>
      </c>
      <c r="K2" s="175" t="s">
        <v>268</v>
      </c>
      <c r="L2" s="175" t="s">
        <v>269</v>
      </c>
      <c r="M2" s="175" t="s">
        <v>270</v>
      </c>
      <c r="N2" s="175" t="s">
        <v>271</v>
      </c>
      <c r="O2" s="175" t="s">
        <v>272</v>
      </c>
      <c r="P2" s="175" t="s">
        <v>273</v>
      </c>
      <c r="Q2" s="175" t="s">
        <v>274</v>
      </c>
      <c r="R2" s="175" t="s">
        <v>275</v>
      </c>
      <c r="S2" s="175" t="s">
        <v>242</v>
      </c>
      <c r="T2" s="175" t="s">
        <v>243</v>
      </c>
      <c r="U2" s="175" t="s">
        <v>244</v>
      </c>
      <c r="V2" s="175" t="s">
        <v>276</v>
      </c>
      <c r="W2" s="175" t="s">
        <v>277</v>
      </c>
      <c r="X2" s="627" t="s">
        <v>277</v>
      </c>
      <c r="Y2" s="175" t="s">
        <v>278</v>
      </c>
      <c r="Z2" s="175" t="s">
        <v>279</v>
      </c>
      <c r="AA2" s="175" t="s">
        <v>280</v>
      </c>
      <c r="AB2" t="s">
        <v>281</v>
      </c>
      <c r="AC2" s="177" t="s">
        <v>282</v>
      </c>
      <c r="AD2" s="175">
        <v>1</v>
      </c>
      <c r="AE2" s="175">
        <f>ROUNDUP(AD2/3,0)</f>
        <v>1</v>
      </c>
      <c r="AF2" s="175">
        <v>1</v>
      </c>
      <c r="AG2" s="175" t="s">
        <v>283</v>
      </c>
      <c r="AH2" s="175" t="s">
        <v>284</v>
      </c>
      <c r="AI2" s="175" t="s">
        <v>285</v>
      </c>
      <c r="AJ2" s="175" t="s">
        <v>286</v>
      </c>
      <c r="AK2" s="175" t="s">
        <v>287</v>
      </c>
      <c r="AL2" s="175" t="s">
        <v>287</v>
      </c>
      <c r="AM2" s="175"/>
      <c r="AN2" s="175"/>
      <c r="AO2" s="175"/>
    </row>
    <row r="3" spans="1:41" ht="15.75">
      <c r="A3" s="175" t="s">
        <v>13</v>
      </c>
      <c r="B3" s="175">
        <v>1</v>
      </c>
      <c r="C3" s="2" t="s">
        <v>288</v>
      </c>
      <c r="D3" s="175" t="s">
        <v>289</v>
      </c>
      <c r="E3" s="176" t="s">
        <v>290</v>
      </c>
      <c r="F3" s="179" t="s">
        <v>291</v>
      </c>
      <c r="G3" s="175" t="s">
        <v>292</v>
      </c>
      <c r="H3" s="175" t="s">
        <v>293</v>
      </c>
      <c r="I3" s="178">
        <v>0.3</v>
      </c>
      <c r="J3" s="178">
        <v>0.6</v>
      </c>
      <c r="K3" s="175" t="s">
        <v>294</v>
      </c>
      <c r="L3" s="175" t="s">
        <v>295</v>
      </c>
      <c r="M3" s="175" t="s">
        <v>296</v>
      </c>
      <c r="N3" s="175" t="s">
        <v>297</v>
      </c>
      <c r="O3" s="175" t="s">
        <v>298</v>
      </c>
      <c r="P3" s="175" t="s">
        <v>299</v>
      </c>
      <c r="Q3" s="175" t="s">
        <v>287</v>
      </c>
      <c r="R3" s="175" t="s">
        <v>300</v>
      </c>
      <c r="S3" s="175">
        <v>0</v>
      </c>
      <c r="T3" s="175">
        <v>1</v>
      </c>
      <c r="U3" s="175" t="s">
        <v>301</v>
      </c>
      <c r="V3" s="175" t="s">
        <v>302</v>
      </c>
      <c r="W3" s="175" t="s">
        <v>303</v>
      </c>
      <c r="X3" s="627" t="s">
        <v>304</v>
      </c>
      <c r="Y3" s="175" t="s">
        <v>17</v>
      </c>
      <c r="Z3" s="175" t="s">
        <v>305</v>
      </c>
      <c r="AA3" s="175" t="s">
        <v>306</v>
      </c>
      <c r="AB3" t="s">
        <v>307</v>
      </c>
      <c r="AC3" s="177" t="s">
        <v>308</v>
      </c>
      <c r="AD3" s="175">
        <v>2</v>
      </c>
      <c r="AE3" s="175">
        <f t="shared" ref="AE3:AE66" si="0">ROUNDUP(AD3/3,0)</f>
        <v>1</v>
      </c>
      <c r="AF3" s="175">
        <v>2</v>
      </c>
      <c r="AG3" s="175" t="s">
        <v>309</v>
      </c>
      <c r="AH3" s="175" t="s">
        <v>310</v>
      </c>
      <c r="AI3" s="175" t="s">
        <v>311</v>
      </c>
      <c r="AJ3" s="175" t="s">
        <v>312</v>
      </c>
      <c r="AK3" s="175" t="s">
        <v>274</v>
      </c>
      <c r="AL3" s="175" t="s">
        <v>274</v>
      </c>
      <c r="AM3" s="175"/>
      <c r="AN3" s="175"/>
      <c r="AO3" s="175"/>
    </row>
    <row r="4" spans="1:41" ht="15.75">
      <c r="A4" s="175"/>
      <c r="B4" s="175">
        <v>2</v>
      </c>
      <c r="C4" s="2" t="s">
        <v>313</v>
      </c>
      <c r="D4" s="175" t="s">
        <v>314</v>
      </c>
      <c r="E4" s="175" t="s">
        <v>315</v>
      </c>
      <c r="F4" s="177" t="s">
        <v>316</v>
      </c>
      <c r="G4" s="175" t="s">
        <v>317</v>
      </c>
      <c r="H4" s="175" t="s">
        <v>318</v>
      </c>
      <c r="I4" s="178">
        <v>0.4</v>
      </c>
      <c r="J4" s="178"/>
      <c r="K4" s="175"/>
      <c r="L4" s="175" t="s">
        <v>319</v>
      </c>
      <c r="M4" s="175" t="s">
        <v>320</v>
      </c>
      <c r="N4" s="175" t="s">
        <v>321</v>
      </c>
      <c r="O4" s="175"/>
      <c r="P4" s="175" t="s">
        <v>322</v>
      </c>
      <c r="Q4" s="175" t="s">
        <v>323</v>
      </c>
      <c r="R4" s="175" t="s">
        <v>324</v>
      </c>
      <c r="S4" s="175">
        <v>1</v>
      </c>
      <c r="T4" s="175">
        <v>1.5</v>
      </c>
      <c r="U4" s="175" t="s">
        <v>325</v>
      </c>
      <c r="V4" s="175" t="s">
        <v>268</v>
      </c>
      <c r="W4" s="175" t="s">
        <v>326</v>
      </c>
      <c r="X4" s="627" t="s">
        <v>327</v>
      </c>
      <c r="Y4" s="175"/>
      <c r="Z4" s="175" t="s">
        <v>328</v>
      </c>
      <c r="AB4" t="s">
        <v>329</v>
      </c>
      <c r="AC4" s="177" t="s">
        <v>330</v>
      </c>
      <c r="AD4" s="175">
        <v>3</v>
      </c>
      <c r="AE4" s="175">
        <f t="shared" si="0"/>
        <v>1</v>
      </c>
      <c r="AF4" s="175">
        <v>3</v>
      </c>
      <c r="AG4" s="175"/>
      <c r="AH4" s="175" t="s">
        <v>331</v>
      </c>
      <c r="AI4" s="175" t="s">
        <v>332</v>
      </c>
      <c r="AJ4" s="175" t="s">
        <v>333</v>
      </c>
      <c r="AK4" s="175" t="s">
        <v>334</v>
      </c>
      <c r="AL4" s="175" t="s">
        <v>335</v>
      </c>
      <c r="AM4" s="175"/>
      <c r="AN4" s="175"/>
      <c r="AO4" s="175"/>
    </row>
    <row r="5" spans="1:41" ht="15.75">
      <c r="A5" s="175"/>
      <c r="B5" s="175"/>
      <c r="C5" s="2" t="s">
        <v>336</v>
      </c>
      <c r="D5" s="175" t="s">
        <v>337</v>
      </c>
      <c r="E5" s="175"/>
      <c r="G5" s="175"/>
      <c r="H5" s="175" t="s">
        <v>338</v>
      </c>
      <c r="I5" s="178">
        <v>0.5</v>
      </c>
      <c r="J5" s="178"/>
      <c r="K5" s="175"/>
      <c r="L5" s="175" t="s">
        <v>339</v>
      </c>
      <c r="M5" s="175"/>
      <c r="N5" s="175" t="s">
        <v>340</v>
      </c>
      <c r="O5" s="175"/>
      <c r="P5" s="175"/>
      <c r="Q5" s="175" t="s">
        <v>341</v>
      </c>
      <c r="R5" s="175" t="s">
        <v>342</v>
      </c>
      <c r="S5" s="175">
        <v>2</v>
      </c>
      <c r="T5" s="175">
        <v>2</v>
      </c>
      <c r="U5" s="175" t="s">
        <v>343</v>
      </c>
      <c r="V5" s="175" t="s">
        <v>344</v>
      </c>
      <c r="W5" s="175" t="s">
        <v>327</v>
      </c>
      <c r="X5" s="627"/>
      <c r="Y5" s="175"/>
      <c r="Z5" s="175" t="s">
        <v>345</v>
      </c>
      <c r="AB5" t="s">
        <v>346</v>
      </c>
      <c r="AC5" s="177" t="s">
        <v>347</v>
      </c>
      <c r="AD5" s="175">
        <v>4</v>
      </c>
      <c r="AE5" s="175">
        <f t="shared" si="0"/>
        <v>2</v>
      </c>
      <c r="AF5" s="175">
        <v>4</v>
      </c>
      <c r="AG5" s="175"/>
      <c r="AH5" s="175" t="s">
        <v>348</v>
      </c>
      <c r="AI5" s="175" t="s">
        <v>349</v>
      </c>
      <c r="AJ5" s="175" t="s">
        <v>350</v>
      </c>
      <c r="AK5" s="175" t="s">
        <v>341</v>
      </c>
      <c r="AL5" s="175" t="s">
        <v>341</v>
      </c>
      <c r="AM5" s="175"/>
      <c r="AN5" s="175"/>
      <c r="AO5" s="175"/>
    </row>
    <row r="6" spans="1:41" ht="15.75">
      <c r="A6" s="175" t="s">
        <v>19</v>
      </c>
      <c r="B6" s="175"/>
      <c r="C6" s="2" t="s">
        <v>281</v>
      </c>
      <c r="D6" s="175" t="s">
        <v>351</v>
      </c>
      <c r="E6" s="175"/>
      <c r="F6" s="177"/>
      <c r="G6" s="175"/>
      <c r="H6" s="175"/>
      <c r="I6" s="178">
        <v>0.6</v>
      </c>
      <c r="J6" s="178"/>
      <c r="K6" s="175"/>
      <c r="L6" s="175" t="s">
        <v>352</v>
      </c>
      <c r="M6" s="175"/>
      <c r="N6" s="175" t="s">
        <v>353</v>
      </c>
      <c r="O6" s="175"/>
      <c r="P6" s="175"/>
      <c r="Q6" s="175"/>
      <c r="R6" s="175" t="s">
        <v>354</v>
      </c>
      <c r="S6" s="175">
        <v>3</v>
      </c>
      <c r="T6" s="175">
        <v>2.5</v>
      </c>
      <c r="U6" s="175" t="s">
        <v>355</v>
      </c>
      <c r="V6" s="175" t="s">
        <v>356</v>
      </c>
      <c r="W6" s="175"/>
      <c r="X6" s="627"/>
      <c r="Y6" s="175"/>
      <c r="Z6" s="175" t="s">
        <v>357</v>
      </c>
      <c r="AA6" s="175"/>
      <c r="AB6" t="s">
        <v>358</v>
      </c>
      <c r="AC6" s="177" t="s">
        <v>359</v>
      </c>
      <c r="AD6" s="175">
        <v>5</v>
      </c>
      <c r="AE6" s="175">
        <f t="shared" si="0"/>
        <v>2</v>
      </c>
      <c r="AF6" s="175">
        <v>5</v>
      </c>
      <c r="AG6" s="175"/>
      <c r="AH6" s="175" t="s">
        <v>360</v>
      </c>
      <c r="AI6" s="175" t="s">
        <v>361</v>
      </c>
      <c r="AJ6" s="175" t="s">
        <v>341</v>
      </c>
      <c r="AK6" s="175"/>
      <c r="AL6" s="175"/>
      <c r="AM6" s="175"/>
      <c r="AN6" s="175"/>
      <c r="AO6" s="175"/>
    </row>
    <row r="7" spans="1:41" ht="15.75">
      <c r="A7" s="175" t="s">
        <v>17</v>
      </c>
      <c r="B7" s="175"/>
      <c r="C7" s="2" t="s">
        <v>362</v>
      </c>
      <c r="D7" s="175" t="s">
        <v>363</v>
      </c>
      <c r="E7" s="175"/>
      <c r="F7" s="177"/>
      <c r="G7" s="175"/>
      <c r="H7" s="175"/>
      <c r="I7" s="178">
        <v>0.7</v>
      </c>
      <c r="J7" s="178"/>
      <c r="K7" s="175"/>
      <c r="L7" s="175" t="s">
        <v>364</v>
      </c>
      <c r="M7" s="175"/>
      <c r="N7" s="175" t="s">
        <v>365</v>
      </c>
      <c r="O7" s="175"/>
      <c r="P7" s="175"/>
      <c r="Q7" s="175"/>
      <c r="R7" s="175" t="s">
        <v>366</v>
      </c>
      <c r="S7" s="175">
        <v>4</v>
      </c>
      <c r="T7" s="175">
        <v>3</v>
      </c>
      <c r="U7" s="175" t="s">
        <v>367</v>
      </c>
      <c r="V7" s="175" t="s">
        <v>365</v>
      </c>
      <c r="W7" s="175"/>
      <c r="X7" s="627"/>
      <c r="Y7" s="175"/>
      <c r="Z7" s="175" t="s">
        <v>368</v>
      </c>
      <c r="AA7" s="175"/>
      <c r="AB7" t="s">
        <v>369</v>
      </c>
      <c r="AC7" s="177" t="s">
        <v>370</v>
      </c>
      <c r="AD7" s="175">
        <v>6</v>
      </c>
      <c r="AE7" s="175">
        <f t="shared" si="0"/>
        <v>2</v>
      </c>
      <c r="AF7" s="175">
        <v>6</v>
      </c>
      <c r="AG7" s="175"/>
      <c r="AH7" s="175"/>
      <c r="AI7" s="175"/>
      <c r="AJ7" s="175"/>
      <c r="AK7" s="175"/>
      <c r="AL7" s="175"/>
      <c r="AM7" s="175"/>
      <c r="AN7" s="175"/>
      <c r="AO7" s="175"/>
    </row>
    <row r="8" spans="1:41" ht="15.75">
      <c r="A8" s="175"/>
      <c r="B8" s="175"/>
      <c r="C8" s="2" t="s">
        <v>371</v>
      </c>
      <c r="D8" s="175" t="s">
        <v>372</v>
      </c>
      <c r="E8" s="175"/>
      <c r="F8" s="179"/>
      <c r="G8" s="175"/>
      <c r="H8" s="175"/>
      <c r="I8" s="178">
        <v>0.8</v>
      </c>
      <c r="J8" s="178"/>
      <c r="K8" s="175"/>
      <c r="L8" s="175" t="s">
        <v>365</v>
      </c>
      <c r="M8" s="175"/>
      <c r="N8" s="175"/>
      <c r="O8" s="175"/>
      <c r="P8" s="175"/>
      <c r="Q8" s="175"/>
      <c r="R8" s="175" t="s">
        <v>373</v>
      </c>
      <c r="S8" s="175">
        <v>5</v>
      </c>
      <c r="T8" s="175"/>
      <c r="U8" s="175" t="s">
        <v>374</v>
      </c>
      <c r="V8" s="175"/>
      <c r="W8" s="175"/>
      <c r="X8" s="627"/>
      <c r="Y8" s="175"/>
      <c r="Z8" s="175" t="s">
        <v>375</v>
      </c>
      <c r="AA8" s="175"/>
      <c r="AB8" t="s">
        <v>376</v>
      </c>
      <c r="AC8" s="177" t="s">
        <v>377</v>
      </c>
      <c r="AD8" s="175">
        <v>7</v>
      </c>
      <c r="AE8" s="175">
        <f t="shared" si="0"/>
        <v>3</v>
      </c>
      <c r="AF8" s="175">
        <v>7</v>
      </c>
      <c r="AG8" s="175"/>
      <c r="AH8" s="175"/>
      <c r="AI8" s="175"/>
      <c r="AJ8" s="175"/>
      <c r="AK8" s="175"/>
      <c r="AL8" s="175"/>
      <c r="AM8" s="175"/>
      <c r="AN8" s="175"/>
      <c r="AO8" s="175"/>
    </row>
    <row r="9" spans="1:41" ht="15.75">
      <c r="A9" s="175"/>
      <c r="B9" s="175"/>
      <c r="C9" s="2" t="s">
        <v>307</v>
      </c>
      <c r="E9" s="175"/>
      <c r="F9" s="180"/>
      <c r="G9" s="175"/>
      <c r="H9" s="175"/>
      <c r="I9" s="178"/>
      <c r="J9" s="178"/>
      <c r="K9" s="175"/>
      <c r="L9" s="175"/>
      <c r="M9" s="175"/>
      <c r="N9" s="175"/>
      <c r="O9" s="175"/>
      <c r="P9" s="175"/>
      <c r="Q9" s="175"/>
      <c r="R9" s="175" t="s">
        <v>378</v>
      </c>
      <c r="S9" s="175"/>
      <c r="T9" s="175"/>
      <c r="U9" s="175" t="s">
        <v>379</v>
      </c>
      <c r="V9" s="175"/>
      <c r="W9" s="175"/>
      <c r="X9" s="627"/>
      <c r="Y9" s="175"/>
      <c r="Z9" s="175" t="s">
        <v>380</v>
      </c>
      <c r="AA9" s="175"/>
      <c r="AB9" t="s">
        <v>381</v>
      </c>
      <c r="AC9" s="177" t="s">
        <v>382</v>
      </c>
      <c r="AD9" s="175">
        <v>8</v>
      </c>
      <c r="AE9" s="175">
        <f t="shared" si="0"/>
        <v>3</v>
      </c>
      <c r="AF9" s="175">
        <v>8</v>
      </c>
      <c r="AG9" s="175"/>
      <c r="AH9" s="175"/>
      <c r="AI9" s="175"/>
      <c r="AJ9" s="175"/>
      <c r="AK9" s="175"/>
      <c r="AL9" s="175"/>
      <c r="AM9" s="175"/>
      <c r="AN9" s="175"/>
      <c r="AO9" s="175"/>
    </row>
    <row r="10" spans="1:41" ht="15.75">
      <c r="A10" s="175"/>
      <c r="B10" s="175"/>
      <c r="C10" s="2" t="s">
        <v>329</v>
      </c>
      <c r="E10" s="175"/>
      <c r="F10" s="180"/>
      <c r="G10" s="175"/>
      <c r="H10" s="175"/>
      <c r="I10" s="178"/>
      <c r="J10" s="178"/>
      <c r="K10" s="175"/>
      <c r="L10" s="175"/>
      <c r="M10" s="175"/>
      <c r="N10" s="175"/>
      <c r="O10" s="175"/>
      <c r="P10" s="175"/>
      <c r="Q10" s="175"/>
      <c r="R10" s="175" t="s">
        <v>341</v>
      </c>
      <c r="S10" s="175"/>
      <c r="T10" s="175"/>
      <c r="U10" s="175" t="s">
        <v>383</v>
      </c>
      <c r="V10" s="175"/>
      <c r="W10" s="175"/>
      <c r="X10" s="627"/>
      <c r="Y10" s="175"/>
      <c r="Z10" s="175" t="s">
        <v>384</v>
      </c>
      <c r="AA10" s="175"/>
      <c r="AB10" t="s">
        <v>385</v>
      </c>
      <c r="AC10" s="177" t="s">
        <v>386</v>
      </c>
      <c r="AD10" s="175">
        <v>9</v>
      </c>
      <c r="AE10" s="175">
        <f t="shared" si="0"/>
        <v>3</v>
      </c>
      <c r="AF10" s="175"/>
      <c r="AG10" s="175"/>
      <c r="AH10" s="175"/>
      <c r="AI10" s="175"/>
      <c r="AJ10" s="175"/>
      <c r="AK10" s="175"/>
      <c r="AL10" s="175"/>
      <c r="AM10" s="175"/>
      <c r="AN10" s="175"/>
      <c r="AO10" s="175"/>
    </row>
    <row r="11" spans="1:41" ht="15.75">
      <c r="A11" s="175"/>
      <c r="B11" s="175"/>
      <c r="C11" s="2" t="s">
        <v>387</v>
      </c>
      <c r="E11" s="175"/>
      <c r="F11" s="175"/>
      <c r="G11" s="175"/>
      <c r="H11" s="175"/>
      <c r="I11" s="175"/>
      <c r="J11" s="175"/>
      <c r="K11" s="175"/>
      <c r="L11" s="175"/>
      <c r="M11" s="175"/>
      <c r="N11" s="175"/>
      <c r="O11" s="175"/>
      <c r="P11" s="175"/>
      <c r="Q11" s="175"/>
      <c r="R11" s="175"/>
      <c r="S11" s="175"/>
      <c r="T11" s="175"/>
      <c r="U11" s="175" t="s">
        <v>388</v>
      </c>
      <c r="V11" s="175"/>
      <c r="W11" s="175"/>
      <c r="X11" s="627"/>
      <c r="Y11" s="175"/>
      <c r="Z11" s="175" t="s">
        <v>389</v>
      </c>
      <c r="AA11" s="175"/>
      <c r="AB11" t="s">
        <v>390</v>
      </c>
      <c r="AC11" s="177" t="s">
        <v>391</v>
      </c>
      <c r="AD11" s="175">
        <v>10</v>
      </c>
      <c r="AE11" s="175">
        <f t="shared" si="0"/>
        <v>4</v>
      </c>
      <c r="AF11" s="175"/>
      <c r="AG11" s="175"/>
      <c r="AH11" s="175"/>
      <c r="AI11" s="175"/>
      <c r="AJ11" s="175"/>
      <c r="AK11" s="175"/>
      <c r="AL11" s="175"/>
      <c r="AM11" s="175"/>
      <c r="AN11" s="175"/>
      <c r="AO11" s="175"/>
    </row>
    <row r="12" spans="1:41" ht="15.75">
      <c r="A12" s="175"/>
      <c r="B12" s="175"/>
      <c r="C12" s="2" t="s">
        <v>346</v>
      </c>
      <c r="E12" s="175"/>
      <c r="F12" s="175"/>
      <c r="G12" s="175"/>
      <c r="H12" s="175"/>
      <c r="I12" s="175"/>
      <c r="J12" s="175"/>
      <c r="K12" s="175"/>
      <c r="L12" s="175"/>
      <c r="M12" s="175"/>
      <c r="N12" s="175"/>
      <c r="O12" s="175"/>
      <c r="P12" s="175"/>
      <c r="Q12" s="175"/>
      <c r="R12" s="175"/>
      <c r="S12" s="175"/>
      <c r="T12" s="175"/>
      <c r="U12" s="175" t="s">
        <v>392</v>
      </c>
      <c r="V12" s="175"/>
      <c r="W12" s="175"/>
      <c r="X12" s="627"/>
      <c r="Y12" s="175"/>
      <c r="Z12" s="175"/>
      <c r="AA12" s="175"/>
      <c r="AB12" t="s">
        <v>393</v>
      </c>
      <c r="AC12" s="177" t="s">
        <v>394</v>
      </c>
      <c r="AD12" s="175">
        <v>11</v>
      </c>
      <c r="AE12" s="175">
        <f t="shared" si="0"/>
        <v>4</v>
      </c>
      <c r="AF12" s="175"/>
      <c r="AG12" s="175"/>
      <c r="AH12" s="175"/>
      <c r="AI12" s="175"/>
      <c r="AJ12" s="175"/>
      <c r="AK12" s="175"/>
      <c r="AL12" s="175"/>
      <c r="AM12" s="175"/>
      <c r="AN12" s="175"/>
      <c r="AO12" s="175"/>
    </row>
    <row r="13" spans="1:41" ht="15.75">
      <c r="A13" s="175"/>
      <c r="B13" s="175"/>
      <c r="C13" s="2" t="s">
        <v>395</v>
      </c>
      <c r="D13" s="175"/>
      <c r="E13" s="175"/>
      <c r="F13" s="175"/>
      <c r="G13" s="175"/>
      <c r="H13" s="175"/>
      <c r="I13" s="175"/>
      <c r="J13" s="175"/>
      <c r="K13" s="175"/>
      <c r="L13" s="175"/>
      <c r="M13" s="175"/>
      <c r="N13" s="175"/>
      <c r="O13" s="175"/>
      <c r="P13" s="175"/>
      <c r="Q13" s="175"/>
      <c r="R13" s="175"/>
      <c r="S13" s="175"/>
      <c r="T13" s="175"/>
      <c r="U13" s="175" t="s">
        <v>396</v>
      </c>
      <c r="V13" s="175"/>
      <c r="W13" s="175"/>
      <c r="X13" s="627"/>
      <c r="Y13" s="175"/>
      <c r="Z13" s="175"/>
      <c r="AA13" s="175"/>
      <c r="AB13" t="s">
        <v>397</v>
      </c>
      <c r="AC13" s="177"/>
      <c r="AD13" s="175">
        <v>12</v>
      </c>
      <c r="AE13" s="175">
        <f t="shared" si="0"/>
        <v>4</v>
      </c>
      <c r="AF13" s="175"/>
      <c r="AG13" s="175"/>
      <c r="AH13" s="175"/>
      <c r="AI13" s="175"/>
      <c r="AJ13" s="175"/>
      <c r="AK13" s="175"/>
      <c r="AL13" s="175"/>
      <c r="AM13" s="175"/>
      <c r="AN13" s="175"/>
      <c r="AO13" s="175"/>
    </row>
    <row r="14" spans="1:41" ht="15.75">
      <c r="A14" s="175"/>
      <c r="B14" s="175"/>
      <c r="C14" s="2" t="s">
        <v>358</v>
      </c>
      <c r="D14" s="175"/>
      <c r="E14" s="175"/>
      <c r="F14" s="175"/>
      <c r="G14" s="175"/>
      <c r="H14" s="175"/>
      <c r="I14" s="175"/>
      <c r="J14" s="175"/>
      <c r="K14" s="175"/>
      <c r="L14" s="175"/>
      <c r="M14" s="175"/>
      <c r="N14" s="175"/>
      <c r="O14" s="175"/>
      <c r="P14" s="175"/>
      <c r="Q14" s="175"/>
      <c r="R14" s="175"/>
      <c r="S14" s="175"/>
      <c r="T14" s="175"/>
      <c r="U14" s="175" t="s">
        <v>398</v>
      </c>
      <c r="V14" s="175"/>
      <c r="W14" s="175"/>
      <c r="X14" s="627"/>
      <c r="Y14" s="175"/>
      <c r="Z14" s="175"/>
      <c r="AA14" s="175"/>
      <c r="AB14" t="s">
        <v>399</v>
      </c>
      <c r="AC14" s="177"/>
      <c r="AD14" s="175">
        <v>13</v>
      </c>
      <c r="AE14" s="175">
        <f t="shared" si="0"/>
        <v>5</v>
      </c>
      <c r="AF14" s="175"/>
      <c r="AG14" s="175"/>
      <c r="AH14" s="175"/>
      <c r="AI14" s="175"/>
      <c r="AJ14" s="175"/>
      <c r="AK14" s="175"/>
      <c r="AL14" s="175"/>
      <c r="AM14" s="175"/>
      <c r="AN14" s="175"/>
      <c r="AO14" s="175"/>
    </row>
    <row r="15" spans="1:41" ht="15.75">
      <c r="A15" s="175"/>
      <c r="B15" s="175"/>
      <c r="C15" s="2" t="s">
        <v>400</v>
      </c>
      <c r="D15" s="175"/>
      <c r="E15" s="175"/>
      <c r="F15" s="175"/>
      <c r="G15" s="175"/>
      <c r="H15" s="175"/>
      <c r="I15" s="175"/>
      <c r="J15" s="175"/>
      <c r="K15" s="175"/>
      <c r="L15" s="175"/>
      <c r="M15" s="175"/>
      <c r="N15" s="175"/>
      <c r="O15" s="175"/>
      <c r="P15" s="175"/>
      <c r="Q15" s="175"/>
      <c r="R15" s="175"/>
      <c r="S15" s="175"/>
      <c r="T15" s="175"/>
      <c r="U15" s="175" t="s">
        <v>401</v>
      </c>
      <c r="V15" s="175"/>
      <c r="W15" s="175"/>
      <c r="X15" s="627"/>
      <c r="Y15" s="175"/>
      <c r="Z15" s="175"/>
      <c r="AA15" s="175"/>
      <c r="AB15" t="s">
        <v>402</v>
      </c>
      <c r="AC15" s="177"/>
      <c r="AD15" s="175">
        <v>14</v>
      </c>
      <c r="AE15" s="175">
        <f t="shared" si="0"/>
        <v>5</v>
      </c>
      <c r="AF15" s="175"/>
      <c r="AG15" s="175"/>
      <c r="AH15" s="175"/>
      <c r="AI15" s="175"/>
      <c r="AJ15" s="175"/>
      <c r="AK15" s="175"/>
      <c r="AL15" s="175"/>
      <c r="AM15" s="175"/>
      <c r="AN15" s="175"/>
      <c r="AO15" s="175"/>
    </row>
    <row r="16" spans="1:41" ht="15.75">
      <c r="A16" s="175"/>
      <c r="B16" s="175"/>
      <c r="C16" s="2" t="s">
        <v>403</v>
      </c>
      <c r="D16" s="175"/>
      <c r="E16" s="175"/>
      <c r="F16" s="175"/>
      <c r="G16" s="175"/>
      <c r="H16" s="175"/>
      <c r="I16" s="175"/>
      <c r="J16" s="175"/>
      <c r="K16" s="175"/>
      <c r="L16" s="175"/>
      <c r="M16" s="175"/>
      <c r="N16" s="175"/>
      <c r="O16" s="175"/>
      <c r="P16" s="175"/>
      <c r="Q16" s="175"/>
      <c r="R16" s="175"/>
      <c r="S16" s="175"/>
      <c r="T16" s="175"/>
      <c r="U16" s="175" t="s">
        <v>404</v>
      </c>
      <c r="V16" s="175"/>
      <c r="W16" s="175"/>
      <c r="X16" s="627"/>
      <c r="Y16" s="175"/>
      <c r="Z16" s="175"/>
      <c r="AA16" s="175"/>
      <c r="AB16" t="s">
        <v>405</v>
      </c>
      <c r="AC16" s="177"/>
      <c r="AD16" s="175">
        <v>15</v>
      </c>
      <c r="AE16" s="175">
        <f t="shared" si="0"/>
        <v>5</v>
      </c>
      <c r="AF16" s="175"/>
      <c r="AG16" s="175"/>
      <c r="AH16" s="175"/>
      <c r="AI16" s="175"/>
      <c r="AJ16" s="175"/>
      <c r="AK16" s="175"/>
      <c r="AL16" s="175"/>
      <c r="AM16" s="175"/>
      <c r="AN16" s="175"/>
      <c r="AO16" s="175"/>
    </row>
    <row r="17" spans="1:41" ht="15.75">
      <c r="A17" s="175"/>
      <c r="B17" s="175"/>
      <c r="C17" s="2" t="s">
        <v>369</v>
      </c>
      <c r="D17" s="175"/>
      <c r="E17" s="175"/>
      <c r="F17" s="175"/>
      <c r="G17" s="175"/>
      <c r="H17" s="175"/>
      <c r="I17" s="175"/>
      <c r="J17" s="175"/>
      <c r="K17" s="175"/>
      <c r="L17" s="175"/>
      <c r="M17" s="175"/>
      <c r="N17" s="175"/>
      <c r="O17" s="175"/>
      <c r="P17" s="175"/>
      <c r="Q17" s="175"/>
      <c r="R17" s="175"/>
      <c r="S17" s="175"/>
      <c r="T17" s="175"/>
      <c r="U17" s="175" t="s">
        <v>406</v>
      </c>
      <c r="V17" s="175"/>
      <c r="W17" s="175"/>
      <c r="X17" s="627"/>
      <c r="Y17" s="175"/>
      <c r="Z17" s="175"/>
      <c r="AA17" s="175"/>
      <c r="AB17" t="s">
        <v>407</v>
      </c>
      <c r="AC17" s="583"/>
      <c r="AD17" s="175">
        <v>16</v>
      </c>
      <c r="AE17" s="175">
        <f t="shared" si="0"/>
        <v>6</v>
      </c>
      <c r="AF17" s="175"/>
      <c r="AG17" s="175"/>
      <c r="AH17" s="175"/>
      <c r="AI17" s="175"/>
      <c r="AJ17" s="175"/>
      <c r="AK17" s="175"/>
      <c r="AL17" s="175"/>
      <c r="AM17" s="175"/>
      <c r="AN17" s="175"/>
      <c r="AO17" s="175"/>
    </row>
    <row r="18" spans="1:41" ht="15.75">
      <c r="A18" s="175"/>
      <c r="B18" s="175"/>
      <c r="C18" s="2" t="s">
        <v>408</v>
      </c>
      <c r="D18" s="175"/>
      <c r="E18" s="175"/>
      <c r="F18" s="175"/>
      <c r="G18" s="175"/>
      <c r="H18" s="175"/>
      <c r="I18" s="175"/>
      <c r="J18" s="175"/>
      <c r="K18" s="175"/>
      <c r="L18" s="175"/>
      <c r="M18" s="175"/>
      <c r="N18" s="175"/>
      <c r="O18" s="175"/>
      <c r="P18" s="175"/>
      <c r="Q18" s="175"/>
      <c r="R18" s="175"/>
      <c r="S18" s="175"/>
      <c r="T18" s="175"/>
      <c r="U18" s="175" t="s">
        <v>409</v>
      </c>
      <c r="V18" s="175"/>
      <c r="W18" s="175"/>
      <c r="X18" s="627"/>
      <c r="Y18" s="175"/>
      <c r="Z18" s="175"/>
      <c r="AA18" s="175"/>
      <c r="AB18" t="s">
        <v>410</v>
      </c>
      <c r="AC18" s="177"/>
      <c r="AD18" s="175">
        <v>17</v>
      </c>
      <c r="AE18" s="175">
        <f t="shared" si="0"/>
        <v>6</v>
      </c>
      <c r="AF18" s="175"/>
      <c r="AG18" s="175"/>
      <c r="AH18" s="175"/>
      <c r="AI18" s="175"/>
      <c r="AJ18" s="175"/>
      <c r="AK18" s="175"/>
      <c r="AL18" s="175"/>
      <c r="AM18" s="175"/>
      <c r="AN18" s="175"/>
      <c r="AO18" s="175"/>
    </row>
    <row r="19" spans="1:41" ht="15.75">
      <c r="A19" s="175"/>
      <c r="B19" s="175"/>
      <c r="C19" s="2" t="s">
        <v>376</v>
      </c>
      <c r="D19" s="175"/>
      <c r="E19" s="175"/>
      <c r="F19" s="175"/>
      <c r="G19" s="175"/>
      <c r="H19" s="175"/>
      <c r="I19" s="175"/>
      <c r="J19" s="175"/>
      <c r="K19" s="175"/>
      <c r="L19" s="175"/>
      <c r="M19" s="175"/>
      <c r="N19" s="175"/>
      <c r="O19" s="175"/>
      <c r="P19" s="175"/>
      <c r="Q19" s="175"/>
      <c r="R19" s="175"/>
      <c r="S19" s="175"/>
      <c r="T19" s="175"/>
      <c r="U19" s="175" t="s">
        <v>411</v>
      </c>
      <c r="V19" s="175"/>
      <c r="W19" s="175"/>
      <c r="X19" s="627"/>
      <c r="Y19" s="175"/>
      <c r="Z19" s="175"/>
      <c r="AA19" s="175"/>
      <c r="AB19" t="s">
        <v>412</v>
      </c>
      <c r="AC19" s="177"/>
      <c r="AD19" s="175">
        <v>18</v>
      </c>
      <c r="AE19" s="175">
        <f t="shared" si="0"/>
        <v>6</v>
      </c>
      <c r="AF19" s="175"/>
      <c r="AG19" s="175"/>
      <c r="AH19" s="175"/>
      <c r="AI19" s="175"/>
      <c r="AJ19" s="175"/>
      <c r="AK19" s="175"/>
      <c r="AL19" s="175"/>
      <c r="AM19" s="175"/>
      <c r="AN19" s="175"/>
      <c r="AO19" s="175"/>
    </row>
    <row r="20" spans="1:41" ht="15.75">
      <c r="A20" s="175"/>
      <c r="B20" s="175"/>
      <c r="C20" s="2" t="s">
        <v>413</v>
      </c>
      <c r="D20" s="175"/>
      <c r="E20" s="175"/>
      <c r="F20" s="175"/>
      <c r="G20" s="175"/>
      <c r="H20" s="175"/>
      <c r="I20" s="175"/>
      <c r="J20" s="175"/>
      <c r="K20" s="175"/>
      <c r="L20" s="175"/>
      <c r="M20" s="175"/>
      <c r="N20" s="175"/>
      <c r="O20" s="175"/>
      <c r="P20" s="175"/>
      <c r="Q20" s="175"/>
      <c r="R20" s="175"/>
      <c r="S20" s="175"/>
      <c r="T20" s="175"/>
      <c r="U20" s="175" t="s">
        <v>414</v>
      </c>
      <c r="V20" s="175"/>
      <c r="W20" s="175"/>
      <c r="X20" s="627"/>
      <c r="Y20" s="175"/>
      <c r="Z20" s="175"/>
      <c r="AA20" s="175"/>
      <c r="AB20" t="s">
        <v>415</v>
      </c>
      <c r="AC20" s="177"/>
      <c r="AD20" s="175">
        <v>19</v>
      </c>
      <c r="AE20" s="175">
        <f t="shared" si="0"/>
        <v>7</v>
      </c>
      <c r="AF20" s="175"/>
      <c r="AG20" s="175"/>
      <c r="AH20" s="175"/>
      <c r="AI20" s="175"/>
      <c r="AJ20" s="175"/>
      <c r="AK20" s="175"/>
      <c r="AL20" s="175"/>
      <c r="AM20" s="175"/>
      <c r="AN20" s="175"/>
      <c r="AO20" s="175"/>
    </row>
    <row r="21" spans="1:41" ht="15.75">
      <c r="A21" s="175"/>
      <c r="B21" s="175"/>
      <c r="C21" s="2" t="s">
        <v>381</v>
      </c>
      <c r="D21" s="175"/>
      <c r="E21" s="175"/>
      <c r="F21" s="175"/>
      <c r="G21" s="175"/>
      <c r="H21" s="175"/>
      <c r="I21" s="175"/>
      <c r="J21" s="175"/>
      <c r="K21" s="175"/>
      <c r="L21" s="175"/>
      <c r="M21" s="175"/>
      <c r="N21" s="175"/>
      <c r="O21" s="175"/>
      <c r="P21" s="175"/>
      <c r="Q21" s="175"/>
      <c r="R21" s="175"/>
      <c r="S21" s="175"/>
      <c r="T21" s="175"/>
      <c r="U21" s="175" t="s">
        <v>416</v>
      </c>
      <c r="V21" s="175"/>
      <c r="W21" s="175"/>
      <c r="X21" s="627"/>
      <c r="Y21" s="175"/>
      <c r="Z21" s="175"/>
      <c r="AA21" s="175"/>
      <c r="AB21" t="s">
        <v>417</v>
      </c>
      <c r="AC21" s="177"/>
      <c r="AD21" s="175">
        <v>20</v>
      </c>
      <c r="AE21" s="175">
        <f t="shared" si="0"/>
        <v>7</v>
      </c>
      <c r="AF21" s="175"/>
      <c r="AG21" s="175"/>
      <c r="AH21" s="175"/>
      <c r="AI21" s="175"/>
      <c r="AJ21" s="175"/>
      <c r="AK21" s="175"/>
      <c r="AL21" s="175"/>
      <c r="AM21" s="175"/>
      <c r="AN21" s="175"/>
      <c r="AO21" s="175"/>
    </row>
    <row r="22" spans="1:41" ht="15.75">
      <c r="A22" s="175"/>
      <c r="B22" s="175"/>
      <c r="C22" s="2" t="s">
        <v>418</v>
      </c>
      <c r="D22" s="175"/>
      <c r="E22" s="175"/>
      <c r="F22" s="175"/>
      <c r="G22" s="175"/>
      <c r="H22" s="175"/>
      <c r="I22" s="175"/>
      <c r="J22" s="175"/>
      <c r="K22" s="175"/>
      <c r="L22" s="175"/>
      <c r="M22" s="175"/>
      <c r="N22" s="175"/>
      <c r="O22" s="175"/>
      <c r="P22" s="175"/>
      <c r="Q22" s="175"/>
      <c r="R22" s="175"/>
      <c r="S22" s="175"/>
      <c r="T22" s="175"/>
      <c r="U22" s="175" t="s">
        <v>419</v>
      </c>
      <c r="V22" s="175"/>
      <c r="W22" s="175"/>
      <c r="X22" s="627"/>
      <c r="Y22" s="175"/>
      <c r="Z22" s="175"/>
      <c r="AA22" s="175"/>
      <c r="AB22" t="s">
        <v>420</v>
      </c>
      <c r="AC22" s="177"/>
      <c r="AD22" s="175">
        <v>21</v>
      </c>
      <c r="AE22" s="175">
        <f t="shared" si="0"/>
        <v>7</v>
      </c>
      <c r="AF22" s="175"/>
      <c r="AG22" s="175"/>
      <c r="AH22" s="175"/>
      <c r="AI22" s="175"/>
      <c r="AJ22" s="175"/>
      <c r="AK22" s="175"/>
      <c r="AL22" s="175"/>
      <c r="AM22" s="175"/>
      <c r="AN22" s="175"/>
      <c r="AO22" s="175"/>
    </row>
    <row r="23" spans="1:41" ht="15.75">
      <c r="A23" s="175"/>
      <c r="B23" s="175"/>
      <c r="C23" s="2" t="s">
        <v>421</v>
      </c>
      <c r="D23" s="175"/>
      <c r="E23" s="175"/>
      <c r="F23" s="175"/>
      <c r="G23" s="175"/>
      <c r="H23" s="175"/>
      <c r="I23" s="175"/>
      <c r="J23" s="175"/>
      <c r="K23" s="175"/>
      <c r="L23" s="175"/>
      <c r="M23" s="175"/>
      <c r="N23" s="175"/>
      <c r="O23" s="175"/>
      <c r="P23" s="175"/>
      <c r="Q23" s="175"/>
      <c r="R23" s="175"/>
      <c r="S23" s="175"/>
      <c r="T23" s="175"/>
      <c r="U23" s="175" t="s">
        <v>422</v>
      </c>
      <c r="V23" s="175"/>
      <c r="W23" s="175"/>
      <c r="X23" s="627"/>
      <c r="Y23" s="175"/>
      <c r="Z23" s="175"/>
      <c r="AA23" s="175"/>
      <c r="AB23" t="s">
        <v>423</v>
      </c>
      <c r="AC23" s="177"/>
      <c r="AD23" s="175">
        <v>22</v>
      </c>
      <c r="AE23" s="175">
        <f t="shared" si="0"/>
        <v>8</v>
      </c>
      <c r="AF23" s="175"/>
      <c r="AG23" s="175"/>
      <c r="AH23" s="175"/>
      <c r="AI23" s="175"/>
      <c r="AJ23" s="175"/>
      <c r="AK23" s="175"/>
      <c r="AL23" s="175"/>
      <c r="AM23" s="175"/>
      <c r="AN23" s="175"/>
      <c r="AO23" s="175"/>
    </row>
    <row r="24" spans="1:41" ht="15.75">
      <c r="A24" s="175"/>
      <c r="B24" s="175"/>
      <c r="C24" s="2" t="s">
        <v>385</v>
      </c>
      <c r="D24" s="175"/>
      <c r="E24" s="175"/>
      <c r="F24" s="175"/>
      <c r="G24" s="175"/>
      <c r="H24" s="175"/>
      <c r="I24" s="175"/>
      <c r="J24" s="175"/>
      <c r="K24" s="175"/>
      <c r="L24" s="175"/>
      <c r="M24" s="175"/>
      <c r="N24" s="175"/>
      <c r="O24" s="175"/>
      <c r="P24" s="175"/>
      <c r="Q24" s="175"/>
      <c r="R24" s="175"/>
      <c r="S24" s="175"/>
      <c r="T24" s="175"/>
      <c r="U24" s="175" t="s">
        <v>424</v>
      </c>
      <c r="V24" s="175"/>
      <c r="W24" s="175"/>
      <c r="X24" s="627"/>
      <c r="Y24" s="175"/>
      <c r="Z24" s="175"/>
      <c r="AA24" s="175"/>
      <c r="AB24" t="s">
        <v>425</v>
      </c>
      <c r="AC24" s="177"/>
      <c r="AD24" s="175">
        <v>23</v>
      </c>
      <c r="AE24" s="175">
        <f t="shared" si="0"/>
        <v>8</v>
      </c>
      <c r="AF24" s="175"/>
      <c r="AG24" s="175"/>
      <c r="AH24" s="175"/>
      <c r="AI24" s="175"/>
      <c r="AJ24" s="175"/>
      <c r="AK24" s="175"/>
      <c r="AL24" s="175"/>
      <c r="AM24" s="175"/>
      <c r="AN24" s="175"/>
      <c r="AO24" s="175"/>
    </row>
    <row r="25" spans="1:41" ht="15.75">
      <c r="A25" s="175"/>
      <c r="B25" s="175"/>
      <c r="C25" s="2" t="s">
        <v>426</v>
      </c>
      <c r="D25" s="175"/>
      <c r="E25" s="175"/>
      <c r="F25" s="175"/>
      <c r="G25" s="175"/>
      <c r="H25" s="175"/>
      <c r="I25" s="175"/>
      <c r="J25" s="175"/>
      <c r="K25" s="175"/>
      <c r="L25" s="175"/>
      <c r="M25" s="175"/>
      <c r="N25" s="175"/>
      <c r="O25" s="175"/>
      <c r="P25" s="175"/>
      <c r="Q25" s="175"/>
      <c r="R25" s="175"/>
      <c r="S25" s="175"/>
      <c r="T25" s="175"/>
      <c r="U25" s="175" t="s">
        <v>427</v>
      </c>
      <c r="V25" s="175"/>
      <c r="W25" s="175"/>
      <c r="X25" s="627"/>
      <c r="Y25" s="175"/>
      <c r="Z25" s="175"/>
      <c r="AA25" s="175"/>
      <c r="AB25" t="s">
        <v>428</v>
      </c>
      <c r="AC25" s="177"/>
      <c r="AD25" s="175">
        <v>24</v>
      </c>
      <c r="AE25" s="175">
        <f t="shared" si="0"/>
        <v>8</v>
      </c>
      <c r="AF25" s="175"/>
      <c r="AG25" s="175"/>
      <c r="AH25" s="175"/>
      <c r="AI25" s="175"/>
      <c r="AJ25" s="175"/>
      <c r="AK25" s="175"/>
      <c r="AL25" s="175"/>
      <c r="AM25" s="175"/>
      <c r="AN25" s="175"/>
      <c r="AO25" s="175"/>
    </row>
    <row r="26" spans="1:41" ht="15.75">
      <c r="A26" s="175"/>
      <c r="B26" s="175"/>
      <c r="C26" s="2" t="s">
        <v>390</v>
      </c>
      <c r="D26" s="175"/>
      <c r="E26" s="175"/>
      <c r="F26" s="175"/>
      <c r="G26" s="175"/>
      <c r="H26" s="175"/>
      <c r="I26" s="175"/>
      <c r="J26" s="175"/>
      <c r="K26" s="175"/>
      <c r="L26" s="175"/>
      <c r="M26" s="175"/>
      <c r="N26" s="175"/>
      <c r="O26" s="175"/>
      <c r="P26" s="175"/>
      <c r="Q26" s="175"/>
      <c r="R26" s="175"/>
      <c r="S26" s="175"/>
      <c r="T26" s="175"/>
      <c r="U26" s="175" t="s">
        <v>429</v>
      </c>
      <c r="V26" s="175"/>
      <c r="W26" s="175"/>
      <c r="X26" s="627"/>
      <c r="Y26" s="175"/>
      <c r="Z26" s="175"/>
      <c r="AA26" s="175"/>
      <c r="AB26" t="s">
        <v>430</v>
      </c>
      <c r="AC26" s="177"/>
      <c r="AD26" s="175">
        <v>25</v>
      </c>
      <c r="AE26" s="175">
        <f t="shared" si="0"/>
        <v>9</v>
      </c>
      <c r="AF26" s="175"/>
      <c r="AG26" s="175"/>
      <c r="AH26" s="175"/>
      <c r="AI26" s="175"/>
      <c r="AJ26" s="175"/>
      <c r="AK26" s="175"/>
      <c r="AL26" s="175"/>
      <c r="AM26" s="175"/>
      <c r="AN26" s="175"/>
      <c r="AO26" s="175"/>
    </row>
    <row r="27" spans="1:41" ht="15.75">
      <c r="A27" s="175"/>
      <c r="B27" s="175"/>
      <c r="C27" s="2" t="s">
        <v>431</v>
      </c>
      <c r="D27" s="175"/>
      <c r="E27" s="175"/>
      <c r="F27" s="175"/>
      <c r="G27" s="175"/>
      <c r="H27" s="175"/>
      <c r="I27" s="175"/>
      <c r="J27" s="175"/>
      <c r="K27" s="175"/>
      <c r="L27" s="175"/>
      <c r="M27" s="175"/>
      <c r="N27" s="175"/>
      <c r="O27" s="175"/>
      <c r="P27" s="175"/>
      <c r="Q27" s="175"/>
      <c r="R27" s="175"/>
      <c r="S27" s="175"/>
      <c r="T27" s="175"/>
      <c r="U27" s="175" t="s">
        <v>432</v>
      </c>
      <c r="V27" s="175"/>
      <c r="W27" s="175"/>
      <c r="X27" s="627"/>
      <c r="Y27" s="175"/>
      <c r="Z27" s="175"/>
      <c r="AA27" s="175"/>
      <c r="AC27" s="177"/>
      <c r="AD27" s="175">
        <v>26</v>
      </c>
      <c r="AE27" s="175">
        <f t="shared" si="0"/>
        <v>9</v>
      </c>
      <c r="AF27" s="175"/>
      <c r="AG27" s="175"/>
      <c r="AH27" s="175"/>
      <c r="AI27" s="175"/>
      <c r="AJ27" s="175"/>
      <c r="AK27" s="175"/>
      <c r="AL27" s="175"/>
      <c r="AM27" s="175"/>
      <c r="AN27" s="175"/>
      <c r="AO27" s="175"/>
    </row>
    <row r="28" spans="1:41" ht="15.75">
      <c r="A28" s="175"/>
      <c r="B28" s="175"/>
      <c r="C28" s="2" t="s">
        <v>433</v>
      </c>
      <c r="D28" s="175"/>
      <c r="E28" s="175"/>
      <c r="F28" s="175"/>
      <c r="G28" s="175"/>
      <c r="H28" s="175"/>
      <c r="I28" s="175"/>
      <c r="J28" s="175"/>
      <c r="K28" s="175"/>
      <c r="L28" s="175"/>
      <c r="M28" s="175"/>
      <c r="N28" s="175"/>
      <c r="O28" s="175"/>
      <c r="P28" s="175"/>
      <c r="Q28" s="175"/>
      <c r="R28" s="175"/>
      <c r="S28" s="175"/>
      <c r="T28" s="175"/>
      <c r="U28" s="175" t="s">
        <v>434</v>
      </c>
      <c r="V28" s="175"/>
      <c r="W28" s="175"/>
      <c r="X28" s="627"/>
      <c r="Y28" s="175"/>
      <c r="Z28" s="175"/>
      <c r="AA28" s="175"/>
      <c r="AC28" s="177"/>
      <c r="AD28" s="175">
        <v>27</v>
      </c>
      <c r="AE28" s="175">
        <f t="shared" si="0"/>
        <v>9</v>
      </c>
      <c r="AF28" s="175"/>
      <c r="AG28" s="175"/>
      <c r="AH28" s="175"/>
      <c r="AI28" s="175"/>
      <c r="AJ28" s="175"/>
      <c r="AK28" s="175"/>
      <c r="AL28" s="175"/>
      <c r="AM28" s="175"/>
      <c r="AN28" s="175"/>
      <c r="AO28" s="175"/>
    </row>
    <row r="29" spans="1:41" ht="15.75">
      <c r="A29" s="175"/>
      <c r="B29" s="175"/>
      <c r="C29" s="2" t="s">
        <v>435</v>
      </c>
      <c r="D29" s="175"/>
      <c r="E29" s="175"/>
      <c r="F29" s="175"/>
      <c r="G29" s="175"/>
      <c r="H29" s="175"/>
      <c r="I29" s="175"/>
      <c r="J29" s="175"/>
      <c r="K29" s="175"/>
      <c r="L29" s="175"/>
      <c r="M29" s="175"/>
      <c r="N29" s="175"/>
      <c r="O29" s="175"/>
      <c r="P29" s="175"/>
      <c r="Q29" s="175"/>
      <c r="R29" s="175"/>
      <c r="S29" s="175"/>
      <c r="T29" s="175"/>
      <c r="U29" s="175" t="s">
        <v>436</v>
      </c>
      <c r="V29" s="175"/>
      <c r="W29" s="175"/>
      <c r="X29" s="627"/>
      <c r="Y29" s="175"/>
      <c r="Z29" s="175"/>
      <c r="AA29" s="175"/>
      <c r="AB29" s="175"/>
      <c r="AC29" s="177"/>
      <c r="AD29" s="175">
        <v>28</v>
      </c>
      <c r="AE29" s="175">
        <f t="shared" si="0"/>
        <v>10</v>
      </c>
      <c r="AF29" s="175"/>
      <c r="AG29" s="175"/>
      <c r="AH29" s="175"/>
      <c r="AI29" s="175"/>
      <c r="AJ29" s="175"/>
      <c r="AK29" s="175"/>
      <c r="AL29" s="175"/>
      <c r="AM29" s="175"/>
      <c r="AN29" s="175"/>
      <c r="AO29" s="175"/>
    </row>
    <row r="30" spans="1:41" ht="15.75">
      <c r="A30" s="175"/>
      <c r="B30" s="175"/>
      <c r="C30" s="2" t="s">
        <v>437</v>
      </c>
      <c r="D30" s="175"/>
      <c r="E30" s="175"/>
      <c r="F30" s="175"/>
      <c r="G30" s="175"/>
      <c r="H30" s="175"/>
      <c r="I30" s="175"/>
      <c r="J30" s="175"/>
      <c r="K30" s="175"/>
      <c r="L30" s="175"/>
      <c r="M30" s="175"/>
      <c r="N30" s="175"/>
      <c r="O30" s="175"/>
      <c r="P30" s="175"/>
      <c r="Q30" s="175"/>
      <c r="R30" s="175"/>
      <c r="S30" s="175"/>
      <c r="T30" s="175"/>
      <c r="U30" s="175" t="s">
        <v>438</v>
      </c>
      <c r="V30" s="175"/>
      <c r="W30" s="175"/>
      <c r="X30" s="627"/>
      <c r="Y30" s="175"/>
      <c r="Z30" s="175"/>
      <c r="AA30" s="175"/>
      <c r="AB30" s="175"/>
      <c r="AC30" s="177"/>
      <c r="AD30" s="175">
        <v>29</v>
      </c>
      <c r="AE30" s="175">
        <f t="shared" si="0"/>
        <v>10</v>
      </c>
      <c r="AF30" s="175"/>
      <c r="AG30" s="175"/>
      <c r="AH30" s="175"/>
      <c r="AI30" s="175"/>
      <c r="AJ30" s="175"/>
      <c r="AK30" s="175"/>
      <c r="AL30" s="175"/>
      <c r="AM30" s="175"/>
      <c r="AN30" s="175"/>
      <c r="AO30" s="175"/>
    </row>
    <row r="31" spans="1:41" ht="15.75">
      <c r="A31" s="175"/>
      <c r="B31" s="175"/>
      <c r="C31" s="2" t="s">
        <v>393</v>
      </c>
      <c r="D31" s="175"/>
      <c r="E31" s="175"/>
      <c r="F31" s="175"/>
      <c r="G31" s="175"/>
      <c r="H31" s="175"/>
      <c r="I31" s="175"/>
      <c r="J31" s="175"/>
      <c r="K31" s="175"/>
      <c r="L31" s="175"/>
      <c r="M31" s="175"/>
      <c r="N31" s="175"/>
      <c r="O31" s="175"/>
      <c r="P31" s="175"/>
      <c r="Q31" s="175"/>
      <c r="R31" s="175"/>
      <c r="S31" s="175"/>
      <c r="T31" s="175"/>
      <c r="U31" s="175" t="s">
        <v>439</v>
      </c>
      <c r="V31" s="175"/>
      <c r="W31" s="175"/>
      <c r="X31" s="627"/>
      <c r="Y31" s="175"/>
      <c r="Z31" s="175"/>
      <c r="AA31" s="175"/>
      <c r="AB31" s="175"/>
      <c r="AC31" s="177"/>
      <c r="AD31" s="175">
        <v>30</v>
      </c>
      <c r="AE31" s="175">
        <f t="shared" si="0"/>
        <v>10</v>
      </c>
      <c r="AF31" s="175"/>
      <c r="AG31" s="175"/>
      <c r="AH31" s="175"/>
      <c r="AI31" s="175"/>
      <c r="AJ31" s="175"/>
      <c r="AK31" s="175"/>
      <c r="AL31" s="175"/>
      <c r="AM31" s="175"/>
      <c r="AN31" s="175"/>
      <c r="AO31" s="175"/>
    </row>
    <row r="32" spans="1:41" ht="15.75">
      <c r="A32" s="175"/>
      <c r="B32" s="175"/>
      <c r="C32" s="2" t="s">
        <v>440</v>
      </c>
      <c r="D32" s="175"/>
      <c r="E32" s="175"/>
      <c r="F32" s="175"/>
      <c r="G32" s="175"/>
      <c r="H32" s="175"/>
      <c r="I32" s="175"/>
      <c r="J32" s="175"/>
      <c r="K32" s="175"/>
      <c r="L32" s="175"/>
      <c r="M32" s="175"/>
      <c r="N32" s="175"/>
      <c r="O32" s="175"/>
      <c r="P32" s="175"/>
      <c r="Q32" s="175"/>
      <c r="R32" s="175"/>
      <c r="S32" s="175"/>
      <c r="T32" s="175"/>
      <c r="U32" s="175" t="s">
        <v>441</v>
      </c>
      <c r="V32" s="175"/>
      <c r="W32" s="175"/>
      <c r="X32" s="627"/>
      <c r="Y32" s="175"/>
      <c r="Z32" s="175"/>
      <c r="AA32" s="175"/>
      <c r="AB32" s="175"/>
      <c r="AC32" s="177"/>
      <c r="AD32" s="175">
        <v>31</v>
      </c>
      <c r="AE32" s="175">
        <f t="shared" si="0"/>
        <v>11</v>
      </c>
      <c r="AF32" s="175"/>
      <c r="AG32" s="175"/>
      <c r="AH32" s="175"/>
      <c r="AI32" s="175"/>
      <c r="AJ32" s="175"/>
      <c r="AK32" s="175"/>
      <c r="AL32" s="175"/>
      <c r="AM32" s="175"/>
      <c r="AN32" s="175"/>
      <c r="AO32" s="175"/>
    </row>
    <row r="33" spans="1:41" ht="15.75">
      <c r="A33" s="175"/>
      <c r="B33" s="175"/>
      <c r="C33" s="2" t="s">
        <v>397</v>
      </c>
      <c r="D33" s="175"/>
      <c r="E33" s="175"/>
      <c r="F33" s="175"/>
      <c r="G33" s="175"/>
      <c r="H33" s="175"/>
      <c r="I33" s="175"/>
      <c r="J33" s="175"/>
      <c r="K33" s="175"/>
      <c r="L33" s="175"/>
      <c r="M33" s="175"/>
      <c r="N33" s="175"/>
      <c r="O33" s="175"/>
      <c r="P33" s="175"/>
      <c r="Q33" s="175"/>
      <c r="R33" s="175"/>
      <c r="S33" s="175"/>
      <c r="T33" s="175"/>
      <c r="U33" s="175" t="s">
        <v>442</v>
      </c>
      <c r="V33" s="175"/>
      <c r="W33" s="175"/>
      <c r="X33" s="627"/>
      <c r="Y33" s="175"/>
      <c r="Z33" s="175"/>
      <c r="AA33" s="175"/>
      <c r="AB33" s="175"/>
      <c r="AC33" s="177"/>
      <c r="AD33" s="175">
        <v>32</v>
      </c>
      <c r="AE33" s="175">
        <f t="shared" si="0"/>
        <v>11</v>
      </c>
      <c r="AF33" s="175"/>
      <c r="AG33" s="175"/>
      <c r="AH33" s="175"/>
      <c r="AI33" s="175"/>
      <c r="AJ33" s="175"/>
      <c r="AK33" s="175"/>
      <c r="AL33" s="175"/>
      <c r="AM33" s="175"/>
      <c r="AN33" s="175"/>
      <c r="AO33" s="175"/>
    </row>
    <row r="34" spans="1:41" ht="15.75">
      <c r="A34" s="175"/>
      <c r="B34" s="175"/>
      <c r="C34" s="2" t="s">
        <v>443</v>
      </c>
      <c r="D34" s="175"/>
      <c r="E34" s="175"/>
      <c r="F34" s="175"/>
      <c r="G34" s="175"/>
      <c r="H34" s="175"/>
      <c r="I34" s="175"/>
      <c r="J34" s="175"/>
      <c r="K34" s="175"/>
      <c r="L34" s="175"/>
      <c r="M34" s="175"/>
      <c r="N34" s="175"/>
      <c r="O34" s="175"/>
      <c r="P34" s="175"/>
      <c r="Q34" s="175"/>
      <c r="R34" s="175"/>
      <c r="S34" s="175"/>
      <c r="T34" s="175"/>
      <c r="U34" s="175" t="s">
        <v>444</v>
      </c>
      <c r="V34" s="175"/>
      <c r="W34" s="175"/>
      <c r="X34" s="627"/>
      <c r="Y34" s="175"/>
      <c r="Z34" s="175"/>
      <c r="AA34" s="175"/>
      <c r="AB34" s="175"/>
      <c r="AC34" s="177"/>
      <c r="AD34" s="175">
        <v>33</v>
      </c>
      <c r="AE34" s="175">
        <f t="shared" si="0"/>
        <v>11</v>
      </c>
      <c r="AF34" s="175"/>
      <c r="AG34" s="175"/>
      <c r="AH34" s="175"/>
      <c r="AI34" s="175"/>
      <c r="AJ34" s="175"/>
      <c r="AK34" s="175"/>
      <c r="AL34" s="175"/>
      <c r="AM34" s="175"/>
      <c r="AN34" s="175"/>
      <c r="AO34" s="175"/>
    </row>
    <row r="35" spans="1:41" ht="15.75">
      <c r="A35" s="175"/>
      <c r="B35" s="175"/>
      <c r="C35" s="2" t="s">
        <v>445</v>
      </c>
      <c r="D35" s="175"/>
      <c r="E35" s="175"/>
      <c r="F35" s="175"/>
      <c r="G35" s="175"/>
      <c r="H35" s="175"/>
      <c r="I35" s="175"/>
      <c r="J35" s="175"/>
      <c r="K35" s="175"/>
      <c r="L35" s="175"/>
      <c r="M35" s="175"/>
      <c r="N35" s="175"/>
      <c r="O35" s="175"/>
      <c r="P35" s="175"/>
      <c r="Q35" s="175"/>
      <c r="R35" s="175"/>
      <c r="S35" s="175"/>
      <c r="T35" s="175"/>
      <c r="U35" s="175" t="s">
        <v>446</v>
      </c>
      <c r="V35" s="175"/>
      <c r="W35" s="175"/>
      <c r="X35" s="627"/>
      <c r="Y35" s="175"/>
      <c r="Z35" s="175"/>
      <c r="AA35" s="175"/>
      <c r="AB35" s="175"/>
      <c r="AC35" s="177"/>
      <c r="AD35" s="175">
        <v>34</v>
      </c>
      <c r="AE35" s="175">
        <f t="shared" si="0"/>
        <v>12</v>
      </c>
      <c r="AF35" s="175"/>
      <c r="AG35" s="175"/>
      <c r="AH35" s="175"/>
      <c r="AI35" s="175"/>
      <c r="AJ35" s="175"/>
      <c r="AK35" s="175"/>
      <c r="AL35" s="175"/>
      <c r="AM35" s="175"/>
      <c r="AN35" s="175"/>
      <c r="AO35" s="175"/>
    </row>
    <row r="36" spans="1:41" ht="15.75">
      <c r="A36" s="175"/>
      <c r="B36" s="175"/>
      <c r="C36" s="2" t="s">
        <v>447</v>
      </c>
      <c r="D36" s="175"/>
      <c r="E36" s="175"/>
      <c r="F36" s="175"/>
      <c r="G36" s="175"/>
      <c r="H36" s="175"/>
      <c r="I36" s="175"/>
      <c r="J36" s="175"/>
      <c r="K36" s="175"/>
      <c r="L36" s="175"/>
      <c r="M36" s="175"/>
      <c r="N36" s="175"/>
      <c r="O36" s="175"/>
      <c r="P36" s="175"/>
      <c r="Q36" s="175"/>
      <c r="R36" s="175"/>
      <c r="S36" s="175"/>
      <c r="T36" s="175"/>
      <c r="U36" s="175" t="s">
        <v>448</v>
      </c>
      <c r="V36" s="175"/>
      <c r="W36" s="175"/>
      <c r="X36" s="627"/>
      <c r="Y36" s="175"/>
      <c r="Z36" s="175"/>
      <c r="AA36" s="175"/>
      <c r="AB36" s="175"/>
      <c r="AC36" s="177"/>
      <c r="AD36" s="175">
        <v>35</v>
      </c>
      <c r="AE36" s="175">
        <f t="shared" si="0"/>
        <v>12</v>
      </c>
      <c r="AF36" s="175"/>
      <c r="AG36" s="175"/>
      <c r="AH36" s="175"/>
      <c r="AI36" s="175"/>
      <c r="AJ36" s="175"/>
      <c r="AK36" s="175"/>
      <c r="AL36" s="175"/>
      <c r="AM36" s="175"/>
      <c r="AN36" s="175"/>
      <c r="AO36" s="175"/>
    </row>
    <row r="37" spans="1:41" ht="15.75">
      <c r="A37" s="175"/>
      <c r="B37" s="175"/>
      <c r="C37" s="2" t="s">
        <v>449</v>
      </c>
      <c r="D37" s="175"/>
      <c r="E37" s="175"/>
      <c r="F37" s="175"/>
      <c r="G37" s="175"/>
      <c r="H37" s="175"/>
      <c r="I37" s="175"/>
      <c r="J37" s="175"/>
      <c r="K37" s="175"/>
      <c r="L37" s="175"/>
      <c r="M37" s="175"/>
      <c r="N37" s="175"/>
      <c r="O37" s="175"/>
      <c r="P37" s="175"/>
      <c r="Q37" s="175"/>
      <c r="R37" s="175"/>
      <c r="S37" s="175"/>
      <c r="T37" s="175"/>
      <c r="U37" s="175" t="s">
        <v>450</v>
      </c>
      <c r="V37" s="175"/>
      <c r="W37" s="175"/>
      <c r="X37" s="627"/>
      <c r="Y37" s="175"/>
      <c r="Z37" s="175"/>
      <c r="AA37" s="175"/>
      <c r="AB37" s="175"/>
      <c r="AC37" s="177"/>
      <c r="AD37" s="175">
        <v>36</v>
      </c>
      <c r="AE37" s="175">
        <f t="shared" si="0"/>
        <v>12</v>
      </c>
      <c r="AF37" s="175"/>
      <c r="AG37" s="175"/>
      <c r="AH37" s="175"/>
      <c r="AI37" s="175"/>
      <c r="AJ37" s="175"/>
      <c r="AK37" s="175"/>
      <c r="AL37" s="175"/>
      <c r="AM37" s="175"/>
      <c r="AN37" s="175"/>
      <c r="AO37" s="175"/>
    </row>
    <row r="38" spans="1:41" ht="15.75">
      <c r="A38" s="175"/>
      <c r="B38" s="175"/>
      <c r="C38" s="2" t="s">
        <v>399</v>
      </c>
      <c r="D38" s="175"/>
      <c r="E38" s="175"/>
      <c r="F38" s="175"/>
      <c r="G38" s="175"/>
      <c r="H38" s="175"/>
      <c r="I38" s="175"/>
      <c r="J38" s="175"/>
      <c r="K38" s="175"/>
      <c r="L38" s="175"/>
      <c r="M38" s="175"/>
      <c r="N38" s="175"/>
      <c r="O38" s="175"/>
      <c r="P38" s="175"/>
      <c r="Q38" s="175"/>
      <c r="R38" s="175"/>
      <c r="S38" s="175"/>
      <c r="T38" s="175"/>
      <c r="U38" s="175" t="s">
        <v>451</v>
      </c>
      <c r="V38" s="175"/>
      <c r="W38" s="175"/>
      <c r="X38" s="627"/>
      <c r="Y38" s="175"/>
      <c r="Z38" s="175"/>
      <c r="AA38" s="175"/>
      <c r="AB38" s="175"/>
      <c r="AC38" s="177"/>
      <c r="AD38" s="175">
        <v>37</v>
      </c>
      <c r="AE38" s="175">
        <f t="shared" si="0"/>
        <v>13</v>
      </c>
      <c r="AF38" s="175"/>
      <c r="AG38" s="175"/>
      <c r="AH38" s="175"/>
      <c r="AI38" s="175"/>
      <c r="AJ38" s="175"/>
      <c r="AK38" s="175"/>
      <c r="AL38" s="175"/>
      <c r="AM38" s="175"/>
      <c r="AN38" s="175"/>
      <c r="AO38" s="175"/>
    </row>
    <row r="39" spans="1:41" ht="15.75">
      <c r="A39" s="175"/>
      <c r="B39" s="175"/>
      <c r="C39" s="2" t="s">
        <v>452</v>
      </c>
      <c r="D39" s="175"/>
      <c r="E39" s="175"/>
      <c r="F39" s="175"/>
      <c r="G39" s="175"/>
      <c r="H39" s="175"/>
      <c r="I39" s="175"/>
      <c r="J39" s="175"/>
      <c r="K39" s="175"/>
      <c r="L39" s="175"/>
      <c r="M39" s="175"/>
      <c r="N39" s="175"/>
      <c r="O39" s="175"/>
      <c r="P39" s="175"/>
      <c r="Q39" s="175"/>
      <c r="R39" s="175"/>
      <c r="S39" s="175"/>
      <c r="T39" s="175"/>
      <c r="U39" s="175" t="s">
        <v>453</v>
      </c>
      <c r="V39" s="175"/>
      <c r="W39" s="175"/>
      <c r="X39" s="627"/>
      <c r="Y39" s="175"/>
      <c r="Z39" s="175"/>
      <c r="AA39" s="175"/>
      <c r="AB39" s="175"/>
      <c r="AC39" s="177"/>
      <c r="AD39" s="175">
        <v>38</v>
      </c>
      <c r="AE39" s="175">
        <f t="shared" si="0"/>
        <v>13</v>
      </c>
      <c r="AF39" s="175"/>
      <c r="AG39" s="175"/>
      <c r="AH39" s="175"/>
      <c r="AI39" s="175"/>
      <c r="AJ39" s="175"/>
      <c r="AK39" s="175"/>
      <c r="AL39" s="175"/>
      <c r="AM39" s="175"/>
      <c r="AN39" s="175"/>
      <c r="AO39" s="175"/>
    </row>
    <row r="40" spans="1:41" ht="15.75">
      <c r="A40" s="175"/>
      <c r="B40" s="175"/>
      <c r="C40" s="2" t="s">
        <v>454</v>
      </c>
      <c r="D40" s="175"/>
      <c r="E40" s="175"/>
      <c r="F40" s="175"/>
      <c r="G40" s="175"/>
      <c r="H40" s="175"/>
      <c r="I40" s="175"/>
      <c r="J40" s="175"/>
      <c r="K40" s="175"/>
      <c r="L40" s="175"/>
      <c r="M40" s="175"/>
      <c r="N40" s="175"/>
      <c r="O40" s="175"/>
      <c r="P40" s="175"/>
      <c r="Q40" s="175"/>
      <c r="R40" s="175"/>
      <c r="S40" s="175"/>
      <c r="T40" s="175"/>
      <c r="U40" s="175" t="s">
        <v>455</v>
      </c>
      <c r="V40" s="175"/>
      <c r="W40" s="175"/>
      <c r="X40" s="627"/>
      <c r="Y40" s="175"/>
      <c r="Z40" s="175"/>
      <c r="AA40" s="175"/>
      <c r="AB40" s="175"/>
      <c r="AC40" s="177"/>
      <c r="AD40" s="175">
        <v>39</v>
      </c>
      <c r="AE40" s="175">
        <f t="shared" si="0"/>
        <v>13</v>
      </c>
      <c r="AF40" s="175"/>
      <c r="AG40" s="175"/>
      <c r="AH40" s="175"/>
      <c r="AI40" s="175"/>
      <c r="AJ40" s="175"/>
      <c r="AK40" s="175"/>
      <c r="AL40" s="175"/>
      <c r="AM40" s="175"/>
      <c r="AN40" s="175"/>
      <c r="AO40" s="175"/>
    </row>
    <row r="41" spans="1:41" ht="15.75">
      <c r="A41" s="175"/>
      <c r="B41" s="175"/>
      <c r="C41" s="2" t="s">
        <v>456</v>
      </c>
      <c r="D41" s="175"/>
      <c r="E41" s="175"/>
      <c r="F41" s="175"/>
      <c r="G41" s="175"/>
      <c r="H41" s="175"/>
      <c r="I41" s="175"/>
      <c r="J41" s="175"/>
      <c r="K41" s="175"/>
      <c r="L41" s="175"/>
      <c r="M41" s="175"/>
      <c r="N41" s="175"/>
      <c r="O41" s="175"/>
      <c r="P41" s="175"/>
      <c r="Q41" s="175"/>
      <c r="R41" s="175"/>
      <c r="S41" s="175"/>
      <c r="T41" s="175"/>
      <c r="U41" s="175" t="s">
        <v>457</v>
      </c>
      <c r="V41" s="175"/>
      <c r="W41" s="175"/>
      <c r="X41" s="627"/>
      <c r="Y41" s="175"/>
      <c r="Z41" s="175"/>
      <c r="AA41" s="175"/>
      <c r="AB41" s="175"/>
      <c r="AC41" s="177"/>
      <c r="AD41" s="175">
        <v>40</v>
      </c>
      <c r="AE41" s="175">
        <f t="shared" si="0"/>
        <v>14</v>
      </c>
      <c r="AF41" s="175"/>
      <c r="AG41" s="175"/>
      <c r="AH41" s="175"/>
      <c r="AI41" s="175"/>
      <c r="AJ41" s="175"/>
      <c r="AK41" s="175"/>
      <c r="AL41" s="175"/>
      <c r="AM41" s="175"/>
      <c r="AN41" s="175"/>
      <c r="AO41" s="175"/>
    </row>
    <row r="42" spans="1:41" ht="15.75">
      <c r="A42" s="175"/>
      <c r="B42" s="175"/>
      <c r="C42" s="2" t="s">
        <v>402</v>
      </c>
      <c r="D42" s="175"/>
      <c r="E42" s="175"/>
      <c r="F42" s="175"/>
      <c r="G42" s="175"/>
      <c r="H42" s="175"/>
      <c r="I42" s="175"/>
      <c r="J42" s="175"/>
      <c r="K42" s="175"/>
      <c r="L42" s="175"/>
      <c r="M42" s="175"/>
      <c r="N42" s="175"/>
      <c r="O42" s="175"/>
      <c r="P42" s="175"/>
      <c r="Q42" s="175"/>
      <c r="R42" s="175"/>
      <c r="S42" s="175"/>
      <c r="T42" s="175"/>
      <c r="U42" s="175" t="s">
        <v>458</v>
      </c>
      <c r="V42" s="175"/>
      <c r="W42" s="175"/>
      <c r="X42" s="627"/>
      <c r="Y42" s="175"/>
      <c r="Z42" s="175"/>
      <c r="AA42" s="175"/>
      <c r="AB42" s="175"/>
      <c r="AC42" s="177"/>
      <c r="AD42" s="175">
        <v>41</v>
      </c>
      <c r="AE42" s="175">
        <f t="shared" si="0"/>
        <v>14</v>
      </c>
      <c r="AF42" s="175"/>
      <c r="AG42" s="175"/>
      <c r="AH42" s="175"/>
      <c r="AI42" s="175"/>
      <c r="AJ42" s="175"/>
      <c r="AK42" s="175"/>
      <c r="AL42" s="175"/>
      <c r="AM42" s="175"/>
      <c r="AN42" s="175"/>
      <c r="AO42" s="175"/>
    </row>
    <row r="43" spans="1:41" ht="15.75">
      <c r="A43" s="175"/>
      <c r="B43" s="175"/>
      <c r="C43" s="2" t="s">
        <v>459</v>
      </c>
      <c r="D43" s="175"/>
      <c r="E43" s="175"/>
      <c r="F43" s="175"/>
      <c r="G43" s="175"/>
      <c r="H43" s="175"/>
      <c r="I43" s="175"/>
      <c r="J43" s="175"/>
      <c r="K43" s="175"/>
      <c r="L43" s="175"/>
      <c r="M43" s="175"/>
      <c r="N43" s="175"/>
      <c r="O43" s="175"/>
      <c r="P43" s="175"/>
      <c r="Q43" s="175"/>
      <c r="R43" s="175"/>
      <c r="S43" s="175"/>
      <c r="T43" s="175"/>
      <c r="U43" s="175" t="s">
        <v>460</v>
      </c>
      <c r="V43" s="175"/>
      <c r="W43" s="175"/>
      <c r="X43" s="627"/>
      <c r="Y43" s="175"/>
      <c r="Z43" s="175"/>
      <c r="AA43" s="175"/>
      <c r="AB43" s="175"/>
      <c r="AC43" s="177"/>
      <c r="AD43" s="175">
        <v>42</v>
      </c>
      <c r="AE43" s="175">
        <f t="shared" si="0"/>
        <v>14</v>
      </c>
      <c r="AF43" s="175"/>
      <c r="AG43" s="175"/>
      <c r="AH43" s="175"/>
      <c r="AI43" s="175"/>
      <c r="AJ43" s="175"/>
      <c r="AK43" s="175"/>
      <c r="AL43" s="175"/>
      <c r="AM43" s="175"/>
      <c r="AN43" s="175"/>
      <c r="AO43" s="175"/>
    </row>
    <row r="44" spans="1:41" ht="15.75">
      <c r="A44" s="175"/>
      <c r="B44" s="175"/>
      <c r="C44" s="2" t="s">
        <v>405</v>
      </c>
      <c r="D44" s="175"/>
      <c r="E44" s="175"/>
      <c r="F44" s="175"/>
      <c r="G44" s="175"/>
      <c r="H44" s="175"/>
      <c r="I44" s="175"/>
      <c r="J44" s="175"/>
      <c r="K44" s="175"/>
      <c r="L44" s="175"/>
      <c r="M44" s="175"/>
      <c r="N44" s="175"/>
      <c r="O44" s="175"/>
      <c r="P44" s="175"/>
      <c r="Q44" s="175"/>
      <c r="R44" s="175"/>
      <c r="S44" s="175"/>
      <c r="T44" s="175"/>
      <c r="U44" s="175" t="s">
        <v>461</v>
      </c>
      <c r="V44" s="175"/>
      <c r="W44" s="175"/>
      <c r="X44" s="627"/>
      <c r="Y44" s="175"/>
      <c r="Z44" s="175"/>
      <c r="AA44" s="175"/>
      <c r="AB44" s="175"/>
      <c r="AC44" s="177"/>
      <c r="AD44" s="175">
        <v>43</v>
      </c>
      <c r="AE44" s="175">
        <f t="shared" si="0"/>
        <v>15</v>
      </c>
      <c r="AF44" s="175"/>
      <c r="AG44" s="175"/>
      <c r="AH44" s="175"/>
      <c r="AI44" s="175"/>
      <c r="AJ44" s="175"/>
      <c r="AK44" s="175"/>
      <c r="AL44" s="175"/>
      <c r="AM44" s="175"/>
      <c r="AN44" s="175"/>
      <c r="AO44" s="175"/>
    </row>
    <row r="45" spans="1:41" ht="15.75">
      <c r="A45" s="175"/>
      <c r="B45" s="175"/>
      <c r="C45" s="2" t="s">
        <v>462</v>
      </c>
      <c r="D45" s="175"/>
      <c r="E45" s="175"/>
      <c r="F45" s="175"/>
      <c r="G45" s="175"/>
      <c r="H45" s="175"/>
      <c r="I45" s="175"/>
      <c r="J45" s="175"/>
      <c r="K45" s="175"/>
      <c r="L45" s="175"/>
      <c r="M45" s="175"/>
      <c r="N45" s="175"/>
      <c r="O45" s="175"/>
      <c r="P45" s="175"/>
      <c r="Q45" s="175"/>
      <c r="R45" s="175"/>
      <c r="S45" s="175"/>
      <c r="T45" s="175"/>
      <c r="U45" s="175" t="s">
        <v>463</v>
      </c>
      <c r="V45" s="175"/>
      <c r="W45" s="175"/>
      <c r="X45" s="627"/>
      <c r="Y45" s="175"/>
      <c r="Z45" s="175"/>
      <c r="AA45" s="175"/>
      <c r="AB45" s="175"/>
      <c r="AC45" s="177"/>
      <c r="AD45" s="175">
        <v>44</v>
      </c>
      <c r="AE45" s="175">
        <f t="shared" si="0"/>
        <v>15</v>
      </c>
      <c r="AF45" s="175"/>
      <c r="AG45" s="175"/>
      <c r="AH45" s="175"/>
      <c r="AI45" s="175"/>
      <c r="AJ45" s="175"/>
      <c r="AK45" s="175"/>
      <c r="AL45" s="175"/>
      <c r="AM45" s="175"/>
      <c r="AN45" s="175"/>
      <c r="AO45" s="175"/>
    </row>
    <row r="46" spans="1:41" ht="15.75">
      <c r="A46" s="175"/>
      <c r="B46" s="175"/>
      <c r="C46" s="2" t="s">
        <v>407</v>
      </c>
      <c r="D46" s="175"/>
      <c r="E46" s="175"/>
      <c r="F46" s="175"/>
      <c r="G46" s="175"/>
      <c r="H46" s="175"/>
      <c r="I46" s="175"/>
      <c r="J46" s="175"/>
      <c r="K46" s="175"/>
      <c r="L46" s="175"/>
      <c r="M46" s="175"/>
      <c r="N46" s="175"/>
      <c r="O46" s="175"/>
      <c r="P46" s="175"/>
      <c r="Q46" s="175"/>
      <c r="R46" s="175"/>
      <c r="S46" s="175"/>
      <c r="T46" s="175"/>
      <c r="U46" s="175" t="s">
        <v>464</v>
      </c>
      <c r="V46" s="175"/>
      <c r="W46" s="175"/>
      <c r="X46" s="627"/>
      <c r="Y46" s="175"/>
      <c r="Z46" s="175"/>
      <c r="AA46" s="175"/>
      <c r="AB46" s="175"/>
      <c r="AC46" s="177"/>
      <c r="AD46" s="175">
        <v>45</v>
      </c>
      <c r="AE46" s="175">
        <f t="shared" si="0"/>
        <v>15</v>
      </c>
      <c r="AF46" s="175"/>
      <c r="AG46" s="175"/>
      <c r="AH46" s="175"/>
      <c r="AI46" s="175"/>
      <c r="AJ46" s="175"/>
      <c r="AK46" s="175"/>
      <c r="AL46" s="175"/>
      <c r="AM46" s="175"/>
      <c r="AN46" s="175"/>
      <c r="AO46" s="175"/>
    </row>
    <row r="47" spans="1:41" ht="15.75">
      <c r="A47" s="175"/>
      <c r="B47" s="175"/>
      <c r="C47" s="2" t="s">
        <v>410</v>
      </c>
      <c r="D47" s="175"/>
      <c r="E47" s="175"/>
      <c r="F47" s="175"/>
      <c r="G47" s="175"/>
      <c r="H47" s="175"/>
      <c r="I47" s="175"/>
      <c r="J47" s="175"/>
      <c r="K47" s="175"/>
      <c r="L47" s="175"/>
      <c r="M47" s="175"/>
      <c r="N47" s="175"/>
      <c r="O47" s="175"/>
      <c r="P47" s="175"/>
      <c r="Q47" s="175"/>
      <c r="R47" s="175"/>
      <c r="S47" s="175"/>
      <c r="T47" s="175"/>
      <c r="U47" s="175" t="s">
        <v>465</v>
      </c>
      <c r="V47" s="175"/>
      <c r="W47" s="175"/>
      <c r="X47" s="627"/>
      <c r="Y47" s="175"/>
      <c r="Z47" s="175"/>
      <c r="AA47" s="175"/>
      <c r="AB47" s="175"/>
      <c r="AC47" s="177"/>
      <c r="AD47" s="175">
        <v>46</v>
      </c>
      <c r="AE47" s="175">
        <f t="shared" si="0"/>
        <v>16</v>
      </c>
      <c r="AF47" s="175"/>
      <c r="AG47" s="175"/>
      <c r="AH47" s="175"/>
      <c r="AI47" s="175"/>
      <c r="AJ47" s="175"/>
      <c r="AK47" s="175"/>
      <c r="AL47" s="175"/>
      <c r="AM47" s="175"/>
      <c r="AN47" s="175"/>
      <c r="AO47" s="175"/>
    </row>
    <row r="48" spans="1:41" ht="15.75">
      <c r="A48" s="175"/>
      <c r="B48" s="175"/>
      <c r="C48" s="2" t="s">
        <v>466</v>
      </c>
      <c r="D48" s="175"/>
      <c r="E48" s="175"/>
      <c r="F48" s="175"/>
      <c r="G48" s="175"/>
      <c r="H48" s="175"/>
      <c r="I48" s="175"/>
      <c r="J48" s="175"/>
      <c r="K48" s="175"/>
      <c r="L48" s="175"/>
      <c r="M48" s="175"/>
      <c r="N48" s="175"/>
      <c r="O48" s="175"/>
      <c r="P48" s="175"/>
      <c r="Q48" s="175"/>
      <c r="R48" s="175"/>
      <c r="S48" s="175"/>
      <c r="T48" s="175"/>
      <c r="U48" s="175" t="s">
        <v>467</v>
      </c>
      <c r="V48" s="175"/>
      <c r="W48" s="175"/>
      <c r="X48" s="627"/>
      <c r="Y48" s="175"/>
      <c r="Z48" s="175"/>
      <c r="AA48" s="175"/>
      <c r="AB48" s="175"/>
      <c r="AC48" s="177"/>
      <c r="AD48" s="175">
        <v>47</v>
      </c>
      <c r="AE48" s="175">
        <f t="shared" si="0"/>
        <v>16</v>
      </c>
      <c r="AF48" s="175"/>
      <c r="AG48" s="175"/>
      <c r="AH48" s="175"/>
      <c r="AI48" s="175"/>
      <c r="AJ48" s="175"/>
      <c r="AK48" s="175"/>
      <c r="AL48" s="175"/>
      <c r="AM48" s="175"/>
      <c r="AN48" s="175"/>
      <c r="AO48" s="175"/>
    </row>
    <row r="49" spans="1:41" ht="15.75">
      <c r="A49" s="175"/>
      <c r="B49" s="175"/>
      <c r="C49" s="2" t="s">
        <v>412</v>
      </c>
      <c r="D49" s="175"/>
      <c r="E49" s="175"/>
      <c r="F49" s="175"/>
      <c r="G49" s="175"/>
      <c r="H49" s="175"/>
      <c r="I49" s="175"/>
      <c r="J49" s="175"/>
      <c r="K49" s="175"/>
      <c r="L49" s="175"/>
      <c r="M49" s="175"/>
      <c r="N49" s="175"/>
      <c r="O49" s="175"/>
      <c r="P49" s="175"/>
      <c r="Q49" s="175"/>
      <c r="R49" s="175"/>
      <c r="S49" s="175"/>
      <c r="T49" s="175"/>
      <c r="U49" s="175" t="s">
        <v>468</v>
      </c>
      <c r="V49" s="175"/>
      <c r="W49" s="175"/>
      <c r="X49" s="627"/>
      <c r="Y49" s="175"/>
      <c r="Z49" s="175"/>
      <c r="AA49" s="175"/>
      <c r="AB49" s="175"/>
      <c r="AC49" s="177"/>
      <c r="AD49" s="175">
        <v>48</v>
      </c>
      <c r="AE49" s="175">
        <f t="shared" si="0"/>
        <v>16</v>
      </c>
      <c r="AF49" s="175"/>
      <c r="AG49" s="175"/>
      <c r="AH49" s="175"/>
      <c r="AI49" s="175"/>
      <c r="AJ49" s="175"/>
      <c r="AK49" s="175"/>
      <c r="AL49" s="175"/>
      <c r="AM49" s="175"/>
      <c r="AN49" s="175"/>
      <c r="AO49" s="175"/>
    </row>
    <row r="50" spans="1:41" ht="15.75">
      <c r="A50" s="175"/>
      <c r="B50" s="175"/>
      <c r="C50" s="2" t="s">
        <v>469</v>
      </c>
      <c r="D50" s="175"/>
      <c r="E50" s="175"/>
      <c r="F50" s="175"/>
      <c r="G50" s="175"/>
      <c r="H50" s="175"/>
      <c r="I50" s="175"/>
      <c r="J50" s="175"/>
      <c r="K50" s="175"/>
      <c r="L50" s="175"/>
      <c r="M50" s="175"/>
      <c r="N50" s="175"/>
      <c r="O50" s="175"/>
      <c r="P50" s="175"/>
      <c r="Q50" s="175"/>
      <c r="R50" s="175"/>
      <c r="S50" s="175"/>
      <c r="T50" s="175"/>
      <c r="U50" s="175" t="s">
        <v>470</v>
      </c>
      <c r="V50" s="175"/>
      <c r="W50" s="175"/>
      <c r="X50" s="627"/>
      <c r="Y50" s="175"/>
      <c r="Z50" s="175"/>
      <c r="AA50" s="175"/>
      <c r="AB50" s="175"/>
      <c r="AC50" s="177"/>
      <c r="AD50" s="175">
        <v>49</v>
      </c>
      <c r="AE50" s="175">
        <f t="shared" si="0"/>
        <v>17</v>
      </c>
      <c r="AF50" s="175"/>
      <c r="AG50" s="175"/>
      <c r="AH50" s="175"/>
      <c r="AI50" s="175"/>
      <c r="AJ50" s="175"/>
      <c r="AK50" s="175"/>
      <c r="AL50" s="175"/>
      <c r="AM50" s="175"/>
      <c r="AN50" s="175"/>
      <c r="AO50" s="175"/>
    </row>
    <row r="51" spans="1:41" ht="15.75">
      <c r="A51" s="175"/>
      <c r="B51" s="175"/>
      <c r="C51" s="2" t="s">
        <v>471</v>
      </c>
      <c r="D51" s="175"/>
      <c r="E51" s="175"/>
      <c r="F51" s="175"/>
      <c r="G51" s="175"/>
      <c r="H51" s="175"/>
      <c r="I51" s="175"/>
      <c r="J51" s="175"/>
      <c r="K51" s="175"/>
      <c r="L51" s="175"/>
      <c r="M51" s="175"/>
      <c r="N51" s="175"/>
      <c r="O51" s="175"/>
      <c r="P51" s="175"/>
      <c r="Q51" s="175"/>
      <c r="R51" s="175"/>
      <c r="S51" s="175"/>
      <c r="T51" s="175"/>
      <c r="U51" s="175" t="s">
        <v>472</v>
      </c>
      <c r="V51" s="175"/>
      <c r="W51" s="175"/>
      <c r="X51" s="627"/>
      <c r="Y51" s="175"/>
      <c r="Z51" s="175"/>
      <c r="AA51" s="175"/>
      <c r="AB51" s="175"/>
      <c r="AC51" s="177"/>
      <c r="AD51" s="175">
        <v>50</v>
      </c>
      <c r="AE51" s="175">
        <f t="shared" si="0"/>
        <v>17</v>
      </c>
      <c r="AF51" s="175"/>
      <c r="AG51" s="175"/>
      <c r="AH51" s="175"/>
      <c r="AI51" s="175"/>
      <c r="AJ51" s="175"/>
      <c r="AK51" s="175"/>
      <c r="AL51" s="175"/>
      <c r="AM51" s="175"/>
      <c r="AN51" s="175"/>
      <c r="AO51" s="175"/>
    </row>
    <row r="52" spans="1:41" ht="15.75">
      <c r="A52" s="175"/>
      <c r="B52" s="175"/>
      <c r="C52" s="2" t="s">
        <v>473</v>
      </c>
      <c r="D52" s="175"/>
      <c r="E52" s="175"/>
      <c r="F52" s="175"/>
      <c r="G52" s="175"/>
      <c r="H52" s="175"/>
      <c r="I52" s="175"/>
      <c r="J52" s="175"/>
      <c r="K52" s="175"/>
      <c r="L52" s="175"/>
      <c r="M52" s="175"/>
      <c r="N52" s="175"/>
      <c r="O52" s="175"/>
      <c r="P52" s="175"/>
      <c r="Q52" s="175"/>
      <c r="R52" s="175"/>
      <c r="S52" s="175"/>
      <c r="T52" s="175"/>
      <c r="U52" s="175" t="s">
        <v>474</v>
      </c>
      <c r="V52" s="175"/>
      <c r="W52" s="175"/>
      <c r="X52" s="627"/>
      <c r="Y52" s="175"/>
      <c r="Z52" s="175"/>
      <c r="AA52" s="175"/>
      <c r="AB52" s="175"/>
      <c r="AC52" s="177"/>
      <c r="AD52" s="175">
        <v>51</v>
      </c>
      <c r="AE52" s="175">
        <f t="shared" si="0"/>
        <v>17</v>
      </c>
      <c r="AF52" s="175"/>
      <c r="AG52" s="175"/>
      <c r="AH52" s="175"/>
      <c r="AI52" s="175"/>
      <c r="AJ52" s="175"/>
      <c r="AK52" s="175"/>
      <c r="AL52" s="175"/>
      <c r="AM52" s="175"/>
      <c r="AN52" s="175"/>
      <c r="AO52" s="175"/>
    </row>
    <row r="53" spans="1:41" ht="15.75">
      <c r="A53" s="175"/>
      <c r="B53" s="175"/>
      <c r="C53" s="2" t="s">
        <v>415</v>
      </c>
      <c r="D53" s="175"/>
      <c r="E53" s="175"/>
      <c r="F53" s="175"/>
      <c r="G53" s="175"/>
      <c r="H53" s="175"/>
      <c r="I53" s="175"/>
      <c r="J53" s="175"/>
      <c r="K53" s="175"/>
      <c r="L53" s="175"/>
      <c r="M53" s="175"/>
      <c r="N53" s="175"/>
      <c r="O53" s="175"/>
      <c r="P53" s="175"/>
      <c r="Q53" s="175"/>
      <c r="R53" s="175"/>
      <c r="S53" s="175"/>
      <c r="T53" s="175"/>
      <c r="U53" s="175" t="s">
        <v>475</v>
      </c>
      <c r="V53" s="175"/>
      <c r="W53" s="175"/>
      <c r="X53" s="627"/>
      <c r="Y53" s="175"/>
      <c r="Z53" s="175"/>
      <c r="AA53" s="175"/>
      <c r="AB53" s="175"/>
      <c r="AC53" s="177"/>
      <c r="AD53" s="175">
        <v>52</v>
      </c>
      <c r="AE53" s="175">
        <f t="shared" si="0"/>
        <v>18</v>
      </c>
      <c r="AF53" s="175"/>
      <c r="AG53" s="175"/>
      <c r="AH53" s="175"/>
      <c r="AI53" s="175"/>
      <c r="AJ53" s="175"/>
      <c r="AK53" s="175"/>
      <c r="AL53" s="175"/>
      <c r="AM53" s="175"/>
      <c r="AN53" s="175"/>
      <c r="AO53" s="175"/>
    </row>
    <row r="54" spans="1:41" ht="15.75">
      <c r="A54" s="175"/>
      <c r="B54" s="175"/>
      <c r="C54" s="2" t="s">
        <v>476</v>
      </c>
      <c r="D54" s="175"/>
      <c r="E54" s="175"/>
      <c r="F54" s="175"/>
      <c r="G54" s="175"/>
      <c r="H54" s="175"/>
      <c r="I54" s="175"/>
      <c r="J54" s="175"/>
      <c r="K54" s="175"/>
      <c r="L54" s="175"/>
      <c r="M54" s="175"/>
      <c r="N54" s="175"/>
      <c r="O54" s="175"/>
      <c r="P54" s="175"/>
      <c r="Q54" s="175"/>
      <c r="R54" s="175"/>
      <c r="S54" s="175"/>
      <c r="T54" s="175"/>
      <c r="U54" s="175"/>
      <c r="V54" s="175"/>
      <c r="W54" s="175"/>
      <c r="X54" s="627"/>
      <c r="Y54" s="175"/>
      <c r="Z54" s="175"/>
      <c r="AA54" s="175"/>
      <c r="AB54" s="175"/>
      <c r="AC54" s="177"/>
      <c r="AD54" s="175">
        <v>53</v>
      </c>
      <c r="AE54" s="175">
        <f t="shared" si="0"/>
        <v>18</v>
      </c>
      <c r="AF54" s="175"/>
      <c r="AG54" s="175"/>
      <c r="AH54" s="175"/>
      <c r="AI54" s="175"/>
      <c r="AJ54" s="175"/>
      <c r="AK54" s="175"/>
      <c r="AL54" s="175"/>
      <c r="AM54" s="175"/>
      <c r="AN54" s="175"/>
      <c r="AO54" s="175"/>
    </row>
    <row r="55" spans="1:41" ht="15.75">
      <c r="A55" s="175"/>
      <c r="B55" s="175"/>
      <c r="C55" s="2" t="s">
        <v>417</v>
      </c>
      <c r="D55" s="175"/>
      <c r="E55" s="175"/>
      <c r="F55" s="175"/>
      <c r="G55" s="175"/>
      <c r="H55" s="175"/>
      <c r="I55" s="175"/>
      <c r="J55" s="175"/>
      <c r="K55" s="175"/>
      <c r="L55" s="175"/>
      <c r="M55" s="175"/>
      <c r="N55" s="175"/>
      <c r="O55" s="175"/>
      <c r="P55" s="175"/>
      <c r="Q55" s="175"/>
      <c r="R55" s="175"/>
      <c r="S55" s="175"/>
      <c r="T55" s="175"/>
      <c r="U55" s="175"/>
      <c r="V55" s="175"/>
      <c r="W55" s="175"/>
      <c r="X55" s="627"/>
      <c r="Y55" s="175"/>
      <c r="Z55" s="175"/>
      <c r="AA55" s="175"/>
      <c r="AB55" s="175"/>
      <c r="AC55" s="177"/>
      <c r="AD55" s="175">
        <v>54</v>
      </c>
      <c r="AE55" s="175">
        <f t="shared" si="0"/>
        <v>18</v>
      </c>
      <c r="AF55" s="175"/>
      <c r="AG55" s="175"/>
      <c r="AH55" s="175"/>
      <c r="AI55" s="175"/>
      <c r="AJ55" s="175"/>
      <c r="AK55" s="175"/>
      <c r="AL55" s="175"/>
      <c r="AM55" s="175"/>
      <c r="AN55" s="175"/>
      <c r="AO55" s="175"/>
    </row>
    <row r="56" spans="1:41" ht="15.75">
      <c r="A56" s="175"/>
      <c r="B56" s="175"/>
      <c r="C56" s="2" t="s">
        <v>477</v>
      </c>
      <c r="D56" s="175"/>
      <c r="E56" s="175"/>
      <c r="F56" s="175"/>
      <c r="G56" s="175"/>
      <c r="H56" s="175"/>
      <c r="I56" s="175"/>
      <c r="J56" s="175"/>
      <c r="K56" s="175"/>
      <c r="L56" s="175"/>
      <c r="M56" s="175"/>
      <c r="N56" s="175"/>
      <c r="O56" s="175"/>
      <c r="P56" s="175"/>
      <c r="Q56" s="175"/>
      <c r="R56" s="175"/>
      <c r="S56" s="175"/>
      <c r="T56" s="175"/>
      <c r="U56" s="175"/>
      <c r="V56" s="175"/>
      <c r="W56" s="175"/>
      <c r="X56" s="627"/>
      <c r="Y56" s="175"/>
      <c r="Z56" s="175"/>
      <c r="AA56" s="175"/>
      <c r="AB56" s="175"/>
      <c r="AC56" s="177"/>
      <c r="AD56" s="175">
        <v>55</v>
      </c>
      <c r="AE56" s="175">
        <f t="shared" si="0"/>
        <v>19</v>
      </c>
      <c r="AF56" s="175"/>
      <c r="AG56" s="175"/>
      <c r="AH56" s="175"/>
      <c r="AI56" s="175"/>
      <c r="AJ56" s="175"/>
      <c r="AK56" s="175"/>
      <c r="AL56" s="175"/>
      <c r="AM56" s="175"/>
      <c r="AN56" s="175"/>
      <c r="AO56" s="175"/>
    </row>
    <row r="57" spans="1:41" ht="15.75">
      <c r="A57" s="175"/>
      <c r="B57" s="175"/>
      <c r="C57" s="2" t="s">
        <v>423</v>
      </c>
      <c r="D57" s="175"/>
      <c r="E57" s="175"/>
      <c r="F57" s="175"/>
      <c r="G57" s="175"/>
      <c r="H57" s="175"/>
      <c r="I57" s="175"/>
      <c r="J57" s="175"/>
      <c r="K57" s="175"/>
      <c r="L57" s="175"/>
      <c r="M57" s="175"/>
      <c r="N57" s="175"/>
      <c r="O57" s="175"/>
      <c r="P57" s="175"/>
      <c r="Q57" s="175"/>
      <c r="R57" s="175"/>
      <c r="S57" s="175"/>
      <c r="T57" s="175"/>
      <c r="U57" s="175"/>
      <c r="V57" s="175"/>
      <c r="W57" s="175"/>
      <c r="X57" s="627"/>
      <c r="Y57" s="175"/>
      <c r="Z57" s="175"/>
      <c r="AA57" s="175"/>
      <c r="AB57" s="175"/>
      <c r="AC57" s="177"/>
      <c r="AD57" s="175">
        <v>56</v>
      </c>
      <c r="AE57" s="175">
        <f t="shared" si="0"/>
        <v>19</v>
      </c>
      <c r="AF57" s="175"/>
      <c r="AG57" s="175"/>
      <c r="AH57" s="175"/>
      <c r="AI57" s="175"/>
      <c r="AJ57" s="175"/>
      <c r="AK57" s="175"/>
      <c r="AL57" s="175"/>
      <c r="AM57" s="175"/>
      <c r="AN57" s="175"/>
      <c r="AO57" s="175"/>
    </row>
    <row r="58" spans="1:41" ht="15.75">
      <c r="A58" s="175"/>
      <c r="B58" s="175"/>
      <c r="C58" s="2" t="s">
        <v>478</v>
      </c>
      <c r="D58" s="175"/>
      <c r="E58" s="175"/>
      <c r="F58" s="175"/>
      <c r="G58" s="175"/>
      <c r="H58" s="175"/>
      <c r="I58" s="175"/>
      <c r="J58" s="175"/>
      <c r="K58" s="175"/>
      <c r="L58" s="175"/>
      <c r="M58" s="175"/>
      <c r="N58" s="175"/>
      <c r="O58" s="175"/>
      <c r="P58" s="175"/>
      <c r="Q58" s="175"/>
      <c r="R58" s="175"/>
      <c r="S58" s="175"/>
      <c r="T58" s="175"/>
      <c r="U58" s="175"/>
      <c r="V58" s="175"/>
      <c r="W58" s="175"/>
      <c r="X58" s="627"/>
      <c r="Y58" s="175"/>
      <c r="Z58" s="175"/>
      <c r="AA58" s="175"/>
      <c r="AB58" s="175"/>
      <c r="AC58" s="177"/>
      <c r="AD58" s="175">
        <v>57</v>
      </c>
      <c r="AE58" s="175">
        <f t="shared" si="0"/>
        <v>19</v>
      </c>
      <c r="AF58" s="175"/>
      <c r="AG58" s="175"/>
      <c r="AH58" s="175"/>
      <c r="AI58" s="175"/>
      <c r="AJ58" s="175"/>
      <c r="AK58" s="175"/>
      <c r="AL58" s="175"/>
      <c r="AM58" s="175"/>
      <c r="AN58" s="175"/>
      <c r="AO58" s="175"/>
    </row>
    <row r="59" spans="1:41" ht="15.75">
      <c r="A59" s="175"/>
      <c r="B59" s="175"/>
      <c r="C59" s="2" t="s">
        <v>479</v>
      </c>
      <c r="D59" s="175"/>
      <c r="E59" s="175"/>
      <c r="F59" s="175"/>
      <c r="G59" s="175"/>
      <c r="H59" s="175"/>
      <c r="I59" s="175"/>
      <c r="J59" s="175"/>
      <c r="K59" s="175"/>
      <c r="L59" s="175"/>
      <c r="M59" s="175"/>
      <c r="N59" s="175"/>
      <c r="O59" s="175"/>
      <c r="P59" s="175"/>
      <c r="Q59" s="175"/>
      <c r="R59" s="175"/>
      <c r="S59" s="175"/>
      <c r="T59" s="175"/>
      <c r="U59" s="175"/>
      <c r="V59" s="175"/>
      <c r="W59" s="175"/>
      <c r="X59" s="627"/>
      <c r="Y59" s="175"/>
      <c r="Z59" s="175"/>
      <c r="AA59" s="175"/>
      <c r="AB59" s="175"/>
      <c r="AC59" s="177"/>
      <c r="AD59" s="175">
        <v>58</v>
      </c>
      <c r="AE59" s="175">
        <f t="shared" si="0"/>
        <v>20</v>
      </c>
      <c r="AF59" s="175"/>
      <c r="AG59" s="175"/>
      <c r="AH59" s="175"/>
      <c r="AI59" s="175"/>
      <c r="AJ59" s="175"/>
      <c r="AK59" s="175"/>
      <c r="AL59" s="175"/>
      <c r="AM59" s="175"/>
      <c r="AN59" s="175"/>
      <c r="AO59" s="175"/>
    </row>
    <row r="60" spans="1:41" ht="15.75">
      <c r="A60" s="175"/>
      <c r="B60" s="175"/>
      <c r="C60" s="2" t="s">
        <v>480</v>
      </c>
      <c r="D60" s="175"/>
      <c r="E60" s="175"/>
      <c r="F60" s="175"/>
      <c r="G60" s="175"/>
      <c r="H60" s="175"/>
      <c r="I60" s="175"/>
      <c r="J60" s="175"/>
      <c r="K60" s="175"/>
      <c r="L60" s="175"/>
      <c r="M60" s="175"/>
      <c r="N60" s="175"/>
      <c r="O60" s="175"/>
      <c r="P60" s="175"/>
      <c r="Q60" s="175"/>
      <c r="R60" s="175"/>
      <c r="S60" s="175"/>
      <c r="T60" s="175"/>
      <c r="U60" s="175"/>
      <c r="V60" s="175"/>
      <c r="W60" s="175"/>
      <c r="X60" s="627"/>
      <c r="Y60" s="175"/>
      <c r="Z60" s="175"/>
      <c r="AA60" s="175"/>
      <c r="AB60" s="175"/>
      <c r="AC60" s="177"/>
      <c r="AD60" s="175">
        <v>59</v>
      </c>
      <c r="AE60" s="175">
        <f t="shared" si="0"/>
        <v>20</v>
      </c>
      <c r="AF60" s="175"/>
      <c r="AG60" s="175"/>
      <c r="AH60" s="175"/>
      <c r="AI60" s="175"/>
      <c r="AJ60" s="175"/>
      <c r="AK60" s="175"/>
      <c r="AL60" s="175"/>
      <c r="AM60" s="175"/>
      <c r="AN60" s="175"/>
      <c r="AO60" s="175"/>
    </row>
    <row r="61" spans="1:41" ht="15.75">
      <c r="A61" s="175"/>
      <c r="B61" s="175"/>
      <c r="C61" s="2" t="s">
        <v>420</v>
      </c>
      <c r="D61" s="175"/>
      <c r="E61" s="175"/>
      <c r="F61" s="175"/>
      <c r="G61" s="175"/>
      <c r="H61" s="175"/>
      <c r="I61" s="175"/>
      <c r="J61" s="175"/>
      <c r="K61" s="175"/>
      <c r="L61" s="175"/>
      <c r="M61" s="175"/>
      <c r="N61" s="175"/>
      <c r="O61" s="175"/>
      <c r="P61" s="175"/>
      <c r="Q61" s="175"/>
      <c r="R61" s="175"/>
      <c r="S61" s="175"/>
      <c r="T61" s="175"/>
      <c r="U61" s="175"/>
      <c r="V61" s="175"/>
      <c r="W61" s="175"/>
      <c r="X61" s="627"/>
      <c r="Y61" s="175"/>
      <c r="Z61" s="175"/>
      <c r="AA61" s="175"/>
      <c r="AB61" s="175"/>
      <c r="AC61" s="177"/>
      <c r="AD61" s="175">
        <v>60</v>
      </c>
      <c r="AE61" s="175">
        <f t="shared" si="0"/>
        <v>20</v>
      </c>
      <c r="AF61" s="175"/>
      <c r="AG61" s="175"/>
      <c r="AH61" s="175"/>
      <c r="AI61" s="175"/>
      <c r="AJ61" s="175"/>
      <c r="AK61" s="175"/>
      <c r="AL61" s="175"/>
      <c r="AM61" s="175"/>
      <c r="AN61" s="175"/>
      <c r="AO61" s="175"/>
    </row>
    <row r="62" spans="1:41" ht="15.75">
      <c r="A62" s="175"/>
      <c r="B62" s="175"/>
      <c r="C62" s="2" t="s">
        <v>481</v>
      </c>
      <c r="D62" s="175"/>
      <c r="E62" s="175"/>
      <c r="F62" s="175"/>
      <c r="G62" s="175"/>
      <c r="H62" s="175"/>
      <c r="I62" s="175"/>
      <c r="J62" s="175"/>
      <c r="K62" s="175"/>
      <c r="L62" s="175"/>
      <c r="M62" s="175"/>
      <c r="N62" s="175"/>
      <c r="O62" s="175"/>
      <c r="P62" s="175"/>
      <c r="Q62" s="175"/>
      <c r="R62" s="175"/>
      <c r="S62" s="175"/>
      <c r="T62" s="175"/>
      <c r="U62" s="175"/>
      <c r="V62" s="175"/>
      <c r="W62" s="175"/>
      <c r="X62" s="627"/>
      <c r="Y62" s="175"/>
      <c r="Z62" s="175"/>
      <c r="AA62" s="175"/>
      <c r="AB62" s="175"/>
      <c r="AC62" s="177"/>
      <c r="AD62" s="175">
        <v>61</v>
      </c>
      <c r="AE62" s="175">
        <f t="shared" si="0"/>
        <v>21</v>
      </c>
      <c r="AF62" s="175"/>
      <c r="AG62" s="175"/>
      <c r="AH62" s="175"/>
      <c r="AI62" s="175"/>
      <c r="AJ62" s="175"/>
      <c r="AK62" s="175"/>
      <c r="AL62" s="175"/>
      <c r="AM62" s="175"/>
      <c r="AN62" s="175"/>
      <c r="AO62" s="175"/>
    </row>
    <row r="63" spans="1:41" ht="15.75">
      <c r="A63" s="175"/>
      <c r="B63" s="175"/>
      <c r="C63" s="2" t="s">
        <v>482</v>
      </c>
      <c r="D63" s="175"/>
      <c r="E63" s="175"/>
      <c r="F63" s="175"/>
      <c r="G63" s="175"/>
      <c r="H63" s="175"/>
      <c r="I63" s="175"/>
      <c r="J63" s="175"/>
      <c r="K63" s="175"/>
      <c r="L63" s="175"/>
      <c r="M63" s="175"/>
      <c r="N63" s="175"/>
      <c r="O63" s="175"/>
      <c r="P63" s="175"/>
      <c r="Q63" s="175"/>
      <c r="R63" s="175"/>
      <c r="S63" s="175"/>
      <c r="T63" s="175"/>
      <c r="U63" s="175"/>
      <c r="V63" s="175"/>
      <c r="W63" s="175"/>
      <c r="X63" s="627"/>
      <c r="Y63" s="175"/>
      <c r="Z63" s="175"/>
      <c r="AA63" s="175"/>
      <c r="AB63" s="175"/>
      <c r="AC63" s="177"/>
      <c r="AD63" s="175">
        <v>62</v>
      </c>
      <c r="AE63" s="175">
        <f t="shared" si="0"/>
        <v>21</v>
      </c>
      <c r="AF63" s="175"/>
      <c r="AG63" s="175"/>
      <c r="AH63" s="175"/>
      <c r="AI63" s="175"/>
      <c r="AJ63" s="175"/>
      <c r="AK63" s="175"/>
      <c r="AL63" s="175"/>
      <c r="AM63" s="175"/>
      <c r="AN63" s="175"/>
      <c r="AO63" s="175"/>
    </row>
    <row r="64" spans="1:41" ht="15.75">
      <c r="A64" s="175"/>
      <c r="B64" s="175"/>
      <c r="C64" s="2" t="s">
        <v>483</v>
      </c>
      <c r="D64" s="175"/>
      <c r="E64" s="175"/>
      <c r="F64" s="175"/>
      <c r="G64" s="175"/>
      <c r="H64" s="175"/>
      <c r="I64" s="175"/>
      <c r="J64" s="175"/>
      <c r="K64" s="175"/>
      <c r="L64" s="175"/>
      <c r="M64" s="175"/>
      <c r="N64" s="175"/>
      <c r="O64" s="175"/>
      <c r="P64" s="175"/>
      <c r="Q64" s="175"/>
      <c r="R64" s="175"/>
      <c r="S64" s="175"/>
      <c r="T64" s="175"/>
      <c r="U64" s="175"/>
      <c r="V64" s="175"/>
      <c r="W64" s="175"/>
      <c r="X64" s="627"/>
      <c r="Y64" s="175"/>
      <c r="Z64" s="175"/>
      <c r="AA64" s="175"/>
      <c r="AB64" s="175"/>
      <c r="AC64" s="177"/>
      <c r="AD64" s="175">
        <v>63</v>
      </c>
      <c r="AE64" s="175">
        <f t="shared" si="0"/>
        <v>21</v>
      </c>
      <c r="AF64" s="175"/>
      <c r="AG64" s="175"/>
      <c r="AH64" s="175"/>
      <c r="AI64" s="175"/>
      <c r="AJ64" s="175"/>
      <c r="AK64" s="175"/>
      <c r="AL64" s="175"/>
      <c r="AM64" s="175"/>
      <c r="AN64" s="175"/>
      <c r="AO64" s="175"/>
    </row>
    <row r="65" spans="1:41" ht="15.75">
      <c r="A65" s="175"/>
      <c r="B65" s="175"/>
      <c r="C65" s="2" t="s">
        <v>484</v>
      </c>
      <c r="D65" s="175"/>
      <c r="E65" s="175"/>
      <c r="F65" s="175"/>
      <c r="G65" s="175"/>
      <c r="H65" s="175"/>
      <c r="I65" s="175"/>
      <c r="J65" s="175"/>
      <c r="K65" s="175"/>
      <c r="L65" s="175"/>
      <c r="M65" s="175"/>
      <c r="N65" s="175"/>
      <c r="O65" s="175"/>
      <c r="P65" s="175"/>
      <c r="Q65" s="175"/>
      <c r="R65" s="175"/>
      <c r="S65" s="175"/>
      <c r="T65" s="175"/>
      <c r="U65" s="175"/>
      <c r="V65" s="175"/>
      <c r="W65" s="175"/>
      <c r="X65" s="627"/>
      <c r="Y65" s="175"/>
      <c r="Z65" s="175"/>
      <c r="AA65" s="175"/>
      <c r="AB65" s="175"/>
      <c r="AC65" s="177"/>
      <c r="AD65" s="175">
        <v>64</v>
      </c>
      <c r="AE65" s="175">
        <f t="shared" si="0"/>
        <v>22</v>
      </c>
      <c r="AF65" s="175"/>
      <c r="AG65" s="175"/>
      <c r="AH65" s="175"/>
      <c r="AI65" s="175"/>
      <c r="AJ65" s="175"/>
      <c r="AK65" s="175"/>
      <c r="AL65" s="175"/>
      <c r="AM65" s="175"/>
      <c r="AN65" s="175"/>
      <c r="AO65" s="175"/>
    </row>
    <row r="66" spans="1:41" ht="15.75">
      <c r="A66" s="175"/>
      <c r="B66" s="175"/>
      <c r="C66" s="2" t="s">
        <v>485</v>
      </c>
      <c r="D66" s="175"/>
      <c r="E66" s="175"/>
      <c r="F66" s="175"/>
      <c r="G66" s="175"/>
      <c r="H66" s="175"/>
      <c r="I66" s="175"/>
      <c r="J66" s="175"/>
      <c r="K66" s="175"/>
      <c r="L66" s="175"/>
      <c r="M66" s="175"/>
      <c r="N66" s="175"/>
      <c r="O66" s="175"/>
      <c r="P66" s="175"/>
      <c r="Q66" s="175"/>
      <c r="R66" s="175"/>
      <c r="S66" s="175"/>
      <c r="T66" s="175"/>
      <c r="U66" s="175"/>
      <c r="V66" s="175"/>
      <c r="W66" s="175"/>
      <c r="X66" s="627"/>
      <c r="Y66" s="175"/>
      <c r="Z66" s="175"/>
      <c r="AA66" s="175"/>
      <c r="AB66" s="175"/>
      <c r="AC66" s="177"/>
      <c r="AD66" s="175">
        <v>65</v>
      </c>
      <c r="AE66" s="175">
        <f t="shared" si="0"/>
        <v>22</v>
      </c>
      <c r="AF66" s="175"/>
      <c r="AG66" s="175"/>
      <c r="AH66" s="175"/>
      <c r="AI66" s="175"/>
      <c r="AJ66" s="175"/>
      <c r="AK66" s="175"/>
      <c r="AL66" s="175"/>
      <c r="AM66" s="175"/>
      <c r="AN66" s="175"/>
      <c r="AO66" s="175"/>
    </row>
    <row r="67" spans="1:41" ht="15.75">
      <c r="A67" s="175"/>
      <c r="B67" s="175"/>
      <c r="C67" s="2" t="s">
        <v>486</v>
      </c>
      <c r="D67" s="175"/>
      <c r="E67" s="175"/>
      <c r="F67" s="175"/>
      <c r="G67" s="175"/>
      <c r="H67" s="175"/>
      <c r="I67" s="175"/>
      <c r="J67" s="175"/>
      <c r="K67" s="175"/>
      <c r="L67" s="175"/>
      <c r="M67" s="175"/>
      <c r="N67" s="175"/>
      <c r="O67" s="175"/>
      <c r="P67" s="175"/>
      <c r="Q67" s="175"/>
      <c r="R67" s="175"/>
      <c r="S67" s="175"/>
      <c r="T67" s="175"/>
      <c r="U67" s="175"/>
      <c r="V67" s="175"/>
      <c r="W67" s="175"/>
      <c r="X67" s="627"/>
      <c r="Y67" s="175"/>
      <c r="Z67" s="175"/>
      <c r="AA67" s="175"/>
      <c r="AB67" s="175"/>
      <c r="AC67" s="177"/>
      <c r="AD67" s="175">
        <v>66</v>
      </c>
      <c r="AE67" s="175">
        <f t="shared" ref="AE67:AE100" si="1">ROUNDUP(AD67/3,0)</f>
        <v>22</v>
      </c>
      <c r="AF67" s="175"/>
      <c r="AG67" s="175"/>
      <c r="AH67" s="175"/>
      <c r="AI67" s="175"/>
      <c r="AJ67" s="175"/>
      <c r="AK67" s="175"/>
      <c r="AL67" s="175"/>
      <c r="AM67" s="175"/>
      <c r="AN67" s="175"/>
      <c r="AO67" s="175"/>
    </row>
    <row r="68" spans="1:41" ht="15.75">
      <c r="A68" s="175"/>
      <c r="B68" s="175"/>
      <c r="C68" s="2" t="s">
        <v>425</v>
      </c>
      <c r="D68" s="175"/>
      <c r="E68" s="175"/>
      <c r="F68" s="175"/>
      <c r="G68" s="175"/>
      <c r="H68" s="175"/>
      <c r="I68" s="175"/>
      <c r="J68" s="175"/>
      <c r="K68" s="175"/>
      <c r="L68" s="175"/>
      <c r="M68" s="175"/>
      <c r="N68" s="175"/>
      <c r="O68" s="175"/>
      <c r="P68" s="175"/>
      <c r="Q68" s="175"/>
      <c r="R68" s="175"/>
      <c r="S68" s="175"/>
      <c r="T68" s="175"/>
      <c r="U68" s="175"/>
      <c r="V68" s="175"/>
      <c r="W68" s="175"/>
      <c r="X68" s="627"/>
      <c r="Y68" s="175"/>
      <c r="Z68" s="175"/>
      <c r="AA68" s="175"/>
      <c r="AB68" s="175"/>
      <c r="AC68" s="177"/>
      <c r="AD68" s="175">
        <v>67</v>
      </c>
      <c r="AE68" s="175">
        <f t="shared" si="1"/>
        <v>23</v>
      </c>
      <c r="AF68" s="175"/>
      <c r="AG68" s="175"/>
      <c r="AH68" s="175"/>
      <c r="AI68" s="175"/>
      <c r="AJ68" s="175"/>
      <c r="AK68" s="175"/>
      <c r="AL68" s="175"/>
      <c r="AM68" s="175"/>
      <c r="AN68" s="175"/>
      <c r="AO68" s="175"/>
    </row>
    <row r="69" spans="1:41" ht="15.75">
      <c r="A69" s="175"/>
      <c r="B69" s="175"/>
      <c r="C69" s="2" t="s">
        <v>428</v>
      </c>
      <c r="D69" s="175"/>
      <c r="E69" s="175"/>
      <c r="F69" s="175"/>
      <c r="G69" s="175"/>
      <c r="H69" s="175"/>
      <c r="I69" s="175"/>
      <c r="J69" s="175"/>
      <c r="K69" s="175"/>
      <c r="L69" s="175"/>
      <c r="M69" s="175"/>
      <c r="N69" s="175"/>
      <c r="O69" s="175"/>
      <c r="P69" s="175"/>
      <c r="Q69" s="175"/>
      <c r="R69" s="175"/>
      <c r="S69" s="175"/>
      <c r="T69" s="175"/>
      <c r="U69" s="175"/>
      <c r="V69" s="175"/>
      <c r="W69" s="175"/>
      <c r="X69" s="627"/>
      <c r="Y69" s="175"/>
      <c r="Z69" s="175"/>
      <c r="AA69" s="175"/>
      <c r="AB69" s="175"/>
      <c r="AC69" s="177"/>
      <c r="AD69" s="175">
        <v>68</v>
      </c>
      <c r="AE69" s="175">
        <f t="shared" si="1"/>
        <v>23</v>
      </c>
      <c r="AF69" s="175"/>
      <c r="AG69" s="175"/>
      <c r="AH69" s="175"/>
      <c r="AI69" s="175"/>
      <c r="AJ69" s="175"/>
      <c r="AK69" s="175"/>
      <c r="AL69" s="175"/>
      <c r="AM69" s="175"/>
      <c r="AN69" s="175"/>
      <c r="AO69" s="175"/>
    </row>
    <row r="70" spans="1:41" ht="15.75">
      <c r="A70" s="175"/>
      <c r="B70" s="175"/>
      <c r="C70" s="2" t="s">
        <v>487</v>
      </c>
      <c r="D70" s="175"/>
      <c r="E70" s="175"/>
      <c r="F70" s="175"/>
      <c r="G70" s="175"/>
      <c r="H70" s="175"/>
      <c r="I70" s="175"/>
      <c r="J70" s="175"/>
      <c r="K70" s="175"/>
      <c r="L70" s="175"/>
      <c r="M70" s="175"/>
      <c r="N70" s="175"/>
      <c r="O70" s="175"/>
      <c r="P70" s="175"/>
      <c r="Q70" s="175"/>
      <c r="R70" s="175"/>
      <c r="S70" s="175"/>
      <c r="T70" s="175"/>
      <c r="U70" s="175"/>
      <c r="V70" s="175"/>
      <c r="W70" s="175"/>
      <c r="X70" s="627"/>
      <c r="Y70" s="175"/>
      <c r="Z70" s="175"/>
      <c r="AA70" s="175"/>
      <c r="AB70" s="175"/>
      <c r="AC70" s="177"/>
      <c r="AD70" s="175">
        <v>69</v>
      </c>
      <c r="AE70" s="175">
        <f t="shared" si="1"/>
        <v>23</v>
      </c>
      <c r="AF70" s="175"/>
      <c r="AG70" s="175"/>
      <c r="AH70" s="175"/>
      <c r="AI70" s="175"/>
      <c r="AJ70" s="175"/>
      <c r="AK70" s="175"/>
      <c r="AL70" s="175"/>
      <c r="AM70" s="175"/>
      <c r="AN70" s="175"/>
      <c r="AO70" s="175"/>
    </row>
    <row r="71" spans="1:41" ht="15.75">
      <c r="A71" s="175"/>
      <c r="B71" s="175"/>
      <c r="C71" s="2" t="s">
        <v>488</v>
      </c>
      <c r="D71" s="175"/>
      <c r="E71" s="175"/>
      <c r="F71" s="175"/>
      <c r="G71" s="175"/>
      <c r="H71" s="175"/>
      <c r="I71" s="175"/>
      <c r="J71" s="175"/>
      <c r="K71" s="175"/>
      <c r="L71" s="175"/>
      <c r="M71" s="175"/>
      <c r="N71" s="175"/>
      <c r="O71" s="175"/>
      <c r="P71" s="175"/>
      <c r="Q71" s="175"/>
      <c r="R71" s="175"/>
      <c r="S71" s="175"/>
      <c r="T71" s="175"/>
      <c r="U71" s="175"/>
      <c r="V71" s="175"/>
      <c r="W71" s="175"/>
      <c r="X71" s="627"/>
      <c r="Y71" s="175"/>
      <c r="Z71" s="175"/>
      <c r="AA71" s="175"/>
      <c r="AB71" s="175"/>
      <c r="AC71" s="177"/>
      <c r="AD71" s="175">
        <v>70</v>
      </c>
      <c r="AE71" s="175">
        <f t="shared" si="1"/>
        <v>24</v>
      </c>
      <c r="AF71" s="175"/>
      <c r="AG71" s="175"/>
      <c r="AH71" s="175"/>
      <c r="AI71" s="175"/>
      <c r="AJ71" s="175"/>
      <c r="AK71" s="175"/>
      <c r="AL71" s="175"/>
      <c r="AM71" s="175"/>
      <c r="AN71" s="175"/>
      <c r="AO71" s="175"/>
    </row>
    <row r="72" spans="1:41" ht="15.75">
      <c r="A72" s="175"/>
      <c r="B72" s="175"/>
      <c r="C72" s="2" t="s">
        <v>430</v>
      </c>
      <c r="D72" s="175"/>
      <c r="E72" s="175"/>
      <c r="F72" s="175"/>
      <c r="G72" s="175"/>
      <c r="H72" s="175"/>
      <c r="I72" s="175"/>
      <c r="J72" s="175"/>
      <c r="K72" s="175"/>
      <c r="L72" s="175"/>
      <c r="M72" s="175"/>
      <c r="N72" s="175"/>
      <c r="O72" s="175"/>
      <c r="P72" s="175"/>
      <c r="Q72" s="175"/>
      <c r="R72" s="175"/>
      <c r="S72" s="175"/>
      <c r="T72" s="175"/>
      <c r="U72" s="175"/>
      <c r="V72" s="175"/>
      <c r="W72" s="175"/>
      <c r="X72" s="627"/>
      <c r="Y72" s="175"/>
      <c r="Z72" s="175"/>
      <c r="AA72" s="175"/>
      <c r="AB72" s="175"/>
      <c r="AC72" s="177"/>
      <c r="AD72" s="175">
        <v>71</v>
      </c>
      <c r="AE72" s="175">
        <f t="shared" si="1"/>
        <v>24</v>
      </c>
      <c r="AF72" s="175"/>
      <c r="AG72" s="175"/>
      <c r="AH72" s="175"/>
      <c r="AI72" s="175"/>
      <c r="AJ72" s="175"/>
      <c r="AK72" s="175"/>
      <c r="AL72" s="175"/>
      <c r="AM72" s="175"/>
      <c r="AN72" s="175"/>
      <c r="AO72" s="175"/>
    </row>
    <row r="73" spans="1:41" ht="15.75">
      <c r="A73" s="175"/>
      <c r="B73" s="175"/>
      <c r="C73" s="2" t="s">
        <v>489</v>
      </c>
      <c r="D73" s="175"/>
      <c r="E73" s="175"/>
      <c r="F73" s="175"/>
      <c r="G73" s="175"/>
      <c r="H73" s="175"/>
      <c r="I73" s="175"/>
      <c r="J73" s="175"/>
      <c r="K73" s="175"/>
      <c r="L73" s="175"/>
      <c r="M73" s="175"/>
      <c r="N73" s="175"/>
      <c r="O73" s="175"/>
      <c r="P73" s="175"/>
      <c r="Q73" s="175"/>
      <c r="R73" s="175"/>
      <c r="S73" s="175"/>
      <c r="T73" s="175"/>
      <c r="U73" s="175"/>
      <c r="V73" s="175"/>
      <c r="W73" s="175"/>
      <c r="X73" s="627"/>
      <c r="Y73" s="175"/>
      <c r="Z73" s="175"/>
      <c r="AA73" s="175"/>
      <c r="AB73" s="175"/>
      <c r="AC73" s="177"/>
      <c r="AD73" s="175">
        <v>72</v>
      </c>
      <c r="AE73" s="175">
        <f t="shared" si="1"/>
        <v>24</v>
      </c>
      <c r="AF73" s="175"/>
      <c r="AG73" s="175"/>
      <c r="AH73" s="175"/>
      <c r="AI73" s="175"/>
      <c r="AJ73" s="175"/>
      <c r="AK73" s="175"/>
      <c r="AL73" s="175"/>
      <c r="AM73" s="175"/>
      <c r="AN73" s="175"/>
      <c r="AO73" s="175"/>
    </row>
    <row r="74" spans="1:41" ht="15.75">
      <c r="A74" s="175"/>
      <c r="B74" s="175"/>
      <c r="C74" s="2"/>
      <c r="D74" s="175"/>
      <c r="E74" s="175"/>
      <c r="F74" s="175"/>
      <c r="G74" s="175"/>
      <c r="H74" s="175"/>
      <c r="I74" s="175"/>
      <c r="J74" s="175"/>
      <c r="K74" s="175"/>
      <c r="L74" s="175"/>
      <c r="M74" s="175"/>
      <c r="N74" s="175"/>
      <c r="O74" s="175"/>
      <c r="P74" s="175"/>
      <c r="Q74" s="175"/>
      <c r="R74" s="175"/>
      <c r="S74" s="175"/>
      <c r="T74" s="175"/>
      <c r="U74" s="175"/>
      <c r="V74" s="175"/>
      <c r="W74" s="175"/>
      <c r="X74" s="627"/>
      <c r="Y74" s="175"/>
      <c r="Z74" s="175"/>
      <c r="AA74" s="175"/>
      <c r="AB74" s="175"/>
      <c r="AC74" s="177"/>
      <c r="AD74" s="175">
        <v>73</v>
      </c>
      <c r="AE74" s="175">
        <f t="shared" si="1"/>
        <v>25</v>
      </c>
      <c r="AF74" s="175"/>
      <c r="AG74" s="175"/>
      <c r="AH74" s="175"/>
      <c r="AI74" s="175"/>
      <c r="AJ74" s="175"/>
      <c r="AK74" s="175"/>
      <c r="AL74" s="175"/>
      <c r="AM74" s="175"/>
      <c r="AN74" s="175"/>
      <c r="AO74" s="175"/>
    </row>
    <row r="75" spans="1:41" ht="15.75">
      <c r="A75" s="175"/>
      <c r="B75" s="175"/>
      <c r="C75" s="2"/>
      <c r="D75" s="175"/>
      <c r="E75" s="175"/>
      <c r="F75" s="175"/>
      <c r="G75" s="175"/>
      <c r="H75" s="175"/>
      <c r="I75" s="175"/>
      <c r="J75" s="175"/>
      <c r="K75" s="175"/>
      <c r="L75" s="175"/>
      <c r="M75" s="175"/>
      <c r="N75" s="175"/>
      <c r="O75" s="175"/>
      <c r="P75" s="175"/>
      <c r="Q75" s="175"/>
      <c r="R75" s="175"/>
      <c r="S75" s="175"/>
      <c r="T75" s="175"/>
      <c r="U75" s="175"/>
      <c r="V75" s="175"/>
      <c r="W75" s="175"/>
      <c r="X75" s="627"/>
      <c r="Y75" s="175"/>
      <c r="Z75" s="175"/>
      <c r="AA75" s="175"/>
      <c r="AB75" s="175"/>
      <c r="AC75" s="177"/>
      <c r="AD75" s="175">
        <v>74</v>
      </c>
      <c r="AE75" s="175">
        <f t="shared" si="1"/>
        <v>25</v>
      </c>
      <c r="AF75" s="175"/>
      <c r="AG75" s="175"/>
      <c r="AH75" s="175"/>
      <c r="AI75" s="175"/>
      <c r="AJ75" s="175"/>
      <c r="AK75" s="175"/>
      <c r="AL75" s="175"/>
      <c r="AM75" s="175"/>
      <c r="AN75" s="175"/>
      <c r="AO75" s="175"/>
    </row>
    <row r="76" spans="1:41" ht="15.75">
      <c r="A76" s="175"/>
      <c r="B76" s="175"/>
      <c r="C76" s="2"/>
      <c r="D76" s="175"/>
      <c r="E76" s="175"/>
      <c r="F76" s="175"/>
      <c r="G76" s="175"/>
      <c r="H76" s="175"/>
      <c r="I76" s="175"/>
      <c r="J76" s="175"/>
      <c r="K76" s="175"/>
      <c r="L76" s="175"/>
      <c r="M76" s="175"/>
      <c r="N76" s="175"/>
      <c r="O76" s="175"/>
      <c r="P76" s="175"/>
      <c r="Q76" s="175"/>
      <c r="R76" s="175"/>
      <c r="S76" s="175"/>
      <c r="T76" s="175"/>
      <c r="U76" s="175"/>
      <c r="V76" s="175"/>
      <c r="W76" s="175"/>
      <c r="X76" s="627"/>
      <c r="Y76" s="175"/>
      <c r="Z76" s="175"/>
      <c r="AA76" s="175"/>
      <c r="AB76" s="175"/>
      <c r="AC76" s="177"/>
      <c r="AD76" s="175">
        <v>75</v>
      </c>
      <c r="AE76" s="175">
        <f t="shared" si="1"/>
        <v>25</v>
      </c>
      <c r="AF76" s="175"/>
      <c r="AG76" s="175"/>
      <c r="AH76" s="175"/>
      <c r="AI76" s="175"/>
      <c r="AJ76" s="175"/>
      <c r="AK76" s="175"/>
      <c r="AL76" s="175"/>
      <c r="AM76" s="175"/>
      <c r="AN76" s="175"/>
      <c r="AO76" s="175"/>
    </row>
    <row r="77" spans="1:41" ht="15.75">
      <c r="A77" s="175"/>
      <c r="B77" s="175"/>
      <c r="C77" s="2"/>
      <c r="D77" s="175"/>
      <c r="E77" s="175"/>
      <c r="F77" s="175"/>
      <c r="G77" s="175"/>
      <c r="H77" s="175"/>
      <c r="I77" s="175"/>
      <c r="J77" s="175"/>
      <c r="K77" s="175"/>
      <c r="L77" s="175"/>
      <c r="M77" s="175"/>
      <c r="N77" s="175"/>
      <c r="O77" s="175"/>
      <c r="P77" s="175"/>
      <c r="Q77" s="175"/>
      <c r="R77" s="175"/>
      <c r="S77" s="175"/>
      <c r="T77" s="175"/>
      <c r="U77" s="175"/>
      <c r="V77" s="175"/>
      <c r="W77" s="175"/>
      <c r="X77" s="627"/>
      <c r="Y77" s="175"/>
      <c r="Z77" s="175"/>
      <c r="AA77" s="175"/>
      <c r="AB77" s="175"/>
      <c r="AC77" s="177"/>
      <c r="AD77" s="175">
        <v>76</v>
      </c>
      <c r="AE77" s="175">
        <f t="shared" si="1"/>
        <v>26</v>
      </c>
      <c r="AF77" s="175"/>
      <c r="AG77" s="175"/>
      <c r="AH77" s="175"/>
      <c r="AI77" s="175"/>
      <c r="AJ77" s="175"/>
      <c r="AK77" s="175"/>
      <c r="AL77" s="175"/>
      <c r="AM77" s="175"/>
      <c r="AN77" s="175"/>
      <c r="AO77" s="175"/>
    </row>
    <row r="78" spans="1:41" ht="15.75">
      <c r="A78" s="175"/>
      <c r="B78" s="175"/>
      <c r="C78" s="2"/>
      <c r="D78" s="175"/>
      <c r="E78" s="175"/>
      <c r="F78" s="175"/>
      <c r="G78" s="175"/>
      <c r="H78" s="175"/>
      <c r="I78" s="175"/>
      <c r="J78" s="175"/>
      <c r="K78" s="175"/>
      <c r="L78" s="175"/>
      <c r="M78" s="175"/>
      <c r="N78" s="175"/>
      <c r="O78" s="175"/>
      <c r="P78" s="175"/>
      <c r="Q78" s="175"/>
      <c r="R78" s="175"/>
      <c r="S78" s="175"/>
      <c r="T78" s="175"/>
      <c r="U78" s="175"/>
      <c r="V78" s="175"/>
      <c r="W78" s="175"/>
      <c r="X78" s="627"/>
      <c r="Y78" s="175"/>
      <c r="Z78" s="175"/>
      <c r="AA78" s="175"/>
      <c r="AB78" s="175"/>
      <c r="AC78" s="177"/>
      <c r="AD78" s="175">
        <v>77</v>
      </c>
      <c r="AE78" s="175">
        <f t="shared" si="1"/>
        <v>26</v>
      </c>
      <c r="AF78" s="175"/>
      <c r="AG78" s="175"/>
      <c r="AH78" s="175"/>
      <c r="AI78" s="175"/>
      <c r="AJ78" s="175"/>
      <c r="AK78" s="175"/>
      <c r="AL78" s="175"/>
      <c r="AM78" s="175"/>
      <c r="AN78" s="175"/>
      <c r="AO78" s="175"/>
    </row>
    <row r="79" spans="1:41" ht="15.75">
      <c r="A79" s="175"/>
      <c r="B79" s="175"/>
      <c r="C79" s="2"/>
      <c r="D79" s="175"/>
      <c r="E79" s="175"/>
      <c r="F79" s="175"/>
      <c r="G79" s="175"/>
      <c r="H79" s="175"/>
      <c r="I79" s="175"/>
      <c r="J79" s="175"/>
      <c r="K79" s="175"/>
      <c r="L79" s="175"/>
      <c r="M79" s="175"/>
      <c r="N79" s="175"/>
      <c r="O79" s="175"/>
      <c r="P79" s="175"/>
      <c r="Q79" s="175"/>
      <c r="R79" s="175"/>
      <c r="S79" s="175"/>
      <c r="T79" s="175"/>
      <c r="U79" s="175"/>
      <c r="V79" s="175"/>
      <c r="W79" s="175"/>
      <c r="X79" s="627"/>
      <c r="Y79" s="175"/>
      <c r="Z79" s="175"/>
      <c r="AA79" s="175"/>
      <c r="AB79" s="175"/>
      <c r="AC79" s="177"/>
      <c r="AD79" s="175">
        <v>78</v>
      </c>
      <c r="AE79" s="175">
        <f t="shared" si="1"/>
        <v>26</v>
      </c>
      <c r="AF79" s="175"/>
      <c r="AG79" s="175"/>
      <c r="AH79" s="175"/>
      <c r="AI79" s="175"/>
      <c r="AJ79" s="175"/>
      <c r="AK79" s="175"/>
      <c r="AL79" s="175"/>
      <c r="AM79" s="175"/>
      <c r="AN79" s="175"/>
      <c r="AO79" s="175"/>
    </row>
    <row r="80" spans="1:41" ht="15.75">
      <c r="A80" s="175"/>
      <c r="B80" s="175"/>
      <c r="C80" s="2"/>
      <c r="D80" s="175"/>
      <c r="E80" s="175"/>
      <c r="F80" s="175"/>
      <c r="G80" s="175"/>
      <c r="H80" s="175"/>
      <c r="I80" s="175"/>
      <c r="J80" s="175"/>
      <c r="K80" s="175"/>
      <c r="L80" s="175"/>
      <c r="M80" s="175"/>
      <c r="N80" s="175"/>
      <c r="O80" s="175"/>
      <c r="P80" s="175"/>
      <c r="Q80" s="175"/>
      <c r="R80" s="175"/>
      <c r="S80" s="175"/>
      <c r="T80" s="175"/>
      <c r="U80" s="175"/>
      <c r="V80" s="175"/>
      <c r="W80" s="175"/>
      <c r="X80" s="627"/>
      <c r="Y80" s="175"/>
      <c r="Z80" s="175"/>
      <c r="AA80" s="175"/>
      <c r="AB80" s="175"/>
      <c r="AC80" s="177"/>
      <c r="AD80" s="175">
        <v>79</v>
      </c>
      <c r="AE80" s="175">
        <f t="shared" si="1"/>
        <v>27</v>
      </c>
      <c r="AF80" s="175"/>
      <c r="AG80" s="175"/>
      <c r="AH80" s="175"/>
      <c r="AI80" s="175"/>
      <c r="AJ80" s="175"/>
      <c r="AK80" s="175"/>
      <c r="AL80" s="175"/>
      <c r="AM80" s="175"/>
      <c r="AN80" s="175"/>
      <c r="AO80" s="175"/>
    </row>
    <row r="81" spans="1:41" ht="15.75">
      <c r="A81" s="175"/>
      <c r="B81" s="175"/>
      <c r="C81" s="2"/>
      <c r="D81" s="175"/>
      <c r="E81" s="175"/>
      <c r="F81" s="175"/>
      <c r="G81" s="175"/>
      <c r="H81" s="175"/>
      <c r="I81" s="175"/>
      <c r="J81" s="175"/>
      <c r="K81" s="175"/>
      <c r="L81" s="175"/>
      <c r="M81" s="175"/>
      <c r="N81" s="175"/>
      <c r="O81" s="175"/>
      <c r="P81" s="175"/>
      <c r="Q81" s="175"/>
      <c r="R81" s="175"/>
      <c r="S81" s="175"/>
      <c r="T81" s="175"/>
      <c r="U81" s="175"/>
      <c r="V81" s="175"/>
      <c r="W81" s="175"/>
      <c r="X81" s="627"/>
      <c r="Y81" s="175"/>
      <c r="Z81" s="175"/>
      <c r="AA81" s="175"/>
      <c r="AB81" s="175"/>
      <c r="AC81" s="177"/>
      <c r="AD81" s="175">
        <v>80</v>
      </c>
      <c r="AE81" s="175">
        <f t="shared" si="1"/>
        <v>27</v>
      </c>
      <c r="AF81" s="175"/>
      <c r="AG81" s="175"/>
      <c r="AH81" s="175"/>
      <c r="AI81" s="175"/>
      <c r="AJ81" s="175"/>
      <c r="AK81" s="175"/>
      <c r="AL81" s="175"/>
      <c r="AM81" s="175"/>
      <c r="AN81" s="175"/>
      <c r="AO81" s="175"/>
    </row>
    <row r="82" spans="1:41" ht="15.75">
      <c r="A82" s="175"/>
      <c r="B82" s="175"/>
      <c r="C82" s="2"/>
      <c r="D82" s="175"/>
      <c r="E82" s="175"/>
      <c r="F82" s="175"/>
      <c r="G82" s="175"/>
      <c r="H82" s="175"/>
      <c r="I82" s="175"/>
      <c r="J82" s="175"/>
      <c r="K82" s="175"/>
      <c r="L82" s="175"/>
      <c r="M82" s="175"/>
      <c r="N82" s="175"/>
      <c r="O82" s="175"/>
      <c r="P82" s="175"/>
      <c r="Q82" s="175"/>
      <c r="R82" s="175"/>
      <c r="S82" s="175"/>
      <c r="T82" s="175"/>
      <c r="U82" s="175"/>
      <c r="V82" s="175"/>
      <c r="W82" s="175"/>
      <c r="X82" s="627"/>
      <c r="Y82" s="175"/>
      <c r="Z82" s="175"/>
      <c r="AA82" s="175"/>
      <c r="AB82" s="175"/>
      <c r="AC82" s="177"/>
      <c r="AD82" s="175">
        <v>81</v>
      </c>
      <c r="AE82" s="175">
        <f t="shared" si="1"/>
        <v>27</v>
      </c>
      <c r="AF82" s="175"/>
      <c r="AG82" s="175"/>
      <c r="AH82" s="175"/>
      <c r="AI82" s="175"/>
      <c r="AJ82" s="175"/>
      <c r="AK82" s="175"/>
      <c r="AL82" s="175"/>
      <c r="AM82" s="175"/>
      <c r="AN82" s="175"/>
      <c r="AO82" s="175"/>
    </row>
    <row r="83" spans="1:41" ht="15.75">
      <c r="A83" s="175"/>
      <c r="B83" s="175"/>
      <c r="C83" s="2"/>
      <c r="D83" s="175"/>
      <c r="E83" s="175"/>
      <c r="F83" s="175"/>
      <c r="G83" s="175"/>
      <c r="H83" s="175"/>
      <c r="I83" s="175"/>
      <c r="J83" s="175"/>
      <c r="K83" s="175"/>
      <c r="L83" s="175"/>
      <c r="M83" s="175"/>
      <c r="N83" s="175"/>
      <c r="O83" s="175"/>
      <c r="P83" s="175"/>
      <c r="Q83" s="175"/>
      <c r="R83" s="175"/>
      <c r="S83" s="175"/>
      <c r="T83" s="175"/>
      <c r="U83" s="175"/>
      <c r="V83" s="175"/>
      <c r="W83" s="175"/>
      <c r="X83" s="627"/>
      <c r="Y83" s="175"/>
      <c r="Z83" s="175"/>
      <c r="AA83" s="175"/>
      <c r="AB83" s="175"/>
      <c r="AC83" s="177"/>
      <c r="AD83" s="175">
        <v>82</v>
      </c>
      <c r="AE83" s="175">
        <f t="shared" si="1"/>
        <v>28</v>
      </c>
      <c r="AF83" s="175"/>
      <c r="AG83" s="175"/>
      <c r="AH83" s="175"/>
      <c r="AI83" s="175"/>
      <c r="AJ83" s="175"/>
      <c r="AK83" s="175"/>
      <c r="AL83" s="175"/>
      <c r="AM83" s="175"/>
      <c r="AN83" s="175"/>
      <c r="AO83" s="175"/>
    </row>
    <row r="84" spans="1:41" ht="15.75">
      <c r="A84" s="175"/>
      <c r="B84" s="175"/>
      <c r="C84" s="2"/>
      <c r="D84" s="175"/>
      <c r="E84" s="175"/>
      <c r="F84" s="175"/>
      <c r="G84" s="175"/>
      <c r="H84" s="175"/>
      <c r="I84" s="175"/>
      <c r="J84" s="175"/>
      <c r="K84" s="175"/>
      <c r="L84" s="175"/>
      <c r="M84" s="175"/>
      <c r="N84" s="175"/>
      <c r="O84" s="175"/>
      <c r="P84" s="175"/>
      <c r="Q84" s="175"/>
      <c r="R84" s="175"/>
      <c r="S84" s="175"/>
      <c r="T84" s="175"/>
      <c r="U84" s="175"/>
      <c r="V84" s="175"/>
      <c r="W84" s="175"/>
      <c r="X84" s="627"/>
      <c r="Y84" s="175"/>
      <c r="Z84" s="175"/>
      <c r="AA84" s="175"/>
      <c r="AB84" s="175"/>
      <c r="AC84" s="177"/>
      <c r="AD84" s="175">
        <v>83</v>
      </c>
      <c r="AE84" s="175">
        <f t="shared" si="1"/>
        <v>28</v>
      </c>
      <c r="AF84" s="175"/>
      <c r="AG84" s="175"/>
      <c r="AH84" s="175"/>
      <c r="AI84" s="175"/>
      <c r="AJ84" s="175"/>
      <c r="AK84" s="175"/>
      <c r="AL84" s="175"/>
      <c r="AM84" s="175"/>
      <c r="AN84" s="175"/>
      <c r="AO84" s="175"/>
    </row>
    <row r="85" spans="1:41" ht="15.75">
      <c r="A85" s="175"/>
      <c r="B85" s="175"/>
      <c r="C85" s="2"/>
      <c r="D85" s="175"/>
      <c r="E85" s="175"/>
      <c r="F85" s="175"/>
      <c r="G85" s="175"/>
      <c r="H85" s="175"/>
      <c r="I85" s="175"/>
      <c r="J85" s="175"/>
      <c r="K85" s="175"/>
      <c r="L85" s="175"/>
      <c r="M85" s="175"/>
      <c r="N85" s="175"/>
      <c r="O85" s="175"/>
      <c r="P85" s="175"/>
      <c r="Q85" s="175"/>
      <c r="R85" s="175"/>
      <c r="S85" s="175"/>
      <c r="T85" s="175"/>
      <c r="U85" s="175"/>
      <c r="V85" s="175"/>
      <c r="W85" s="175"/>
      <c r="X85" s="627"/>
      <c r="Y85" s="175"/>
      <c r="Z85" s="175"/>
      <c r="AA85" s="175"/>
      <c r="AB85" s="175"/>
      <c r="AC85" s="177"/>
      <c r="AD85" s="175">
        <v>84</v>
      </c>
      <c r="AE85" s="175">
        <f t="shared" si="1"/>
        <v>28</v>
      </c>
      <c r="AF85" s="175"/>
      <c r="AG85" s="175"/>
      <c r="AH85" s="175"/>
      <c r="AI85" s="175"/>
      <c r="AJ85" s="175"/>
      <c r="AK85" s="175"/>
      <c r="AL85" s="175"/>
      <c r="AM85" s="175"/>
      <c r="AN85" s="175"/>
      <c r="AO85" s="175"/>
    </row>
    <row r="86" spans="1:41" ht="15.75">
      <c r="A86" s="175"/>
      <c r="B86" s="175"/>
      <c r="C86" s="2"/>
      <c r="D86" s="175"/>
      <c r="E86" s="175"/>
      <c r="F86" s="175"/>
      <c r="G86" s="175"/>
      <c r="H86" s="175"/>
      <c r="I86" s="175"/>
      <c r="J86" s="175"/>
      <c r="K86" s="175"/>
      <c r="L86" s="175"/>
      <c r="M86" s="175"/>
      <c r="N86" s="175"/>
      <c r="O86" s="175"/>
      <c r="P86" s="175"/>
      <c r="Q86" s="175"/>
      <c r="R86" s="175"/>
      <c r="S86" s="175"/>
      <c r="T86" s="175"/>
      <c r="U86" s="175"/>
      <c r="V86" s="175"/>
      <c r="W86" s="175"/>
      <c r="X86" s="627"/>
      <c r="Y86" s="175"/>
      <c r="Z86" s="175"/>
      <c r="AA86" s="175"/>
      <c r="AB86" s="175"/>
      <c r="AC86" s="177"/>
      <c r="AD86" s="175">
        <v>85</v>
      </c>
      <c r="AE86" s="175">
        <f t="shared" si="1"/>
        <v>29</v>
      </c>
      <c r="AF86" s="175"/>
      <c r="AG86" s="175"/>
      <c r="AH86" s="175"/>
      <c r="AI86" s="175"/>
      <c r="AJ86" s="175"/>
      <c r="AK86" s="175"/>
      <c r="AL86" s="175"/>
      <c r="AM86" s="175"/>
      <c r="AN86" s="175"/>
      <c r="AO86" s="175"/>
    </row>
    <row r="87" spans="1:41" ht="15.75">
      <c r="A87" s="175"/>
      <c r="B87" s="175"/>
      <c r="C87" s="2"/>
      <c r="D87" s="175"/>
      <c r="E87" s="175"/>
      <c r="F87" s="175"/>
      <c r="G87" s="175"/>
      <c r="H87" s="175"/>
      <c r="I87" s="175"/>
      <c r="J87" s="175"/>
      <c r="K87" s="175"/>
      <c r="L87" s="175"/>
      <c r="M87" s="175"/>
      <c r="N87" s="175"/>
      <c r="O87" s="175"/>
      <c r="P87" s="175"/>
      <c r="Q87" s="175"/>
      <c r="R87" s="175"/>
      <c r="S87" s="175"/>
      <c r="T87" s="175"/>
      <c r="U87" s="175"/>
      <c r="V87" s="175"/>
      <c r="W87" s="175"/>
      <c r="X87" s="627"/>
      <c r="Y87" s="175"/>
      <c r="Z87" s="175"/>
      <c r="AA87" s="175"/>
      <c r="AB87" s="175"/>
      <c r="AC87" s="177"/>
      <c r="AD87" s="175">
        <v>86</v>
      </c>
      <c r="AE87" s="175">
        <f t="shared" si="1"/>
        <v>29</v>
      </c>
      <c r="AF87" s="175"/>
      <c r="AG87" s="175"/>
      <c r="AH87" s="175"/>
      <c r="AI87" s="175"/>
      <c r="AJ87" s="175"/>
      <c r="AK87" s="175"/>
      <c r="AL87" s="175"/>
      <c r="AM87" s="175"/>
      <c r="AN87" s="175"/>
      <c r="AO87" s="175"/>
    </row>
    <row r="88" spans="1:41" ht="15.75">
      <c r="A88" s="175"/>
      <c r="B88" s="175"/>
      <c r="C88" s="2"/>
      <c r="D88" s="175"/>
      <c r="E88" s="175"/>
      <c r="F88" s="175"/>
      <c r="G88" s="175"/>
      <c r="H88" s="175"/>
      <c r="I88" s="175"/>
      <c r="J88" s="175"/>
      <c r="K88" s="175"/>
      <c r="L88" s="175"/>
      <c r="M88" s="175"/>
      <c r="N88" s="175"/>
      <c r="O88" s="175"/>
      <c r="P88" s="175"/>
      <c r="Q88" s="175"/>
      <c r="R88" s="175"/>
      <c r="S88" s="175"/>
      <c r="T88" s="175"/>
      <c r="U88" s="175"/>
      <c r="V88" s="175"/>
      <c r="W88" s="175"/>
      <c r="X88" s="627"/>
      <c r="Y88" s="175"/>
      <c r="Z88" s="175"/>
      <c r="AA88" s="175"/>
      <c r="AB88" s="175"/>
      <c r="AC88" s="177"/>
      <c r="AD88" s="175">
        <v>87</v>
      </c>
      <c r="AE88" s="175">
        <f t="shared" si="1"/>
        <v>29</v>
      </c>
      <c r="AF88" s="175"/>
      <c r="AG88" s="175"/>
      <c r="AH88" s="175"/>
      <c r="AI88" s="175"/>
      <c r="AJ88" s="175"/>
      <c r="AK88" s="175"/>
      <c r="AL88" s="175"/>
      <c r="AM88" s="175"/>
      <c r="AN88" s="175"/>
      <c r="AO88" s="175"/>
    </row>
    <row r="89" spans="1:41" ht="15.75">
      <c r="A89" s="175"/>
      <c r="B89" s="175"/>
      <c r="C89" s="2"/>
      <c r="D89" s="175"/>
      <c r="E89" s="175"/>
      <c r="F89" s="175"/>
      <c r="G89" s="175"/>
      <c r="H89" s="175"/>
      <c r="I89" s="175"/>
      <c r="J89" s="175"/>
      <c r="K89" s="175"/>
      <c r="L89" s="175"/>
      <c r="M89" s="175"/>
      <c r="N89" s="175"/>
      <c r="O89" s="175"/>
      <c r="P89" s="175"/>
      <c r="Q89" s="175"/>
      <c r="R89" s="175"/>
      <c r="S89" s="175"/>
      <c r="T89" s="175"/>
      <c r="U89" s="175"/>
      <c r="V89" s="175"/>
      <c r="W89" s="175"/>
      <c r="X89" s="627"/>
      <c r="Y89" s="175"/>
      <c r="Z89" s="175"/>
      <c r="AA89" s="175"/>
      <c r="AB89" s="175"/>
      <c r="AC89" s="177"/>
      <c r="AD89" s="175">
        <v>88</v>
      </c>
      <c r="AE89" s="175">
        <f t="shared" si="1"/>
        <v>30</v>
      </c>
      <c r="AF89" s="175"/>
      <c r="AG89" s="175"/>
      <c r="AH89" s="175"/>
      <c r="AI89" s="175"/>
      <c r="AJ89" s="175"/>
      <c r="AK89" s="175"/>
      <c r="AL89" s="175"/>
      <c r="AM89" s="175"/>
      <c r="AN89" s="175"/>
      <c r="AO89" s="175"/>
    </row>
    <row r="90" spans="1:41" ht="15.75">
      <c r="A90" s="175"/>
      <c r="B90" s="175"/>
      <c r="C90" s="2"/>
      <c r="D90" s="175"/>
      <c r="E90" s="175"/>
      <c r="F90" s="175"/>
      <c r="G90" s="175"/>
      <c r="H90" s="175"/>
      <c r="I90" s="175"/>
      <c r="J90" s="175"/>
      <c r="K90" s="175"/>
      <c r="L90" s="175"/>
      <c r="M90" s="175"/>
      <c r="N90" s="175"/>
      <c r="O90" s="175"/>
      <c r="P90" s="175"/>
      <c r="Q90" s="175"/>
      <c r="R90" s="175"/>
      <c r="S90" s="175"/>
      <c r="T90" s="175"/>
      <c r="U90" s="175"/>
      <c r="V90" s="175"/>
      <c r="W90" s="175"/>
      <c r="X90" s="627"/>
      <c r="Y90" s="175"/>
      <c r="Z90" s="175"/>
      <c r="AA90" s="175"/>
      <c r="AB90" s="175"/>
      <c r="AC90" s="177"/>
      <c r="AD90" s="175">
        <v>89</v>
      </c>
      <c r="AE90" s="175">
        <f t="shared" si="1"/>
        <v>30</v>
      </c>
      <c r="AF90" s="175"/>
      <c r="AG90" s="175"/>
      <c r="AH90" s="175"/>
      <c r="AI90" s="175"/>
      <c r="AJ90" s="175"/>
      <c r="AK90" s="175"/>
      <c r="AL90" s="175"/>
      <c r="AM90" s="175"/>
      <c r="AN90" s="175"/>
      <c r="AO90" s="175"/>
    </row>
    <row r="91" spans="1:41" ht="15.75">
      <c r="A91" s="175"/>
      <c r="B91" s="175"/>
      <c r="C91" s="2"/>
      <c r="D91" s="175"/>
      <c r="E91" s="175"/>
      <c r="F91" s="175"/>
      <c r="G91" s="175"/>
      <c r="H91" s="175"/>
      <c r="I91" s="175"/>
      <c r="J91" s="175"/>
      <c r="K91" s="175"/>
      <c r="L91" s="175"/>
      <c r="M91" s="175"/>
      <c r="N91" s="175"/>
      <c r="O91" s="175"/>
      <c r="P91" s="175"/>
      <c r="Q91" s="175"/>
      <c r="R91" s="175"/>
      <c r="S91" s="175"/>
      <c r="T91" s="175"/>
      <c r="U91" s="175"/>
      <c r="V91" s="175"/>
      <c r="W91" s="175"/>
      <c r="X91" s="627"/>
      <c r="Y91" s="175"/>
      <c r="Z91" s="175"/>
      <c r="AA91" s="175"/>
      <c r="AB91" s="175"/>
      <c r="AC91" s="177"/>
      <c r="AD91" s="175">
        <v>90</v>
      </c>
      <c r="AE91" s="175">
        <f t="shared" si="1"/>
        <v>30</v>
      </c>
      <c r="AF91" s="175"/>
      <c r="AG91" s="175"/>
      <c r="AH91" s="175"/>
      <c r="AI91" s="175"/>
      <c r="AJ91" s="175"/>
      <c r="AK91" s="175"/>
      <c r="AL91" s="175"/>
      <c r="AM91" s="175"/>
      <c r="AN91" s="175"/>
      <c r="AO91" s="175"/>
    </row>
    <row r="92" spans="1:41" ht="15.75">
      <c r="A92" s="175"/>
      <c r="B92" s="175"/>
      <c r="C92" s="2"/>
      <c r="D92" s="175"/>
      <c r="E92" s="175"/>
      <c r="F92" s="175"/>
      <c r="G92" s="175"/>
      <c r="H92" s="175"/>
      <c r="I92" s="175"/>
      <c r="J92" s="175"/>
      <c r="K92" s="175"/>
      <c r="L92" s="175"/>
      <c r="M92" s="175"/>
      <c r="N92" s="175"/>
      <c r="O92" s="175"/>
      <c r="P92" s="175"/>
      <c r="Q92" s="175"/>
      <c r="R92" s="175"/>
      <c r="S92" s="175"/>
      <c r="T92" s="175"/>
      <c r="U92" s="175"/>
      <c r="V92" s="175"/>
      <c r="W92" s="175"/>
      <c r="X92" s="627"/>
      <c r="Y92" s="175"/>
      <c r="Z92" s="175"/>
      <c r="AA92" s="175"/>
      <c r="AB92" s="175"/>
      <c r="AC92" s="177"/>
      <c r="AD92" s="175">
        <v>91</v>
      </c>
      <c r="AE92" s="175">
        <f t="shared" si="1"/>
        <v>31</v>
      </c>
      <c r="AF92" s="175"/>
      <c r="AG92" s="175"/>
      <c r="AH92" s="175"/>
      <c r="AI92" s="175"/>
      <c r="AJ92" s="175"/>
      <c r="AK92" s="175"/>
      <c r="AL92" s="175"/>
      <c r="AM92" s="175"/>
      <c r="AN92" s="175"/>
      <c r="AO92" s="175"/>
    </row>
    <row r="93" spans="1:41" ht="15.75">
      <c r="A93" s="175"/>
      <c r="B93" s="175"/>
      <c r="C93" s="2"/>
      <c r="D93" s="175"/>
      <c r="E93" s="175"/>
      <c r="F93" s="175"/>
      <c r="G93" s="175"/>
      <c r="H93" s="175"/>
      <c r="I93" s="175"/>
      <c r="J93" s="175"/>
      <c r="K93" s="175"/>
      <c r="L93" s="175"/>
      <c r="M93" s="175"/>
      <c r="N93" s="175"/>
      <c r="O93" s="175"/>
      <c r="P93" s="175"/>
      <c r="Q93" s="175"/>
      <c r="R93" s="175"/>
      <c r="S93" s="175"/>
      <c r="T93" s="175"/>
      <c r="U93" s="175"/>
      <c r="V93" s="175"/>
      <c r="W93" s="175"/>
      <c r="X93" s="627"/>
      <c r="Y93" s="175"/>
      <c r="Z93" s="175"/>
      <c r="AA93" s="175"/>
      <c r="AB93" s="175"/>
      <c r="AC93" s="177"/>
      <c r="AD93" s="175">
        <v>92</v>
      </c>
      <c r="AE93" s="175">
        <f t="shared" si="1"/>
        <v>31</v>
      </c>
      <c r="AF93" s="175"/>
      <c r="AG93" s="175"/>
      <c r="AH93" s="175"/>
      <c r="AI93" s="175"/>
      <c r="AJ93" s="175"/>
      <c r="AK93" s="175"/>
      <c r="AL93" s="175"/>
      <c r="AM93" s="175"/>
      <c r="AN93" s="175"/>
      <c r="AO93" s="175"/>
    </row>
    <row r="94" spans="1:41" ht="15.75">
      <c r="A94" s="175"/>
      <c r="B94" s="175"/>
      <c r="C94" s="2"/>
      <c r="D94" s="175"/>
      <c r="E94" s="175"/>
      <c r="F94" s="175"/>
      <c r="G94" s="175"/>
      <c r="H94" s="175"/>
      <c r="I94" s="175"/>
      <c r="J94" s="175"/>
      <c r="K94" s="175"/>
      <c r="L94" s="175"/>
      <c r="M94" s="175"/>
      <c r="N94" s="175"/>
      <c r="O94" s="175"/>
      <c r="P94" s="175"/>
      <c r="Q94" s="175"/>
      <c r="R94" s="175"/>
      <c r="S94" s="175"/>
      <c r="T94" s="175"/>
      <c r="U94" s="175"/>
      <c r="V94" s="175"/>
      <c r="W94" s="175"/>
      <c r="X94" s="627"/>
      <c r="Y94" s="175"/>
      <c r="Z94" s="175"/>
      <c r="AA94" s="175"/>
      <c r="AB94" s="175"/>
      <c r="AC94" s="177"/>
      <c r="AD94" s="175">
        <v>93</v>
      </c>
      <c r="AE94" s="175">
        <f t="shared" si="1"/>
        <v>31</v>
      </c>
      <c r="AF94" s="175"/>
      <c r="AG94" s="175"/>
      <c r="AH94" s="175"/>
      <c r="AI94" s="175"/>
      <c r="AJ94" s="175"/>
      <c r="AK94" s="175"/>
      <c r="AL94" s="175"/>
      <c r="AM94" s="175"/>
      <c r="AN94" s="175"/>
      <c r="AO94" s="175"/>
    </row>
    <row r="95" spans="1:41" ht="15.75">
      <c r="A95" s="175"/>
      <c r="B95" s="175"/>
      <c r="C95" s="2"/>
      <c r="D95" s="175"/>
      <c r="E95" s="175"/>
      <c r="F95" s="175"/>
      <c r="G95" s="175"/>
      <c r="H95" s="175"/>
      <c r="I95" s="175"/>
      <c r="J95" s="175"/>
      <c r="K95" s="175"/>
      <c r="L95" s="175"/>
      <c r="M95" s="175"/>
      <c r="N95" s="175"/>
      <c r="O95" s="175"/>
      <c r="P95" s="175"/>
      <c r="Q95" s="175"/>
      <c r="R95" s="175"/>
      <c r="S95" s="175"/>
      <c r="T95" s="175"/>
      <c r="U95" s="175"/>
      <c r="V95" s="175"/>
      <c r="W95" s="175"/>
      <c r="X95" s="627"/>
      <c r="Y95" s="175"/>
      <c r="Z95" s="175"/>
      <c r="AA95" s="175"/>
      <c r="AB95" s="175"/>
      <c r="AC95" s="177"/>
      <c r="AD95" s="175">
        <v>94</v>
      </c>
      <c r="AE95" s="175">
        <f t="shared" si="1"/>
        <v>32</v>
      </c>
      <c r="AF95" s="175"/>
      <c r="AG95" s="175"/>
      <c r="AH95" s="175"/>
      <c r="AI95" s="175"/>
      <c r="AJ95" s="175"/>
      <c r="AK95" s="175"/>
      <c r="AL95" s="175"/>
      <c r="AM95" s="175"/>
      <c r="AN95" s="175"/>
      <c r="AO95" s="175"/>
    </row>
    <row r="96" spans="1:41" ht="15.75">
      <c r="A96" s="175"/>
      <c r="B96" s="175"/>
      <c r="C96" s="2"/>
      <c r="D96" s="175"/>
      <c r="E96" s="175"/>
      <c r="F96" s="175"/>
      <c r="G96" s="175"/>
      <c r="H96" s="175"/>
      <c r="I96" s="175"/>
      <c r="J96" s="175"/>
      <c r="K96" s="175"/>
      <c r="L96" s="175"/>
      <c r="M96" s="175"/>
      <c r="N96" s="175"/>
      <c r="O96" s="175"/>
      <c r="P96" s="175"/>
      <c r="Q96" s="175"/>
      <c r="R96" s="175"/>
      <c r="S96" s="175"/>
      <c r="T96" s="175"/>
      <c r="U96" s="175"/>
      <c r="V96" s="175"/>
      <c r="W96" s="175"/>
      <c r="X96" s="627"/>
      <c r="Y96" s="175"/>
      <c r="Z96" s="175"/>
      <c r="AA96" s="175"/>
      <c r="AB96" s="175"/>
      <c r="AC96" s="177"/>
      <c r="AD96" s="175">
        <v>95</v>
      </c>
      <c r="AE96" s="175">
        <f t="shared" si="1"/>
        <v>32</v>
      </c>
      <c r="AF96" s="175"/>
      <c r="AG96" s="175"/>
      <c r="AH96" s="175"/>
      <c r="AI96" s="175"/>
      <c r="AJ96" s="175"/>
      <c r="AK96" s="175"/>
      <c r="AL96" s="175"/>
      <c r="AM96" s="175"/>
      <c r="AN96" s="175"/>
      <c r="AO96" s="175"/>
    </row>
    <row r="97" spans="1:41" ht="15.75">
      <c r="A97" s="175"/>
      <c r="B97" s="175"/>
      <c r="C97" s="2"/>
      <c r="D97" s="175"/>
      <c r="E97" s="175"/>
      <c r="F97" s="175"/>
      <c r="G97" s="175"/>
      <c r="H97" s="175"/>
      <c r="I97" s="175"/>
      <c r="J97" s="175"/>
      <c r="K97" s="175"/>
      <c r="L97" s="175"/>
      <c r="M97" s="175"/>
      <c r="N97" s="175"/>
      <c r="O97" s="175"/>
      <c r="P97" s="175"/>
      <c r="Q97" s="175"/>
      <c r="R97" s="175"/>
      <c r="S97" s="175"/>
      <c r="T97" s="175"/>
      <c r="U97" s="175"/>
      <c r="V97" s="175"/>
      <c r="W97" s="175"/>
      <c r="X97" s="627"/>
      <c r="Y97" s="175"/>
      <c r="Z97" s="175"/>
      <c r="AA97" s="175"/>
      <c r="AB97" s="175"/>
      <c r="AC97" s="177"/>
      <c r="AD97" s="175">
        <v>96</v>
      </c>
      <c r="AE97" s="175">
        <f t="shared" si="1"/>
        <v>32</v>
      </c>
      <c r="AF97" s="175"/>
      <c r="AG97" s="175"/>
      <c r="AH97" s="175"/>
      <c r="AI97" s="175"/>
      <c r="AJ97" s="175"/>
      <c r="AK97" s="175"/>
      <c r="AL97" s="175"/>
      <c r="AM97" s="175"/>
      <c r="AN97" s="175"/>
      <c r="AO97" s="175"/>
    </row>
    <row r="98" spans="1:41" ht="15.75">
      <c r="A98" s="175"/>
      <c r="B98" s="175"/>
      <c r="C98" s="2"/>
      <c r="D98" s="175"/>
      <c r="E98" s="175"/>
      <c r="F98" s="175"/>
      <c r="G98" s="175"/>
      <c r="H98" s="175"/>
      <c r="I98" s="175"/>
      <c r="J98" s="175"/>
      <c r="K98" s="175"/>
      <c r="L98" s="175"/>
      <c r="M98" s="175"/>
      <c r="N98" s="175"/>
      <c r="O98" s="175"/>
      <c r="P98" s="175"/>
      <c r="Q98" s="175"/>
      <c r="R98" s="175"/>
      <c r="S98" s="175"/>
      <c r="T98" s="175"/>
      <c r="U98" s="175"/>
      <c r="V98" s="175"/>
      <c r="W98" s="175"/>
      <c r="X98" s="627"/>
      <c r="Y98" s="175"/>
      <c r="Z98" s="175"/>
      <c r="AA98" s="175"/>
      <c r="AB98" s="175"/>
      <c r="AC98" s="177"/>
      <c r="AD98" s="175">
        <v>97</v>
      </c>
      <c r="AE98" s="175">
        <f t="shared" si="1"/>
        <v>33</v>
      </c>
      <c r="AF98" s="175"/>
      <c r="AG98" s="175"/>
      <c r="AH98" s="175"/>
      <c r="AI98" s="175"/>
      <c r="AJ98" s="175"/>
      <c r="AK98" s="175"/>
      <c r="AL98" s="175"/>
      <c r="AM98" s="175"/>
      <c r="AN98" s="175"/>
      <c r="AO98" s="175"/>
    </row>
    <row r="99" spans="1:41" ht="15.75">
      <c r="A99" s="175"/>
      <c r="B99" s="175"/>
      <c r="C99" s="2"/>
      <c r="D99" s="175"/>
      <c r="E99" s="175"/>
      <c r="F99" s="175"/>
      <c r="G99" s="175"/>
      <c r="H99" s="175"/>
      <c r="I99" s="175"/>
      <c r="J99" s="175"/>
      <c r="K99" s="175"/>
      <c r="L99" s="175"/>
      <c r="M99" s="175"/>
      <c r="N99" s="175"/>
      <c r="O99" s="175"/>
      <c r="P99" s="175"/>
      <c r="Q99" s="175"/>
      <c r="R99" s="175"/>
      <c r="S99" s="175"/>
      <c r="T99" s="175"/>
      <c r="U99" s="175"/>
      <c r="V99" s="175"/>
      <c r="W99" s="175"/>
      <c r="X99" s="627"/>
      <c r="Y99" s="175"/>
      <c r="Z99" s="175"/>
      <c r="AA99" s="175"/>
      <c r="AB99" s="175"/>
      <c r="AC99" s="177"/>
      <c r="AD99" s="175">
        <v>98</v>
      </c>
      <c r="AE99" s="175">
        <f t="shared" si="1"/>
        <v>33</v>
      </c>
      <c r="AF99" s="175"/>
      <c r="AG99" s="175"/>
      <c r="AH99" s="175"/>
      <c r="AI99" s="175"/>
      <c r="AJ99" s="175"/>
      <c r="AK99" s="175"/>
      <c r="AL99" s="175"/>
      <c r="AM99" s="175"/>
      <c r="AN99" s="175"/>
      <c r="AO99" s="175"/>
    </row>
    <row r="100" spans="1:41" ht="15.75">
      <c r="A100" s="175"/>
      <c r="B100" s="175"/>
      <c r="C100" s="2"/>
      <c r="D100" s="175"/>
      <c r="E100" s="175"/>
      <c r="F100" s="175"/>
      <c r="G100" s="175"/>
      <c r="H100" s="175"/>
      <c r="I100" s="175"/>
      <c r="J100" s="175"/>
      <c r="K100" s="175"/>
      <c r="L100" s="175"/>
      <c r="M100" s="175"/>
      <c r="N100" s="175"/>
      <c r="O100" s="175"/>
      <c r="P100" s="175"/>
      <c r="Q100" s="175"/>
      <c r="R100" s="175"/>
      <c r="S100" s="175"/>
      <c r="T100" s="175"/>
      <c r="U100" s="175"/>
      <c r="V100" s="175"/>
      <c r="W100" s="175"/>
      <c r="X100" s="627"/>
      <c r="Y100" s="175"/>
      <c r="Z100" s="175"/>
      <c r="AA100" s="175"/>
      <c r="AB100" s="175"/>
      <c r="AC100" s="177"/>
      <c r="AD100" s="175">
        <v>99</v>
      </c>
      <c r="AE100" s="175">
        <f t="shared" si="1"/>
        <v>33</v>
      </c>
      <c r="AF100" s="175"/>
      <c r="AG100" s="175"/>
      <c r="AH100" s="175"/>
      <c r="AI100" s="175"/>
      <c r="AJ100" s="175"/>
      <c r="AK100" s="175"/>
      <c r="AL100" s="175"/>
      <c r="AM100" s="175"/>
      <c r="AN100" s="175"/>
      <c r="AO100" s="175"/>
    </row>
    <row r="101" spans="1:41" ht="15.75">
      <c r="A101" s="175"/>
      <c r="B101" s="175"/>
      <c r="C101" s="2"/>
      <c r="D101" s="175"/>
      <c r="E101" s="175"/>
      <c r="F101" s="175"/>
      <c r="G101" s="175"/>
      <c r="H101" s="175"/>
      <c r="I101" s="175"/>
      <c r="J101" s="175"/>
      <c r="K101" s="175"/>
      <c r="L101" s="175"/>
      <c r="M101" s="175"/>
      <c r="N101" s="175"/>
      <c r="O101" s="175"/>
      <c r="P101" s="175"/>
      <c r="Q101" s="175"/>
      <c r="R101" s="175"/>
      <c r="S101" s="175"/>
      <c r="T101" s="175"/>
      <c r="U101" s="175"/>
      <c r="V101" s="175"/>
      <c r="W101" s="175"/>
      <c r="X101" s="627"/>
      <c r="Y101" s="175"/>
      <c r="Z101" s="175"/>
      <c r="AA101" s="175"/>
      <c r="AB101" s="175"/>
      <c r="AC101" s="177"/>
      <c r="AD101" s="175"/>
      <c r="AE101" s="175"/>
      <c r="AF101" s="175"/>
      <c r="AG101" s="175"/>
      <c r="AH101" s="175"/>
      <c r="AI101" s="175"/>
      <c r="AJ101" s="175"/>
      <c r="AK101" s="175"/>
      <c r="AL101" s="175"/>
      <c r="AM101" s="175"/>
      <c r="AN101" s="175"/>
      <c r="AO101" s="175"/>
    </row>
    <row r="102" spans="1:41" ht="15.75">
      <c r="A102" s="175"/>
      <c r="B102" s="175"/>
      <c r="C102" s="2"/>
      <c r="D102" s="175"/>
      <c r="E102" s="175"/>
      <c r="F102" s="175"/>
      <c r="G102" s="175"/>
      <c r="H102" s="175"/>
      <c r="I102" s="175"/>
      <c r="J102" s="175"/>
      <c r="K102" s="175"/>
      <c r="L102" s="175"/>
      <c r="M102" s="175"/>
      <c r="N102" s="175"/>
      <c r="O102" s="175"/>
      <c r="P102" s="175"/>
      <c r="Q102" s="175"/>
      <c r="R102" s="175"/>
      <c r="S102" s="175"/>
      <c r="T102" s="175"/>
      <c r="U102" s="175"/>
      <c r="V102" s="175"/>
      <c r="W102" s="175"/>
      <c r="X102" s="627"/>
      <c r="Y102" s="175"/>
      <c r="Z102" s="175"/>
      <c r="AA102" s="175"/>
      <c r="AB102" s="175"/>
      <c r="AC102" s="177"/>
      <c r="AD102" s="175"/>
      <c r="AE102" s="175"/>
      <c r="AF102" s="175"/>
      <c r="AG102" s="175"/>
      <c r="AH102" s="175"/>
      <c r="AI102" s="175"/>
      <c r="AJ102" s="175"/>
      <c r="AK102" s="175"/>
      <c r="AL102" s="175"/>
      <c r="AM102" s="175"/>
      <c r="AN102" s="175"/>
      <c r="AO102" s="175"/>
    </row>
    <row r="103" spans="1:41" ht="15.75">
      <c r="A103" s="175"/>
      <c r="B103" s="175"/>
      <c r="C103" s="2"/>
      <c r="D103" s="175"/>
      <c r="E103" s="175"/>
      <c r="F103" s="175"/>
      <c r="G103" s="175"/>
      <c r="H103" s="175"/>
      <c r="I103" s="175"/>
      <c r="J103" s="175"/>
      <c r="K103" s="175"/>
      <c r="L103" s="175"/>
      <c r="M103" s="175"/>
      <c r="N103" s="175"/>
      <c r="O103" s="175"/>
      <c r="P103" s="175"/>
      <c r="Q103" s="175"/>
      <c r="R103" s="175"/>
      <c r="S103" s="175"/>
      <c r="T103" s="175"/>
      <c r="U103" s="175"/>
      <c r="V103" s="175"/>
      <c r="W103" s="175"/>
      <c r="X103" s="627"/>
      <c r="Y103" s="175"/>
      <c r="Z103" s="175"/>
      <c r="AA103" s="175"/>
      <c r="AB103" s="175"/>
      <c r="AC103" s="177"/>
      <c r="AD103" s="175"/>
      <c r="AE103" s="175"/>
      <c r="AF103" s="175"/>
      <c r="AG103" s="175"/>
      <c r="AH103" s="175"/>
      <c r="AI103" s="175"/>
      <c r="AJ103" s="175"/>
      <c r="AK103" s="175"/>
      <c r="AL103" s="175"/>
      <c r="AM103" s="175"/>
      <c r="AN103" s="175"/>
      <c r="AO103" s="175"/>
    </row>
    <row r="104" spans="1:41" ht="15.75">
      <c r="A104" s="175"/>
      <c r="B104" s="175"/>
      <c r="C104" s="2"/>
      <c r="D104" s="175"/>
      <c r="E104" s="175"/>
      <c r="F104" s="175"/>
      <c r="G104" s="175"/>
      <c r="H104" s="175"/>
      <c r="I104" s="175"/>
      <c r="J104" s="175"/>
      <c r="K104" s="175"/>
      <c r="L104" s="175"/>
      <c r="M104" s="175"/>
      <c r="N104" s="175"/>
      <c r="O104" s="175"/>
      <c r="P104" s="175"/>
      <c r="Q104" s="175"/>
      <c r="R104" s="175"/>
      <c r="S104" s="175"/>
      <c r="T104" s="175"/>
      <c r="U104" s="175"/>
      <c r="V104" s="175"/>
      <c r="W104" s="175"/>
      <c r="X104" s="627"/>
      <c r="Y104" s="175"/>
      <c r="Z104" s="175"/>
      <c r="AA104" s="175"/>
      <c r="AB104" s="175"/>
      <c r="AC104" s="177"/>
      <c r="AD104" s="175"/>
      <c r="AE104" s="175"/>
      <c r="AF104" s="175"/>
      <c r="AG104" s="175"/>
      <c r="AH104" s="175"/>
      <c r="AI104" s="175"/>
      <c r="AJ104" s="175"/>
      <c r="AK104" s="175"/>
      <c r="AL104" s="175"/>
      <c r="AM104" s="175"/>
      <c r="AN104" s="175"/>
      <c r="AO104" s="175"/>
    </row>
    <row r="105" spans="1:41" ht="15.75">
      <c r="A105" s="175"/>
      <c r="B105" s="175"/>
      <c r="C105" s="2"/>
      <c r="D105" s="175"/>
      <c r="E105" s="175"/>
      <c r="F105" s="175"/>
      <c r="G105" s="175"/>
      <c r="H105" s="175"/>
      <c r="I105" s="175"/>
      <c r="J105" s="175"/>
      <c r="K105" s="175"/>
      <c r="L105" s="175"/>
      <c r="M105" s="175"/>
      <c r="N105" s="175"/>
      <c r="O105" s="175"/>
      <c r="P105" s="175"/>
      <c r="Q105" s="175"/>
      <c r="R105" s="175"/>
      <c r="S105" s="175"/>
      <c r="T105" s="175"/>
      <c r="U105" s="175"/>
      <c r="V105" s="175"/>
      <c r="W105" s="175"/>
      <c r="X105" s="627"/>
      <c r="Y105" s="175"/>
      <c r="Z105" s="175"/>
      <c r="AA105" s="175"/>
      <c r="AB105" s="175"/>
      <c r="AC105" s="177"/>
      <c r="AD105" s="175"/>
      <c r="AE105" s="175"/>
      <c r="AF105" s="175"/>
      <c r="AG105" s="175"/>
      <c r="AH105" s="175"/>
      <c r="AI105" s="175"/>
      <c r="AJ105" s="175"/>
      <c r="AK105" s="175"/>
      <c r="AL105" s="175"/>
      <c r="AM105" s="175"/>
      <c r="AN105" s="175"/>
      <c r="AO105" s="175"/>
    </row>
    <row r="106" spans="1:41" ht="15.75">
      <c r="A106" s="175"/>
      <c r="B106" s="175"/>
      <c r="C106" s="2"/>
      <c r="D106" s="175"/>
      <c r="E106" s="175"/>
      <c r="F106" s="175"/>
      <c r="G106" s="175"/>
      <c r="H106" s="175"/>
      <c r="I106" s="175"/>
      <c r="J106" s="175"/>
      <c r="K106" s="175"/>
      <c r="L106" s="175"/>
      <c r="M106" s="175"/>
      <c r="N106" s="175"/>
      <c r="O106" s="175"/>
      <c r="P106" s="175"/>
      <c r="Q106" s="175"/>
      <c r="R106" s="175"/>
      <c r="S106" s="175"/>
      <c r="T106" s="175"/>
      <c r="U106" s="175"/>
      <c r="V106" s="175"/>
      <c r="W106" s="175"/>
      <c r="X106" s="627"/>
      <c r="Y106" s="175"/>
      <c r="Z106" s="175"/>
      <c r="AA106" s="175"/>
      <c r="AB106" s="175"/>
      <c r="AC106" s="177"/>
      <c r="AD106" s="175"/>
      <c r="AE106" s="175"/>
      <c r="AF106" s="175"/>
      <c r="AG106" s="175"/>
      <c r="AH106" s="175"/>
      <c r="AI106" s="175"/>
      <c r="AJ106" s="175"/>
      <c r="AK106" s="175"/>
      <c r="AL106" s="175"/>
      <c r="AM106" s="175"/>
      <c r="AN106" s="175"/>
      <c r="AO106" s="175"/>
    </row>
    <row r="107" spans="1:41" ht="15.75">
      <c r="A107" s="175"/>
      <c r="B107" s="175"/>
      <c r="C107" s="2"/>
      <c r="D107" s="175"/>
      <c r="E107" s="175"/>
      <c r="F107" s="175"/>
      <c r="G107" s="175"/>
      <c r="H107" s="175"/>
      <c r="I107" s="175"/>
      <c r="J107" s="175"/>
      <c r="K107" s="175"/>
      <c r="L107" s="175"/>
      <c r="M107" s="175"/>
      <c r="N107" s="175"/>
      <c r="O107" s="175"/>
      <c r="P107" s="175"/>
      <c r="Q107" s="175"/>
      <c r="R107" s="175"/>
      <c r="S107" s="175"/>
      <c r="T107" s="175"/>
      <c r="U107" s="175"/>
      <c r="V107" s="175"/>
      <c r="W107" s="175"/>
      <c r="X107" s="627"/>
      <c r="Y107" s="175"/>
      <c r="Z107" s="175"/>
      <c r="AA107" s="175"/>
      <c r="AB107" s="175"/>
      <c r="AC107" s="177"/>
      <c r="AD107" s="175"/>
      <c r="AE107" s="175"/>
      <c r="AF107" s="175"/>
      <c r="AG107" s="175"/>
      <c r="AH107" s="175"/>
      <c r="AI107" s="175"/>
      <c r="AJ107" s="175"/>
      <c r="AK107" s="175"/>
      <c r="AL107" s="175"/>
      <c r="AM107" s="175"/>
      <c r="AN107" s="175"/>
      <c r="AO107" s="175"/>
    </row>
    <row r="108" spans="1:41" ht="15.75">
      <c r="A108" s="175"/>
      <c r="B108" s="175"/>
      <c r="C108" s="2"/>
      <c r="D108" s="175"/>
      <c r="E108" s="175"/>
      <c r="F108" s="175"/>
      <c r="G108" s="175"/>
      <c r="H108" s="175"/>
      <c r="I108" s="175"/>
      <c r="J108" s="175"/>
      <c r="K108" s="175"/>
      <c r="L108" s="175"/>
      <c r="M108" s="175"/>
      <c r="N108" s="175"/>
      <c r="O108" s="175"/>
      <c r="P108" s="175"/>
      <c r="Q108" s="175"/>
      <c r="R108" s="175"/>
      <c r="S108" s="175"/>
      <c r="T108" s="175"/>
      <c r="U108" s="175"/>
      <c r="V108" s="175"/>
      <c r="W108" s="175"/>
      <c r="X108" s="627"/>
      <c r="Y108" s="175"/>
      <c r="Z108" s="175"/>
      <c r="AA108" s="175"/>
      <c r="AB108" s="175"/>
      <c r="AC108" s="177"/>
      <c r="AD108" s="175"/>
      <c r="AE108" s="175"/>
      <c r="AF108" s="175"/>
      <c r="AG108" s="175"/>
      <c r="AH108" s="175"/>
      <c r="AI108" s="175"/>
      <c r="AJ108" s="175"/>
      <c r="AK108" s="175"/>
      <c r="AL108" s="175"/>
      <c r="AM108" s="175"/>
      <c r="AN108" s="175"/>
      <c r="AO108" s="175"/>
    </row>
    <row r="109" spans="1:41" ht="15.75">
      <c r="A109" s="175"/>
      <c r="B109" s="175"/>
      <c r="C109" s="2"/>
      <c r="D109" s="175"/>
      <c r="E109" s="175"/>
      <c r="F109" s="175"/>
      <c r="G109" s="175"/>
      <c r="H109" s="175"/>
      <c r="I109" s="175"/>
      <c r="J109" s="175"/>
      <c r="K109" s="175"/>
      <c r="L109" s="175"/>
      <c r="M109" s="175"/>
      <c r="N109" s="175"/>
      <c r="O109" s="175"/>
      <c r="P109" s="175"/>
      <c r="Q109" s="175"/>
      <c r="R109" s="175"/>
      <c r="S109" s="175"/>
      <c r="T109" s="175"/>
      <c r="U109" s="175"/>
      <c r="V109" s="175"/>
      <c r="W109" s="175"/>
      <c r="X109" s="627"/>
      <c r="Y109" s="175"/>
      <c r="Z109" s="175"/>
      <c r="AA109" s="175"/>
      <c r="AB109" s="175"/>
      <c r="AC109" s="177"/>
      <c r="AD109" s="175"/>
      <c r="AE109" s="175"/>
      <c r="AF109" s="175"/>
      <c r="AG109" s="175"/>
      <c r="AH109" s="175"/>
      <c r="AI109" s="175"/>
      <c r="AJ109" s="175"/>
      <c r="AK109" s="175"/>
      <c r="AL109" s="175"/>
      <c r="AM109" s="175"/>
      <c r="AN109" s="175"/>
      <c r="AO109" s="175"/>
    </row>
    <row r="110" spans="1:41" ht="15.75">
      <c r="A110" s="175"/>
      <c r="B110" s="175"/>
      <c r="C110" s="2"/>
      <c r="D110" s="175"/>
      <c r="E110" s="175"/>
      <c r="F110" s="175"/>
      <c r="G110" s="175"/>
      <c r="H110" s="175"/>
      <c r="I110" s="175"/>
      <c r="J110" s="175"/>
      <c r="K110" s="175"/>
      <c r="L110" s="175"/>
      <c r="M110" s="175"/>
      <c r="N110" s="175"/>
      <c r="O110" s="175"/>
      <c r="P110" s="175"/>
      <c r="Q110" s="175"/>
      <c r="R110" s="175"/>
      <c r="S110" s="175"/>
      <c r="T110" s="175"/>
      <c r="U110" s="175"/>
      <c r="V110" s="175"/>
      <c r="W110" s="175"/>
      <c r="X110" s="627"/>
      <c r="Y110" s="175"/>
      <c r="Z110" s="175"/>
      <c r="AA110" s="175"/>
      <c r="AB110" s="175"/>
      <c r="AC110" s="177"/>
      <c r="AD110" s="175"/>
      <c r="AE110" s="175"/>
      <c r="AF110" s="175"/>
      <c r="AG110" s="175"/>
      <c r="AH110" s="175"/>
      <c r="AI110" s="175"/>
      <c r="AJ110" s="175"/>
      <c r="AK110" s="175"/>
      <c r="AL110" s="175"/>
      <c r="AM110" s="175"/>
      <c r="AN110" s="175"/>
      <c r="AO110" s="175"/>
    </row>
    <row r="111" spans="1:41" ht="15.75">
      <c r="A111" s="175"/>
      <c r="B111" s="175"/>
      <c r="C111" s="2"/>
      <c r="D111" s="175"/>
      <c r="E111" s="175"/>
      <c r="F111" s="175"/>
      <c r="G111" s="175"/>
      <c r="H111" s="175"/>
      <c r="I111" s="175"/>
      <c r="J111" s="175"/>
      <c r="K111" s="175"/>
      <c r="L111" s="175"/>
      <c r="M111" s="175"/>
      <c r="N111" s="175"/>
      <c r="O111" s="175"/>
      <c r="P111" s="175"/>
      <c r="Q111" s="175"/>
      <c r="R111" s="175"/>
      <c r="S111" s="175"/>
      <c r="T111" s="175"/>
      <c r="U111" s="175"/>
      <c r="V111" s="175"/>
      <c r="W111" s="175"/>
      <c r="X111" s="627"/>
      <c r="Y111" s="175"/>
      <c r="AB111" s="175"/>
      <c r="AC111" s="177"/>
      <c r="AD111" s="175"/>
      <c r="AE111" s="175"/>
      <c r="AF111" s="175"/>
      <c r="AG111" s="175"/>
      <c r="AH111" s="175"/>
      <c r="AI111" s="175"/>
      <c r="AJ111" s="175"/>
      <c r="AK111" s="175"/>
      <c r="AL111" s="175"/>
      <c r="AM111" s="175"/>
      <c r="AN111" s="175"/>
      <c r="AO111" s="175"/>
    </row>
    <row r="112" spans="1:41" ht="15.75">
      <c r="A112" s="175"/>
      <c r="B112" s="175"/>
      <c r="C112" s="2"/>
      <c r="D112" s="175"/>
      <c r="E112" s="175"/>
      <c r="F112" s="175"/>
      <c r="G112" s="175"/>
      <c r="H112" s="175"/>
      <c r="I112" s="175"/>
      <c r="J112" s="175"/>
      <c r="K112" s="175"/>
      <c r="L112" s="175"/>
      <c r="M112" s="175"/>
      <c r="N112" s="175"/>
      <c r="O112" s="175"/>
      <c r="P112" s="175"/>
      <c r="Q112" s="175"/>
      <c r="R112" s="175"/>
      <c r="S112" s="175"/>
      <c r="T112" s="175"/>
      <c r="U112" s="175"/>
      <c r="V112" s="175"/>
      <c r="W112" s="175"/>
      <c r="X112" s="627"/>
      <c r="Y112" s="175"/>
      <c r="AB112" s="175"/>
      <c r="AC112" s="177"/>
      <c r="AD112" s="175"/>
      <c r="AE112" s="175"/>
      <c r="AF112" s="175"/>
      <c r="AG112" s="175"/>
      <c r="AH112" s="175"/>
      <c r="AI112" s="175"/>
      <c r="AJ112" s="175"/>
      <c r="AK112" s="175"/>
      <c r="AL112" s="175"/>
      <c r="AM112" s="175"/>
      <c r="AN112" s="175"/>
      <c r="AO112" s="175"/>
    </row>
    <row r="113" spans="1:41" ht="15.75">
      <c r="A113" s="175"/>
      <c r="B113" s="175"/>
      <c r="C113" s="2"/>
      <c r="D113" s="175"/>
      <c r="E113" s="175"/>
      <c r="F113" s="175"/>
      <c r="G113" s="175"/>
      <c r="H113" s="175"/>
      <c r="I113" s="175"/>
      <c r="J113" s="175"/>
      <c r="K113" s="175"/>
      <c r="L113" s="175"/>
      <c r="M113" s="175"/>
      <c r="N113" s="175"/>
      <c r="O113" s="175"/>
      <c r="P113" s="175"/>
      <c r="Q113" s="175"/>
      <c r="R113" s="175"/>
      <c r="S113" s="175"/>
      <c r="T113" s="175"/>
      <c r="U113" s="175"/>
      <c r="V113" s="175"/>
      <c r="W113" s="175"/>
      <c r="X113" s="627"/>
      <c r="Y113" s="175"/>
      <c r="AB113" s="175"/>
      <c r="AC113" s="177"/>
      <c r="AD113" s="175"/>
      <c r="AE113" s="175"/>
      <c r="AF113" s="175"/>
      <c r="AG113" s="175"/>
      <c r="AH113" s="175"/>
      <c r="AI113" s="175"/>
      <c r="AJ113" s="175"/>
      <c r="AK113" s="175"/>
      <c r="AL113" s="175"/>
      <c r="AM113" s="175"/>
      <c r="AN113" s="175"/>
      <c r="AO113" s="175"/>
    </row>
    <row r="114" spans="1:41" ht="15.75">
      <c r="A114" s="175"/>
      <c r="B114" s="175"/>
      <c r="C114" s="2"/>
      <c r="D114" s="175"/>
      <c r="E114" s="175"/>
      <c r="F114" s="175"/>
      <c r="G114" s="175"/>
      <c r="H114" s="175"/>
      <c r="I114" s="175"/>
      <c r="J114" s="175"/>
      <c r="K114" s="175"/>
      <c r="L114" s="175"/>
      <c r="M114" s="175"/>
      <c r="N114" s="175"/>
      <c r="O114" s="175"/>
      <c r="P114" s="175"/>
      <c r="Q114" s="175"/>
      <c r="R114" s="175"/>
      <c r="S114" s="175"/>
      <c r="T114" s="175"/>
      <c r="U114" s="175"/>
      <c r="V114" s="175"/>
      <c r="W114" s="175"/>
      <c r="X114" s="627"/>
      <c r="Y114" s="175"/>
      <c r="AB114" s="175"/>
      <c r="AC114" s="177"/>
      <c r="AD114" s="175"/>
      <c r="AE114" s="175"/>
      <c r="AF114" s="175"/>
      <c r="AG114" s="175"/>
      <c r="AH114" s="175"/>
      <c r="AI114" s="175"/>
      <c r="AJ114" s="175"/>
      <c r="AK114" s="175"/>
      <c r="AL114" s="175"/>
      <c r="AM114" s="175"/>
      <c r="AN114" s="175"/>
      <c r="AO114" s="175"/>
    </row>
    <row r="115" spans="1:41" ht="15.75">
      <c r="A115" s="175"/>
      <c r="B115" s="175"/>
      <c r="C115" s="2"/>
      <c r="D115" s="175"/>
      <c r="E115" s="175"/>
      <c r="F115" s="175"/>
      <c r="G115" s="175"/>
      <c r="H115" s="175"/>
      <c r="I115" s="175"/>
      <c r="J115" s="175"/>
      <c r="K115" s="175"/>
      <c r="L115" s="175"/>
      <c r="M115" s="175"/>
      <c r="N115" s="175"/>
      <c r="O115" s="175"/>
      <c r="P115" s="175"/>
      <c r="Q115" s="175"/>
      <c r="R115" s="175"/>
      <c r="S115" s="175"/>
      <c r="T115" s="175"/>
      <c r="U115" s="175"/>
      <c r="V115" s="175"/>
      <c r="W115" s="175"/>
      <c r="X115" s="627"/>
    </row>
    <row r="116" spans="1:41" ht="15.75">
      <c r="A116" s="175"/>
      <c r="B116" s="175"/>
      <c r="C116" s="2"/>
      <c r="D116" s="175"/>
      <c r="E116" s="175"/>
      <c r="F116" s="175"/>
      <c r="G116" s="175"/>
      <c r="H116" s="175"/>
      <c r="I116" s="175"/>
      <c r="J116" s="175"/>
      <c r="K116" s="175"/>
      <c r="L116" s="175"/>
      <c r="M116" s="175"/>
      <c r="N116" s="175"/>
      <c r="O116" s="175"/>
      <c r="P116" s="175"/>
      <c r="Q116" s="175"/>
      <c r="R116" s="175"/>
      <c r="S116" s="175"/>
      <c r="T116" s="175"/>
      <c r="U116" s="175"/>
      <c r="V116" s="175"/>
      <c r="W116" s="175"/>
      <c r="X116" s="627"/>
    </row>
    <row r="117" spans="1:41" ht="15.75">
      <c r="A117" s="175"/>
      <c r="B117" s="175"/>
      <c r="C117" s="2"/>
      <c r="D117" s="175"/>
      <c r="E117" s="175"/>
      <c r="F117" s="175"/>
      <c r="G117" s="175"/>
      <c r="H117" s="175"/>
      <c r="I117" s="175"/>
      <c r="J117" s="175"/>
      <c r="K117" s="175"/>
      <c r="L117" s="175"/>
      <c r="M117" s="175"/>
      <c r="N117" s="175"/>
      <c r="O117" s="175"/>
      <c r="P117" s="175"/>
      <c r="Q117" s="175"/>
      <c r="R117" s="175"/>
      <c r="S117" s="175"/>
      <c r="T117" s="175"/>
      <c r="U117" s="175"/>
      <c r="V117" s="175"/>
      <c r="W117" s="175"/>
      <c r="X117" s="627"/>
    </row>
    <row r="118" spans="1:41" ht="15.75">
      <c r="A118" s="175"/>
      <c r="B118" s="175"/>
      <c r="C118" s="2"/>
      <c r="D118" s="175"/>
      <c r="E118" s="175"/>
      <c r="F118" s="175"/>
      <c r="G118" s="175"/>
      <c r="H118" s="175"/>
      <c r="I118" s="175"/>
      <c r="J118" s="175"/>
      <c r="K118" s="175"/>
      <c r="L118" s="175"/>
      <c r="M118" s="175"/>
      <c r="N118" s="175"/>
      <c r="O118" s="175"/>
      <c r="P118" s="175"/>
      <c r="Q118" s="175"/>
      <c r="R118" s="175"/>
      <c r="S118" s="175"/>
      <c r="T118" s="175"/>
      <c r="U118" s="175"/>
      <c r="V118" s="175"/>
      <c r="W118" s="175"/>
      <c r="X118" s="627"/>
    </row>
    <row r="119" spans="1:41" ht="15.75">
      <c r="A119" s="175"/>
      <c r="B119" s="175"/>
      <c r="C119" s="2"/>
      <c r="D119" s="175"/>
      <c r="E119" s="175"/>
      <c r="F119" s="175"/>
      <c r="G119" s="175"/>
      <c r="H119" s="175"/>
      <c r="I119" s="175"/>
      <c r="J119" s="175"/>
      <c r="K119" s="175"/>
      <c r="L119" s="175"/>
      <c r="M119" s="175"/>
      <c r="N119" s="175"/>
      <c r="O119" s="175"/>
      <c r="P119" s="175"/>
      <c r="Q119" s="175"/>
      <c r="R119" s="175"/>
      <c r="S119" s="175"/>
      <c r="T119" s="175"/>
      <c r="U119" s="175"/>
      <c r="V119" s="175"/>
      <c r="W119" s="175"/>
      <c r="X119" s="627"/>
    </row>
    <row r="120" spans="1:41" ht="15.75">
      <c r="A120" s="175"/>
      <c r="B120" s="175"/>
      <c r="C120" s="2"/>
      <c r="D120" s="175"/>
      <c r="E120" s="175"/>
      <c r="F120" s="175"/>
      <c r="G120" s="175"/>
      <c r="H120" s="175"/>
      <c r="I120" s="175"/>
      <c r="J120" s="175"/>
      <c r="K120" s="175"/>
      <c r="L120" s="175"/>
      <c r="M120" s="175"/>
      <c r="N120" s="175"/>
      <c r="O120" s="175"/>
      <c r="P120" s="175"/>
      <c r="Q120" s="175"/>
      <c r="R120" s="175"/>
      <c r="S120" s="175"/>
      <c r="T120" s="175"/>
      <c r="U120" s="175"/>
      <c r="V120" s="175"/>
      <c r="W120" s="175"/>
      <c r="X120" s="627"/>
    </row>
    <row r="121" spans="1:41" ht="15.75">
      <c r="A121" s="175"/>
      <c r="B121" s="175"/>
      <c r="C121" s="2"/>
      <c r="D121" s="175"/>
      <c r="E121" s="175"/>
      <c r="F121" s="175"/>
      <c r="G121" s="175"/>
      <c r="H121" s="175"/>
      <c r="I121" s="175"/>
      <c r="J121" s="175"/>
      <c r="K121" s="175"/>
      <c r="L121" s="175"/>
      <c r="M121" s="175"/>
      <c r="N121" s="175"/>
      <c r="O121" s="175"/>
      <c r="P121" s="175"/>
      <c r="Q121" s="175"/>
      <c r="R121" s="175"/>
      <c r="S121" s="175"/>
      <c r="T121" s="175"/>
      <c r="U121" s="175"/>
      <c r="V121" s="175"/>
      <c r="W121" s="175"/>
      <c r="X121" s="627"/>
    </row>
    <row r="122" spans="1:41" ht="15.75">
      <c r="A122" s="175"/>
      <c r="B122" s="175"/>
      <c r="C122" s="2"/>
      <c r="D122" s="175"/>
      <c r="E122" s="175"/>
      <c r="F122" s="175"/>
      <c r="G122" s="175"/>
      <c r="H122" s="175"/>
      <c r="I122" s="175"/>
      <c r="J122" s="175"/>
      <c r="K122" s="175"/>
      <c r="L122" s="175"/>
      <c r="M122" s="175"/>
      <c r="N122" s="175"/>
      <c r="O122" s="175"/>
      <c r="P122" s="175"/>
      <c r="Q122" s="175"/>
      <c r="R122" s="175"/>
      <c r="S122" s="175"/>
      <c r="T122" s="175"/>
      <c r="U122" s="175"/>
      <c r="V122" s="175"/>
      <c r="W122" s="175"/>
      <c r="X122" s="627"/>
    </row>
    <row r="123" spans="1:41" ht="15.75">
      <c r="A123" s="175"/>
      <c r="B123" s="175"/>
      <c r="C123" s="2"/>
      <c r="D123" s="175"/>
      <c r="E123" s="175"/>
      <c r="F123" s="175"/>
      <c r="G123" s="175"/>
      <c r="H123" s="175"/>
      <c r="I123" s="175"/>
      <c r="J123" s="175"/>
      <c r="K123" s="175"/>
      <c r="L123" s="175"/>
      <c r="M123" s="175"/>
      <c r="N123" s="175"/>
      <c r="O123" s="175"/>
      <c r="P123" s="175"/>
      <c r="Q123" s="175"/>
      <c r="R123" s="175"/>
      <c r="S123" s="175"/>
      <c r="T123" s="175"/>
      <c r="U123" s="175"/>
      <c r="V123" s="175"/>
      <c r="W123" s="175"/>
      <c r="X123" s="627"/>
    </row>
    <row r="124" spans="1:41" ht="15.75">
      <c r="A124" s="175"/>
      <c r="B124" s="175"/>
      <c r="C124" s="2"/>
      <c r="D124" s="175"/>
      <c r="E124" s="175"/>
      <c r="F124" s="175"/>
      <c r="G124" s="175"/>
      <c r="H124" s="175"/>
      <c r="I124" s="175"/>
      <c r="J124" s="175"/>
      <c r="K124" s="175"/>
      <c r="L124" s="175"/>
      <c r="M124" s="175"/>
      <c r="N124" s="175"/>
      <c r="O124" s="175"/>
      <c r="P124" s="175"/>
      <c r="Q124" s="175"/>
      <c r="R124" s="175"/>
      <c r="S124" s="175"/>
      <c r="T124" s="175"/>
      <c r="U124" s="175"/>
      <c r="V124" s="175"/>
      <c r="W124" s="175"/>
      <c r="X124" s="627"/>
    </row>
    <row r="125" spans="1:41" ht="15.75">
      <c r="A125" s="175"/>
      <c r="B125" s="175"/>
      <c r="C125" s="2"/>
      <c r="D125" s="175"/>
      <c r="E125" s="175"/>
      <c r="F125" s="175"/>
      <c r="G125" s="175"/>
      <c r="H125" s="175"/>
      <c r="I125" s="175"/>
      <c r="J125" s="175"/>
      <c r="K125" s="175"/>
      <c r="L125" s="175"/>
      <c r="M125" s="175"/>
      <c r="N125" s="175"/>
      <c r="O125" s="175"/>
      <c r="P125" s="175"/>
      <c r="Q125" s="175"/>
      <c r="R125" s="175"/>
      <c r="S125" s="175"/>
      <c r="T125" s="175"/>
      <c r="U125" s="175"/>
      <c r="V125" s="175"/>
      <c r="W125" s="175"/>
      <c r="X125" s="627"/>
    </row>
    <row r="126" spans="1:41" ht="15.75">
      <c r="A126" s="175"/>
      <c r="B126" s="175"/>
      <c r="C126" s="2"/>
      <c r="D126" s="175"/>
      <c r="E126" s="175"/>
      <c r="F126" s="175"/>
      <c r="G126" s="175"/>
      <c r="H126" s="175"/>
      <c r="I126" s="175"/>
      <c r="J126" s="175"/>
      <c r="K126" s="175"/>
      <c r="L126" s="175"/>
      <c r="M126" s="175"/>
      <c r="N126" s="175"/>
      <c r="O126" s="175"/>
      <c r="P126" s="175"/>
      <c r="Q126" s="175"/>
      <c r="R126" s="175"/>
      <c r="S126" s="175"/>
      <c r="T126" s="175"/>
      <c r="U126" s="175"/>
      <c r="V126" s="175"/>
      <c r="W126" s="175"/>
      <c r="X126" s="627"/>
    </row>
    <row r="127" spans="1:41" ht="15.75">
      <c r="A127" s="175"/>
      <c r="B127" s="175"/>
      <c r="C127" s="2"/>
      <c r="D127" s="175"/>
      <c r="E127" s="175"/>
      <c r="F127" s="175"/>
      <c r="G127" s="175"/>
      <c r="H127" s="175"/>
      <c r="I127" s="175"/>
      <c r="J127" s="175"/>
      <c r="K127" s="175"/>
      <c r="L127" s="175"/>
      <c r="M127" s="175"/>
      <c r="N127" s="175"/>
      <c r="O127" s="175"/>
      <c r="P127" s="175"/>
      <c r="Q127" s="175"/>
      <c r="R127" s="175"/>
      <c r="S127" s="175"/>
      <c r="T127" s="175"/>
      <c r="U127" s="175"/>
      <c r="V127" s="175"/>
      <c r="W127" s="175"/>
      <c r="X127" s="627"/>
    </row>
    <row r="128" spans="1:41" ht="15.75">
      <c r="A128" s="175"/>
      <c r="B128" s="175"/>
      <c r="C128" s="2"/>
      <c r="D128" s="175"/>
      <c r="E128" s="175"/>
      <c r="F128" s="175"/>
      <c r="G128" s="175"/>
      <c r="H128" s="175"/>
      <c r="I128" s="175"/>
      <c r="J128" s="175"/>
      <c r="K128" s="175"/>
      <c r="L128" s="175"/>
      <c r="M128" s="175"/>
      <c r="N128" s="175"/>
      <c r="O128" s="175"/>
      <c r="P128" s="175"/>
      <c r="Q128" s="175"/>
      <c r="R128" s="175"/>
      <c r="S128" s="175"/>
      <c r="T128" s="175"/>
      <c r="U128" s="175"/>
      <c r="V128" s="175"/>
      <c r="W128" s="175"/>
      <c r="X128" s="627"/>
    </row>
    <row r="129" spans="1:24" ht="15.75">
      <c r="A129" s="175"/>
      <c r="B129" s="175"/>
      <c r="C129" s="2"/>
      <c r="D129" s="175"/>
      <c r="E129" s="175"/>
      <c r="F129" s="175"/>
      <c r="G129" s="175"/>
      <c r="H129" s="175"/>
      <c r="I129" s="175"/>
      <c r="J129" s="175"/>
      <c r="K129" s="175"/>
      <c r="L129" s="175"/>
      <c r="M129" s="175"/>
      <c r="N129" s="175"/>
      <c r="O129" s="175"/>
      <c r="P129" s="175"/>
      <c r="Q129" s="175"/>
      <c r="R129" s="175"/>
      <c r="S129" s="175"/>
      <c r="T129" s="175"/>
      <c r="U129" s="175"/>
      <c r="V129" s="175"/>
      <c r="W129" s="175"/>
      <c r="X129" s="627"/>
    </row>
    <row r="130" spans="1:24" ht="15.75">
      <c r="A130" s="175"/>
      <c r="B130" s="175"/>
      <c r="C130" s="2"/>
      <c r="D130" s="175"/>
      <c r="E130" s="175"/>
      <c r="F130" s="175"/>
      <c r="G130" s="175"/>
      <c r="H130" s="175"/>
      <c r="I130" s="175"/>
      <c r="J130" s="175"/>
      <c r="K130" s="175"/>
      <c r="L130" s="175"/>
      <c r="M130" s="175"/>
      <c r="N130" s="175"/>
      <c r="O130" s="175"/>
      <c r="P130" s="175"/>
      <c r="Q130" s="175"/>
      <c r="R130" s="175"/>
      <c r="S130" s="175"/>
      <c r="T130" s="175"/>
      <c r="U130" s="175"/>
      <c r="V130" s="175"/>
      <c r="W130" s="175"/>
      <c r="X130" s="627"/>
    </row>
    <row r="131" spans="1:24" ht="15.75">
      <c r="A131" s="175"/>
      <c r="B131" s="175"/>
      <c r="C131" s="2"/>
      <c r="D131" s="175"/>
      <c r="E131" s="175"/>
      <c r="F131" s="175"/>
      <c r="G131" s="175"/>
      <c r="H131" s="175"/>
      <c r="I131" s="175"/>
      <c r="J131" s="175"/>
      <c r="K131" s="175"/>
      <c r="L131" s="175"/>
      <c r="M131" s="175"/>
      <c r="N131" s="175"/>
      <c r="O131" s="175"/>
      <c r="P131" s="175"/>
      <c r="Q131" s="175"/>
      <c r="R131" s="175"/>
      <c r="S131" s="175"/>
      <c r="T131" s="175"/>
      <c r="U131" s="175"/>
      <c r="V131" s="175"/>
      <c r="W131" s="175"/>
      <c r="X131" s="627"/>
    </row>
    <row r="132" spans="1:24" ht="15.75">
      <c r="A132" s="175"/>
      <c r="B132" s="175"/>
      <c r="C132" s="2"/>
      <c r="D132" s="175"/>
      <c r="E132" s="175"/>
      <c r="F132" s="175"/>
      <c r="G132" s="175"/>
      <c r="H132" s="175"/>
      <c r="I132" s="175"/>
      <c r="J132" s="175"/>
      <c r="K132" s="175"/>
      <c r="L132" s="175"/>
      <c r="M132" s="175"/>
      <c r="N132" s="175"/>
      <c r="O132" s="175"/>
      <c r="P132" s="175"/>
      <c r="Q132" s="175"/>
      <c r="R132" s="175"/>
      <c r="S132" s="175"/>
      <c r="T132" s="175"/>
      <c r="U132" s="175"/>
      <c r="V132" s="175"/>
      <c r="W132" s="175"/>
      <c r="X132" s="627"/>
    </row>
    <row r="133" spans="1:24" ht="15.75">
      <c r="A133" s="175"/>
      <c r="B133" s="175"/>
      <c r="C133" s="2"/>
      <c r="D133" s="175"/>
      <c r="E133" s="175"/>
      <c r="F133" s="175"/>
      <c r="G133" s="175"/>
      <c r="H133" s="175"/>
      <c r="I133" s="175"/>
      <c r="J133" s="175"/>
      <c r="K133" s="175"/>
      <c r="L133" s="175"/>
      <c r="M133" s="175"/>
      <c r="N133" s="175"/>
      <c r="O133" s="175"/>
      <c r="P133" s="175"/>
      <c r="Q133" s="175"/>
      <c r="R133" s="175"/>
      <c r="S133" s="175"/>
      <c r="T133" s="175"/>
      <c r="U133" s="175"/>
      <c r="V133" s="175"/>
      <c r="W133" s="175"/>
      <c r="X133" s="627"/>
    </row>
    <row r="134" spans="1:24" ht="15.75">
      <c r="A134" s="175"/>
      <c r="B134" s="175"/>
      <c r="C134" s="2"/>
      <c r="D134" s="175"/>
      <c r="E134" s="175"/>
      <c r="F134" s="175"/>
      <c r="G134" s="175"/>
      <c r="H134" s="175"/>
      <c r="I134" s="175"/>
      <c r="J134" s="175"/>
      <c r="K134" s="175"/>
      <c r="L134" s="175"/>
      <c r="M134" s="175"/>
      <c r="N134" s="175"/>
      <c r="O134" s="175"/>
      <c r="P134" s="175"/>
      <c r="Q134" s="175"/>
      <c r="R134" s="175"/>
      <c r="S134" s="175"/>
      <c r="T134" s="175"/>
      <c r="U134" s="175"/>
      <c r="V134" s="175"/>
      <c r="W134" s="175"/>
      <c r="X134" s="627"/>
    </row>
    <row r="135" spans="1:24" ht="15.75">
      <c r="A135" s="175"/>
      <c r="B135" s="175"/>
      <c r="C135" s="2"/>
      <c r="D135" s="175"/>
      <c r="E135" s="175"/>
      <c r="F135" s="175"/>
      <c r="G135" s="175"/>
      <c r="H135" s="175"/>
      <c r="I135" s="175"/>
      <c r="J135" s="175"/>
      <c r="K135" s="175"/>
      <c r="L135" s="175"/>
      <c r="M135" s="175"/>
      <c r="N135" s="175"/>
      <c r="O135" s="175"/>
      <c r="P135" s="175"/>
      <c r="Q135" s="175"/>
      <c r="R135" s="175"/>
      <c r="S135" s="175"/>
      <c r="T135" s="175"/>
      <c r="U135" s="175"/>
      <c r="V135" s="175"/>
      <c r="W135" s="175"/>
      <c r="X135" s="627"/>
    </row>
    <row r="136" spans="1:24" ht="15.75">
      <c r="A136" s="175"/>
      <c r="B136" s="175"/>
      <c r="C136" s="2"/>
      <c r="D136" s="175"/>
      <c r="E136" s="175"/>
      <c r="F136" s="175"/>
      <c r="G136" s="175"/>
      <c r="H136" s="175"/>
      <c r="I136" s="175"/>
      <c r="J136" s="175"/>
      <c r="K136" s="175"/>
      <c r="L136" s="175"/>
      <c r="M136" s="175"/>
      <c r="N136" s="175"/>
      <c r="O136" s="175"/>
      <c r="P136" s="175"/>
      <c r="Q136" s="175"/>
      <c r="R136" s="175"/>
      <c r="S136" s="175"/>
      <c r="T136" s="175"/>
      <c r="U136" s="175"/>
      <c r="V136" s="175"/>
      <c r="W136" s="175"/>
      <c r="X136" s="627"/>
    </row>
    <row r="137" spans="1:24" ht="15.75">
      <c r="A137" s="175"/>
      <c r="B137" s="175"/>
      <c r="C137" s="2"/>
      <c r="D137" s="175"/>
      <c r="E137" s="175"/>
      <c r="F137" s="175"/>
      <c r="G137" s="175"/>
      <c r="H137" s="175"/>
      <c r="I137" s="175"/>
      <c r="J137" s="175"/>
      <c r="K137" s="175"/>
      <c r="L137" s="175"/>
      <c r="M137" s="175"/>
      <c r="N137" s="175"/>
      <c r="O137" s="175"/>
      <c r="P137" s="175"/>
      <c r="Q137" s="175"/>
      <c r="R137" s="175"/>
      <c r="S137" s="175"/>
      <c r="T137" s="175"/>
      <c r="U137" s="175"/>
      <c r="V137" s="175"/>
      <c r="W137" s="175"/>
      <c r="X137" s="627"/>
    </row>
    <row r="138" spans="1:24" ht="15.75">
      <c r="A138" s="175"/>
      <c r="B138" s="175"/>
      <c r="C138" s="2"/>
      <c r="D138" s="175"/>
      <c r="E138" s="175"/>
      <c r="F138" s="175"/>
      <c r="G138" s="175"/>
      <c r="H138" s="175"/>
      <c r="I138" s="175"/>
      <c r="J138" s="175"/>
      <c r="K138" s="175"/>
      <c r="L138" s="175"/>
      <c r="M138" s="175"/>
      <c r="N138" s="175"/>
      <c r="O138" s="175"/>
      <c r="P138" s="175"/>
      <c r="Q138" s="175"/>
      <c r="R138" s="175"/>
      <c r="S138" s="175"/>
      <c r="T138" s="175"/>
      <c r="U138" s="175"/>
      <c r="V138" s="175"/>
      <c r="W138" s="175"/>
      <c r="X138" s="627"/>
    </row>
    <row r="139" spans="1:24" ht="15.75">
      <c r="A139" s="175"/>
      <c r="B139" s="175"/>
      <c r="C139" s="2"/>
      <c r="D139" s="175"/>
      <c r="E139" s="175"/>
      <c r="F139" s="175"/>
      <c r="G139" s="175"/>
      <c r="H139" s="175"/>
      <c r="I139" s="175"/>
      <c r="J139" s="175"/>
      <c r="K139" s="175"/>
      <c r="L139" s="175"/>
      <c r="M139" s="175"/>
      <c r="N139" s="175"/>
      <c r="O139" s="175"/>
      <c r="P139" s="175"/>
      <c r="Q139" s="175"/>
      <c r="R139" s="175"/>
      <c r="S139" s="175"/>
      <c r="T139" s="175"/>
      <c r="U139" s="175"/>
      <c r="V139" s="175"/>
      <c r="W139" s="175"/>
      <c r="X139" s="627"/>
    </row>
    <row r="140" spans="1:24" ht="15.75">
      <c r="A140" s="175"/>
      <c r="B140" s="175"/>
      <c r="C140" s="2"/>
      <c r="D140" s="175"/>
      <c r="E140" s="175"/>
      <c r="F140" s="175"/>
      <c r="G140" s="175"/>
      <c r="H140" s="175"/>
      <c r="I140" s="175"/>
      <c r="J140" s="175"/>
      <c r="K140" s="175"/>
      <c r="L140" s="175"/>
      <c r="M140" s="175"/>
      <c r="N140" s="175"/>
      <c r="O140" s="175"/>
      <c r="P140" s="175"/>
      <c r="Q140" s="175"/>
      <c r="R140" s="175"/>
      <c r="S140" s="175"/>
      <c r="T140" s="175"/>
      <c r="U140" s="175"/>
      <c r="V140" s="175"/>
      <c r="W140" s="175"/>
      <c r="X140" s="627"/>
    </row>
    <row r="141" spans="1:24" ht="15.75">
      <c r="A141" s="175"/>
      <c r="B141" s="175"/>
      <c r="C141" s="2"/>
      <c r="D141" s="175"/>
      <c r="E141" s="175"/>
      <c r="F141" s="175"/>
      <c r="G141" s="175"/>
      <c r="H141" s="175"/>
      <c r="I141" s="175"/>
      <c r="J141" s="175"/>
      <c r="K141" s="175"/>
      <c r="L141" s="175"/>
      <c r="M141" s="175"/>
      <c r="N141" s="175"/>
      <c r="O141" s="175"/>
      <c r="P141" s="175"/>
      <c r="Q141" s="175"/>
      <c r="R141" s="175"/>
      <c r="S141" s="175"/>
      <c r="T141" s="175"/>
      <c r="U141" s="175"/>
      <c r="V141" s="175"/>
      <c r="W141" s="175"/>
      <c r="X141" s="627"/>
    </row>
    <row r="142" spans="1:24" ht="15.75">
      <c r="A142" s="175"/>
      <c r="B142" s="175"/>
      <c r="C142" s="2"/>
      <c r="D142" s="175"/>
      <c r="E142" s="175"/>
      <c r="F142" s="175"/>
      <c r="G142" s="175"/>
      <c r="H142" s="175"/>
      <c r="I142" s="175"/>
      <c r="J142" s="175"/>
      <c r="K142" s="175"/>
      <c r="L142" s="175"/>
      <c r="M142" s="175"/>
      <c r="N142" s="175"/>
      <c r="O142" s="175"/>
      <c r="P142" s="175"/>
      <c r="Q142" s="175"/>
      <c r="R142" s="175"/>
      <c r="S142" s="175"/>
      <c r="T142" s="175"/>
      <c r="U142" s="175"/>
      <c r="V142" s="175"/>
      <c r="W142" s="175"/>
      <c r="X142" s="627"/>
    </row>
    <row r="143" spans="1:24" ht="15.75">
      <c r="A143" s="175"/>
      <c r="B143" s="175"/>
      <c r="C143" s="2"/>
      <c r="D143" s="175"/>
      <c r="E143" s="175"/>
      <c r="F143" s="175"/>
      <c r="G143" s="175"/>
      <c r="H143" s="175"/>
      <c r="I143" s="175"/>
      <c r="J143" s="175"/>
      <c r="K143" s="175"/>
      <c r="L143" s="175"/>
      <c r="M143" s="175"/>
      <c r="N143" s="175"/>
      <c r="O143" s="175"/>
      <c r="P143" s="175"/>
      <c r="Q143" s="175"/>
      <c r="R143" s="175"/>
      <c r="S143" s="175"/>
      <c r="T143" s="175"/>
      <c r="U143" s="175"/>
      <c r="V143" s="175"/>
      <c r="W143" s="175"/>
      <c r="X143" s="627"/>
    </row>
    <row r="144" spans="1:24" ht="15.75">
      <c r="A144" s="175"/>
      <c r="B144" s="175"/>
      <c r="C144" s="2"/>
      <c r="D144" s="175"/>
      <c r="E144" s="175"/>
      <c r="F144" s="175"/>
      <c r="G144" s="175"/>
      <c r="H144" s="175"/>
      <c r="I144" s="175"/>
      <c r="J144" s="175"/>
      <c r="K144" s="175"/>
      <c r="L144" s="175"/>
      <c r="M144" s="175"/>
      <c r="N144" s="175"/>
      <c r="O144" s="175"/>
      <c r="P144" s="175"/>
      <c r="Q144" s="175"/>
      <c r="R144" s="175"/>
      <c r="S144" s="175"/>
      <c r="T144" s="175"/>
      <c r="U144" s="175"/>
      <c r="V144" s="175"/>
      <c r="W144" s="175"/>
      <c r="X144" s="627"/>
    </row>
    <row r="145" spans="1:24" ht="15.75">
      <c r="A145" s="175"/>
      <c r="B145" s="175"/>
      <c r="C145" s="2"/>
      <c r="D145" s="175"/>
      <c r="E145" s="175"/>
      <c r="F145" s="175"/>
      <c r="G145" s="175"/>
      <c r="H145" s="175"/>
      <c r="I145" s="175"/>
      <c r="J145" s="175"/>
      <c r="K145" s="175"/>
      <c r="L145" s="175"/>
      <c r="M145" s="175"/>
      <c r="N145" s="175"/>
      <c r="O145" s="175"/>
      <c r="P145" s="175"/>
      <c r="Q145" s="175"/>
      <c r="R145" s="175"/>
      <c r="S145" s="175"/>
      <c r="T145" s="175"/>
      <c r="U145" s="175"/>
      <c r="V145" s="175"/>
      <c r="W145" s="175"/>
      <c r="X145" s="627"/>
    </row>
    <row r="146" spans="1:24" ht="15.75">
      <c r="A146" s="175"/>
      <c r="B146" s="175"/>
      <c r="C146" s="2"/>
      <c r="D146" s="175"/>
      <c r="E146" s="175"/>
      <c r="F146" s="175"/>
      <c r="G146" s="175"/>
      <c r="H146" s="175"/>
      <c r="I146" s="175"/>
      <c r="J146" s="175"/>
      <c r="K146" s="175"/>
      <c r="L146" s="175"/>
      <c r="M146" s="175"/>
      <c r="N146" s="175"/>
      <c r="O146" s="175"/>
      <c r="P146" s="175"/>
      <c r="Q146" s="175"/>
      <c r="R146" s="175"/>
      <c r="S146" s="175"/>
      <c r="T146" s="175"/>
      <c r="U146" s="175"/>
      <c r="V146" s="175"/>
      <c r="W146" s="175"/>
      <c r="X146" s="627"/>
    </row>
    <row r="147" spans="1:24" ht="15.75">
      <c r="A147" s="175"/>
      <c r="B147" s="175"/>
      <c r="C147" s="2"/>
      <c r="D147" s="175"/>
      <c r="E147" s="175"/>
      <c r="F147" s="175"/>
      <c r="G147" s="175"/>
      <c r="H147" s="175"/>
      <c r="I147" s="175"/>
      <c r="J147" s="175"/>
      <c r="K147" s="175"/>
      <c r="L147" s="175"/>
      <c r="M147" s="175"/>
      <c r="N147" s="175"/>
      <c r="O147" s="175"/>
      <c r="P147" s="175"/>
      <c r="Q147" s="175"/>
      <c r="R147" s="175"/>
      <c r="S147" s="175"/>
      <c r="T147" s="175"/>
      <c r="U147" s="175"/>
      <c r="V147" s="175"/>
      <c r="W147" s="175"/>
      <c r="X147" s="627"/>
    </row>
    <row r="148" spans="1:24" ht="15.75">
      <c r="A148" s="175"/>
      <c r="B148" s="175"/>
      <c r="C148" s="2"/>
      <c r="D148" s="175"/>
      <c r="E148" s="175"/>
      <c r="F148" s="175"/>
      <c r="G148" s="175"/>
      <c r="H148" s="175"/>
      <c r="I148" s="175"/>
      <c r="J148" s="175"/>
      <c r="K148" s="175"/>
      <c r="L148" s="175"/>
      <c r="M148" s="175"/>
      <c r="N148" s="175"/>
      <c r="O148" s="175"/>
      <c r="P148" s="175"/>
      <c r="Q148" s="175"/>
      <c r="R148" s="175"/>
      <c r="S148" s="175"/>
      <c r="T148" s="175"/>
      <c r="U148" s="175"/>
      <c r="V148" s="175"/>
      <c r="W148" s="175"/>
      <c r="X148" s="627"/>
    </row>
    <row r="149" spans="1:24" ht="15.75">
      <c r="A149" s="175"/>
      <c r="B149" s="175"/>
      <c r="C149" s="2"/>
      <c r="D149" s="175"/>
      <c r="E149" s="175"/>
      <c r="F149" s="175"/>
      <c r="G149" s="175"/>
      <c r="H149" s="175"/>
      <c r="I149" s="175"/>
      <c r="J149" s="175"/>
      <c r="K149" s="175"/>
      <c r="L149" s="175"/>
      <c r="M149" s="175"/>
      <c r="N149" s="175"/>
      <c r="O149" s="175"/>
      <c r="P149" s="175"/>
      <c r="Q149" s="175"/>
      <c r="R149" s="175"/>
      <c r="S149" s="175"/>
      <c r="T149" s="175"/>
      <c r="U149" s="175"/>
      <c r="V149" s="175"/>
      <c r="W149" s="175"/>
      <c r="X149" s="627"/>
    </row>
    <row r="150" spans="1:24" ht="15.75">
      <c r="A150" s="175"/>
      <c r="B150" s="175"/>
      <c r="C150" s="2"/>
      <c r="D150" s="175"/>
      <c r="E150" s="175"/>
      <c r="F150" s="175"/>
      <c r="G150" s="175"/>
      <c r="H150" s="175"/>
      <c r="I150" s="175"/>
      <c r="J150" s="175"/>
      <c r="K150" s="175"/>
      <c r="L150" s="175"/>
      <c r="M150" s="175"/>
      <c r="N150" s="175"/>
      <c r="O150" s="175"/>
      <c r="P150" s="175"/>
      <c r="Q150" s="175"/>
      <c r="R150" s="175"/>
      <c r="S150" s="175"/>
      <c r="T150" s="175"/>
      <c r="U150" s="175"/>
      <c r="V150" s="175"/>
      <c r="W150" s="175"/>
      <c r="X150" s="627"/>
    </row>
    <row r="151" spans="1:24" ht="15.75">
      <c r="A151" s="175"/>
      <c r="B151" s="175"/>
      <c r="C151" s="2"/>
      <c r="D151" s="175"/>
      <c r="E151" s="175"/>
      <c r="F151" s="175"/>
      <c r="G151" s="175"/>
      <c r="H151" s="175"/>
      <c r="I151" s="175"/>
      <c r="J151" s="175"/>
      <c r="K151" s="175"/>
      <c r="L151" s="175"/>
      <c r="M151" s="175"/>
      <c r="N151" s="175"/>
      <c r="O151" s="175"/>
      <c r="P151" s="175"/>
      <c r="Q151" s="175"/>
      <c r="R151" s="175"/>
      <c r="S151" s="175"/>
      <c r="T151" s="175"/>
      <c r="U151" s="175"/>
      <c r="V151" s="175"/>
      <c r="W151" s="175"/>
      <c r="X151" s="627"/>
    </row>
    <row r="152" spans="1:24" ht="15.75">
      <c r="A152" s="175"/>
      <c r="B152" s="175"/>
      <c r="C152" s="2"/>
      <c r="D152" s="175"/>
      <c r="E152" s="175"/>
      <c r="F152" s="175"/>
      <c r="G152" s="175"/>
      <c r="H152" s="175"/>
      <c r="I152" s="175"/>
      <c r="J152" s="175"/>
      <c r="K152" s="175"/>
      <c r="L152" s="175"/>
      <c r="M152" s="175"/>
      <c r="N152" s="175"/>
      <c r="O152" s="175"/>
      <c r="P152" s="175"/>
      <c r="Q152" s="175"/>
      <c r="R152" s="175"/>
      <c r="S152" s="175"/>
      <c r="T152" s="175"/>
      <c r="U152" s="175"/>
      <c r="V152" s="175"/>
      <c r="W152" s="175"/>
      <c r="X152" s="627"/>
    </row>
    <row r="153" spans="1:24" ht="15.75">
      <c r="A153" s="175"/>
      <c r="B153" s="175"/>
      <c r="C153" s="2"/>
      <c r="D153" s="175"/>
      <c r="E153" s="175"/>
      <c r="F153" s="175"/>
      <c r="G153" s="175"/>
      <c r="H153" s="175"/>
      <c r="I153" s="175"/>
      <c r="J153" s="175"/>
      <c r="K153" s="175"/>
      <c r="L153" s="175"/>
      <c r="M153" s="175"/>
      <c r="N153" s="175"/>
      <c r="O153" s="175"/>
      <c r="P153" s="175"/>
      <c r="Q153" s="175"/>
      <c r="R153" s="175"/>
      <c r="S153" s="175"/>
      <c r="T153" s="175"/>
      <c r="U153" s="175"/>
      <c r="V153" s="175"/>
      <c r="W153" s="175"/>
      <c r="X153" s="627"/>
    </row>
    <row r="154" spans="1:24" ht="15.75">
      <c r="A154" s="175"/>
      <c r="B154" s="175"/>
      <c r="C154" s="2"/>
      <c r="D154" s="175"/>
      <c r="E154" s="175"/>
      <c r="F154" s="175"/>
      <c r="G154" s="175"/>
      <c r="H154" s="175"/>
      <c r="I154" s="175"/>
      <c r="J154" s="175"/>
      <c r="K154" s="175"/>
      <c r="L154" s="175"/>
      <c r="M154" s="175"/>
      <c r="N154" s="175"/>
      <c r="O154" s="175"/>
      <c r="P154" s="175"/>
      <c r="Q154" s="175"/>
      <c r="R154" s="175"/>
      <c r="S154" s="175"/>
      <c r="T154" s="175"/>
      <c r="U154" s="175"/>
      <c r="V154" s="175"/>
      <c r="W154" s="175"/>
      <c r="X154" s="627"/>
    </row>
    <row r="155" spans="1:24" ht="15.75">
      <c r="A155" s="175"/>
      <c r="B155" s="175"/>
      <c r="C155" s="2"/>
      <c r="D155" s="175"/>
      <c r="E155" s="175"/>
      <c r="F155" s="175"/>
      <c r="G155" s="175"/>
      <c r="H155" s="175"/>
      <c r="I155" s="175"/>
      <c r="J155" s="175"/>
      <c r="K155" s="175"/>
      <c r="L155" s="175"/>
      <c r="M155" s="175"/>
      <c r="N155" s="175"/>
      <c r="O155" s="175"/>
      <c r="P155" s="175"/>
      <c r="Q155" s="175"/>
      <c r="R155" s="175"/>
      <c r="S155" s="175"/>
      <c r="T155" s="175"/>
      <c r="U155" s="175"/>
      <c r="V155" s="175"/>
      <c r="W155" s="175"/>
      <c r="X155" s="627"/>
    </row>
    <row r="156" spans="1:24" ht="15.75">
      <c r="A156" s="175"/>
      <c r="B156" s="175"/>
      <c r="C156" s="2"/>
      <c r="D156" s="175"/>
      <c r="E156" s="175"/>
      <c r="F156" s="175"/>
      <c r="G156" s="175"/>
      <c r="H156" s="175"/>
      <c r="I156" s="175"/>
      <c r="J156" s="175"/>
      <c r="K156" s="175"/>
      <c r="L156" s="175"/>
      <c r="M156" s="175"/>
      <c r="N156" s="175"/>
      <c r="O156" s="175"/>
      <c r="P156" s="175"/>
      <c r="Q156" s="175"/>
      <c r="R156" s="175"/>
      <c r="S156" s="175"/>
      <c r="T156" s="175"/>
      <c r="U156" s="175"/>
      <c r="V156" s="175"/>
      <c r="W156" s="175"/>
      <c r="X156" s="627"/>
    </row>
    <row r="157" spans="1:24" ht="15.75">
      <c r="A157" s="175"/>
      <c r="B157" s="175"/>
      <c r="C157" s="2"/>
      <c r="D157" s="175"/>
      <c r="E157" s="175"/>
      <c r="F157" s="175"/>
      <c r="G157" s="175"/>
      <c r="H157" s="175"/>
      <c r="I157" s="175"/>
      <c r="J157" s="175"/>
      <c r="K157" s="175"/>
      <c r="L157" s="175"/>
      <c r="M157" s="175"/>
      <c r="N157" s="175"/>
      <c r="O157" s="175"/>
      <c r="P157" s="175"/>
      <c r="Q157" s="175"/>
      <c r="R157" s="175"/>
      <c r="S157" s="175"/>
      <c r="T157" s="175"/>
      <c r="U157" s="175"/>
      <c r="V157" s="175"/>
      <c r="W157" s="175"/>
      <c r="X157" s="627"/>
    </row>
    <row r="158" spans="1:24" ht="15.75">
      <c r="A158" s="175"/>
      <c r="B158" s="175"/>
      <c r="C158" s="2"/>
      <c r="D158" s="175"/>
      <c r="E158" s="175"/>
      <c r="F158" s="175"/>
      <c r="G158" s="175"/>
      <c r="H158" s="175"/>
      <c r="I158" s="175"/>
      <c r="J158" s="175"/>
      <c r="K158" s="175"/>
      <c r="L158" s="175"/>
      <c r="M158" s="175"/>
      <c r="N158" s="175"/>
      <c r="O158" s="175"/>
      <c r="P158" s="175"/>
      <c r="Q158" s="175"/>
      <c r="R158" s="175"/>
      <c r="S158" s="175"/>
      <c r="T158" s="175"/>
      <c r="U158" s="175"/>
      <c r="V158" s="175"/>
      <c r="W158" s="175"/>
      <c r="X158" s="627"/>
    </row>
    <row r="159" spans="1:24" ht="15.75">
      <c r="A159" s="175"/>
      <c r="B159" s="175"/>
      <c r="C159" s="2"/>
      <c r="D159" s="175"/>
      <c r="E159" s="175"/>
      <c r="F159" s="175"/>
      <c r="G159" s="175"/>
      <c r="H159" s="175"/>
      <c r="I159" s="175"/>
      <c r="J159" s="175"/>
      <c r="K159" s="175"/>
      <c r="L159" s="175"/>
      <c r="M159" s="175"/>
      <c r="N159" s="175"/>
      <c r="O159" s="175"/>
      <c r="P159" s="175"/>
      <c r="Q159" s="175"/>
      <c r="R159" s="175"/>
      <c r="S159" s="175"/>
      <c r="T159" s="175"/>
      <c r="U159" s="175"/>
      <c r="V159" s="175"/>
      <c r="W159" s="175"/>
      <c r="X159" s="627"/>
    </row>
    <row r="160" spans="1:24" ht="15.75">
      <c r="A160" s="175"/>
      <c r="B160" s="175"/>
      <c r="C160" s="2"/>
      <c r="D160" s="175"/>
      <c r="E160" s="175"/>
      <c r="G160" s="175"/>
      <c r="H160" s="175"/>
      <c r="I160" s="175"/>
      <c r="J160" s="175"/>
      <c r="K160" s="175"/>
      <c r="L160" s="175"/>
      <c r="M160" s="175"/>
      <c r="N160" s="175"/>
      <c r="O160" s="175"/>
      <c r="P160" s="175"/>
      <c r="Q160" s="175"/>
      <c r="R160" s="175"/>
      <c r="S160" s="175"/>
      <c r="T160" s="175"/>
      <c r="U160" s="175"/>
      <c r="V160" s="175"/>
      <c r="W160" s="175"/>
      <c r="X160" s="627"/>
    </row>
    <row r="161" spans="1:24" ht="15.75">
      <c r="A161" s="175"/>
      <c r="B161" s="175"/>
      <c r="C161" s="2"/>
      <c r="D161" s="175"/>
      <c r="E161" s="175"/>
      <c r="G161" s="175"/>
      <c r="H161" s="175"/>
      <c r="I161" s="175"/>
      <c r="J161" s="175"/>
      <c r="K161" s="175"/>
      <c r="L161" s="175"/>
      <c r="M161" s="175"/>
      <c r="N161" s="175"/>
      <c r="O161" s="175"/>
      <c r="P161" s="175"/>
      <c r="Q161" s="175"/>
      <c r="R161" s="175"/>
      <c r="S161" s="175"/>
      <c r="T161" s="175"/>
      <c r="U161" s="175"/>
      <c r="V161" s="175"/>
      <c r="W161" s="175"/>
      <c r="X161" s="627"/>
    </row>
    <row r="162" spans="1:24" ht="15.75">
      <c r="C162" s="1"/>
      <c r="Q162" s="175"/>
      <c r="R162" s="175"/>
    </row>
    <row r="163" spans="1:24">
      <c r="C163" s="1"/>
    </row>
    <row r="164" spans="1:24">
      <c r="C164" s="1"/>
    </row>
    <row r="165" spans="1:24">
      <c r="C165" s="1"/>
    </row>
    <row r="166" spans="1:24">
      <c r="C166" s="1"/>
    </row>
    <row r="167" spans="1:24">
      <c r="C167" s="1"/>
    </row>
  </sheetData>
  <sheetProtection algorithmName="SHA-512" hashValue="eBTTFetjZLDsZoUd+7D+yxD3jedzJnJc0Ly5WnXY8xz5M2EZD/58h3TjJkbPMjRcpp5P9ev2HPZHTNHMsFzkrA==" saltValue="oaUsyOdbHPWVkeLoABlzLg==" spinCount="100000" sheet="1" objects="1" scenarios="1" selectLockedCells="1"/>
  <sortState xmlns:xlrd2="http://schemas.microsoft.com/office/spreadsheetml/2017/richdata2" ref="AC2:AC11">
    <sortCondition ref="AC2:AC11"/>
  </sortState>
  <dataValidations count="3">
    <dataValidation allowBlank="1" showErrorMessage="1" promptTitle="Nonprofit Set-Aside" sqref="F7" xr:uid="{3FBA764F-43F8-8E48-8AD4-9EED697472EC}"/>
    <dataValidation allowBlank="1" showInputMessage="1" showErrorMessage="1" promptTitle="General Set-Aside" prompt="45% of the State housing per-capita Credit will be made available in the General Set-Aside" sqref="F2 F4 F6" xr:uid="{764FBFAA-1640-C944-9244-A1264CA47B48}"/>
    <dataValidation type="list" allowBlank="1" showInputMessage="1" showErrorMessage="1" sqref="F8" xr:uid="{AEC4FD82-EEEE-4814-94C4-C96835755DFC}">
      <formula1>YesNo</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D03F-70C2-49C7-A596-EBF56F5C4163}">
  <sheetPr codeName="Sheet22">
    <pageSetUpPr fitToPage="1"/>
  </sheetPr>
  <dimension ref="A1:DY708"/>
  <sheetViews>
    <sheetView workbookViewId="0">
      <selection activeCell="C30" sqref="C30:K30"/>
    </sheetView>
  </sheetViews>
  <sheetFormatPr defaultColWidth="8.85546875" defaultRowHeight="15"/>
  <cols>
    <col min="1" max="1" width="4.28515625" style="3" customWidth="1"/>
    <col min="2" max="2" width="6.7109375" customWidth="1"/>
    <col min="3" max="3" width="18.5703125" customWidth="1"/>
    <col min="4" max="4" width="15.5703125" customWidth="1"/>
    <col min="5" max="5" width="14.42578125" customWidth="1"/>
    <col min="6" max="6" width="8.7109375" customWidth="1"/>
    <col min="7" max="7" width="7.7109375" customWidth="1"/>
    <col min="8" max="8" width="6.7109375" customWidth="1"/>
    <col min="9" max="11" width="12.140625" customWidth="1"/>
    <col min="12" max="12" width="11.28515625" customWidth="1"/>
    <col min="13" max="13" width="15.28515625" style="59" customWidth="1"/>
    <col min="14" max="14" width="16.42578125" customWidth="1"/>
    <col min="15" max="15" width="9.28515625" customWidth="1"/>
    <col min="16" max="16" width="6.85546875" customWidth="1"/>
    <col min="17" max="17" width="13.7109375" style="376" customWidth="1"/>
    <col min="18" max="18" width="23.28515625" style="1778" customWidth="1"/>
    <col min="19" max="19" width="12" style="9" customWidth="1"/>
    <col min="20" max="20" width="12.5703125" style="115" customWidth="1"/>
    <col min="21" max="21" width="16" style="115" customWidth="1"/>
    <col min="22" max="22" width="23.85546875" style="115" bestFit="1" customWidth="1"/>
    <col min="23" max="23" width="14.85546875" style="115" customWidth="1"/>
    <col min="24" max="24" width="8.85546875" style="115"/>
    <col min="25" max="25" width="8.85546875" style="115" customWidth="1"/>
    <col min="26" max="26" width="17.5703125" style="115" customWidth="1"/>
    <col min="27" max="29" width="8.85546875" style="115" customWidth="1"/>
    <col min="30" max="35" width="8.85546875" style="115"/>
    <col min="36" max="36" width="8.85546875" style="376"/>
  </cols>
  <sheetData>
    <row r="1" spans="1:94" ht="28.5">
      <c r="B1" s="4" t="str">
        <f>'1. TOC'!B1</f>
        <v>WHEDA 2025 Multifamily Application</v>
      </c>
      <c r="C1" s="3"/>
      <c r="D1" s="3"/>
      <c r="E1" s="3"/>
      <c r="F1" s="3"/>
      <c r="G1" s="3"/>
      <c r="H1" s="3"/>
      <c r="I1" s="3"/>
      <c r="J1" s="3"/>
      <c r="K1" s="115" t="str">
        <f>'1. TOC'!L1</f>
        <v>v25.1.12</v>
      </c>
      <c r="L1" s="3"/>
      <c r="M1" s="947" t="str">
        <f>HYPERLINK("#Table_of_Contents", Table_of_Contents)</f>
        <v>Table of Contents</v>
      </c>
      <c r="N1" s="3"/>
      <c r="O1" s="3"/>
      <c r="P1" s="3"/>
      <c r="Q1" s="115"/>
      <c r="AJ1" s="115"/>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row>
    <row r="2" spans="1:94" s="863" customFormat="1" ht="21">
      <c r="A2" s="861"/>
      <c r="B2" s="886" t="str">
        <f>_xlfn.CONCAT(IF(ISBLANK(WHEDA_Project_Number),"",_xlfn.CONCAT(WHEDA_Project_Number," - ")), Project_Name, IF(ISBLANK(Credit_percentage_applied_for),"",_xlfn.CONCAT(" - ", Credit_percentage_applied_for," HTC")))</f>
        <v/>
      </c>
      <c r="C2" s="841"/>
      <c r="D2" s="841"/>
      <c r="E2" s="841"/>
      <c r="F2" s="841"/>
      <c r="G2" s="841"/>
      <c r="H2" s="841"/>
      <c r="I2" s="841"/>
      <c r="J2" s="841"/>
      <c r="K2" s="841"/>
      <c r="L2" s="841"/>
      <c r="M2" s="841"/>
      <c r="N2" s="841"/>
      <c r="O2" s="841"/>
      <c r="P2" s="841"/>
      <c r="Q2" s="872"/>
      <c r="R2" s="1779"/>
      <c r="S2" s="870"/>
      <c r="T2" s="872"/>
      <c r="U2" s="872"/>
      <c r="V2" s="872"/>
      <c r="W2" s="872"/>
      <c r="X2" s="872"/>
      <c r="Y2" s="872"/>
      <c r="Z2" s="872"/>
      <c r="AA2" s="872"/>
      <c r="AB2" s="872"/>
      <c r="AC2" s="872"/>
      <c r="AD2" s="872"/>
      <c r="AE2" s="872"/>
      <c r="AF2" s="872"/>
      <c r="AG2" s="872"/>
      <c r="AH2" s="872"/>
      <c r="AI2" s="872"/>
      <c r="AJ2" s="872"/>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c r="CO2" s="870"/>
      <c r="CP2" s="870"/>
    </row>
    <row r="3" spans="1:94">
      <c r="C3" s="896"/>
      <c r="D3" s="896"/>
      <c r="E3" s="896"/>
      <c r="F3" s="896"/>
      <c r="G3" s="896"/>
      <c r="H3" s="896"/>
      <c r="I3" s="896"/>
      <c r="J3" s="896"/>
      <c r="K3" s="896"/>
      <c r="L3" s="896"/>
      <c r="M3" s="896"/>
      <c r="N3" s="896"/>
      <c r="O3" s="896"/>
      <c r="P3" s="896"/>
      <c r="Q3" s="115"/>
      <c r="AJ3" s="115"/>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row>
    <row r="4" spans="1:94" s="3" customFormat="1" ht="28.5">
      <c r="A4" s="772"/>
      <c r="B4" s="4" t="s">
        <v>5148</v>
      </c>
      <c r="C4" s="773"/>
      <c r="D4" s="773"/>
      <c r="E4" s="773"/>
      <c r="F4" s="773"/>
      <c r="G4" s="773"/>
      <c r="H4" s="773"/>
      <c r="I4" s="773"/>
      <c r="J4" s="773"/>
      <c r="K4" s="773"/>
      <c r="L4" s="773"/>
      <c r="M4" s="774"/>
      <c r="P4" s="17"/>
      <c r="Q4" s="115"/>
      <c r="R4" s="1780"/>
      <c r="S4" s="9"/>
      <c r="T4" s="272"/>
      <c r="U4" s="115"/>
      <c r="V4" s="272"/>
      <c r="W4" s="115"/>
      <c r="X4" s="115"/>
      <c r="Y4" s="115"/>
      <c r="Z4" s="115"/>
      <c r="AA4" s="115"/>
      <c r="AB4" s="115"/>
      <c r="AC4" s="115"/>
      <c r="AD4" s="115"/>
      <c r="AE4" s="115"/>
      <c r="AF4" s="115"/>
      <c r="AG4" s="115"/>
      <c r="AH4" s="115"/>
      <c r="AI4" s="115"/>
      <c r="AJ4" s="115"/>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row>
    <row r="5" spans="1:94" s="3" customFormat="1" ht="21">
      <c r="A5" s="9" t="s">
        <v>5149</v>
      </c>
      <c r="B5" s="852" t="s">
        <v>5150</v>
      </c>
      <c r="M5" s="97"/>
      <c r="N5" s="97"/>
      <c r="O5" s="97"/>
      <c r="P5" s="97"/>
      <c r="Q5" s="115"/>
      <c r="R5" s="1778"/>
      <c r="S5" s="9"/>
      <c r="T5" s="115"/>
      <c r="U5" s="115"/>
      <c r="V5" s="115"/>
      <c r="W5" s="115"/>
      <c r="X5" s="115"/>
      <c r="Y5" s="115"/>
      <c r="Z5" s="115"/>
      <c r="AA5" s="115"/>
      <c r="AB5" s="115"/>
      <c r="AC5" s="115"/>
      <c r="AD5" s="115"/>
      <c r="AE5" s="115"/>
      <c r="AF5" s="115"/>
      <c r="AG5" s="115"/>
      <c r="AH5" s="115"/>
      <c r="AI5" s="115"/>
    </row>
    <row r="6" spans="1:94" s="3" customFormat="1" ht="18.75">
      <c r="B6" s="1201" t="s">
        <v>4996</v>
      </c>
      <c r="C6" s="1026"/>
      <c r="D6" s="1026"/>
      <c r="E6" s="1026"/>
      <c r="F6" s="1026"/>
      <c r="G6" s="1026"/>
      <c r="H6" s="1026"/>
      <c r="I6" s="1027"/>
      <c r="J6" s="1027"/>
      <c r="K6" s="1027"/>
      <c r="L6" s="1027"/>
      <c r="M6" s="1027"/>
      <c r="N6" s="1027"/>
      <c r="O6" s="1027"/>
      <c r="P6" s="1027"/>
      <c r="Q6" s="115"/>
      <c r="R6" s="1778"/>
      <c r="S6" s="9"/>
      <c r="T6" s="115"/>
      <c r="U6" s="115"/>
      <c r="V6" s="115"/>
      <c r="W6" s="115"/>
      <c r="X6" s="115"/>
      <c r="Y6" s="115"/>
      <c r="Z6" s="115"/>
      <c r="AA6" s="115"/>
      <c r="AB6" s="115"/>
      <c r="AC6" s="115"/>
      <c r="AD6" s="115"/>
      <c r="AE6" s="115"/>
      <c r="AF6" s="115"/>
      <c r="AG6" s="115"/>
      <c r="AH6" s="115"/>
      <c r="AI6" s="115"/>
    </row>
    <row r="7" spans="1:94" s="3" customFormat="1">
      <c r="B7" s="1027"/>
      <c r="C7" s="1027"/>
      <c r="D7" s="1027"/>
      <c r="E7" s="1027"/>
      <c r="F7" s="1027"/>
      <c r="G7" s="1027"/>
      <c r="H7" s="1027"/>
      <c r="I7" s="1027"/>
      <c r="J7" s="1027"/>
      <c r="K7" s="1027"/>
      <c r="L7" s="1027"/>
      <c r="M7" s="1027"/>
      <c r="N7" s="1027"/>
      <c r="O7" s="1027"/>
      <c r="P7" s="1027"/>
      <c r="Q7" s="115"/>
      <c r="R7" s="1778"/>
      <c r="S7" s="9"/>
      <c r="T7" s="115"/>
      <c r="U7" s="115"/>
      <c r="V7" s="115"/>
      <c r="W7" s="115"/>
      <c r="X7" s="115"/>
      <c r="Y7" s="115"/>
      <c r="Z7" s="115"/>
      <c r="AA7" s="115"/>
      <c r="AB7" s="115"/>
      <c r="AC7" s="115"/>
      <c r="AD7" s="115"/>
      <c r="AE7" s="115"/>
      <c r="AF7" s="115"/>
      <c r="AG7" s="115"/>
      <c r="AH7" s="115"/>
      <c r="AI7" s="115"/>
    </row>
    <row r="8" spans="1:94" s="3" customFormat="1">
      <c r="B8" s="1027"/>
      <c r="C8" s="1747" t="s">
        <v>4997</v>
      </c>
      <c r="D8" s="1747" t="s">
        <v>4971</v>
      </c>
      <c r="E8" s="1747" t="s">
        <v>1051</v>
      </c>
      <c r="F8" s="1027"/>
      <c r="G8" s="1027"/>
      <c r="H8" s="1027"/>
      <c r="I8" s="1027"/>
      <c r="J8" s="1027"/>
      <c r="K8" s="1027"/>
      <c r="L8" s="1027"/>
      <c r="M8" s="1027"/>
      <c r="N8" s="1027"/>
      <c r="O8" s="1027"/>
      <c r="P8" s="1027"/>
      <c r="Q8" s="115"/>
      <c r="R8" s="1778"/>
      <c r="S8" s="9"/>
      <c r="T8" s="115"/>
      <c r="U8" s="115"/>
      <c r="V8" s="115"/>
      <c r="W8" s="115"/>
      <c r="X8" s="115"/>
      <c r="Y8" s="115"/>
      <c r="Z8" s="115"/>
      <c r="AA8" s="115"/>
      <c r="AB8" s="115"/>
      <c r="AC8" s="115"/>
      <c r="AD8" s="115"/>
      <c r="AE8" s="115"/>
      <c r="AF8" s="115"/>
      <c r="AG8" s="115"/>
      <c r="AH8" s="115"/>
      <c r="AI8" s="115"/>
    </row>
    <row r="9" spans="1:94" s="3" customFormat="1">
      <c r="B9" s="1027"/>
      <c r="C9" s="653">
        <v>45</v>
      </c>
      <c r="D9" s="1646">
        <f>SUM(D66,D143,D188,D227,D253)</f>
        <v>0</v>
      </c>
      <c r="E9" s="1646">
        <f>SUM(E66,E143,E188,E227,E253)</f>
        <v>0</v>
      </c>
      <c r="F9" s="1027"/>
      <c r="G9" s="1027"/>
      <c r="H9" s="1027"/>
      <c r="I9" s="1027"/>
      <c r="J9" s="1027"/>
      <c r="K9" s="1027"/>
      <c r="L9" s="1027"/>
      <c r="M9" s="1027"/>
      <c r="N9" s="1027"/>
      <c r="O9" s="1027"/>
      <c r="P9" s="1027"/>
      <c r="Q9" s="115"/>
      <c r="R9" s="1778"/>
      <c r="S9" s="9"/>
      <c r="T9" s="115"/>
      <c r="U9" s="115"/>
      <c r="V9" s="115"/>
      <c r="W9" s="115"/>
      <c r="X9" s="115"/>
      <c r="Y9" s="115"/>
      <c r="Z9" s="115"/>
      <c r="AA9" s="115"/>
      <c r="AB9" s="115"/>
      <c r="AC9" s="115"/>
      <c r="AD9" s="115"/>
      <c r="AE9" s="115"/>
      <c r="AF9" s="115"/>
      <c r="AG9" s="115"/>
      <c r="AH9" s="115"/>
      <c r="AI9" s="115"/>
    </row>
    <row r="10" spans="1:94" s="3" customFormat="1">
      <c r="B10" s="1027"/>
      <c r="C10" s="1027"/>
      <c r="D10" s="1027"/>
      <c r="E10" s="1027"/>
      <c r="F10" s="1027"/>
      <c r="G10" s="1027"/>
      <c r="H10" s="1027"/>
      <c r="I10" s="1027"/>
      <c r="J10" s="1027"/>
      <c r="K10" s="1027"/>
      <c r="L10" s="1027"/>
      <c r="M10" s="1027"/>
      <c r="N10" s="1027"/>
      <c r="O10" s="1027"/>
      <c r="P10" s="1027"/>
      <c r="Q10" s="115"/>
      <c r="R10" s="1778"/>
      <c r="S10" s="9"/>
      <c r="T10" s="115"/>
      <c r="U10" s="115"/>
      <c r="V10" s="115"/>
      <c r="W10" s="115"/>
      <c r="X10" s="115"/>
      <c r="Y10" s="115"/>
      <c r="Z10" s="115"/>
      <c r="AA10" s="115"/>
      <c r="AB10" s="115"/>
      <c r="AC10" s="115"/>
      <c r="AD10" s="115"/>
      <c r="AE10" s="115"/>
      <c r="AF10" s="115"/>
      <c r="AG10" s="115"/>
      <c r="AH10" s="115"/>
      <c r="AI10" s="115"/>
    </row>
    <row r="11" spans="1:94" ht="28.5">
      <c r="A11" s="776"/>
      <c r="B11" s="852" t="s">
        <v>5151</v>
      </c>
      <c r="C11" s="3"/>
      <c r="D11" s="3"/>
      <c r="E11" s="3"/>
      <c r="F11" s="3"/>
      <c r="G11" s="3"/>
      <c r="H11" s="3"/>
      <c r="I11" s="3"/>
      <c r="J11" s="3"/>
      <c r="K11" s="3"/>
      <c r="L11" s="3"/>
      <c r="M11" s="1736"/>
      <c r="N11" s="3"/>
      <c r="O11" s="3"/>
      <c r="P11" s="3"/>
      <c r="Q11" s="115"/>
      <c r="AJ11" s="115"/>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row>
    <row r="12" spans="1:94" ht="14.45" customHeight="1">
      <c r="B12" s="1030" t="s">
        <v>4001</v>
      </c>
      <c r="C12" s="1425"/>
      <c r="D12" s="1425"/>
      <c r="E12" s="1425"/>
      <c r="F12" s="1425"/>
      <c r="G12" s="1425"/>
      <c r="H12" s="1425"/>
      <c r="I12" s="1425"/>
      <c r="J12" s="1425"/>
      <c r="K12" s="1425"/>
      <c r="L12" s="1425"/>
      <c r="M12" s="1425"/>
      <c r="N12" s="1425"/>
      <c r="O12" s="1425"/>
      <c r="P12" s="1027"/>
      <c r="Q12" s="115"/>
      <c r="R12" s="1778" t="s">
        <v>5152</v>
      </c>
      <c r="S12" s="1778" t="b">
        <f>IF(OR(Project_Type="Adaptive Reuse/New Construction",Project_Type="Acquisition/New Construction",Project_Type="New Construction"),TRUE,FALSE)</f>
        <v>0</v>
      </c>
      <c r="AJ12" s="115"/>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c r="B13" s="1027" t="s">
        <v>5153</v>
      </c>
      <c r="C13" s="1425"/>
      <c r="D13" s="1425"/>
      <c r="E13" s="1425"/>
      <c r="F13" s="1425"/>
      <c r="G13" s="1425"/>
      <c r="H13" s="1425"/>
      <c r="I13" s="1425"/>
      <c r="J13" s="1425"/>
      <c r="K13" s="1425"/>
      <c r="L13" s="1425"/>
      <c r="M13" s="1425"/>
      <c r="N13" s="1425"/>
      <c r="O13" s="1425"/>
      <c r="P13" s="1035"/>
      <c r="Q13" s="115"/>
      <c r="AJ13" s="115"/>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c r="B14" s="1734" t="s">
        <v>5154</v>
      </c>
      <c r="C14" s="1027"/>
      <c r="D14" s="1027"/>
      <c r="E14" s="1027"/>
      <c r="F14" s="1027"/>
      <c r="G14" s="1027"/>
      <c r="H14" s="1027"/>
      <c r="I14" s="1027"/>
      <c r="J14" s="1027"/>
      <c r="K14" s="1027"/>
      <c r="L14" s="1027"/>
      <c r="M14" s="1067"/>
      <c r="N14" s="1067"/>
      <c r="O14" s="1067"/>
      <c r="P14" s="1067"/>
      <c r="Q14" s="115"/>
      <c r="AJ14" s="115"/>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c r="B15" s="1734" t="s">
        <v>5155</v>
      </c>
      <c r="C15" s="1027"/>
      <c r="D15" s="1027"/>
      <c r="E15" s="1027"/>
      <c r="F15" s="1027"/>
      <c r="G15" s="1027"/>
      <c r="H15" s="1027"/>
      <c r="I15" s="1027"/>
      <c r="J15" s="1027"/>
      <c r="K15" s="1027"/>
      <c r="L15" s="1027"/>
      <c r="M15" s="1027"/>
      <c r="N15" s="1027"/>
      <c r="O15" s="1027"/>
      <c r="P15" s="1027"/>
      <c r="Q15" s="115"/>
      <c r="AJ15" s="115"/>
      <c r="AK15" s="3"/>
      <c r="AL15" s="3"/>
      <c r="AM15" s="3"/>
      <c r="AN15" s="3"/>
      <c r="AO15" s="3"/>
      <c r="AP15" s="3"/>
      <c r="AQ15" s="3"/>
      <c r="AR15" s="3"/>
      <c r="AS15" s="3"/>
      <c r="AT15" s="3"/>
      <c r="AU15" s="3"/>
      <c r="AV15" s="3"/>
      <c r="AW15" s="3"/>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c r="B16" s="1027" t="s">
        <v>5156</v>
      </c>
      <c r="C16" s="1027"/>
      <c r="D16" s="1027"/>
      <c r="E16" s="1027"/>
      <c r="F16" s="1027"/>
      <c r="G16" s="1027"/>
      <c r="H16" s="1027"/>
      <c r="I16" s="1027"/>
      <c r="J16" s="1027"/>
      <c r="K16" s="1027"/>
      <c r="L16" s="1027"/>
      <c r="M16" s="1027"/>
      <c r="N16" s="1027"/>
      <c r="O16" s="1027"/>
      <c r="P16" s="1027"/>
      <c r="Q16" s="115"/>
      <c r="AJ16" s="115"/>
      <c r="AK16" s="3"/>
      <c r="AL16" s="3"/>
      <c r="AM16" s="3"/>
      <c r="AN16" s="3"/>
      <c r="AO16" s="3"/>
      <c r="AP16" s="3"/>
      <c r="AQ16" s="3"/>
      <c r="AR16" s="3"/>
      <c r="AS16" s="3"/>
      <c r="AT16" s="3"/>
      <c r="AU16" s="3"/>
      <c r="AV16" s="3"/>
      <c r="AW16" s="3"/>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2:94">
      <c r="B17" s="1027" t="s">
        <v>5157</v>
      </c>
      <c r="C17" s="1027"/>
      <c r="D17" s="1027"/>
      <c r="E17" s="1027"/>
      <c r="F17" s="1027"/>
      <c r="G17" s="1027"/>
      <c r="H17" s="1027"/>
      <c r="I17" s="1027"/>
      <c r="J17" s="1027"/>
      <c r="K17" s="1027"/>
      <c r="L17" s="1027"/>
      <c r="M17" s="1027"/>
      <c r="N17" s="1733"/>
      <c r="O17" s="1733"/>
      <c r="P17" s="1733"/>
      <c r="Q17" s="374"/>
      <c r="R17" s="580"/>
      <c r="S17" s="1781"/>
      <c r="AJ17" s="115"/>
      <c r="AK17" s="3"/>
      <c r="AL17" s="3"/>
      <c r="AM17" s="3"/>
      <c r="AN17" s="3"/>
      <c r="AO17" s="3"/>
      <c r="AP17" s="3"/>
      <c r="AQ17" s="3"/>
      <c r="AR17" s="3"/>
      <c r="AS17" s="3"/>
      <c r="AT17" s="3"/>
      <c r="AU17" s="3"/>
      <c r="AV17" s="3"/>
      <c r="AW17" s="3"/>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2:94" ht="15" customHeight="1">
      <c r="B18" s="1027" t="s">
        <v>5158</v>
      </c>
      <c r="C18" s="1027"/>
      <c r="D18" s="1027"/>
      <c r="E18" s="1027"/>
      <c r="F18" s="1027"/>
      <c r="G18" s="1027"/>
      <c r="H18" s="1027"/>
      <c r="I18" s="1027"/>
      <c r="J18" s="1027"/>
      <c r="K18" s="1027"/>
      <c r="L18" s="1027"/>
      <c r="M18" s="1027"/>
      <c r="N18" s="1027"/>
      <c r="O18" s="1027"/>
      <c r="P18" s="1027"/>
      <c r="Q18" s="115"/>
      <c r="AJ18" s="115"/>
      <c r="AK18" s="3"/>
      <c r="AL18" s="3"/>
      <c r="AM18" s="3"/>
      <c r="AN18" s="3"/>
      <c r="AO18" s="3"/>
      <c r="AP18" s="3"/>
      <c r="AQ18" s="3"/>
      <c r="AR18" s="3"/>
      <c r="AS18" s="3"/>
      <c r="AT18" s="3"/>
      <c r="AU18" s="3"/>
      <c r="AV18" s="3"/>
      <c r="AW18" s="3"/>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2:94">
      <c r="B19" s="1027" t="s">
        <v>5159</v>
      </c>
      <c r="C19" s="1027"/>
      <c r="D19" s="1027"/>
      <c r="E19" s="1027"/>
      <c r="F19" s="1027"/>
      <c r="G19" s="1027"/>
      <c r="H19" s="1027"/>
      <c r="I19" s="1027"/>
      <c r="J19" s="1027"/>
      <c r="K19" s="1027"/>
      <c r="L19" s="1027"/>
      <c r="M19" s="1027"/>
      <c r="N19" s="1027"/>
      <c r="O19" s="1027"/>
      <c r="P19" s="1027"/>
      <c r="Q19" s="115"/>
      <c r="AJ19" s="115"/>
      <c r="AK19" s="3"/>
      <c r="AL19" s="3"/>
      <c r="AM19" s="3"/>
      <c r="AN19" s="3"/>
      <c r="AO19" s="3"/>
      <c r="AP19" s="3"/>
      <c r="AQ19" s="3"/>
      <c r="AR19" s="3"/>
      <c r="AS19" s="3"/>
      <c r="AT19" s="3"/>
      <c r="AU19" s="3"/>
      <c r="AV19" s="3"/>
      <c r="AW19" s="3"/>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2:94">
      <c r="B20" s="1027"/>
      <c r="C20" s="1027"/>
      <c r="D20" s="1027"/>
      <c r="E20" s="1027"/>
      <c r="F20" s="1027"/>
      <c r="G20" s="1027"/>
      <c r="H20" s="1027"/>
      <c r="I20" s="1027"/>
      <c r="J20" s="1027"/>
      <c r="K20" s="1027"/>
      <c r="L20" s="1027"/>
      <c r="M20" s="1027"/>
      <c r="N20" s="1027"/>
      <c r="O20" s="1027"/>
      <c r="P20" s="1027"/>
      <c r="Q20" s="115"/>
      <c r="R20" s="1782" t="s">
        <v>5160</v>
      </c>
      <c r="S20" s="1783" t="s">
        <v>5161</v>
      </c>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row>
    <row r="21" spans="2:94" ht="18.75">
      <c r="B21" s="1206" t="s">
        <v>5162</v>
      </c>
      <c r="C21" s="1027"/>
      <c r="D21" s="1027"/>
      <c r="E21" s="1027"/>
      <c r="F21" s="1027"/>
      <c r="G21" s="1027"/>
      <c r="H21" s="1027"/>
      <c r="I21" s="1027"/>
      <c r="J21" s="1027"/>
      <c r="K21" s="1027"/>
      <c r="L21" s="1027"/>
      <c r="M21" s="1027"/>
      <c r="N21" s="1027"/>
      <c r="O21" s="1027"/>
      <c r="P21" s="1027"/>
      <c r="Q21" s="115"/>
      <c r="R21" s="978" t="s">
        <v>5163</v>
      </c>
      <c r="S21" s="9">
        <v>10</v>
      </c>
      <c r="AJ21" s="115"/>
      <c r="AK21" s="3"/>
      <c r="AL21" s="3"/>
      <c r="AM21" s="3"/>
      <c r="AN21" s="3"/>
      <c r="AO21" s="3"/>
      <c r="AP21" s="3"/>
      <c r="AQ21" s="3"/>
      <c r="AR21" s="3"/>
      <c r="AS21" s="3"/>
      <c r="AT21" s="3"/>
      <c r="AU21" s="3"/>
      <c r="AV21" s="3"/>
      <c r="AW21" s="3"/>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2:94" ht="15.6" customHeight="1">
      <c r="B22" s="1027"/>
      <c r="C22" s="1027"/>
      <c r="D22" s="1027"/>
      <c r="E22" s="1027"/>
      <c r="F22" s="1027"/>
      <c r="G22" s="1027"/>
      <c r="H22" s="1027"/>
      <c r="I22" s="1027"/>
      <c r="J22" s="1027"/>
      <c r="K22" s="1027"/>
      <c r="L22" s="1027"/>
      <c r="M22" s="1027"/>
      <c r="N22" s="1027"/>
      <c r="O22" s="1027"/>
      <c r="P22" s="1027"/>
      <c r="Q22" s="115"/>
      <c r="R22" s="978" t="s">
        <v>5164</v>
      </c>
      <c r="S22" s="9">
        <v>20</v>
      </c>
      <c r="AJ22" s="115"/>
      <c r="AK22" s="3"/>
      <c r="AL22" s="3"/>
      <c r="AM22" s="3"/>
      <c r="AN22" s="3"/>
      <c r="AO22" s="3"/>
      <c r="AP22" s="3"/>
      <c r="AQ22" s="3"/>
      <c r="AR22" s="3"/>
      <c r="AS22" s="3"/>
      <c r="AT22" s="3"/>
      <c r="AU22" s="3"/>
      <c r="AV22" s="3"/>
      <c r="AW22" s="3"/>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2:94" ht="16.899999999999999" customHeight="1">
      <c r="B23" s="1027"/>
      <c r="C23" s="1863" t="s">
        <v>5165</v>
      </c>
      <c r="D23" s="2269"/>
      <c r="E23" s="2465" t="s">
        <v>5166</v>
      </c>
      <c r="F23" s="2465"/>
      <c r="G23" s="2465"/>
      <c r="H23" s="1863" t="s">
        <v>5167</v>
      </c>
      <c r="I23" s="1864"/>
      <c r="J23" s="1864"/>
      <c r="K23" s="2269"/>
      <c r="L23" s="1027"/>
      <c r="M23" s="1027"/>
      <c r="N23" s="1027"/>
      <c r="O23" s="1027"/>
      <c r="P23" s="1027"/>
      <c r="Q23" s="115"/>
      <c r="R23" s="978" t="s">
        <v>5168</v>
      </c>
      <c r="S23" s="9">
        <v>10</v>
      </c>
      <c r="AJ23" s="115"/>
      <c r="AK23" s="3"/>
      <c r="AL23" s="3"/>
      <c r="AM23" s="3"/>
      <c r="AN23" s="3"/>
      <c r="AO23" s="3"/>
      <c r="AP23" s="3"/>
      <c r="AQ23" s="3"/>
      <c r="AR23" s="3"/>
      <c r="AS23" s="3"/>
      <c r="AT23" s="3"/>
      <c r="AU23" s="3"/>
      <c r="AV23" s="3"/>
      <c r="AW23" s="3"/>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2:94" ht="14.45" customHeight="1">
      <c r="B24" s="1027"/>
      <c r="C24" s="2543" t="s">
        <v>5169</v>
      </c>
      <c r="D24" s="2543"/>
      <c r="E24" s="2551" t="s">
        <v>5170</v>
      </c>
      <c r="F24" s="2552"/>
      <c r="G24" s="2555"/>
      <c r="H24" s="2551" t="s">
        <v>5171</v>
      </c>
      <c r="I24" s="2552"/>
      <c r="J24" s="2554"/>
      <c r="K24" s="2553"/>
      <c r="L24" s="1027"/>
      <c r="M24" s="1027"/>
      <c r="N24" s="1027"/>
      <c r="O24" s="1027"/>
      <c r="P24" s="1027"/>
      <c r="Q24" s="115"/>
      <c r="R24" s="978" t="s">
        <v>5172</v>
      </c>
      <c r="S24" s="9">
        <v>20</v>
      </c>
      <c r="AJ24" s="115"/>
      <c r="AK24" s="3"/>
      <c r="AL24" s="3"/>
      <c r="AM24" s="3"/>
      <c r="AN24" s="3"/>
      <c r="AO24" s="3"/>
      <c r="AP24" s="3"/>
      <c r="AQ24" s="3"/>
      <c r="AR24" s="3"/>
      <c r="AS24" s="3"/>
      <c r="AT24" s="3"/>
      <c r="AU24" s="3"/>
      <c r="AV24" s="3"/>
      <c r="AW24" s="3"/>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2:94" ht="14.45" customHeight="1">
      <c r="B25" s="1027"/>
      <c r="C25" s="2543" t="s">
        <v>5173</v>
      </c>
      <c r="D25" s="2543"/>
      <c r="E25" s="2551" t="s">
        <v>5174</v>
      </c>
      <c r="F25" s="2552"/>
      <c r="G25" s="2555"/>
      <c r="H25" s="2551" t="s">
        <v>5175</v>
      </c>
      <c r="I25" s="2552"/>
      <c r="J25" s="2554"/>
      <c r="K25" s="2553"/>
      <c r="L25" s="1027"/>
      <c r="M25" s="1027"/>
      <c r="N25" s="1027"/>
      <c r="O25" s="1027"/>
      <c r="P25" s="1027"/>
      <c r="Q25" s="115"/>
      <c r="R25" s="978" t="s">
        <v>5176</v>
      </c>
      <c r="S25" s="9">
        <v>10</v>
      </c>
      <c r="AJ25" s="115"/>
      <c r="AK25" s="3"/>
      <c r="AL25" s="3"/>
      <c r="AM25" s="3"/>
      <c r="AN25" s="3"/>
      <c r="AO25" s="3"/>
      <c r="AP25" s="3"/>
      <c r="AQ25" s="3"/>
      <c r="AR25" s="3"/>
      <c r="AS25" s="3"/>
      <c r="AT25" s="3"/>
      <c r="AU25" s="3"/>
      <c r="AV25" s="3"/>
      <c r="AW25" s="3"/>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2:94" ht="14.45" customHeight="1">
      <c r="B26" s="1027"/>
      <c r="C26" s="2543" t="s">
        <v>5177</v>
      </c>
      <c r="D26" s="2543"/>
      <c r="E26" s="2551" t="s">
        <v>5178</v>
      </c>
      <c r="F26" s="2552"/>
      <c r="G26" s="2555"/>
      <c r="H26" s="2551" t="s">
        <v>5179</v>
      </c>
      <c r="I26" s="2552"/>
      <c r="J26" s="2554"/>
      <c r="K26" s="2553"/>
      <c r="L26" s="1027"/>
      <c r="M26" s="1027"/>
      <c r="N26" s="1027"/>
      <c r="O26" s="1027"/>
      <c r="P26" s="1027"/>
      <c r="Q26" s="115"/>
      <c r="R26" s="978" t="s">
        <v>5180</v>
      </c>
      <c r="S26" s="9">
        <v>20</v>
      </c>
      <c r="AJ26" s="115"/>
      <c r="AK26" s="3"/>
      <c r="AL26" s="3"/>
      <c r="AM26" s="3"/>
      <c r="AN26" s="3"/>
      <c r="AO26" s="3"/>
      <c r="AP26" s="3"/>
      <c r="AQ26" s="3"/>
      <c r="AR26" s="3"/>
      <c r="AS26" s="3"/>
      <c r="AT26" s="3"/>
      <c r="AU26" s="3"/>
      <c r="AV26" s="3"/>
      <c r="AW26" s="3"/>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2:94" ht="14.45" customHeight="1">
      <c r="B27" s="1027"/>
      <c r="C27" s="2543" t="s">
        <v>5181</v>
      </c>
      <c r="D27" s="2543"/>
      <c r="E27" s="2551" t="s">
        <v>5182</v>
      </c>
      <c r="F27" s="2552"/>
      <c r="G27" s="2555"/>
      <c r="H27" s="2551" t="s">
        <v>5183</v>
      </c>
      <c r="I27" s="2552"/>
      <c r="J27" s="2554"/>
      <c r="K27" s="2553"/>
      <c r="L27" s="1027"/>
      <c r="M27" s="1027"/>
      <c r="N27" s="1027"/>
      <c r="O27" s="1027"/>
      <c r="P27" s="1027"/>
      <c r="Q27" s="115"/>
      <c r="R27" s="978" t="s">
        <v>5184</v>
      </c>
      <c r="S27" s="9">
        <v>10</v>
      </c>
      <c r="AJ27" s="115"/>
      <c r="AK27" s="3"/>
      <c r="AL27" s="3"/>
      <c r="AM27" s="3"/>
      <c r="AN27" s="3"/>
      <c r="AO27" s="3"/>
      <c r="AP27" s="3"/>
      <c r="AQ27" s="3"/>
      <c r="AR27" s="3"/>
      <c r="AS27" s="3"/>
      <c r="AT27" s="3"/>
      <c r="AU27" s="3"/>
      <c r="AV27" s="3"/>
      <c r="AW27" s="3"/>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2:94">
      <c r="B28" s="1027"/>
      <c r="C28" s="1027"/>
      <c r="D28" s="1027"/>
      <c r="E28" s="1027"/>
      <c r="F28" s="1027"/>
      <c r="G28" s="1027"/>
      <c r="H28" s="1027"/>
      <c r="I28" s="1027"/>
      <c r="J28" s="1027"/>
      <c r="K28" s="1027"/>
      <c r="L28" s="1027"/>
      <c r="M28" s="1027"/>
      <c r="N28" s="1027"/>
      <c r="O28" s="1027"/>
      <c r="P28" s="1027"/>
      <c r="Q28" s="115"/>
      <c r="R28" s="978" t="s">
        <v>5185</v>
      </c>
      <c r="S28" s="9">
        <v>20</v>
      </c>
      <c r="AJ28" s="115"/>
      <c r="AK28" s="3"/>
      <c r="AL28" s="3"/>
      <c r="AM28" s="3"/>
      <c r="AN28" s="3"/>
      <c r="AO28" s="3"/>
      <c r="AP28" s="3"/>
      <c r="AQ28" s="3"/>
      <c r="AR28" s="3"/>
      <c r="AS28" s="3"/>
      <c r="AT28" s="3"/>
      <c r="AU28" s="3"/>
      <c r="AV28" s="3"/>
      <c r="AW28" s="3"/>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2:94">
      <c r="B29" s="1027"/>
      <c r="C29" s="1030" t="s">
        <v>5186</v>
      </c>
      <c r="D29" s="1027"/>
      <c r="E29" s="1027"/>
      <c r="F29" s="1027"/>
      <c r="G29" s="1027"/>
      <c r="H29" s="1027"/>
      <c r="I29" s="1027"/>
      <c r="J29" s="1027"/>
      <c r="K29" s="1027"/>
      <c r="L29" s="1027"/>
      <c r="M29" s="1027"/>
      <c r="N29" s="1027"/>
      <c r="O29" s="1027"/>
      <c r="P29" s="1027"/>
      <c r="Q29" s="115"/>
      <c r="AJ29" s="115"/>
      <c r="AK29" s="3"/>
      <c r="AL29" s="3"/>
      <c r="AM29" s="3"/>
      <c r="AN29" s="3"/>
      <c r="AO29" s="3"/>
      <c r="AP29" s="3"/>
      <c r="AQ29" s="3"/>
      <c r="AR29" s="3"/>
      <c r="AS29" s="3"/>
      <c r="AT29" s="3"/>
      <c r="AU29" s="3"/>
      <c r="AV29" s="3"/>
      <c r="AW29" s="3"/>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2:94">
      <c r="B30" s="1027"/>
      <c r="C30" s="2574"/>
      <c r="D30" s="2575"/>
      <c r="E30" s="2575"/>
      <c r="F30" s="2575"/>
      <c r="G30" s="2575"/>
      <c r="H30" s="2575"/>
      <c r="I30" s="2575"/>
      <c r="J30" s="2575"/>
      <c r="K30" s="2576"/>
      <c r="L30" s="1027"/>
      <c r="M30" s="1027"/>
      <c r="N30" s="1027"/>
      <c r="O30" s="1027"/>
      <c r="P30" s="1027"/>
      <c r="Q30" s="115"/>
      <c r="R30" s="1780" t="s">
        <v>4850</v>
      </c>
      <c r="S30" s="1332" cm="1">
        <f t="array" ref="S30">IF(C30="",0,_xlfn.SWITCH(C30,R21,S21,R22,S22,R23,S23,R24,S24,R25,S25,R26,S26,R27,S27,R28,S28))</f>
        <v>0</v>
      </c>
      <c r="AJ30" s="115"/>
      <c r="AK30" s="3"/>
      <c r="AL30" s="3"/>
      <c r="AM30" s="3"/>
      <c r="AN30" s="3"/>
      <c r="AO30" s="3"/>
      <c r="AP30" s="3"/>
      <c r="AQ30" s="3"/>
      <c r="AR30" s="3"/>
      <c r="AS30" s="3"/>
      <c r="AT30" s="3"/>
      <c r="AU30" s="3"/>
      <c r="AV30" s="3"/>
      <c r="AW30" s="3"/>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2:94">
      <c r="B31" s="1027"/>
      <c r="C31" s="1027"/>
      <c r="D31" s="1027"/>
      <c r="E31" s="1027"/>
      <c r="F31" s="1027"/>
      <c r="G31" s="1027"/>
      <c r="H31" s="1027"/>
      <c r="I31" s="1027"/>
      <c r="J31" s="1027"/>
      <c r="K31" s="1027"/>
      <c r="L31" s="1027"/>
      <c r="M31" s="1027"/>
      <c r="N31" s="1027"/>
      <c r="O31" s="1027"/>
      <c r="P31" s="1027"/>
      <c r="Q31" s="115"/>
      <c r="AJ31" s="115"/>
      <c r="AK31" s="3"/>
      <c r="AL31" s="3"/>
      <c r="AM31" s="3"/>
      <c r="AN31" s="3"/>
      <c r="AO31" s="3"/>
      <c r="AP31" s="3"/>
      <c r="AQ31" s="3"/>
      <c r="AR31" s="3"/>
      <c r="AS31" s="3"/>
      <c r="AT31" s="3"/>
      <c r="AU31" s="3"/>
      <c r="AV31" s="3"/>
      <c r="AW31" s="3"/>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2:94" ht="18.600000000000001" customHeight="1">
      <c r="B32" s="1027"/>
      <c r="C32" s="2503" t="s">
        <v>5187</v>
      </c>
      <c r="D32" s="2503" t="s">
        <v>5188</v>
      </c>
      <c r="E32" s="2503"/>
      <c r="F32" s="2503"/>
      <c r="G32" s="2503"/>
      <c r="H32" s="2503"/>
      <c r="I32" s="2503"/>
      <c r="J32" s="2503"/>
      <c r="K32" s="2503"/>
      <c r="L32" s="2503"/>
      <c r="M32" s="2503"/>
      <c r="N32" s="1027"/>
      <c r="O32" s="1027"/>
      <c r="P32" s="1027"/>
      <c r="Q32" s="115"/>
      <c r="AJ32" s="115"/>
      <c r="AK32" s="3"/>
      <c r="AL32" s="3"/>
      <c r="AM32" s="3"/>
      <c r="AN32" s="3"/>
      <c r="AO32" s="3"/>
      <c r="AP32" s="3"/>
      <c r="AQ32" s="3"/>
      <c r="AR32" s="3"/>
      <c r="AS32" s="3"/>
      <c r="AT32" s="3"/>
      <c r="AU32" s="3"/>
      <c r="AV32" s="3"/>
      <c r="AW32" s="3"/>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2:94" ht="15.6" customHeight="1">
      <c r="B33" s="1027"/>
      <c r="C33" s="2503"/>
      <c r="D33" s="2507"/>
      <c r="E33" s="2507"/>
      <c r="F33" s="2507"/>
      <c r="G33" s="2507"/>
      <c r="H33" s="2507"/>
      <c r="I33" s="2507"/>
      <c r="J33" s="2507"/>
      <c r="K33" s="2507"/>
      <c r="L33" s="2507"/>
      <c r="M33" s="2507"/>
      <c r="N33" s="1027"/>
      <c r="O33" s="1027"/>
      <c r="P33" s="1027"/>
      <c r="Q33" s="115"/>
      <c r="R33" s="1784" t="s">
        <v>5189</v>
      </c>
      <c r="S33" s="1785" t="s">
        <v>5161</v>
      </c>
      <c r="AJ33" s="115"/>
      <c r="AK33" s="3"/>
      <c r="AL33" s="3"/>
      <c r="AM33" s="3"/>
      <c r="AN33" s="3"/>
      <c r="AO33" s="3"/>
      <c r="AP33" s="3"/>
      <c r="AQ33" s="3"/>
      <c r="AR33" s="3"/>
      <c r="AS33" s="3"/>
      <c r="AT33" s="3"/>
      <c r="AU33" s="3"/>
      <c r="AV33" s="3"/>
      <c r="AW33" s="3"/>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2:94" ht="14.45" customHeight="1">
      <c r="B34" s="1027"/>
      <c r="C34" s="297"/>
      <c r="D34" s="2516" t="s">
        <v>5190</v>
      </c>
      <c r="E34" s="2517"/>
      <c r="F34" s="2517"/>
      <c r="G34" s="2517"/>
      <c r="H34" s="2517"/>
      <c r="I34" s="2517"/>
      <c r="J34" s="2517"/>
      <c r="K34" s="2517"/>
      <c r="L34" s="2517"/>
      <c r="M34" s="2518"/>
      <c r="N34" s="1027"/>
      <c r="O34" s="1027"/>
      <c r="P34" s="1027"/>
      <c r="Q34" s="115"/>
      <c r="R34" s="1778" t="s">
        <v>5191</v>
      </c>
      <c r="S34" s="1309">
        <f>IF(C34="Yes",4,0)</f>
        <v>0</v>
      </c>
      <c r="AJ34" s="115"/>
      <c r="AK34" s="3"/>
      <c r="AL34" s="3"/>
      <c r="AM34" s="3"/>
      <c r="AN34" s="3"/>
      <c r="AO34" s="3"/>
      <c r="AP34" s="3"/>
      <c r="AQ34" s="3"/>
      <c r="AR34" s="3"/>
      <c r="AS34" s="3"/>
      <c r="AT34" s="3"/>
      <c r="AU34" s="3"/>
      <c r="AV34" s="3"/>
      <c r="AW34" s="3"/>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2:94">
      <c r="B35" s="1027"/>
      <c r="C35" s="297"/>
      <c r="D35" s="2564" t="s">
        <v>5192</v>
      </c>
      <c r="E35" s="2552"/>
      <c r="F35" s="2552"/>
      <c r="G35" s="2552"/>
      <c r="H35" s="2552"/>
      <c r="I35" s="2552"/>
      <c r="J35" s="2552"/>
      <c r="K35" s="2552"/>
      <c r="L35" s="2552"/>
      <c r="M35" s="2565"/>
      <c r="N35" s="1027"/>
      <c r="O35" s="1027"/>
      <c r="P35" s="1027"/>
      <c r="Q35" s="115"/>
      <c r="R35" s="1778" t="s">
        <v>324</v>
      </c>
      <c r="S35" s="1309">
        <f>IF(C35="Yes",2,0)</f>
        <v>0</v>
      </c>
      <c r="AJ35" s="115"/>
      <c r="AK35" s="3"/>
      <c r="AL35" s="3"/>
      <c r="AM35" s="3"/>
      <c r="AN35" s="3"/>
      <c r="AO35" s="3"/>
      <c r="AP35" s="3"/>
      <c r="AQ35" s="3"/>
      <c r="AR35" s="3"/>
      <c r="AS35" s="3"/>
      <c r="AT35" s="3"/>
      <c r="AU35" s="3"/>
      <c r="AV35" s="3"/>
      <c r="AW35" s="3"/>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2:94">
      <c r="B36" s="1027"/>
      <c r="C36" s="297"/>
      <c r="D36" s="2571" t="s">
        <v>5193</v>
      </c>
      <c r="E36" s="2572"/>
      <c r="F36" s="2572"/>
      <c r="G36" s="2572"/>
      <c r="H36" s="2572"/>
      <c r="I36" s="2572"/>
      <c r="J36" s="2572"/>
      <c r="K36" s="2572"/>
      <c r="L36" s="2572"/>
      <c r="M36" s="2573"/>
      <c r="N36" s="1027"/>
      <c r="O36" s="1027"/>
      <c r="P36" s="1027"/>
      <c r="Q36" s="115"/>
      <c r="R36" s="1778" t="s">
        <v>5194</v>
      </c>
      <c r="S36" s="1309">
        <f>IF(C36="Yes",8,0)</f>
        <v>0</v>
      </c>
      <c r="AJ36" s="115"/>
      <c r="AK36" s="3"/>
      <c r="AL36" s="3"/>
      <c r="AM36" s="3"/>
      <c r="AN36" s="3"/>
      <c r="AO36" s="3"/>
      <c r="AP36" s="3"/>
      <c r="AQ36" s="3"/>
      <c r="AR36" s="3"/>
      <c r="AS36" s="3"/>
      <c r="AT36" s="3"/>
      <c r="AU36" s="3"/>
      <c r="AV36" s="3"/>
      <c r="AW36" s="3"/>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2:94">
      <c r="B37" s="1027"/>
      <c r="C37" s="1027"/>
      <c r="D37" s="1027"/>
      <c r="E37" s="1027"/>
      <c r="F37" s="1027"/>
      <c r="G37" s="1027"/>
      <c r="H37" s="1027"/>
      <c r="I37" s="1027"/>
      <c r="J37" s="1027"/>
      <c r="K37" s="1027"/>
      <c r="L37" s="1027"/>
      <c r="M37" s="1027"/>
      <c r="N37" s="1027"/>
      <c r="O37" s="1027"/>
      <c r="P37" s="1027"/>
      <c r="Q37" s="115"/>
      <c r="R37" s="1780" t="s">
        <v>4850</v>
      </c>
      <c r="S37" s="1318">
        <f>IF(AND(T23=0,T24=0,T25=0,T26=0),SUM(S34:S36),0)</f>
        <v>0</v>
      </c>
      <c r="AJ37" s="115"/>
      <c r="AK37" s="3"/>
      <c r="AL37" s="3"/>
      <c r="AM37" s="3"/>
      <c r="AN37" s="3"/>
      <c r="AO37" s="3"/>
      <c r="AP37" s="3"/>
      <c r="AQ37" s="3"/>
      <c r="AR37" s="3"/>
      <c r="AS37" s="3"/>
      <c r="AT37" s="3"/>
      <c r="AU37" s="3"/>
      <c r="AV37" s="3"/>
      <c r="AW37" s="3"/>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2:94">
      <c r="B38" s="1027"/>
      <c r="C38" s="1027"/>
      <c r="D38" s="1027"/>
      <c r="E38" s="1027"/>
      <c r="F38" s="1027"/>
      <c r="G38" s="1027"/>
      <c r="H38" s="1027"/>
      <c r="I38" s="1027"/>
      <c r="J38" s="1027"/>
      <c r="K38" s="1027"/>
      <c r="L38" s="1027"/>
      <c r="M38" s="1027"/>
      <c r="N38" s="1027"/>
      <c r="O38" s="1027"/>
      <c r="P38" s="1027"/>
      <c r="Q38" s="115"/>
      <c r="R38" s="1780" t="s">
        <v>5195</v>
      </c>
      <c r="S38" s="9">
        <f>MIN(S30 + S37, 20)</f>
        <v>0</v>
      </c>
      <c r="AJ38" s="115"/>
      <c r="AK38" s="3"/>
      <c r="AL38" s="3"/>
      <c r="AM38" s="3"/>
      <c r="AN38" s="3"/>
      <c r="AO38" s="3"/>
      <c r="AP38" s="3"/>
      <c r="AQ38" s="3"/>
      <c r="AR38" s="3"/>
      <c r="AS38" s="3"/>
      <c r="AT38" s="3"/>
      <c r="AU38" s="3"/>
      <c r="AV38" s="3"/>
      <c r="AW38" s="3"/>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2:94" ht="18.75">
      <c r="B39" s="1206" t="s">
        <v>5196</v>
      </c>
      <c r="C39" s="1027"/>
      <c r="D39" s="1027"/>
      <c r="E39" s="1027"/>
      <c r="F39" s="1027"/>
      <c r="G39" s="1027"/>
      <c r="H39" s="1027"/>
      <c r="I39" s="1027"/>
      <c r="J39" s="1027"/>
      <c r="K39" s="1027"/>
      <c r="L39" s="1027"/>
      <c r="M39" s="1027"/>
      <c r="N39" s="1027"/>
      <c r="O39" s="1027"/>
      <c r="P39" s="1027"/>
      <c r="Q39" s="115"/>
      <c r="AJ39" s="115"/>
      <c r="AK39" s="3"/>
      <c r="AL39" s="3"/>
      <c r="AM39" s="3"/>
      <c r="AN39" s="3"/>
      <c r="AO39" s="3"/>
      <c r="AP39" s="3"/>
      <c r="AQ39" s="3"/>
      <c r="AR39" s="3"/>
      <c r="AS39" s="3"/>
      <c r="AT39" s="3"/>
      <c r="AU39" s="3"/>
      <c r="AV39" s="3"/>
      <c r="AW39" s="3"/>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2:94" ht="14.45" customHeight="1">
      <c r="B40" s="1027" t="s">
        <v>5197</v>
      </c>
      <c r="C40" s="1027"/>
      <c r="D40" s="1027"/>
      <c r="E40" s="1027"/>
      <c r="F40" s="1027"/>
      <c r="G40" s="1027"/>
      <c r="H40" s="1027"/>
      <c r="I40" s="1027"/>
      <c r="J40" s="1027"/>
      <c r="K40" s="1027"/>
      <c r="L40" s="1027"/>
      <c r="M40" s="1027"/>
      <c r="N40" s="1027"/>
      <c r="O40" s="1027"/>
      <c r="P40" s="1027"/>
      <c r="Q40" s="115"/>
      <c r="R40" s="1778" t="s">
        <v>5198</v>
      </c>
      <c r="S40" s="581" t="b">
        <f>IF(OR(Project_Type="Adaptive Reuse", Project_Type="Acquisition/Rehab",Project_Type="Acquisition/New Construction"),TRUE,FALSE)</f>
        <v>0</v>
      </c>
      <c r="AJ40" s="115"/>
      <c r="AK40" s="3"/>
      <c r="AL40" s="3"/>
      <c r="AM40" s="3"/>
      <c r="AN40" s="3"/>
      <c r="AO40" s="3"/>
      <c r="AP40" s="3"/>
      <c r="AQ40" s="3"/>
      <c r="AR40" s="3"/>
      <c r="AS40" s="3"/>
      <c r="AT40" s="3"/>
      <c r="AU40" s="3"/>
      <c r="AV40" s="3"/>
      <c r="AW40" s="3"/>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2:94">
      <c r="B41" s="1027" t="s">
        <v>5199</v>
      </c>
      <c r="C41" s="1027"/>
      <c r="D41" s="1027"/>
      <c r="E41" s="1027"/>
      <c r="F41" s="1027"/>
      <c r="G41" s="1034"/>
      <c r="H41" s="1034"/>
      <c r="I41" s="1027"/>
      <c r="J41" s="1027"/>
      <c r="K41" s="1027"/>
      <c r="L41" s="1027"/>
      <c r="M41" s="1027"/>
      <c r="N41" s="1027"/>
      <c r="O41" s="1027"/>
      <c r="P41" s="1027"/>
      <c r="Q41" s="115"/>
      <c r="AJ41" s="115"/>
      <c r="AK41" s="3"/>
      <c r="AL41" s="3"/>
      <c r="AM41" s="3"/>
      <c r="AN41" s="3"/>
      <c r="AO41" s="3"/>
      <c r="AP41" s="3"/>
      <c r="AQ41" s="3"/>
      <c r="AR41" s="3"/>
      <c r="AS41" s="3"/>
      <c r="AT41" s="3"/>
      <c r="AU41" s="3"/>
      <c r="AV41" s="3"/>
      <c r="AW41" s="3"/>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2:94" ht="14.45" customHeight="1">
      <c r="B42" s="1071"/>
      <c r="C42" s="2290" t="s">
        <v>5200</v>
      </c>
      <c r="D42" s="2290"/>
      <c r="E42" s="2290"/>
      <c r="F42" s="2290"/>
      <c r="G42" s="2290"/>
      <c r="H42" s="2290"/>
      <c r="I42" s="2290"/>
      <c r="J42" s="2290"/>
      <c r="K42" s="2290"/>
      <c r="L42" s="2290"/>
      <c r="M42" s="2290"/>
      <c r="N42" s="2290"/>
      <c r="O42" s="2290"/>
      <c r="P42" s="1067"/>
      <c r="Q42" s="115"/>
      <c r="AJ42" s="115"/>
      <c r="AK42" s="3"/>
      <c r="AL42" s="3"/>
      <c r="AM42" s="3"/>
      <c r="AN42" s="3"/>
      <c r="AO42" s="3"/>
      <c r="AP42" s="3"/>
      <c r="AQ42" s="3"/>
      <c r="AR42" s="3"/>
      <c r="AS42" s="3"/>
      <c r="AT42" s="3"/>
      <c r="AU42" s="3"/>
      <c r="AV42" s="3"/>
      <c r="AW42" s="3"/>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2:94" ht="14.45" customHeight="1">
      <c r="B43" s="1071"/>
      <c r="C43" s="2290"/>
      <c r="D43" s="2290"/>
      <c r="E43" s="2290"/>
      <c r="F43" s="2290"/>
      <c r="G43" s="2290"/>
      <c r="H43" s="2290"/>
      <c r="I43" s="2290"/>
      <c r="J43" s="2290"/>
      <c r="K43" s="2290"/>
      <c r="L43" s="2290"/>
      <c r="M43" s="2290"/>
      <c r="N43" s="2290"/>
      <c r="O43" s="2290"/>
      <c r="P43" s="1067"/>
      <c r="Q43" s="115"/>
      <c r="AJ43" s="115"/>
      <c r="AK43" s="3"/>
      <c r="AL43" s="3"/>
      <c r="AM43" s="3"/>
      <c r="AN43" s="3"/>
      <c r="AO43" s="3"/>
      <c r="AP43" s="3"/>
      <c r="AQ43" s="3"/>
      <c r="AR43" s="3"/>
      <c r="AS43" s="3"/>
      <c r="AT43" s="3"/>
      <c r="AU43" s="3"/>
      <c r="AV43" s="3"/>
      <c r="AW43" s="3"/>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2:94" ht="14.45" customHeight="1">
      <c r="B44" s="1071"/>
      <c r="C44" s="2290" t="s">
        <v>5201</v>
      </c>
      <c r="D44" s="2290"/>
      <c r="E44" s="2290"/>
      <c r="F44" s="2290"/>
      <c r="G44" s="2290"/>
      <c r="H44" s="2290"/>
      <c r="I44" s="2290"/>
      <c r="J44" s="2290"/>
      <c r="K44" s="2290"/>
      <c r="L44" s="2290"/>
      <c r="M44" s="2290"/>
      <c r="N44" s="2290"/>
      <c r="O44" s="2290"/>
      <c r="P44" s="1027"/>
      <c r="Q44" s="115"/>
      <c r="AJ44" s="115"/>
      <c r="AK44" s="3"/>
      <c r="AL44" s="3"/>
      <c r="AM44" s="3"/>
      <c r="AN44" s="3"/>
      <c r="AO44" s="3"/>
      <c r="AP44" s="3"/>
      <c r="AQ44" s="3"/>
      <c r="AR44" s="3"/>
      <c r="AS44" s="3"/>
      <c r="AT44" s="3"/>
      <c r="AU44" s="3"/>
      <c r="AV44" s="3"/>
      <c r="AW44" s="3"/>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2:94" ht="14.45" customHeight="1">
      <c r="B45" s="1071"/>
      <c r="C45" s="2290"/>
      <c r="D45" s="2290"/>
      <c r="E45" s="2290"/>
      <c r="F45" s="2290"/>
      <c r="G45" s="2290"/>
      <c r="H45" s="2290"/>
      <c r="I45" s="2290"/>
      <c r="J45" s="2290"/>
      <c r="K45" s="2290"/>
      <c r="L45" s="2290"/>
      <c r="M45" s="2290"/>
      <c r="N45" s="2290"/>
      <c r="O45" s="2290"/>
      <c r="P45" s="1027"/>
      <c r="Q45" s="115"/>
      <c r="AJ45" s="115"/>
      <c r="AK45" s="3"/>
      <c r="AL45" s="3"/>
      <c r="AM45" s="3"/>
      <c r="AN45" s="3"/>
      <c r="AO45" s="3"/>
      <c r="AP45" s="3"/>
      <c r="AQ45" s="3"/>
      <c r="AR45" s="3"/>
      <c r="AS45" s="3"/>
      <c r="AT45" s="3"/>
      <c r="AU45" s="3"/>
      <c r="AV45" s="3"/>
      <c r="AW45" s="3"/>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row>
    <row r="46" spans="2:94">
      <c r="B46" s="1071"/>
      <c r="C46" s="1027" t="s">
        <v>5202</v>
      </c>
      <c r="D46" s="1027"/>
      <c r="E46" s="1027"/>
      <c r="F46" s="1027"/>
      <c r="G46" s="1034"/>
      <c r="H46" s="1034"/>
      <c r="I46" s="1027"/>
      <c r="J46" s="1027"/>
      <c r="K46" s="1027"/>
      <c r="L46" s="1027"/>
      <c r="M46" s="1027"/>
      <c r="N46" s="1027"/>
      <c r="O46" s="1027"/>
      <c r="P46" s="1027"/>
      <c r="Q46" s="115"/>
      <c r="R46" s="1782" t="s">
        <v>5160</v>
      </c>
      <c r="S46" s="1783" t="s">
        <v>5161</v>
      </c>
      <c r="AJ46" s="115"/>
      <c r="AK46" s="3"/>
      <c r="AL46" s="3"/>
      <c r="AM46" s="3"/>
      <c r="AN46" s="3"/>
      <c r="AO46" s="3"/>
      <c r="AP46" s="3"/>
      <c r="AQ46" s="3"/>
      <c r="AR46" s="3"/>
      <c r="AS46" s="3"/>
      <c r="AT46" s="3"/>
      <c r="AU46" s="3"/>
      <c r="AV46" s="3"/>
      <c r="AW46" s="3"/>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row>
    <row r="47" spans="2:94" ht="14.45" customHeight="1">
      <c r="B47" s="1027"/>
      <c r="C47" s="1027"/>
      <c r="D47" s="1027"/>
      <c r="E47" s="1027"/>
      <c r="F47" s="1027"/>
      <c r="G47" s="1027"/>
      <c r="H47" s="1027"/>
      <c r="I47" s="1027"/>
      <c r="J47" s="1027"/>
      <c r="K47" s="1027"/>
      <c r="L47" s="1027"/>
      <c r="M47" s="1027"/>
      <c r="N47" s="1027"/>
      <c r="O47" s="1027"/>
      <c r="P47" s="1027"/>
      <c r="Q47" s="115"/>
      <c r="R47" s="978" t="s">
        <v>5163</v>
      </c>
      <c r="S47" s="9">
        <v>10</v>
      </c>
      <c r="AJ47" s="115"/>
      <c r="AK47" s="3"/>
      <c r="AL47" s="3"/>
      <c r="AM47" s="3"/>
      <c r="AN47" s="3"/>
      <c r="AO47" s="3"/>
      <c r="AP47" s="3"/>
      <c r="AQ47" s="3"/>
      <c r="AR47" s="3"/>
      <c r="AS47" s="3"/>
      <c r="AT47" s="3"/>
      <c r="AU47" s="3"/>
      <c r="AV47" s="3"/>
      <c r="AW47" s="3"/>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row>
    <row r="48" spans="2:94">
      <c r="B48" s="1027"/>
      <c r="C48" s="1863" t="s">
        <v>5165</v>
      </c>
      <c r="D48" s="2269"/>
      <c r="E48" s="2465" t="s">
        <v>5166</v>
      </c>
      <c r="F48" s="2465"/>
      <c r="G48" s="2465"/>
      <c r="H48" s="1863" t="s">
        <v>5167</v>
      </c>
      <c r="I48" s="1864"/>
      <c r="J48" s="1864"/>
      <c r="K48" s="2269"/>
      <c r="L48" s="1027"/>
      <c r="M48" s="1027"/>
      <c r="N48" s="1027"/>
      <c r="O48" s="1027"/>
      <c r="P48" s="1027"/>
      <c r="Q48" s="115"/>
      <c r="R48" s="978" t="s">
        <v>5164</v>
      </c>
      <c r="S48" s="9">
        <v>20</v>
      </c>
      <c r="AJ48" s="115"/>
      <c r="AK48" s="3"/>
      <c r="AL48" s="3"/>
      <c r="AM48" s="3"/>
      <c r="AN48" s="3"/>
      <c r="AO48" s="3"/>
      <c r="AP48" s="3"/>
      <c r="AQ48" s="3"/>
      <c r="AR48" s="3"/>
      <c r="AS48" s="3"/>
      <c r="AT48" s="3"/>
      <c r="AU48" s="3"/>
      <c r="AV48" s="3"/>
      <c r="AW48" s="3"/>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2:94" ht="14.45" customHeight="1">
      <c r="B49" s="1027"/>
      <c r="C49" s="2543" t="s">
        <v>5169</v>
      </c>
      <c r="D49" s="2543"/>
      <c r="E49" s="2551" t="s">
        <v>5170</v>
      </c>
      <c r="F49" s="2552"/>
      <c r="G49" s="2555"/>
      <c r="H49" s="2551" t="s">
        <v>5171</v>
      </c>
      <c r="I49" s="2552"/>
      <c r="J49" s="2554"/>
      <c r="K49" s="2553"/>
      <c r="L49" s="1027"/>
      <c r="M49" s="1027"/>
      <c r="N49" s="1027"/>
      <c r="O49" s="1027"/>
      <c r="P49" s="1027"/>
      <c r="Q49" s="115"/>
      <c r="R49" s="978" t="s">
        <v>5176</v>
      </c>
      <c r="S49" s="9">
        <v>10</v>
      </c>
      <c r="AJ49" s="115"/>
      <c r="AK49" s="3"/>
      <c r="AL49" s="3"/>
      <c r="AM49" s="3"/>
      <c r="AN49" s="3"/>
      <c r="AO49" s="3"/>
      <c r="AP49" s="3"/>
      <c r="AQ49" s="3"/>
      <c r="AR49" s="3"/>
      <c r="AS49" s="3"/>
      <c r="AT49" s="3"/>
      <c r="AU49" s="3"/>
      <c r="AV49" s="3"/>
      <c r="AW49" s="3"/>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2:94" ht="14.45" customHeight="1">
      <c r="B50" s="1027"/>
      <c r="C50" s="2543" t="s">
        <v>5177</v>
      </c>
      <c r="D50" s="2543"/>
      <c r="E50" s="2551" t="s">
        <v>5178</v>
      </c>
      <c r="F50" s="2552"/>
      <c r="G50" s="2555"/>
      <c r="H50" s="2551" t="s">
        <v>5179</v>
      </c>
      <c r="I50" s="2552"/>
      <c r="J50" s="2554"/>
      <c r="K50" s="2553"/>
      <c r="L50" s="1027"/>
      <c r="M50" s="1027"/>
      <c r="N50" s="1027"/>
      <c r="O50" s="1027"/>
      <c r="P50" s="1027"/>
      <c r="Q50" s="115"/>
      <c r="R50" s="978" t="s">
        <v>5180</v>
      </c>
      <c r="S50" s="9">
        <v>20</v>
      </c>
      <c r="AJ50" s="115"/>
      <c r="AK50" s="3"/>
      <c r="AL50" s="3"/>
      <c r="AM50" s="3"/>
      <c r="AN50" s="3"/>
      <c r="AO50" s="3"/>
      <c r="AP50" s="3"/>
      <c r="AQ50" s="3"/>
      <c r="AR50" s="3"/>
      <c r="AS50" s="3"/>
      <c r="AT50" s="3"/>
      <c r="AU50" s="3"/>
      <c r="AV50" s="3"/>
      <c r="AW50" s="3"/>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row>
    <row r="51" spans="2:94" ht="14.45" customHeight="1">
      <c r="B51" s="1027"/>
      <c r="C51" s="2543" t="s">
        <v>5181</v>
      </c>
      <c r="D51" s="2543"/>
      <c r="E51" s="2551" t="s">
        <v>5203</v>
      </c>
      <c r="F51" s="2552"/>
      <c r="G51" s="2553"/>
      <c r="H51" s="2551" t="s">
        <v>5183</v>
      </c>
      <c r="I51" s="2552"/>
      <c r="J51" s="2554"/>
      <c r="K51" s="2553"/>
      <c r="L51" s="1027"/>
      <c r="M51" s="1027"/>
      <c r="N51" s="1027"/>
      <c r="O51" s="1027"/>
      <c r="P51" s="1027"/>
      <c r="Q51" s="115"/>
      <c r="R51" s="978" t="s">
        <v>5204</v>
      </c>
      <c r="S51" s="9">
        <v>10</v>
      </c>
      <c r="AJ51" s="115"/>
      <c r="AK51" s="3"/>
      <c r="AL51" s="3"/>
      <c r="AM51" s="3"/>
      <c r="AN51" s="3"/>
      <c r="AO51" s="3"/>
      <c r="AP51" s="3"/>
      <c r="AQ51" s="3"/>
      <c r="AR51" s="3"/>
      <c r="AS51" s="3"/>
      <c r="AT51" s="3"/>
      <c r="AU51" s="3"/>
      <c r="AV51" s="3"/>
      <c r="AW51" s="3"/>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row>
    <row r="52" spans="2:94">
      <c r="B52" s="1027"/>
      <c r="C52" s="1027"/>
      <c r="D52" s="1027"/>
      <c r="E52" s="1027"/>
      <c r="F52" s="1027"/>
      <c r="G52" s="1027"/>
      <c r="H52" s="1027"/>
      <c r="I52" s="1027"/>
      <c r="J52" s="1027"/>
      <c r="K52" s="1027"/>
      <c r="L52" s="1027"/>
      <c r="M52" s="1027"/>
      <c r="N52" s="1027"/>
      <c r="O52" s="1027"/>
      <c r="P52" s="1027"/>
      <c r="Q52" s="115"/>
      <c r="R52" s="978" t="s">
        <v>5185</v>
      </c>
      <c r="S52" s="9">
        <v>20</v>
      </c>
      <c r="AJ52" s="115"/>
      <c r="AK52" s="3"/>
      <c r="AL52" s="3"/>
      <c r="AM52" s="3"/>
      <c r="AN52" s="3"/>
      <c r="AO52" s="3"/>
      <c r="AP52" s="3"/>
      <c r="AQ52" s="3"/>
      <c r="AR52" s="3"/>
      <c r="AS52" s="3"/>
      <c r="AT52" s="3"/>
      <c r="AU52" s="3"/>
      <c r="AV52" s="3"/>
      <c r="AW52" s="3"/>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c r="B53" s="1027"/>
      <c r="C53" s="1030" t="s">
        <v>5205</v>
      </c>
      <c r="D53" s="1027"/>
      <c r="E53" s="1027"/>
      <c r="F53" s="1027"/>
      <c r="G53" s="1027"/>
      <c r="H53" s="1027"/>
      <c r="I53" s="1027"/>
      <c r="J53" s="1027"/>
      <c r="K53" s="1027"/>
      <c r="L53" s="1027"/>
      <c r="M53" s="1027"/>
      <c r="N53" s="1027"/>
      <c r="O53" s="1027"/>
      <c r="P53" s="1027"/>
      <c r="Q53" s="115"/>
      <c r="AJ53" s="115"/>
      <c r="AK53" s="3"/>
      <c r="AL53" s="3"/>
      <c r="AM53" s="3"/>
      <c r="AN53" s="3"/>
      <c r="AO53" s="3"/>
      <c r="AP53" s="3"/>
      <c r="AQ53" s="3"/>
      <c r="AR53" s="3"/>
      <c r="AS53" s="3"/>
      <c r="AT53" s="3"/>
      <c r="AU53" s="3"/>
      <c r="AV53" s="3"/>
      <c r="AW53" s="3"/>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c r="B54" s="1027"/>
      <c r="C54" s="2544"/>
      <c r="D54" s="2545"/>
      <c r="E54" s="2545"/>
      <c r="F54" s="2545"/>
      <c r="G54" s="2545"/>
      <c r="H54" s="2545"/>
      <c r="I54" s="2545"/>
      <c r="J54" s="2545"/>
      <c r="K54" s="2546"/>
      <c r="L54" s="1027"/>
      <c r="M54" s="1027"/>
      <c r="N54" s="1027"/>
      <c r="O54" s="1027"/>
      <c r="P54" s="1027"/>
      <c r="Q54" s="115"/>
      <c r="R54" s="1780" t="s">
        <v>4850</v>
      </c>
      <c r="S54" s="1332" cm="1">
        <f t="array" ref="S54">IF(C54="",0,_xlfn.SWITCH(C54,R47,S47,R48,S48,R49,S49,R50,S50,R51,S51,R52,S52))</f>
        <v>0</v>
      </c>
      <c r="AJ54" s="115"/>
      <c r="AK54" s="3"/>
      <c r="AL54" s="3"/>
      <c r="AM54" s="3"/>
      <c r="AN54" s="3"/>
      <c r="AO54" s="3"/>
      <c r="AP54" s="3"/>
      <c r="AQ54" s="3"/>
      <c r="AR54" s="3"/>
      <c r="AS54" s="3"/>
      <c r="AT54" s="3"/>
      <c r="AU54" s="3"/>
      <c r="AV54" s="3"/>
      <c r="AW54" s="3"/>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c r="B55" s="1027"/>
      <c r="C55" s="1027"/>
      <c r="D55" s="1027"/>
      <c r="E55" s="1027"/>
      <c r="F55" s="1027"/>
      <c r="G55" s="1027"/>
      <c r="H55" s="1027"/>
      <c r="I55" s="1027"/>
      <c r="J55" s="1027"/>
      <c r="K55" s="1027"/>
      <c r="L55" s="1027"/>
      <c r="M55" s="1027"/>
      <c r="N55" s="1027"/>
      <c r="O55" s="1027"/>
      <c r="P55" s="1027"/>
      <c r="Q55" s="115"/>
      <c r="AJ55" s="115"/>
      <c r="AK55" s="3"/>
      <c r="AL55" s="3"/>
      <c r="AM55" s="3"/>
      <c r="AN55" s="3"/>
      <c r="AO55" s="3"/>
      <c r="AP55" s="3"/>
      <c r="AQ55" s="3"/>
      <c r="AR55" s="3"/>
      <c r="AS55" s="3"/>
      <c r="AT55" s="3"/>
      <c r="AU55" s="3"/>
      <c r="AV55" s="3"/>
      <c r="AW55" s="3"/>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c r="B56" s="1027"/>
      <c r="C56" s="1027"/>
      <c r="D56" s="1027"/>
      <c r="E56" s="1027"/>
      <c r="F56" s="1027"/>
      <c r="G56" s="1027"/>
      <c r="H56" s="1027"/>
      <c r="I56" s="1027"/>
      <c r="J56" s="1027"/>
      <c r="K56" s="1027"/>
      <c r="L56" s="1027"/>
      <c r="M56" s="1027"/>
      <c r="N56" s="1027"/>
      <c r="O56" s="1027"/>
      <c r="P56" s="1027"/>
      <c r="Q56" s="115"/>
      <c r="AJ56" s="115"/>
      <c r="AK56" s="3"/>
      <c r="AL56" s="3"/>
      <c r="AM56" s="3"/>
      <c r="AN56" s="3"/>
      <c r="AO56" s="3"/>
      <c r="AP56" s="3"/>
      <c r="AQ56" s="3"/>
      <c r="AR56" s="3"/>
      <c r="AS56" s="3"/>
      <c r="AT56" s="3"/>
      <c r="AU56" s="3"/>
      <c r="AV56" s="3"/>
      <c r="AW56" s="3"/>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ht="15" customHeight="1">
      <c r="B57" s="1206" t="s">
        <v>5206</v>
      </c>
      <c r="C57" s="1027"/>
      <c r="D57" s="1027"/>
      <c r="E57" s="1027"/>
      <c r="F57" s="1027"/>
      <c r="G57" s="1027"/>
      <c r="H57" s="1027"/>
      <c r="I57" s="1027"/>
      <c r="J57" s="1027"/>
      <c r="K57" s="1027"/>
      <c r="L57" s="1027"/>
      <c r="M57" s="1027"/>
      <c r="N57" s="1027"/>
      <c r="O57" s="1027"/>
      <c r="P57" s="1027"/>
      <c r="Q57" s="115"/>
      <c r="AJ57" s="115"/>
      <c r="AK57" s="3"/>
      <c r="AL57" s="3"/>
      <c r="AM57" s="3"/>
      <c r="AN57" s="3"/>
      <c r="AO57" s="3"/>
      <c r="AP57" s="3"/>
      <c r="AQ57" s="3"/>
      <c r="AR57" s="3"/>
      <c r="AS57" s="3"/>
      <c r="AT57" s="3"/>
      <c r="AU57" s="3"/>
      <c r="AV57" s="3"/>
      <c r="AW57" s="3"/>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row>
    <row r="58" spans="2:94">
      <c r="B58" s="1027"/>
      <c r="C58" s="1027"/>
      <c r="D58" s="1027"/>
      <c r="E58" s="1027"/>
      <c r="F58" s="1027"/>
      <c r="G58" s="1027"/>
      <c r="H58" s="1027"/>
      <c r="I58" s="1027"/>
      <c r="J58" s="1027"/>
      <c r="K58" s="1027"/>
      <c r="L58" s="1027"/>
      <c r="M58" s="1027"/>
      <c r="N58" s="1027"/>
      <c r="O58" s="1027"/>
      <c r="P58" s="1027"/>
      <c r="Q58" s="115"/>
      <c r="AJ58" s="115"/>
      <c r="AK58" s="3"/>
      <c r="AL58" s="3"/>
      <c r="AM58" s="3"/>
      <c r="AN58" s="3"/>
      <c r="AO58" s="3"/>
      <c r="AP58" s="3"/>
      <c r="AQ58" s="3"/>
      <c r="AR58" s="3"/>
      <c r="AS58" s="3"/>
      <c r="AT58" s="3"/>
      <c r="AU58" s="3"/>
      <c r="AV58" s="3"/>
      <c r="AW58" s="3"/>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row>
    <row r="59" spans="2:94" ht="15.6" customHeight="1">
      <c r="B59" s="1027"/>
      <c r="C59" s="2547" t="s">
        <v>5187</v>
      </c>
      <c r="D59" s="2567" t="s">
        <v>5207</v>
      </c>
      <c r="E59" s="2567"/>
      <c r="F59" s="2567"/>
      <c r="G59" s="2567"/>
      <c r="H59" s="2567"/>
      <c r="I59" s="2567"/>
      <c r="J59" s="2567"/>
      <c r="K59" s="2567"/>
      <c r="L59" s="2567"/>
      <c r="M59" s="2567"/>
      <c r="N59" s="2567"/>
      <c r="O59" s="2567"/>
      <c r="P59" s="1027"/>
      <c r="Q59" s="115"/>
      <c r="R59" s="2566"/>
      <c r="S59" s="2566"/>
      <c r="AJ59" s="115"/>
      <c r="AK59" s="3"/>
      <c r="AL59" s="3"/>
      <c r="AM59" s="3"/>
      <c r="AN59" s="3"/>
      <c r="AO59" s="3"/>
      <c r="AP59" s="3"/>
      <c r="AQ59" s="3"/>
      <c r="AR59" s="3"/>
      <c r="AS59" s="3"/>
      <c r="AT59" s="3"/>
      <c r="AU59" s="3"/>
      <c r="AV59" s="3"/>
      <c r="AW59" s="3"/>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row>
    <row r="60" spans="2:94">
      <c r="B60" s="1027"/>
      <c r="C60" s="2547"/>
      <c r="D60" s="2567"/>
      <c r="E60" s="2567"/>
      <c r="F60" s="2567"/>
      <c r="G60" s="2567"/>
      <c r="H60" s="2567"/>
      <c r="I60" s="2567"/>
      <c r="J60" s="2567"/>
      <c r="K60" s="2567"/>
      <c r="L60" s="2567"/>
      <c r="M60" s="2567"/>
      <c r="N60" s="2567"/>
      <c r="O60" s="2567"/>
      <c r="P60" s="1027"/>
      <c r="Q60" s="115"/>
      <c r="AJ60" s="115"/>
      <c r="AK60" s="3"/>
      <c r="AL60" s="3"/>
      <c r="AM60" s="3"/>
      <c r="AN60" s="3"/>
      <c r="AO60" s="3"/>
      <c r="AP60" s="3"/>
      <c r="AQ60" s="3"/>
      <c r="AR60" s="3"/>
      <c r="AS60" s="3"/>
      <c r="AT60" s="3"/>
      <c r="AU60" s="3"/>
      <c r="AV60" s="3"/>
      <c r="AW60" s="3"/>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2:94" ht="14.45" customHeight="1">
      <c r="B61" s="1027"/>
      <c r="C61" s="2540"/>
      <c r="D61" s="2539" t="s">
        <v>5208</v>
      </c>
      <c r="E61" s="2539"/>
      <c r="F61" s="2539"/>
      <c r="G61" s="2539"/>
      <c r="H61" s="2539"/>
      <c r="I61" s="2539"/>
      <c r="J61" s="2539"/>
      <c r="K61" s="2539"/>
      <c r="L61" s="2539"/>
      <c r="M61" s="2539"/>
      <c r="N61" s="2539"/>
      <c r="O61" s="2539"/>
      <c r="P61" s="1027"/>
      <c r="Q61" s="115"/>
      <c r="AJ61" s="115"/>
      <c r="AK61" s="3"/>
      <c r="AL61" s="3"/>
      <c r="AM61" s="3"/>
      <c r="AN61" s="3"/>
      <c r="AO61" s="3"/>
      <c r="AP61" s="3"/>
      <c r="AQ61" s="3"/>
      <c r="AR61" s="3"/>
      <c r="AS61" s="3"/>
      <c r="AT61" s="3"/>
      <c r="AU61" s="3"/>
      <c r="AV61" s="3"/>
      <c r="AW61" s="3"/>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2:94">
      <c r="B62" s="1027"/>
      <c r="C62" s="2540"/>
      <c r="D62" s="2539"/>
      <c r="E62" s="2539"/>
      <c r="F62" s="2539"/>
      <c r="G62" s="2539"/>
      <c r="H62" s="2539"/>
      <c r="I62" s="2539"/>
      <c r="J62" s="2539"/>
      <c r="K62" s="2539"/>
      <c r="L62" s="2539"/>
      <c r="M62" s="2539"/>
      <c r="N62" s="2539"/>
      <c r="O62" s="2539"/>
      <c r="P62" s="1027"/>
      <c r="Q62" s="417"/>
      <c r="R62" s="1786" t="s">
        <v>5209</v>
      </c>
      <c r="S62" s="9">
        <f>IF(C61="Yes", 5, 0)</f>
        <v>0</v>
      </c>
      <c r="AJ62" s="115"/>
      <c r="AK62" s="3"/>
      <c r="AL62" s="3"/>
      <c r="AM62" s="3"/>
      <c r="AN62" s="3"/>
      <c r="AO62" s="3"/>
      <c r="AP62" s="3"/>
      <c r="AQ62" s="3"/>
      <c r="AR62" s="3"/>
      <c r="AS62" s="3"/>
      <c r="AT62" s="3"/>
      <c r="AU62" s="3"/>
      <c r="AV62" s="3"/>
      <c r="AW62" s="3"/>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row>
    <row r="63" spans="2:94" ht="62.45" customHeight="1">
      <c r="B63" s="1027"/>
      <c r="C63" s="2540"/>
      <c r="D63" s="2539"/>
      <c r="E63" s="2539"/>
      <c r="F63" s="2539"/>
      <c r="G63" s="2539"/>
      <c r="H63" s="2539"/>
      <c r="I63" s="2539"/>
      <c r="J63" s="2539"/>
      <c r="K63" s="2539"/>
      <c r="L63" s="2539"/>
      <c r="M63" s="2539"/>
      <c r="N63" s="2539"/>
      <c r="O63" s="2539"/>
      <c r="P63" s="1027"/>
      <c r="Q63" s="417"/>
      <c r="AJ63" s="115"/>
      <c r="AK63" s="3"/>
      <c r="AL63" s="3"/>
      <c r="AM63" s="3"/>
      <c r="AN63" s="3"/>
      <c r="AO63" s="3"/>
      <c r="AP63" s="3"/>
      <c r="AQ63" s="3"/>
      <c r="AR63" s="3"/>
      <c r="AS63" s="3"/>
      <c r="AT63" s="3"/>
      <c r="AU63" s="3"/>
      <c r="AV63" s="3"/>
      <c r="AW63" s="3"/>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2:94">
      <c r="B64" s="1027"/>
      <c r="C64" s="1027"/>
      <c r="D64" s="1027"/>
      <c r="E64" s="1027"/>
      <c r="F64" s="1027"/>
      <c r="G64" s="1027"/>
      <c r="H64" s="1027"/>
      <c r="I64" s="1027"/>
      <c r="J64" s="1027"/>
      <c r="K64" s="1027"/>
      <c r="L64" s="1027"/>
      <c r="M64" s="1027"/>
      <c r="N64" s="1027"/>
      <c r="O64" s="1027"/>
      <c r="P64" s="1027"/>
      <c r="Q64" s="115"/>
      <c r="R64" s="1778" t="s">
        <v>5124</v>
      </c>
      <c r="S64" s="79">
        <f>MIN(IF(S12,S38+S62,IF(S40,S54+S62)),C66)</f>
        <v>0</v>
      </c>
      <c r="AJ64" s="115"/>
      <c r="AK64" s="3"/>
      <c r="AL64" s="3"/>
      <c r="AM64" s="3"/>
      <c r="AN64" s="3"/>
      <c r="AO64" s="3"/>
      <c r="AP64" s="3"/>
      <c r="AQ64" s="3"/>
      <c r="AR64" s="3"/>
      <c r="AS64" s="3"/>
      <c r="AT64" s="3"/>
      <c r="AU64" s="3"/>
      <c r="AV64" s="3"/>
      <c r="AW64" s="3"/>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2:94">
      <c r="B65" s="1027"/>
      <c r="C65" s="1010" t="s">
        <v>4997</v>
      </c>
      <c r="D65" s="1010" t="s">
        <v>4971</v>
      </c>
      <c r="E65" s="1010" t="s">
        <v>1051</v>
      </c>
      <c r="F65" s="1027"/>
      <c r="G65" s="1027"/>
      <c r="H65" s="1027"/>
      <c r="I65" s="1027"/>
      <c r="J65" s="1027"/>
      <c r="K65" s="1027"/>
      <c r="L65" s="1027"/>
      <c r="M65" s="1027"/>
      <c r="N65" s="1027"/>
      <c r="O65" s="1027"/>
      <c r="P65" s="1027"/>
      <c r="Q65" s="115"/>
      <c r="AJ65" s="115"/>
      <c r="AK65" s="3"/>
      <c r="AL65" s="3"/>
      <c r="AM65" s="3"/>
      <c r="AN65" s="3"/>
      <c r="AO65" s="3"/>
      <c r="AP65" s="3"/>
      <c r="AQ65" s="3"/>
      <c r="AR65" s="3"/>
      <c r="AS65" s="3"/>
      <c r="AT65" s="3"/>
      <c r="AU65" s="3"/>
      <c r="AV65" s="3"/>
      <c r="AW65" s="3"/>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2:94" ht="15.75">
      <c r="B66" s="1027"/>
      <c r="C66" s="1757">
        <v>25</v>
      </c>
      <c r="D66" s="860">
        <f>S64</f>
        <v>0</v>
      </c>
      <c r="E66" s="916"/>
      <c r="F66" s="1027"/>
      <c r="G66" s="1027"/>
      <c r="H66" s="1027"/>
      <c r="I66" s="1027"/>
      <c r="J66" s="1027"/>
      <c r="K66" s="1027"/>
      <c r="L66" s="1027"/>
      <c r="M66" s="1027"/>
      <c r="N66" s="1027"/>
      <c r="O66" s="1027"/>
      <c r="P66" s="1027"/>
      <c r="Q66" s="115"/>
      <c r="AJ66" s="115"/>
      <c r="AK66" s="3"/>
      <c r="AL66" s="3"/>
      <c r="AM66" s="3"/>
      <c r="AN66" s="3"/>
      <c r="AO66" s="3"/>
      <c r="AP66" s="3"/>
      <c r="AQ66" s="3"/>
      <c r="AR66" s="3"/>
      <c r="AS66" s="3"/>
      <c r="AT66" s="3"/>
      <c r="AU66" s="3"/>
      <c r="AV66" s="3"/>
      <c r="AW66" s="3"/>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2:94">
      <c r="B67" s="1027"/>
      <c r="C67" s="1027"/>
      <c r="D67" s="1027"/>
      <c r="E67" s="1027"/>
      <c r="F67" s="1027"/>
      <c r="G67" s="1027"/>
      <c r="H67" s="1027"/>
      <c r="I67" s="1027"/>
      <c r="J67" s="1027"/>
      <c r="K67" s="1027"/>
      <c r="L67" s="1027"/>
      <c r="M67" s="1027"/>
      <c r="N67" s="1027"/>
      <c r="O67" s="1027"/>
      <c r="P67" s="1027"/>
      <c r="Q67" s="115"/>
      <c r="AJ67" s="115"/>
      <c r="AK67" s="3"/>
      <c r="AL67" s="3"/>
      <c r="AM67" s="3"/>
      <c r="AN67" s="3"/>
      <c r="AO67" s="3"/>
      <c r="AP67" s="3"/>
      <c r="AQ67" s="3"/>
      <c r="AR67" s="3"/>
      <c r="AS67" s="3"/>
      <c r="AT67" s="3"/>
      <c r="AU67" s="3"/>
      <c r="AV67" s="3"/>
      <c r="AW67" s="3"/>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2:94" ht="18.75">
      <c r="B68" s="8" t="s">
        <v>1055</v>
      </c>
      <c r="C68" s="3"/>
      <c r="D68" s="3"/>
      <c r="E68" s="3"/>
      <c r="F68" s="3"/>
      <c r="G68" s="3"/>
      <c r="H68" s="3"/>
      <c r="I68" s="3"/>
      <c r="J68" s="8" t="s">
        <v>3638</v>
      </c>
      <c r="K68" s="3"/>
      <c r="L68" s="3"/>
      <c r="M68" s="3"/>
      <c r="N68" s="3"/>
      <c r="O68" s="3"/>
      <c r="P68" s="3"/>
      <c r="Q68" s="115"/>
      <c r="AJ68" s="115"/>
      <c r="AK68" s="3"/>
      <c r="AL68" s="3"/>
      <c r="AM68" s="3"/>
      <c r="AN68" s="3"/>
      <c r="AO68" s="3"/>
      <c r="AP68" s="3"/>
      <c r="AQ68" s="3"/>
      <c r="AR68" s="3"/>
      <c r="AS68" s="3"/>
      <c r="AT68" s="3"/>
      <c r="AU68" s="3"/>
      <c r="AV68" s="3"/>
      <c r="AW68" s="3"/>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2:94">
      <c r="B69" s="1030" t="s">
        <v>4802</v>
      </c>
      <c r="C69" s="1027"/>
      <c r="D69" s="1027"/>
      <c r="E69" s="1027"/>
      <c r="F69" s="1027"/>
      <c r="G69" s="1027"/>
      <c r="H69" s="1027"/>
      <c r="I69" s="1027"/>
      <c r="J69" s="1032" t="s">
        <v>4697</v>
      </c>
      <c r="K69" s="1027"/>
      <c r="L69" s="1027"/>
      <c r="M69" s="1027"/>
      <c r="N69" s="1027"/>
      <c r="O69" s="1027"/>
      <c r="P69" s="1027"/>
      <c r="Q69" s="115"/>
      <c r="AJ69" s="115"/>
      <c r="AK69" s="3"/>
      <c r="AL69" s="3"/>
      <c r="AM69" s="3"/>
      <c r="AN69" s="3"/>
      <c r="AO69" s="3"/>
      <c r="AP69" s="3"/>
      <c r="AQ69" s="3"/>
      <c r="AR69" s="3"/>
      <c r="AS69" s="3"/>
      <c r="AT69" s="3"/>
      <c r="AU69" s="3"/>
      <c r="AV69" s="3"/>
      <c r="AW69" s="3"/>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2:94">
      <c r="B70" s="1027"/>
      <c r="C70" s="2541"/>
      <c r="D70" s="2541"/>
      <c r="E70" s="2541"/>
      <c r="F70" s="2541"/>
      <c r="G70" s="2541"/>
      <c r="H70" s="2541"/>
      <c r="I70" s="1027"/>
      <c r="J70" s="2022"/>
      <c r="K70" s="2022"/>
      <c r="L70" s="2022"/>
      <c r="M70" s="2022"/>
      <c r="N70" s="2022"/>
      <c r="O70" s="2022"/>
      <c r="P70" s="1027"/>
      <c r="Q70" s="115"/>
      <c r="AJ70" s="115"/>
      <c r="AK70" s="3"/>
      <c r="AL70" s="3"/>
      <c r="AM70" s="3"/>
      <c r="AN70" s="3"/>
      <c r="AO70" s="3"/>
      <c r="AP70" s="3"/>
      <c r="AQ70" s="3"/>
      <c r="AR70" s="3"/>
      <c r="AS70" s="3"/>
      <c r="AT70" s="3"/>
      <c r="AU70" s="3"/>
      <c r="AV70" s="3"/>
      <c r="AW70" s="3"/>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2:94">
      <c r="B71" s="1027"/>
      <c r="C71" s="2541"/>
      <c r="D71" s="2541"/>
      <c r="E71" s="2541"/>
      <c r="F71" s="2541"/>
      <c r="G71" s="2541"/>
      <c r="H71" s="2541"/>
      <c r="I71" s="1027"/>
      <c r="J71" s="2022"/>
      <c r="K71" s="2022"/>
      <c r="L71" s="2022"/>
      <c r="M71" s="2022"/>
      <c r="N71" s="2022"/>
      <c r="O71" s="2022"/>
      <c r="P71" s="1027"/>
      <c r="Q71" s="115"/>
      <c r="Z71" s="764"/>
      <c r="AJ71" s="115"/>
      <c r="AK71" s="115"/>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2:94">
      <c r="B72" s="1027"/>
      <c r="C72" s="2541"/>
      <c r="D72" s="2541"/>
      <c r="E72" s="2541"/>
      <c r="F72" s="2541"/>
      <c r="G72" s="2541"/>
      <c r="H72" s="2541"/>
      <c r="I72" s="1027"/>
      <c r="J72" s="2022"/>
      <c r="K72" s="2022"/>
      <c r="L72" s="2022"/>
      <c r="M72" s="2022"/>
      <c r="N72" s="2022"/>
      <c r="O72" s="2022"/>
      <c r="P72" s="1027"/>
      <c r="Q72" s="115"/>
      <c r="Z72" s="764"/>
      <c r="AJ72" s="115"/>
      <c r="AK72" s="115"/>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2:94" ht="14.45" customHeight="1">
      <c r="B73" s="1027"/>
      <c r="C73" s="2541"/>
      <c r="D73" s="2541"/>
      <c r="E73" s="2541"/>
      <c r="F73" s="2541"/>
      <c r="G73" s="2541"/>
      <c r="H73" s="2541"/>
      <c r="I73" s="1027"/>
      <c r="J73" s="2022"/>
      <c r="K73" s="2022"/>
      <c r="L73" s="2022"/>
      <c r="M73" s="2022"/>
      <c r="N73" s="2022"/>
      <c r="O73" s="2022"/>
      <c r="P73" s="1027"/>
      <c r="Q73" s="115"/>
      <c r="Z73" s="764"/>
      <c r="AJ73" s="115"/>
      <c r="AK73" s="115"/>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2:94">
      <c r="B74" s="1027"/>
      <c r="C74" s="2541"/>
      <c r="D74" s="2541"/>
      <c r="E74" s="2541"/>
      <c r="F74" s="2541"/>
      <c r="G74" s="2541"/>
      <c r="H74" s="2541"/>
      <c r="I74" s="1027"/>
      <c r="J74" s="2022"/>
      <c r="K74" s="2022"/>
      <c r="L74" s="2022"/>
      <c r="M74" s="2022"/>
      <c r="N74" s="2022"/>
      <c r="O74" s="2022"/>
      <c r="P74" s="1027"/>
      <c r="Q74" s="115"/>
      <c r="Z74" s="764"/>
      <c r="AJ74" s="115"/>
      <c r="AK74" s="115"/>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2:94">
      <c r="B75" s="1027"/>
      <c r="C75" s="2541"/>
      <c r="D75" s="2541"/>
      <c r="E75" s="2541"/>
      <c r="F75" s="2541"/>
      <c r="G75" s="2541"/>
      <c r="H75" s="2541"/>
      <c r="I75" s="1027"/>
      <c r="J75" s="2022"/>
      <c r="K75" s="2022"/>
      <c r="L75" s="2022"/>
      <c r="M75" s="2022"/>
      <c r="N75" s="2022"/>
      <c r="O75" s="2022"/>
      <c r="P75" s="1027"/>
      <c r="Q75" s="115"/>
      <c r="AJ75" s="115"/>
      <c r="AK75" s="115"/>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2:94">
      <c r="B76" s="1027"/>
      <c r="C76" s="2541"/>
      <c r="D76" s="2541"/>
      <c r="E76" s="2541"/>
      <c r="F76" s="2541"/>
      <c r="G76" s="2541"/>
      <c r="H76" s="2541"/>
      <c r="I76" s="1027"/>
      <c r="J76" s="2022"/>
      <c r="K76" s="2022"/>
      <c r="L76" s="2022"/>
      <c r="M76" s="2022"/>
      <c r="N76" s="2022"/>
      <c r="O76" s="2022"/>
      <c r="P76" s="1027"/>
      <c r="Q76" s="115"/>
      <c r="Z76" s="764"/>
      <c r="AJ76" s="115"/>
      <c r="AK76" s="115"/>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2:94">
      <c r="B77" s="1027"/>
      <c r="C77" s="2541"/>
      <c r="D77" s="2541"/>
      <c r="E77" s="2541"/>
      <c r="F77" s="2541"/>
      <c r="G77" s="2541"/>
      <c r="H77" s="2541"/>
      <c r="I77" s="1027"/>
      <c r="J77" s="2022"/>
      <c r="K77" s="2022"/>
      <c r="L77" s="2022"/>
      <c r="M77" s="2022"/>
      <c r="N77" s="2022"/>
      <c r="O77" s="2022"/>
      <c r="P77" s="1027"/>
      <c r="Q77" s="115"/>
      <c r="AJ77" s="115"/>
      <c r="AK77" s="115"/>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2:94">
      <c r="B78" s="1027"/>
      <c r="C78" s="2541"/>
      <c r="D78" s="2541"/>
      <c r="E78" s="2541"/>
      <c r="F78" s="2541"/>
      <c r="G78" s="2541"/>
      <c r="H78" s="2541"/>
      <c r="I78" s="1027"/>
      <c r="J78" s="2022"/>
      <c r="K78" s="2022"/>
      <c r="L78" s="2022"/>
      <c r="M78" s="2022"/>
      <c r="N78" s="2022"/>
      <c r="O78" s="2022"/>
      <c r="P78" s="1027"/>
      <c r="Q78" s="115"/>
      <c r="AJ78" s="115"/>
      <c r="AK78" s="115"/>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2:94">
      <c r="B79" s="1027"/>
      <c r="C79" s="2541"/>
      <c r="D79" s="2541"/>
      <c r="E79" s="2541"/>
      <c r="F79" s="2541"/>
      <c r="G79" s="2541"/>
      <c r="H79" s="2541"/>
      <c r="I79" s="1027"/>
      <c r="J79" s="1756" t="s">
        <v>1058</v>
      </c>
      <c r="K79" s="1027"/>
      <c r="L79" s="1027"/>
      <c r="M79" s="1027"/>
      <c r="N79" s="1027"/>
      <c r="O79" s="1027"/>
      <c r="P79" s="1027"/>
      <c r="Q79" s="115"/>
      <c r="AJ79" s="115"/>
      <c r="AK79" s="115"/>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2:94" ht="15" customHeight="1">
      <c r="B80" s="1027"/>
      <c r="C80" s="2541"/>
      <c r="D80" s="2541"/>
      <c r="E80" s="2541"/>
      <c r="F80" s="2541"/>
      <c r="G80" s="2541"/>
      <c r="H80" s="2541"/>
      <c r="I80" s="1027"/>
      <c r="J80" s="2522"/>
      <c r="K80" s="2522"/>
      <c r="L80" s="2522"/>
      <c r="M80" s="2522"/>
      <c r="N80" s="2522"/>
      <c r="O80" s="2522"/>
      <c r="P80" s="1027"/>
      <c r="Q80" s="115"/>
      <c r="AJ80" s="115"/>
      <c r="AK80" s="115"/>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c r="B81" s="1027"/>
      <c r="C81" s="1027"/>
      <c r="D81" s="1027"/>
      <c r="E81" s="1027"/>
      <c r="F81" s="1027"/>
      <c r="G81" s="1027"/>
      <c r="H81" s="1027"/>
      <c r="I81" s="1027"/>
      <c r="J81" s="1027"/>
      <c r="K81" s="1027"/>
      <c r="L81" s="1027"/>
      <c r="M81" s="1027"/>
      <c r="N81" s="1027"/>
      <c r="O81" s="1027"/>
      <c r="P81" s="1027"/>
      <c r="Q81" s="115"/>
      <c r="AJ81" s="115"/>
      <c r="AK81" s="3"/>
      <c r="AL81" s="3"/>
      <c r="AM81" s="3"/>
      <c r="AN81" s="3"/>
      <c r="AO81" s="3"/>
      <c r="AP81" s="3"/>
      <c r="AQ81" s="3"/>
      <c r="AR81" s="3"/>
      <c r="AS81" s="3"/>
      <c r="AT81" s="3"/>
      <c r="AU81" s="3"/>
      <c r="AV81" s="3"/>
      <c r="AW81" s="3"/>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863" customFormat="1" ht="21">
      <c r="A82" s="852"/>
      <c r="B82" s="852" t="s">
        <v>5210</v>
      </c>
      <c r="C82" s="861"/>
      <c r="D82" s="861"/>
      <c r="E82" s="861"/>
      <c r="F82" s="861"/>
      <c r="G82" s="861"/>
      <c r="H82" s="861"/>
      <c r="I82" s="861"/>
      <c r="J82" s="861"/>
      <c r="K82" s="861"/>
      <c r="L82" s="861"/>
      <c r="M82" s="861"/>
      <c r="N82" s="861"/>
      <c r="O82" s="861"/>
      <c r="P82" s="861"/>
      <c r="Q82" s="872"/>
      <c r="R82" s="1779"/>
      <c r="S82" s="870"/>
      <c r="T82" s="872"/>
      <c r="U82" s="872"/>
      <c r="V82" s="872"/>
      <c r="W82" s="872"/>
      <c r="X82" s="872"/>
      <c r="Y82" s="872"/>
      <c r="Z82" s="872"/>
      <c r="AA82" s="873"/>
      <c r="AB82" s="873"/>
      <c r="AC82" s="873"/>
      <c r="AD82" s="873"/>
      <c r="AE82" s="873"/>
      <c r="AF82" s="873"/>
      <c r="AG82" s="873"/>
      <c r="AH82" s="873"/>
      <c r="AI82" s="873"/>
      <c r="AJ82" s="862"/>
      <c r="AK82" s="862"/>
      <c r="AL82" s="862"/>
      <c r="AM82" s="862"/>
      <c r="AN82" s="862"/>
      <c r="AO82" s="862"/>
      <c r="AP82" s="862"/>
      <c r="AQ82" s="862"/>
      <c r="AR82" s="862"/>
      <c r="AS82" s="862"/>
      <c r="AT82" s="862"/>
      <c r="AU82" s="862"/>
      <c r="AV82" s="862"/>
      <c r="AW82" s="862"/>
      <c r="AX82" s="862"/>
      <c r="AY82" s="862"/>
      <c r="AZ82" s="862"/>
      <c r="BA82" s="862"/>
      <c r="BB82" s="862"/>
      <c r="BC82" s="862"/>
      <c r="BD82" s="862"/>
    </row>
    <row r="83" spans="1:94">
      <c r="B83" s="1030" t="s">
        <v>5211</v>
      </c>
      <c r="C83" s="1027"/>
      <c r="D83" s="1027"/>
      <c r="E83" s="1027"/>
      <c r="F83" s="1027"/>
      <c r="G83" s="1027"/>
      <c r="H83" s="1027"/>
      <c r="I83" s="1027"/>
      <c r="J83" s="1027"/>
      <c r="K83" s="1027"/>
      <c r="L83" s="1027"/>
      <c r="M83" s="1027"/>
      <c r="N83" s="1027"/>
      <c r="O83" s="1027"/>
      <c r="P83" s="1027"/>
      <c r="Q83" s="115"/>
      <c r="AJ83" s="115"/>
      <c r="AK83" s="3"/>
      <c r="AL83" s="3"/>
      <c r="AM83" s="3"/>
      <c r="AN83" s="3"/>
      <c r="AO83" s="3"/>
      <c r="AP83" s="3"/>
      <c r="AQ83" s="3"/>
      <c r="AR83" s="3"/>
      <c r="AS83" s="3"/>
      <c r="AT83" s="3"/>
      <c r="AU83" s="3"/>
      <c r="AV83" s="3"/>
      <c r="AW83" s="3"/>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ht="14.45" customHeight="1">
      <c r="B84" s="2469" t="s">
        <v>5212</v>
      </c>
      <c r="C84" s="2469"/>
      <c r="D84" s="2469"/>
      <c r="E84" s="2469"/>
      <c r="F84" s="2469"/>
      <c r="G84" s="2469"/>
      <c r="H84" s="2469"/>
      <c r="I84" s="2469"/>
      <c r="J84" s="2469"/>
      <c r="K84" s="2469"/>
      <c r="L84" s="2469"/>
      <c r="M84" s="2469"/>
      <c r="N84" s="2469"/>
      <c r="O84" s="2469"/>
      <c r="P84" s="1027"/>
      <c r="Q84" s="115"/>
      <c r="AJ84" s="115"/>
      <c r="AK84" s="3"/>
      <c r="AL84" s="3"/>
      <c r="AM84" s="3"/>
      <c r="AN84" s="3"/>
      <c r="AO84" s="3"/>
      <c r="AP84" s="3"/>
      <c r="AQ84" s="3"/>
      <c r="AR84" s="3"/>
      <c r="AS84" s="3"/>
      <c r="AT84" s="3"/>
      <c r="AU84" s="3"/>
      <c r="AV84" s="3"/>
      <c r="AW84" s="3"/>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c r="B85" s="2469"/>
      <c r="C85" s="2469"/>
      <c r="D85" s="2469"/>
      <c r="E85" s="2469"/>
      <c r="F85" s="2469"/>
      <c r="G85" s="2469"/>
      <c r="H85" s="2469"/>
      <c r="I85" s="2469"/>
      <c r="J85" s="2469"/>
      <c r="K85" s="2469"/>
      <c r="L85" s="2469"/>
      <c r="M85" s="2469"/>
      <c r="N85" s="2469"/>
      <c r="O85" s="2469"/>
      <c r="P85" s="1027"/>
      <c r="Q85" s="115"/>
      <c r="AJ85" s="115"/>
      <c r="AK85" s="3"/>
      <c r="AL85" s="3"/>
      <c r="AM85" s="3"/>
      <c r="AN85" s="3"/>
      <c r="AO85" s="3"/>
      <c r="AP85" s="3"/>
      <c r="AQ85" s="3"/>
      <c r="AR85" s="3"/>
      <c r="AS85" s="3"/>
      <c r="AT85" s="3"/>
      <c r="AU85" s="3"/>
      <c r="AV85" s="3"/>
      <c r="AW85" s="3"/>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 customFormat="1">
      <c r="B86" s="1027"/>
      <c r="C86" s="1027"/>
      <c r="D86" s="1027"/>
      <c r="E86" s="1027"/>
      <c r="F86" s="1027"/>
      <c r="G86" s="1027"/>
      <c r="H86" s="1027"/>
      <c r="I86" s="1027"/>
      <c r="J86" s="1027"/>
      <c r="K86" s="1027"/>
      <c r="L86" s="1027"/>
      <c r="M86" s="1027"/>
      <c r="N86" s="1027"/>
      <c r="O86" s="1027"/>
      <c r="P86" s="1027"/>
      <c r="Q86" s="115"/>
      <c r="R86" s="1778"/>
      <c r="S86" s="9"/>
      <c r="T86" s="115"/>
      <c r="U86" s="115"/>
      <c r="V86" s="115"/>
      <c r="W86" s="115"/>
      <c r="X86" s="115"/>
      <c r="Y86" s="115"/>
      <c r="Z86" s="115"/>
      <c r="AA86" s="115"/>
      <c r="AB86" s="115"/>
      <c r="AC86" s="115"/>
      <c r="AD86" s="115"/>
      <c r="AE86" s="115"/>
      <c r="AF86" s="115"/>
      <c r="AG86" s="115"/>
      <c r="AH86" s="115"/>
      <c r="AI86" s="115"/>
      <c r="AJ86" s="115"/>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row>
    <row r="87" spans="1:94" s="3" customFormat="1">
      <c r="B87" s="2542" t="s">
        <v>5213</v>
      </c>
      <c r="C87" s="2542"/>
      <c r="D87" s="2542"/>
      <c r="E87" s="2542"/>
      <c r="F87" s="2542"/>
      <c r="G87" s="2542"/>
      <c r="H87" s="2542"/>
      <c r="I87" s="2542"/>
      <c r="J87" s="2542"/>
      <c r="K87" s="2542"/>
      <c r="L87" s="2542"/>
      <c r="M87" s="2542"/>
      <c r="N87" s="2542"/>
      <c r="O87" s="2542"/>
      <c r="P87" s="1027"/>
      <c r="Q87" s="115"/>
      <c r="R87" s="1778"/>
      <c r="S87" s="9"/>
      <c r="T87" s="115"/>
      <c r="U87" s="115"/>
      <c r="V87" s="115"/>
      <c r="W87" s="115"/>
      <c r="X87" s="115"/>
      <c r="Y87" s="115"/>
      <c r="Z87" s="115"/>
      <c r="AA87" s="115"/>
      <c r="AB87" s="115"/>
      <c r="AC87" s="115"/>
      <c r="AD87" s="115"/>
      <c r="AE87" s="115"/>
      <c r="AF87" s="115"/>
      <c r="AG87" s="115"/>
      <c r="AH87" s="115"/>
      <c r="AI87" s="115"/>
      <c r="AJ87" s="115"/>
    </row>
    <row r="88" spans="1:94" s="3" customFormat="1">
      <c r="B88" s="2542"/>
      <c r="C88" s="2542"/>
      <c r="D88" s="2542"/>
      <c r="E88" s="2542"/>
      <c r="F88" s="2542"/>
      <c r="G88" s="2542"/>
      <c r="H88" s="2542"/>
      <c r="I88" s="2542"/>
      <c r="J88" s="2542"/>
      <c r="K88" s="2542"/>
      <c r="L88" s="2542"/>
      <c r="M88" s="2542"/>
      <c r="N88" s="2542"/>
      <c r="O88" s="2542"/>
      <c r="P88" s="1027"/>
      <c r="Q88" s="115"/>
      <c r="R88" s="1778"/>
      <c r="S88" s="9"/>
      <c r="T88" s="115"/>
      <c r="U88" s="115"/>
      <c r="V88" s="115"/>
      <c r="W88" s="115"/>
      <c r="X88" s="115"/>
      <c r="Y88" s="115"/>
      <c r="Z88" s="115"/>
      <c r="AA88" s="115"/>
      <c r="AB88" s="115"/>
      <c r="AC88" s="115"/>
      <c r="AD88" s="115"/>
      <c r="AE88" s="115"/>
      <c r="AF88" s="115"/>
      <c r="AG88" s="115"/>
      <c r="AH88" s="115"/>
      <c r="AI88" s="115"/>
      <c r="AJ88" s="115"/>
    </row>
    <row r="89" spans="1:94">
      <c r="B89" s="1027"/>
      <c r="C89" s="1027"/>
      <c r="D89" s="1027"/>
      <c r="E89" s="1027"/>
      <c r="F89" s="1027"/>
      <c r="G89" s="1027"/>
      <c r="H89" s="1027"/>
      <c r="I89" s="1027"/>
      <c r="J89" s="1027"/>
      <c r="K89" s="1027"/>
      <c r="L89" s="1027"/>
      <c r="M89" s="1027"/>
      <c r="N89" s="1027"/>
      <c r="O89" s="1027"/>
      <c r="P89" s="1027"/>
      <c r="Q89" s="115"/>
    </row>
    <row r="90" spans="1:94" s="26" customFormat="1">
      <c r="A90" s="1477"/>
      <c r="B90" s="1611" t="s">
        <v>5214</v>
      </c>
      <c r="C90" s="1027"/>
      <c r="D90" s="1027"/>
      <c r="E90" s="1027"/>
      <c r="F90" s="1027"/>
      <c r="G90" s="1027"/>
      <c r="H90" s="1027"/>
      <c r="I90" s="1027"/>
      <c r="J90" s="1027"/>
      <c r="K90" s="1027"/>
      <c r="L90" s="1027"/>
      <c r="M90" s="1027"/>
      <c r="N90" s="1027"/>
      <c r="O90" s="1027"/>
      <c r="P90" s="1027"/>
      <c r="Q90" s="115"/>
      <c r="R90" s="1778"/>
      <c r="S90" s="9"/>
      <c r="T90" s="115"/>
      <c r="U90" s="115"/>
      <c r="V90" s="115"/>
      <c r="W90" s="115"/>
      <c r="X90" s="115"/>
      <c r="Y90" s="115"/>
      <c r="Z90" s="115"/>
      <c r="AA90" s="115"/>
      <c r="AB90" s="487"/>
      <c r="AC90" s="487"/>
      <c r="AD90" s="487"/>
      <c r="AE90" s="487"/>
      <c r="AF90" s="487"/>
      <c r="AG90" s="487"/>
      <c r="AH90" s="487"/>
      <c r="AI90" s="487"/>
      <c r="AJ90" s="487"/>
      <c r="AK90" s="487"/>
      <c r="AL90" s="487"/>
      <c r="AM90" s="487"/>
      <c r="AN90" s="487"/>
      <c r="AO90" s="487"/>
      <c r="AP90" s="487"/>
      <c r="AQ90" s="487"/>
      <c r="AR90" s="487"/>
      <c r="AS90" s="487"/>
      <c r="AT90" s="487"/>
      <c r="AU90" s="157"/>
      <c r="AV90" s="157"/>
      <c r="AW90" s="157"/>
      <c r="AX90" s="157"/>
      <c r="AY90" s="157"/>
      <c r="AZ90" s="157"/>
      <c r="BA90" s="157"/>
      <c r="BB90" s="157"/>
      <c r="BC90" s="157"/>
      <c r="BD90" s="157"/>
      <c r="BE90" s="1478"/>
      <c r="BF90" s="1478"/>
      <c r="BG90" s="1478"/>
      <c r="BH90" s="1478"/>
      <c r="BI90" s="1478"/>
      <c r="BJ90" s="1478"/>
      <c r="BK90" s="1478"/>
      <c r="BL90" s="1478"/>
      <c r="BM90" s="1478"/>
      <c r="BN90" s="1478"/>
      <c r="BO90" s="1478"/>
      <c r="BP90" s="1478"/>
      <c r="BQ90" s="1478"/>
      <c r="BR90" s="1478"/>
      <c r="BS90" s="1478"/>
      <c r="BT90" s="1478"/>
      <c r="BU90" s="1478"/>
      <c r="BV90" s="1478"/>
      <c r="BW90" s="1478"/>
      <c r="BX90" s="1478"/>
      <c r="BY90" s="1478"/>
      <c r="BZ90" s="1478"/>
      <c r="CA90" s="1478"/>
      <c r="CB90" s="1478"/>
      <c r="CC90" s="1478"/>
      <c r="CD90" s="1478"/>
      <c r="CE90" s="1478"/>
      <c r="CF90" s="1478"/>
      <c r="CG90" s="1478"/>
      <c r="CH90" s="1478"/>
      <c r="CI90" s="1478"/>
      <c r="CJ90" s="1478"/>
      <c r="CK90" s="1478"/>
      <c r="CL90" s="1478"/>
      <c r="CM90" s="1478"/>
      <c r="CN90" s="1478"/>
      <c r="CO90" s="1478"/>
      <c r="CP90" s="1478"/>
    </row>
    <row r="91" spans="1:94" s="26" customFormat="1">
      <c r="A91" s="1477"/>
      <c r="B91" s="1027"/>
      <c r="C91" s="1027"/>
      <c r="D91" s="1027"/>
      <c r="E91" s="1027"/>
      <c r="F91" s="1027"/>
      <c r="G91" s="1027"/>
      <c r="H91" s="1027"/>
      <c r="I91" s="1027"/>
      <c r="J91" s="1027"/>
      <c r="K91" s="1027"/>
      <c r="L91" s="1027"/>
      <c r="M91" s="1027"/>
      <c r="N91" s="1027"/>
      <c r="O91" s="1027"/>
      <c r="P91" s="1027"/>
      <c r="Q91" s="115"/>
      <c r="R91" s="1778"/>
      <c r="S91" s="9"/>
      <c r="T91" s="115"/>
      <c r="U91" s="115"/>
      <c r="V91" s="115"/>
      <c r="W91" s="115"/>
      <c r="X91" s="115"/>
      <c r="Y91" s="115"/>
      <c r="Z91" s="115"/>
      <c r="AA91" s="115"/>
      <c r="AB91" s="487"/>
      <c r="AC91" s="487"/>
      <c r="AD91" s="487"/>
      <c r="AE91" s="487"/>
      <c r="AF91" s="487"/>
      <c r="AG91" s="487"/>
      <c r="AH91" s="487"/>
      <c r="AI91" s="487"/>
      <c r="AJ91" s="487"/>
      <c r="AK91" s="487"/>
      <c r="AL91" s="487"/>
      <c r="AM91" s="487"/>
      <c r="AN91" s="487"/>
      <c r="AO91" s="487"/>
      <c r="AP91" s="487"/>
      <c r="AQ91" s="487"/>
      <c r="AR91" s="487"/>
      <c r="AS91" s="487"/>
      <c r="AT91" s="487"/>
      <c r="AU91" s="157"/>
      <c r="AV91" s="157"/>
      <c r="AW91" s="157"/>
      <c r="AX91" s="157"/>
      <c r="AY91" s="157"/>
      <c r="AZ91" s="157"/>
      <c r="BA91" s="157"/>
      <c r="BB91" s="157"/>
      <c r="BC91" s="157"/>
      <c r="BD91" s="157"/>
      <c r="BE91" s="1478"/>
      <c r="BF91" s="1478"/>
      <c r="BG91" s="1478"/>
      <c r="BH91" s="1478"/>
      <c r="BI91" s="1478"/>
      <c r="BJ91" s="1478"/>
      <c r="BK91" s="1478"/>
      <c r="BL91" s="1478"/>
      <c r="BM91" s="1478"/>
      <c r="BN91" s="1478"/>
      <c r="BO91" s="1478"/>
      <c r="BP91" s="1478"/>
      <c r="BQ91" s="1478"/>
      <c r="BR91" s="1478"/>
      <c r="BS91" s="1478"/>
      <c r="BT91" s="1478"/>
      <c r="BU91" s="1478"/>
      <c r="BV91" s="1478"/>
      <c r="BW91" s="1478"/>
      <c r="BX91" s="1478"/>
      <c r="BY91" s="1478"/>
      <c r="BZ91" s="1478"/>
      <c r="CA91" s="1478"/>
      <c r="CB91" s="1478"/>
      <c r="CC91" s="1478"/>
      <c r="CD91" s="1478"/>
      <c r="CE91" s="1478"/>
      <c r="CF91" s="1478"/>
      <c r="CG91" s="1478"/>
      <c r="CH91" s="1478"/>
      <c r="CI91" s="1478"/>
      <c r="CJ91" s="1478"/>
      <c r="CK91" s="1478"/>
      <c r="CL91" s="1478"/>
      <c r="CM91" s="1478"/>
      <c r="CN91" s="1478"/>
      <c r="CO91" s="1478"/>
      <c r="CP91" s="1478"/>
    </row>
    <row r="92" spans="1:94" s="26" customFormat="1" ht="15.75">
      <c r="A92" s="1477"/>
      <c r="B92" s="1228" t="s">
        <v>5215</v>
      </c>
      <c r="C92" s="1228"/>
      <c r="D92" s="1228"/>
      <c r="E92" s="1228"/>
      <c r="F92" s="1228"/>
      <c r="G92" s="1228"/>
      <c r="H92" s="1228"/>
      <c r="I92" s="1228"/>
      <c r="J92" s="1228"/>
      <c r="K92" s="1228"/>
      <c r="L92" s="1228"/>
      <c r="M92" s="1714"/>
      <c r="N92" s="1714"/>
      <c r="O92" s="1714"/>
      <c r="P92" s="1714"/>
      <c r="Q92" s="115"/>
      <c r="R92" s="1778"/>
      <c r="S92" s="9"/>
      <c r="T92" s="115"/>
      <c r="U92" s="115"/>
      <c r="V92" s="115"/>
      <c r="W92" s="115"/>
      <c r="X92" s="115"/>
      <c r="Y92" s="115"/>
      <c r="Z92" s="115"/>
      <c r="AA92" s="115"/>
      <c r="AB92" s="487"/>
      <c r="AC92" s="487"/>
      <c r="AD92" s="487"/>
      <c r="AE92" s="487"/>
      <c r="AF92" s="487"/>
      <c r="AG92" s="487"/>
      <c r="AH92" s="487"/>
      <c r="AI92" s="487"/>
      <c r="AJ92" s="487"/>
      <c r="AK92" s="487"/>
      <c r="AL92" s="487"/>
      <c r="AM92" s="487"/>
      <c r="AN92" s="487"/>
      <c r="AO92" s="487"/>
      <c r="AP92" s="487"/>
      <c r="AQ92" s="487"/>
      <c r="AR92" s="487"/>
      <c r="AS92" s="487"/>
      <c r="AT92" s="487"/>
      <c r="AU92" s="157"/>
      <c r="AV92" s="157"/>
      <c r="AW92" s="157"/>
      <c r="AX92" s="157"/>
      <c r="AY92" s="157"/>
      <c r="AZ92" s="157"/>
      <c r="BA92" s="157"/>
      <c r="BB92" s="157"/>
      <c r="BC92" s="157"/>
      <c r="BD92" s="157"/>
      <c r="BE92" s="1478"/>
      <c r="BF92" s="1478"/>
      <c r="BG92" s="1478"/>
      <c r="BH92" s="1478"/>
      <c r="BI92" s="1478"/>
      <c r="BJ92" s="1478"/>
      <c r="BK92" s="1478"/>
      <c r="BL92" s="1478"/>
      <c r="BM92" s="1478"/>
      <c r="BN92" s="1478"/>
      <c r="BO92" s="1478"/>
      <c r="BP92" s="1478"/>
      <c r="BQ92" s="1478"/>
      <c r="BR92" s="1478"/>
      <c r="BS92" s="1478"/>
      <c r="BT92" s="1478"/>
      <c r="BU92" s="1478"/>
      <c r="BV92" s="1478"/>
      <c r="BW92" s="1478"/>
      <c r="BX92" s="1478"/>
      <c r="BY92" s="1478"/>
      <c r="BZ92" s="1478"/>
      <c r="CA92" s="1478"/>
      <c r="CB92" s="1478"/>
      <c r="CC92" s="1478"/>
      <c r="CD92" s="1478"/>
      <c r="CE92" s="1478"/>
      <c r="CF92" s="1478"/>
      <c r="CG92" s="1478"/>
      <c r="CH92" s="1478"/>
      <c r="CI92" s="1478"/>
      <c r="CJ92" s="1478"/>
      <c r="CK92" s="1478"/>
      <c r="CL92" s="1478"/>
      <c r="CM92" s="1478"/>
      <c r="CN92" s="1478"/>
      <c r="CO92" s="1478"/>
      <c r="CP92" s="1478"/>
    </row>
    <row r="93" spans="1:94" s="26" customFormat="1">
      <c r="A93" s="1477"/>
      <c r="B93" s="1714" t="s">
        <v>5216</v>
      </c>
      <c r="C93" s="1714"/>
      <c r="D93" s="1714"/>
      <c r="E93" s="1714"/>
      <c r="F93" s="1714"/>
      <c r="G93" s="1714"/>
      <c r="H93" s="1714"/>
      <c r="I93" s="1714"/>
      <c r="J93" s="1714"/>
      <c r="K93" s="1714"/>
      <c r="L93" s="1714"/>
      <c r="M93" s="1714"/>
      <c r="N93" s="1714"/>
      <c r="O93" s="1714"/>
      <c r="P93" s="1714"/>
      <c r="Q93" s="115"/>
      <c r="R93" s="1778"/>
      <c r="S93" s="9"/>
      <c r="T93" s="115"/>
      <c r="U93" s="115"/>
      <c r="V93" s="115"/>
      <c r="W93" s="115"/>
      <c r="X93" s="115"/>
      <c r="Y93" s="115"/>
      <c r="Z93" s="115"/>
      <c r="AA93" s="115"/>
      <c r="AB93" s="487"/>
      <c r="AC93" s="487"/>
      <c r="AD93" s="487"/>
      <c r="AE93" s="487"/>
      <c r="AF93" s="487"/>
      <c r="AG93" s="487"/>
      <c r="AH93" s="487"/>
      <c r="AI93" s="487"/>
      <c r="AJ93" s="487"/>
      <c r="AK93" s="487"/>
      <c r="AL93" s="487"/>
      <c r="AM93" s="487"/>
      <c r="AN93" s="487"/>
      <c r="AO93" s="487"/>
      <c r="AP93" s="487"/>
      <c r="AQ93" s="487"/>
      <c r="AR93" s="487"/>
      <c r="AS93" s="487"/>
      <c r="AT93" s="487"/>
      <c r="AU93" s="157"/>
      <c r="AV93" s="157"/>
      <c r="AW93" s="157"/>
      <c r="AX93" s="157"/>
      <c r="AY93" s="157"/>
      <c r="AZ93" s="157"/>
      <c r="BA93" s="157"/>
      <c r="BB93" s="157"/>
      <c r="BC93" s="157"/>
      <c r="BD93" s="157"/>
      <c r="BE93" s="1478"/>
      <c r="BF93" s="1478"/>
      <c r="BG93" s="1478"/>
      <c r="BH93" s="1478"/>
      <c r="BI93" s="1478"/>
      <c r="BJ93" s="1478"/>
      <c r="BK93" s="1478"/>
      <c r="BL93" s="1478"/>
      <c r="BM93" s="1478"/>
      <c r="BN93" s="1478"/>
      <c r="BO93" s="1478"/>
      <c r="BP93" s="1478"/>
      <c r="BQ93" s="1478"/>
      <c r="BR93" s="1478"/>
      <c r="BS93" s="1478"/>
      <c r="BT93" s="1478"/>
      <c r="BU93" s="1478"/>
      <c r="BV93" s="1478"/>
      <c r="BW93" s="1478"/>
      <c r="BX93" s="1478"/>
      <c r="BY93" s="1478"/>
      <c r="BZ93" s="1478"/>
      <c r="CA93" s="1478"/>
      <c r="CB93" s="1478"/>
      <c r="CC93" s="1478"/>
      <c r="CD93" s="1478"/>
      <c r="CE93" s="1478"/>
      <c r="CF93" s="1478"/>
      <c r="CG93" s="1478"/>
      <c r="CH93" s="1478"/>
      <c r="CI93" s="1478"/>
      <c r="CJ93" s="1478"/>
      <c r="CK93" s="1478"/>
      <c r="CL93" s="1478"/>
      <c r="CM93" s="1478"/>
      <c r="CN93" s="1478"/>
      <c r="CO93" s="1478"/>
      <c r="CP93" s="1478"/>
    </row>
    <row r="94" spans="1:94" s="26" customFormat="1" ht="15.6" customHeight="1">
      <c r="A94" s="1477"/>
      <c r="B94" s="1714"/>
      <c r="C94" s="2547" t="s">
        <v>5187</v>
      </c>
      <c r="D94" s="2550" t="s">
        <v>5002</v>
      </c>
      <c r="E94" s="2533" t="s">
        <v>5033</v>
      </c>
      <c r="F94" s="2534"/>
      <c r="G94" s="2534"/>
      <c r="H94" s="2534"/>
      <c r="I94" s="2534"/>
      <c r="J94" s="2534"/>
      <c r="K94" s="2534"/>
      <c r="L94" s="2534"/>
      <c r="M94" s="2534"/>
      <c r="N94" s="2534"/>
      <c r="O94" s="2535"/>
      <c r="P94" s="1714"/>
      <c r="Q94" s="115"/>
      <c r="R94" s="1778"/>
      <c r="S94" s="9"/>
      <c r="T94" s="115"/>
      <c r="U94" s="115"/>
      <c r="V94" s="115"/>
      <c r="W94" s="115"/>
      <c r="X94" s="115"/>
      <c r="Y94" s="115"/>
      <c r="Z94" s="115"/>
      <c r="AA94" s="115"/>
      <c r="AB94" s="487"/>
      <c r="AC94" s="487"/>
      <c r="AD94" s="487"/>
      <c r="AE94" s="487"/>
      <c r="AF94" s="487"/>
      <c r="AG94" s="487"/>
      <c r="AH94" s="487"/>
      <c r="AI94" s="487"/>
      <c r="AJ94" s="487"/>
      <c r="AK94" s="487"/>
      <c r="AL94" s="487"/>
      <c r="AM94" s="487"/>
      <c r="AN94" s="487"/>
      <c r="AO94" s="487"/>
      <c r="AP94" s="487"/>
      <c r="AQ94" s="487"/>
      <c r="AR94" s="487"/>
      <c r="AS94" s="487"/>
      <c r="AT94" s="487"/>
      <c r="AU94" s="157"/>
      <c r="AV94" s="157"/>
      <c r="AW94" s="157"/>
      <c r="AX94" s="157"/>
      <c r="AY94" s="157"/>
      <c r="AZ94" s="157"/>
      <c r="BA94" s="157"/>
      <c r="BB94" s="157"/>
      <c r="BC94" s="157"/>
      <c r="BD94" s="157"/>
      <c r="BE94" s="1478"/>
      <c r="BF94" s="1478"/>
      <c r="BG94" s="1478"/>
      <c r="BH94" s="1478"/>
      <c r="BI94" s="1478"/>
      <c r="BJ94" s="1478"/>
      <c r="BK94" s="1478"/>
      <c r="BL94" s="1478"/>
      <c r="BM94" s="1478"/>
      <c r="BN94" s="1478"/>
      <c r="BO94" s="1478"/>
      <c r="BP94" s="1478"/>
      <c r="BQ94" s="1478"/>
      <c r="BR94" s="1478"/>
      <c r="BS94" s="1478"/>
      <c r="BT94" s="1478"/>
      <c r="BU94" s="1478"/>
      <c r="BV94" s="1478"/>
      <c r="BW94" s="1478"/>
      <c r="BX94" s="1478"/>
      <c r="BY94" s="1478"/>
      <c r="BZ94" s="1478"/>
      <c r="CA94" s="1478"/>
      <c r="CB94" s="1478"/>
      <c r="CC94" s="1478"/>
      <c r="CD94" s="1478"/>
      <c r="CE94" s="1478"/>
      <c r="CF94" s="1478"/>
      <c r="CG94" s="1478"/>
      <c r="CH94" s="1478"/>
      <c r="CI94" s="1478"/>
      <c r="CJ94" s="1478"/>
      <c r="CK94" s="1478"/>
      <c r="CL94" s="1478"/>
      <c r="CM94" s="1478"/>
      <c r="CN94" s="1478"/>
      <c r="CO94" s="1478"/>
      <c r="CP94" s="1478"/>
    </row>
    <row r="95" spans="1:94" ht="14.45" customHeight="1">
      <c r="B95" s="1027"/>
      <c r="C95" s="2547"/>
      <c r="D95" s="2550"/>
      <c r="E95" s="2536"/>
      <c r="F95" s="2537"/>
      <c r="G95" s="2537"/>
      <c r="H95" s="2537"/>
      <c r="I95" s="2537"/>
      <c r="J95" s="2537"/>
      <c r="K95" s="2537"/>
      <c r="L95" s="2537"/>
      <c r="M95" s="2537"/>
      <c r="N95" s="2537"/>
      <c r="O95" s="2538"/>
      <c r="P95" s="1714"/>
      <c r="Q95" s="115"/>
      <c r="AD95" s="487"/>
      <c r="AE95" s="487"/>
      <c r="AF95" s="487"/>
      <c r="AG95" s="487"/>
      <c r="AH95" s="487"/>
      <c r="AI95" s="487"/>
      <c r="AJ95" s="487"/>
      <c r="AK95" s="487"/>
      <c r="AL95" s="487"/>
      <c r="AM95" s="487"/>
      <c r="AN95" s="487"/>
      <c r="AO95" s="487"/>
      <c r="AP95" s="487"/>
      <c r="AQ95" s="487"/>
      <c r="AR95" s="487"/>
      <c r="AS95" s="487"/>
      <c r="AT95" s="487"/>
      <c r="AU95" s="157"/>
      <c r="AV95" s="157"/>
      <c r="AW95" s="157"/>
      <c r="AX95" s="157"/>
      <c r="AY95" s="157"/>
      <c r="AZ95" s="157"/>
      <c r="BA95" s="157"/>
      <c r="BB95" s="157"/>
      <c r="BC95" s="157"/>
      <c r="BD95" s="157"/>
    </row>
    <row r="96" spans="1:94" ht="14.45" customHeight="1">
      <c r="B96" s="1027"/>
      <c r="C96" s="2540"/>
      <c r="D96" s="2570">
        <v>2</v>
      </c>
      <c r="E96" s="2569" t="s">
        <v>5217</v>
      </c>
      <c r="F96" s="2543"/>
      <c r="G96" s="2543"/>
      <c r="H96" s="2543"/>
      <c r="I96" s="2543"/>
      <c r="J96" s="2543"/>
      <c r="K96" s="2543"/>
      <c r="L96" s="2543"/>
      <c r="M96" s="2543"/>
      <c r="N96" s="2543"/>
      <c r="O96" s="2543"/>
      <c r="P96" s="1714"/>
      <c r="Q96" s="115"/>
      <c r="R96" s="1787"/>
      <c r="S96" s="1788" t="s">
        <v>5002</v>
      </c>
      <c r="AD96" s="487"/>
      <c r="AE96" s="487"/>
      <c r="AF96" s="487"/>
      <c r="AG96" s="487"/>
      <c r="AH96" s="487"/>
      <c r="AI96" s="487"/>
      <c r="AJ96" s="487"/>
      <c r="AK96" s="487"/>
      <c r="AL96" s="487"/>
      <c r="AM96" s="487"/>
      <c r="AN96" s="487"/>
      <c r="AO96" s="487"/>
      <c r="AP96" s="487"/>
      <c r="AQ96" s="487"/>
      <c r="AR96" s="487"/>
      <c r="AS96" s="487"/>
      <c r="AT96" s="487"/>
      <c r="AU96" s="157"/>
      <c r="AV96" s="157"/>
      <c r="AW96" s="157"/>
      <c r="AX96" s="157"/>
      <c r="AY96" s="157"/>
      <c r="AZ96" s="157"/>
      <c r="BA96" s="157"/>
      <c r="BB96" s="157"/>
      <c r="BC96" s="157"/>
      <c r="BD96" s="157"/>
    </row>
    <row r="97" spans="2:61" ht="14.45" customHeight="1">
      <c r="B97" s="1027"/>
      <c r="C97" s="2540"/>
      <c r="D97" s="2570"/>
      <c r="E97" s="2543"/>
      <c r="F97" s="2543"/>
      <c r="G97" s="2543"/>
      <c r="H97" s="2543"/>
      <c r="I97" s="2543"/>
      <c r="J97" s="2543"/>
      <c r="K97" s="2543"/>
      <c r="L97" s="2543"/>
      <c r="M97" s="2543"/>
      <c r="N97" s="2543"/>
      <c r="O97" s="2543"/>
      <c r="P97" s="1714"/>
      <c r="Q97" s="115"/>
      <c r="R97" s="1787" t="b">
        <f>C96="yes"</f>
        <v>0</v>
      </c>
      <c r="S97" s="157">
        <f>IF(R97,D96,0)</f>
        <v>0</v>
      </c>
      <c r="AD97" s="487"/>
      <c r="AE97" s="487"/>
      <c r="AF97" s="487"/>
      <c r="AG97" s="487"/>
      <c r="AH97" s="487"/>
      <c r="AI97" s="487"/>
      <c r="AJ97" s="487"/>
      <c r="AK97" s="487"/>
      <c r="AL97" s="487"/>
      <c r="AM97" s="487"/>
      <c r="AN97" s="487"/>
      <c r="AO97" s="487"/>
      <c r="AP97" s="487"/>
      <c r="AQ97" s="487"/>
      <c r="AR97" s="487"/>
      <c r="AS97" s="487"/>
      <c r="AT97" s="487"/>
      <c r="AU97" s="157"/>
      <c r="AV97" s="157"/>
      <c r="AW97" s="157"/>
      <c r="AX97" s="157"/>
      <c r="AY97" s="157"/>
      <c r="AZ97" s="157"/>
      <c r="BA97" s="157"/>
      <c r="BB97" s="157"/>
      <c r="BC97" s="157"/>
      <c r="BD97" s="157"/>
    </row>
    <row r="98" spans="2:61" ht="14.45" customHeight="1">
      <c r="B98" s="1027"/>
      <c r="C98" s="2540"/>
      <c r="D98" s="2570"/>
      <c r="E98" s="2543"/>
      <c r="F98" s="2543"/>
      <c r="G98" s="2543"/>
      <c r="H98" s="2543"/>
      <c r="I98" s="2543"/>
      <c r="J98" s="2543"/>
      <c r="K98" s="2543"/>
      <c r="L98" s="2543"/>
      <c r="M98" s="2543"/>
      <c r="N98" s="2543"/>
      <c r="O98" s="2543"/>
      <c r="P98" s="1714"/>
      <c r="Q98" s="115"/>
      <c r="R98" s="1787"/>
      <c r="S98" s="157"/>
      <c r="AD98" s="487"/>
      <c r="AE98" s="487"/>
      <c r="AF98" s="487"/>
      <c r="AG98" s="487"/>
      <c r="AH98" s="487"/>
      <c r="AI98" s="487"/>
      <c r="AJ98" s="487"/>
      <c r="AK98" s="487"/>
      <c r="AL98" s="487"/>
      <c r="AM98" s="487"/>
      <c r="AN98" s="487"/>
      <c r="AO98" s="487"/>
      <c r="AP98" s="487"/>
      <c r="AQ98" s="487"/>
      <c r="AR98" s="487"/>
      <c r="AS98" s="487"/>
      <c r="AT98" s="487"/>
      <c r="AU98" s="157"/>
      <c r="AV98" s="157"/>
      <c r="AW98" s="157"/>
      <c r="AX98" s="157"/>
      <c r="AY98" s="157"/>
      <c r="AZ98" s="157"/>
      <c r="BA98" s="157"/>
      <c r="BB98" s="157"/>
      <c r="BC98" s="157"/>
      <c r="BD98" s="157"/>
    </row>
    <row r="99" spans="2:61" ht="14.45" customHeight="1">
      <c r="B99" s="1027"/>
      <c r="C99" s="2540"/>
      <c r="D99" s="2570"/>
      <c r="E99" s="2543"/>
      <c r="F99" s="2543"/>
      <c r="G99" s="2543"/>
      <c r="H99" s="2543"/>
      <c r="I99" s="2543"/>
      <c r="J99" s="2543"/>
      <c r="K99" s="2543"/>
      <c r="L99" s="2543"/>
      <c r="M99" s="2543"/>
      <c r="N99" s="2543"/>
      <c r="O99" s="2543"/>
      <c r="P99" s="1714"/>
      <c r="Q99" s="115"/>
      <c r="R99" s="1787"/>
      <c r="S99" s="157"/>
      <c r="AD99" s="487"/>
      <c r="AE99" s="487"/>
      <c r="AF99" s="487"/>
      <c r="AG99" s="487"/>
      <c r="AH99" s="487"/>
      <c r="AI99" s="487"/>
      <c r="AJ99" s="487"/>
      <c r="AK99" s="487"/>
      <c r="AL99" s="487"/>
      <c r="AM99" s="487"/>
      <c r="AN99" s="487"/>
      <c r="AO99" s="487"/>
      <c r="AP99" s="487"/>
      <c r="AQ99" s="487"/>
      <c r="AR99" s="487"/>
      <c r="AS99" s="487"/>
      <c r="AT99" s="487"/>
      <c r="AU99" s="157"/>
      <c r="AV99" s="157"/>
      <c r="AW99" s="157"/>
      <c r="AX99" s="157"/>
      <c r="AY99" s="157"/>
      <c r="AZ99" s="157"/>
      <c r="BA99" s="157"/>
      <c r="BB99" s="157"/>
      <c r="BC99" s="157"/>
      <c r="BD99" s="157"/>
    </row>
    <row r="100" spans="2:61" ht="20.25" customHeight="1">
      <c r="B100" s="1027"/>
      <c r="C100" s="2540"/>
      <c r="D100" s="2570"/>
      <c r="E100" s="2543"/>
      <c r="F100" s="2543"/>
      <c r="G100" s="2543"/>
      <c r="H100" s="2543"/>
      <c r="I100" s="2543"/>
      <c r="J100" s="2543"/>
      <c r="K100" s="2543"/>
      <c r="L100" s="2543"/>
      <c r="M100" s="2543"/>
      <c r="N100" s="2543"/>
      <c r="O100" s="2543"/>
      <c r="P100" s="1714"/>
      <c r="Q100" s="115"/>
      <c r="R100" s="1787"/>
      <c r="S100" s="157"/>
      <c r="AD100" s="487"/>
      <c r="AE100" s="487"/>
      <c r="AF100" s="487"/>
      <c r="AG100" s="487"/>
      <c r="AH100" s="487"/>
      <c r="AI100" s="487"/>
      <c r="AJ100" s="487"/>
      <c r="AK100" s="487"/>
      <c r="AL100" s="487"/>
      <c r="AM100" s="487"/>
      <c r="AN100" s="487"/>
      <c r="AO100" s="487"/>
      <c r="AP100" s="487"/>
      <c r="AQ100" s="487"/>
      <c r="AR100" s="487"/>
      <c r="AS100" s="487"/>
      <c r="AT100" s="487"/>
      <c r="AU100" s="157"/>
      <c r="AV100" s="157"/>
      <c r="AW100" s="157"/>
      <c r="AX100" s="157"/>
      <c r="AY100" s="157"/>
      <c r="AZ100" s="157"/>
      <c r="BA100" s="157"/>
      <c r="BB100" s="157"/>
      <c r="BC100" s="157"/>
      <c r="BD100" s="157"/>
    </row>
    <row r="101" spans="2:61" ht="95.25" customHeight="1">
      <c r="B101" s="1027"/>
      <c r="C101" s="1752"/>
      <c r="D101" s="777">
        <v>2</v>
      </c>
      <c r="E101" s="2543" t="s">
        <v>5218</v>
      </c>
      <c r="F101" s="2543"/>
      <c r="G101" s="2543"/>
      <c r="H101" s="2543"/>
      <c r="I101" s="2543"/>
      <c r="J101" s="2543"/>
      <c r="K101" s="2543"/>
      <c r="L101" s="2543"/>
      <c r="M101" s="2543"/>
      <c r="N101" s="2543"/>
      <c r="O101" s="2543"/>
      <c r="P101" s="1714"/>
      <c r="Q101" s="115"/>
      <c r="R101" s="1787" t="b">
        <f>C101="yes"</f>
        <v>0</v>
      </c>
      <c r="S101" s="157">
        <f>IF(R101,D101,0)</f>
        <v>0</v>
      </c>
      <c r="AD101" s="487"/>
      <c r="AE101" s="487"/>
      <c r="AF101" s="487"/>
      <c r="AG101" s="487"/>
      <c r="AH101" s="487"/>
      <c r="AI101" s="487"/>
      <c r="AJ101" s="487"/>
      <c r="AK101" s="487"/>
      <c r="AL101" s="487"/>
      <c r="AM101" s="487"/>
      <c r="AN101" s="487"/>
      <c r="AO101" s="487"/>
      <c r="AP101" s="487"/>
      <c r="AQ101" s="487"/>
      <c r="AR101" s="487"/>
      <c r="AS101" s="487"/>
      <c r="AT101" s="487"/>
      <c r="AU101" s="157"/>
      <c r="AV101" s="157"/>
      <c r="AW101" s="157"/>
      <c r="AX101" s="157"/>
      <c r="AY101" s="157"/>
      <c r="AZ101" s="157"/>
      <c r="BA101" s="157"/>
      <c r="BB101" s="157"/>
      <c r="BC101" s="157"/>
      <c r="BD101" s="157"/>
    </row>
    <row r="102" spans="2:61" ht="105" customHeight="1">
      <c r="B102" s="1027"/>
      <c r="C102" s="1752"/>
      <c r="D102" s="777">
        <v>1</v>
      </c>
      <c r="E102" s="2543" t="s">
        <v>5219</v>
      </c>
      <c r="F102" s="2543"/>
      <c r="G102" s="2543"/>
      <c r="H102" s="2543"/>
      <c r="I102" s="2543"/>
      <c r="J102" s="2543"/>
      <c r="K102" s="2543"/>
      <c r="L102" s="2543"/>
      <c r="M102" s="2543"/>
      <c r="N102" s="2543"/>
      <c r="O102" s="2543"/>
      <c r="P102" s="1714"/>
      <c r="Q102" s="115"/>
      <c r="R102" s="1787" t="b">
        <f>C102="yes"</f>
        <v>0</v>
      </c>
      <c r="S102" s="157">
        <f>IF(R102,D102,0)</f>
        <v>0</v>
      </c>
      <c r="AD102" s="487"/>
      <c r="AE102" s="487"/>
      <c r="AF102" s="487"/>
      <c r="AG102" s="487"/>
      <c r="AH102" s="487"/>
      <c r="AI102" s="487"/>
      <c r="AJ102" s="487"/>
      <c r="AK102" s="487"/>
      <c r="AL102" s="487"/>
      <c r="AM102" s="487"/>
      <c r="AN102" s="487"/>
      <c r="AO102" s="487"/>
      <c r="AP102" s="487"/>
      <c r="AQ102" s="487"/>
      <c r="AR102" s="487"/>
      <c r="AS102" s="487"/>
      <c r="AT102" s="487"/>
      <c r="AU102" s="157"/>
      <c r="AV102" s="157"/>
      <c r="AW102" s="157"/>
      <c r="AX102" s="157"/>
      <c r="AY102" s="157"/>
      <c r="AZ102" s="157"/>
      <c r="BA102" s="157"/>
      <c r="BB102" s="157"/>
      <c r="BC102" s="157"/>
      <c r="BD102" s="157"/>
    </row>
    <row r="103" spans="2:61" ht="90" customHeight="1">
      <c r="B103" s="1027"/>
      <c r="C103" s="1752"/>
      <c r="D103" s="777">
        <v>1</v>
      </c>
      <c r="E103" s="2543" t="s">
        <v>5220</v>
      </c>
      <c r="F103" s="2543"/>
      <c r="G103" s="2543"/>
      <c r="H103" s="2543"/>
      <c r="I103" s="2543"/>
      <c r="J103" s="2543"/>
      <c r="K103" s="2543"/>
      <c r="L103" s="2543"/>
      <c r="M103" s="2543"/>
      <c r="N103" s="2543"/>
      <c r="O103" s="2543"/>
      <c r="P103" s="1714"/>
      <c r="Q103" s="115"/>
      <c r="R103" s="1787" t="b">
        <f>C103="yes"</f>
        <v>0</v>
      </c>
      <c r="S103" s="157">
        <f>IF(R103,D103,0)</f>
        <v>0</v>
      </c>
      <c r="AD103" s="487"/>
      <c r="AE103" s="487"/>
      <c r="AF103" s="487"/>
      <c r="AG103" s="487"/>
      <c r="AH103" s="487"/>
      <c r="AI103" s="487"/>
      <c r="AJ103" s="487"/>
      <c r="AK103" s="487"/>
      <c r="AL103" s="487"/>
      <c r="AM103" s="487"/>
      <c r="AN103" s="487"/>
      <c r="AO103" s="487"/>
      <c r="AP103" s="487"/>
      <c r="AQ103" s="487"/>
      <c r="AR103" s="487"/>
      <c r="AS103" s="487"/>
      <c r="AT103" s="487"/>
      <c r="AU103" s="157"/>
      <c r="AV103" s="157"/>
      <c r="AW103" s="157"/>
      <c r="AX103" s="157"/>
      <c r="AY103" s="157"/>
      <c r="AZ103" s="157"/>
      <c r="BA103" s="157"/>
      <c r="BB103" s="157"/>
      <c r="BC103" s="157"/>
      <c r="BD103" s="157"/>
    </row>
    <row r="104" spans="2:61">
      <c r="B104" s="1027"/>
      <c r="C104" s="1027"/>
      <c r="D104" s="1027"/>
      <c r="E104" s="1027"/>
      <c r="F104" s="1027"/>
      <c r="G104" s="1027"/>
      <c r="H104" s="1027"/>
      <c r="I104" s="1027"/>
      <c r="J104" s="1027"/>
      <c r="K104" s="1027"/>
      <c r="L104" s="1027"/>
      <c r="M104" s="1027"/>
      <c r="N104" s="1027"/>
      <c r="O104" s="1027"/>
      <c r="P104" s="1714"/>
      <c r="Q104" s="115"/>
      <c r="AD104" s="487"/>
      <c r="AE104" s="487"/>
      <c r="AF104" s="487"/>
      <c r="AG104" s="487"/>
      <c r="AH104" s="487"/>
      <c r="AI104" s="487"/>
      <c r="AJ104" s="487"/>
      <c r="AK104" s="487"/>
      <c r="AL104" s="487"/>
      <c r="AM104" s="487"/>
      <c r="AN104" s="487"/>
      <c r="AO104" s="487"/>
      <c r="AP104" s="487"/>
      <c r="AQ104" s="487"/>
      <c r="AR104" s="487"/>
      <c r="AS104" s="487"/>
      <c r="AT104" s="487"/>
      <c r="AU104" s="157"/>
      <c r="AV104" s="157"/>
      <c r="AW104" s="157"/>
      <c r="AX104" s="157"/>
      <c r="AY104" s="157"/>
      <c r="AZ104" s="157"/>
      <c r="BA104" s="157"/>
      <c r="BB104" s="157"/>
      <c r="BC104" s="157"/>
      <c r="BD104" s="157"/>
    </row>
    <row r="105" spans="2:61" ht="14.45" customHeight="1">
      <c r="B105" s="1228" t="s">
        <v>5221</v>
      </c>
      <c r="C105" s="1027"/>
      <c r="D105" s="1027"/>
      <c r="E105" s="1027"/>
      <c r="F105" s="1027"/>
      <c r="G105" s="1027"/>
      <c r="H105" s="1027"/>
      <c r="I105" s="1027"/>
      <c r="J105" s="1027"/>
      <c r="K105" s="1027"/>
      <c r="L105" s="1027"/>
      <c r="M105" s="1027"/>
      <c r="N105" s="1027"/>
      <c r="O105" s="1027"/>
      <c r="P105" s="1714"/>
      <c r="Q105" s="115"/>
      <c r="AD105" s="487"/>
      <c r="AE105" s="487"/>
      <c r="AF105" s="487"/>
      <c r="AG105" s="487"/>
      <c r="AH105" s="487"/>
      <c r="AI105" s="487"/>
      <c r="AJ105" s="487"/>
      <c r="AK105" s="487"/>
      <c r="AL105" s="487"/>
      <c r="AM105" s="487"/>
      <c r="AN105" s="487"/>
      <c r="AO105" s="487"/>
      <c r="AP105" s="487"/>
      <c r="AQ105" s="487"/>
      <c r="AR105" s="487"/>
      <c r="AS105" s="487"/>
      <c r="AT105" s="487"/>
      <c r="AU105" s="157"/>
      <c r="AV105" s="157"/>
      <c r="AW105" s="157"/>
      <c r="AX105" s="157"/>
      <c r="AY105" s="157"/>
      <c r="AZ105" s="157"/>
      <c r="BA105" s="157"/>
      <c r="BB105" s="157"/>
      <c r="BC105" s="157"/>
      <c r="BD105" s="157"/>
    </row>
    <row r="106" spans="2:61">
      <c r="B106" s="1714" t="s">
        <v>5216</v>
      </c>
      <c r="C106" s="1027"/>
      <c r="D106" s="1027"/>
      <c r="E106" s="1027"/>
      <c r="F106" s="1027"/>
      <c r="G106" s="1027"/>
      <c r="H106" s="1027"/>
      <c r="I106" s="1027"/>
      <c r="J106" s="1027"/>
      <c r="K106" s="1027"/>
      <c r="L106" s="1027"/>
      <c r="M106" s="1027"/>
      <c r="N106" s="1027"/>
      <c r="O106" s="1027"/>
      <c r="P106" s="1027"/>
      <c r="Q106" s="115"/>
      <c r="AB106" s="487"/>
      <c r="AC106" s="487"/>
      <c r="AD106" s="487"/>
      <c r="AE106" s="487"/>
      <c r="AF106" s="487"/>
      <c r="AG106" s="487"/>
      <c r="AH106" s="487"/>
      <c r="AI106" s="487"/>
      <c r="AJ106" s="487"/>
      <c r="AK106" s="487"/>
      <c r="AL106" s="487"/>
      <c r="AM106" s="487"/>
      <c r="AN106" s="487"/>
      <c r="AO106" s="487"/>
      <c r="AP106" s="487"/>
      <c r="AQ106" s="487"/>
      <c r="AR106" s="487"/>
      <c r="AS106" s="487"/>
      <c r="AT106" s="487"/>
      <c r="AU106" s="157"/>
      <c r="AV106" s="157"/>
      <c r="AW106" s="157"/>
      <c r="AX106" s="157"/>
      <c r="AY106" s="157"/>
      <c r="AZ106" s="157"/>
      <c r="BA106" s="157"/>
      <c r="BB106" s="157"/>
      <c r="BC106" s="157"/>
      <c r="BD106" s="157"/>
    </row>
    <row r="107" spans="2:61">
      <c r="B107" s="1027"/>
      <c r="C107" s="2547" t="s">
        <v>5187</v>
      </c>
      <c r="D107" s="2550" t="s">
        <v>5002</v>
      </c>
      <c r="E107" s="2533" t="s">
        <v>5033</v>
      </c>
      <c r="F107" s="2534"/>
      <c r="G107" s="2534"/>
      <c r="H107" s="2534"/>
      <c r="I107" s="2534"/>
      <c r="J107" s="2534"/>
      <c r="K107" s="2534"/>
      <c r="L107" s="2534"/>
      <c r="M107" s="2534"/>
      <c r="N107" s="2534"/>
      <c r="O107" s="2535"/>
      <c r="P107" s="1027"/>
      <c r="Q107" s="115"/>
      <c r="AB107" s="487"/>
      <c r="AC107" s="487"/>
      <c r="AD107" s="487"/>
      <c r="AE107" s="487"/>
      <c r="AF107" s="487"/>
      <c r="AG107" s="487"/>
      <c r="AH107" s="487"/>
      <c r="AI107" s="487"/>
      <c r="AJ107" s="487"/>
      <c r="AK107" s="487"/>
      <c r="AL107" s="487"/>
      <c r="AM107" s="487"/>
      <c r="AN107" s="487"/>
      <c r="AO107" s="487"/>
      <c r="AP107" s="487"/>
      <c r="AQ107" s="487"/>
      <c r="AR107" s="487"/>
      <c r="AS107" s="487"/>
      <c r="AT107" s="487"/>
      <c r="AU107" s="157"/>
      <c r="AV107" s="157"/>
      <c r="AW107" s="157"/>
      <c r="AX107" s="157"/>
      <c r="AY107" s="157"/>
      <c r="AZ107" s="157"/>
      <c r="BA107" s="157"/>
      <c r="BB107" s="157"/>
      <c r="BC107" s="157"/>
      <c r="BD107" s="157"/>
    </row>
    <row r="108" spans="2:61">
      <c r="B108" s="1027"/>
      <c r="C108" s="2547"/>
      <c r="D108" s="2550"/>
      <c r="E108" s="2536"/>
      <c r="F108" s="2537"/>
      <c r="G108" s="2537"/>
      <c r="H108" s="2537"/>
      <c r="I108" s="2537"/>
      <c r="J108" s="2537"/>
      <c r="K108" s="2537"/>
      <c r="L108" s="2537"/>
      <c r="M108" s="2537"/>
      <c r="N108" s="2537"/>
      <c r="O108" s="2538"/>
      <c r="P108" s="1027"/>
      <c r="Q108" s="115"/>
      <c r="AB108" s="487"/>
      <c r="AC108" s="487"/>
      <c r="AD108" s="487"/>
      <c r="AE108" s="487"/>
      <c r="AF108" s="487"/>
      <c r="AG108" s="487"/>
      <c r="AH108" s="487"/>
      <c r="AI108" s="487"/>
      <c r="AJ108" s="487"/>
      <c r="AK108" s="487"/>
      <c r="AL108" s="487"/>
      <c r="AM108" s="487"/>
      <c r="AN108" s="487"/>
      <c r="AO108" s="487"/>
      <c r="AP108" s="487"/>
      <c r="AQ108" s="487"/>
      <c r="AR108" s="487"/>
      <c r="AS108" s="487"/>
      <c r="AT108" s="487"/>
      <c r="AU108" s="157"/>
      <c r="AV108" s="157"/>
      <c r="AW108" s="157"/>
      <c r="AX108" s="157"/>
      <c r="AY108" s="157"/>
      <c r="AZ108" s="157"/>
      <c r="BA108" s="157"/>
      <c r="BB108" s="157"/>
      <c r="BC108" s="157"/>
      <c r="BD108" s="157"/>
    </row>
    <row r="109" spans="2:61" ht="168.75" customHeight="1">
      <c r="B109" s="1027"/>
      <c r="C109" s="1752"/>
      <c r="D109" s="1754">
        <v>2</v>
      </c>
      <c r="E109" s="2548" t="s">
        <v>5222</v>
      </c>
      <c r="F109" s="2548"/>
      <c r="G109" s="2548"/>
      <c r="H109" s="2548"/>
      <c r="I109" s="2548"/>
      <c r="J109" s="2548"/>
      <c r="K109" s="2548"/>
      <c r="L109" s="2548"/>
      <c r="M109" s="2548"/>
      <c r="N109" s="2548"/>
      <c r="O109" s="2548"/>
      <c r="P109" s="1027"/>
      <c r="Q109" s="115"/>
      <c r="R109" s="1787" t="b">
        <f t="shared" ref="R109:R119" si="0">C109="yes"</f>
        <v>0</v>
      </c>
      <c r="S109" s="1789">
        <f t="shared" ref="S109:S119" si="1">IF(R109,D109,0)</f>
        <v>0</v>
      </c>
      <c r="AB109" s="487"/>
      <c r="AC109" s="487"/>
      <c r="AD109" s="487"/>
      <c r="AE109" s="487"/>
      <c r="AF109" s="487"/>
      <c r="AG109" s="487"/>
      <c r="AH109" s="487"/>
      <c r="AI109" s="487"/>
      <c r="AJ109" s="487"/>
      <c r="AK109" s="487"/>
      <c r="AL109" s="487"/>
      <c r="AM109" s="487"/>
      <c r="AN109" s="487"/>
      <c r="AO109" s="487"/>
      <c r="AP109" s="487"/>
      <c r="AQ109" s="487"/>
      <c r="AR109" s="487"/>
      <c r="AS109" s="487"/>
      <c r="AT109" s="487"/>
      <c r="AU109" s="157"/>
      <c r="AV109" s="157"/>
      <c r="AW109" s="157"/>
      <c r="AX109" s="157"/>
      <c r="AY109" s="157"/>
      <c r="AZ109" s="157"/>
      <c r="BA109" s="157"/>
      <c r="BB109" s="157"/>
      <c r="BC109" s="157"/>
      <c r="BD109" s="157"/>
    </row>
    <row r="110" spans="2:61" ht="167.45" customHeight="1">
      <c r="B110" s="1027"/>
      <c r="C110" s="159"/>
      <c r="D110" s="1754">
        <v>2</v>
      </c>
      <c r="E110" s="2548" t="s">
        <v>5223</v>
      </c>
      <c r="F110" s="2549"/>
      <c r="G110" s="2549"/>
      <c r="H110" s="2549"/>
      <c r="I110" s="2549"/>
      <c r="J110" s="2549"/>
      <c r="K110" s="2549"/>
      <c r="L110" s="2549"/>
      <c r="M110" s="2549"/>
      <c r="N110" s="2549"/>
      <c r="O110" s="2549"/>
      <c r="P110" s="1027"/>
      <c r="Q110" s="115"/>
      <c r="R110" s="1787" t="b">
        <f t="shared" si="0"/>
        <v>0</v>
      </c>
      <c r="S110" s="1789">
        <f t="shared" si="1"/>
        <v>0</v>
      </c>
      <c r="AB110" s="487"/>
      <c r="AC110" s="487"/>
      <c r="AD110" s="487"/>
      <c r="AE110" s="487"/>
      <c r="AF110" s="487"/>
      <c r="AG110" s="487"/>
      <c r="AH110" s="487"/>
      <c r="AI110" s="487"/>
      <c r="AJ110" s="487"/>
      <c r="AK110" s="487"/>
      <c r="AL110" s="487"/>
      <c r="AM110" s="487"/>
      <c r="AN110" s="487"/>
      <c r="AO110" s="487"/>
      <c r="AP110" s="487"/>
      <c r="AQ110" s="487"/>
      <c r="AR110" s="487"/>
      <c r="AS110" s="487"/>
      <c r="AT110" s="487"/>
      <c r="AU110" s="157"/>
      <c r="AV110" s="157"/>
      <c r="AW110" s="157"/>
      <c r="AX110" s="157"/>
      <c r="AY110" s="157"/>
      <c r="AZ110" s="157"/>
      <c r="BA110" s="157"/>
      <c r="BB110" s="157"/>
      <c r="BC110" s="157"/>
      <c r="BD110" s="157"/>
    </row>
    <row r="111" spans="2:61" ht="30" customHeight="1">
      <c r="B111" s="1027"/>
      <c r="C111" s="1752"/>
      <c r="D111" s="1754">
        <v>1</v>
      </c>
      <c r="E111" s="2548" t="s">
        <v>5224</v>
      </c>
      <c r="F111" s="2548"/>
      <c r="G111" s="2548"/>
      <c r="H111" s="2548"/>
      <c r="I111" s="2548"/>
      <c r="J111" s="2548"/>
      <c r="K111" s="2548"/>
      <c r="L111" s="2548"/>
      <c r="M111" s="2548"/>
      <c r="N111" s="2548"/>
      <c r="O111" s="2548"/>
      <c r="P111" s="1027"/>
      <c r="Q111" s="115"/>
      <c r="R111" s="1787" t="b">
        <f t="shared" si="0"/>
        <v>0</v>
      </c>
      <c r="S111" s="157">
        <f t="shared" si="1"/>
        <v>0</v>
      </c>
      <c r="AF111" s="487"/>
      <c r="AI111" s="487"/>
      <c r="AJ111" s="487"/>
      <c r="AK111" s="487"/>
      <c r="AL111" s="487"/>
      <c r="AM111" s="487"/>
      <c r="AN111" s="487"/>
      <c r="AO111" s="487"/>
      <c r="AP111" s="487"/>
      <c r="AQ111" s="487"/>
      <c r="AR111" s="487"/>
      <c r="AS111" s="487"/>
      <c r="AT111" s="487"/>
      <c r="AU111" s="487"/>
      <c r="AV111" s="487"/>
      <c r="AW111" s="487"/>
      <c r="AX111" s="487"/>
      <c r="AY111" s="487"/>
      <c r="AZ111" s="157"/>
      <c r="BA111" s="157"/>
      <c r="BB111" s="157"/>
      <c r="BC111" s="157"/>
      <c r="BD111" s="157"/>
      <c r="BE111" s="157"/>
      <c r="BF111" s="157"/>
      <c r="BG111" s="157"/>
      <c r="BH111" s="157"/>
      <c r="BI111" s="157"/>
    </row>
    <row r="112" spans="2:61" ht="29.25" customHeight="1">
      <c r="B112" s="1027"/>
      <c r="C112" s="1752"/>
      <c r="D112" s="1754">
        <v>1</v>
      </c>
      <c r="E112" s="2548" t="s">
        <v>5225</v>
      </c>
      <c r="F112" s="2548"/>
      <c r="G112" s="2548"/>
      <c r="H112" s="2548"/>
      <c r="I112" s="2548"/>
      <c r="J112" s="2548"/>
      <c r="K112" s="2548"/>
      <c r="L112" s="2548"/>
      <c r="M112" s="2548"/>
      <c r="N112" s="2548"/>
      <c r="O112" s="2548"/>
      <c r="P112" s="1027"/>
      <c r="Q112" s="115"/>
      <c r="R112" s="1787" t="b">
        <f t="shared" si="0"/>
        <v>0</v>
      </c>
      <c r="S112" s="157">
        <f t="shared" si="1"/>
        <v>0</v>
      </c>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157"/>
      <c r="BA112" s="157"/>
      <c r="BB112" s="157"/>
      <c r="BC112" s="157"/>
      <c r="BD112" s="157"/>
      <c r="BE112" s="157"/>
      <c r="BF112" s="157"/>
      <c r="BG112" s="157"/>
      <c r="BH112" s="157"/>
      <c r="BI112" s="157"/>
    </row>
    <row r="113" spans="2:61" ht="120.75" customHeight="1">
      <c r="B113" s="1027"/>
      <c r="C113" s="1752"/>
      <c r="D113" s="1754">
        <v>2</v>
      </c>
      <c r="E113" s="2548" t="s">
        <v>5226</v>
      </c>
      <c r="F113" s="2548"/>
      <c r="G113" s="2548"/>
      <c r="H113" s="2548"/>
      <c r="I113" s="2548"/>
      <c r="J113" s="2548"/>
      <c r="K113" s="2548"/>
      <c r="L113" s="2548"/>
      <c r="M113" s="2548"/>
      <c r="N113" s="2548"/>
      <c r="O113" s="2548"/>
      <c r="P113" s="1027"/>
      <c r="Q113" s="115"/>
      <c r="R113" s="1787" t="b">
        <f t="shared" si="0"/>
        <v>0</v>
      </c>
      <c r="S113" s="157">
        <f t="shared" si="1"/>
        <v>0</v>
      </c>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157"/>
      <c r="BA113" s="157"/>
      <c r="BB113" s="157"/>
      <c r="BC113" s="157"/>
      <c r="BD113" s="157"/>
      <c r="BE113" s="157"/>
      <c r="BF113" s="157"/>
      <c r="BG113" s="157"/>
      <c r="BH113" s="157"/>
      <c r="BI113" s="157"/>
    </row>
    <row r="114" spans="2:61" ht="150" customHeight="1">
      <c r="B114" s="1027"/>
      <c r="C114" s="1752"/>
      <c r="D114" s="1754">
        <v>2</v>
      </c>
      <c r="E114" s="2548" t="s">
        <v>5227</v>
      </c>
      <c r="F114" s="2548"/>
      <c r="G114" s="2548"/>
      <c r="H114" s="2548"/>
      <c r="I114" s="2548"/>
      <c r="J114" s="2548"/>
      <c r="K114" s="2548"/>
      <c r="L114" s="2548"/>
      <c r="M114" s="2548"/>
      <c r="N114" s="2548"/>
      <c r="O114" s="2548"/>
      <c r="P114" s="1027"/>
      <c r="Q114" s="115"/>
      <c r="R114" s="1787" t="b">
        <f t="shared" si="0"/>
        <v>0</v>
      </c>
      <c r="S114" s="157">
        <f t="shared" si="1"/>
        <v>0</v>
      </c>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157"/>
      <c r="BA114" s="157"/>
      <c r="BB114" s="157"/>
      <c r="BC114" s="157"/>
      <c r="BD114" s="157"/>
      <c r="BE114" s="157"/>
      <c r="BF114" s="157"/>
      <c r="BG114" s="157"/>
      <c r="BH114" s="157"/>
      <c r="BI114" s="157"/>
    </row>
    <row r="115" spans="2:61" ht="108" customHeight="1">
      <c r="B115" s="1027"/>
      <c r="C115" s="1752"/>
      <c r="D115" s="865">
        <v>2</v>
      </c>
      <c r="E115" s="2548" t="s">
        <v>5228</v>
      </c>
      <c r="F115" s="2548"/>
      <c r="G115" s="2548"/>
      <c r="H115" s="2548"/>
      <c r="I115" s="2548"/>
      <c r="J115" s="2548"/>
      <c r="K115" s="2548"/>
      <c r="L115" s="2548"/>
      <c r="M115" s="2548"/>
      <c r="N115" s="2548"/>
      <c r="O115" s="2548"/>
      <c r="P115" s="1027"/>
      <c r="Q115" s="115"/>
      <c r="R115" s="1787" t="b">
        <f t="shared" si="0"/>
        <v>0</v>
      </c>
      <c r="S115" s="157">
        <f t="shared" si="1"/>
        <v>0</v>
      </c>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157"/>
      <c r="BA115" s="157"/>
      <c r="BB115" s="157"/>
      <c r="BC115" s="157"/>
      <c r="BD115" s="157"/>
      <c r="BE115" s="157"/>
      <c r="BF115" s="157"/>
      <c r="BG115" s="157"/>
      <c r="BH115" s="157"/>
      <c r="BI115" s="157"/>
    </row>
    <row r="116" spans="2:61" ht="106.9" customHeight="1">
      <c r="B116" s="1027"/>
      <c r="C116" s="1752"/>
      <c r="D116" s="1754">
        <v>2</v>
      </c>
      <c r="E116" s="2548" t="s">
        <v>5229</v>
      </c>
      <c r="F116" s="2548"/>
      <c r="G116" s="2548"/>
      <c r="H116" s="2548"/>
      <c r="I116" s="2548"/>
      <c r="J116" s="2548"/>
      <c r="K116" s="2548"/>
      <c r="L116" s="2548"/>
      <c r="M116" s="2548"/>
      <c r="N116" s="2548"/>
      <c r="O116" s="2548"/>
      <c r="P116" s="1027"/>
      <c r="Q116" s="115"/>
      <c r="R116" s="1787" t="b">
        <f t="shared" si="0"/>
        <v>0</v>
      </c>
      <c r="S116" s="157">
        <f t="shared" si="1"/>
        <v>0</v>
      </c>
      <c r="AD116" s="943"/>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157"/>
      <c r="BA116" s="157"/>
      <c r="BB116" s="157"/>
      <c r="BC116" s="157"/>
      <c r="BD116" s="157"/>
      <c r="BE116" s="157"/>
      <c r="BF116" s="157"/>
      <c r="BG116" s="157"/>
      <c r="BH116" s="157"/>
      <c r="BI116" s="157"/>
    </row>
    <row r="117" spans="2:61" ht="125.25" customHeight="1">
      <c r="B117" s="1027"/>
      <c r="C117" s="1752"/>
      <c r="D117" s="1754">
        <v>1</v>
      </c>
      <c r="E117" s="2548" t="s">
        <v>5230</v>
      </c>
      <c r="F117" s="2548"/>
      <c r="G117" s="2548"/>
      <c r="H117" s="2548"/>
      <c r="I117" s="2548"/>
      <c r="J117" s="2548"/>
      <c r="K117" s="2548"/>
      <c r="L117" s="2548"/>
      <c r="M117" s="2548"/>
      <c r="N117" s="2548"/>
      <c r="O117" s="2548"/>
      <c r="P117" s="1027"/>
      <c r="Q117" s="115"/>
      <c r="R117" s="1787" t="b">
        <f t="shared" si="0"/>
        <v>0</v>
      </c>
      <c r="S117" s="157">
        <f t="shared" si="1"/>
        <v>0</v>
      </c>
      <c r="AF117" s="487"/>
      <c r="AI117" s="487"/>
      <c r="AJ117" s="487"/>
      <c r="AK117" s="487"/>
      <c r="AL117" s="487"/>
      <c r="AM117" s="487"/>
      <c r="AN117" s="487"/>
      <c r="AO117" s="487"/>
      <c r="AP117" s="487"/>
      <c r="AQ117" s="487"/>
      <c r="AR117" s="487"/>
      <c r="AS117" s="487"/>
      <c r="AT117" s="487"/>
      <c r="AU117" s="487"/>
      <c r="AV117" s="487"/>
      <c r="AW117" s="487"/>
      <c r="AX117" s="487"/>
      <c r="AY117" s="487"/>
      <c r="AZ117" s="157"/>
      <c r="BA117" s="157"/>
      <c r="BB117" s="157"/>
      <c r="BC117" s="157"/>
      <c r="BD117" s="157"/>
      <c r="BE117" s="157"/>
      <c r="BF117" s="157"/>
      <c r="BG117" s="157"/>
      <c r="BH117" s="157"/>
      <c r="BI117" s="157"/>
    </row>
    <row r="118" spans="2:61" ht="76.5" customHeight="1">
      <c r="B118" s="1027"/>
      <c r="C118" s="1752"/>
      <c r="D118" s="1754">
        <v>1</v>
      </c>
      <c r="E118" s="2548" t="s">
        <v>5231</v>
      </c>
      <c r="F118" s="2549"/>
      <c r="G118" s="2549"/>
      <c r="H118" s="2549"/>
      <c r="I118" s="2549"/>
      <c r="J118" s="2549"/>
      <c r="K118" s="2549"/>
      <c r="L118" s="2549"/>
      <c r="M118" s="2549"/>
      <c r="N118" s="2549"/>
      <c r="O118" s="2549"/>
      <c r="P118" s="1027"/>
      <c r="Q118" s="115"/>
      <c r="R118" s="1787" t="b">
        <f t="shared" si="0"/>
        <v>0</v>
      </c>
      <c r="S118" s="157">
        <f t="shared" si="1"/>
        <v>0</v>
      </c>
      <c r="AF118" s="487"/>
      <c r="AI118" s="487"/>
      <c r="AJ118" s="487"/>
      <c r="AK118" s="487"/>
      <c r="AL118" s="487"/>
      <c r="AM118" s="487"/>
      <c r="AN118" s="487"/>
      <c r="AO118" s="487"/>
      <c r="AP118" s="487"/>
      <c r="AQ118" s="487"/>
      <c r="AR118" s="487"/>
      <c r="AS118" s="487"/>
      <c r="AT118" s="487"/>
      <c r="AU118" s="487"/>
      <c r="AV118" s="487"/>
      <c r="AW118" s="487"/>
      <c r="AX118" s="487"/>
      <c r="AY118" s="487"/>
      <c r="AZ118" s="157"/>
      <c r="BA118" s="157"/>
      <c r="BB118" s="157"/>
      <c r="BC118" s="157"/>
      <c r="BD118" s="157"/>
      <c r="BE118" s="157"/>
      <c r="BF118" s="157"/>
      <c r="BG118" s="157"/>
      <c r="BH118" s="157"/>
      <c r="BI118" s="157"/>
    </row>
    <row r="119" spans="2:61">
      <c r="B119" s="1027"/>
      <c r="C119" s="1752"/>
      <c r="D119" s="1754">
        <v>1</v>
      </c>
      <c r="E119" s="2568" t="s">
        <v>5232</v>
      </c>
      <c r="F119" s="2568"/>
      <c r="G119" s="2568"/>
      <c r="H119" s="2568"/>
      <c r="I119" s="2568"/>
      <c r="J119" s="2568"/>
      <c r="K119" s="2568"/>
      <c r="L119" s="2568"/>
      <c r="M119" s="2568"/>
      <c r="N119" s="2568"/>
      <c r="O119" s="2568"/>
      <c r="P119" s="1027"/>
      <c r="Q119" s="115"/>
      <c r="R119" s="1787" t="b">
        <f t="shared" si="0"/>
        <v>0</v>
      </c>
      <c r="S119" s="157">
        <f t="shared" si="1"/>
        <v>0</v>
      </c>
      <c r="AF119" s="487"/>
      <c r="AI119" s="487"/>
      <c r="AJ119" s="487"/>
      <c r="AK119" s="487"/>
      <c r="AL119" s="487"/>
      <c r="AM119" s="487"/>
      <c r="AN119" s="487"/>
      <c r="AO119" s="487"/>
      <c r="AP119" s="487"/>
      <c r="AQ119" s="487"/>
      <c r="AR119" s="487"/>
      <c r="AS119" s="487"/>
      <c r="AT119" s="487"/>
      <c r="AU119" s="487"/>
      <c r="AV119" s="487"/>
      <c r="AW119" s="487"/>
      <c r="AX119" s="487"/>
      <c r="AY119" s="487"/>
      <c r="AZ119" s="157"/>
      <c r="BA119" s="157"/>
      <c r="BB119" s="157"/>
      <c r="BC119" s="157"/>
      <c r="BD119" s="157"/>
      <c r="BE119" s="157"/>
      <c r="BF119" s="157"/>
      <c r="BG119" s="157"/>
      <c r="BH119" s="157"/>
      <c r="BI119" s="157"/>
    </row>
    <row r="120" spans="2:61">
      <c r="B120" s="1027"/>
      <c r="C120" s="1027"/>
      <c r="D120" s="1027"/>
      <c r="E120" s="1027"/>
      <c r="F120" s="1027"/>
      <c r="G120" s="1027"/>
      <c r="H120" s="1027"/>
      <c r="I120" s="1027"/>
      <c r="J120" s="1027"/>
      <c r="K120" s="1027"/>
      <c r="L120" s="1027"/>
      <c r="M120" s="1027"/>
      <c r="N120" s="1027"/>
      <c r="O120" s="1027"/>
      <c r="P120" s="1027"/>
      <c r="Q120" s="115"/>
      <c r="AF120" s="487"/>
      <c r="AI120" s="487"/>
      <c r="AJ120" s="487"/>
      <c r="AK120" s="487"/>
      <c r="AL120" s="487"/>
      <c r="AM120" s="487"/>
      <c r="AN120" s="487"/>
      <c r="AO120" s="487"/>
      <c r="AP120" s="487"/>
      <c r="AQ120" s="487"/>
      <c r="AR120" s="487"/>
      <c r="AS120" s="487"/>
      <c r="AT120" s="487"/>
      <c r="AU120" s="487"/>
      <c r="AV120" s="487"/>
      <c r="AW120" s="487"/>
      <c r="AX120" s="487"/>
      <c r="AY120" s="487"/>
      <c r="AZ120" s="157"/>
      <c r="BA120" s="157"/>
      <c r="BB120" s="157"/>
      <c r="BC120" s="157"/>
      <c r="BD120" s="157"/>
      <c r="BE120" s="157"/>
      <c r="BF120" s="157"/>
      <c r="BG120" s="157"/>
      <c r="BH120" s="157"/>
      <c r="BI120" s="157"/>
    </row>
    <row r="121" spans="2:61" ht="15.75">
      <c r="B121" s="1228" t="s">
        <v>5233</v>
      </c>
      <c r="C121" s="1027"/>
      <c r="D121" s="1027"/>
      <c r="E121" s="1027"/>
      <c r="F121" s="1027"/>
      <c r="G121" s="1027"/>
      <c r="H121" s="1027"/>
      <c r="I121" s="1027"/>
      <c r="J121" s="1027"/>
      <c r="K121" s="1027"/>
      <c r="L121" s="1027"/>
      <c r="M121" s="1027"/>
      <c r="N121" s="1027"/>
      <c r="O121" s="1027"/>
      <c r="P121" s="1027"/>
      <c r="Q121" s="115"/>
      <c r="AF121" s="487"/>
      <c r="AI121" s="487"/>
      <c r="AJ121" s="487"/>
      <c r="AK121" s="487"/>
      <c r="AL121" s="487"/>
      <c r="AM121" s="487"/>
      <c r="AN121" s="487"/>
      <c r="AO121" s="487"/>
      <c r="AP121" s="487"/>
      <c r="AQ121" s="487"/>
      <c r="AR121" s="487"/>
      <c r="AS121" s="487"/>
      <c r="AT121" s="487"/>
      <c r="AU121" s="487"/>
      <c r="AV121" s="487"/>
      <c r="AW121" s="487"/>
      <c r="AX121" s="487"/>
      <c r="AY121" s="487"/>
      <c r="AZ121" s="157"/>
      <c r="BA121" s="157"/>
      <c r="BB121" s="157"/>
      <c r="BC121" s="157"/>
      <c r="BD121" s="157"/>
      <c r="BE121" s="157"/>
      <c r="BF121" s="157"/>
      <c r="BG121" s="157"/>
      <c r="BH121" s="157"/>
      <c r="BI121" s="157"/>
    </row>
    <row r="122" spans="2:61" ht="15.75">
      <c r="B122" s="1229" t="s">
        <v>5234</v>
      </c>
      <c r="C122" s="1027"/>
      <c r="D122" s="1027"/>
      <c r="E122" s="1027"/>
      <c r="F122" s="1027"/>
      <c r="G122" s="1027"/>
      <c r="H122" s="1027"/>
      <c r="I122" s="1027"/>
      <c r="J122" s="1027"/>
      <c r="K122" s="1027"/>
      <c r="L122" s="1027"/>
      <c r="M122" s="1027"/>
      <c r="N122" s="1027"/>
      <c r="O122" s="1027"/>
      <c r="P122" s="1027"/>
      <c r="Q122" s="115"/>
      <c r="AF122" s="487"/>
      <c r="AI122" s="487"/>
      <c r="AJ122" s="487"/>
      <c r="AK122" s="487"/>
      <c r="AL122" s="487"/>
      <c r="AM122" s="487"/>
      <c r="AN122" s="487"/>
      <c r="AO122" s="487"/>
      <c r="AP122" s="487"/>
      <c r="AQ122" s="487"/>
      <c r="AR122" s="487"/>
      <c r="AS122" s="487"/>
      <c r="AT122" s="487"/>
      <c r="AU122" s="487"/>
      <c r="AV122" s="487"/>
      <c r="AW122" s="487"/>
      <c r="AX122" s="487"/>
      <c r="AY122" s="487"/>
      <c r="AZ122" s="157"/>
      <c r="BA122" s="157"/>
      <c r="BB122" s="157"/>
      <c r="BC122" s="157"/>
      <c r="BD122" s="157"/>
      <c r="BE122" s="157"/>
      <c r="BF122" s="157"/>
      <c r="BG122" s="157"/>
      <c r="BH122" s="157"/>
      <c r="BI122" s="157"/>
    </row>
    <row r="123" spans="2:61">
      <c r="B123" s="1027"/>
      <c r="C123" s="2547" t="s">
        <v>5187</v>
      </c>
      <c r="D123" s="2550" t="s">
        <v>5002</v>
      </c>
      <c r="E123" s="2533" t="s">
        <v>5033</v>
      </c>
      <c r="F123" s="2534"/>
      <c r="G123" s="2534"/>
      <c r="H123" s="2534"/>
      <c r="I123" s="2534"/>
      <c r="J123" s="2534"/>
      <c r="K123" s="2534"/>
      <c r="L123" s="2534"/>
      <c r="M123" s="2534"/>
      <c r="N123" s="2534"/>
      <c r="O123" s="2535"/>
      <c r="P123" s="1027"/>
      <c r="Q123" s="115"/>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157"/>
      <c r="AQ123" s="157"/>
      <c r="AR123" s="157"/>
      <c r="AS123" s="157"/>
      <c r="AT123" s="157"/>
      <c r="AU123" s="157"/>
      <c r="AV123" s="157"/>
      <c r="AW123" s="157"/>
      <c r="AX123" s="157"/>
      <c r="AY123" s="157"/>
    </row>
    <row r="124" spans="2:61" ht="15.6" customHeight="1">
      <c r="B124" s="1027"/>
      <c r="C124" s="2559"/>
      <c r="D124" s="2560"/>
      <c r="E124" s="2561"/>
      <c r="F124" s="2562"/>
      <c r="G124" s="2562"/>
      <c r="H124" s="2562"/>
      <c r="I124" s="2562"/>
      <c r="J124" s="2562"/>
      <c r="K124" s="2562"/>
      <c r="L124" s="2562"/>
      <c r="M124" s="2562"/>
      <c r="N124" s="2562"/>
      <c r="O124" s="2563"/>
      <c r="P124" s="1027"/>
      <c r="Q124" s="115"/>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157"/>
      <c r="AQ124" s="157"/>
      <c r="AR124" s="157"/>
      <c r="AS124" s="157"/>
      <c r="AT124" s="157"/>
      <c r="AU124" s="157"/>
      <c r="AV124" s="157"/>
      <c r="AW124" s="157"/>
      <c r="AX124" s="157"/>
      <c r="AY124" s="157"/>
    </row>
    <row r="125" spans="2:61" ht="60.6" customHeight="1">
      <c r="B125" s="1027"/>
      <c r="C125" s="1752"/>
      <c r="D125" s="1754">
        <v>1</v>
      </c>
      <c r="E125" s="2543" t="s">
        <v>5235</v>
      </c>
      <c r="F125" s="2543"/>
      <c r="G125" s="2543"/>
      <c r="H125" s="2543"/>
      <c r="I125" s="2543"/>
      <c r="J125" s="2543"/>
      <c r="K125" s="2543"/>
      <c r="L125" s="2543"/>
      <c r="M125" s="2543"/>
      <c r="N125" s="2543"/>
      <c r="O125" s="2543"/>
      <c r="P125" s="1027"/>
      <c r="Q125" s="487"/>
      <c r="R125" s="1787" t="b">
        <f t="shared" ref="R125:R131" si="2">C125="yes"</f>
        <v>0</v>
      </c>
      <c r="S125" s="157">
        <f t="shared" ref="S125:S132" si="3">IF(R125,D125,0)</f>
        <v>0</v>
      </c>
      <c r="T125" s="487"/>
      <c r="U125" s="487"/>
      <c r="V125" s="487"/>
      <c r="W125" s="487"/>
      <c r="X125" s="487"/>
      <c r="Y125" s="487"/>
      <c r="Z125" s="487"/>
      <c r="AA125" s="487"/>
      <c r="AB125" s="487"/>
      <c r="AC125" s="487"/>
      <c r="AD125" s="487"/>
      <c r="AE125" s="487"/>
      <c r="AF125" s="487"/>
      <c r="AG125" s="487"/>
      <c r="AH125" s="487"/>
      <c r="AI125" s="487"/>
      <c r="AJ125" s="487"/>
      <c r="AK125" s="157"/>
      <c r="AL125" s="157"/>
      <c r="AM125" s="157"/>
      <c r="AN125" s="157"/>
      <c r="AO125" s="157"/>
      <c r="AP125" s="157"/>
      <c r="AQ125" s="157"/>
      <c r="AR125" s="157"/>
      <c r="AS125" s="157"/>
      <c r="AT125" s="157"/>
    </row>
    <row r="126" spans="2:61">
      <c r="B126" s="1027"/>
      <c r="C126" s="1752"/>
      <c r="D126" s="857">
        <v>2</v>
      </c>
      <c r="E126" s="2543" t="s">
        <v>5236</v>
      </c>
      <c r="F126" s="2543"/>
      <c r="G126" s="2543"/>
      <c r="H126" s="2543"/>
      <c r="I126" s="2543"/>
      <c r="J126" s="2543"/>
      <c r="K126" s="2543"/>
      <c r="L126" s="2543"/>
      <c r="M126" s="2543"/>
      <c r="N126" s="2543"/>
      <c r="O126" s="2543"/>
      <c r="P126" s="1027"/>
      <c r="Q126" s="487"/>
      <c r="R126" s="1787" t="b">
        <f>C126="yes"</f>
        <v>0</v>
      </c>
      <c r="S126" s="157">
        <f t="shared" si="3"/>
        <v>0</v>
      </c>
      <c r="T126" s="487"/>
      <c r="U126" s="487"/>
      <c r="V126" s="487"/>
      <c r="W126" s="487"/>
      <c r="X126" s="487"/>
      <c r="Y126" s="487"/>
      <c r="Z126" s="487"/>
      <c r="AA126" s="487"/>
      <c r="AB126" s="487"/>
      <c r="AC126" s="487"/>
      <c r="AD126" s="487"/>
      <c r="AE126" s="487"/>
      <c r="AF126" s="487"/>
      <c r="AG126" s="487"/>
      <c r="AH126" s="487"/>
      <c r="AI126" s="487"/>
      <c r="AJ126" s="487"/>
      <c r="AK126" s="157"/>
      <c r="AL126" s="157"/>
      <c r="AM126" s="157"/>
      <c r="AN126" s="157"/>
      <c r="AO126" s="157"/>
      <c r="AP126" s="157"/>
      <c r="AQ126" s="157"/>
      <c r="AR126" s="157"/>
      <c r="AS126" s="157"/>
      <c r="AT126" s="157"/>
    </row>
    <row r="127" spans="2:61" ht="15" customHeight="1">
      <c r="B127" s="1027"/>
      <c r="C127" s="1752"/>
      <c r="D127" s="853">
        <v>2</v>
      </c>
      <c r="E127" s="2543" t="s">
        <v>5237</v>
      </c>
      <c r="F127" s="2543"/>
      <c r="G127" s="2543"/>
      <c r="H127" s="2543"/>
      <c r="I127" s="2543"/>
      <c r="J127" s="2543"/>
      <c r="K127" s="2543"/>
      <c r="L127" s="2543"/>
      <c r="M127" s="2543"/>
      <c r="N127" s="2543"/>
      <c r="O127" s="2543"/>
      <c r="P127" s="1027"/>
      <c r="Q127" s="487"/>
      <c r="R127" s="1787" t="b">
        <f>C127="yes"</f>
        <v>0</v>
      </c>
      <c r="S127" s="157">
        <f t="shared" si="3"/>
        <v>0</v>
      </c>
      <c r="T127" s="487"/>
      <c r="U127" s="487"/>
      <c r="V127" s="487"/>
      <c r="W127" s="487"/>
      <c r="X127" s="487"/>
      <c r="Y127" s="487"/>
      <c r="Z127" s="487"/>
      <c r="AA127" s="487"/>
      <c r="AB127" s="487"/>
      <c r="AC127" s="487"/>
      <c r="AD127" s="487"/>
      <c r="AE127" s="487"/>
      <c r="AF127" s="487"/>
      <c r="AG127" s="487"/>
      <c r="AH127" s="487"/>
      <c r="AI127" s="487"/>
      <c r="AJ127" s="487"/>
      <c r="AK127" s="157"/>
      <c r="AL127" s="157"/>
      <c r="AM127" s="157"/>
      <c r="AN127" s="157"/>
      <c r="AO127" s="157"/>
      <c r="AP127" s="157"/>
      <c r="AQ127" s="157"/>
      <c r="AR127" s="157"/>
      <c r="AS127" s="157"/>
      <c r="AT127" s="157"/>
    </row>
    <row r="128" spans="2:61" ht="152.25" customHeight="1">
      <c r="B128" s="1027"/>
      <c r="C128" s="1752"/>
      <c r="D128" s="1755">
        <v>1</v>
      </c>
      <c r="E128" s="2543" t="s">
        <v>5238</v>
      </c>
      <c r="F128" s="2543"/>
      <c r="G128" s="2543"/>
      <c r="H128" s="2543"/>
      <c r="I128" s="2543"/>
      <c r="J128" s="2543"/>
      <c r="K128" s="2543"/>
      <c r="L128" s="2543"/>
      <c r="M128" s="2543"/>
      <c r="N128" s="2543"/>
      <c r="O128" s="2543"/>
      <c r="P128" s="1027"/>
      <c r="Q128" s="487"/>
      <c r="R128" s="1787" t="b">
        <f t="shared" si="2"/>
        <v>0</v>
      </c>
      <c r="S128" s="157">
        <f t="shared" si="3"/>
        <v>0</v>
      </c>
      <c r="T128" s="487"/>
      <c r="U128" s="487"/>
      <c r="V128" s="487"/>
      <c r="W128" s="487"/>
      <c r="X128" s="487"/>
      <c r="Y128" s="487"/>
      <c r="Z128" s="487"/>
      <c r="AA128" s="487"/>
      <c r="AB128" s="487"/>
      <c r="AC128" s="487"/>
      <c r="AD128" s="487"/>
      <c r="AE128" s="487"/>
      <c r="AF128" s="487"/>
      <c r="AG128" s="487"/>
      <c r="AH128" s="487"/>
      <c r="AI128" s="487"/>
      <c r="AJ128" s="487"/>
      <c r="AK128" s="157"/>
      <c r="AL128" s="157"/>
      <c r="AM128" s="157"/>
      <c r="AN128" s="157"/>
      <c r="AO128" s="157"/>
      <c r="AP128" s="157"/>
      <c r="AQ128" s="157"/>
      <c r="AR128" s="157"/>
      <c r="AS128" s="157"/>
      <c r="AT128" s="157"/>
    </row>
    <row r="129" spans="2:46" ht="82.9" customHeight="1">
      <c r="B129" s="1027"/>
      <c r="C129" s="1752"/>
      <c r="D129" s="1754">
        <v>1</v>
      </c>
      <c r="E129" s="2543" t="s">
        <v>5239</v>
      </c>
      <c r="F129" s="2543"/>
      <c r="G129" s="2543"/>
      <c r="H129" s="2543"/>
      <c r="I129" s="2543"/>
      <c r="J129" s="2543"/>
      <c r="K129" s="2543"/>
      <c r="L129" s="2543"/>
      <c r="M129" s="2543"/>
      <c r="N129" s="2543"/>
      <c r="O129" s="2543"/>
      <c r="P129" s="1027"/>
      <c r="Q129" s="487"/>
      <c r="R129" s="1787" t="b">
        <f t="shared" si="2"/>
        <v>0</v>
      </c>
      <c r="S129" s="157">
        <f t="shared" si="3"/>
        <v>0</v>
      </c>
      <c r="T129" s="487"/>
      <c r="U129" s="487"/>
      <c r="V129" s="487"/>
      <c r="W129" s="487"/>
      <c r="X129" s="487"/>
      <c r="Y129" s="487"/>
      <c r="Z129" s="487"/>
      <c r="AA129" s="487"/>
      <c r="AB129" s="487"/>
      <c r="AC129" s="487"/>
      <c r="AD129" s="487"/>
      <c r="AE129" s="487"/>
      <c r="AF129" s="487"/>
      <c r="AG129" s="487"/>
      <c r="AH129" s="487"/>
      <c r="AI129" s="487"/>
      <c r="AJ129" s="487"/>
      <c r="AK129" s="157"/>
      <c r="AL129" s="157"/>
      <c r="AM129" s="157"/>
      <c r="AN129" s="157"/>
      <c r="AO129" s="157"/>
      <c r="AP129" s="157"/>
      <c r="AQ129" s="157"/>
      <c r="AR129" s="157"/>
      <c r="AS129" s="157"/>
      <c r="AT129" s="157"/>
    </row>
    <row r="130" spans="2:46" ht="76.150000000000006" customHeight="1">
      <c r="B130" s="1027"/>
      <c r="C130" s="866"/>
      <c r="D130" s="840">
        <v>2</v>
      </c>
      <c r="E130" s="2543" t="s">
        <v>5240</v>
      </c>
      <c r="F130" s="2543"/>
      <c r="G130" s="2543"/>
      <c r="H130" s="2543"/>
      <c r="I130" s="2543"/>
      <c r="J130" s="2543"/>
      <c r="K130" s="2543"/>
      <c r="L130" s="2543"/>
      <c r="M130" s="2543"/>
      <c r="N130" s="2543"/>
      <c r="O130" s="2543"/>
      <c r="P130" s="1027"/>
      <c r="Q130" s="487"/>
      <c r="R130" s="1787" t="b">
        <f t="shared" si="2"/>
        <v>0</v>
      </c>
      <c r="S130" s="157">
        <f t="shared" si="3"/>
        <v>0</v>
      </c>
      <c r="T130" s="487"/>
      <c r="U130" s="487"/>
      <c r="V130" s="487"/>
      <c r="W130" s="487"/>
      <c r="X130" s="487"/>
      <c r="Y130" s="487"/>
      <c r="Z130" s="487"/>
      <c r="AA130" s="487"/>
      <c r="AB130" s="487"/>
      <c r="AC130" s="487"/>
      <c r="AD130" s="487"/>
      <c r="AE130" s="487"/>
      <c r="AF130" s="487"/>
      <c r="AG130" s="487"/>
      <c r="AH130" s="487"/>
      <c r="AI130" s="487"/>
      <c r="AJ130" s="487"/>
      <c r="AK130" s="157"/>
      <c r="AL130" s="157"/>
      <c r="AM130" s="157"/>
      <c r="AN130" s="157"/>
      <c r="AO130" s="157"/>
      <c r="AP130" s="157"/>
      <c r="AQ130" s="157"/>
      <c r="AR130" s="157"/>
      <c r="AS130" s="157"/>
      <c r="AT130" s="157"/>
    </row>
    <row r="131" spans="2:46" ht="105" customHeight="1">
      <c r="B131" s="1027"/>
      <c r="C131" s="866"/>
      <c r="D131" s="840">
        <v>1</v>
      </c>
      <c r="E131" s="2543" t="s">
        <v>5241</v>
      </c>
      <c r="F131" s="2543"/>
      <c r="G131" s="2543"/>
      <c r="H131" s="2543"/>
      <c r="I131" s="2543"/>
      <c r="J131" s="2543"/>
      <c r="K131" s="2543"/>
      <c r="L131" s="2543"/>
      <c r="M131" s="2543"/>
      <c r="N131" s="2543"/>
      <c r="O131" s="2543"/>
      <c r="P131" s="1027"/>
      <c r="Q131" s="487"/>
      <c r="R131" s="1787" t="b">
        <f t="shared" si="2"/>
        <v>0</v>
      </c>
      <c r="S131" s="157">
        <f>IF(R131,D131,0)</f>
        <v>0</v>
      </c>
      <c r="T131" s="487"/>
      <c r="U131" s="487"/>
      <c r="V131" s="487"/>
      <c r="W131" s="487"/>
      <c r="X131" s="487"/>
      <c r="Y131" s="487"/>
      <c r="Z131" s="487"/>
      <c r="AA131" s="487"/>
      <c r="AB131" s="487"/>
      <c r="AC131" s="487"/>
      <c r="AD131" s="487"/>
      <c r="AE131" s="487"/>
      <c r="AF131" s="487"/>
      <c r="AG131" s="487"/>
      <c r="AH131" s="487"/>
      <c r="AI131" s="487"/>
      <c r="AJ131" s="487"/>
      <c r="AK131" s="157"/>
      <c r="AL131" s="157"/>
      <c r="AM131" s="157"/>
      <c r="AN131" s="157"/>
      <c r="AO131" s="157"/>
      <c r="AP131" s="157"/>
      <c r="AQ131" s="157"/>
      <c r="AR131" s="157"/>
      <c r="AS131" s="157"/>
      <c r="AT131" s="157"/>
    </row>
    <row r="132" spans="2:46">
      <c r="B132" s="1027"/>
      <c r="C132" s="1752"/>
      <c r="D132" s="867">
        <v>1</v>
      </c>
      <c r="E132" s="2543" t="s">
        <v>5242</v>
      </c>
      <c r="F132" s="2543"/>
      <c r="G132" s="2543"/>
      <c r="H132" s="2543"/>
      <c r="I132" s="2543"/>
      <c r="J132" s="2543"/>
      <c r="K132" s="2543"/>
      <c r="L132" s="2543"/>
      <c r="M132" s="2543"/>
      <c r="N132" s="2543"/>
      <c r="O132" s="2543"/>
      <c r="P132" s="1027"/>
      <c r="Q132" s="487"/>
      <c r="R132" s="1787" t="b">
        <f>C132="yes"</f>
        <v>0</v>
      </c>
      <c r="S132" s="157">
        <f t="shared" si="3"/>
        <v>0</v>
      </c>
      <c r="T132" s="487"/>
      <c r="U132" s="487"/>
      <c r="V132" s="487"/>
      <c r="W132" s="487"/>
      <c r="X132" s="487"/>
      <c r="Y132" s="487"/>
      <c r="Z132" s="487"/>
      <c r="AA132" s="487"/>
      <c r="AB132" s="487"/>
      <c r="AC132" s="487"/>
      <c r="AD132" s="487"/>
      <c r="AE132" s="487"/>
      <c r="AF132" s="487"/>
      <c r="AG132" s="487"/>
      <c r="AH132" s="487"/>
      <c r="AI132" s="487"/>
      <c r="AJ132" s="487"/>
      <c r="AK132" s="157"/>
      <c r="AL132" s="157"/>
      <c r="AM132" s="157"/>
      <c r="AN132" s="157"/>
      <c r="AO132" s="157"/>
      <c r="AP132" s="157"/>
      <c r="AQ132" s="157"/>
      <c r="AR132" s="157"/>
      <c r="AS132" s="157"/>
      <c r="AT132" s="157"/>
    </row>
    <row r="133" spans="2:46" ht="30">
      <c r="B133" s="1027"/>
      <c r="C133" s="868" t="s">
        <v>5243</v>
      </c>
      <c r="D133" s="869">
        <f>S133</f>
        <v>0</v>
      </c>
      <c r="E133" s="1027"/>
      <c r="F133" s="1027"/>
      <c r="G133" s="1027"/>
      <c r="H133" s="1027"/>
      <c r="I133" s="1027"/>
      <c r="J133" s="1027"/>
      <c r="K133" s="1027"/>
      <c r="L133" s="1027"/>
      <c r="M133" s="1027"/>
      <c r="N133" s="1027"/>
      <c r="O133" s="1027"/>
      <c r="P133" s="1027"/>
      <c r="Q133" s="487"/>
      <c r="S133" s="157">
        <f>SUM(S96:S132)</f>
        <v>0</v>
      </c>
      <c r="T133" s="487"/>
      <c r="U133" s="487"/>
      <c r="V133" s="487"/>
      <c r="W133" s="487"/>
      <c r="X133" s="487"/>
      <c r="Y133" s="487"/>
      <c r="Z133" s="487"/>
      <c r="AA133" s="487"/>
      <c r="AB133" s="487"/>
      <c r="AC133" s="487"/>
      <c r="AD133" s="487"/>
      <c r="AE133" s="487"/>
      <c r="AF133" s="487"/>
      <c r="AG133" s="487"/>
      <c r="AH133" s="487"/>
      <c r="AI133" s="487"/>
      <c r="AJ133" s="487"/>
      <c r="AK133" s="157"/>
      <c r="AL133" s="157"/>
      <c r="AM133" s="157"/>
      <c r="AN133" s="157"/>
      <c r="AO133" s="157"/>
      <c r="AP133" s="157"/>
      <c r="AQ133" s="157"/>
      <c r="AR133" s="157"/>
      <c r="AS133" s="157"/>
      <c r="AT133" s="157"/>
    </row>
    <row r="134" spans="2:46">
      <c r="B134" s="1027"/>
      <c r="C134" s="1027"/>
      <c r="D134" s="1230"/>
      <c r="E134" s="1230"/>
      <c r="F134" s="1230"/>
      <c r="G134" s="1230"/>
      <c r="H134" s="1230"/>
      <c r="I134" s="1230"/>
      <c r="J134" s="1230"/>
      <c r="K134" s="1230"/>
      <c r="L134" s="1027"/>
      <c r="M134" s="1027"/>
      <c r="N134" s="1027"/>
      <c r="O134" s="1027"/>
      <c r="P134" s="1027"/>
      <c r="Q134" s="487"/>
      <c r="T134" s="487"/>
      <c r="U134" s="487"/>
      <c r="V134" s="487"/>
      <c r="W134" s="487"/>
      <c r="X134" s="487"/>
      <c r="Y134" s="487"/>
      <c r="Z134" s="487"/>
      <c r="AA134" s="487"/>
      <c r="AB134" s="487"/>
      <c r="AC134" s="487"/>
      <c r="AD134" s="487"/>
      <c r="AE134" s="487"/>
      <c r="AF134" s="487"/>
      <c r="AG134" s="487"/>
      <c r="AH134" s="487"/>
      <c r="AI134" s="487"/>
      <c r="AJ134" s="487"/>
      <c r="AK134" s="157"/>
      <c r="AL134" s="157"/>
      <c r="AM134" s="157"/>
      <c r="AN134" s="157"/>
      <c r="AO134" s="157"/>
      <c r="AP134" s="157"/>
      <c r="AQ134" s="157"/>
      <c r="AR134" s="157"/>
      <c r="AS134" s="157"/>
      <c r="AT134" s="157"/>
    </row>
    <row r="135" spans="2:46" ht="31.5">
      <c r="B135" s="1027"/>
      <c r="C135" s="1729" t="s">
        <v>5244</v>
      </c>
      <c r="D135" s="1729" t="s">
        <v>5245</v>
      </c>
      <c r="E135" s="1027"/>
      <c r="F135" s="1027"/>
      <c r="G135" s="1027"/>
      <c r="H135" s="1027"/>
      <c r="I135" s="1027"/>
      <c r="J135" s="1027"/>
      <c r="K135" s="1027"/>
      <c r="L135" s="1027"/>
      <c r="M135" s="1027"/>
      <c r="N135" s="1027"/>
      <c r="O135" s="1027"/>
      <c r="P135" s="1027"/>
      <c r="Q135" s="487"/>
      <c r="R135" s="157">
        <f>SUM(S97,S101:S105,S109,S110,S111,S112,S113,S114,S115,S116,S117,S118,S119,S125,S126,S127,S128,S129,S130,S131,S132)</f>
        <v>0</v>
      </c>
      <c r="S135" s="1790"/>
      <c r="T135" s="487"/>
      <c r="U135" s="487"/>
      <c r="V135" s="487"/>
      <c r="W135" s="487"/>
      <c r="X135" s="487"/>
      <c r="Y135" s="487"/>
      <c r="Z135" s="487"/>
      <c r="AA135" s="487"/>
      <c r="AB135" s="487"/>
      <c r="AC135" s="487"/>
      <c r="AD135" s="487"/>
      <c r="AE135" s="487"/>
      <c r="AF135" s="487"/>
      <c r="AG135" s="487"/>
      <c r="AH135" s="487"/>
      <c r="AI135" s="487"/>
      <c r="AJ135" s="487"/>
      <c r="AK135" s="157"/>
      <c r="AL135" s="157"/>
      <c r="AM135" s="157"/>
      <c r="AN135" s="157"/>
      <c r="AO135" s="157"/>
      <c r="AP135" s="157"/>
      <c r="AQ135" s="157"/>
      <c r="AR135" s="157"/>
      <c r="AS135" s="157"/>
      <c r="AT135" s="157"/>
    </row>
    <row r="136" spans="2:46" ht="14.45" customHeight="1">
      <c r="B136" s="1027"/>
      <c r="C136" s="778" t="s">
        <v>5246</v>
      </c>
      <c r="D136" s="778">
        <v>13</v>
      </c>
      <c r="E136" s="1230"/>
      <c r="F136" s="1230"/>
      <c r="G136" s="1230"/>
      <c r="H136" s="1230"/>
      <c r="I136" s="1230"/>
      <c r="J136" s="1230"/>
      <c r="K136" s="1230"/>
      <c r="L136" s="1027"/>
      <c r="M136" s="1027"/>
      <c r="N136" s="1027"/>
      <c r="O136" s="1027"/>
      <c r="P136" s="1027"/>
      <c r="Q136" s="487"/>
      <c r="R136" s="1787" t="b">
        <f>S133&gt;=21</f>
        <v>0</v>
      </c>
      <c r="S136" s="157">
        <f>IF(R136,IF(R$135&gt;D136,D136,R$135), 0)</f>
        <v>0</v>
      </c>
      <c r="T136" s="487"/>
      <c r="U136" s="487"/>
      <c r="V136" s="487"/>
      <c r="W136" s="487"/>
      <c r="X136" s="487"/>
      <c r="Y136" s="487"/>
      <c r="Z136" s="487"/>
      <c r="AA136" s="487"/>
      <c r="AB136" s="487"/>
      <c r="AC136" s="487"/>
      <c r="AD136" s="487"/>
      <c r="AE136" s="487"/>
      <c r="AF136" s="487"/>
      <c r="AG136" s="487"/>
      <c r="AH136" s="487"/>
      <c r="AI136" s="487"/>
      <c r="AJ136" s="487"/>
      <c r="AK136" s="157"/>
      <c r="AL136" s="157"/>
      <c r="AM136" s="157"/>
      <c r="AN136" s="157"/>
      <c r="AO136" s="157"/>
      <c r="AP136" s="157"/>
      <c r="AQ136" s="157"/>
      <c r="AR136" s="157"/>
      <c r="AS136" s="157"/>
      <c r="AT136" s="157"/>
    </row>
    <row r="137" spans="2:46" ht="14.45" customHeight="1">
      <c r="B137" s="1027"/>
      <c r="C137" s="778" t="s">
        <v>5247</v>
      </c>
      <c r="D137" s="778">
        <v>10</v>
      </c>
      <c r="E137" s="1027"/>
      <c r="F137" s="1027"/>
      <c r="G137" s="1027"/>
      <c r="H137" s="1027"/>
      <c r="I137" s="1027"/>
      <c r="J137" s="1027"/>
      <c r="K137" s="1027"/>
      <c r="L137" s="1027"/>
      <c r="M137" s="1027"/>
      <c r="N137" s="1027"/>
      <c r="O137" s="1027"/>
      <c r="P137" s="1027"/>
      <c r="Q137" s="487"/>
      <c r="R137" s="1787" t="b">
        <f>AND(S133&gt;=17, S133&lt;=20)</f>
        <v>0</v>
      </c>
      <c r="S137" s="157">
        <f>IF(R137,IF(R$135&gt;D137,D137,R$135), 0)</f>
        <v>0</v>
      </c>
      <c r="T137" s="487"/>
      <c r="U137" s="487"/>
      <c r="V137" s="487"/>
      <c r="W137" s="487"/>
      <c r="X137" s="487"/>
      <c r="Y137" s="487"/>
      <c r="Z137" s="487"/>
      <c r="AA137" s="487"/>
      <c r="AB137" s="487"/>
      <c r="AC137" s="487"/>
      <c r="AD137" s="487"/>
      <c r="AE137" s="487"/>
      <c r="AF137" s="487"/>
      <c r="AG137" s="487"/>
      <c r="AH137" s="487"/>
      <c r="AI137" s="487"/>
      <c r="AJ137" s="487"/>
      <c r="AK137" s="157"/>
      <c r="AL137" s="157"/>
      <c r="AM137" s="157"/>
      <c r="AN137" s="157"/>
      <c r="AO137" s="157"/>
      <c r="AP137" s="157"/>
      <c r="AQ137" s="157"/>
      <c r="AR137" s="157"/>
      <c r="AS137" s="157"/>
      <c r="AT137" s="157"/>
    </row>
    <row r="138" spans="2:46" ht="14.45" customHeight="1">
      <c r="B138" s="1027"/>
      <c r="C138" s="778" t="s">
        <v>5248</v>
      </c>
      <c r="D138" s="778">
        <v>7</v>
      </c>
      <c r="E138" s="1230"/>
      <c r="F138" s="1230"/>
      <c r="G138" s="1230"/>
      <c r="H138" s="1230"/>
      <c r="I138" s="1230"/>
      <c r="J138" s="1230"/>
      <c r="K138" s="1230"/>
      <c r="L138" s="1027"/>
      <c r="M138" s="1027"/>
      <c r="N138" s="1027"/>
      <c r="O138" s="1027"/>
      <c r="P138" s="1027"/>
      <c r="Q138" s="487"/>
      <c r="R138" s="1787" t="b">
        <f>AND(S133&gt;=13, S133&lt;=16)</f>
        <v>0</v>
      </c>
      <c r="S138" s="157">
        <f>IF(R138,IF(R$135&gt;D138,D138,R$135), 0)</f>
        <v>0</v>
      </c>
      <c r="T138" s="487"/>
      <c r="U138" s="487"/>
      <c r="V138" s="487"/>
      <c r="W138" s="487"/>
      <c r="X138" s="487"/>
      <c r="Y138" s="487"/>
      <c r="Z138" s="487"/>
      <c r="AA138" s="487"/>
      <c r="AB138" s="487"/>
      <c r="AC138" s="487"/>
      <c r="AD138" s="487"/>
      <c r="AE138" s="487"/>
      <c r="AF138" s="487"/>
      <c r="AG138" s="487"/>
      <c r="AH138" s="487"/>
      <c r="AI138" s="487"/>
      <c r="AJ138" s="487"/>
      <c r="AK138" s="157"/>
      <c r="AL138" s="157"/>
      <c r="AM138" s="157"/>
      <c r="AN138" s="157"/>
      <c r="AO138" s="157"/>
      <c r="AP138" s="157"/>
      <c r="AQ138" s="157"/>
      <c r="AR138" s="157"/>
      <c r="AS138" s="157"/>
      <c r="AT138" s="157"/>
    </row>
    <row r="139" spans="2:46">
      <c r="B139" s="1027"/>
      <c r="C139" s="779" t="s">
        <v>5249</v>
      </c>
      <c r="D139" s="778">
        <v>4</v>
      </c>
      <c r="E139" s="1027"/>
      <c r="F139" s="1034"/>
      <c r="G139" s="1027"/>
      <c r="H139" s="1027"/>
      <c r="I139" s="1027"/>
      <c r="J139" s="1027"/>
      <c r="K139" s="1027"/>
      <c r="L139" s="1027"/>
      <c r="M139" s="1027"/>
      <c r="N139" s="1027"/>
      <c r="O139" s="1027"/>
      <c r="P139" s="1027"/>
      <c r="Q139" s="487"/>
      <c r="R139" s="1787" t="b">
        <f>AND(S133&gt;=8, S133&lt;=12)</f>
        <v>0</v>
      </c>
      <c r="S139" s="157">
        <f>IF(R139,IF(R$135&gt;D139,D139,R$135), 0)</f>
        <v>0</v>
      </c>
      <c r="T139" s="487"/>
      <c r="U139" s="487"/>
      <c r="V139" s="487"/>
      <c r="W139" s="487"/>
      <c r="X139" s="487"/>
      <c r="Y139" s="487"/>
      <c r="Z139" s="487"/>
      <c r="AA139" s="487"/>
      <c r="AB139" s="487"/>
      <c r="AC139" s="487"/>
      <c r="AD139" s="487"/>
      <c r="AE139" s="487"/>
      <c r="AF139" s="487"/>
      <c r="AG139" s="487"/>
      <c r="AH139" s="487"/>
      <c r="AI139" s="487"/>
      <c r="AJ139" s="487"/>
      <c r="AK139" s="157"/>
      <c r="AL139" s="157"/>
      <c r="AM139" s="157"/>
      <c r="AN139" s="157"/>
      <c r="AO139" s="157"/>
      <c r="AP139" s="157"/>
      <c r="AQ139" s="157"/>
      <c r="AR139" s="157"/>
      <c r="AS139" s="157"/>
      <c r="AT139" s="157"/>
    </row>
    <row r="140" spans="2:46">
      <c r="B140" s="1027"/>
      <c r="C140" s="779" t="s">
        <v>5250</v>
      </c>
      <c r="D140" s="778">
        <v>2</v>
      </c>
      <c r="E140" s="1230"/>
      <c r="F140" s="1230"/>
      <c r="G140" s="1230"/>
      <c r="H140" s="1230"/>
      <c r="I140" s="1230"/>
      <c r="J140" s="1230"/>
      <c r="K140" s="1230"/>
      <c r="L140" s="1027"/>
      <c r="M140" s="1027"/>
      <c r="N140" s="1027"/>
      <c r="O140" s="1027"/>
      <c r="P140" s="1027"/>
      <c r="Q140" s="487"/>
      <c r="R140" s="1787" t="b">
        <f>AND(S133&gt;=3, S133&lt;=7)</f>
        <v>0</v>
      </c>
      <c r="S140" s="157">
        <f>IF(R140,IF(R$135&gt;D140,D140,R$135), 0)</f>
        <v>0</v>
      </c>
      <c r="T140" s="487"/>
      <c r="U140" s="487"/>
      <c r="V140" s="487"/>
      <c r="W140" s="487"/>
      <c r="X140" s="487"/>
      <c r="Y140" s="487"/>
      <c r="Z140" s="487"/>
      <c r="AA140" s="487"/>
      <c r="AB140" s="487"/>
      <c r="AC140" s="487"/>
      <c r="AD140" s="487"/>
      <c r="AE140" s="487"/>
      <c r="AF140" s="487"/>
      <c r="AG140" s="487"/>
      <c r="AH140" s="487"/>
      <c r="AI140" s="487"/>
      <c r="AJ140" s="487"/>
      <c r="AK140" s="157"/>
      <c r="AL140" s="157"/>
      <c r="AM140" s="157"/>
      <c r="AN140" s="157"/>
      <c r="AO140" s="157"/>
      <c r="AP140" s="157"/>
      <c r="AQ140" s="157"/>
      <c r="AR140" s="157"/>
      <c r="AS140" s="157"/>
      <c r="AT140" s="157"/>
    </row>
    <row r="141" spans="2:46">
      <c r="B141" s="1027"/>
      <c r="C141" s="1027"/>
      <c r="D141" s="1027"/>
      <c r="E141" s="1027"/>
      <c r="F141" s="1027"/>
      <c r="G141" s="1027"/>
      <c r="H141" s="1027"/>
      <c r="I141" s="1027"/>
      <c r="J141" s="1027"/>
      <c r="K141" s="1027"/>
      <c r="L141" s="1027"/>
      <c r="M141" s="1027"/>
      <c r="N141" s="1027"/>
      <c r="O141" s="1027"/>
      <c r="P141" s="1027"/>
      <c r="Q141" s="487"/>
      <c r="R141" s="1787"/>
      <c r="S141" s="157"/>
      <c r="T141" s="487"/>
      <c r="U141" s="487"/>
      <c r="V141" s="487"/>
      <c r="W141" s="487"/>
      <c r="X141" s="487"/>
      <c r="Y141" s="487"/>
      <c r="Z141" s="487"/>
      <c r="AA141" s="487"/>
      <c r="AB141" s="487"/>
      <c r="AC141" s="487"/>
      <c r="AD141" s="487"/>
      <c r="AE141" s="487"/>
      <c r="AF141" s="487"/>
      <c r="AG141" s="487"/>
      <c r="AH141" s="487"/>
      <c r="AI141" s="487"/>
      <c r="AJ141" s="487"/>
      <c r="AK141" s="157"/>
      <c r="AL141" s="157"/>
      <c r="AM141" s="157"/>
      <c r="AN141" s="157"/>
      <c r="AO141" s="157"/>
      <c r="AP141" s="157"/>
      <c r="AQ141" s="157"/>
      <c r="AR141" s="157"/>
      <c r="AS141" s="157"/>
      <c r="AT141" s="157"/>
    </row>
    <row r="142" spans="2:46">
      <c r="B142" s="1027"/>
      <c r="C142" s="1747" t="s">
        <v>4997</v>
      </c>
      <c r="D142" s="1747" t="s">
        <v>4971</v>
      </c>
      <c r="E142" s="1747" t="s">
        <v>1051</v>
      </c>
      <c r="F142" s="1027"/>
      <c r="G142" s="1027"/>
      <c r="H142" s="1027"/>
      <c r="I142" s="1027"/>
      <c r="J142" s="1027"/>
      <c r="K142" s="1027"/>
      <c r="L142" s="1027"/>
      <c r="M142" s="1027"/>
      <c r="N142" s="1027"/>
      <c r="O142" s="1027"/>
      <c r="P142" s="1027"/>
      <c r="Q142" s="487"/>
      <c r="R142" s="1787" t="b">
        <f>AND(S133&lt;5)</f>
        <v>1</v>
      </c>
      <c r="S142" s="157">
        <f>IF(R142, 0)</f>
        <v>0</v>
      </c>
      <c r="T142" s="487"/>
      <c r="U142" s="487"/>
      <c r="V142" s="487"/>
      <c r="W142" s="487"/>
      <c r="X142" s="487"/>
      <c r="Y142" s="487"/>
      <c r="Z142" s="487"/>
      <c r="AA142" s="487"/>
      <c r="AB142" s="487"/>
      <c r="AC142" s="487"/>
      <c r="AD142" s="487"/>
      <c r="AE142" s="487"/>
      <c r="AF142" s="487"/>
      <c r="AG142" s="487"/>
      <c r="AH142" s="487"/>
      <c r="AI142" s="487"/>
      <c r="AJ142" s="487"/>
      <c r="AK142" s="157"/>
      <c r="AL142" s="157"/>
      <c r="AM142" s="157"/>
      <c r="AN142" s="157"/>
      <c r="AO142" s="157"/>
      <c r="AP142" s="157"/>
      <c r="AQ142" s="157"/>
      <c r="AR142" s="157"/>
      <c r="AS142" s="157"/>
      <c r="AT142" s="157"/>
    </row>
    <row r="143" spans="2:46" ht="15.75">
      <c r="B143" s="1027"/>
      <c r="C143" s="1757">
        <v>13</v>
      </c>
      <c r="D143" s="1760">
        <f>R144</f>
        <v>0</v>
      </c>
      <c r="E143" s="917"/>
      <c r="F143" s="1027"/>
      <c r="G143" s="1027"/>
      <c r="H143" s="1027"/>
      <c r="I143" s="1027"/>
      <c r="J143" s="1027"/>
      <c r="K143" s="1027"/>
      <c r="L143" s="1027"/>
      <c r="M143" s="1027"/>
      <c r="N143" s="1027"/>
      <c r="O143" s="1027"/>
      <c r="P143" s="1027"/>
      <c r="Q143" s="487"/>
      <c r="R143" s="1787">
        <f>IF(S143&gt;13, 13, S143)</f>
        <v>0</v>
      </c>
      <c r="S143" s="157">
        <f>SUM(S136:S142)</f>
        <v>0</v>
      </c>
      <c r="T143" s="487"/>
      <c r="U143" s="487"/>
      <c r="V143" s="487"/>
      <c r="W143" s="487"/>
      <c r="X143" s="487"/>
      <c r="Y143" s="487"/>
      <c r="Z143" s="487"/>
      <c r="AA143" s="487"/>
      <c r="AB143" s="487"/>
      <c r="AC143" s="487"/>
      <c r="AD143" s="487"/>
      <c r="AE143" s="487"/>
      <c r="AF143" s="487"/>
      <c r="AG143" s="487"/>
      <c r="AH143" s="487"/>
      <c r="AI143" s="487"/>
      <c r="AJ143" s="487"/>
      <c r="AK143" s="157"/>
      <c r="AL143" s="157"/>
      <c r="AM143" s="157"/>
      <c r="AN143" s="157"/>
      <c r="AO143" s="157"/>
      <c r="AP143" s="157"/>
      <c r="AQ143" s="157"/>
      <c r="AR143" s="157"/>
      <c r="AS143" s="157"/>
      <c r="AT143" s="157"/>
    </row>
    <row r="144" spans="2:46">
      <c r="B144" s="1027"/>
      <c r="C144" s="1027"/>
      <c r="D144" s="1027"/>
      <c r="E144" s="1027"/>
      <c r="F144" s="1027"/>
      <c r="G144" s="1027"/>
      <c r="H144" s="1027"/>
      <c r="I144" s="1027"/>
      <c r="J144" s="1027"/>
      <c r="K144" s="1027"/>
      <c r="L144" s="1027"/>
      <c r="M144" s="1027"/>
      <c r="N144" s="1027"/>
      <c r="O144" s="1027"/>
      <c r="P144" s="1027"/>
      <c r="Q144" s="487"/>
      <c r="R144" s="1787">
        <f>IF(R143, R143, 0)</f>
        <v>0</v>
      </c>
      <c r="S144" s="157"/>
      <c r="T144" s="487"/>
      <c r="U144" s="487"/>
      <c r="V144" s="487"/>
      <c r="W144" s="487"/>
      <c r="X144" s="487"/>
      <c r="Y144" s="487"/>
      <c r="Z144" s="487"/>
      <c r="AA144" s="487"/>
      <c r="AB144" s="487"/>
      <c r="AC144" s="487"/>
      <c r="AD144" s="487"/>
      <c r="AE144" s="487"/>
      <c r="AF144" s="487"/>
      <c r="AG144" s="487"/>
      <c r="AH144" s="487"/>
      <c r="AI144" s="487"/>
      <c r="AJ144" s="487"/>
      <c r="AK144" s="157"/>
      <c r="AL144" s="157"/>
      <c r="AM144" s="157"/>
      <c r="AN144" s="157"/>
      <c r="AO144" s="157"/>
      <c r="AP144" s="157"/>
      <c r="AQ144" s="157"/>
      <c r="AR144" s="157"/>
      <c r="AS144" s="157"/>
      <c r="AT144" s="157"/>
    </row>
    <row r="145" spans="1:56" ht="18.75">
      <c r="B145" s="8" t="s">
        <v>1055</v>
      </c>
      <c r="C145" s="3"/>
      <c r="D145" s="3"/>
      <c r="E145" s="3"/>
      <c r="F145" s="3"/>
      <c r="G145" s="3"/>
      <c r="H145" s="3"/>
      <c r="I145" s="3"/>
      <c r="J145" s="8" t="s">
        <v>3638</v>
      </c>
      <c r="K145" s="3"/>
      <c r="L145" s="3"/>
      <c r="M145" s="3"/>
      <c r="N145" s="3"/>
      <c r="O145" s="3"/>
      <c r="P145" s="3"/>
      <c r="Q145" s="487"/>
      <c r="T145" s="487"/>
      <c r="U145" s="487"/>
      <c r="V145" s="487"/>
      <c r="W145" s="487"/>
      <c r="X145" s="487"/>
      <c r="Y145" s="487"/>
      <c r="Z145" s="487"/>
      <c r="AA145" s="487"/>
      <c r="AB145" s="487"/>
      <c r="AC145" s="487"/>
      <c r="AD145" s="487"/>
      <c r="AE145" s="487"/>
      <c r="AF145" s="487"/>
      <c r="AG145" s="487"/>
      <c r="AH145" s="487"/>
      <c r="AI145" s="487"/>
      <c r="AJ145" s="487"/>
      <c r="AK145" s="157"/>
      <c r="AL145" s="157"/>
      <c r="AM145" s="157"/>
      <c r="AN145" s="157"/>
      <c r="AO145" s="157"/>
      <c r="AP145" s="157"/>
      <c r="AQ145" s="157"/>
      <c r="AR145" s="157"/>
      <c r="AS145" s="157"/>
      <c r="AT145" s="157"/>
    </row>
    <row r="146" spans="1:56">
      <c r="B146" s="1030" t="s">
        <v>4802</v>
      </c>
      <c r="C146" s="1027"/>
      <c r="D146" s="1027"/>
      <c r="E146" s="1027"/>
      <c r="F146" s="1027"/>
      <c r="G146" s="1027"/>
      <c r="H146" s="1027"/>
      <c r="I146" s="1027"/>
      <c r="J146" s="1032" t="s">
        <v>4697</v>
      </c>
      <c r="K146" s="1027"/>
      <c r="L146" s="1027"/>
      <c r="M146" s="1027"/>
      <c r="N146" s="1027"/>
      <c r="O146" s="1027"/>
      <c r="P146" s="1027"/>
      <c r="Q146" s="487"/>
      <c r="T146" s="487"/>
      <c r="U146" s="487"/>
      <c r="V146" s="487"/>
      <c r="W146" s="487"/>
      <c r="X146" s="487"/>
      <c r="Y146" s="487"/>
      <c r="Z146" s="487"/>
      <c r="AA146" s="487"/>
      <c r="AB146" s="487"/>
      <c r="AC146" s="487"/>
      <c r="AD146" s="487"/>
      <c r="AE146" s="487"/>
      <c r="AF146" s="487"/>
      <c r="AG146" s="487"/>
      <c r="AH146" s="487"/>
      <c r="AI146" s="487"/>
      <c r="AJ146" s="487"/>
      <c r="AK146" s="157"/>
      <c r="AL146" s="157"/>
      <c r="AM146" s="157"/>
      <c r="AN146" s="157"/>
      <c r="AO146" s="157"/>
      <c r="AP146" s="157"/>
      <c r="AQ146" s="157"/>
      <c r="AR146" s="157"/>
      <c r="AS146" s="157"/>
      <c r="AT146" s="157"/>
    </row>
    <row r="147" spans="1:56">
      <c r="B147" s="1027"/>
      <c r="C147" s="1998"/>
      <c r="D147" s="1999"/>
      <c r="E147" s="1999"/>
      <c r="F147" s="1999"/>
      <c r="G147" s="1999"/>
      <c r="H147" s="2000"/>
      <c r="I147" s="1027"/>
      <c r="J147" s="1998"/>
      <c r="K147" s="1999"/>
      <c r="L147" s="1999"/>
      <c r="M147" s="1999"/>
      <c r="N147" s="1999"/>
      <c r="O147" s="2000"/>
      <c r="P147" s="1027"/>
      <c r="Q147" s="487"/>
      <c r="T147" s="487"/>
      <c r="U147" s="487"/>
      <c r="V147" s="487"/>
      <c r="W147" s="487"/>
      <c r="X147" s="487"/>
      <c r="Y147" s="487"/>
      <c r="Z147" s="487"/>
      <c r="AA147" s="487"/>
      <c r="AB147" s="487"/>
      <c r="AC147" s="487"/>
      <c r="AD147" s="487"/>
      <c r="AE147" s="487"/>
      <c r="AF147" s="487"/>
      <c r="AG147" s="487"/>
      <c r="AH147" s="487"/>
      <c r="AI147" s="487"/>
      <c r="AJ147" s="487"/>
      <c r="AK147" s="157"/>
      <c r="AL147" s="157"/>
      <c r="AM147" s="157"/>
      <c r="AN147" s="157"/>
      <c r="AO147" s="157"/>
      <c r="AP147" s="157"/>
      <c r="AQ147" s="157"/>
      <c r="AR147" s="157"/>
      <c r="AS147" s="157"/>
      <c r="AT147" s="157"/>
    </row>
    <row r="148" spans="1:56">
      <c r="B148" s="1027"/>
      <c r="C148" s="2001"/>
      <c r="D148" s="2002"/>
      <c r="E148" s="2002"/>
      <c r="F148" s="2002"/>
      <c r="G148" s="2002"/>
      <c r="H148" s="2003"/>
      <c r="I148" s="1027"/>
      <c r="J148" s="2001"/>
      <c r="K148" s="2002"/>
      <c r="L148" s="2002"/>
      <c r="M148" s="2002"/>
      <c r="N148" s="2002"/>
      <c r="O148" s="2003"/>
      <c r="P148" s="1027"/>
      <c r="Q148" s="487"/>
      <c r="T148" s="487"/>
      <c r="U148" s="487"/>
      <c r="V148" s="487"/>
      <c r="W148" s="487"/>
      <c r="X148" s="487"/>
      <c r="Y148" s="487"/>
      <c r="Z148" s="487"/>
      <c r="AA148" s="487"/>
      <c r="AB148" s="487"/>
      <c r="AC148" s="487"/>
      <c r="AD148" s="487"/>
      <c r="AE148" s="487"/>
      <c r="AF148" s="487"/>
      <c r="AG148" s="487"/>
      <c r="AH148" s="487"/>
      <c r="AI148" s="487"/>
      <c r="AJ148" s="487"/>
      <c r="AK148" s="157"/>
      <c r="AL148" s="157"/>
      <c r="AM148" s="157"/>
      <c r="AN148" s="157"/>
      <c r="AO148" s="157"/>
      <c r="AP148" s="157"/>
      <c r="AQ148" s="157"/>
      <c r="AR148" s="157"/>
      <c r="AS148" s="157"/>
      <c r="AT148" s="157"/>
    </row>
    <row r="149" spans="1:56">
      <c r="B149" s="1027"/>
      <c r="C149" s="2001"/>
      <c r="D149" s="2002"/>
      <c r="E149" s="2002"/>
      <c r="F149" s="2002"/>
      <c r="G149" s="2002"/>
      <c r="H149" s="2003"/>
      <c r="I149" s="1027"/>
      <c r="J149" s="2001"/>
      <c r="K149" s="2002"/>
      <c r="L149" s="2002"/>
      <c r="M149" s="2002"/>
      <c r="N149" s="2002"/>
      <c r="O149" s="2003"/>
      <c r="P149" s="1027"/>
      <c r="Q149" s="487"/>
      <c r="T149" s="487"/>
      <c r="U149" s="487"/>
      <c r="V149" s="487"/>
      <c r="W149" s="487"/>
      <c r="X149" s="487"/>
      <c r="Y149" s="487"/>
      <c r="Z149" s="487"/>
      <c r="AA149" s="487"/>
      <c r="AB149" s="487"/>
      <c r="AC149" s="487"/>
      <c r="AD149" s="487"/>
      <c r="AE149" s="487"/>
      <c r="AF149" s="487"/>
      <c r="AG149" s="487"/>
      <c r="AH149" s="487"/>
      <c r="AI149" s="487"/>
      <c r="AJ149" s="487"/>
      <c r="AK149" s="157"/>
      <c r="AL149" s="157"/>
      <c r="AM149" s="157"/>
      <c r="AN149" s="157"/>
      <c r="AO149" s="157"/>
      <c r="AP149" s="157"/>
      <c r="AQ149" s="157"/>
      <c r="AR149" s="157"/>
      <c r="AS149" s="157"/>
      <c r="AT149" s="157"/>
    </row>
    <row r="150" spans="1:56">
      <c r="B150" s="1027"/>
      <c r="C150" s="2001"/>
      <c r="D150" s="2002"/>
      <c r="E150" s="2002"/>
      <c r="F150" s="2002"/>
      <c r="G150" s="2002"/>
      <c r="H150" s="2003"/>
      <c r="I150" s="1027"/>
      <c r="J150" s="2001"/>
      <c r="K150" s="2002"/>
      <c r="L150" s="2002"/>
      <c r="M150" s="2002"/>
      <c r="N150" s="2002"/>
      <c r="O150" s="2003"/>
      <c r="P150" s="1027"/>
      <c r="Q150" s="487"/>
      <c r="T150" s="487"/>
      <c r="U150" s="487"/>
      <c r="V150" s="487"/>
      <c r="W150" s="487"/>
      <c r="X150" s="487"/>
      <c r="Y150" s="487"/>
      <c r="Z150" s="487"/>
      <c r="AA150" s="487"/>
      <c r="AB150" s="487"/>
      <c r="AC150" s="487"/>
      <c r="AD150" s="487"/>
      <c r="AE150" s="487"/>
      <c r="AF150" s="487"/>
      <c r="AG150" s="487"/>
      <c r="AH150" s="487"/>
      <c r="AI150" s="487"/>
      <c r="AJ150" s="487"/>
      <c r="AK150" s="157"/>
      <c r="AL150" s="157"/>
      <c r="AM150" s="157"/>
      <c r="AN150" s="157"/>
      <c r="AO150" s="157"/>
      <c r="AP150" s="157"/>
      <c r="AQ150" s="157"/>
      <c r="AR150" s="157"/>
      <c r="AS150" s="157"/>
      <c r="AT150" s="157"/>
    </row>
    <row r="151" spans="1:56">
      <c r="B151" s="1027"/>
      <c r="C151" s="2001"/>
      <c r="D151" s="2002"/>
      <c r="E151" s="2002"/>
      <c r="F151" s="2002"/>
      <c r="G151" s="2002"/>
      <c r="H151" s="2003"/>
      <c r="I151" s="1027"/>
      <c r="J151" s="2001"/>
      <c r="K151" s="2002"/>
      <c r="L151" s="2002"/>
      <c r="M151" s="2002"/>
      <c r="N151" s="2002"/>
      <c r="O151" s="2003"/>
      <c r="P151" s="1027"/>
      <c r="Q151" s="487"/>
      <c r="T151" s="487"/>
      <c r="U151" s="487"/>
      <c r="V151" s="487"/>
      <c r="W151" s="487"/>
      <c r="X151" s="487"/>
      <c r="Y151" s="487"/>
      <c r="Z151" s="487"/>
      <c r="AA151" s="487"/>
      <c r="AB151" s="487"/>
      <c r="AC151" s="487"/>
      <c r="AD151" s="487"/>
      <c r="AE151" s="487"/>
      <c r="AF151" s="487"/>
      <c r="AG151" s="487"/>
      <c r="AH151" s="487"/>
      <c r="AI151" s="487"/>
      <c r="AJ151" s="487"/>
      <c r="AK151" s="157"/>
      <c r="AL151" s="157"/>
      <c r="AM151" s="157"/>
      <c r="AN151" s="157"/>
      <c r="AO151" s="157"/>
      <c r="AP151" s="157"/>
      <c r="AQ151" s="157"/>
      <c r="AR151" s="157"/>
      <c r="AS151" s="157"/>
      <c r="AT151" s="157"/>
    </row>
    <row r="152" spans="1:56">
      <c r="B152" s="1027"/>
      <c r="C152" s="2001"/>
      <c r="D152" s="2002"/>
      <c r="E152" s="2002"/>
      <c r="F152" s="2002"/>
      <c r="G152" s="2002"/>
      <c r="H152" s="2003"/>
      <c r="I152" s="1027"/>
      <c r="J152" s="2001"/>
      <c r="K152" s="2002"/>
      <c r="L152" s="2002"/>
      <c r="M152" s="2002"/>
      <c r="N152" s="2002"/>
      <c r="O152" s="2003"/>
      <c r="P152" s="1027"/>
      <c r="Q152" s="487"/>
      <c r="T152" s="487"/>
      <c r="U152" s="487"/>
      <c r="V152" s="487"/>
      <c r="W152" s="487"/>
      <c r="X152" s="487"/>
      <c r="Y152" s="487"/>
      <c r="Z152" s="487"/>
      <c r="AA152" s="487"/>
      <c r="AB152" s="487"/>
      <c r="AC152" s="487"/>
      <c r="AD152" s="487"/>
      <c r="AE152" s="487"/>
      <c r="AF152" s="487"/>
      <c r="AG152" s="487"/>
      <c r="AH152" s="487"/>
      <c r="AI152" s="487"/>
      <c r="AJ152" s="487"/>
      <c r="AK152" s="157"/>
      <c r="AL152" s="157"/>
      <c r="AM152" s="157"/>
      <c r="AN152" s="157"/>
      <c r="AO152" s="157"/>
      <c r="AP152" s="157"/>
      <c r="AQ152" s="157"/>
      <c r="AR152" s="157"/>
      <c r="AS152" s="157"/>
      <c r="AT152" s="157"/>
    </row>
    <row r="153" spans="1:56">
      <c r="B153" s="1027"/>
      <c r="C153" s="2001"/>
      <c r="D153" s="2002"/>
      <c r="E153" s="2002"/>
      <c r="F153" s="2002"/>
      <c r="G153" s="2002"/>
      <c r="H153" s="2003"/>
      <c r="I153" s="1027"/>
      <c r="J153" s="2001"/>
      <c r="K153" s="2002"/>
      <c r="L153" s="2002"/>
      <c r="M153" s="2002"/>
      <c r="N153" s="2002"/>
      <c r="O153" s="2003"/>
      <c r="P153" s="1027"/>
      <c r="Q153" s="487"/>
      <c r="R153" s="1787"/>
      <c r="S153" s="157"/>
      <c r="T153" s="487"/>
      <c r="U153" s="487"/>
      <c r="V153" s="487"/>
      <c r="W153" s="487"/>
      <c r="X153" s="487"/>
      <c r="Y153" s="487"/>
      <c r="Z153" s="487"/>
      <c r="AA153" s="487"/>
      <c r="AB153" s="487"/>
      <c r="AC153" s="487"/>
      <c r="AD153" s="487"/>
      <c r="AE153" s="487"/>
      <c r="AF153" s="487"/>
      <c r="AG153" s="487"/>
      <c r="AH153" s="487"/>
      <c r="AI153" s="487"/>
      <c r="AJ153" s="487"/>
      <c r="AK153" s="157"/>
      <c r="AL153" s="157"/>
      <c r="AM153" s="157"/>
      <c r="AN153" s="157"/>
      <c r="AO153" s="157"/>
      <c r="AP153" s="157"/>
      <c r="AQ153" s="157"/>
      <c r="AR153" s="157"/>
      <c r="AS153" s="157"/>
      <c r="AT153" s="157"/>
    </row>
    <row r="154" spans="1:56">
      <c r="B154" s="1027"/>
      <c r="C154" s="2001"/>
      <c r="D154" s="2002"/>
      <c r="E154" s="2002"/>
      <c r="F154" s="2002"/>
      <c r="G154" s="2002"/>
      <c r="H154" s="2003"/>
      <c r="I154" s="1027"/>
      <c r="J154" s="2001"/>
      <c r="K154" s="2002"/>
      <c r="L154" s="2002"/>
      <c r="M154" s="2002"/>
      <c r="N154" s="2002"/>
      <c r="O154" s="2003"/>
      <c r="P154" s="1027"/>
      <c r="Q154" s="487"/>
      <c r="R154" s="1787"/>
      <c r="S154" s="157"/>
      <c r="T154" s="487"/>
      <c r="U154" s="487"/>
      <c r="V154" s="487"/>
      <c r="W154" s="487"/>
      <c r="X154" s="487"/>
      <c r="Y154" s="487"/>
      <c r="Z154" s="487"/>
      <c r="AA154" s="487"/>
      <c r="AB154" s="487"/>
      <c r="AC154" s="487"/>
      <c r="AD154" s="487"/>
      <c r="AE154" s="487"/>
      <c r="AF154" s="487"/>
      <c r="AG154" s="487"/>
      <c r="AH154" s="487"/>
      <c r="AI154" s="487"/>
      <c r="AJ154" s="487"/>
      <c r="AK154" s="157"/>
      <c r="AL154" s="157"/>
      <c r="AM154" s="157"/>
      <c r="AN154" s="157"/>
      <c r="AO154" s="157"/>
      <c r="AP154" s="157"/>
      <c r="AQ154" s="157"/>
      <c r="AR154" s="157"/>
      <c r="AS154" s="157"/>
      <c r="AT154" s="157"/>
    </row>
    <row r="155" spans="1:56">
      <c r="B155" s="1027"/>
      <c r="C155" s="2001"/>
      <c r="D155" s="2002"/>
      <c r="E155" s="2002"/>
      <c r="F155" s="2002"/>
      <c r="G155" s="2002"/>
      <c r="H155" s="2003"/>
      <c r="I155" s="1027"/>
      <c r="J155" s="2004"/>
      <c r="K155" s="2005"/>
      <c r="L155" s="2005"/>
      <c r="M155" s="2005"/>
      <c r="N155" s="2005"/>
      <c r="O155" s="2006"/>
      <c r="P155" s="1027"/>
      <c r="Q155" s="487"/>
      <c r="R155" s="1787"/>
      <c r="S155" s="157"/>
      <c r="T155" s="487"/>
      <c r="U155" s="487"/>
      <c r="V155" s="487"/>
      <c r="W155" s="487"/>
      <c r="X155" s="487"/>
      <c r="Y155" s="487"/>
      <c r="Z155" s="487"/>
      <c r="AA155" s="487"/>
      <c r="AB155" s="487"/>
      <c r="AC155" s="487"/>
      <c r="AD155" s="487"/>
      <c r="AE155" s="487"/>
      <c r="AF155" s="487"/>
      <c r="AG155" s="487"/>
      <c r="AH155" s="487"/>
      <c r="AI155" s="487"/>
      <c r="AJ155" s="487"/>
      <c r="AK155" s="157"/>
      <c r="AL155" s="157"/>
      <c r="AM155" s="157"/>
      <c r="AN155" s="157"/>
      <c r="AO155" s="157"/>
      <c r="AP155" s="157"/>
      <c r="AQ155" s="157"/>
      <c r="AR155" s="157"/>
      <c r="AS155" s="157"/>
      <c r="AT155" s="157"/>
    </row>
    <row r="156" spans="1:56">
      <c r="B156" s="1027"/>
      <c r="C156" s="2001"/>
      <c r="D156" s="2002"/>
      <c r="E156" s="2002"/>
      <c r="F156" s="2002"/>
      <c r="G156" s="2002"/>
      <c r="H156" s="2003"/>
      <c r="I156" s="1027"/>
      <c r="J156" s="1756" t="s">
        <v>1058</v>
      </c>
      <c r="K156" s="1027"/>
      <c r="L156" s="1027"/>
      <c r="M156" s="1027"/>
      <c r="N156" s="1027"/>
      <c r="O156" s="1027"/>
      <c r="P156" s="1027"/>
      <c r="Q156" s="487"/>
      <c r="R156" s="1787"/>
      <c r="S156" s="157"/>
      <c r="T156" s="487"/>
      <c r="U156" s="487"/>
      <c r="V156" s="487"/>
      <c r="W156" s="487"/>
      <c r="X156" s="487"/>
      <c r="Y156" s="487"/>
      <c r="Z156" s="487"/>
      <c r="AA156" s="487"/>
      <c r="AB156" s="487"/>
      <c r="AC156" s="487"/>
      <c r="AD156" s="487"/>
      <c r="AE156" s="487"/>
      <c r="AF156" s="487"/>
      <c r="AG156" s="487"/>
      <c r="AH156" s="487"/>
      <c r="AI156" s="487"/>
      <c r="AJ156" s="487"/>
      <c r="AK156" s="157"/>
      <c r="AL156" s="157"/>
      <c r="AM156" s="157"/>
      <c r="AN156" s="157"/>
      <c r="AO156" s="157"/>
      <c r="AP156" s="157"/>
      <c r="AQ156" s="157"/>
      <c r="AR156" s="157"/>
      <c r="AS156" s="157"/>
      <c r="AT156" s="157"/>
    </row>
    <row r="157" spans="1:56">
      <c r="B157" s="1027"/>
      <c r="C157" s="2004"/>
      <c r="D157" s="2005"/>
      <c r="E157" s="2005"/>
      <c r="F157" s="2005"/>
      <c r="G157" s="2005"/>
      <c r="H157" s="2006"/>
      <c r="I157" s="1027"/>
      <c r="J157" s="2522"/>
      <c r="K157" s="2522"/>
      <c r="L157" s="2522"/>
      <c r="M157" s="2522"/>
      <c r="N157" s="2522"/>
      <c r="O157" s="2522"/>
      <c r="P157" s="1027"/>
      <c r="Q157" s="115"/>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157"/>
      <c r="AV157" s="157"/>
      <c r="AW157" s="157"/>
      <c r="AX157" s="157"/>
      <c r="AY157" s="157"/>
      <c r="AZ157" s="157"/>
      <c r="BA157" s="157"/>
      <c r="BB157" s="157"/>
      <c r="BC157" s="157"/>
      <c r="BD157" s="157"/>
    </row>
    <row r="158" spans="1:56">
      <c r="B158" s="1027"/>
      <c r="C158" s="1027"/>
      <c r="D158" s="1027"/>
      <c r="E158" s="1027"/>
      <c r="F158" s="1027"/>
      <c r="G158" s="1027"/>
      <c r="H158" s="1027"/>
      <c r="I158" s="1027"/>
      <c r="J158" s="1027"/>
      <c r="K158" s="1027"/>
      <c r="L158" s="1027"/>
      <c r="M158" s="1027"/>
      <c r="N158" s="1027"/>
      <c r="O158" s="1027"/>
      <c r="P158" s="1027"/>
      <c r="Q158" s="115"/>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157"/>
      <c r="AV158" s="157"/>
      <c r="AW158" s="157"/>
      <c r="AX158" s="157"/>
      <c r="AY158" s="157"/>
      <c r="AZ158" s="157"/>
      <c r="BA158" s="157"/>
      <c r="BB158" s="157"/>
      <c r="BC158" s="157"/>
      <c r="BD158" s="157"/>
    </row>
    <row r="159" spans="1:56" s="863" customFormat="1" ht="21">
      <c r="A159" s="852"/>
      <c r="B159" s="852" t="s">
        <v>4985</v>
      </c>
      <c r="E159" s="861"/>
      <c r="F159" s="861"/>
      <c r="G159" s="861"/>
      <c r="H159" s="861"/>
      <c r="I159" s="861"/>
      <c r="J159" s="861"/>
      <c r="K159" s="861"/>
      <c r="L159" s="861"/>
      <c r="M159" s="861"/>
      <c r="N159" s="861"/>
      <c r="O159" s="861"/>
      <c r="P159" s="861"/>
      <c r="Q159" s="872"/>
      <c r="R159" s="1779"/>
      <c r="S159" s="870"/>
      <c r="T159" s="872"/>
      <c r="U159" s="872"/>
      <c r="V159" s="872"/>
      <c r="W159" s="872"/>
      <c r="X159" s="872"/>
      <c r="Y159" s="872"/>
      <c r="Z159" s="872"/>
      <c r="AA159" s="872"/>
      <c r="AB159" s="872"/>
      <c r="AC159" s="872"/>
      <c r="AD159" s="872"/>
      <c r="AE159" s="872"/>
      <c r="AF159" s="872"/>
      <c r="AG159" s="872"/>
      <c r="AH159" s="872"/>
      <c r="AI159" s="872"/>
      <c r="AJ159" s="870"/>
      <c r="AK159" s="870"/>
      <c r="AL159" s="870"/>
      <c r="AM159" s="870"/>
      <c r="AN159" s="870"/>
      <c r="AO159" s="870"/>
      <c r="AP159" s="870"/>
      <c r="AQ159" s="870"/>
      <c r="AR159" s="870"/>
      <c r="AS159" s="870"/>
      <c r="AT159" s="870"/>
      <c r="AU159" s="870"/>
      <c r="AV159" s="870"/>
      <c r="AW159" s="870"/>
      <c r="AX159" s="870"/>
      <c r="AY159" s="870"/>
      <c r="AZ159" s="870"/>
      <c r="BA159" s="870"/>
      <c r="BB159" s="870"/>
      <c r="BC159" s="870"/>
    </row>
    <row r="160" spans="1:56">
      <c r="B160" s="1756" t="s">
        <v>5058</v>
      </c>
      <c r="C160" s="1027"/>
      <c r="D160" s="1027"/>
      <c r="E160" s="1027"/>
      <c r="F160" s="792"/>
      <c r="G160" s="1027"/>
      <c r="H160" s="1027"/>
      <c r="I160" s="1027"/>
      <c r="J160" s="1027"/>
      <c r="K160" s="1027"/>
      <c r="L160" s="1027"/>
      <c r="M160" s="1027"/>
      <c r="N160" s="1027"/>
      <c r="O160" s="1027"/>
      <c r="P160" s="1027"/>
      <c r="Q160" s="115"/>
      <c r="R160" s="1778" t="b">
        <f>IF(F160="Yes",TRUE,FALSE)</f>
        <v>0</v>
      </c>
      <c r="T160" s="372"/>
      <c r="AJ160" s="115"/>
      <c r="AK160" s="115"/>
      <c r="AL160" s="115"/>
      <c r="AM160" s="115"/>
      <c r="AN160" s="115"/>
      <c r="AO160" s="115"/>
      <c r="AP160" s="115"/>
      <c r="AQ160" s="115"/>
      <c r="AR160" s="115"/>
      <c r="AS160" s="115"/>
      <c r="AT160" s="115"/>
      <c r="AU160" s="115"/>
      <c r="AV160" s="115"/>
      <c r="AW160" s="9"/>
      <c r="AX160" s="9"/>
      <c r="AY160" s="9"/>
      <c r="AZ160" s="9"/>
      <c r="BA160" s="9"/>
      <c r="BB160" s="9"/>
      <c r="BC160" s="9"/>
    </row>
    <row r="161" spans="2:55">
      <c r="B161" s="1027"/>
      <c r="C161" s="1027"/>
      <c r="D161" s="1027"/>
      <c r="E161" s="1027"/>
      <c r="F161" s="1027"/>
      <c r="G161" s="1027"/>
      <c r="H161" s="1027"/>
      <c r="I161" s="1027"/>
      <c r="J161" s="1027"/>
      <c r="K161" s="1027"/>
      <c r="L161" s="1027"/>
      <c r="M161" s="1027"/>
      <c r="N161" s="1027"/>
      <c r="O161" s="1027"/>
      <c r="P161" s="1027"/>
      <c r="Q161" s="115"/>
      <c r="T161" s="372"/>
      <c r="AJ161" s="115"/>
      <c r="AK161" s="115"/>
      <c r="AL161" s="115"/>
      <c r="AM161" s="115"/>
      <c r="AN161" s="115"/>
      <c r="AO161" s="115"/>
      <c r="AP161" s="115"/>
      <c r="AQ161" s="115"/>
      <c r="AR161" s="115"/>
      <c r="AS161" s="115"/>
      <c r="AT161" s="115"/>
      <c r="AU161" s="115"/>
      <c r="AV161" s="115"/>
      <c r="AW161" s="9"/>
      <c r="AX161" s="9"/>
      <c r="AY161" s="9"/>
      <c r="AZ161" s="9"/>
      <c r="BA161" s="9"/>
      <c r="BB161" s="9"/>
      <c r="BC161" s="9"/>
    </row>
    <row r="162" spans="2:55">
      <c r="B162" s="1030" t="s">
        <v>4001</v>
      </c>
      <c r="C162" s="1027"/>
      <c r="D162" s="1027"/>
      <c r="E162" s="1027"/>
      <c r="F162" s="1027"/>
      <c r="G162" s="1027"/>
      <c r="H162" s="1027"/>
      <c r="I162" s="1027"/>
      <c r="J162" s="1027"/>
      <c r="K162" s="1027"/>
      <c r="L162" s="1027"/>
      <c r="M162" s="1027"/>
      <c r="N162" s="1027"/>
      <c r="O162" s="1027"/>
      <c r="P162" s="1027"/>
      <c r="Q162" s="115"/>
      <c r="T162" s="372"/>
      <c r="AJ162" s="115"/>
      <c r="AK162" s="115"/>
      <c r="AL162" s="115"/>
      <c r="AM162" s="115"/>
      <c r="AN162" s="115"/>
      <c r="AO162" s="115"/>
      <c r="AP162" s="115"/>
      <c r="AQ162" s="115"/>
      <c r="AR162" s="115"/>
      <c r="AS162" s="115"/>
      <c r="AT162" s="115"/>
      <c r="AU162" s="115"/>
      <c r="AV162" s="115"/>
      <c r="AW162" s="9"/>
      <c r="AX162" s="9"/>
      <c r="AY162" s="9"/>
      <c r="AZ162" s="9"/>
      <c r="BA162" s="9"/>
      <c r="BB162" s="9"/>
      <c r="BC162" s="9"/>
    </row>
    <row r="163" spans="2:55">
      <c r="B163" s="1714" t="s">
        <v>5251</v>
      </c>
      <c r="C163" s="1027"/>
      <c r="D163" s="1027"/>
      <c r="E163" s="1027"/>
      <c r="F163" s="1027"/>
      <c r="G163" s="1027"/>
      <c r="H163" s="1027"/>
      <c r="I163" s="1027"/>
      <c r="J163" s="1027"/>
      <c r="K163" s="1027"/>
      <c r="L163" s="1027"/>
      <c r="M163" s="1027"/>
      <c r="N163" s="1027"/>
      <c r="O163" s="1027"/>
      <c r="P163" s="1027"/>
      <c r="Q163" s="115"/>
      <c r="AJ163" s="115"/>
      <c r="AK163" s="115"/>
      <c r="AL163" s="115"/>
      <c r="AM163" s="115"/>
      <c r="AN163" s="115"/>
      <c r="AO163" s="115"/>
      <c r="AP163" s="115"/>
      <c r="AQ163" s="115"/>
      <c r="AR163" s="115"/>
      <c r="AS163" s="115"/>
      <c r="AT163" s="115"/>
      <c r="AU163" s="115"/>
      <c r="AV163" s="115"/>
      <c r="AW163" s="9"/>
      <c r="AX163" s="9"/>
      <c r="AY163" s="9"/>
      <c r="AZ163" s="9"/>
      <c r="BA163" s="9"/>
      <c r="BB163" s="9"/>
      <c r="BC163" s="9"/>
    </row>
    <row r="164" spans="2:55">
      <c r="B164" s="1027" t="s">
        <v>5252</v>
      </c>
      <c r="C164" s="1027"/>
      <c r="D164" s="1027"/>
      <c r="E164" s="1027"/>
      <c r="F164" s="1027"/>
      <c r="G164" s="1027"/>
      <c r="H164" s="1027"/>
      <c r="I164" s="1027"/>
      <c r="J164" s="1027"/>
      <c r="K164" s="1027"/>
      <c r="L164" s="1027"/>
      <c r="M164" s="1027"/>
      <c r="N164" s="1027"/>
      <c r="O164" s="1027"/>
      <c r="P164" s="1027"/>
      <c r="Q164" s="115"/>
      <c r="AJ164" s="115"/>
      <c r="AK164" s="115"/>
      <c r="AL164" s="115"/>
      <c r="AM164" s="115"/>
      <c r="AN164" s="115"/>
      <c r="AO164" s="115"/>
      <c r="AP164" s="115"/>
      <c r="AQ164" s="115"/>
      <c r="AR164" s="115"/>
      <c r="AS164" s="115"/>
      <c r="AT164" s="115"/>
      <c r="AU164" s="115"/>
      <c r="AV164" s="115"/>
      <c r="AW164" s="9"/>
      <c r="AX164" s="9"/>
      <c r="AY164" s="9"/>
      <c r="AZ164" s="9"/>
      <c r="BA164" s="9"/>
      <c r="BB164" s="9"/>
      <c r="BC164" s="9"/>
    </row>
    <row r="165" spans="2:55">
      <c r="B165" s="1027"/>
      <c r="C165" s="1027"/>
      <c r="D165" s="1027"/>
      <c r="E165" s="1027"/>
      <c r="F165" s="1027"/>
      <c r="G165" s="1027"/>
      <c r="H165" s="1027"/>
      <c r="I165" s="1027"/>
      <c r="J165" s="1027"/>
      <c r="K165" s="1027"/>
      <c r="L165" s="1027"/>
      <c r="M165" s="1027"/>
      <c r="N165" s="1027"/>
      <c r="O165" s="1027"/>
      <c r="P165" s="1027"/>
      <c r="Q165" s="115"/>
      <c r="AJ165" s="115"/>
      <c r="AK165" s="115"/>
      <c r="AL165" s="115"/>
      <c r="AM165" s="115"/>
      <c r="AN165" s="115"/>
      <c r="AO165" s="115"/>
      <c r="AP165" s="115"/>
      <c r="AQ165" s="115"/>
      <c r="AR165" s="115"/>
      <c r="AS165" s="115"/>
      <c r="AT165" s="115"/>
      <c r="AU165" s="115"/>
      <c r="AV165" s="115"/>
      <c r="AW165" s="9"/>
      <c r="AX165" s="9"/>
      <c r="AY165" s="9"/>
      <c r="AZ165" s="9"/>
      <c r="BA165" s="9"/>
      <c r="BB165" s="9"/>
      <c r="BC165" s="9"/>
    </row>
    <row r="166" spans="2:55">
      <c r="B166" s="1935" t="s">
        <v>5253</v>
      </c>
      <c r="C166" s="1935"/>
      <c r="D166" s="1935"/>
      <c r="E166" s="1935"/>
      <c r="F166" s="1935"/>
      <c r="G166" s="1935"/>
      <c r="H166" s="1935"/>
      <c r="I166" s="1935"/>
      <c r="J166" s="1935"/>
      <c r="K166" s="1935"/>
      <c r="L166" s="1935"/>
      <c r="M166" s="1935"/>
      <c r="N166" s="1935"/>
      <c r="O166" s="1935"/>
      <c r="P166" s="1027"/>
      <c r="Q166" s="115"/>
      <c r="AJ166" s="115"/>
      <c r="AK166" s="115"/>
      <c r="AL166" s="115"/>
      <c r="AM166" s="115"/>
      <c r="AN166" s="115"/>
      <c r="AO166" s="115"/>
      <c r="AP166" s="115"/>
      <c r="AQ166" s="115"/>
      <c r="AR166" s="115"/>
      <c r="AS166" s="115"/>
      <c r="AT166" s="115"/>
      <c r="AU166" s="115"/>
      <c r="AV166" s="115"/>
      <c r="AW166" s="9"/>
      <c r="AX166" s="9"/>
      <c r="AY166" s="9"/>
      <c r="AZ166" s="9"/>
      <c r="BA166" s="9"/>
      <c r="BB166" s="9"/>
      <c r="BC166" s="9"/>
    </row>
    <row r="167" spans="2:55">
      <c r="B167" s="1935"/>
      <c r="C167" s="1935"/>
      <c r="D167" s="1935"/>
      <c r="E167" s="1935"/>
      <c r="F167" s="1935"/>
      <c r="G167" s="1935"/>
      <c r="H167" s="1935"/>
      <c r="I167" s="1935"/>
      <c r="J167" s="1935"/>
      <c r="K167" s="1935"/>
      <c r="L167" s="1935"/>
      <c r="M167" s="1935"/>
      <c r="N167" s="1935"/>
      <c r="O167" s="1935"/>
      <c r="P167" s="1027"/>
      <c r="Q167" s="115"/>
      <c r="AJ167" s="115"/>
      <c r="AK167" s="115"/>
      <c r="AL167" s="115"/>
      <c r="AM167" s="115"/>
      <c r="AN167" s="115"/>
      <c r="AO167" s="115"/>
      <c r="AP167" s="115"/>
      <c r="AQ167" s="115"/>
      <c r="AR167" s="115"/>
      <c r="AS167" s="115"/>
      <c r="AT167" s="115"/>
      <c r="AU167" s="115"/>
      <c r="AV167" s="115"/>
      <c r="AW167" s="9"/>
      <c r="AX167" s="9"/>
      <c r="AY167" s="9"/>
      <c r="AZ167" s="9"/>
      <c r="BA167" s="9"/>
      <c r="BB167" s="9"/>
      <c r="BC167" s="9"/>
    </row>
    <row r="168" spans="2:55">
      <c r="B168" s="1231"/>
      <c r="C168" s="1231"/>
      <c r="D168" s="1231"/>
      <c r="E168" s="1231"/>
      <c r="F168" s="1231"/>
      <c r="G168" s="1231"/>
      <c r="H168" s="1231"/>
      <c r="I168" s="1231"/>
      <c r="J168" s="1231"/>
      <c r="K168" s="1231"/>
      <c r="L168" s="1231"/>
      <c r="M168" s="1231"/>
      <c r="N168" s="1231"/>
      <c r="O168" s="1231"/>
      <c r="P168" s="1027"/>
      <c r="Q168" s="115"/>
      <c r="AJ168" s="115"/>
      <c r="AK168" s="115"/>
      <c r="AL168" s="115"/>
      <c r="AM168" s="115"/>
      <c r="AN168" s="115"/>
      <c r="AO168" s="115"/>
      <c r="AP168" s="115"/>
      <c r="AQ168" s="115"/>
      <c r="AR168" s="115"/>
      <c r="AS168" s="115"/>
      <c r="AT168" s="115"/>
      <c r="AU168" s="115"/>
      <c r="AV168" s="115"/>
      <c r="AW168" s="9"/>
      <c r="AX168" s="9"/>
      <c r="AY168" s="9"/>
      <c r="AZ168" s="9"/>
      <c r="BA168" s="9"/>
      <c r="BB168" s="9"/>
      <c r="BC168" s="9"/>
    </row>
    <row r="169" spans="2:55">
      <c r="B169" s="1714" t="s">
        <v>5254</v>
      </c>
      <c r="C169" s="1027"/>
      <c r="D169" s="1027"/>
      <c r="E169" s="1027"/>
      <c r="F169" s="1027"/>
      <c r="G169" s="1027"/>
      <c r="H169" s="1027"/>
      <c r="I169" s="1027"/>
      <c r="J169" s="1027"/>
      <c r="K169" s="1027"/>
      <c r="L169" s="1027"/>
      <c r="M169" s="1027"/>
      <c r="N169" s="1027"/>
      <c r="O169" s="1027"/>
      <c r="P169" s="1027"/>
      <c r="Q169" s="115"/>
      <c r="AJ169" s="115"/>
      <c r="AK169" s="115"/>
      <c r="AL169" s="115"/>
      <c r="AM169" s="115"/>
      <c r="AN169" s="115"/>
      <c r="AO169" s="115"/>
      <c r="AP169" s="115"/>
      <c r="AQ169" s="115"/>
      <c r="AR169" s="115"/>
      <c r="AS169" s="115"/>
      <c r="AT169" s="115"/>
      <c r="AU169" s="115"/>
      <c r="AV169" s="115"/>
      <c r="AW169" s="9"/>
      <c r="AX169" s="9"/>
      <c r="AY169" s="9"/>
      <c r="AZ169" s="9"/>
      <c r="BA169" s="9"/>
      <c r="BB169" s="9"/>
      <c r="BC169" s="9"/>
    </row>
    <row r="170" spans="2:55">
      <c r="B170" s="1027" t="s">
        <v>5255</v>
      </c>
      <c r="C170" s="1027"/>
      <c r="D170" s="1027"/>
      <c r="E170" s="1027"/>
      <c r="F170" s="1027"/>
      <c r="G170" s="1027"/>
      <c r="H170" s="1027"/>
      <c r="I170" s="1027"/>
      <c r="J170" s="1027"/>
      <c r="K170" s="1027"/>
      <c r="L170" s="1027"/>
      <c r="M170" s="1027"/>
      <c r="N170" s="1027"/>
      <c r="O170" s="1027"/>
      <c r="P170" s="1027"/>
      <c r="Q170" s="115"/>
      <c r="AJ170" s="115"/>
      <c r="AK170" s="115"/>
      <c r="AL170" s="115"/>
      <c r="AM170" s="115"/>
      <c r="AN170" s="115"/>
      <c r="AO170" s="115"/>
      <c r="AP170" s="115"/>
      <c r="AQ170" s="115"/>
      <c r="AR170" s="115"/>
      <c r="AS170" s="115"/>
      <c r="AT170" s="115"/>
      <c r="AU170" s="115"/>
      <c r="AV170" s="115"/>
      <c r="AW170" s="9"/>
      <c r="AX170" s="9"/>
      <c r="AY170" s="9"/>
      <c r="AZ170" s="9"/>
      <c r="BA170" s="9"/>
      <c r="BB170" s="9"/>
      <c r="BC170" s="9"/>
    </row>
    <row r="171" spans="2:55">
      <c r="B171" s="1714" t="s">
        <v>5256</v>
      </c>
      <c r="C171" s="1027"/>
      <c r="D171" s="1027"/>
      <c r="E171" s="1027"/>
      <c r="F171" s="1027"/>
      <c r="G171" s="1027"/>
      <c r="H171" s="1027"/>
      <c r="I171" s="1027"/>
      <c r="J171" s="1027"/>
      <c r="K171" s="1027"/>
      <c r="L171" s="1027"/>
      <c r="M171" s="1027"/>
      <c r="N171" s="1027"/>
      <c r="O171" s="1027"/>
      <c r="P171" s="1027"/>
      <c r="Q171" s="115"/>
      <c r="AJ171" s="115"/>
      <c r="AK171" s="115"/>
      <c r="AL171" s="115"/>
      <c r="AM171" s="115"/>
      <c r="AN171" s="115"/>
      <c r="AO171" s="115"/>
      <c r="AP171" s="115"/>
      <c r="AQ171" s="115"/>
      <c r="AR171" s="115"/>
      <c r="AS171" s="115"/>
      <c r="AT171" s="115"/>
      <c r="AU171" s="115"/>
      <c r="AV171" s="115"/>
      <c r="AW171" s="9"/>
      <c r="AX171" s="9"/>
      <c r="AY171" s="9"/>
      <c r="AZ171" s="9"/>
      <c r="BA171" s="9"/>
      <c r="BB171" s="9"/>
      <c r="BC171" s="9"/>
    </row>
    <row r="172" spans="2:55">
      <c r="B172" s="1714" t="s">
        <v>5257</v>
      </c>
      <c r="C172" s="1027"/>
      <c r="D172" s="1027"/>
      <c r="E172" s="1027"/>
      <c r="F172" s="1027"/>
      <c r="G172" s="1027"/>
      <c r="H172" s="1027"/>
      <c r="I172" s="1027"/>
      <c r="J172" s="1027"/>
      <c r="K172" s="1027"/>
      <c r="L172" s="1027"/>
      <c r="M172" s="1027"/>
      <c r="N172" s="1027"/>
      <c r="O172" s="1027"/>
      <c r="P172" s="1027"/>
      <c r="Q172" s="115"/>
      <c r="AJ172" s="115"/>
      <c r="AK172" s="115"/>
      <c r="AL172" s="115"/>
      <c r="AM172" s="115"/>
      <c r="AN172" s="115"/>
      <c r="AO172" s="115"/>
      <c r="AP172" s="115"/>
      <c r="AQ172" s="115"/>
      <c r="AR172" s="115"/>
      <c r="AS172" s="115"/>
      <c r="AT172" s="115"/>
      <c r="AU172" s="115"/>
      <c r="AV172" s="115"/>
      <c r="AW172" s="9"/>
      <c r="AX172" s="9"/>
      <c r="AY172" s="9"/>
      <c r="AZ172" s="9"/>
      <c r="BA172" s="9"/>
      <c r="BB172" s="9"/>
      <c r="BC172" s="9"/>
    </row>
    <row r="173" spans="2:55">
      <c r="B173" s="1714" t="s">
        <v>5258</v>
      </c>
      <c r="C173" s="1027"/>
      <c r="D173" s="1027"/>
      <c r="E173" s="1027"/>
      <c r="F173" s="1027"/>
      <c r="G173" s="1027"/>
      <c r="H173" s="1027"/>
      <c r="I173" s="1027"/>
      <c r="J173" s="1027"/>
      <c r="K173" s="1027"/>
      <c r="L173" s="1027"/>
      <c r="M173" s="1027"/>
      <c r="N173" s="1027"/>
      <c r="O173" s="1027"/>
      <c r="P173" s="1027"/>
      <c r="Q173" s="115"/>
      <c r="AJ173" s="115"/>
      <c r="AK173" s="115"/>
      <c r="AL173" s="115"/>
      <c r="AM173" s="115"/>
      <c r="AN173" s="115"/>
      <c r="AO173" s="115"/>
      <c r="AP173" s="115"/>
      <c r="AQ173" s="115"/>
      <c r="AR173" s="115"/>
      <c r="AS173" s="115"/>
      <c r="AT173" s="115"/>
      <c r="AU173" s="115"/>
      <c r="AV173" s="115"/>
      <c r="AW173" s="9"/>
      <c r="AX173" s="9"/>
      <c r="AY173" s="9"/>
      <c r="AZ173" s="9"/>
      <c r="BA173" s="9"/>
      <c r="BB173" s="9"/>
      <c r="BC173" s="9"/>
    </row>
    <row r="174" spans="2:55">
      <c r="B174" s="1714" t="s">
        <v>5259</v>
      </c>
      <c r="C174" s="1027"/>
      <c r="D174" s="1027"/>
      <c r="E174" s="1027"/>
      <c r="F174" s="1027"/>
      <c r="G174" s="1027"/>
      <c r="H174" s="1027"/>
      <c r="I174" s="1027"/>
      <c r="J174" s="1027"/>
      <c r="K174" s="1027"/>
      <c r="L174" s="1027"/>
      <c r="M174" s="1027"/>
      <c r="N174" s="1027"/>
      <c r="O174" s="1027"/>
      <c r="P174" s="1027"/>
      <c r="Q174" s="115"/>
      <c r="AJ174" s="115"/>
      <c r="AK174" s="115"/>
      <c r="AL174" s="115"/>
      <c r="AM174" s="115"/>
      <c r="AN174" s="115"/>
      <c r="AO174" s="115"/>
      <c r="AP174" s="115"/>
      <c r="AQ174" s="115"/>
      <c r="AR174" s="115"/>
      <c r="AS174" s="115"/>
      <c r="AT174" s="115"/>
      <c r="AU174" s="115"/>
      <c r="AV174" s="115"/>
      <c r="AW174" s="9"/>
      <c r="AX174" s="9"/>
      <c r="AY174" s="9"/>
      <c r="AZ174" s="9"/>
      <c r="BA174" s="9"/>
      <c r="BB174" s="9"/>
      <c r="BC174" s="9"/>
    </row>
    <row r="175" spans="2:55">
      <c r="B175" s="1714" t="s">
        <v>5260</v>
      </c>
      <c r="C175" s="1027"/>
      <c r="D175" s="1027"/>
      <c r="E175" s="1027"/>
      <c r="F175" s="1027"/>
      <c r="G175" s="1027"/>
      <c r="H175" s="1027"/>
      <c r="I175" s="1027"/>
      <c r="J175" s="1027"/>
      <c r="K175" s="1027"/>
      <c r="L175" s="1027"/>
      <c r="M175" s="1027"/>
      <c r="N175" s="1027"/>
      <c r="O175" s="1027"/>
      <c r="P175" s="1027"/>
      <c r="Q175" s="115"/>
      <c r="AJ175" s="115"/>
      <c r="AK175" s="115"/>
      <c r="AL175" s="115"/>
      <c r="AM175" s="115"/>
      <c r="AN175" s="115"/>
      <c r="AO175" s="115"/>
      <c r="AP175" s="115"/>
      <c r="AQ175" s="115"/>
      <c r="AR175" s="115"/>
      <c r="AS175" s="115"/>
      <c r="AT175" s="115"/>
      <c r="AU175" s="115"/>
      <c r="AV175" s="115"/>
      <c r="AW175" s="9"/>
      <c r="AX175" s="9"/>
      <c r="AY175" s="9"/>
      <c r="AZ175" s="9"/>
      <c r="BA175" s="9"/>
      <c r="BB175" s="9"/>
      <c r="BC175" s="9"/>
    </row>
    <row r="176" spans="2:55">
      <c r="B176" s="1714" t="s">
        <v>5261</v>
      </c>
      <c r="C176" s="1027"/>
      <c r="D176" s="1027"/>
      <c r="E176" s="1027"/>
      <c r="F176" s="1027"/>
      <c r="G176" s="1027"/>
      <c r="H176" s="1027"/>
      <c r="I176" s="1027"/>
      <c r="J176" s="1027"/>
      <c r="K176" s="1027"/>
      <c r="L176" s="1027"/>
      <c r="M176" s="1027"/>
      <c r="N176" s="1027"/>
      <c r="O176" s="1027"/>
      <c r="P176" s="1027"/>
      <c r="Q176" s="115"/>
      <c r="AJ176" s="115"/>
      <c r="AK176" s="115"/>
      <c r="AL176" s="115"/>
      <c r="AM176" s="115"/>
      <c r="AN176" s="115"/>
      <c r="AO176" s="115"/>
      <c r="AP176" s="115"/>
      <c r="AQ176" s="115"/>
      <c r="AR176" s="115"/>
      <c r="AS176" s="115"/>
      <c r="AT176" s="115"/>
      <c r="AU176" s="115"/>
      <c r="AV176" s="115"/>
      <c r="AW176" s="9"/>
      <c r="AX176" s="9"/>
      <c r="AY176" s="9"/>
      <c r="AZ176" s="9"/>
      <c r="BA176" s="9"/>
      <c r="BB176" s="9"/>
      <c r="BC176" s="9"/>
    </row>
    <row r="177" spans="2:55">
      <c r="B177" s="1714" t="s">
        <v>5262</v>
      </c>
      <c r="C177" s="1027"/>
      <c r="D177" s="1027"/>
      <c r="E177" s="1027"/>
      <c r="F177" s="1027"/>
      <c r="G177" s="1027"/>
      <c r="H177" s="1027"/>
      <c r="I177" s="1027"/>
      <c r="J177" s="1027"/>
      <c r="K177" s="1027"/>
      <c r="L177" s="1027"/>
      <c r="M177" s="1027"/>
      <c r="N177" s="1027"/>
      <c r="O177" s="1027"/>
      <c r="P177" s="1027"/>
      <c r="Q177" s="115"/>
      <c r="AJ177" s="115"/>
      <c r="AK177" s="115"/>
      <c r="AL177" s="115"/>
      <c r="AM177" s="115"/>
      <c r="AN177" s="115"/>
      <c r="AO177" s="115"/>
      <c r="AP177" s="115"/>
      <c r="AQ177" s="115"/>
      <c r="AR177" s="115"/>
      <c r="AS177" s="115"/>
      <c r="AT177" s="115"/>
      <c r="AU177" s="115"/>
      <c r="AV177" s="115"/>
      <c r="AW177" s="9"/>
      <c r="AX177" s="9"/>
      <c r="AY177" s="9"/>
      <c r="AZ177" s="9"/>
      <c r="BA177" s="9"/>
      <c r="BB177" s="9"/>
      <c r="BC177" s="9"/>
    </row>
    <row r="178" spans="2:55">
      <c r="B178" s="2469" t="s">
        <v>5263</v>
      </c>
      <c r="C178" s="2469"/>
      <c r="D178" s="2469"/>
      <c r="E178" s="2469"/>
      <c r="F178" s="2469"/>
      <c r="G178" s="2469"/>
      <c r="H178" s="2469"/>
      <c r="I178" s="2469"/>
      <c r="J178" s="2469"/>
      <c r="K178" s="2469"/>
      <c r="L178" s="2469"/>
      <c r="M178" s="2469"/>
      <c r="N178" s="2469"/>
      <c r="O178" s="2469"/>
      <c r="P178" s="1027"/>
      <c r="Q178" s="115"/>
      <c r="AJ178" s="115"/>
      <c r="AK178" s="115"/>
      <c r="AL178" s="115"/>
      <c r="AM178" s="115"/>
      <c r="AN178" s="115"/>
      <c r="AO178" s="115"/>
      <c r="AP178" s="115"/>
      <c r="AQ178" s="115"/>
      <c r="AR178" s="115"/>
      <c r="AS178" s="115"/>
      <c r="AT178" s="115"/>
      <c r="AU178" s="115"/>
      <c r="AV178" s="115"/>
      <c r="AW178" s="9"/>
      <c r="AX178" s="9"/>
      <c r="AY178" s="9"/>
      <c r="AZ178" s="9"/>
      <c r="BA178" s="9"/>
      <c r="BB178" s="9"/>
      <c r="BC178" s="9"/>
    </row>
    <row r="179" spans="2:55">
      <c r="B179" s="2469"/>
      <c r="C179" s="2469"/>
      <c r="D179" s="2469"/>
      <c r="E179" s="2469"/>
      <c r="F179" s="2469"/>
      <c r="G179" s="2469"/>
      <c r="H179" s="2469"/>
      <c r="I179" s="2469"/>
      <c r="J179" s="2469"/>
      <c r="K179" s="2469"/>
      <c r="L179" s="2469"/>
      <c r="M179" s="2469"/>
      <c r="N179" s="2469"/>
      <c r="O179" s="2469"/>
      <c r="P179" s="1027"/>
      <c r="Q179" s="115"/>
      <c r="AJ179" s="115"/>
      <c r="AK179" s="115"/>
      <c r="AL179" s="115"/>
      <c r="AM179" s="115"/>
      <c r="AN179" s="115"/>
      <c r="AO179" s="115"/>
      <c r="AP179" s="115"/>
      <c r="AQ179" s="115"/>
      <c r="AR179" s="115"/>
      <c r="AS179" s="115"/>
      <c r="AT179" s="115"/>
      <c r="AU179" s="115"/>
      <c r="AV179" s="115"/>
      <c r="AW179" s="9"/>
      <c r="AX179" s="9"/>
      <c r="AY179" s="9"/>
      <c r="AZ179" s="9"/>
      <c r="BA179" s="9"/>
      <c r="BB179" s="9"/>
      <c r="BC179" s="9"/>
    </row>
    <row r="180" spans="2:55">
      <c r="B180" s="1714" t="s">
        <v>5264</v>
      </c>
      <c r="C180" s="1027"/>
      <c r="D180" s="1027"/>
      <c r="E180" s="1027"/>
      <c r="F180" s="1027"/>
      <c r="G180" s="1027"/>
      <c r="H180" s="1027"/>
      <c r="I180" s="1027"/>
      <c r="J180" s="1027"/>
      <c r="K180" s="1027"/>
      <c r="L180" s="1027"/>
      <c r="M180" s="1027"/>
      <c r="N180" s="1027"/>
      <c r="O180" s="1027"/>
      <c r="P180" s="1027"/>
      <c r="Q180" s="115"/>
      <c r="AJ180" s="115"/>
      <c r="AK180" s="115"/>
      <c r="AL180" s="115"/>
      <c r="AM180" s="115"/>
      <c r="AN180" s="115"/>
      <c r="AO180" s="115"/>
      <c r="AP180" s="115"/>
      <c r="AQ180" s="115"/>
      <c r="AR180" s="115"/>
      <c r="AS180" s="115"/>
      <c r="AT180" s="115"/>
      <c r="AU180" s="115"/>
      <c r="AV180" s="115"/>
      <c r="AW180" s="9"/>
      <c r="AX180" s="9"/>
      <c r="AY180" s="9"/>
      <c r="AZ180" s="9"/>
      <c r="BA180" s="9"/>
      <c r="BB180" s="9"/>
      <c r="BC180" s="9"/>
    </row>
    <row r="181" spans="2:55">
      <c r="B181" s="1027"/>
      <c r="C181" s="1027"/>
      <c r="D181" s="1027"/>
      <c r="E181" s="1027"/>
      <c r="F181" s="1027"/>
      <c r="G181" s="1027"/>
      <c r="H181" s="1027"/>
      <c r="I181" s="1027"/>
      <c r="J181" s="1027"/>
      <c r="K181" s="1027"/>
      <c r="L181" s="1027"/>
      <c r="M181" s="1027"/>
      <c r="N181" s="1027"/>
      <c r="O181" s="1027"/>
      <c r="P181" s="1027"/>
      <c r="Q181" s="115"/>
      <c r="AJ181" s="115"/>
      <c r="AK181" s="115"/>
      <c r="AL181" s="115"/>
      <c r="AM181" s="115"/>
      <c r="AN181" s="115"/>
      <c r="AO181" s="115"/>
      <c r="AP181" s="115"/>
      <c r="AQ181" s="115"/>
      <c r="AR181" s="115"/>
      <c r="AS181" s="115"/>
      <c r="AT181" s="115"/>
      <c r="AU181" s="115"/>
      <c r="AV181" s="115"/>
      <c r="AW181" s="9"/>
      <c r="AX181" s="9"/>
      <c r="AY181" s="9"/>
      <c r="AZ181" s="9"/>
      <c r="BA181" s="9"/>
      <c r="BB181" s="9"/>
      <c r="BC181" s="9"/>
    </row>
    <row r="182" spans="2:55">
      <c r="B182" s="1027" t="s">
        <v>5265</v>
      </c>
      <c r="C182" s="1027"/>
      <c r="D182" s="1027"/>
      <c r="E182" s="1027"/>
      <c r="F182" s="1027"/>
      <c r="G182" s="1027"/>
      <c r="H182" s="1027"/>
      <c r="I182" s="1027"/>
      <c r="J182" s="1027"/>
      <c r="K182" s="1027"/>
      <c r="L182" s="1027"/>
      <c r="M182" s="1027"/>
      <c r="N182" s="1027"/>
      <c r="O182" s="1027"/>
      <c r="P182" s="1027"/>
      <c r="Q182" s="115"/>
      <c r="AJ182" s="115"/>
      <c r="AK182" s="115"/>
      <c r="AL182" s="115"/>
      <c r="AM182" s="115"/>
      <c r="AN182" s="115"/>
      <c r="AO182" s="115"/>
      <c r="AP182" s="115"/>
      <c r="AQ182" s="115"/>
      <c r="AR182" s="115"/>
      <c r="AS182" s="115"/>
      <c r="AT182" s="115"/>
      <c r="AU182" s="115"/>
      <c r="AV182" s="115"/>
      <c r="AW182" s="9"/>
      <c r="AX182" s="9"/>
      <c r="AY182" s="9"/>
      <c r="AZ182" s="9"/>
      <c r="BA182" s="9"/>
      <c r="BB182" s="9"/>
      <c r="BC182" s="9"/>
    </row>
    <row r="183" spans="2:55">
      <c r="B183" s="1714" t="s">
        <v>5266</v>
      </c>
      <c r="C183" s="1027"/>
      <c r="D183" s="1027"/>
      <c r="E183" s="1027"/>
      <c r="F183" s="1027"/>
      <c r="G183" s="1027"/>
      <c r="H183" s="1027"/>
      <c r="I183" s="1027"/>
      <c r="J183" s="1027"/>
      <c r="K183" s="1027"/>
      <c r="L183" s="1027"/>
      <c r="M183" s="1027"/>
      <c r="N183" s="1027"/>
      <c r="O183" s="1027"/>
      <c r="P183" s="1027"/>
      <c r="Q183" s="115"/>
      <c r="AJ183" s="115"/>
      <c r="AK183" s="115"/>
      <c r="AL183" s="115"/>
      <c r="AM183" s="115"/>
      <c r="AN183" s="115"/>
      <c r="AO183" s="115"/>
      <c r="AP183" s="115"/>
      <c r="AQ183" s="115"/>
      <c r="AR183" s="115"/>
      <c r="AS183" s="115"/>
      <c r="AT183" s="115"/>
      <c r="AU183" s="115"/>
      <c r="AV183" s="115"/>
      <c r="AW183" s="9"/>
      <c r="AX183" s="9"/>
      <c r="AY183" s="9"/>
      <c r="AZ183" s="9"/>
      <c r="BA183" s="9"/>
      <c r="BB183" s="9"/>
      <c r="BC183" s="9"/>
    </row>
    <row r="184" spans="2:55">
      <c r="B184" s="1714"/>
      <c r="C184" s="1027"/>
      <c r="D184" s="1027"/>
      <c r="E184" s="1027"/>
      <c r="F184" s="1027"/>
      <c r="G184" s="1027"/>
      <c r="H184" s="1027"/>
      <c r="I184" s="1027"/>
      <c r="J184" s="1027"/>
      <c r="K184" s="1027"/>
      <c r="L184" s="1027"/>
      <c r="M184" s="1027"/>
      <c r="N184" s="1027"/>
      <c r="O184" s="1027"/>
      <c r="P184" s="1027"/>
      <c r="Q184" s="115"/>
      <c r="AJ184" s="115"/>
      <c r="AK184" s="115"/>
      <c r="AL184" s="115"/>
      <c r="AM184" s="115"/>
      <c r="AN184" s="115"/>
      <c r="AO184" s="115"/>
      <c r="AP184" s="115"/>
      <c r="AQ184" s="115"/>
      <c r="AR184" s="115"/>
      <c r="AS184" s="115"/>
      <c r="AT184" s="115"/>
      <c r="AU184" s="115"/>
      <c r="AV184" s="115"/>
      <c r="AW184" s="9"/>
      <c r="AX184" s="9"/>
      <c r="AY184" s="9"/>
      <c r="AZ184" s="9"/>
      <c r="BA184" s="9"/>
      <c r="BB184" s="9"/>
      <c r="BC184" s="9"/>
    </row>
    <row r="185" spans="2:55">
      <c r="B185" s="1714" t="s">
        <v>5267</v>
      </c>
      <c r="C185" s="1027"/>
      <c r="D185" s="1027"/>
      <c r="E185" s="1027"/>
      <c r="F185" s="1027"/>
      <c r="G185" s="1027"/>
      <c r="H185" s="1027"/>
      <c r="I185" s="1027"/>
      <c r="J185" s="1027"/>
      <c r="K185" s="1027"/>
      <c r="L185" s="1027"/>
      <c r="M185" s="1027"/>
      <c r="N185" s="1027"/>
      <c r="O185" s="1027"/>
      <c r="P185" s="1027"/>
      <c r="Q185" s="115"/>
      <c r="AJ185" s="115"/>
      <c r="AK185" s="115"/>
      <c r="AL185" s="115"/>
      <c r="AM185" s="115"/>
      <c r="AN185" s="115"/>
      <c r="AO185" s="115"/>
      <c r="AP185" s="115"/>
      <c r="AQ185" s="115"/>
      <c r="AR185" s="115"/>
      <c r="AS185" s="115"/>
      <c r="AT185" s="115"/>
      <c r="AU185" s="115"/>
      <c r="AV185" s="115"/>
      <c r="AW185" s="9"/>
      <c r="AX185" s="9"/>
      <c r="AY185" s="9"/>
      <c r="AZ185" s="9"/>
      <c r="BA185" s="9"/>
      <c r="BB185" s="9"/>
      <c r="BC185" s="9"/>
    </row>
    <row r="186" spans="2:55">
      <c r="B186" s="1027"/>
      <c r="C186" s="1027"/>
      <c r="D186" s="1027"/>
      <c r="E186" s="1027"/>
      <c r="F186" s="1027"/>
      <c r="G186" s="1027"/>
      <c r="H186" s="1027"/>
      <c r="I186" s="1027"/>
      <c r="J186" s="1027"/>
      <c r="K186" s="1027"/>
      <c r="L186" s="1027"/>
      <c r="M186" s="1027"/>
      <c r="N186" s="1027"/>
      <c r="O186" s="1027"/>
      <c r="P186" s="1027"/>
      <c r="Q186" s="115"/>
      <c r="AJ186" s="115"/>
      <c r="AK186" s="115"/>
      <c r="AL186" s="115"/>
      <c r="AM186" s="115"/>
      <c r="AN186" s="115"/>
      <c r="AO186" s="115"/>
      <c r="AP186" s="115"/>
      <c r="AQ186" s="115"/>
      <c r="AR186" s="115"/>
      <c r="AS186" s="115"/>
      <c r="AT186" s="115"/>
      <c r="AU186" s="115"/>
      <c r="AV186" s="115"/>
      <c r="AW186" s="9"/>
      <c r="AX186" s="9"/>
      <c r="AY186" s="9"/>
      <c r="AZ186" s="9"/>
      <c r="BA186" s="9"/>
      <c r="BB186" s="9"/>
      <c r="BC186" s="9"/>
    </row>
    <row r="187" spans="2:55">
      <c r="B187" s="1027"/>
      <c r="C187" s="1747" t="s">
        <v>4997</v>
      </c>
      <c r="D187" s="1747" t="s">
        <v>4971</v>
      </c>
      <c r="E187" s="1747" t="s">
        <v>1051</v>
      </c>
      <c r="F187" s="1027"/>
      <c r="G187" s="1027"/>
      <c r="H187" s="1027"/>
      <c r="I187" s="1027"/>
      <c r="J187" s="1027"/>
      <c r="K187" s="1027"/>
      <c r="L187" s="1027"/>
      <c r="M187" s="1027"/>
      <c r="N187" s="1027"/>
      <c r="O187" s="1027"/>
      <c r="P187" s="1027"/>
      <c r="Q187" s="115"/>
      <c r="AJ187" s="115"/>
      <c r="AK187" s="115"/>
      <c r="AL187" s="115"/>
      <c r="AM187" s="115"/>
      <c r="AN187" s="115"/>
      <c r="AO187" s="115"/>
      <c r="AP187" s="115"/>
      <c r="AQ187" s="115"/>
      <c r="AR187" s="115"/>
      <c r="AS187" s="115"/>
      <c r="AT187" s="115"/>
      <c r="AU187" s="115"/>
      <c r="AV187" s="115"/>
      <c r="AW187" s="9"/>
      <c r="AX187" s="9"/>
      <c r="AY187" s="9"/>
      <c r="AZ187" s="9"/>
      <c r="BA187" s="9"/>
      <c r="BB187" s="9"/>
      <c r="BC187" s="9"/>
    </row>
    <row r="188" spans="2:55" ht="15.75">
      <c r="B188" s="1027"/>
      <c r="C188" s="1757">
        <v>3</v>
      </c>
      <c r="D188" s="1760">
        <f>R188</f>
        <v>0</v>
      </c>
      <c r="E188" s="917"/>
      <c r="F188" s="1027"/>
      <c r="G188" s="1027"/>
      <c r="H188" s="1027"/>
      <c r="I188" s="1027"/>
      <c r="J188" s="1027"/>
      <c r="K188" s="1027"/>
      <c r="L188" s="1027"/>
      <c r="M188" s="1027"/>
      <c r="N188" s="1027"/>
      <c r="O188" s="1027"/>
      <c r="P188" s="1027"/>
      <c r="Q188" s="115"/>
      <c r="R188" s="1778">
        <f>IF(R160, 3, 0)</f>
        <v>0</v>
      </c>
      <c r="AJ188" s="115"/>
      <c r="AK188" s="115"/>
      <c r="AL188" s="115"/>
      <c r="AM188" s="115"/>
      <c r="AN188" s="115"/>
      <c r="AO188" s="115"/>
      <c r="AP188" s="115"/>
      <c r="AQ188" s="115"/>
      <c r="AR188" s="115"/>
      <c r="AS188" s="115"/>
      <c r="AT188" s="115"/>
      <c r="AU188" s="115"/>
      <c r="AV188" s="115"/>
      <c r="AW188" s="9"/>
      <c r="AX188" s="9"/>
      <c r="AY188" s="9"/>
      <c r="AZ188" s="9"/>
      <c r="BA188" s="9"/>
      <c r="BB188" s="9"/>
      <c r="BC188" s="9"/>
    </row>
    <row r="189" spans="2:55">
      <c r="B189" s="1027"/>
      <c r="C189" s="1027"/>
      <c r="D189" s="1027"/>
      <c r="E189" s="1027"/>
      <c r="F189" s="1027"/>
      <c r="G189" s="1027"/>
      <c r="H189" s="1027"/>
      <c r="I189" s="1027"/>
      <c r="J189" s="1027"/>
      <c r="K189" s="1027"/>
      <c r="L189" s="1027"/>
      <c r="M189" s="1027"/>
      <c r="N189" s="1027"/>
      <c r="O189" s="1027"/>
      <c r="P189" s="1027"/>
      <c r="Q189" s="115"/>
      <c r="AJ189" s="115"/>
      <c r="AK189" s="115"/>
      <c r="AL189" s="115"/>
      <c r="AM189" s="115"/>
      <c r="AN189" s="115"/>
      <c r="AO189" s="115"/>
      <c r="AP189" s="115"/>
      <c r="AQ189" s="115"/>
      <c r="AR189" s="115"/>
      <c r="AS189" s="115"/>
      <c r="AT189" s="115"/>
      <c r="AU189" s="115"/>
      <c r="AV189" s="115"/>
      <c r="AW189" s="9"/>
      <c r="AX189" s="9"/>
      <c r="AY189" s="9"/>
      <c r="AZ189" s="9"/>
      <c r="BA189" s="9"/>
      <c r="BB189" s="9"/>
      <c r="BC189" s="9"/>
    </row>
    <row r="190" spans="2:55" ht="18.75">
      <c r="B190" s="8" t="s">
        <v>1055</v>
      </c>
      <c r="C190" s="3"/>
      <c r="D190" s="3"/>
      <c r="E190" s="3"/>
      <c r="F190" s="3"/>
      <c r="G190" s="3"/>
      <c r="H190" s="3"/>
      <c r="I190" s="3"/>
      <c r="J190" s="8" t="s">
        <v>3638</v>
      </c>
      <c r="K190" s="3"/>
      <c r="L190" s="3"/>
      <c r="M190" s="3"/>
      <c r="N190" s="3"/>
      <c r="O190" s="3"/>
      <c r="P190" s="3"/>
      <c r="Q190" s="115"/>
      <c r="AJ190" s="115"/>
      <c r="AK190" s="115"/>
      <c r="AL190" s="115"/>
      <c r="AM190" s="115"/>
      <c r="AN190" s="115"/>
      <c r="AO190" s="115"/>
      <c r="AP190" s="115"/>
      <c r="AQ190" s="115"/>
      <c r="AR190" s="115"/>
      <c r="AS190" s="115"/>
      <c r="AT190" s="115"/>
      <c r="AU190" s="115"/>
      <c r="AV190" s="115"/>
      <c r="AW190" s="9"/>
      <c r="AX190" s="9"/>
      <c r="AY190" s="9"/>
      <c r="AZ190" s="9"/>
      <c r="BA190" s="9"/>
      <c r="BB190" s="9"/>
      <c r="BC190" s="9"/>
    </row>
    <row r="191" spans="2:55">
      <c r="B191" s="1030" t="s">
        <v>4802</v>
      </c>
      <c r="C191" s="1027"/>
      <c r="D191" s="1027"/>
      <c r="E191" s="1027"/>
      <c r="F191" s="1027"/>
      <c r="G191" s="1027"/>
      <c r="H191" s="1027"/>
      <c r="I191" s="1027"/>
      <c r="J191" s="1032" t="s">
        <v>4697</v>
      </c>
      <c r="K191" s="1027"/>
      <c r="L191" s="1027"/>
      <c r="M191" s="1027"/>
      <c r="N191" s="1027"/>
      <c r="O191" s="1027"/>
      <c r="P191" s="1027"/>
      <c r="Q191" s="115"/>
      <c r="AJ191" s="115"/>
      <c r="AK191" s="115"/>
      <c r="AL191" s="115"/>
      <c r="AM191" s="115"/>
      <c r="AN191" s="115"/>
      <c r="AO191" s="115"/>
      <c r="AP191" s="115"/>
      <c r="AQ191" s="115"/>
      <c r="AR191" s="115"/>
      <c r="AS191" s="115"/>
      <c r="AT191" s="115"/>
      <c r="AU191" s="115"/>
      <c r="AV191" s="115"/>
      <c r="AW191" s="9"/>
      <c r="AX191" s="9"/>
      <c r="AY191" s="9"/>
      <c r="AZ191" s="9"/>
      <c r="BA191" s="9"/>
      <c r="BB191" s="9"/>
      <c r="BC191" s="9"/>
    </row>
    <row r="192" spans="2:55">
      <c r="B192" s="1027"/>
      <c r="C192" s="1998"/>
      <c r="D192" s="1999"/>
      <c r="E192" s="1999"/>
      <c r="F192" s="1999"/>
      <c r="G192" s="1999"/>
      <c r="H192" s="2000"/>
      <c r="I192" s="1027"/>
      <c r="J192" s="1998"/>
      <c r="K192" s="1999"/>
      <c r="L192" s="1999"/>
      <c r="M192" s="1999"/>
      <c r="N192" s="1999"/>
      <c r="O192" s="2000"/>
      <c r="P192" s="1027"/>
      <c r="Q192" s="115"/>
      <c r="AJ192" s="115"/>
      <c r="AK192" s="115"/>
      <c r="AL192" s="115"/>
      <c r="AM192" s="115"/>
      <c r="AN192" s="115"/>
      <c r="AO192" s="115"/>
      <c r="AP192" s="115"/>
      <c r="AQ192" s="115"/>
      <c r="AR192" s="115"/>
      <c r="AS192" s="115"/>
      <c r="AT192" s="115"/>
      <c r="AU192" s="115"/>
      <c r="AV192" s="115"/>
      <c r="AW192" s="9"/>
      <c r="AX192" s="9"/>
      <c r="AY192" s="9"/>
      <c r="AZ192" s="9"/>
      <c r="BA192" s="9"/>
      <c r="BB192" s="9"/>
      <c r="BC192" s="9"/>
    </row>
    <row r="193" spans="1:129">
      <c r="B193" s="1027"/>
      <c r="C193" s="2001"/>
      <c r="D193" s="2002"/>
      <c r="E193" s="2002"/>
      <c r="F193" s="2002"/>
      <c r="G193" s="2002"/>
      <c r="H193" s="2003"/>
      <c r="I193" s="1027"/>
      <c r="J193" s="2001"/>
      <c r="K193" s="2002"/>
      <c r="L193" s="2002"/>
      <c r="M193" s="2002"/>
      <c r="N193" s="2002"/>
      <c r="O193" s="2003"/>
      <c r="P193" s="1027"/>
      <c r="Q193" s="115"/>
      <c r="AJ193" s="115"/>
      <c r="AK193" s="115"/>
      <c r="AL193" s="115"/>
      <c r="AM193" s="115"/>
      <c r="AN193" s="115"/>
      <c r="AO193" s="115"/>
      <c r="AP193" s="115"/>
      <c r="AQ193" s="115"/>
      <c r="AR193" s="115"/>
      <c r="AS193" s="115"/>
      <c r="AT193" s="115"/>
      <c r="AU193" s="115"/>
      <c r="AV193" s="115"/>
      <c r="AW193" s="9"/>
      <c r="AX193" s="9"/>
      <c r="AY193" s="9"/>
      <c r="AZ193" s="9"/>
      <c r="BA193" s="9"/>
      <c r="BB193" s="9"/>
      <c r="BC193" s="9"/>
    </row>
    <row r="194" spans="1:129">
      <c r="B194" s="1027"/>
      <c r="C194" s="2001"/>
      <c r="D194" s="2002"/>
      <c r="E194" s="2002"/>
      <c r="F194" s="2002"/>
      <c r="G194" s="2002"/>
      <c r="H194" s="2003"/>
      <c r="I194" s="1027"/>
      <c r="J194" s="2001"/>
      <c r="K194" s="2002"/>
      <c r="L194" s="2002"/>
      <c r="M194" s="2002"/>
      <c r="N194" s="2002"/>
      <c r="O194" s="2003"/>
      <c r="P194" s="1027"/>
      <c r="Q194" s="115"/>
      <c r="AJ194" s="115"/>
      <c r="AK194" s="115"/>
      <c r="AL194" s="115"/>
      <c r="AM194" s="115"/>
      <c r="AN194" s="115"/>
      <c r="AO194" s="115"/>
      <c r="AP194" s="115"/>
      <c r="AQ194" s="115"/>
      <c r="AR194" s="115"/>
      <c r="AS194" s="115"/>
      <c r="AT194" s="115"/>
      <c r="AU194" s="115"/>
      <c r="AV194" s="115"/>
      <c r="AW194" s="9"/>
      <c r="AX194" s="9"/>
      <c r="AY194" s="9"/>
      <c r="AZ194" s="9"/>
      <c r="BA194" s="9"/>
      <c r="BB194" s="9"/>
      <c r="BC194" s="9"/>
    </row>
    <row r="195" spans="1:129">
      <c r="B195" s="1027"/>
      <c r="C195" s="2001"/>
      <c r="D195" s="2002"/>
      <c r="E195" s="2002"/>
      <c r="F195" s="2002"/>
      <c r="G195" s="2002"/>
      <c r="H195" s="2003"/>
      <c r="I195" s="1027"/>
      <c r="J195" s="2001"/>
      <c r="K195" s="2002"/>
      <c r="L195" s="2002"/>
      <c r="M195" s="2002"/>
      <c r="N195" s="2002"/>
      <c r="O195" s="2003"/>
      <c r="P195" s="1027"/>
      <c r="Q195" s="115"/>
      <c r="AJ195" s="115"/>
      <c r="AK195" s="115"/>
      <c r="AL195" s="115"/>
      <c r="AM195" s="115"/>
      <c r="AN195" s="115"/>
      <c r="AO195" s="115"/>
      <c r="AP195" s="115"/>
      <c r="AQ195" s="115"/>
      <c r="AR195" s="115"/>
      <c r="AS195" s="115"/>
      <c r="AT195" s="115"/>
      <c r="AU195" s="115"/>
      <c r="AV195" s="115"/>
      <c r="AW195" s="9"/>
      <c r="AX195" s="9"/>
      <c r="AY195" s="9"/>
      <c r="AZ195" s="9"/>
      <c r="BA195" s="9"/>
      <c r="BB195" s="9"/>
      <c r="BC195" s="9"/>
    </row>
    <row r="196" spans="1:129">
      <c r="B196" s="1027"/>
      <c r="C196" s="2001"/>
      <c r="D196" s="2002"/>
      <c r="E196" s="2002"/>
      <c r="F196" s="2002"/>
      <c r="G196" s="2002"/>
      <c r="H196" s="2003"/>
      <c r="I196" s="1027"/>
      <c r="J196" s="2001"/>
      <c r="K196" s="2002"/>
      <c r="L196" s="2002"/>
      <c r="M196" s="2002"/>
      <c r="N196" s="2002"/>
      <c r="O196" s="2003"/>
      <c r="P196" s="1027"/>
      <c r="Q196" s="115"/>
      <c r="AJ196" s="115"/>
      <c r="AK196" s="115"/>
      <c r="AL196" s="115"/>
      <c r="AM196" s="115"/>
      <c r="AN196" s="115"/>
      <c r="AO196" s="115"/>
      <c r="AP196" s="115"/>
      <c r="AQ196" s="115"/>
      <c r="AR196" s="115"/>
      <c r="AS196" s="115"/>
      <c r="AT196" s="115"/>
      <c r="AU196" s="115"/>
      <c r="AV196" s="115"/>
      <c r="AW196" s="9"/>
      <c r="AX196" s="9"/>
      <c r="AY196" s="9"/>
      <c r="AZ196" s="9"/>
      <c r="BA196" s="9"/>
      <c r="BB196" s="9"/>
      <c r="BC196" s="9"/>
    </row>
    <row r="197" spans="1:129">
      <c r="B197" s="1027"/>
      <c r="C197" s="2001"/>
      <c r="D197" s="2002"/>
      <c r="E197" s="2002"/>
      <c r="F197" s="2002"/>
      <c r="G197" s="2002"/>
      <c r="H197" s="2003"/>
      <c r="I197" s="1027"/>
      <c r="J197" s="2001"/>
      <c r="K197" s="2002"/>
      <c r="L197" s="2002"/>
      <c r="M197" s="2002"/>
      <c r="N197" s="2002"/>
      <c r="O197" s="2003"/>
      <c r="P197" s="1027"/>
      <c r="Q197" s="115"/>
      <c r="AJ197" s="115"/>
      <c r="AK197" s="115"/>
      <c r="AL197" s="115"/>
      <c r="AM197" s="115"/>
      <c r="AN197" s="115"/>
      <c r="AO197" s="115"/>
      <c r="AP197" s="115"/>
      <c r="AQ197" s="115"/>
      <c r="AR197" s="115"/>
      <c r="AS197" s="115"/>
      <c r="AT197" s="115"/>
      <c r="AU197" s="115"/>
      <c r="AV197" s="115"/>
      <c r="AW197" s="9"/>
      <c r="AX197" s="9"/>
      <c r="AY197" s="9"/>
      <c r="AZ197" s="9"/>
      <c r="BA197" s="9"/>
      <c r="BB197" s="9"/>
      <c r="BC197" s="9"/>
    </row>
    <row r="198" spans="1:129">
      <c r="B198" s="1027"/>
      <c r="C198" s="2001"/>
      <c r="D198" s="2002"/>
      <c r="E198" s="2002"/>
      <c r="F198" s="2002"/>
      <c r="G198" s="2002"/>
      <c r="H198" s="2003"/>
      <c r="I198" s="1027"/>
      <c r="J198" s="2001"/>
      <c r="K198" s="2002"/>
      <c r="L198" s="2002"/>
      <c r="M198" s="2002"/>
      <c r="N198" s="2002"/>
      <c r="O198" s="2003"/>
      <c r="P198" s="1027"/>
      <c r="Q198" s="115"/>
      <c r="AJ198" s="115"/>
      <c r="AK198" s="115"/>
      <c r="AL198" s="115"/>
      <c r="AM198" s="115"/>
      <c r="AN198" s="115"/>
      <c r="AO198" s="115"/>
      <c r="AP198" s="115"/>
      <c r="AQ198" s="115"/>
      <c r="AR198" s="115"/>
      <c r="AS198" s="115"/>
      <c r="AT198" s="115"/>
      <c r="AU198" s="115"/>
      <c r="AV198" s="115"/>
      <c r="AW198" s="9"/>
      <c r="AX198" s="9"/>
      <c r="AY198" s="9"/>
      <c r="AZ198" s="9"/>
      <c r="BA198" s="9"/>
      <c r="BB198" s="9"/>
      <c r="BC198" s="9"/>
    </row>
    <row r="199" spans="1:129">
      <c r="B199" s="1027"/>
      <c r="C199" s="2001"/>
      <c r="D199" s="2002"/>
      <c r="E199" s="2002"/>
      <c r="F199" s="2002"/>
      <c r="G199" s="2002"/>
      <c r="H199" s="2003"/>
      <c r="I199" s="1027"/>
      <c r="J199" s="2001"/>
      <c r="K199" s="2002"/>
      <c r="L199" s="2002"/>
      <c r="M199" s="2002"/>
      <c r="N199" s="2002"/>
      <c r="O199" s="2003"/>
      <c r="P199" s="1027"/>
      <c r="Q199" s="115"/>
      <c r="AJ199" s="115"/>
      <c r="AK199" s="115"/>
      <c r="AL199" s="115"/>
      <c r="AM199" s="115"/>
      <c r="AN199" s="115"/>
      <c r="AO199" s="115"/>
      <c r="AP199" s="115"/>
      <c r="AQ199" s="115"/>
      <c r="AR199" s="115"/>
      <c r="AS199" s="115"/>
      <c r="AT199" s="115"/>
      <c r="AU199" s="115"/>
      <c r="AV199" s="115"/>
      <c r="AW199" s="9"/>
      <c r="AX199" s="9"/>
      <c r="AY199" s="9"/>
      <c r="AZ199" s="9"/>
      <c r="BA199" s="9"/>
      <c r="BB199" s="9"/>
      <c r="BC199" s="9"/>
    </row>
    <row r="200" spans="1:129">
      <c r="B200" s="1027"/>
      <c r="C200" s="2001"/>
      <c r="D200" s="2002"/>
      <c r="E200" s="2002"/>
      <c r="F200" s="2002"/>
      <c r="G200" s="2002"/>
      <c r="H200" s="2003"/>
      <c r="I200" s="1027"/>
      <c r="J200" s="2004"/>
      <c r="K200" s="2005"/>
      <c r="L200" s="2005"/>
      <c r="M200" s="2005"/>
      <c r="N200" s="2005"/>
      <c r="O200" s="2006"/>
      <c r="P200" s="1027"/>
      <c r="Q200" s="115"/>
      <c r="AJ200" s="115"/>
      <c r="AK200" s="115"/>
      <c r="AL200" s="115"/>
      <c r="AM200" s="115"/>
      <c r="AN200" s="115"/>
      <c r="AO200" s="115"/>
      <c r="AP200" s="115"/>
      <c r="AQ200" s="115"/>
      <c r="AR200" s="115"/>
      <c r="AS200" s="115"/>
      <c r="AT200" s="115"/>
      <c r="AU200" s="115"/>
      <c r="AV200" s="115"/>
      <c r="AW200" s="9"/>
      <c r="AX200" s="9"/>
      <c r="AY200" s="9"/>
      <c r="AZ200" s="9"/>
      <c r="BA200" s="9"/>
      <c r="BB200" s="9"/>
      <c r="BC200" s="9"/>
    </row>
    <row r="201" spans="1:129">
      <c r="B201" s="1027"/>
      <c r="C201" s="2001"/>
      <c r="D201" s="2002"/>
      <c r="E201" s="2002"/>
      <c r="F201" s="2002"/>
      <c r="G201" s="2002"/>
      <c r="H201" s="2003"/>
      <c r="I201" s="1027"/>
      <c r="J201" s="1756" t="s">
        <v>1058</v>
      </c>
      <c r="K201" s="1027"/>
      <c r="L201" s="1027"/>
      <c r="M201" s="1027"/>
      <c r="N201" s="1027"/>
      <c r="O201" s="1027"/>
      <c r="P201" s="1027"/>
      <c r="Q201" s="115"/>
      <c r="AJ201" s="115"/>
      <c r="AK201" s="115"/>
      <c r="AL201" s="115"/>
      <c r="AM201" s="115"/>
      <c r="AN201" s="115"/>
      <c r="AO201" s="115"/>
      <c r="AP201" s="115"/>
      <c r="AQ201" s="115"/>
      <c r="AR201" s="115"/>
      <c r="AS201" s="115"/>
      <c r="AT201" s="115"/>
      <c r="AU201" s="115"/>
      <c r="AV201" s="115"/>
      <c r="AW201" s="9"/>
      <c r="AX201" s="9"/>
      <c r="AY201" s="9"/>
      <c r="AZ201" s="9"/>
      <c r="BA201" s="9"/>
      <c r="BB201" s="9"/>
      <c r="BC201" s="9"/>
    </row>
    <row r="202" spans="1:129">
      <c r="B202" s="1027"/>
      <c r="C202" s="2004"/>
      <c r="D202" s="2005"/>
      <c r="E202" s="2005"/>
      <c r="F202" s="2005"/>
      <c r="G202" s="2005"/>
      <c r="H202" s="2006"/>
      <c r="I202" s="1027"/>
      <c r="J202" s="2522"/>
      <c r="K202" s="2522"/>
      <c r="L202" s="2522"/>
      <c r="M202" s="2522"/>
      <c r="N202" s="2522"/>
      <c r="O202" s="2522"/>
      <c r="P202" s="1027"/>
      <c r="Q202" s="115"/>
      <c r="AJ202" s="115"/>
      <c r="AK202" s="115"/>
      <c r="AL202" s="115"/>
      <c r="AM202" s="115"/>
      <c r="AN202" s="115"/>
      <c r="AO202" s="115"/>
      <c r="AP202" s="115"/>
      <c r="AQ202" s="115"/>
      <c r="AR202" s="115"/>
      <c r="AS202" s="115"/>
      <c r="AT202" s="115"/>
      <c r="AU202" s="115"/>
      <c r="AV202" s="115"/>
      <c r="AW202" s="9"/>
      <c r="AX202" s="9"/>
      <c r="AY202" s="9"/>
      <c r="AZ202" s="9"/>
      <c r="BA202" s="9"/>
      <c r="BB202" s="9"/>
      <c r="BC202" s="9"/>
    </row>
    <row r="203" spans="1:129">
      <c r="B203" s="1027"/>
      <c r="C203" s="1027"/>
      <c r="D203" s="1027"/>
      <c r="E203" s="1027"/>
      <c r="F203" s="1027"/>
      <c r="G203" s="1027"/>
      <c r="H203" s="1027"/>
      <c r="I203" s="1027"/>
      <c r="J203" s="1027"/>
      <c r="K203" s="1027"/>
      <c r="L203" s="1027"/>
      <c r="M203" s="1027"/>
      <c r="N203" s="1027"/>
      <c r="O203" s="1027"/>
      <c r="P203" s="1027"/>
      <c r="Q203" s="115"/>
      <c r="AJ203" s="115"/>
      <c r="AK203" s="115"/>
      <c r="AL203" s="115"/>
      <c r="AM203" s="115"/>
      <c r="AN203" s="115"/>
      <c r="AO203" s="115"/>
      <c r="AP203" s="115"/>
      <c r="AQ203" s="115"/>
      <c r="AR203" s="115"/>
      <c r="AS203" s="115"/>
      <c r="AT203" s="115"/>
      <c r="AU203" s="115"/>
      <c r="AV203" s="115"/>
      <c r="AW203" s="9"/>
      <c r="AX203" s="9"/>
      <c r="AY203" s="9"/>
      <c r="AZ203" s="9"/>
      <c r="BA203" s="9"/>
      <c r="BB203" s="9"/>
      <c r="BC203" s="9"/>
    </row>
    <row r="204" spans="1:129" ht="21">
      <c r="A204" s="871"/>
      <c r="B204" s="852" t="s">
        <v>4986</v>
      </c>
      <c r="C204" s="3"/>
      <c r="D204" s="3"/>
      <c r="E204" s="3"/>
      <c r="F204" s="3"/>
      <c r="G204" s="3"/>
      <c r="H204" s="3"/>
      <c r="I204" s="3"/>
      <c r="J204" s="3"/>
      <c r="K204" s="3"/>
      <c r="L204" s="3"/>
      <c r="M204" s="3"/>
      <c r="N204" s="3"/>
      <c r="O204" s="3"/>
      <c r="P204" s="3"/>
      <c r="Q204" s="115"/>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row>
    <row r="205" spans="1:129">
      <c r="B205" s="1935" t="s">
        <v>5268</v>
      </c>
      <c r="C205" s="1935"/>
      <c r="D205" s="1935"/>
      <c r="E205" s="1935"/>
      <c r="F205" s="1935"/>
      <c r="G205" s="1935"/>
      <c r="H205" s="1935"/>
      <c r="I205" s="1935"/>
      <c r="J205" s="1935"/>
      <c r="K205" s="1935"/>
      <c r="L205" s="1935"/>
      <c r="M205" s="1935"/>
      <c r="N205" s="1935"/>
      <c r="O205" s="1935"/>
      <c r="P205" s="1232"/>
      <c r="Q205" s="115"/>
      <c r="R205" s="1778" t="b">
        <f>+IF(Is_project_in_a_Qualified_Census_Tract?="Yes",TRUE,FALSE)</f>
        <v>0</v>
      </c>
      <c r="AJ205" s="115"/>
      <c r="AK205" s="115"/>
      <c r="AL205" s="115"/>
      <c r="AM205" s="115"/>
      <c r="AN205" s="115"/>
      <c r="AO205" s="115"/>
      <c r="AP205" s="115"/>
      <c r="AQ205" s="115"/>
      <c r="AR205" s="115"/>
      <c r="AS205" s="115"/>
      <c r="AT205" s="115"/>
      <c r="AU205" s="115"/>
      <c r="AV205" s="115"/>
      <c r="AW205" s="115"/>
      <c r="AX205" s="115"/>
      <c r="AY205" s="115"/>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row>
    <row r="206" spans="1:129" ht="15" customHeight="1">
      <c r="B206" s="1935"/>
      <c r="C206" s="1935"/>
      <c r="D206" s="1935"/>
      <c r="E206" s="1935"/>
      <c r="F206" s="1935"/>
      <c r="G206" s="1935"/>
      <c r="H206" s="1935"/>
      <c r="I206" s="1935"/>
      <c r="J206" s="1935"/>
      <c r="K206" s="1935"/>
      <c r="L206" s="1935"/>
      <c r="M206" s="1935"/>
      <c r="N206" s="1935"/>
      <c r="O206" s="1935"/>
      <c r="P206" s="1233"/>
      <c r="Q206" s="115"/>
      <c r="AJ206" s="115"/>
      <c r="AK206" s="115"/>
      <c r="AL206" s="115"/>
      <c r="AM206" s="115"/>
      <c r="AN206" s="115"/>
      <c r="AO206" s="115"/>
      <c r="AP206" s="115"/>
      <c r="AQ206" s="115"/>
      <c r="AR206" s="115"/>
      <c r="AS206" s="115"/>
      <c r="AT206" s="115"/>
      <c r="AU206" s="115"/>
      <c r="AV206" s="115"/>
      <c r="AW206" s="115"/>
      <c r="AX206" s="115"/>
      <c r="AY206" s="115"/>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row>
    <row r="207" spans="1:129">
      <c r="B207" s="1763" t="s">
        <v>5269</v>
      </c>
      <c r="C207" s="1234"/>
      <c r="D207" s="1234"/>
      <c r="E207" s="1234"/>
      <c r="F207" s="1234"/>
      <c r="G207" s="1234"/>
      <c r="H207" s="1234"/>
      <c r="I207" s="1234"/>
      <c r="J207" s="1234"/>
      <c r="K207" s="1234"/>
      <c r="L207" s="1234"/>
      <c r="M207" s="1234"/>
      <c r="N207" s="1234"/>
      <c r="O207" s="1234"/>
      <c r="P207" s="1234"/>
      <c r="Q207" s="115"/>
      <c r="R207" s="1778" t="b">
        <f>IF('10. Project and Unit Amenities'!D19="Yes",TRUE,FALSE)</f>
        <v>0</v>
      </c>
      <c r="AJ207" s="115"/>
      <c r="AK207" s="115"/>
      <c r="AL207" s="115"/>
      <c r="AM207" s="115"/>
      <c r="AN207" s="115"/>
      <c r="AO207" s="115"/>
      <c r="AP207" s="115"/>
      <c r="AQ207" s="115"/>
      <c r="AR207" s="115"/>
      <c r="AS207" s="115"/>
      <c r="AT207" s="115"/>
      <c r="AU207" s="115"/>
      <c r="AV207" s="115"/>
      <c r="AW207" s="115"/>
      <c r="AX207" s="115"/>
      <c r="AY207" s="115"/>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row>
    <row r="208" spans="1:129" ht="15" customHeight="1">
      <c r="B208" s="1027" t="s">
        <v>5270</v>
      </c>
      <c r="C208" s="1235"/>
      <c r="D208" s="1235"/>
      <c r="E208" s="1235"/>
      <c r="F208" s="1235"/>
      <c r="G208" s="1235"/>
      <c r="H208" s="1235"/>
      <c r="I208" s="1235"/>
      <c r="J208" s="1235"/>
      <c r="K208" s="1235"/>
      <c r="L208" s="1235"/>
      <c r="M208" s="1235"/>
      <c r="N208" s="1235"/>
      <c r="O208" s="1235"/>
      <c r="P208" s="1235"/>
      <c r="Q208" s="115"/>
      <c r="AJ208" s="115"/>
      <c r="AK208" s="115"/>
      <c r="AL208" s="115"/>
      <c r="AM208" s="115"/>
      <c r="AN208" s="115"/>
      <c r="AO208" s="115"/>
      <c r="AP208" s="115"/>
      <c r="AQ208" s="115"/>
      <c r="AR208" s="115"/>
      <c r="AS208" s="115"/>
      <c r="AT208" s="115"/>
      <c r="AU208" s="115"/>
      <c r="AV208" s="115"/>
      <c r="AW208" s="115"/>
      <c r="AX208" s="115"/>
      <c r="AY208" s="115"/>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row>
    <row r="209" spans="2:129">
      <c r="B209" s="2290" t="s">
        <v>5271</v>
      </c>
      <c r="C209" s="2290"/>
      <c r="D209" s="2290"/>
      <c r="E209" s="2290"/>
      <c r="F209" s="2290"/>
      <c r="G209" s="2290"/>
      <c r="H209" s="2290"/>
      <c r="I209" s="2290"/>
      <c r="J209" s="2290"/>
      <c r="K209" s="2290"/>
      <c r="L209" s="2290"/>
      <c r="M209" s="2290"/>
      <c r="N209" s="2290"/>
      <c r="O209" s="2290"/>
      <c r="P209" s="1763"/>
      <c r="Q209" s="115"/>
      <c r="AJ209" s="115"/>
      <c r="AK209" s="115"/>
      <c r="AL209" s="115"/>
      <c r="AM209" s="115"/>
      <c r="AN209" s="115"/>
      <c r="AO209" s="115"/>
      <c r="AP209" s="115"/>
      <c r="AQ209" s="115"/>
      <c r="AR209" s="115"/>
      <c r="AS209" s="115"/>
      <c r="AT209" s="115"/>
      <c r="AU209" s="115"/>
      <c r="AV209" s="115"/>
      <c r="AW209" s="115"/>
      <c r="AX209" s="115"/>
      <c r="AY209" s="115"/>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row>
    <row r="210" spans="2:129" ht="15" customHeight="1">
      <c r="B210" s="2290"/>
      <c r="C210" s="2290"/>
      <c r="D210" s="2290"/>
      <c r="E210" s="2290"/>
      <c r="F210" s="2290"/>
      <c r="G210" s="2290"/>
      <c r="H210" s="2290"/>
      <c r="I210" s="2290"/>
      <c r="J210" s="2290"/>
      <c r="K210" s="2290"/>
      <c r="L210" s="2290"/>
      <c r="M210" s="2290"/>
      <c r="N210" s="2290"/>
      <c r="O210" s="2290"/>
      <c r="P210" s="1233"/>
      <c r="Q210" s="115"/>
      <c r="AJ210" s="115"/>
      <c r="AK210" s="115"/>
      <c r="AL210" s="115"/>
      <c r="AM210" s="115"/>
      <c r="AN210" s="115"/>
      <c r="AO210" s="115"/>
      <c r="AP210" s="115"/>
      <c r="AQ210" s="115"/>
      <c r="AR210" s="115"/>
      <c r="AS210" s="115"/>
      <c r="AT210" s="115"/>
      <c r="AU210" s="115"/>
      <c r="AV210" s="115"/>
      <c r="AW210" s="115"/>
      <c r="AX210" s="115"/>
      <c r="AY210" s="115"/>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row>
    <row r="211" spans="2:129">
      <c r="B211" s="2290"/>
      <c r="C211" s="2290"/>
      <c r="D211" s="2290"/>
      <c r="E211" s="2290"/>
      <c r="F211" s="2290"/>
      <c r="G211" s="2290"/>
      <c r="H211" s="2290"/>
      <c r="I211" s="2290"/>
      <c r="J211" s="2290"/>
      <c r="K211" s="2290"/>
      <c r="L211" s="2290"/>
      <c r="M211" s="2290"/>
      <c r="N211" s="2290"/>
      <c r="O211" s="2290"/>
      <c r="P211" s="1027"/>
      <c r="Q211" s="115"/>
      <c r="AJ211" s="115"/>
      <c r="AK211" s="115"/>
      <c r="AL211" s="115"/>
      <c r="AM211" s="115"/>
      <c r="AN211" s="115"/>
      <c r="AO211" s="115"/>
      <c r="AP211" s="115"/>
      <c r="AQ211" s="115"/>
      <c r="AR211" s="115"/>
      <c r="AS211" s="115"/>
      <c r="AT211" s="115"/>
      <c r="AU211" s="115"/>
      <c r="AV211" s="115"/>
      <c r="AW211" s="115"/>
      <c r="AX211" s="115"/>
      <c r="AY211" s="115"/>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row>
    <row r="212" spans="2:129">
      <c r="B212" s="1027" t="s">
        <v>5272</v>
      </c>
      <c r="C212" s="1027"/>
      <c r="D212" s="1027"/>
      <c r="E212" s="1027"/>
      <c r="F212" s="1027"/>
      <c r="G212" s="1027"/>
      <c r="H212" s="1027"/>
      <c r="I212" s="1027"/>
      <c r="J212" s="1027"/>
      <c r="K212" s="1027"/>
      <c r="L212" s="1027"/>
      <c r="M212" s="1027"/>
      <c r="N212" s="1027"/>
      <c r="O212" s="1027"/>
      <c r="P212" s="1027"/>
      <c r="Q212" s="115"/>
      <c r="AJ212" s="115"/>
      <c r="AK212" s="115"/>
      <c r="AL212" s="115"/>
      <c r="AM212" s="115"/>
      <c r="AN212" s="115"/>
      <c r="AO212" s="115"/>
      <c r="AP212" s="115"/>
      <c r="AQ212" s="115"/>
      <c r="AR212" s="115"/>
      <c r="AS212" s="115"/>
      <c r="AT212" s="115"/>
      <c r="AU212" s="115"/>
      <c r="AV212" s="115"/>
      <c r="AW212" s="115"/>
      <c r="AX212" s="115"/>
      <c r="AY212" s="115"/>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row>
    <row r="213" spans="2:129">
      <c r="B213" s="1027" t="s">
        <v>5273</v>
      </c>
      <c r="C213" s="1027"/>
      <c r="D213" s="1027"/>
      <c r="E213" s="1027"/>
      <c r="F213" s="1027"/>
      <c r="G213" s="1027"/>
      <c r="H213" s="1027"/>
      <c r="I213" s="1027"/>
      <c r="J213" s="1027"/>
      <c r="K213" s="1027"/>
      <c r="L213" s="1027"/>
      <c r="M213" s="1027"/>
      <c r="N213" s="1027"/>
      <c r="O213" s="1027"/>
      <c r="P213" s="1027"/>
      <c r="Q213" s="115"/>
      <c r="AJ213" s="115"/>
      <c r="AK213" s="115"/>
      <c r="AL213" s="115"/>
      <c r="AM213" s="115"/>
      <c r="AN213" s="115"/>
      <c r="AO213" s="115"/>
      <c r="AP213" s="115"/>
      <c r="AQ213" s="115"/>
      <c r="AR213" s="115"/>
      <c r="AS213" s="115"/>
      <c r="AT213" s="115"/>
      <c r="AU213" s="115"/>
      <c r="AV213" s="115"/>
      <c r="AW213" s="115"/>
      <c r="AX213" s="115"/>
      <c r="AY213" s="115"/>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row>
    <row r="214" spans="2:129">
      <c r="B214" s="1027" t="s">
        <v>5274</v>
      </c>
      <c r="C214" s="1027"/>
      <c r="D214" s="1027"/>
      <c r="E214" s="1027"/>
      <c r="F214" s="1027"/>
      <c r="G214" s="1027"/>
      <c r="H214" s="1027"/>
      <c r="I214" s="1027"/>
      <c r="J214" s="1027"/>
      <c r="K214" s="1027"/>
      <c r="L214" s="1027"/>
      <c r="M214" s="1027"/>
      <c r="N214" s="1027"/>
      <c r="O214" s="1027"/>
      <c r="P214" s="1027"/>
      <c r="Q214" s="115"/>
      <c r="AJ214" s="115"/>
      <c r="AK214" s="115"/>
      <c r="AL214" s="115"/>
      <c r="AM214" s="115"/>
      <c r="AN214" s="115"/>
      <c r="AO214" s="115"/>
      <c r="AP214" s="115"/>
      <c r="AQ214" s="115"/>
      <c r="AR214" s="115"/>
      <c r="AS214" s="115"/>
      <c r="AT214" s="115"/>
      <c r="AU214" s="115"/>
      <c r="AV214" s="115"/>
      <c r="AW214" s="115"/>
      <c r="AX214" s="115"/>
      <c r="AY214" s="115"/>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row>
    <row r="215" spans="2:129">
      <c r="B215" s="2290" t="s">
        <v>5275</v>
      </c>
      <c r="C215" s="2290"/>
      <c r="D215" s="2290"/>
      <c r="E215" s="2290"/>
      <c r="F215" s="2290"/>
      <c r="G215" s="2290"/>
      <c r="H215" s="2290"/>
      <c r="I215" s="2290"/>
      <c r="J215" s="2290"/>
      <c r="K215" s="2290"/>
      <c r="L215" s="2290"/>
      <c r="M215" s="2290"/>
      <c r="N215" s="2290"/>
      <c r="O215" s="2290"/>
      <c r="P215" s="1027"/>
      <c r="Q215" s="115"/>
      <c r="AJ215" s="115"/>
      <c r="AK215" s="115"/>
      <c r="AL215" s="115"/>
      <c r="AM215" s="115"/>
      <c r="AN215" s="115"/>
      <c r="AO215" s="115"/>
      <c r="AP215" s="115"/>
      <c r="AQ215" s="115"/>
      <c r="AR215" s="115"/>
      <c r="AS215" s="115"/>
      <c r="AT215" s="115"/>
      <c r="AU215" s="115"/>
      <c r="AV215" s="115"/>
      <c r="AW215" s="115"/>
      <c r="AX215" s="115"/>
      <c r="AY215" s="115"/>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row>
    <row r="216" spans="2:129">
      <c r="B216" s="2290"/>
      <c r="C216" s="2290"/>
      <c r="D216" s="2290"/>
      <c r="E216" s="2290"/>
      <c r="F216" s="2290"/>
      <c r="G216" s="2290"/>
      <c r="H216" s="2290"/>
      <c r="I216" s="2290"/>
      <c r="J216" s="2290"/>
      <c r="K216" s="2290"/>
      <c r="L216" s="2290"/>
      <c r="M216" s="2290"/>
      <c r="N216" s="2290"/>
      <c r="O216" s="2290"/>
      <c r="P216" s="1027"/>
      <c r="Q216" s="115"/>
      <c r="AJ216" s="115"/>
      <c r="AK216" s="115"/>
      <c r="AL216" s="115"/>
      <c r="AM216" s="115"/>
      <c r="AN216" s="115"/>
      <c r="AO216" s="115"/>
      <c r="AP216" s="115"/>
      <c r="AQ216" s="115"/>
      <c r="AR216" s="115"/>
      <c r="AS216" s="115"/>
      <c r="AT216" s="115"/>
      <c r="AU216" s="115"/>
      <c r="AV216" s="115"/>
      <c r="AW216" s="115"/>
      <c r="AX216" s="115"/>
      <c r="AY216" s="115"/>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row>
    <row r="217" spans="2:129">
      <c r="B217" s="1027" t="s">
        <v>5276</v>
      </c>
      <c r="C217" s="1027"/>
      <c r="D217" s="1027"/>
      <c r="E217" s="1027"/>
      <c r="F217" s="1027"/>
      <c r="G217" s="1027"/>
      <c r="H217" s="1027"/>
      <c r="I217" s="1027"/>
      <c r="J217" s="1027"/>
      <c r="K217" s="1027"/>
      <c r="L217" s="1027"/>
      <c r="M217" s="1027"/>
      <c r="N217" s="1027"/>
      <c r="O217" s="1027"/>
      <c r="P217" s="1027"/>
      <c r="Q217" s="115"/>
      <c r="AJ217" s="115"/>
      <c r="AK217" s="115"/>
      <c r="AL217" s="115"/>
      <c r="AM217" s="115"/>
      <c r="AN217" s="115"/>
      <c r="AO217" s="115"/>
      <c r="AP217" s="115"/>
      <c r="AQ217" s="115"/>
      <c r="AR217" s="115"/>
      <c r="AS217" s="115"/>
      <c r="AT217" s="115"/>
      <c r="AU217" s="115"/>
      <c r="AV217" s="115"/>
      <c r="AW217" s="115"/>
      <c r="AX217" s="115"/>
      <c r="AY217" s="115"/>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row>
    <row r="218" spans="2:129">
      <c r="B218" s="1035" t="s">
        <v>5277</v>
      </c>
      <c r="C218" s="1067"/>
      <c r="D218" s="1067"/>
      <c r="E218" s="1067"/>
      <c r="F218" s="1067"/>
      <c r="G218" s="1067"/>
      <c r="H218" s="1067"/>
      <c r="I218" s="1067"/>
      <c r="J218" s="1067"/>
      <c r="K218" s="1067"/>
      <c r="L218" s="1067"/>
      <c r="M218" s="1067"/>
      <c r="N218" s="1067"/>
      <c r="O218" s="1067"/>
      <c r="P218" s="1067"/>
      <c r="Q218" s="115"/>
      <c r="AJ218" s="115"/>
      <c r="AK218" s="115"/>
      <c r="AL218" s="115"/>
      <c r="AM218" s="115"/>
      <c r="AN218" s="115"/>
      <c r="AO218" s="115"/>
      <c r="AP218" s="115"/>
      <c r="AQ218" s="115"/>
      <c r="AR218" s="115"/>
      <c r="AS218" s="115"/>
      <c r="AT218" s="115"/>
      <c r="AU218" s="115"/>
      <c r="AV218" s="115"/>
      <c r="AW218" s="115"/>
      <c r="AX218" s="115"/>
      <c r="AY218" s="115"/>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row>
    <row r="219" spans="2:129">
      <c r="B219" s="1067"/>
      <c r="C219" s="1067"/>
      <c r="D219" s="1067"/>
      <c r="E219" s="1067"/>
      <c r="F219" s="1067"/>
      <c r="G219" s="1067"/>
      <c r="H219" s="1067"/>
      <c r="I219" s="1067"/>
      <c r="J219" s="1067"/>
      <c r="K219" s="1067"/>
      <c r="L219" s="1067"/>
      <c r="M219" s="1067"/>
      <c r="N219" s="1067"/>
      <c r="O219" s="1067"/>
      <c r="P219" s="1067"/>
      <c r="Q219" s="115"/>
      <c r="AJ219" s="115"/>
      <c r="AK219" s="115"/>
      <c r="AL219" s="115"/>
      <c r="AM219" s="115"/>
      <c r="AN219" s="115"/>
      <c r="AO219" s="115"/>
      <c r="AP219" s="115"/>
      <c r="AQ219" s="115"/>
      <c r="AR219" s="115"/>
      <c r="AS219" s="115"/>
      <c r="AT219" s="115"/>
      <c r="AU219" s="115"/>
      <c r="AV219" s="115"/>
      <c r="AW219" s="115"/>
      <c r="AX219" s="115"/>
      <c r="AY219" s="11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row>
    <row r="220" spans="2:129">
      <c r="B220" s="1030" t="s">
        <v>5278</v>
      </c>
      <c r="C220" s="1027"/>
      <c r="D220" s="1027"/>
      <c r="E220" s="1027"/>
      <c r="F220" s="1027"/>
      <c r="G220" s="1027"/>
      <c r="H220" s="1027"/>
      <c r="I220" s="1027"/>
      <c r="J220" s="1027"/>
      <c r="K220" s="1027"/>
      <c r="L220" s="1027"/>
      <c r="M220" s="1027"/>
      <c r="N220" s="1027"/>
      <c r="O220" s="1027"/>
      <c r="P220" s="1027"/>
      <c r="Q220" s="115"/>
      <c r="AJ220" s="115"/>
      <c r="AK220" s="115"/>
      <c r="AL220" s="115"/>
      <c r="AM220" s="115"/>
      <c r="AN220" s="115"/>
      <c r="AO220" s="115"/>
      <c r="AP220" s="115"/>
      <c r="AQ220" s="115"/>
      <c r="AR220" s="115"/>
      <c r="AS220" s="115"/>
      <c r="AT220" s="115"/>
      <c r="AU220" s="115"/>
      <c r="AV220" s="115"/>
      <c r="AW220" s="115"/>
      <c r="AX220" s="115"/>
      <c r="AY220" s="115"/>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row>
    <row r="221" spans="2:129">
      <c r="B221" s="1935" t="s">
        <v>5279</v>
      </c>
      <c r="C221" s="1935"/>
      <c r="D221" s="1935"/>
      <c r="E221" s="1935"/>
      <c r="F221" s="1935"/>
      <c r="G221" s="1935"/>
      <c r="H221" s="1935"/>
      <c r="I221" s="1935"/>
      <c r="J221" s="1935"/>
      <c r="K221" s="1935"/>
      <c r="L221" s="1935"/>
      <c r="M221" s="1935"/>
      <c r="N221" s="1935"/>
      <c r="O221" s="1935"/>
      <c r="P221" s="1027"/>
      <c r="Q221" s="115"/>
      <c r="AJ221" s="115"/>
      <c r="AK221" s="115"/>
      <c r="AL221" s="115"/>
      <c r="AM221" s="115"/>
      <c r="AN221" s="115"/>
      <c r="AO221" s="115"/>
      <c r="AP221" s="115"/>
      <c r="AQ221" s="115"/>
      <c r="AR221" s="115"/>
      <c r="AS221" s="115"/>
      <c r="AT221" s="115"/>
      <c r="AU221" s="115"/>
      <c r="AV221" s="115"/>
      <c r="AW221" s="115"/>
      <c r="AX221" s="115"/>
      <c r="AY221" s="115"/>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row>
    <row r="222" spans="2:129">
      <c r="B222" s="1935"/>
      <c r="C222" s="1935"/>
      <c r="D222" s="1935"/>
      <c r="E222" s="1935"/>
      <c r="F222" s="1935"/>
      <c r="G222" s="1935"/>
      <c r="H222" s="1935"/>
      <c r="I222" s="1935"/>
      <c r="J222" s="1935"/>
      <c r="K222" s="1935"/>
      <c r="L222" s="1935"/>
      <c r="M222" s="1935"/>
      <c r="N222" s="1935"/>
      <c r="O222" s="1935"/>
      <c r="P222" s="1027"/>
      <c r="Q222" s="115"/>
      <c r="AJ222" s="115"/>
      <c r="AK222" s="115"/>
      <c r="AL222" s="115"/>
      <c r="AM222" s="115"/>
      <c r="AN222" s="115"/>
      <c r="AO222" s="115"/>
      <c r="AP222" s="115"/>
      <c r="AQ222" s="115"/>
      <c r="AR222" s="115"/>
      <c r="AS222" s="115"/>
      <c r="AT222" s="115"/>
      <c r="AU222" s="115"/>
      <c r="AV222" s="115"/>
      <c r="AW222" s="115"/>
      <c r="AX222" s="115"/>
      <c r="AY222" s="115"/>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row>
    <row r="223" spans="2:129">
      <c r="B223" s="1027"/>
      <c r="C223" s="1027"/>
      <c r="D223" s="1027"/>
      <c r="E223" s="1027"/>
      <c r="F223" s="1027"/>
      <c r="G223" s="1027"/>
      <c r="H223" s="1027"/>
      <c r="I223" s="1027"/>
      <c r="J223" s="1027"/>
      <c r="K223" s="1027"/>
      <c r="L223" s="1027"/>
      <c r="M223" s="1027"/>
      <c r="N223" s="1027"/>
      <c r="O223" s="1027"/>
      <c r="P223" s="1027"/>
      <c r="Q223" s="115"/>
      <c r="AJ223" s="115"/>
      <c r="AK223" s="115"/>
      <c r="AL223" s="115"/>
      <c r="AM223" s="115"/>
      <c r="AN223" s="115"/>
      <c r="AO223" s="115"/>
      <c r="AP223" s="115"/>
      <c r="AQ223" s="115"/>
      <c r="AR223" s="115"/>
      <c r="AS223" s="115"/>
      <c r="AT223" s="115"/>
      <c r="AU223" s="115"/>
      <c r="AV223" s="115"/>
      <c r="AW223" s="115"/>
      <c r="AX223" s="115"/>
      <c r="AY223" s="115"/>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row>
    <row r="224" spans="2:129">
      <c r="B224" s="1027" t="s">
        <v>5280</v>
      </c>
      <c r="C224" s="1027"/>
      <c r="D224" s="1027"/>
      <c r="E224" s="1027"/>
      <c r="F224" s="1027"/>
      <c r="G224" s="1027"/>
      <c r="H224" s="1027"/>
      <c r="I224" s="1027"/>
      <c r="J224" s="1027"/>
      <c r="K224" s="1027"/>
      <c r="L224" s="1027"/>
      <c r="M224" s="1027"/>
      <c r="N224" s="1027"/>
      <c r="O224" s="1027"/>
      <c r="P224" s="1027"/>
      <c r="Q224" s="115"/>
      <c r="AJ224" s="115"/>
      <c r="AK224" s="115"/>
      <c r="AL224" s="115"/>
      <c r="AM224" s="115"/>
      <c r="AN224" s="115"/>
      <c r="AO224" s="115"/>
      <c r="AP224" s="115"/>
      <c r="AQ224" s="115"/>
      <c r="AR224" s="115"/>
      <c r="AS224" s="115"/>
      <c r="AT224" s="115"/>
      <c r="AU224" s="115"/>
      <c r="AV224" s="115"/>
      <c r="AW224" s="115"/>
      <c r="AX224" s="115"/>
      <c r="AY224" s="115"/>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row>
    <row r="225" spans="2:129">
      <c r="B225" s="1027"/>
      <c r="C225" s="1027"/>
      <c r="D225" s="1027"/>
      <c r="E225" s="1027"/>
      <c r="F225" s="1027"/>
      <c r="G225" s="1027"/>
      <c r="H225" s="1027"/>
      <c r="I225" s="1027"/>
      <c r="J225" s="1027"/>
      <c r="K225" s="1027"/>
      <c r="L225" s="1027"/>
      <c r="M225" s="1027"/>
      <c r="N225" s="1027"/>
      <c r="O225" s="1027"/>
      <c r="P225" s="1027"/>
      <c r="Q225" s="115"/>
      <c r="R225" s="1778">
        <f>IF(AND(R205,R207),C227,0)</f>
        <v>0</v>
      </c>
      <c r="AJ225" s="115"/>
      <c r="AK225" s="115"/>
      <c r="AL225" s="115"/>
      <c r="AM225" s="115"/>
      <c r="AN225" s="115"/>
      <c r="AO225" s="115"/>
      <c r="AP225" s="115"/>
      <c r="AQ225" s="115"/>
      <c r="AR225" s="115"/>
      <c r="AS225" s="115"/>
      <c r="AT225" s="115"/>
      <c r="AU225" s="115"/>
      <c r="AV225" s="115"/>
      <c r="AW225" s="115"/>
      <c r="AX225" s="115"/>
      <c r="AY225" s="115"/>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row>
    <row r="226" spans="2:129" ht="15.75">
      <c r="B226" s="1027"/>
      <c r="C226" s="1203" t="s">
        <v>4997</v>
      </c>
      <c r="D226" s="1203" t="s">
        <v>4971</v>
      </c>
      <c r="E226" s="1203" t="s">
        <v>1051</v>
      </c>
      <c r="F226" s="1027"/>
      <c r="G226" s="1027"/>
      <c r="H226" s="1027"/>
      <c r="I226" s="1027"/>
      <c r="J226" s="1027"/>
      <c r="K226" s="1027"/>
      <c r="L226" s="1027"/>
      <c r="M226" s="1027"/>
      <c r="N226" s="1027"/>
      <c r="O226" s="1027"/>
      <c r="P226" s="1027"/>
      <c r="Q226" s="115"/>
      <c r="AJ226" s="115"/>
      <c r="AK226" s="115"/>
      <c r="AL226" s="115"/>
      <c r="AM226" s="115"/>
      <c r="AN226" s="115"/>
      <c r="AO226" s="115"/>
      <c r="AP226" s="115"/>
      <c r="AQ226" s="115"/>
      <c r="AR226" s="115"/>
      <c r="AS226" s="115"/>
      <c r="AT226" s="115"/>
      <c r="AU226" s="115"/>
      <c r="AV226" s="115"/>
      <c r="AW226" s="115"/>
      <c r="AX226" s="115"/>
      <c r="AY226" s="115"/>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row>
    <row r="227" spans="2:129" ht="15.75">
      <c r="B227" s="1027"/>
      <c r="C227" s="1757">
        <v>2</v>
      </c>
      <c r="D227" s="1760">
        <f>R225</f>
        <v>0</v>
      </c>
      <c r="E227" s="917"/>
      <c r="F227" s="1027"/>
      <c r="G227" s="1027"/>
      <c r="H227" s="1027"/>
      <c r="I227" s="1027"/>
      <c r="J227" s="1027"/>
      <c r="K227" s="1027"/>
      <c r="L227" s="1027"/>
      <c r="M227" s="1027"/>
      <c r="N227" s="1027"/>
      <c r="O227" s="1027"/>
      <c r="P227" s="1027"/>
      <c r="Q227" s="115"/>
      <c r="AJ227" s="115"/>
      <c r="AK227" s="115"/>
      <c r="AL227" s="115"/>
      <c r="AM227" s="115"/>
      <c r="AN227" s="115"/>
      <c r="AO227" s="115"/>
      <c r="AP227" s="115"/>
      <c r="AQ227" s="115"/>
      <c r="AR227" s="115"/>
      <c r="AS227" s="115"/>
      <c r="AT227" s="115"/>
      <c r="AU227" s="115"/>
      <c r="AV227" s="115"/>
      <c r="AW227" s="115"/>
      <c r="AX227" s="115"/>
      <c r="AY227" s="115"/>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row>
    <row r="228" spans="2:129">
      <c r="B228" s="1027"/>
      <c r="C228" s="1027"/>
      <c r="D228" s="1027"/>
      <c r="E228" s="1027"/>
      <c r="F228" s="1027"/>
      <c r="G228" s="1027"/>
      <c r="H228" s="1027"/>
      <c r="I228" s="1027"/>
      <c r="J228" s="1027"/>
      <c r="K228" s="1027"/>
      <c r="L228" s="1027"/>
      <c r="M228" s="1027"/>
      <c r="N228" s="1027"/>
      <c r="O228" s="1027"/>
      <c r="P228" s="1027"/>
      <c r="Q228" s="115"/>
      <c r="AJ228" s="115"/>
      <c r="AK228" s="115"/>
      <c r="AL228" s="115"/>
      <c r="AM228" s="115"/>
      <c r="AN228" s="115"/>
      <c r="AO228" s="115"/>
      <c r="AP228" s="115"/>
      <c r="AQ228" s="115"/>
      <c r="AR228" s="115"/>
      <c r="AS228" s="115"/>
      <c r="AT228" s="115"/>
      <c r="AU228" s="115"/>
      <c r="AV228" s="115"/>
      <c r="AW228" s="115"/>
      <c r="AX228" s="115"/>
      <c r="AY228" s="115"/>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row>
    <row r="229" spans="2:129" ht="18.75">
      <c r="B229" s="8" t="s">
        <v>1055</v>
      </c>
      <c r="C229" s="3"/>
      <c r="D229" s="3"/>
      <c r="E229" s="3"/>
      <c r="F229" s="3"/>
      <c r="G229" s="3"/>
      <c r="H229" s="3"/>
      <c r="I229" s="3"/>
      <c r="J229" s="8" t="s">
        <v>3638</v>
      </c>
      <c r="K229" s="3"/>
      <c r="L229" s="3"/>
      <c r="M229" s="3"/>
      <c r="N229" s="3"/>
      <c r="O229" s="3"/>
      <c r="P229" s="3"/>
      <c r="Q229" s="115"/>
      <c r="AJ229" s="115"/>
      <c r="AK229" s="115"/>
      <c r="AL229" s="115"/>
      <c r="AM229" s="115"/>
      <c r="AN229" s="115"/>
      <c r="AO229" s="115"/>
      <c r="AP229" s="115"/>
      <c r="AQ229" s="115"/>
      <c r="AR229" s="115"/>
      <c r="AS229" s="115"/>
      <c r="AT229" s="115"/>
      <c r="AU229" s="115"/>
      <c r="AV229" s="115"/>
      <c r="AW229" s="115"/>
      <c r="AX229" s="115"/>
      <c r="AY229" s="115"/>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row>
    <row r="230" spans="2:129">
      <c r="B230" s="1030" t="s">
        <v>4802</v>
      </c>
      <c r="C230" s="1027"/>
      <c r="D230" s="1027"/>
      <c r="E230" s="1027"/>
      <c r="F230" s="1027"/>
      <c r="G230" s="1027"/>
      <c r="H230" s="1027"/>
      <c r="I230" s="1027"/>
      <c r="J230" s="1032" t="s">
        <v>4697</v>
      </c>
      <c r="K230" s="1027"/>
      <c r="L230" s="1027"/>
      <c r="M230" s="1027"/>
      <c r="N230" s="1027"/>
      <c r="O230" s="1027"/>
      <c r="P230" s="1027"/>
      <c r="Q230" s="115"/>
      <c r="AJ230" s="115"/>
      <c r="AK230" s="115"/>
      <c r="AL230" s="115"/>
      <c r="AM230" s="115"/>
      <c r="AN230" s="115"/>
      <c r="AO230" s="115"/>
      <c r="AP230" s="115"/>
      <c r="AQ230" s="115"/>
      <c r="AR230" s="115"/>
      <c r="AS230" s="115"/>
      <c r="AT230" s="115"/>
      <c r="AU230" s="115"/>
      <c r="AV230" s="115"/>
      <c r="AW230" s="115"/>
      <c r="AX230" s="115"/>
      <c r="AY230" s="115"/>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row>
    <row r="231" spans="2:129">
      <c r="B231" s="1027"/>
      <c r="C231" s="1998"/>
      <c r="D231" s="1999"/>
      <c r="E231" s="1999"/>
      <c r="F231" s="1999"/>
      <c r="G231" s="1999"/>
      <c r="H231" s="2000"/>
      <c r="I231" s="1027"/>
      <c r="J231" s="1998"/>
      <c r="K231" s="1999"/>
      <c r="L231" s="1999"/>
      <c r="M231" s="1999"/>
      <c r="N231" s="1999"/>
      <c r="O231" s="2000"/>
      <c r="P231" s="1027"/>
      <c r="Q231" s="115"/>
      <c r="AJ231" s="115"/>
      <c r="AK231" s="115"/>
      <c r="AL231" s="115"/>
      <c r="AM231" s="115"/>
      <c r="AN231" s="115"/>
      <c r="AO231" s="115"/>
      <c r="AP231" s="115"/>
      <c r="AQ231" s="115"/>
      <c r="AR231" s="115"/>
      <c r="AS231" s="115"/>
      <c r="AT231" s="115"/>
      <c r="AU231" s="115"/>
      <c r="AV231" s="115"/>
      <c r="AW231" s="115"/>
      <c r="AX231" s="115"/>
      <c r="AY231" s="115"/>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row>
    <row r="232" spans="2:129">
      <c r="B232" s="1027"/>
      <c r="C232" s="2001"/>
      <c r="D232" s="2002"/>
      <c r="E232" s="2002"/>
      <c r="F232" s="2002"/>
      <c r="G232" s="2002"/>
      <c r="H232" s="2003"/>
      <c r="I232" s="1027"/>
      <c r="J232" s="2001"/>
      <c r="K232" s="2002"/>
      <c r="L232" s="2002"/>
      <c r="M232" s="2002"/>
      <c r="N232" s="2002"/>
      <c r="O232" s="2003"/>
      <c r="P232" s="1027"/>
      <c r="Q232" s="115"/>
      <c r="AJ232" s="115"/>
      <c r="AK232" s="115"/>
      <c r="AL232" s="115"/>
      <c r="AM232" s="115"/>
      <c r="AN232" s="115"/>
      <c r="AO232" s="115"/>
      <c r="AP232" s="115"/>
      <c r="AQ232" s="115"/>
      <c r="AR232" s="115"/>
      <c r="AS232" s="115"/>
      <c r="AT232" s="115"/>
      <c r="AU232" s="115"/>
      <c r="AV232" s="115"/>
      <c r="AW232" s="115"/>
      <c r="AX232" s="115"/>
      <c r="AY232" s="115"/>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row>
    <row r="233" spans="2:129">
      <c r="B233" s="1027"/>
      <c r="C233" s="2001"/>
      <c r="D233" s="2002"/>
      <c r="E233" s="2002"/>
      <c r="F233" s="2002"/>
      <c r="G233" s="2002"/>
      <c r="H233" s="2003"/>
      <c r="I233" s="1027"/>
      <c r="J233" s="2001"/>
      <c r="K233" s="2002"/>
      <c r="L233" s="2002"/>
      <c r="M233" s="2002"/>
      <c r="N233" s="2002"/>
      <c r="O233" s="2003"/>
      <c r="P233" s="1027"/>
      <c r="Q233" s="115"/>
      <c r="AJ233" s="115"/>
      <c r="AK233" s="115"/>
      <c r="AL233" s="115"/>
      <c r="AM233" s="115"/>
      <c r="AN233" s="115"/>
      <c r="AO233" s="115"/>
      <c r="AP233" s="115"/>
      <c r="AQ233" s="115"/>
      <c r="AR233" s="115"/>
      <c r="AS233" s="115"/>
      <c r="AT233" s="115"/>
      <c r="AU233" s="115"/>
      <c r="AV233" s="115"/>
      <c r="AW233" s="115"/>
      <c r="AX233" s="115"/>
      <c r="AY233" s="115"/>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row>
    <row r="234" spans="2:129">
      <c r="B234" s="1027"/>
      <c r="C234" s="2001"/>
      <c r="D234" s="2002"/>
      <c r="E234" s="2002"/>
      <c r="F234" s="2002"/>
      <c r="G234" s="2002"/>
      <c r="H234" s="2003"/>
      <c r="I234" s="1027"/>
      <c r="J234" s="2001"/>
      <c r="K234" s="2002"/>
      <c r="L234" s="2002"/>
      <c r="M234" s="2002"/>
      <c r="N234" s="2002"/>
      <c r="O234" s="2003"/>
      <c r="P234" s="1027"/>
      <c r="Q234" s="115"/>
      <c r="AJ234" s="115"/>
      <c r="AK234" s="115"/>
      <c r="AL234" s="115"/>
      <c r="AM234" s="115"/>
      <c r="AN234" s="115"/>
      <c r="AO234" s="115"/>
      <c r="AP234" s="115"/>
      <c r="AQ234" s="115"/>
      <c r="AR234" s="115"/>
      <c r="AS234" s="115"/>
      <c r="AT234" s="115"/>
      <c r="AU234" s="115"/>
      <c r="AV234" s="115"/>
      <c r="AW234" s="115"/>
      <c r="AX234" s="115"/>
      <c r="AY234" s="115"/>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row>
    <row r="235" spans="2:129">
      <c r="B235" s="1027"/>
      <c r="C235" s="2001"/>
      <c r="D235" s="2002"/>
      <c r="E235" s="2002"/>
      <c r="F235" s="2002"/>
      <c r="G235" s="2002"/>
      <c r="H235" s="2003"/>
      <c r="I235" s="1027"/>
      <c r="J235" s="2001"/>
      <c r="K235" s="2002"/>
      <c r="L235" s="2002"/>
      <c r="M235" s="2002"/>
      <c r="N235" s="2002"/>
      <c r="O235" s="2003"/>
      <c r="P235" s="1027"/>
      <c r="Q235" s="115"/>
      <c r="AJ235" s="115"/>
      <c r="AK235" s="115"/>
      <c r="AL235" s="115"/>
      <c r="AM235" s="115"/>
      <c r="AN235" s="115"/>
      <c r="AO235" s="115"/>
      <c r="AP235" s="115"/>
      <c r="AQ235" s="115"/>
      <c r="AR235" s="115"/>
      <c r="AS235" s="115"/>
      <c r="AT235" s="115"/>
      <c r="AU235" s="115"/>
      <c r="AV235" s="115"/>
      <c r="AW235" s="115"/>
      <c r="AX235" s="115"/>
      <c r="AY235" s="115"/>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row>
    <row r="236" spans="2:129">
      <c r="B236" s="1027"/>
      <c r="C236" s="2001"/>
      <c r="D236" s="2002"/>
      <c r="E236" s="2002"/>
      <c r="F236" s="2002"/>
      <c r="G236" s="2002"/>
      <c r="H236" s="2003"/>
      <c r="I236" s="1027"/>
      <c r="J236" s="2001"/>
      <c r="K236" s="2002"/>
      <c r="L236" s="2002"/>
      <c r="M236" s="2002"/>
      <c r="N236" s="2002"/>
      <c r="O236" s="2003"/>
      <c r="P236" s="1027"/>
      <c r="Q236" s="115"/>
      <c r="AJ236" s="115"/>
      <c r="AK236" s="115"/>
      <c r="AL236" s="115"/>
      <c r="AM236" s="115"/>
      <c r="AN236" s="115"/>
      <c r="AO236" s="115"/>
      <c r="AP236" s="115"/>
      <c r="AQ236" s="115"/>
      <c r="AR236" s="115"/>
      <c r="AS236" s="115"/>
      <c r="AT236" s="115"/>
      <c r="AU236" s="115"/>
      <c r="AV236" s="115"/>
      <c r="AW236" s="115"/>
      <c r="AX236" s="115"/>
      <c r="AY236" s="115"/>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row>
    <row r="237" spans="2:129">
      <c r="B237" s="1027"/>
      <c r="C237" s="2001"/>
      <c r="D237" s="2002"/>
      <c r="E237" s="2002"/>
      <c r="F237" s="2002"/>
      <c r="G237" s="2002"/>
      <c r="H237" s="2003"/>
      <c r="I237" s="1027"/>
      <c r="J237" s="2001"/>
      <c r="K237" s="2002"/>
      <c r="L237" s="2002"/>
      <c r="M237" s="2002"/>
      <c r="N237" s="2002"/>
      <c r="O237" s="2003"/>
      <c r="P237" s="1027"/>
      <c r="Q237" s="115"/>
      <c r="AJ237" s="115"/>
      <c r="AK237" s="115"/>
      <c r="AL237" s="115"/>
      <c r="AM237" s="115"/>
      <c r="AN237" s="115"/>
      <c r="AO237" s="115"/>
      <c r="AP237" s="115"/>
      <c r="AQ237" s="115"/>
      <c r="AR237" s="115"/>
      <c r="AS237" s="115"/>
      <c r="AT237" s="115"/>
      <c r="AU237" s="115"/>
      <c r="AV237" s="115"/>
      <c r="AW237" s="115"/>
      <c r="AX237" s="115"/>
      <c r="AY237" s="115"/>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row>
    <row r="238" spans="2:129">
      <c r="B238" s="1027"/>
      <c r="C238" s="2001"/>
      <c r="D238" s="2002"/>
      <c r="E238" s="2002"/>
      <c r="F238" s="2002"/>
      <c r="G238" s="2002"/>
      <c r="H238" s="2003"/>
      <c r="I238" s="1027"/>
      <c r="J238" s="2001"/>
      <c r="K238" s="2002"/>
      <c r="L238" s="2002"/>
      <c r="M238" s="2002"/>
      <c r="N238" s="2002"/>
      <c r="O238" s="2003"/>
      <c r="P238" s="1027"/>
      <c r="Q238" s="115"/>
      <c r="AJ238" s="115"/>
      <c r="AK238" s="115"/>
      <c r="AL238" s="115"/>
      <c r="AM238" s="115"/>
      <c r="AN238" s="115"/>
      <c r="AO238" s="115"/>
      <c r="AP238" s="115"/>
      <c r="AQ238" s="115"/>
      <c r="AR238" s="115"/>
      <c r="AS238" s="115"/>
      <c r="AT238" s="115"/>
      <c r="AU238" s="115"/>
      <c r="AV238" s="115"/>
      <c r="AW238" s="115"/>
      <c r="AX238" s="115"/>
      <c r="AY238" s="115"/>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row>
    <row r="239" spans="2:129">
      <c r="B239" s="1027"/>
      <c r="C239" s="2001"/>
      <c r="D239" s="2002"/>
      <c r="E239" s="2002"/>
      <c r="F239" s="2002"/>
      <c r="G239" s="2002"/>
      <c r="H239" s="2003"/>
      <c r="I239" s="1027"/>
      <c r="J239" s="2004"/>
      <c r="K239" s="2005"/>
      <c r="L239" s="2005"/>
      <c r="M239" s="2005"/>
      <c r="N239" s="2005"/>
      <c r="O239" s="2006"/>
      <c r="P239" s="1027"/>
      <c r="Q239" s="115"/>
      <c r="AJ239" s="115"/>
      <c r="AK239" s="115"/>
      <c r="AL239" s="115"/>
      <c r="AM239" s="115"/>
      <c r="AN239" s="115"/>
      <c r="AO239" s="115"/>
      <c r="AP239" s="115"/>
      <c r="AQ239" s="115"/>
      <c r="AR239" s="115"/>
      <c r="AS239" s="115"/>
      <c r="AT239" s="115"/>
      <c r="AU239" s="115"/>
      <c r="AV239" s="115"/>
      <c r="AW239" s="115"/>
      <c r="AX239" s="115"/>
      <c r="AY239" s="115"/>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row>
    <row r="240" spans="2:129">
      <c r="B240" s="1027"/>
      <c r="C240" s="2001"/>
      <c r="D240" s="2002"/>
      <c r="E240" s="2002"/>
      <c r="F240" s="2002"/>
      <c r="G240" s="2002"/>
      <c r="H240" s="2003"/>
      <c r="I240" s="1027"/>
      <c r="J240" s="1756" t="s">
        <v>1058</v>
      </c>
      <c r="K240" s="1027"/>
      <c r="L240" s="1027"/>
      <c r="M240" s="1027"/>
      <c r="N240" s="1027"/>
      <c r="O240" s="1027"/>
      <c r="P240" s="1027"/>
      <c r="Q240" s="115"/>
      <c r="AJ240" s="115"/>
      <c r="AK240" s="115"/>
      <c r="AL240" s="115"/>
      <c r="AM240" s="115"/>
      <c r="AN240" s="115"/>
      <c r="AO240" s="115"/>
      <c r="AP240" s="115"/>
      <c r="AQ240" s="115"/>
      <c r="AR240" s="115"/>
      <c r="AS240" s="115"/>
      <c r="AT240" s="115"/>
      <c r="AU240" s="115"/>
      <c r="AV240" s="115"/>
      <c r="AW240" s="115"/>
      <c r="AX240" s="115"/>
      <c r="AY240" s="115"/>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row>
    <row r="241" spans="1:129">
      <c r="B241" s="1027"/>
      <c r="C241" s="2004"/>
      <c r="D241" s="2005"/>
      <c r="E241" s="2005"/>
      <c r="F241" s="2005"/>
      <c r="G241" s="2005"/>
      <c r="H241" s="2006"/>
      <c r="I241" s="1027"/>
      <c r="J241" s="2522"/>
      <c r="K241" s="2522"/>
      <c r="L241" s="2522"/>
      <c r="M241" s="2522"/>
      <c r="N241" s="2522"/>
      <c r="O241" s="2522"/>
      <c r="P241" s="1027"/>
      <c r="Q241" s="115"/>
      <c r="AJ241" s="115"/>
      <c r="AK241" s="115"/>
      <c r="AL241" s="115"/>
      <c r="AM241" s="115"/>
      <c r="AN241" s="115"/>
      <c r="AO241" s="115"/>
      <c r="AP241" s="115"/>
      <c r="AQ241" s="115"/>
      <c r="AR241" s="115"/>
      <c r="AS241" s="115"/>
      <c r="AT241" s="115"/>
      <c r="AU241" s="115"/>
      <c r="AV241" s="115"/>
      <c r="AW241" s="115"/>
      <c r="AX241" s="115"/>
      <c r="AY241" s="115"/>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row>
    <row r="242" spans="1:129">
      <c r="B242" s="1027"/>
      <c r="C242" s="1027"/>
      <c r="D242" s="1027"/>
      <c r="E242" s="1027"/>
      <c r="F242" s="1027"/>
      <c r="G242" s="1027"/>
      <c r="H242" s="1027"/>
      <c r="I242" s="1027"/>
      <c r="J242" s="1027"/>
      <c r="K242" s="1027"/>
      <c r="L242" s="1027"/>
      <c r="M242" s="1027"/>
      <c r="N242" s="1027"/>
      <c r="O242" s="1027"/>
      <c r="P242" s="1027"/>
      <c r="Q242" s="115"/>
      <c r="R242" s="9"/>
      <c r="AJ242" s="115"/>
      <c r="AK242" s="115"/>
      <c r="AL242" s="115"/>
      <c r="AM242" s="115"/>
      <c r="AN242" s="115"/>
      <c r="AO242" s="115"/>
      <c r="AP242" s="115"/>
      <c r="AQ242" s="115"/>
      <c r="AR242" s="115"/>
      <c r="AS242" s="115"/>
      <c r="AT242" s="115"/>
      <c r="AU242" s="115"/>
      <c r="AV242" s="115"/>
      <c r="AW242" s="115"/>
      <c r="AX242" s="115"/>
      <c r="AY242" s="115"/>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row>
    <row r="243" spans="1:129" s="863" customFormat="1" ht="21">
      <c r="A243" s="852"/>
      <c r="B243" s="852" t="s">
        <v>4987</v>
      </c>
      <c r="C243" s="861"/>
      <c r="D243" s="861"/>
      <c r="E243" s="861"/>
      <c r="F243" s="861"/>
      <c r="G243" s="861"/>
      <c r="H243" s="861"/>
      <c r="I243" s="861"/>
      <c r="J243" s="861"/>
      <c r="K243" s="861"/>
      <c r="L243" s="861"/>
      <c r="M243" s="874"/>
      <c r="N243" s="861"/>
      <c r="O243" s="861"/>
      <c r="P243" s="861"/>
      <c r="Q243" s="115"/>
      <c r="R243" s="9"/>
      <c r="S243" s="9"/>
      <c r="T243" s="115"/>
      <c r="U243" s="115"/>
      <c r="V243" s="872"/>
      <c r="W243" s="872"/>
      <c r="X243" s="872"/>
      <c r="Y243" s="872"/>
      <c r="Z243" s="872"/>
      <c r="AA243" s="872"/>
      <c r="AB243" s="872"/>
      <c r="AC243" s="872"/>
      <c r="AD243" s="872"/>
      <c r="AE243" s="872"/>
      <c r="AF243" s="872"/>
      <c r="AG243" s="872"/>
      <c r="AH243" s="872"/>
      <c r="AI243" s="872"/>
      <c r="AJ243" s="861"/>
      <c r="AK243" s="861"/>
      <c r="AL243" s="861"/>
      <c r="AM243" s="861"/>
      <c r="AN243" s="861"/>
      <c r="AO243" s="861"/>
      <c r="AP243" s="861"/>
      <c r="AQ243" s="861"/>
      <c r="AR243" s="861"/>
      <c r="AS243" s="861"/>
      <c r="AT243" s="861"/>
      <c r="AU243" s="861"/>
      <c r="AV243" s="861"/>
      <c r="AW243" s="861"/>
      <c r="AX243" s="861"/>
      <c r="AY243" s="861"/>
      <c r="AZ243" s="861"/>
      <c r="BA243" s="861"/>
      <c r="BB243" s="861"/>
      <c r="BC243" s="861"/>
      <c r="BD243" s="861"/>
      <c r="BE243" s="861"/>
      <c r="BF243" s="861"/>
      <c r="BG243" s="861"/>
      <c r="BH243" s="861"/>
      <c r="BI243" s="861"/>
      <c r="BJ243" s="861"/>
      <c r="BK243" s="861"/>
      <c r="BL243" s="861"/>
      <c r="BM243" s="861"/>
      <c r="BN243" s="861"/>
      <c r="BO243" s="861"/>
      <c r="BP243" s="861"/>
      <c r="BQ243" s="861"/>
      <c r="BR243" s="861"/>
      <c r="BS243" s="861"/>
      <c r="BT243" s="861"/>
      <c r="BU243" s="861"/>
      <c r="BV243" s="861"/>
      <c r="BW243" s="861"/>
      <c r="BX243" s="861"/>
      <c r="BY243" s="861"/>
      <c r="BZ243" s="861"/>
      <c r="CA243" s="861"/>
      <c r="CB243" s="861"/>
      <c r="CC243" s="861"/>
      <c r="CD243" s="861"/>
      <c r="CE243" s="861"/>
      <c r="CF243" s="861"/>
      <c r="CG243" s="861"/>
      <c r="CH243" s="861"/>
      <c r="CI243" s="861"/>
      <c r="CJ243" s="861"/>
      <c r="CK243" s="861"/>
      <c r="CL243" s="861"/>
      <c r="CM243" s="861"/>
      <c r="CN243" s="861"/>
      <c r="CO243" s="861"/>
      <c r="CP243" s="861"/>
      <c r="CQ243" s="861"/>
      <c r="CR243" s="861"/>
      <c r="CS243" s="861"/>
      <c r="CT243" s="861"/>
    </row>
    <row r="244" spans="1:129" s="863" customFormat="1" ht="21">
      <c r="A244" s="852"/>
      <c r="B244" s="1030" t="s">
        <v>4001</v>
      </c>
      <c r="C244" s="1301"/>
      <c r="D244" s="1301"/>
      <c r="E244" s="1301"/>
      <c r="F244" s="1301"/>
      <c r="G244" s="1301"/>
      <c r="H244" s="1301"/>
      <c r="I244" s="1301"/>
      <c r="J244" s="1301"/>
      <c r="K244" s="1301"/>
      <c r="L244" s="1301"/>
      <c r="M244" s="1302"/>
      <c r="N244" s="1301"/>
      <c r="O244" s="1301"/>
      <c r="P244" s="1301"/>
      <c r="Q244" s="115"/>
      <c r="R244" s="9"/>
      <c r="S244" s="9"/>
      <c r="T244" s="115"/>
      <c r="U244" s="115"/>
      <c r="V244" s="872"/>
      <c r="W244" s="872"/>
      <c r="X244" s="872"/>
      <c r="Y244" s="872"/>
      <c r="Z244" s="872"/>
      <c r="AA244" s="872"/>
      <c r="AB244" s="872"/>
      <c r="AC244" s="872"/>
      <c r="AD244" s="872"/>
      <c r="AE244" s="872"/>
      <c r="AF244" s="872"/>
      <c r="AG244" s="872"/>
      <c r="AH244" s="872"/>
      <c r="AI244" s="872"/>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861"/>
    </row>
    <row r="245" spans="1:129" s="863" customFormat="1" ht="21">
      <c r="A245" s="852"/>
      <c r="B245" s="1027" t="s">
        <v>5281</v>
      </c>
      <c r="C245" s="1301"/>
      <c r="D245" s="1301"/>
      <c r="E245" s="1301"/>
      <c r="F245" s="1301"/>
      <c r="G245" s="1301"/>
      <c r="H245" s="1301"/>
      <c r="I245" s="1301"/>
      <c r="J245" s="1301"/>
      <c r="K245" s="1301"/>
      <c r="L245" s="1301"/>
      <c r="M245" s="1302"/>
      <c r="N245" s="1301"/>
      <c r="O245" s="1301"/>
      <c r="P245" s="1301"/>
      <c r="Q245" s="115"/>
      <c r="R245" s="9"/>
      <c r="S245" s="9"/>
      <c r="T245" s="115"/>
      <c r="U245" s="115"/>
      <c r="V245" s="872"/>
      <c r="W245" s="872"/>
      <c r="X245" s="872"/>
      <c r="Y245" s="872"/>
      <c r="Z245" s="872"/>
      <c r="AA245" s="872"/>
      <c r="AB245" s="872"/>
      <c r="AC245" s="872"/>
      <c r="AD245" s="872"/>
      <c r="AE245" s="872"/>
      <c r="AF245" s="872"/>
      <c r="AG245" s="872"/>
      <c r="AH245" s="872"/>
      <c r="AI245" s="872"/>
      <c r="AJ245" s="861"/>
      <c r="AK245" s="861"/>
      <c r="AL245" s="861"/>
      <c r="AM245" s="861"/>
      <c r="AN245" s="861"/>
      <c r="AO245" s="861"/>
      <c r="AP245" s="861"/>
      <c r="AQ245" s="861"/>
      <c r="AR245" s="861"/>
      <c r="AS245" s="861"/>
      <c r="AT245" s="861"/>
      <c r="AU245" s="861"/>
      <c r="AV245" s="861"/>
      <c r="AW245" s="861"/>
      <c r="AX245" s="861"/>
      <c r="AY245" s="861"/>
      <c r="AZ245" s="861"/>
      <c r="BA245" s="861"/>
      <c r="BB245" s="861"/>
      <c r="BC245" s="861"/>
      <c r="BD245" s="861"/>
      <c r="BE245" s="861"/>
      <c r="BF245" s="861"/>
      <c r="BG245" s="861"/>
      <c r="BH245" s="861"/>
      <c r="BI245" s="861"/>
      <c r="BJ245" s="861"/>
      <c r="BK245" s="861"/>
      <c r="BL245" s="861"/>
      <c r="BM245" s="861"/>
      <c r="BN245" s="861"/>
      <c r="BO245" s="861"/>
      <c r="BP245" s="861"/>
      <c r="BQ245" s="861"/>
      <c r="BR245" s="861"/>
      <c r="BS245" s="861"/>
      <c r="BT245" s="861"/>
      <c r="BU245" s="861"/>
      <c r="BV245" s="861"/>
      <c r="BW245" s="861"/>
      <c r="BX245" s="861"/>
      <c r="BY245" s="861"/>
      <c r="BZ245" s="861"/>
      <c r="CA245" s="861"/>
      <c r="CB245" s="861"/>
      <c r="CC245" s="861"/>
      <c r="CD245" s="861"/>
      <c r="CE245" s="861"/>
      <c r="CF245" s="861"/>
      <c r="CG245" s="861"/>
      <c r="CH245" s="861"/>
      <c r="CI245" s="861"/>
      <c r="CJ245" s="861"/>
      <c r="CK245" s="861"/>
      <c r="CL245" s="861"/>
      <c r="CM245" s="861"/>
      <c r="CN245" s="861"/>
      <c r="CO245" s="861"/>
      <c r="CP245" s="861"/>
      <c r="CQ245" s="861"/>
      <c r="CR245" s="861"/>
      <c r="CS245" s="861"/>
      <c r="CT245" s="861"/>
    </row>
    <row r="246" spans="1:129" s="3" customFormat="1">
      <c r="B246" s="1027"/>
      <c r="C246" s="1027"/>
      <c r="D246" s="1027"/>
      <c r="E246" s="1027"/>
      <c r="F246" s="1027"/>
      <c r="G246" s="1027"/>
      <c r="H246" s="1027"/>
      <c r="I246" s="1027"/>
      <c r="J246" s="1027"/>
      <c r="K246" s="1027"/>
      <c r="L246" s="1027"/>
      <c r="M246" s="1027"/>
      <c r="N246" s="1703"/>
      <c r="O246" s="1703"/>
      <c r="P246" s="1703"/>
      <c r="Q246" s="115"/>
      <c r="R246" s="9"/>
      <c r="S246" s="9"/>
      <c r="T246" s="115"/>
      <c r="U246" s="115"/>
      <c r="V246" s="115"/>
      <c r="W246" s="115"/>
      <c r="X246" s="115"/>
      <c r="Y246" s="115"/>
      <c r="Z246" s="115"/>
      <c r="AA246" s="115"/>
      <c r="AB246" s="115"/>
      <c r="AC246" s="115"/>
      <c r="AD246" s="115"/>
      <c r="AE246" s="115"/>
      <c r="AF246" s="115"/>
      <c r="AG246" s="115"/>
      <c r="AH246" s="115"/>
      <c r="AI246" s="115"/>
      <c r="AJ246" s="115"/>
    </row>
    <row r="247" spans="1:129" s="3" customFormat="1">
      <c r="B247" s="1027"/>
      <c r="C247" s="1236" t="s">
        <v>5282</v>
      </c>
      <c r="D247" s="2465" t="s">
        <v>5283</v>
      </c>
      <c r="E247" s="2465"/>
      <c r="F247" s="2465"/>
      <c r="G247" s="2465"/>
      <c r="H247" s="2556" t="s">
        <v>5004</v>
      </c>
      <c r="I247" s="2557"/>
      <c r="J247" s="2557"/>
      <c r="K247" s="2557"/>
      <c r="L247" s="2558"/>
      <c r="M247" s="1027"/>
      <c r="N247" s="1703"/>
      <c r="O247" s="1703"/>
      <c r="P247" s="1703"/>
      <c r="Q247" s="115"/>
      <c r="R247" s="9" t="b">
        <f>C248="Yes"</f>
        <v>0</v>
      </c>
      <c r="S247" s="9">
        <f>IF(R247, 1, 0)</f>
        <v>0</v>
      </c>
      <c r="T247" s="115"/>
      <c r="U247" s="115"/>
      <c r="V247" s="115"/>
      <c r="W247" s="115"/>
      <c r="X247" s="115"/>
      <c r="Y247" s="115"/>
      <c r="Z247" s="115"/>
      <c r="AA247" s="115"/>
      <c r="AB247" s="115"/>
      <c r="AC247" s="115"/>
      <c r="AD247" s="115"/>
      <c r="AE247" s="115"/>
      <c r="AF247" s="115"/>
      <c r="AG247" s="115"/>
      <c r="AH247" s="115"/>
      <c r="AI247" s="115"/>
      <c r="AJ247" s="115"/>
    </row>
    <row r="248" spans="1:129">
      <c r="B248" s="1027"/>
      <c r="C248" s="2532" t="str">
        <f>IF(AND('10. Project and Unit Amenities'!D27="yes",'10. Project and Unit Amenities'!J27=0),"Yes","No")</f>
        <v>No</v>
      </c>
      <c r="D248" s="2525" t="s">
        <v>5284</v>
      </c>
      <c r="E248" s="2525"/>
      <c r="F248" s="2525"/>
      <c r="G248" s="2519"/>
      <c r="H248" s="2526" t="str">
        <f>_xlfn.CONCAT("In-Unit Internet Access, tab 10. Project Amenities: ",IF('10. Project and Unit Amenities'!D27="","blank",'10. Project and Unit Amenities'!D27),".")</f>
        <v>In-Unit Internet Access, tab 10. Project Amenities: blank.</v>
      </c>
      <c r="I248" s="2527"/>
      <c r="J248" s="2527"/>
      <c r="K248" s="2527"/>
      <c r="L248" s="2528"/>
      <c r="M248" s="1027"/>
      <c r="N248" s="1703"/>
      <c r="O248" s="1703"/>
      <c r="P248" s="1703"/>
      <c r="Q248" s="115"/>
      <c r="R248" s="9" t="b">
        <f>C250="Yes"</f>
        <v>0</v>
      </c>
      <c r="S248" s="9">
        <f>IF(R248, 1, 0)</f>
        <v>0</v>
      </c>
      <c r="AJ248" s="115"/>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row>
    <row r="249" spans="1:129">
      <c r="B249" s="1027"/>
      <c r="C249" s="2532"/>
      <c r="D249" s="2525"/>
      <c r="E249" s="2525"/>
      <c r="F249" s="2525"/>
      <c r="G249" s="2519"/>
      <c r="H249" s="2529" t="str">
        <f>_xlfn.CONCAT("In-Unit Internet Est. Cost, tab 10. Project Amenities: ",IF('10. Project and Unit Amenities'!J27="","blank",'10. Project and Unit Amenities'!J27),".")</f>
        <v>In-Unit Internet Est. Cost, tab 10. Project Amenities: blank.</v>
      </c>
      <c r="I249" s="2530"/>
      <c r="J249" s="2530"/>
      <c r="K249" s="2530"/>
      <c r="L249" s="2531"/>
      <c r="M249" s="1703"/>
      <c r="N249" s="1703"/>
      <c r="O249" s="1703"/>
      <c r="P249" s="1703"/>
      <c r="Q249" s="115"/>
      <c r="R249" s="9"/>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row>
    <row r="250" spans="1:129" ht="29.45" customHeight="1">
      <c r="B250" s="1027"/>
      <c r="C250" s="1764" t="str">
        <f>IF(Community_Room="Yes","Yes","No")</f>
        <v>No</v>
      </c>
      <c r="D250" s="2523" t="s">
        <v>5285</v>
      </c>
      <c r="E250" s="2523"/>
      <c r="F250" s="2523"/>
      <c r="G250" s="2524"/>
      <c r="H250" s="2519" t="str">
        <f>_xlfn.CONCAT("Community Room, tab 10. Project Amenities: ",IF(Community_Room="","blank",Community_Room),".")</f>
        <v>Community Room, tab 10. Project Amenities: blank.</v>
      </c>
      <c r="I250" s="2520"/>
      <c r="J250" s="2520"/>
      <c r="K250" s="2520"/>
      <c r="L250" s="2521"/>
      <c r="M250" s="1703"/>
      <c r="N250" s="1703"/>
      <c r="O250" s="1703"/>
      <c r="P250" s="1703"/>
      <c r="Q250" s="115"/>
      <c r="R250" s="9"/>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row>
    <row r="251" spans="1:129">
      <c r="B251" s="1027"/>
      <c r="C251" s="1027"/>
      <c r="D251" s="1027"/>
      <c r="E251" s="1027"/>
      <c r="F251" s="1027"/>
      <c r="G251" s="1027"/>
      <c r="H251" s="1027"/>
      <c r="I251" s="1027"/>
      <c r="J251" s="1027"/>
      <c r="K251" s="1027"/>
      <c r="L251" s="1027"/>
      <c r="M251" s="1703"/>
      <c r="N251" s="1703"/>
      <c r="O251" s="1703"/>
      <c r="P251" s="1703"/>
      <c r="Q251" s="115"/>
      <c r="R251" s="9"/>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row>
    <row r="252" spans="1:129" ht="15.75">
      <c r="B252" s="1027"/>
      <c r="C252" s="1203" t="s">
        <v>4997</v>
      </c>
      <c r="D252" s="1203" t="s">
        <v>4971</v>
      </c>
      <c r="E252" s="1203" t="s">
        <v>1051</v>
      </c>
      <c r="F252" s="1027"/>
      <c r="G252" s="1027"/>
      <c r="H252" s="1027"/>
      <c r="I252" s="1027"/>
      <c r="J252" s="1027"/>
      <c r="K252" s="1027"/>
      <c r="L252" s="1027"/>
      <c r="M252" s="1703"/>
      <c r="N252" s="1703"/>
      <c r="O252" s="1703"/>
      <c r="P252" s="1703"/>
      <c r="Q252" s="115"/>
      <c r="R252" s="9"/>
      <c r="S252" s="9">
        <f>SUM(S247:S248)</f>
        <v>0</v>
      </c>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row>
    <row r="253" spans="1:129" ht="15.75">
      <c r="B253" s="1027"/>
      <c r="C253" s="1757">
        <v>2</v>
      </c>
      <c r="D253" s="1760">
        <f>S252</f>
        <v>0</v>
      </c>
      <c r="E253" s="917"/>
      <c r="F253" s="1027"/>
      <c r="G253" s="1027"/>
      <c r="H253" s="1027"/>
      <c r="I253" s="1027"/>
      <c r="J253" s="1027"/>
      <c r="K253" s="1027"/>
      <c r="L253" s="1027"/>
      <c r="M253" s="1703"/>
      <c r="N253" s="1703"/>
      <c r="O253" s="1703"/>
      <c r="P253" s="1703"/>
      <c r="Q253" s="115"/>
      <c r="R253" s="9"/>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row>
    <row r="254" spans="1:129">
      <c r="B254" s="1027"/>
      <c r="C254" s="1027"/>
      <c r="D254" s="1027"/>
      <c r="E254" s="1027"/>
      <c r="F254" s="1027"/>
      <c r="G254" s="1027"/>
      <c r="H254" s="1027"/>
      <c r="I254" s="1027"/>
      <c r="J254" s="1027"/>
      <c r="K254" s="1027"/>
      <c r="L254" s="1027"/>
      <c r="M254" s="1703"/>
      <c r="N254" s="1703"/>
      <c r="O254" s="1703"/>
      <c r="P254" s="1703"/>
      <c r="Q254" s="115"/>
      <c r="R254" s="9"/>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row>
    <row r="255" spans="1:129" ht="18.75">
      <c r="B255" s="8" t="s">
        <v>1055</v>
      </c>
      <c r="C255" s="3"/>
      <c r="D255" s="3"/>
      <c r="E255" s="3"/>
      <c r="F255" s="3"/>
      <c r="G255" s="3"/>
      <c r="H255" s="3"/>
      <c r="I255" s="3"/>
      <c r="J255" s="8" t="s">
        <v>3638</v>
      </c>
      <c r="K255" s="3"/>
      <c r="L255" s="3"/>
      <c r="M255" s="3"/>
      <c r="N255" s="3"/>
      <c r="O255" s="3"/>
      <c r="P255" s="3"/>
      <c r="Q255" s="115"/>
      <c r="R255" s="9"/>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row>
    <row r="256" spans="1:129">
      <c r="B256" s="1030" t="s">
        <v>4802</v>
      </c>
      <c r="C256" s="1027"/>
      <c r="D256" s="1027"/>
      <c r="E256" s="1027"/>
      <c r="F256" s="1027"/>
      <c r="G256" s="1027"/>
      <c r="H256" s="1027"/>
      <c r="I256" s="1027"/>
      <c r="J256" s="1032" t="s">
        <v>4697</v>
      </c>
      <c r="K256" s="1027"/>
      <c r="L256" s="1027"/>
      <c r="M256" s="1027"/>
      <c r="N256" s="1027"/>
      <c r="O256" s="1027"/>
      <c r="P256" s="1027"/>
      <c r="Q256" s="115"/>
      <c r="R256" s="9"/>
      <c r="AJ256" s="115"/>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row>
    <row r="257" spans="2:94">
      <c r="B257" s="1027"/>
      <c r="C257" s="1998"/>
      <c r="D257" s="1999"/>
      <c r="E257" s="1999"/>
      <c r="F257" s="1999"/>
      <c r="G257" s="1999"/>
      <c r="H257" s="2000"/>
      <c r="I257" s="1027"/>
      <c r="J257" s="1998"/>
      <c r="K257" s="1999"/>
      <c r="L257" s="1999"/>
      <c r="M257" s="1999"/>
      <c r="N257" s="1999"/>
      <c r="O257" s="2000"/>
      <c r="P257" s="1027"/>
      <c r="Q257" s="115"/>
      <c r="R257" s="9"/>
      <c r="AJ257" s="115"/>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row>
    <row r="258" spans="2:94">
      <c r="B258" s="1027"/>
      <c r="C258" s="2001"/>
      <c r="D258" s="2002"/>
      <c r="E258" s="2002"/>
      <c r="F258" s="2002"/>
      <c r="G258" s="2002"/>
      <c r="H258" s="2003"/>
      <c r="I258" s="1027"/>
      <c r="J258" s="2001"/>
      <c r="K258" s="2002"/>
      <c r="L258" s="2002"/>
      <c r="M258" s="2002"/>
      <c r="N258" s="2002"/>
      <c r="O258" s="2003"/>
      <c r="P258" s="1027"/>
      <c r="Q258" s="115"/>
      <c r="R258" s="9"/>
      <c r="AJ258" s="115"/>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row>
    <row r="259" spans="2:94">
      <c r="B259" s="1027"/>
      <c r="C259" s="2001"/>
      <c r="D259" s="2002"/>
      <c r="E259" s="2002"/>
      <c r="F259" s="2002"/>
      <c r="G259" s="2002"/>
      <c r="H259" s="2003"/>
      <c r="I259" s="1027"/>
      <c r="J259" s="2001"/>
      <c r="K259" s="2002"/>
      <c r="L259" s="2002"/>
      <c r="M259" s="2002"/>
      <c r="N259" s="2002"/>
      <c r="O259" s="2003"/>
      <c r="P259" s="1027"/>
      <c r="Q259" s="115"/>
      <c r="R259" s="9"/>
      <c r="AJ259" s="115"/>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row>
    <row r="260" spans="2:94">
      <c r="B260" s="1027"/>
      <c r="C260" s="2001"/>
      <c r="D260" s="2002"/>
      <c r="E260" s="2002"/>
      <c r="F260" s="2002"/>
      <c r="G260" s="2002"/>
      <c r="H260" s="2003"/>
      <c r="I260" s="1027"/>
      <c r="J260" s="2001"/>
      <c r="K260" s="2002"/>
      <c r="L260" s="2002"/>
      <c r="M260" s="2002"/>
      <c r="N260" s="2002"/>
      <c r="O260" s="2003"/>
      <c r="P260" s="1027"/>
      <c r="Q260" s="115"/>
      <c r="R260" s="9"/>
      <c r="AJ260" s="115"/>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row>
    <row r="261" spans="2:94">
      <c r="B261" s="1027"/>
      <c r="C261" s="2001"/>
      <c r="D261" s="2002"/>
      <c r="E261" s="2002"/>
      <c r="F261" s="2002"/>
      <c r="G261" s="2002"/>
      <c r="H261" s="2003"/>
      <c r="I261" s="1027"/>
      <c r="J261" s="2001"/>
      <c r="K261" s="2002"/>
      <c r="L261" s="2002"/>
      <c r="M261" s="2002"/>
      <c r="N261" s="2002"/>
      <c r="O261" s="2003"/>
      <c r="P261" s="1027"/>
      <c r="Q261" s="115"/>
      <c r="R261" s="9"/>
      <c r="AJ261" s="115"/>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row>
    <row r="262" spans="2:94">
      <c r="B262" s="1027"/>
      <c r="C262" s="2001"/>
      <c r="D262" s="2002"/>
      <c r="E262" s="2002"/>
      <c r="F262" s="2002"/>
      <c r="G262" s="2002"/>
      <c r="H262" s="2003"/>
      <c r="I262" s="1027"/>
      <c r="J262" s="2001"/>
      <c r="K262" s="2002"/>
      <c r="L262" s="2002"/>
      <c r="M262" s="2002"/>
      <c r="N262" s="2002"/>
      <c r="O262" s="2003"/>
      <c r="P262" s="1027"/>
      <c r="Q262" s="115"/>
      <c r="R262" s="9"/>
      <c r="AJ262" s="115"/>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row>
    <row r="263" spans="2:94">
      <c r="B263" s="1027"/>
      <c r="C263" s="2001"/>
      <c r="D263" s="2002"/>
      <c r="E263" s="2002"/>
      <c r="F263" s="2002"/>
      <c r="G263" s="2002"/>
      <c r="H263" s="2003"/>
      <c r="I263" s="1027"/>
      <c r="J263" s="2001"/>
      <c r="K263" s="2002"/>
      <c r="L263" s="2002"/>
      <c r="M263" s="2002"/>
      <c r="N263" s="2002"/>
      <c r="O263" s="2003"/>
      <c r="P263" s="1027"/>
      <c r="Q263" s="115"/>
      <c r="R263" s="9"/>
      <c r="AJ263" s="115"/>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row>
    <row r="264" spans="2:94">
      <c r="B264" s="1027"/>
      <c r="C264" s="2001"/>
      <c r="D264" s="2002"/>
      <c r="E264" s="2002"/>
      <c r="F264" s="2002"/>
      <c r="G264" s="2002"/>
      <c r="H264" s="2003"/>
      <c r="I264" s="1027"/>
      <c r="J264" s="2001"/>
      <c r="K264" s="2002"/>
      <c r="L264" s="2002"/>
      <c r="M264" s="2002"/>
      <c r="N264" s="2002"/>
      <c r="O264" s="2003"/>
      <c r="P264" s="1027"/>
      <c r="Q264" s="115"/>
      <c r="R264" s="9"/>
      <c r="AJ264" s="115"/>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row>
    <row r="265" spans="2:94">
      <c r="B265" s="1027"/>
      <c r="C265" s="2001"/>
      <c r="D265" s="2002"/>
      <c r="E265" s="2002"/>
      <c r="F265" s="2002"/>
      <c r="G265" s="2002"/>
      <c r="H265" s="2003"/>
      <c r="I265" s="1027"/>
      <c r="J265" s="2004"/>
      <c r="K265" s="2005"/>
      <c r="L265" s="2005"/>
      <c r="M265" s="2005"/>
      <c r="N265" s="2005"/>
      <c r="O265" s="2006"/>
      <c r="P265" s="1027"/>
      <c r="Q265" s="115"/>
      <c r="R265" s="9"/>
      <c r="AJ265" s="115"/>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row>
    <row r="266" spans="2:94">
      <c r="B266" s="1027"/>
      <c r="C266" s="2001"/>
      <c r="D266" s="2002"/>
      <c r="E266" s="2002"/>
      <c r="F266" s="2002"/>
      <c r="G266" s="2002"/>
      <c r="H266" s="2003"/>
      <c r="I266" s="1027"/>
      <c r="J266" s="1756" t="s">
        <v>1058</v>
      </c>
      <c r="K266" s="1027"/>
      <c r="L266" s="1027"/>
      <c r="M266" s="1027"/>
      <c r="N266" s="1027"/>
      <c r="O266" s="1027"/>
      <c r="P266" s="1027"/>
      <c r="Q266" s="115"/>
      <c r="R266" s="9"/>
      <c r="AJ266" s="115"/>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row>
    <row r="267" spans="2:94">
      <c r="B267" s="1027"/>
      <c r="C267" s="2004"/>
      <c r="D267" s="2005"/>
      <c r="E267" s="2005"/>
      <c r="F267" s="2005"/>
      <c r="G267" s="2005"/>
      <c r="H267" s="2006"/>
      <c r="I267" s="1027"/>
      <c r="J267" s="2522"/>
      <c r="K267" s="2522"/>
      <c r="L267" s="2522"/>
      <c r="M267" s="2522"/>
      <c r="N267" s="2522"/>
      <c r="O267" s="2522"/>
      <c r="P267" s="1027"/>
      <c r="Q267" s="115"/>
      <c r="R267" s="9"/>
      <c r="AJ267" s="115"/>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row>
    <row r="268" spans="2:94">
      <c r="B268" s="1027"/>
      <c r="C268" s="1027"/>
      <c r="D268" s="1027"/>
      <c r="E268" s="1027"/>
      <c r="F268" s="1027"/>
      <c r="G268" s="1027"/>
      <c r="H268" s="1027"/>
      <c r="I268" s="1027"/>
      <c r="J268" s="1027"/>
      <c r="K268" s="1027"/>
      <c r="L268" s="1027"/>
      <c r="M268" s="1027"/>
      <c r="N268" s="1027"/>
      <c r="O268" s="1027"/>
      <c r="P268" s="1027"/>
      <c r="Q268" s="115"/>
      <c r="R268" s="9"/>
      <c r="AJ268" s="115"/>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row>
    <row r="269" spans="2:94">
      <c r="B269" s="3"/>
      <c r="C269" s="3"/>
      <c r="D269" s="3"/>
      <c r="E269" s="3"/>
      <c r="F269" s="3"/>
      <c r="G269" s="3"/>
      <c r="H269" s="3"/>
      <c r="I269" s="3"/>
      <c r="J269" s="3"/>
      <c r="K269" s="3"/>
      <c r="L269" s="3"/>
      <c r="M269" s="1736"/>
      <c r="N269" s="3"/>
      <c r="O269" s="3"/>
      <c r="P269" s="3"/>
      <c r="Q269" s="115"/>
      <c r="AJ269" s="115"/>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row>
    <row r="270" spans="2:94">
      <c r="B270" s="3"/>
      <c r="C270" s="3"/>
      <c r="D270" s="3"/>
      <c r="E270" s="3"/>
      <c r="F270" s="3"/>
      <c r="G270" s="3"/>
      <c r="H270" s="3"/>
      <c r="I270" s="3"/>
      <c r="J270" s="3"/>
      <c r="K270" s="3"/>
      <c r="L270" s="3"/>
      <c r="M270" s="1736"/>
      <c r="N270" s="3"/>
      <c r="O270" s="3"/>
      <c r="P270" s="3"/>
      <c r="Q270" s="115"/>
      <c r="AJ270" s="115"/>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row>
    <row r="271" spans="2:94">
      <c r="B271" s="3"/>
      <c r="C271" s="3"/>
      <c r="D271" s="3"/>
      <c r="E271" s="3"/>
      <c r="F271" s="3"/>
      <c r="G271" s="3"/>
      <c r="H271" s="3"/>
      <c r="I271" s="3"/>
      <c r="J271" s="3"/>
      <c r="K271" s="3"/>
      <c r="L271" s="3"/>
      <c r="M271" s="1736"/>
      <c r="N271" s="3"/>
      <c r="O271" s="3"/>
      <c r="P271" s="3"/>
      <c r="Q271" s="115"/>
      <c r="AJ271" s="115"/>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row>
    <row r="272" spans="2:94">
      <c r="B272" s="3"/>
      <c r="C272" s="3"/>
      <c r="D272" s="3"/>
      <c r="E272" s="3"/>
      <c r="F272" s="3"/>
      <c r="G272" s="3"/>
      <c r="H272" s="3"/>
      <c r="I272" s="3"/>
      <c r="J272" s="3"/>
      <c r="K272" s="3"/>
      <c r="L272" s="3"/>
      <c r="M272" s="1736"/>
      <c r="N272" s="3"/>
      <c r="O272" s="3"/>
      <c r="P272" s="3"/>
      <c r="Q272" s="115"/>
      <c r="AJ272" s="115"/>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row>
    <row r="273" spans="2:94">
      <c r="B273" s="3"/>
      <c r="C273" s="3"/>
      <c r="D273" s="3"/>
      <c r="E273" s="3"/>
      <c r="F273" s="3"/>
      <c r="G273" s="3"/>
      <c r="H273" s="3"/>
      <c r="I273" s="3"/>
      <c r="J273" s="3"/>
      <c r="K273" s="3"/>
      <c r="L273" s="3"/>
      <c r="M273" s="1736"/>
      <c r="N273" s="3"/>
      <c r="O273" s="3"/>
      <c r="P273" s="3"/>
      <c r="Q273" s="115"/>
      <c r="AJ273" s="115"/>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row>
    <row r="274" spans="2:94">
      <c r="B274" s="3"/>
      <c r="C274" s="3"/>
      <c r="D274" s="3"/>
      <c r="E274" s="3"/>
      <c r="F274" s="3"/>
      <c r="G274" s="3"/>
      <c r="H274" s="3"/>
      <c r="I274" s="3"/>
      <c r="J274" s="3"/>
      <c r="K274" s="3"/>
      <c r="L274" s="3"/>
      <c r="M274" s="1736"/>
      <c r="N274" s="3"/>
      <c r="O274" s="3"/>
      <c r="P274" s="3"/>
      <c r="Q274" s="115"/>
      <c r="AJ274" s="115"/>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row>
    <row r="275" spans="2:94">
      <c r="B275" s="3"/>
      <c r="C275" s="3"/>
      <c r="D275" s="3"/>
      <c r="E275" s="3"/>
      <c r="F275" s="3"/>
      <c r="G275" s="3"/>
      <c r="H275" s="3"/>
      <c r="I275" s="3"/>
      <c r="J275" s="3"/>
      <c r="K275" s="3"/>
      <c r="L275" s="3"/>
      <c r="M275" s="1736"/>
      <c r="N275" s="3"/>
      <c r="O275" s="3"/>
      <c r="P275" s="3"/>
      <c r="Q275" s="115"/>
      <c r="AJ275" s="115"/>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row>
    <row r="276" spans="2:94">
      <c r="B276" s="3"/>
      <c r="C276" s="3"/>
      <c r="D276" s="3"/>
      <c r="E276" s="3"/>
      <c r="F276" s="3"/>
      <c r="G276" s="3"/>
      <c r="H276" s="3"/>
      <c r="I276" s="3"/>
      <c r="J276" s="3"/>
      <c r="K276" s="3"/>
      <c r="L276" s="3"/>
      <c r="M276" s="1736"/>
      <c r="N276" s="3"/>
      <c r="O276" s="3"/>
      <c r="P276" s="3"/>
      <c r="Q276" s="115"/>
      <c r="AJ276" s="115"/>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row>
    <row r="277" spans="2:94">
      <c r="B277" s="3"/>
      <c r="C277" s="3"/>
      <c r="D277" s="3"/>
      <c r="E277" s="3"/>
      <c r="F277" s="3"/>
      <c r="G277" s="3"/>
      <c r="H277" s="3"/>
      <c r="I277" s="3"/>
      <c r="J277" s="3"/>
      <c r="K277" s="3"/>
      <c r="L277" s="3"/>
      <c r="M277" s="1736"/>
      <c r="N277" s="3"/>
      <c r="O277" s="3"/>
      <c r="P277" s="3"/>
      <c r="Q277" s="115"/>
      <c r="AJ277" s="115"/>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row>
    <row r="278" spans="2:94">
      <c r="B278" s="3"/>
      <c r="C278" s="3"/>
      <c r="D278" s="3"/>
      <c r="E278" s="3"/>
      <c r="F278" s="3"/>
      <c r="G278" s="3"/>
      <c r="H278" s="3"/>
      <c r="I278" s="3"/>
      <c r="J278" s="3"/>
      <c r="K278" s="3"/>
      <c r="L278" s="3"/>
      <c r="M278" s="1736"/>
      <c r="N278" s="3"/>
      <c r="O278" s="3"/>
      <c r="P278" s="3"/>
      <c r="Q278" s="115"/>
      <c r="AJ278" s="115"/>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row>
    <row r="279" spans="2:94">
      <c r="B279" s="3"/>
      <c r="C279" s="3"/>
      <c r="D279" s="3"/>
      <c r="E279" s="3"/>
      <c r="F279" s="3"/>
      <c r="G279" s="3"/>
      <c r="H279" s="3"/>
      <c r="I279" s="3"/>
      <c r="J279" s="3"/>
      <c r="K279" s="3"/>
      <c r="L279" s="3"/>
      <c r="M279" s="1736"/>
      <c r="N279" s="3"/>
      <c r="O279" s="3"/>
      <c r="P279" s="3"/>
      <c r="Q279" s="115"/>
      <c r="AJ279" s="115"/>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row>
    <row r="280" spans="2:94">
      <c r="B280" s="3"/>
      <c r="C280" s="3"/>
      <c r="D280" s="3"/>
      <c r="E280" s="3"/>
      <c r="F280" s="3"/>
      <c r="G280" s="3"/>
      <c r="H280" s="3"/>
      <c r="I280" s="3"/>
      <c r="J280" s="3"/>
      <c r="K280" s="3"/>
      <c r="L280" s="3"/>
      <c r="M280" s="1736"/>
      <c r="N280" s="3"/>
      <c r="O280" s="3"/>
      <c r="P280" s="3"/>
      <c r="Q280" s="115"/>
      <c r="AJ280" s="115"/>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row>
    <row r="281" spans="2:94">
      <c r="B281" s="3"/>
      <c r="C281" s="3"/>
      <c r="D281" s="3"/>
      <c r="E281" s="3"/>
      <c r="F281" s="3"/>
      <c r="G281" s="3"/>
      <c r="H281" s="3"/>
      <c r="I281" s="3"/>
      <c r="J281" s="3"/>
      <c r="K281" s="3"/>
      <c r="L281" s="3"/>
      <c r="M281" s="1736"/>
      <c r="N281" s="3"/>
      <c r="O281" s="3"/>
      <c r="P281" s="3"/>
      <c r="Q281" s="115"/>
      <c r="AJ281" s="115"/>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row>
    <row r="282" spans="2:94">
      <c r="B282" s="3"/>
      <c r="C282" s="3"/>
      <c r="D282" s="3"/>
      <c r="E282" s="3"/>
      <c r="F282" s="3"/>
      <c r="G282" s="3"/>
      <c r="H282" s="3"/>
      <c r="I282" s="3"/>
      <c r="J282" s="3"/>
      <c r="K282" s="3"/>
      <c r="L282" s="3"/>
      <c r="M282" s="1736"/>
      <c r="N282" s="3"/>
      <c r="O282" s="3"/>
      <c r="P282" s="3"/>
      <c r="Q282" s="115"/>
      <c r="AJ282" s="115"/>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row>
    <row r="283" spans="2:94">
      <c r="B283" s="3"/>
      <c r="C283" s="3"/>
      <c r="D283" s="3"/>
      <c r="E283" s="3"/>
      <c r="F283" s="3"/>
      <c r="G283" s="3"/>
      <c r="H283" s="3"/>
      <c r="I283" s="3"/>
      <c r="J283" s="3"/>
      <c r="K283" s="3"/>
      <c r="L283" s="3"/>
      <c r="M283" s="1736"/>
      <c r="N283" s="3"/>
      <c r="O283" s="3"/>
      <c r="P283" s="3"/>
      <c r="Q283" s="115"/>
      <c r="AJ283" s="115"/>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row>
    <row r="284" spans="2:94">
      <c r="B284" s="3"/>
      <c r="C284" s="3"/>
      <c r="D284" s="3"/>
      <c r="E284" s="3"/>
      <c r="F284" s="3"/>
      <c r="G284" s="3"/>
      <c r="H284" s="3"/>
      <c r="I284" s="3"/>
      <c r="J284" s="3"/>
      <c r="K284" s="3"/>
      <c r="L284" s="3"/>
      <c r="M284" s="1736"/>
      <c r="N284" s="3"/>
      <c r="O284" s="3"/>
      <c r="P284" s="3"/>
      <c r="Q284" s="115"/>
      <c r="AJ284" s="115"/>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row>
    <row r="285" spans="2:94">
      <c r="B285" s="3"/>
      <c r="C285" s="3"/>
      <c r="D285" s="3"/>
      <c r="E285" s="3"/>
      <c r="F285" s="3"/>
      <c r="G285" s="3"/>
      <c r="H285" s="3"/>
      <c r="I285" s="3"/>
      <c r="J285" s="3"/>
      <c r="K285" s="3"/>
      <c r="L285" s="3"/>
      <c r="M285" s="1736"/>
      <c r="N285" s="3"/>
      <c r="O285" s="3"/>
      <c r="P285" s="3"/>
      <c r="Q285" s="115"/>
      <c r="AJ285" s="115"/>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row>
    <row r="286" spans="2:94">
      <c r="B286" s="3"/>
      <c r="C286" s="3"/>
      <c r="D286" s="3"/>
      <c r="E286" s="3"/>
      <c r="F286" s="3"/>
      <c r="G286" s="3"/>
      <c r="H286" s="3"/>
      <c r="I286" s="3"/>
      <c r="J286" s="3"/>
      <c r="K286" s="3"/>
      <c r="L286" s="3"/>
      <c r="M286" s="1736"/>
      <c r="N286" s="3"/>
      <c r="O286" s="3"/>
      <c r="P286" s="3"/>
      <c r="Q286" s="115"/>
      <c r="AJ286" s="115"/>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row>
    <row r="287" spans="2:94">
      <c r="B287" s="3"/>
      <c r="C287" s="3"/>
      <c r="D287" s="3"/>
      <c r="E287" s="3"/>
      <c r="F287" s="3"/>
      <c r="G287" s="3"/>
      <c r="H287" s="3"/>
      <c r="I287" s="3"/>
      <c r="J287" s="3"/>
      <c r="K287" s="3"/>
      <c r="L287" s="3"/>
      <c r="M287" s="1736"/>
      <c r="N287" s="3"/>
      <c r="O287" s="3"/>
      <c r="P287" s="3"/>
      <c r="Q287" s="115"/>
      <c r="AJ287" s="115"/>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row>
    <row r="288" spans="2:94">
      <c r="B288" s="3"/>
      <c r="C288" s="3"/>
      <c r="D288" s="3"/>
      <c r="E288" s="3"/>
      <c r="F288" s="3"/>
      <c r="G288" s="3"/>
      <c r="H288" s="3"/>
      <c r="I288" s="3"/>
      <c r="J288" s="3"/>
      <c r="K288" s="3"/>
      <c r="L288" s="3"/>
      <c r="M288" s="1736"/>
      <c r="N288" s="3"/>
      <c r="O288" s="3"/>
      <c r="P288" s="3"/>
      <c r="Q288" s="115"/>
      <c r="AJ288" s="115"/>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row>
    <row r="289" spans="2:94">
      <c r="B289" s="3"/>
      <c r="C289" s="3"/>
      <c r="D289" s="3"/>
      <c r="E289" s="3"/>
      <c r="F289" s="3"/>
      <c r="G289" s="3"/>
      <c r="H289" s="3"/>
      <c r="I289" s="3"/>
      <c r="J289" s="3"/>
      <c r="K289" s="3"/>
      <c r="L289" s="3"/>
      <c r="M289" s="1736"/>
      <c r="N289" s="3"/>
      <c r="O289" s="3"/>
      <c r="P289" s="3"/>
      <c r="Q289" s="115"/>
      <c r="AJ289" s="115"/>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row>
    <row r="290" spans="2:94">
      <c r="B290" s="3"/>
      <c r="C290" s="3"/>
      <c r="D290" s="3"/>
      <c r="E290" s="3"/>
      <c r="F290" s="3"/>
      <c r="G290" s="3"/>
      <c r="H290" s="3"/>
      <c r="I290" s="3"/>
      <c r="J290" s="3"/>
      <c r="K290" s="3"/>
      <c r="L290" s="3"/>
      <c r="M290" s="1736"/>
      <c r="N290" s="3"/>
      <c r="O290" s="3"/>
      <c r="P290" s="3"/>
      <c r="Q290" s="115"/>
      <c r="AJ290" s="115"/>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row>
    <row r="291" spans="2:94">
      <c r="B291" s="3"/>
      <c r="C291" s="3"/>
      <c r="D291" s="3"/>
      <c r="E291" s="3"/>
      <c r="F291" s="3"/>
      <c r="G291" s="3"/>
      <c r="H291" s="3"/>
      <c r="I291" s="3"/>
      <c r="J291" s="3"/>
      <c r="K291" s="3"/>
      <c r="L291" s="3"/>
      <c r="M291" s="1736"/>
      <c r="N291" s="3"/>
      <c r="O291" s="3"/>
      <c r="P291" s="3"/>
      <c r="Q291" s="115"/>
      <c r="AJ291" s="115"/>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row>
    <row r="292" spans="2:94">
      <c r="B292" s="3"/>
      <c r="C292" s="3"/>
      <c r="D292" s="3"/>
      <c r="E292" s="3"/>
      <c r="F292" s="3"/>
      <c r="G292" s="3"/>
      <c r="H292" s="3"/>
      <c r="I292" s="3"/>
      <c r="J292" s="3"/>
      <c r="K292" s="3"/>
      <c r="L292" s="3"/>
      <c r="M292" s="1736"/>
      <c r="N292" s="3"/>
      <c r="O292" s="3"/>
      <c r="P292" s="3"/>
      <c r="Q292" s="115"/>
      <c r="AJ292" s="115"/>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row>
    <row r="293" spans="2:94">
      <c r="B293" s="3"/>
      <c r="C293" s="3"/>
      <c r="D293" s="3"/>
      <c r="E293" s="3"/>
      <c r="F293" s="3"/>
      <c r="G293" s="3"/>
      <c r="H293" s="3"/>
      <c r="I293" s="3"/>
      <c r="J293" s="3"/>
      <c r="K293" s="3"/>
      <c r="L293" s="3"/>
      <c r="M293" s="1736"/>
      <c r="N293" s="3"/>
      <c r="O293" s="3"/>
      <c r="P293" s="3"/>
      <c r="Q293" s="115"/>
      <c r="AJ293" s="115"/>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row>
    <row r="294" spans="2:94">
      <c r="B294" s="3"/>
      <c r="C294" s="3"/>
      <c r="D294" s="3"/>
      <c r="E294" s="3"/>
      <c r="F294" s="3"/>
      <c r="G294" s="3"/>
      <c r="H294" s="3"/>
      <c r="I294" s="3"/>
      <c r="J294" s="3"/>
      <c r="K294" s="3"/>
      <c r="L294" s="3"/>
      <c r="M294" s="1736"/>
      <c r="N294" s="3"/>
      <c r="O294" s="3"/>
      <c r="P294" s="3"/>
      <c r="Q294" s="115"/>
      <c r="AJ294" s="115"/>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row>
    <row r="295" spans="2:94">
      <c r="B295" s="3"/>
      <c r="C295" s="3"/>
      <c r="D295" s="3"/>
      <c r="E295" s="3"/>
      <c r="F295" s="3"/>
      <c r="G295" s="3"/>
      <c r="H295" s="3"/>
      <c r="I295" s="3"/>
      <c r="J295" s="3"/>
      <c r="K295" s="3"/>
      <c r="L295" s="3"/>
      <c r="M295" s="1736"/>
      <c r="N295" s="3"/>
      <c r="O295" s="3"/>
      <c r="P295" s="3"/>
      <c r="Q295" s="115"/>
      <c r="AJ295" s="115"/>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row>
    <row r="296" spans="2:94">
      <c r="B296" s="3"/>
      <c r="C296" s="3"/>
      <c r="D296" s="3"/>
      <c r="E296" s="3"/>
      <c r="F296" s="3"/>
      <c r="G296" s="3"/>
      <c r="H296" s="3"/>
      <c r="I296" s="3"/>
      <c r="J296" s="3"/>
      <c r="K296" s="3"/>
      <c r="L296" s="3"/>
      <c r="M296" s="1736"/>
      <c r="N296" s="3"/>
      <c r="O296" s="3"/>
      <c r="P296" s="3"/>
      <c r="Q296" s="115"/>
      <c r="AJ296" s="115"/>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row>
    <row r="297" spans="2:94">
      <c r="B297" s="3"/>
      <c r="C297" s="3"/>
      <c r="D297" s="3"/>
      <c r="E297" s="3"/>
      <c r="F297" s="3"/>
      <c r="G297" s="3"/>
      <c r="H297" s="3"/>
      <c r="I297" s="3"/>
      <c r="J297" s="3"/>
      <c r="K297" s="3"/>
      <c r="L297" s="3"/>
      <c r="M297" s="1736"/>
      <c r="N297" s="3"/>
      <c r="O297" s="3"/>
      <c r="P297" s="3"/>
      <c r="Q297" s="115"/>
      <c r="AJ297" s="115"/>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row>
    <row r="298" spans="2:94">
      <c r="B298" s="3"/>
      <c r="C298" s="3"/>
      <c r="D298" s="3"/>
      <c r="E298" s="3"/>
      <c r="F298" s="3"/>
      <c r="G298" s="3"/>
      <c r="H298" s="3"/>
      <c r="I298" s="3"/>
      <c r="J298" s="3"/>
      <c r="K298" s="3"/>
      <c r="L298" s="3"/>
      <c r="M298" s="1736"/>
      <c r="N298" s="3"/>
      <c r="O298" s="3"/>
      <c r="P298" s="3"/>
      <c r="Q298" s="115"/>
      <c r="AJ298" s="115"/>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row>
    <row r="299" spans="2:94">
      <c r="B299" s="3"/>
      <c r="C299" s="3"/>
      <c r="D299" s="3"/>
      <c r="E299" s="3"/>
      <c r="F299" s="3"/>
      <c r="G299" s="3"/>
      <c r="H299" s="3"/>
      <c r="I299" s="3"/>
      <c r="J299" s="3"/>
      <c r="K299" s="3"/>
      <c r="L299" s="3"/>
      <c r="M299" s="1736"/>
      <c r="N299" s="3"/>
      <c r="O299" s="3"/>
      <c r="P299" s="3"/>
      <c r="Q299" s="115"/>
      <c r="AJ299" s="115"/>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row>
    <row r="300" spans="2:94">
      <c r="B300" s="3"/>
      <c r="C300" s="3"/>
      <c r="D300" s="3"/>
      <c r="E300" s="3"/>
      <c r="F300" s="3"/>
      <c r="G300" s="3"/>
      <c r="H300" s="3"/>
      <c r="I300" s="3"/>
      <c r="J300" s="3"/>
      <c r="K300" s="3"/>
      <c r="L300" s="3"/>
      <c r="M300" s="1736"/>
      <c r="N300" s="3"/>
      <c r="O300" s="3"/>
      <c r="P300" s="3"/>
      <c r="Q300" s="115"/>
      <c r="AJ300" s="115"/>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row>
    <row r="301" spans="2:94">
      <c r="B301" s="3"/>
      <c r="C301" s="3"/>
      <c r="D301" s="3"/>
      <c r="E301" s="3"/>
      <c r="F301" s="3"/>
      <c r="G301" s="3"/>
      <c r="H301" s="3"/>
      <c r="I301" s="3"/>
      <c r="J301" s="3"/>
      <c r="K301" s="3"/>
      <c r="L301" s="3"/>
      <c r="M301" s="1736"/>
      <c r="N301" s="3"/>
      <c r="O301" s="3"/>
      <c r="P301" s="3"/>
      <c r="Q301" s="115"/>
      <c r="AJ301" s="115"/>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row>
    <row r="302" spans="2:94">
      <c r="B302" s="3"/>
      <c r="C302" s="3"/>
      <c r="D302" s="3"/>
      <c r="E302" s="3"/>
      <c r="F302" s="3"/>
      <c r="G302" s="3"/>
      <c r="H302" s="3"/>
      <c r="I302" s="3"/>
      <c r="J302" s="3"/>
      <c r="K302" s="3"/>
      <c r="L302" s="3"/>
      <c r="M302" s="1736"/>
      <c r="N302" s="3"/>
      <c r="O302" s="3"/>
      <c r="P302" s="3"/>
      <c r="Q302" s="115"/>
      <c r="AJ302" s="115"/>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row>
    <row r="303" spans="2:94">
      <c r="B303" s="3"/>
      <c r="C303" s="3"/>
      <c r="D303" s="3"/>
      <c r="E303" s="3"/>
      <c r="F303" s="3"/>
      <c r="G303" s="3"/>
      <c r="H303" s="3"/>
      <c r="I303" s="3"/>
      <c r="J303" s="3"/>
      <c r="K303" s="3"/>
      <c r="L303" s="3"/>
      <c r="M303" s="1736"/>
      <c r="N303" s="3"/>
      <c r="O303" s="3"/>
      <c r="P303" s="3"/>
      <c r="Q303" s="115"/>
      <c r="AJ303" s="115"/>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row>
    <row r="304" spans="2:94">
      <c r="B304" s="3"/>
      <c r="C304" s="3"/>
      <c r="D304" s="3"/>
      <c r="E304" s="3"/>
      <c r="F304" s="3"/>
      <c r="G304" s="3"/>
      <c r="H304" s="3"/>
      <c r="I304" s="3"/>
      <c r="J304" s="3"/>
      <c r="K304" s="3"/>
      <c r="L304" s="3"/>
      <c r="M304" s="1736"/>
      <c r="N304" s="3"/>
      <c r="O304" s="3"/>
      <c r="P304" s="3"/>
      <c r="Q304" s="115"/>
      <c r="AJ304" s="115"/>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row>
    <row r="305" spans="2:94">
      <c r="B305" s="3"/>
      <c r="C305" s="3"/>
      <c r="D305" s="3"/>
      <c r="E305" s="3"/>
      <c r="F305" s="3"/>
      <c r="G305" s="3"/>
      <c r="H305" s="3"/>
      <c r="I305" s="3"/>
      <c r="J305" s="3"/>
      <c r="K305" s="3"/>
      <c r="L305" s="3"/>
      <c r="M305" s="1736"/>
      <c r="N305" s="3"/>
      <c r="O305" s="3"/>
      <c r="P305" s="3"/>
      <c r="Q305" s="115"/>
      <c r="AJ305" s="115"/>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row>
    <row r="306" spans="2:94">
      <c r="B306" s="3"/>
      <c r="C306" s="3"/>
      <c r="D306" s="3"/>
      <c r="E306" s="3"/>
      <c r="F306" s="3"/>
      <c r="G306" s="3"/>
      <c r="H306" s="3"/>
      <c r="I306" s="3"/>
      <c r="J306" s="3"/>
      <c r="K306" s="3"/>
      <c r="L306" s="3"/>
      <c r="M306" s="1736"/>
      <c r="N306" s="3"/>
      <c r="O306" s="3"/>
      <c r="P306" s="3"/>
      <c r="Q306" s="115"/>
      <c r="AJ306" s="115"/>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row>
    <row r="307" spans="2:94">
      <c r="B307" s="3"/>
      <c r="C307" s="3"/>
      <c r="D307" s="3"/>
      <c r="E307" s="3"/>
      <c r="F307" s="3"/>
      <c r="G307" s="3"/>
      <c r="H307" s="3"/>
      <c r="I307" s="3"/>
      <c r="J307" s="3"/>
      <c r="K307" s="3"/>
      <c r="L307" s="3"/>
      <c r="M307" s="1736"/>
      <c r="N307" s="3"/>
      <c r="O307" s="3"/>
      <c r="P307" s="3"/>
      <c r="Q307" s="115"/>
      <c r="AJ307" s="115"/>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row>
    <row r="308" spans="2:94">
      <c r="B308" s="3"/>
      <c r="C308" s="3"/>
      <c r="D308" s="3"/>
      <c r="E308" s="3"/>
      <c r="F308" s="3"/>
      <c r="G308" s="3"/>
      <c r="H308" s="3"/>
      <c r="I308" s="3"/>
      <c r="J308" s="3"/>
      <c r="K308" s="3"/>
      <c r="L308" s="3"/>
      <c r="M308" s="1736"/>
      <c r="N308" s="3"/>
      <c r="O308" s="3"/>
      <c r="P308" s="3"/>
      <c r="Q308" s="115"/>
      <c r="AJ308" s="115"/>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row>
    <row r="309" spans="2:94">
      <c r="B309" s="3"/>
      <c r="C309" s="3"/>
      <c r="D309" s="3"/>
      <c r="E309" s="3"/>
      <c r="F309" s="3"/>
      <c r="G309" s="3"/>
      <c r="H309" s="3"/>
      <c r="I309" s="3"/>
      <c r="J309" s="3"/>
      <c r="K309" s="3"/>
      <c r="L309" s="3"/>
      <c r="M309" s="1736"/>
      <c r="N309" s="3"/>
      <c r="O309" s="3"/>
      <c r="P309" s="3"/>
      <c r="Q309" s="115"/>
      <c r="AJ309" s="115"/>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row>
    <row r="310" spans="2:94">
      <c r="B310" s="3"/>
      <c r="C310" s="3"/>
      <c r="D310" s="3"/>
      <c r="E310" s="3"/>
      <c r="F310" s="3"/>
      <c r="G310" s="3"/>
      <c r="H310" s="3"/>
      <c r="I310" s="3"/>
      <c r="J310" s="3"/>
      <c r="K310" s="3"/>
      <c r="L310" s="3"/>
      <c r="M310" s="1736"/>
      <c r="N310" s="3"/>
      <c r="O310" s="3"/>
      <c r="P310" s="3"/>
      <c r="Q310" s="115"/>
      <c r="AJ310" s="115"/>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row>
    <row r="311" spans="2:94">
      <c r="B311" s="3"/>
      <c r="C311" s="3"/>
      <c r="D311" s="3"/>
      <c r="E311" s="3"/>
      <c r="F311" s="3"/>
      <c r="G311" s="3"/>
      <c r="H311" s="3"/>
      <c r="I311" s="3"/>
      <c r="J311" s="3"/>
      <c r="K311" s="3"/>
      <c r="L311" s="3"/>
      <c r="M311" s="1736"/>
      <c r="N311" s="3"/>
      <c r="O311" s="3"/>
      <c r="P311" s="3"/>
      <c r="Q311" s="115"/>
      <c r="AJ311" s="115"/>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row>
    <row r="312" spans="2:94">
      <c r="B312" s="3"/>
      <c r="C312" s="3"/>
      <c r="D312" s="3"/>
      <c r="E312" s="3"/>
      <c r="F312" s="3"/>
      <c r="G312" s="3"/>
      <c r="H312" s="3"/>
      <c r="I312" s="3"/>
      <c r="J312" s="3"/>
      <c r="K312" s="3"/>
      <c r="L312" s="3"/>
      <c r="M312" s="1736"/>
      <c r="N312" s="3"/>
      <c r="O312" s="3"/>
      <c r="P312" s="3"/>
      <c r="Q312" s="115"/>
      <c r="AJ312" s="115"/>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row>
    <row r="313" spans="2:94">
      <c r="B313" s="3"/>
      <c r="C313" s="3"/>
      <c r="D313" s="3"/>
      <c r="E313" s="3"/>
      <c r="F313" s="3"/>
      <c r="G313" s="3"/>
      <c r="H313" s="3"/>
      <c r="I313" s="3"/>
      <c r="J313" s="3"/>
      <c r="K313" s="3"/>
      <c r="L313" s="3"/>
      <c r="M313" s="1736"/>
      <c r="N313" s="3"/>
      <c r="O313" s="3"/>
      <c r="P313" s="3"/>
      <c r="Q313" s="115"/>
      <c r="AJ313" s="115"/>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row>
    <row r="314" spans="2:94">
      <c r="B314" s="3"/>
      <c r="C314" s="3"/>
      <c r="D314" s="3"/>
      <c r="E314" s="3"/>
      <c r="F314" s="3"/>
      <c r="G314" s="3"/>
      <c r="H314" s="3"/>
      <c r="I314" s="3"/>
      <c r="J314" s="3"/>
      <c r="K314" s="3"/>
      <c r="L314" s="3"/>
      <c r="M314" s="1736"/>
      <c r="N314" s="3"/>
      <c r="O314" s="3"/>
      <c r="P314" s="3"/>
      <c r="Q314" s="115"/>
      <c r="AJ314" s="115"/>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row>
    <row r="315" spans="2:94">
      <c r="B315" s="3"/>
      <c r="C315" s="3"/>
      <c r="D315" s="3"/>
      <c r="E315" s="3"/>
      <c r="F315" s="3"/>
      <c r="G315" s="3"/>
      <c r="H315" s="3"/>
      <c r="I315" s="3"/>
      <c r="J315" s="3"/>
      <c r="K315" s="3"/>
      <c r="L315" s="3"/>
      <c r="M315" s="1736"/>
      <c r="N315" s="3"/>
      <c r="O315" s="3"/>
      <c r="P315" s="3"/>
      <c r="Q315" s="115"/>
      <c r="AJ315" s="115"/>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row>
    <row r="316" spans="2:94">
      <c r="B316" s="3"/>
      <c r="C316" s="3"/>
      <c r="D316" s="3"/>
      <c r="E316" s="3"/>
      <c r="F316" s="3"/>
      <c r="G316" s="3"/>
      <c r="H316" s="3"/>
      <c r="I316" s="3"/>
      <c r="J316" s="3"/>
      <c r="K316" s="3"/>
      <c r="L316" s="3"/>
      <c r="M316" s="1736"/>
      <c r="N316" s="3"/>
      <c r="O316" s="3"/>
      <c r="P316" s="3"/>
      <c r="Q316" s="115"/>
      <c r="AJ316" s="115"/>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row>
    <row r="317" spans="2:94">
      <c r="B317" s="3"/>
      <c r="C317" s="3"/>
      <c r="D317" s="3"/>
      <c r="E317" s="3"/>
      <c r="F317" s="3"/>
      <c r="G317" s="3"/>
      <c r="H317" s="3"/>
      <c r="I317" s="3"/>
      <c r="J317" s="3"/>
      <c r="K317" s="3"/>
      <c r="L317" s="3"/>
      <c r="M317" s="1736"/>
      <c r="N317" s="3"/>
      <c r="O317" s="3"/>
      <c r="P317" s="3"/>
      <c r="Q317" s="115"/>
      <c r="AJ317" s="115"/>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row>
    <row r="318" spans="2:94">
      <c r="B318" s="3"/>
      <c r="C318" s="3"/>
      <c r="D318" s="3"/>
      <c r="E318" s="3"/>
      <c r="F318" s="3"/>
      <c r="G318" s="3"/>
      <c r="H318" s="3"/>
      <c r="I318" s="3"/>
      <c r="J318" s="3"/>
      <c r="K318" s="3"/>
      <c r="L318" s="3"/>
      <c r="M318" s="1736"/>
      <c r="N318" s="3"/>
      <c r="O318" s="3"/>
      <c r="P318" s="3"/>
      <c r="Q318" s="115"/>
      <c r="AJ318" s="115"/>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row>
    <row r="319" spans="2:94">
      <c r="B319" s="3"/>
      <c r="C319" s="3"/>
      <c r="D319" s="3"/>
      <c r="E319" s="3"/>
      <c r="F319" s="3"/>
      <c r="G319" s="3"/>
      <c r="H319" s="3"/>
      <c r="I319" s="3"/>
      <c r="J319" s="3"/>
      <c r="K319" s="3"/>
      <c r="L319" s="3"/>
      <c r="M319" s="1736"/>
      <c r="N319" s="3"/>
      <c r="O319" s="3"/>
      <c r="P319" s="3"/>
      <c r="Q319" s="115"/>
      <c r="AJ319" s="115"/>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row>
    <row r="320" spans="2:94">
      <c r="B320" s="3"/>
      <c r="C320" s="3"/>
      <c r="D320" s="3"/>
      <c r="E320" s="3"/>
      <c r="F320" s="3"/>
      <c r="G320" s="3"/>
      <c r="H320" s="3"/>
      <c r="I320" s="3"/>
      <c r="J320" s="3"/>
      <c r="K320" s="3"/>
      <c r="L320" s="3"/>
      <c r="M320" s="1736"/>
      <c r="N320" s="3"/>
      <c r="O320" s="3"/>
      <c r="P320" s="3"/>
      <c r="Q320" s="115"/>
      <c r="AJ320" s="115"/>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row>
    <row r="321" spans="2:94">
      <c r="B321" s="3"/>
      <c r="C321" s="3"/>
      <c r="D321" s="3"/>
      <c r="E321" s="3"/>
      <c r="F321" s="3"/>
      <c r="G321" s="3"/>
      <c r="H321" s="3"/>
      <c r="I321" s="3"/>
      <c r="J321" s="3"/>
      <c r="K321" s="3"/>
      <c r="L321" s="3"/>
      <c r="M321" s="1736"/>
      <c r="N321" s="3"/>
      <c r="O321" s="3"/>
      <c r="P321" s="3"/>
      <c r="Q321" s="115"/>
      <c r="AJ321" s="115"/>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row>
    <row r="322" spans="2:94">
      <c r="B322" s="3"/>
      <c r="C322" s="3"/>
      <c r="D322" s="3"/>
      <c r="E322" s="3"/>
      <c r="F322" s="3"/>
      <c r="G322" s="3"/>
      <c r="H322" s="3"/>
      <c r="I322" s="3"/>
      <c r="J322" s="3"/>
      <c r="K322" s="3"/>
      <c r="L322" s="3"/>
      <c r="M322" s="1736"/>
      <c r="N322" s="3"/>
      <c r="O322" s="3"/>
      <c r="P322" s="3"/>
      <c r="Q322" s="115"/>
      <c r="AJ322" s="115"/>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row>
    <row r="323" spans="2:94">
      <c r="B323" s="3"/>
      <c r="C323" s="3"/>
      <c r="D323" s="3"/>
      <c r="E323" s="3"/>
      <c r="F323" s="3"/>
      <c r="G323" s="3"/>
      <c r="H323" s="3"/>
      <c r="I323" s="3"/>
      <c r="J323" s="3"/>
      <c r="K323" s="3"/>
      <c r="L323" s="3"/>
      <c r="M323" s="1736"/>
      <c r="N323" s="3"/>
      <c r="O323" s="3"/>
      <c r="P323" s="3"/>
      <c r="Q323" s="115"/>
      <c r="AJ323" s="115"/>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row>
    <row r="324" spans="2:94">
      <c r="B324" s="3"/>
      <c r="C324" s="3"/>
      <c r="D324" s="3"/>
      <c r="E324" s="3"/>
      <c r="F324" s="3"/>
      <c r="G324" s="3"/>
      <c r="H324" s="3"/>
      <c r="I324" s="3"/>
      <c r="J324" s="3"/>
      <c r="K324" s="3"/>
      <c r="L324" s="3"/>
      <c r="M324" s="1736"/>
      <c r="N324" s="3"/>
      <c r="O324" s="3"/>
      <c r="P324" s="3"/>
      <c r="Q324" s="115"/>
      <c r="AJ324" s="115"/>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row>
    <row r="325" spans="2:94">
      <c r="B325" s="3"/>
      <c r="C325" s="3"/>
      <c r="D325" s="3"/>
      <c r="E325" s="3"/>
      <c r="F325" s="3"/>
      <c r="G325" s="3"/>
      <c r="H325" s="3"/>
      <c r="I325" s="3"/>
      <c r="J325" s="3"/>
      <c r="K325" s="3"/>
      <c r="L325" s="3"/>
      <c r="M325" s="1736"/>
      <c r="N325" s="3"/>
      <c r="O325" s="3"/>
      <c r="P325" s="3"/>
      <c r="Q325" s="115"/>
      <c r="AJ325" s="115"/>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row>
    <row r="326" spans="2:94">
      <c r="B326" s="3"/>
      <c r="C326" s="3"/>
      <c r="D326" s="3"/>
      <c r="E326" s="3"/>
      <c r="F326" s="3"/>
      <c r="G326" s="3"/>
      <c r="H326" s="3"/>
      <c r="I326" s="3"/>
      <c r="J326" s="3"/>
      <c r="K326" s="3"/>
      <c r="L326" s="3"/>
      <c r="M326" s="1736"/>
      <c r="N326" s="3"/>
      <c r="O326" s="3"/>
      <c r="P326" s="3"/>
      <c r="Q326" s="115"/>
      <c r="AJ326" s="115"/>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row>
    <row r="327" spans="2:94">
      <c r="B327" s="3"/>
      <c r="C327" s="3"/>
      <c r="D327" s="3"/>
      <c r="E327" s="3"/>
      <c r="F327" s="3"/>
      <c r="G327" s="3"/>
      <c r="H327" s="3"/>
      <c r="I327" s="3"/>
      <c r="J327" s="3"/>
      <c r="K327" s="3"/>
      <c r="L327" s="3"/>
      <c r="M327" s="1736"/>
      <c r="N327" s="3"/>
      <c r="O327" s="3"/>
      <c r="P327" s="3"/>
      <c r="Q327" s="115"/>
      <c r="AJ327" s="115"/>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row>
    <row r="328" spans="2:94">
      <c r="B328" s="3"/>
      <c r="C328" s="3"/>
      <c r="D328" s="3"/>
      <c r="E328" s="3"/>
      <c r="F328" s="3"/>
      <c r="G328" s="3"/>
      <c r="H328" s="3"/>
      <c r="I328" s="3"/>
      <c r="J328" s="3"/>
      <c r="K328" s="3"/>
      <c r="L328" s="3"/>
      <c r="M328" s="1736"/>
      <c r="N328" s="3"/>
      <c r="O328" s="3"/>
      <c r="P328" s="3"/>
      <c r="Q328" s="115"/>
      <c r="AJ328" s="115"/>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row>
    <row r="329" spans="2:94">
      <c r="B329" s="3"/>
      <c r="C329" s="3"/>
      <c r="D329" s="3"/>
      <c r="E329" s="3"/>
      <c r="F329" s="3"/>
      <c r="G329" s="3"/>
      <c r="H329" s="3"/>
      <c r="I329" s="3"/>
      <c r="J329" s="3"/>
      <c r="K329" s="3"/>
      <c r="L329" s="3"/>
      <c r="M329" s="1736"/>
      <c r="N329" s="3"/>
      <c r="O329" s="3"/>
      <c r="P329" s="3"/>
      <c r="Q329" s="115"/>
      <c r="AJ329" s="115"/>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row>
    <row r="330" spans="2:94">
      <c r="B330" s="3"/>
      <c r="C330" s="3"/>
      <c r="D330" s="3"/>
      <c r="E330" s="3"/>
      <c r="F330" s="3"/>
      <c r="G330" s="3"/>
      <c r="H330" s="3"/>
      <c r="I330" s="3"/>
      <c r="J330" s="3"/>
      <c r="K330" s="3"/>
      <c r="L330" s="3"/>
      <c r="M330" s="1736"/>
      <c r="N330" s="3"/>
      <c r="O330" s="3"/>
      <c r="P330" s="3"/>
      <c r="Q330" s="115"/>
      <c r="AJ330" s="115"/>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row>
    <row r="331" spans="2:94">
      <c r="B331" s="3"/>
      <c r="C331" s="3"/>
      <c r="D331" s="3"/>
      <c r="E331" s="3"/>
      <c r="F331" s="3"/>
      <c r="G331" s="3"/>
      <c r="H331" s="3"/>
      <c r="I331" s="3"/>
      <c r="J331" s="3"/>
      <c r="K331" s="3"/>
      <c r="L331" s="3"/>
      <c r="M331" s="1736"/>
      <c r="N331" s="3"/>
      <c r="O331" s="3"/>
      <c r="P331" s="3"/>
      <c r="Q331" s="115"/>
      <c r="AJ331" s="115"/>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row>
    <row r="332" spans="2:94">
      <c r="B332" s="3"/>
      <c r="C332" s="3"/>
      <c r="D332" s="3"/>
      <c r="E332" s="3"/>
      <c r="F332" s="3"/>
      <c r="G332" s="3"/>
      <c r="H332" s="3"/>
      <c r="I332" s="3"/>
      <c r="J332" s="3"/>
      <c r="K332" s="3"/>
      <c r="L332" s="3"/>
      <c r="M332" s="1736"/>
      <c r="N332" s="3"/>
      <c r="O332" s="3"/>
      <c r="P332" s="3"/>
      <c r="Q332" s="115"/>
      <c r="AJ332" s="115"/>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row>
    <row r="333" spans="2:94">
      <c r="B333" s="3"/>
      <c r="C333" s="3"/>
      <c r="D333" s="3"/>
      <c r="E333" s="3"/>
      <c r="F333" s="3"/>
      <c r="G333" s="3"/>
      <c r="H333" s="3"/>
      <c r="I333" s="3"/>
      <c r="J333" s="3"/>
      <c r="K333" s="3"/>
      <c r="L333" s="3"/>
      <c r="M333" s="1736"/>
      <c r="N333" s="3"/>
      <c r="O333" s="3"/>
      <c r="P333" s="3"/>
      <c r="Q333" s="115"/>
      <c r="AJ333" s="115"/>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row>
    <row r="334" spans="2:94">
      <c r="B334" s="3"/>
      <c r="C334" s="3"/>
      <c r="D334" s="3"/>
      <c r="E334" s="3"/>
      <c r="F334" s="3"/>
      <c r="G334" s="3"/>
      <c r="H334" s="3"/>
      <c r="I334" s="3"/>
      <c r="J334" s="3"/>
      <c r="K334" s="3"/>
      <c r="L334" s="3"/>
      <c r="M334" s="1736"/>
      <c r="N334" s="3"/>
      <c r="O334" s="3"/>
      <c r="P334" s="3"/>
      <c r="Q334" s="115"/>
      <c r="AJ334" s="115"/>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row>
    <row r="335" spans="2:94">
      <c r="B335" s="3"/>
      <c r="C335" s="3"/>
      <c r="D335" s="3"/>
      <c r="E335" s="3"/>
      <c r="F335" s="3"/>
      <c r="G335" s="3"/>
      <c r="H335" s="3"/>
      <c r="I335" s="3"/>
      <c r="J335" s="3"/>
      <c r="K335" s="3"/>
      <c r="L335" s="3"/>
      <c r="M335" s="1736"/>
      <c r="N335" s="3"/>
      <c r="O335" s="3"/>
      <c r="P335" s="3"/>
      <c r="Q335" s="115"/>
      <c r="AJ335" s="115"/>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row>
    <row r="336" spans="2:94">
      <c r="B336" s="3"/>
      <c r="C336" s="3"/>
      <c r="D336" s="3"/>
      <c r="E336" s="3"/>
      <c r="F336" s="3"/>
      <c r="G336" s="3"/>
      <c r="H336" s="3"/>
      <c r="I336" s="3"/>
      <c r="J336" s="3"/>
      <c r="K336" s="3"/>
      <c r="L336" s="3"/>
      <c r="M336" s="1736"/>
      <c r="N336" s="3"/>
      <c r="O336" s="3"/>
      <c r="P336" s="3"/>
      <c r="Q336" s="115"/>
      <c r="AJ336" s="115"/>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row>
    <row r="337" spans="2:94">
      <c r="B337" s="3"/>
      <c r="C337" s="3"/>
      <c r="D337" s="3"/>
      <c r="E337" s="3"/>
      <c r="F337" s="3"/>
      <c r="G337" s="3"/>
      <c r="H337" s="3"/>
      <c r="I337" s="3"/>
      <c r="J337" s="3"/>
      <c r="K337" s="3"/>
      <c r="L337" s="3"/>
      <c r="M337" s="1736"/>
      <c r="N337" s="3"/>
      <c r="O337" s="3"/>
      <c r="P337" s="3"/>
      <c r="Q337" s="115"/>
      <c r="AJ337" s="115"/>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row>
    <row r="338" spans="2:94">
      <c r="B338" s="3"/>
      <c r="C338" s="3"/>
      <c r="D338" s="3"/>
      <c r="E338" s="3"/>
      <c r="F338" s="3"/>
      <c r="G338" s="3"/>
      <c r="H338" s="3"/>
      <c r="I338" s="3"/>
      <c r="J338" s="3"/>
      <c r="K338" s="3"/>
      <c r="L338" s="3"/>
      <c r="M338" s="1736"/>
      <c r="N338" s="3"/>
      <c r="O338" s="3"/>
      <c r="P338" s="3"/>
      <c r="Q338" s="115"/>
      <c r="AJ338" s="115"/>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row>
    <row r="339" spans="2:94">
      <c r="B339" s="3"/>
      <c r="C339" s="3"/>
      <c r="D339" s="3"/>
      <c r="E339" s="3"/>
      <c r="F339" s="3"/>
      <c r="G339" s="3"/>
      <c r="H339" s="3"/>
      <c r="I339" s="3"/>
      <c r="J339" s="3"/>
      <c r="K339" s="3"/>
      <c r="L339" s="3"/>
      <c r="M339" s="1736"/>
      <c r="N339" s="3"/>
      <c r="O339" s="3"/>
      <c r="P339" s="3"/>
      <c r="Q339" s="115"/>
      <c r="AJ339" s="115"/>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row>
    <row r="340" spans="2:94">
      <c r="B340" s="3"/>
      <c r="C340" s="3"/>
      <c r="D340" s="3"/>
      <c r="E340" s="3"/>
      <c r="F340" s="3"/>
      <c r="G340" s="3"/>
      <c r="H340" s="3"/>
      <c r="I340" s="3"/>
      <c r="J340" s="3"/>
      <c r="K340" s="3"/>
      <c r="L340" s="3"/>
      <c r="M340" s="1736"/>
      <c r="N340" s="3"/>
      <c r="O340" s="3"/>
      <c r="P340" s="3"/>
      <c r="Q340" s="115"/>
      <c r="AJ340" s="115"/>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row>
    <row r="341" spans="2:94">
      <c r="B341" s="3"/>
      <c r="C341" s="3"/>
      <c r="D341" s="3"/>
      <c r="E341" s="3"/>
      <c r="F341" s="3"/>
      <c r="G341" s="3"/>
      <c r="H341" s="3"/>
      <c r="I341" s="3"/>
      <c r="J341" s="3"/>
      <c r="K341" s="3"/>
      <c r="L341" s="3"/>
      <c r="M341" s="1736"/>
      <c r="N341" s="3"/>
      <c r="O341" s="3"/>
      <c r="P341" s="3"/>
      <c r="Q341" s="115"/>
      <c r="AJ341" s="115"/>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row>
    <row r="342" spans="2:94">
      <c r="B342" s="3"/>
      <c r="C342" s="3"/>
      <c r="D342" s="3"/>
      <c r="E342" s="3"/>
      <c r="F342" s="3"/>
      <c r="G342" s="3"/>
      <c r="H342" s="3"/>
      <c r="I342" s="3"/>
      <c r="J342" s="3"/>
      <c r="K342" s="3"/>
      <c r="L342" s="3"/>
      <c r="M342" s="1736"/>
      <c r="N342" s="3"/>
      <c r="O342" s="3"/>
      <c r="P342" s="3"/>
      <c r="Q342" s="115"/>
      <c r="AJ342" s="115"/>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row>
    <row r="343" spans="2:94">
      <c r="B343" s="3"/>
      <c r="C343" s="3"/>
      <c r="D343" s="3"/>
      <c r="E343" s="3"/>
      <c r="F343" s="3"/>
      <c r="G343" s="3"/>
      <c r="H343" s="3"/>
      <c r="I343" s="3"/>
      <c r="J343" s="3"/>
      <c r="K343" s="3"/>
      <c r="L343" s="3"/>
      <c r="M343" s="1736"/>
      <c r="N343" s="3"/>
      <c r="O343" s="3"/>
      <c r="P343" s="3"/>
      <c r="Q343" s="115"/>
      <c r="AJ343" s="115"/>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row>
    <row r="344" spans="2:94">
      <c r="B344" s="3"/>
      <c r="C344" s="3"/>
      <c r="D344" s="3"/>
      <c r="E344" s="3"/>
      <c r="F344" s="3"/>
      <c r="G344" s="3"/>
      <c r="H344" s="3"/>
      <c r="I344" s="3"/>
      <c r="J344" s="3"/>
      <c r="K344" s="3"/>
      <c r="L344" s="3"/>
      <c r="M344" s="1736"/>
      <c r="N344" s="3"/>
      <c r="O344" s="3"/>
      <c r="P344" s="3"/>
      <c r="Q344" s="115"/>
      <c r="AJ344" s="115"/>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row>
    <row r="345" spans="2:94">
      <c r="B345" s="3"/>
      <c r="C345" s="3"/>
      <c r="D345" s="3"/>
      <c r="E345" s="3"/>
      <c r="F345" s="3"/>
      <c r="G345" s="3"/>
      <c r="H345" s="3"/>
      <c r="I345" s="3"/>
      <c r="J345" s="3"/>
      <c r="K345" s="3"/>
      <c r="L345" s="3"/>
      <c r="M345" s="1736"/>
      <c r="N345" s="3"/>
      <c r="O345" s="3"/>
      <c r="P345" s="3"/>
      <c r="Q345" s="115"/>
      <c r="AJ345" s="115"/>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row>
    <row r="346" spans="2:94">
      <c r="B346" s="3"/>
      <c r="C346" s="3"/>
      <c r="D346" s="3"/>
      <c r="E346" s="3"/>
      <c r="F346" s="3"/>
      <c r="G346" s="3"/>
      <c r="H346" s="3"/>
      <c r="I346" s="3"/>
      <c r="J346" s="3"/>
      <c r="K346" s="3"/>
      <c r="L346" s="3"/>
      <c r="M346" s="1736"/>
      <c r="N346" s="3"/>
      <c r="O346" s="3"/>
      <c r="P346" s="3"/>
      <c r="Q346" s="115"/>
      <c r="AJ346" s="115"/>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row>
    <row r="347" spans="2:94">
      <c r="B347" s="3"/>
      <c r="C347" s="3"/>
      <c r="D347" s="3"/>
      <c r="E347" s="3"/>
      <c r="F347" s="3"/>
      <c r="G347" s="3"/>
      <c r="H347" s="3"/>
      <c r="I347" s="3"/>
      <c r="J347" s="3"/>
      <c r="K347" s="3"/>
      <c r="L347" s="3"/>
      <c r="M347" s="1736"/>
      <c r="N347" s="3"/>
      <c r="O347" s="3"/>
      <c r="P347" s="3"/>
      <c r="Q347" s="115"/>
      <c r="AJ347" s="115"/>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row>
    <row r="348" spans="2:94">
      <c r="B348" s="3"/>
      <c r="C348" s="3"/>
      <c r="D348" s="3"/>
      <c r="E348" s="3"/>
      <c r="F348" s="3"/>
      <c r="G348" s="3"/>
      <c r="H348" s="3"/>
      <c r="I348" s="3"/>
      <c r="J348" s="3"/>
      <c r="K348" s="3"/>
      <c r="L348" s="3"/>
      <c r="M348" s="1736"/>
      <c r="N348" s="3"/>
      <c r="O348" s="3"/>
      <c r="P348" s="3"/>
      <c r="Q348" s="115"/>
      <c r="AJ348" s="115"/>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row>
    <row r="349" spans="2:94">
      <c r="B349" s="3"/>
      <c r="C349" s="3"/>
      <c r="D349" s="3"/>
      <c r="E349" s="3"/>
      <c r="F349" s="3"/>
      <c r="G349" s="3"/>
      <c r="H349" s="3"/>
      <c r="I349" s="3"/>
      <c r="J349" s="3"/>
      <c r="K349" s="3"/>
      <c r="L349" s="3"/>
      <c r="M349" s="1736"/>
      <c r="N349" s="3"/>
      <c r="O349" s="3"/>
      <c r="P349" s="3"/>
      <c r="Q349" s="115"/>
      <c r="AJ349" s="115"/>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row>
    <row r="350" spans="2:94">
      <c r="B350" s="3"/>
      <c r="C350" s="3"/>
      <c r="D350" s="3"/>
      <c r="E350" s="3"/>
      <c r="F350" s="3"/>
      <c r="G350" s="3"/>
      <c r="H350" s="3"/>
      <c r="I350" s="3"/>
      <c r="J350" s="3"/>
      <c r="K350" s="3"/>
      <c r="L350" s="3"/>
      <c r="M350" s="1736"/>
      <c r="N350" s="3"/>
      <c r="O350" s="3"/>
      <c r="P350" s="3"/>
      <c r="Q350" s="115"/>
      <c r="AJ350" s="115"/>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row>
    <row r="351" spans="2:94">
      <c r="B351" s="3"/>
      <c r="C351" s="3"/>
      <c r="D351" s="3"/>
      <c r="E351" s="3"/>
      <c r="F351" s="3"/>
      <c r="G351" s="3"/>
      <c r="H351" s="3"/>
      <c r="I351" s="3"/>
      <c r="J351" s="3"/>
      <c r="K351" s="3"/>
      <c r="L351" s="3"/>
      <c r="M351" s="1736"/>
      <c r="N351" s="3"/>
      <c r="O351" s="3"/>
      <c r="P351" s="3"/>
      <c r="Q351" s="115"/>
      <c r="AJ351" s="115"/>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row>
    <row r="352" spans="2:94">
      <c r="B352" s="3"/>
      <c r="C352" s="3"/>
      <c r="D352" s="3"/>
      <c r="E352" s="3"/>
      <c r="F352" s="3"/>
      <c r="G352" s="3"/>
      <c r="H352" s="3"/>
      <c r="I352" s="3"/>
      <c r="J352" s="3"/>
      <c r="K352" s="3"/>
      <c r="L352" s="3"/>
      <c r="M352" s="1736"/>
      <c r="N352" s="3"/>
      <c r="O352" s="3"/>
      <c r="P352" s="3"/>
      <c r="Q352" s="115"/>
      <c r="AJ352" s="115"/>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row>
    <row r="353" spans="2:94">
      <c r="B353" s="3"/>
      <c r="C353" s="3"/>
      <c r="D353" s="3"/>
      <c r="E353" s="3"/>
      <c r="F353" s="3"/>
      <c r="G353" s="3"/>
      <c r="H353" s="3"/>
      <c r="I353" s="3"/>
      <c r="J353" s="3"/>
      <c r="K353" s="3"/>
      <c r="L353" s="3"/>
      <c r="M353" s="1736"/>
      <c r="N353" s="3"/>
      <c r="O353" s="3"/>
      <c r="P353" s="3"/>
      <c r="Q353" s="115"/>
      <c r="AJ353" s="115"/>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row>
    <row r="354" spans="2:94">
      <c r="B354" s="3"/>
      <c r="C354" s="3"/>
      <c r="D354" s="3"/>
      <c r="E354" s="3"/>
      <c r="F354" s="3"/>
      <c r="G354" s="3"/>
      <c r="H354" s="3"/>
      <c r="I354" s="3"/>
      <c r="J354" s="3"/>
      <c r="K354" s="3"/>
      <c r="L354" s="3"/>
      <c r="M354" s="1736"/>
      <c r="N354" s="3"/>
      <c r="O354" s="3"/>
      <c r="P354" s="3"/>
      <c r="Q354" s="115"/>
      <c r="AJ354" s="115"/>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row>
    <row r="355" spans="2:94">
      <c r="B355" s="3"/>
      <c r="C355" s="3"/>
      <c r="D355" s="3"/>
      <c r="E355" s="3"/>
      <c r="F355" s="3"/>
      <c r="G355" s="3"/>
      <c r="H355" s="3"/>
      <c r="I355" s="3"/>
      <c r="J355" s="3"/>
      <c r="K355" s="3"/>
      <c r="L355" s="3"/>
      <c r="M355" s="1736"/>
      <c r="N355" s="3"/>
      <c r="O355" s="3"/>
      <c r="P355" s="3"/>
      <c r="Q355" s="115"/>
      <c r="AJ355" s="115"/>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row>
    <row r="356" spans="2:94">
      <c r="B356" s="3"/>
      <c r="C356" s="3"/>
      <c r="D356" s="3"/>
      <c r="E356" s="3"/>
      <c r="F356" s="3"/>
      <c r="G356" s="3"/>
      <c r="H356" s="3"/>
      <c r="I356" s="3"/>
      <c r="J356" s="3"/>
      <c r="K356" s="3"/>
      <c r="L356" s="3"/>
      <c r="M356" s="1736"/>
      <c r="N356" s="3"/>
      <c r="O356" s="3"/>
      <c r="P356" s="3"/>
      <c r="Q356" s="115"/>
      <c r="AJ356" s="115"/>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row>
    <row r="357" spans="2:94">
      <c r="B357" s="3"/>
      <c r="C357" s="3"/>
      <c r="D357" s="3"/>
      <c r="E357" s="3"/>
      <c r="F357" s="3"/>
      <c r="G357" s="3"/>
      <c r="H357" s="3"/>
      <c r="I357" s="3"/>
      <c r="J357" s="3"/>
      <c r="K357" s="3"/>
      <c r="L357" s="3"/>
      <c r="M357" s="1736"/>
      <c r="N357" s="3"/>
      <c r="O357" s="3"/>
      <c r="P357" s="3"/>
      <c r="Q357" s="115"/>
      <c r="AJ357" s="115"/>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row>
    <row r="358" spans="2:94">
      <c r="B358" s="3"/>
      <c r="C358" s="3"/>
      <c r="D358" s="3"/>
      <c r="E358" s="3"/>
      <c r="F358" s="3"/>
      <c r="G358" s="3"/>
      <c r="H358" s="3"/>
      <c r="I358" s="3"/>
      <c r="J358" s="3"/>
      <c r="K358" s="3"/>
      <c r="L358" s="3"/>
      <c r="M358" s="1736"/>
      <c r="N358" s="3"/>
      <c r="O358" s="3"/>
      <c r="P358" s="3"/>
      <c r="Q358" s="115"/>
      <c r="AJ358" s="115"/>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row>
    <row r="359" spans="2:94">
      <c r="B359" s="3"/>
      <c r="C359" s="3"/>
      <c r="D359" s="3"/>
      <c r="E359" s="3"/>
      <c r="F359" s="3"/>
      <c r="G359" s="3"/>
      <c r="H359" s="3"/>
      <c r="I359" s="3"/>
      <c r="J359" s="3"/>
      <c r="K359" s="3"/>
      <c r="L359" s="3"/>
      <c r="M359" s="1736"/>
      <c r="N359" s="3"/>
      <c r="O359" s="3"/>
      <c r="P359" s="3"/>
      <c r="Q359" s="115"/>
      <c r="AJ359" s="115"/>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row>
    <row r="360" spans="2:94">
      <c r="B360" s="3"/>
      <c r="C360" s="3"/>
      <c r="D360" s="3"/>
      <c r="E360" s="3"/>
      <c r="F360" s="3"/>
      <c r="G360" s="3"/>
      <c r="H360" s="3"/>
      <c r="I360" s="3"/>
      <c r="J360" s="3"/>
      <c r="K360" s="3"/>
      <c r="L360" s="3"/>
      <c r="M360" s="1736"/>
      <c r="N360" s="3"/>
      <c r="O360" s="3"/>
      <c r="P360" s="3"/>
      <c r="Q360" s="115"/>
      <c r="AJ360" s="115"/>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row>
    <row r="361" spans="2:94">
      <c r="B361" s="3"/>
      <c r="C361" s="3"/>
      <c r="D361" s="3"/>
      <c r="E361" s="3"/>
      <c r="F361" s="3"/>
      <c r="G361" s="3"/>
      <c r="H361" s="3"/>
      <c r="I361" s="3"/>
      <c r="J361" s="3"/>
      <c r="K361" s="3"/>
      <c r="L361" s="3"/>
      <c r="M361" s="1736"/>
      <c r="N361" s="3"/>
      <c r="O361" s="3"/>
      <c r="P361" s="3"/>
      <c r="Q361" s="115"/>
      <c r="AJ361" s="115"/>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row>
    <row r="362" spans="2:94">
      <c r="B362" s="3"/>
      <c r="C362" s="3"/>
      <c r="D362" s="3"/>
      <c r="E362" s="3"/>
      <c r="F362" s="3"/>
      <c r="G362" s="3"/>
      <c r="H362" s="3"/>
      <c r="I362" s="3"/>
      <c r="J362" s="3"/>
      <c r="K362" s="3"/>
      <c r="L362" s="3"/>
      <c r="M362" s="1736"/>
      <c r="N362" s="3"/>
      <c r="O362" s="3"/>
      <c r="P362" s="3"/>
      <c r="Q362" s="115"/>
      <c r="AJ362" s="115"/>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row>
    <row r="363" spans="2:94">
      <c r="B363" s="3"/>
      <c r="C363" s="3"/>
      <c r="D363" s="3"/>
      <c r="E363" s="3"/>
      <c r="F363" s="3"/>
      <c r="G363" s="3"/>
      <c r="H363" s="3"/>
      <c r="I363" s="3"/>
      <c r="J363" s="3"/>
      <c r="K363" s="3"/>
      <c r="L363" s="3"/>
      <c r="M363" s="1736"/>
      <c r="N363" s="3"/>
      <c r="O363" s="3"/>
      <c r="P363" s="3"/>
      <c r="Q363" s="115"/>
      <c r="AJ363" s="115"/>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row>
    <row r="364" spans="2:94">
      <c r="B364" s="3"/>
      <c r="C364" s="3"/>
      <c r="D364" s="3"/>
      <c r="E364" s="3"/>
      <c r="F364" s="3"/>
      <c r="G364" s="3"/>
      <c r="H364" s="3"/>
      <c r="I364" s="3"/>
      <c r="J364" s="3"/>
      <c r="K364" s="3"/>
      <c r="L364" s="3"/>
      <c r="M364" s="1736"/>
      <c r="N364" s="3"/>
      <c r="O364" s="3"/>
      <c r="P364" s="3"/>
      <c r="Q364" s="115"/>
      <c r="AJ364" s="115"/>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row>
    <row r="365" spans="2:94">
      <c r="B365" s="3"/>
      <c r="C365" s="3"/>
      <c r="D365" s="3"/>
      <c r="E365" s="3"/>
      <c r="F365" s="3"/>
      <c r="G365" s="3"/>
      <c r="H365" s="3"/>
      <c r="I365" s="3"/>
      <c r="J365" s="3"/>
      <c r="K365" s="3"/>
      <c r="L365" s="3"/>
      <c r="M365" s="1736"/>
      <c r="N365" s="3"/>
      <c r="O365" s="3"/>
      <c r="P365" s="3"/>
      <c r="Q365" s="115"/>
      <c r="AJ365" s="115"/>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row>
    <row r="366" spans="2:94">
      <c r="B366" s="3"/>
      <c r="C366" s="3"/>
      <c r="D366" s="3"/>
      <c r="E366" s="3"/>
      <c r="F366" s="3"/>
      <c r="G366" s="3"/>
      <c r="H366" s="3"/>
      <c r="I366" s="3"/>
      <c r="J366" s="3"/>
      <c r="K366" s="3"/>
      <c r="L366" s="3"/>
      <c r="M366" s="1736"/>
      <c r="N366" s="3"/>
      <c r="O366" s="3"/>
      <c r="P366" s="3"/>
      <c r="Q366" s="115"/>
      <c r="AJ366" s="115"/>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row>
    <row r="367" spans="2:94">
      <c r="B367" s="3"/>
      <c r="C367" s="3"/>
      <c r="D367" s="3"/>
      <c r="E367" s="3"/>
      <c r="F367" s="3"/>
      <c r="G367" s="3"/>
      <c r="H367" s="3"/>
      <c r="I367" s="3"/>
      <c r="J367" s="3"/>
      <c r="K367" s="3"/>
      <c r="L367" s="3"/>
      <c r="M367" s="1736"/>
      <c r="N367" s="3"/>
      <c r="O367" s="3"/>
      <c r="P367" s="3"/>
      <c r="Q367" s="115"/>
      <c r="AJ367" s="115"/>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row>
    <row r="368" spans="2:94">
      <c r="B368" s="3"/>
      <c r="C368" s="3"/>
      <c r="D368" s="3"/>
      <c r="E368" s="3"/>
      <c r="F368" s="3"/>
      <c r="G368" s="3"/>
      <c r="H368" s="3"/>
      <c r="I368" s="3"/>
      <c r="J368" s="3"/>
      <c r="K368" s="3"/>
      <c r="L368" s="3"/>
      <c r="M368" s="1736"/>
      <c r="N368" s="3"/>
      <c r="O368" s="3"/>
      <c r="P368" s="3"/>
      <c r="Q368" s="115"/>
      <c r="AJ368" s="115"/>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row>
    <row r="369" spans="2:94">
      <c r="B369" s="3"/>
      <c r="C369" s="3"/>
      <c r="D369" s="3"/>
      <c r="E369" s="3"/>
      <c r="F369" s="3"/>
      <c r="G369" s="3"/>
      <c r="H369" s="3"/>
      <c r="I369" s="3"/>
      <c r="J369" s="3"/>
      <c r="K369" s="3"/>
      <c r="L369" s="3"/>
      <c r="M369" s="1736"/>
      <c r="N369" s="3"/>
      <c r="O369" s="3"/>
      <c r="P369" s="3"/>
      <c r="Q369" s="115"/>
      <c r="AJ369" s="115"/>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row>
    <row r="370" spans="2:94">
      <c r="B370" s="3"/>
      <c r="C370" s="3"/>
      <c r="D370" s="3"/>
      <c r="E370" s="3"/>
      <c r="F370" s="3"/>
      <c r="G370" s="3"/>
      <c r="H370" s="3"/>
      <c r="I370" s="3"/>
      <c r="J370" s="3"/>
      <c r="K370" s="3"/>
      <c r="L370" s="3"/>
      <c r="M370" s="1736"/>
      <c r="N370" s="3"/>
      <c r="O370" s="3"/>
      <c r="P370" s="3"/>
      <c r="Q370" s="115"/>
      <c r="AJ370" s="115"/>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row>
    <row r="371" spans="2:94">
      <c r="B371" s="3"/>
      <c r="C371" s="3"/>
      <c r="D371" s="3"/>
      <c r="E371" s="3"/>
      <c r="F371" s="3"/>
      <c r="G371" s="3"/>
      <c r="H371" s="3"/>
      <c r="I371" s="3"/>
      <c r="J371" s="3"/>
      <c r="K371" s="3"/>
      <c r="L371" s="3"/>
      <c r="M371" s="1736"/>
      <c r="N371" s="3"/>
      <c r="O371" s="3"/>
      <c r="P371" s="3"/>
      <c r="Q371" s="115"/>
      <c r="AJ371" s="115"/>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row>
    <row r="372" spans="2:94">
      <c r="B372" s="3"/>
      <c r="C372" s="3"/>
      <c r="D372" s="3"/>
      <c r="E372" s="3"/>
      <c r="F372" s="3"/>
      <c r="G372" s="3"/>
      <c r="H372" s="3"/>
      <c r="I372" s="3"/>
      <c r="J372" s="3"/>
      <c r="K372" s="3"/>
      <c r="L372" s="3"/>
      <c r="M372" s="1736"/>
      <c r="N372" s="3"/>
      <c r="O372" s="3"/>
      <c r="P372" s="3"/>
      <c r="Q372" s="115"/>
      <c r="AJ372" s="115"/>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row>
    <row r="373" spans="2:94">
      <c r="B373" s="3"/>
      <c r="C373" s="3"/>
      <c r="D373" s="3"/>
      <c r="E373" s="3"/>
      <c r="F373" s="3"/>
      <c r="G373" s="3"/>
      <c r="H373" s="3"/>
      <c r="I373" s="3"/>
      <c r="J373" s="3"/>
      <c r="K373" s="3"/>
      <c r="L373" s="3"/>
      <c r="M373" s="1736"/>
      <c r="N373" s="3"/>
      <c r="O373" s="3"/>
      <c r="P373" s="3"/>
      <c r="Q373" s="115"/>
      <c r="AJ373" s="115"/>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row>
    <row r="374" spans="2:94">
      <c r="B374" s="3"/>
      <c r="C374" s="3"/>
      <c r="D374" s="3"/>
      <c r="E374" s="3"/>
      <c r="F374" s="3"/>
      <c r="G374" s="3"/>
      <c r="H374" s="3"/>
      <c r="I374" s="3"/>
      <c r="J374" s="3"/>
      <c r="K374" s="3"/>
      <c r="L374" s="3"/>
      <c r="M374" s="1736"/>
      <c r="N374" s="3"/>
      <c r="O374" s="3"/>
      <c r="P374" s="3"/>
      <c r="Q374" s="115"/>
      <c r="AJ374" s="115"/>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row>
    <row r="375" spans="2:94">
      <c r="B375" s="3"/>
      <c r="C375" s="3"/>
      <c r="D375" s="3"/>
      <c r="E375" s="3"/>
      <c r="F375" s="3"/>
      <c r="G375" s="3"/>
      <c r="H375" s="3"/>
      <c r="I375" s="3"/>
      <c r="J375" s="3"/>
      <c r="K375" s="3"/>
      <c r="L375" s="3"/>
      <c r="M375" s="1736"/>
      <c r="N375" s="3"/>
      <c r="O375" s="3"/>
      <c r="P375" s="3"/>
      <c r="Q375" s="115"/>
      <c r="AJ375" s="115"/>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row>
    <row r="376" spans="2:94">
      <c r="B376" s="3"/>
      <c r="C376" s="3"/>
      <c r="D376" s="3"/>
      <c r="E376" s="3"/>
      <c r="F376" s="3"/>
      <c r="G376" s="3"/>
      <c r="H376" s="3"/>
      <c r="I376" s="3"/>
      <c r="J376" s="3"/>
      <c r="K376" s="3"/>
      <c r="L376" s="3"/>
      <c r="M376" s="1736"/>
      <c r="N376" s="3"/>
      <c r="O376" s="3"/>
      <c r="P376" s="3"/>
      <c r="Q376" s="115"/>
      <c r="AJ376" s="115"/>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row>
    <row r="377" spans="2:94">
      <c r="B377" s="3"/>
      <c r="C377" s="3"/>
      <c r="D377" s="3"/>
      <c r="E377" s="3"/>
      <c r="F377" s="3"/>
      <c r="G377" s="3"/>
      <c r="H377" s="3"/>
      <c r="I377" s="3"/>
      <c r="J377" s="3"/>
      <c r="K377" s="3"/>
      <c r="L377" s="3"/>
      <c r="M377" s="1736"/>
      <c r="N377" s="3"/>
      <c r="O377" s="3"/>
      <c r="P377" s="3"/>
      <c r="Q377" s="115"/>
      <c r="AJ377" s="115"/>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row>
    <row r="378" spans="2:94">
      <c r="B378" s="3"/>
      <c r="C378" s="3"/>
      <c r="D378" s="3"/>
      <c r="E378" s="3"/>
      <c r="F378" s="3"/>
      <c r="G378" s="3"/>
      <c r="H378" s="3"/>
      <c r="I378" s="3"/>
      <c r="J378" s="3"/>
      <c r="K378" s="3"/>
      <c r="L378" s="3"/>
      <c r="M378" s="1736"/>
      <c r="N378" s="3"/>
      <c r="O378" s="3"/>
      <c r="P378" s="3"/>
      <c r="Q378" s="115"/>
      <c r="AJ378" s="115"/>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row>
    <row r="379" spans="2:94">
      <c r="B379" s="3"/>
      <c r="C379" s="3"/>
      <c r="D379" s="3"/>
      <c r="E379" s="3"/>
      <c r="F379" s="3"/>
      <c r="G379" s="3"/>
      <c r="H379" s="3"/>
      <c r="I379" s="3"/>
      <c r="J379" s="3"/>
      <c r="K379" s="3"/>
      <c r="L379" s="3"/>
      <c r="M379" s="1736"/>
      <c r="N379" s="3"/>
      <c r="O379" s="3"/>
      <c r="P379" s="3"/>
      <c r="Q379" s="115"/>
      <c r="AJ379" s="115"/>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row>
    <row r="380" spans="2:94">
      <c r="B380" s="3"/>
      <c r="C380" s="3"/>
      <c r="D380" s="3"/>
      <c r="E380" s="3"/>
      <c r="F380" s="3"/>
      <c r="G380" s="3"/>
      <c r="H380" s="3"/>
      <c r="I380" s="3"/>
      <c r="J380" s="3"/>
      <c r="K380" s="3"/>
      <c r="L380" s="3"/>
      <c r="M380" s="1736"/>
      <c r="N380" s="3"/>
      <c r="O380" s="3"/>
      <c r="P380" s="3"/>
      <c r="Q380" s="115"/>
      <c r="AJ380" s="115"/>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row>
    <row r="381" spans="2:94">
      <c r="B381" s="3"/>
      <c r="C381" s="3"/>
      <c r="D381" s="3"/>
      <c r="E381" s="3"/>
      <c r="F381" s="3"/>
      <c r="G381" s="3"/>
      <c r="H381" s="3"/>
      <c r="I381" s="3"/>
      <c r="J381" s="3"/>
      <c r="K381" s="3"/>
      <c r="L381" s="3"/>
      <c r="M381" s="1736"/>
      <c r="N381" s="3"/>
      <c r="O381" s="3"/>
      <c r="P381" s="3"/>
      <c r="Q381" s="115"/>
      <c r="AJ381" s="115"/>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row>
    <row r="382" spans="2:94">
      <c r="B382" s="3"/>
      <c r="C382" s="3"/>
      <c r="D382" s="3"/>
      <c r="E382" s="3"/>
      <c r="F382" s="3"/>
      <c r="G382" s="3"/>
      <c r="H382" s="3"/>
      <c r="I382" s="3"/>
      <c r="J382" s="3"/>
      <c r="K382" s="3"/>
      <c r="L382" s="3"/>
      <c r="M382" s="1736"/>
      <c r="N382" s="3"/>
      <c r="O382" s="3"/>
      <c r="P382" s="3"/>
      <c r="Q382" s="115"/>
      <c r="AJ382" s="115"/>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row>
    <row r="383" spans="2:94">
      <c r="B383" s="3"/>
      <c r="C383" s="3"/>
      <c r="D383" s="3"/>
      <c r="E383" s="3"/>
      <c r="F383" s="3"/>
      <c r="G383" s="3"/>
      <c r="H383" s="3"/>
      <c r="I383" s="3"/>
      <c r="J383" s="3"/>
      <c r="K383" s="3"/>
      <c r="L383" s="3"/>
      <c r="M383" s="1736"/>
      <c r="N383" s="3"/>
      <c r="O383" s="3"/>
      <c r="P383" s="3"/>
      <c r="Q383" s="115"/>
      <c r="AJ383" s="115"/>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row>
    <row r="384" spans="2:94">
      <c r="B384" s="3"/>
      <c r="C384" s="3"/>
      <c r="D384" s="3"/>
      <c r="E384" s="3"/>
      <c r="F384" s="3"/>
      <c r="G384" s="3"/>
      <c r="H384" s="3"/>
      <c r="I384" s="3"/>
      <c r="J384" s="3"/>
      <c r="K384" s="3"/>
      <c r="L384" s="3"/>
      <c r="M384" s="1736"/>
      <c r="N384" s="3"/>
      <c r="O384" s="3"/>
      <c r="P384" s="3"/>
      <c r="Q384" s="115"/>
      <c r="AJ384" s="115"/>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row>
    <row r="385" spans="2:94">
      <c r="B385" s="3"/>
      <c r="C385" s="3"/>
      <c r="D385" s="3"/>
      <c r="E385" s="3"/>
      <c r="F385" s="3"/>
      <c r="G385" s="3"/>
      <c r="H385" s="3"/>
      <c r="I385" s="3"/>
      <c r="J385" s="3"/>
      <c r="K385" s="3"/>
      <c r="L385" s="3"/>
      <c r="M385" s="1736"/>
      <c r="N385" s="3"/>
      <c r="O385" s="3"/>
      <c r="P385" s="3"/>
      <c r="Q385" s="115"/>
      <c r="AJ385" s="115"/>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row>
    <row r="386" spans="2:94">
      <c r="B386" s="3"/>
      <c r="C386" s="3"/>
      <c r="D386" s="3"/>
      <c r="E386" s="3"/>
      <c r="F386" s="3"/>
      <c r="G386" s="3"/>
      <c r="H386" s="3"/>
      <c r="I386" s="3"/>
      <c r="J386" s="3"/>
      <c r="K386" s="3"/>
      <c r="L386" s="3"/>
      <c r="M386" s="1736"/>
      <c r="N386" s="3"/>
      <c r="O386" s="3"/>
      <c r="P386" s="3"/>
      <c r="Q386" s="115"/>
      <c r="AJ386" s="115"/>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row>
    <row r="387" spans="2:94">
      <c r="B387" s="3"/>
      <c r="C387" s="3"/>
      <c r="D387" s="3"/>
      <c r="E387" s="3"/>
      <c r="F387" s="3"/>
      <c r="G387" s="3"/>
      <c r="H387" s="3"/>
      <c r="I387" s="3"/>
      <c r="J387" s="3"/>
      <c r="K387" s="3"/>
      <c r="L387" s="3"/>
      <c r="M387" s="1736"/>
      <c r="N387" s="3"/>
      <c r="O387" s="3"/>
      <c r="P387" s="3"/>
      <c r="Q387" s="115"/>
      <c r="AJ387" s="115"/>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row>
    <row r="388" spans="2:94">
      <c r="B388" s="3"/>
      <c r="C388" s="3"/>
      <c r="D388" s="3"/>
      <c r="E388" s="3"/>
      <c r="F388" s="3"/>
      <c r="G388" s="3"/>
      <c r="H388" s="3"/>
      <c r="I388" s="3"/>
      <c r="J388" s="3"/>
      <c r="K388" s="3"/>
      <c r="L388" s="3"/>
      <c r="M388" s="1736"/>
      <c r="N388" s="3"/>
      <c r="O388" s="3"/>
      <c r="P388" s="3"/>
      <c r="Q388" s="115"/>
      <c r="AJ388" s="115"/>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row>
    <row r="389" spans="2:94">
      <c r="B389" s="3"/>
      <c r="C389" s="3"/>
      <c r="D389" s="3"/>
      <c r="E389" s="3"/>
      <c r="F389" s="3"/>
      <c r="G389" s="3"/>
      <c r="H389" s="3"/>
      <c r="I389" s="3"/>
      <c r="J389" s="3"/>
      <c r="K389" s="3"/>
      <c r="L389" s="3"/>
      <c r="M389" s="1736"/>
      <c r="N389" s="3"/>
      <c r="O389" s="3"/>
      <c r="P389" s="3"/>
      <c r="Q389" s="115"/>
      <c r="AJ389" s="115"/>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row>
    <row r="390" spans="2:94">
      <c r="B390" s="3"/>
      <c r="C390" s="3"/>
      <c r="D390" s="3"/>
      <c r="E390" s="3"/>
      <c r="F390" s="3"/>
      <c r="G390" s="3"/>
      <c r="H390" s="3"/>
      <c r="I390" s="3"/>
      <c r="J390" s="3"/>
      <c r="K390" s="3"/>
      <c r="L390" s="3"/>
      <c r="M390" s="1736"/>
      <c r="N390" s="3"/>
      <c r="O390" s="3"/>
      <c r="P390" s="3"/>
      <c r="Q390" s="115"/>
      <c r="AJ390" s="115"/>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row>
    <row r="391" spans="2:94">
      <c r="B391" s="3"/>
      <c r="C391" s="3"/>
      <c r="D391" s="3"/>
      <c r="E391" s="3"/>
      <c r="F391" s="3"/>
      <c r="G391" s="3"/>
      <c r="H391" s="3"/>
      <c r="I391" s="3"/>
      <c r="J391" s="3"/>
      <c r="K391" s="3"/>
      <c r="L391" s="3"/>
      <c r="M391" s="1736"/>
      <c r="N391" s="3"/>
      <c r="O391" s="3"/>
      <c r="P391" s="3"/>
      <c r="Q391" s="115"/>
      <c r="AJ391" s="115"/>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row>
    <row r="392" spans="2:94">
      <c r="B392" s="3"/>
      <c r="C392" s="3"/>
      <c r="D392" s="3"/>
      <c r="E392" s="3"/>
      <c r="F392" s="3"/>
      <c r="G392" s="3"/>
      <c r="H392" s="3"/>
      <c r="I392" s="3"/>
      <c r="J392" s="3"/>
      <c r="K392" s="3"/>
      <c r="L392" s="3"/>
      <c r="M392" s="1736"/>
      <c r="N392" s="3"/>
      <c r="O392" s="3"/>
      <c r="P392" s="3"/>
      <c r="Q392" s="115"/>
      <c r="AJ392" s="115"/>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row>
    <row r="393" spans="2:94">
      <c r="B393" s="3"/>
      <c r="C393" s="3"/>
      <c r="D393" s="3"/>
      <c r="E393" s="3"/>
      <c r="F393" s="3"/>
      <c r="G393" s="3"/>
      <c r="H393" s="3"/>
      <c r="I393" s="3"/>
      <c r="J393" s="3"/>
      <c r="K393" s="3"/>
      <c r="L393" s="3"/>
      <c r="M393" s="1736"/>
      <c r="N393" s="3"/>
      <c r="O393" s="3"/>
      <c r="P393" s="3"/>
      <c r="Q393" s="115"/>
      <c r="AJ393" s="115"/>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row>
    <row r="394" spans="2:94">
      <c r="B394" s="3"/>
      <c r="C394" s="3"/>
      <c r="D394" s="3"/>
      <c r="E394" s="3"/>
      <c r="F394" s="3"/>
      <c r="G394" s="3"/>
      <c r="H394" s="3"/>
      <c r="I394" s="3"/>
      <c r="J394" s="3"/>
      <c r="K394" s="3"/>
      <c r="L394" s="3"/>
      <c r="M394" s="1736"/>
      <c r="N394" s="3"/>
      <c r="O394" s="3"/>
      <c r="P394" s="3"/>
      <c r="Q394" s="115"/>
      <c r="AJ394" s="115"/>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row>
    <row r="395" spans="2:94">
      <c r="B395" s="3"/>
      <c r="C395" s="3"/>
      <c r="D395" s="3"/>
      <c r="E395" s="3"/>
      <c r="F395" s="3"/>
      <c r="G395" s="3"/>
      <c r="H395" s="3"/>
      <c r="I395" s="3"/>
      <c r="J395" s="3"/>
      <c r="K395" s="3"/>
      <c r="L395" s="3"/>
      <c r="M395" s="1736"/>
      <c r="N395" s="3"/>
      <c r="O395" s="3"/>
      <c r="P395" s="3"/>
      <c r="Q395" s="115"/>
      <c r="AJ395" s="115"/>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row>
    <row r="396" spans="2:94">
      <c r="B396" s="3"/>
      <c r="C396" s="3"/>
      <c r="D396" s="3"/>
      <c r="E396" s="3"/>
      <c r="F396" s="3"/>
      <c r="G396" s="3"/>
      <c r="H396" s="3"/>
      <c r="I396" s="3"/>
      <c r="J396" s="3"/>
      <c r="K396" s="3"/>
      <c r="L396" s="3"/>
      <c r="M396" s="1736"/>
      <c r="N396" s="3"/>
      <c r="O396" s="3"/>
      <c r="P396" s="3"/>
      <c r="Q396" s="115"/>
      <c r="AJ396" s="115"/>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row>
    <row r="397" spans="2:94">
      <c r="B397" s="3"/>
      <c r="C397" s="3"/>
      <c r="D397" s="3"/>
      <c r="E397" s="3"/>
      <c r="F397" s="3"/>
      <c r="G397" s="3"/>
      <c r="H397" s="3"/>
      <c r="I397" s="3"/>
      <c r="J397" s="3"/>
      <c r="K397" s="3"/>
      <c r="L397" s="3"/>
      <c r="M397" s="1736"/>
      <c r="N397" s="3"/>
      <c r="O397" s="3"/>
      <c r="P397" s="3"/>
      <c r="Q397" s="115"/>
      <c r="AJ397" s="115"/>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row>
    <row r="398" spans="2:94">
      <c r="B398" s="3"/>
      <c r="C398" s="3"/>
      <c r="D398" s="3"/>
      <c r="E398" s="3"/>
      <c r="F398" s="3"/>
      <c r="G398" s="3"/>
      <c r="H398" s="3"/>
      <c r="I398" s="3"/>
      <c r="J398" s="3"/>
      <c r="K398" s="3"/>
      <c r="L398" s="3"/>
      <c r="M398" s="1736"/>
      <c r="N398" s="3"/>
      <c r="O398" s="3"/>
      <c r="P398" s="3"/>
      <c r="Q398" s="115"/>
      <c r="AJ398" s="115"/>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row>
    <row r="399" spans="2:94">
      <c r="B399" s="3"/>
      <c r="C399" s="3"/>
      <c r="D399" s="3"/>
      <c r="E399" s="3"/>
      <c r="F399" s="3"/>
      <c r="G399" s="3"/>
      <c r="H399" s="3"/>
      <c r="I399" s="3"/>
      <c r="J399" s="3"/>
      <c r="K399" s="3"/>
      <c r="L399" s="3"/>
      <c r="M399" s="1736"/>
      <c r="N399" s="3"/>
      <c r="O399" s="3"/>
      <c r="P399" s="3"/>
      <c r="Q399" s="115"/>
      <c r="AJ399" s="115"/>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row>
    <row r="400" spans="2:94">
      <c r="B400" s="3"/>
      <c r="C400" s="3"/>
      <c r="D400" s="3"/>
      <c r="E400" s="3"/>
      <c r="F400" s="3"/>
      <c r="G400" s="3"/>
      <c r="H400" s="3"/>
      <c r="I400" s="3"/>
      <c r="J400" s="3"/>
      <c r="K400" s="3"/>
      <c r="L400" s="3"/>
      <c r="M400" s="1736"/>
      <c r="N400" s="3"/>
      <c r="O400" s="3"/>
      <c r="P400" s="3"/>
      <c r="Q400" s="115"/>
      <c r="AJ400" s="115"/>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row>
    <row r="401" spans="2:94">
      <c r="B401" s="3"/>
      <c r="C401" s="3"/>
      <c r="D401" s="3"/>
      <c r="E401" s="3"/>
      <c r="F401" s="3"/>
      <c r="G401" s="3"/>
      <c r="H401" s="3"/>
      <c r="I401" s="3"/>
      <c r="J401" s="3"/>
      <c r="K401" s="3"/>
      <c r="L401" s="3"/>
      <c r="M401" s="1736"/>
      <c r="N401" s="3"/>
      <c r="O401" s="3"/>
      <c r="P401" s="3"/>
      <c r="Q401" s="115"/>
      <c r="AJ401" s="115"/>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row>
    <row r="402" spans="2:94">
      <c r="B402" s="3"/>
      <c r="C402" s="3"/>
      <c r="D402" s="3"/>
      <c r="E402" s="3"/>
      <c r="F402" s="3"/>
      <c r="G402" s="3"/>
      <c r="H402" s="3"/>
      <c r="I402" s="3"/>
      <c r="J402" s="3"/>
      <c r="K402" s="3"/>
      <c r="L402" s="3"/>
      <c r="M402" s="1736"/>
      <c r="N402" s="3"/>
      <c r="O402" s="3"/>
      <c r="P402" s="3"/>
      <c r="Q402" s="115"/>
      <c r="AJ402" s="115"/>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row>
    <row r="403" spans="2:94">
      <c r="B403" s="3"/>
      <c r="C403" s="3"/>
      <c r="D403" s="3"/>
      <c r="E403" s="3"/>
      <c r="F403" s="3"/>
      <c r="G403" s="3"/>
      <c r="H403" s="3"/>
      <c r="I403" s="3"/>
      <c r="J403" s="3"/>
      <c r="K403" s="3"/>
      <c r="L403" s="3"/>
      <c r="M403" s="1736"/>
      <c r="N403" s="3"/>
      <c r="O403" s="3"/>
      <c r="P403" s="3"/>
      <c r="Q403" s="115"/>
      <c r="AJ403" s="115"/>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row>
    <row r="404" spans="2:94">
      <c r="B404" s="3"/>
      <c r="C404" s="3"/>
      <c r="D404" s="3"/>
      <c r="E404" s="3"/>
      <c r="F404" s="3"/>
      <c r="G404" s="3"/>
      <c r="H404" s="3"/>
      <c r="I404" s="3"/>
      <c r="J404" s="3"/>
      <c r="K404" s="3"/>
      <c r="L404" s="3"/>
      <c r="M404" s="1736"/>
      <c r="N404" s="3"/>
      <c r="O404" s="3"/>
      <c r="P404" s="3"/>
      <c r="Q404" s="115"/>
      <c r="AJ404" s="115"/>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row>
    <row r="405" spans="2:94">
      <c r="B405" s="3"/>
      <c r="C405" s="3"/>
      <c r="D405" s="3"/>
      <c r="E405" s="3"/>
      <c r="F405" s="3"/>
      <c r="G405" s="3"/>
      <c r="H405" s="3"/>
      <c r="I405" s="3"/>
      <c r="J405" s="3"/>
      <c r="K405" s="3"/>
      <c r="L405" s="3"/>
      <c r="M405" s="1736"/>
      <c r="N405" s="3"/>
      <c r="O405" s="3"/>
      <c r="P405" s="3"/>
      <c r="Q405" s="115"/>
      <c r="AJ405" s="115"/>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row>
    <row r="406" spans="2:94">
      <c r="B406" s="3"/>
      <c r="C406" s="3"/>
      <c r="D406" s="3"/>
      <c r="E406" s="3"/>
      <c r="F406" s="3"/>
      <c r="G406" s="3"/>
      <c r="H406" s="3"/>
      <c r="I406" s="3"/>
      <c r="J406" s="3"/>
      <c r="K406" s="3"/>
      <c r="L406" s="3"/>
      <c r="M406" s="1736"/>
      <c r="N406" s="3"/>
      <c r="O406" s="3"/>
      <c r="P406" s="3"/>
      <c r="Q406" s="115"/>
      <c r="AJ406" s="115"/>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row>
    <row r="407" spans="2:94">
      <c r="B407" s="3"/>
      <c r="C407" s="3"/>
      <c r="D407" s="3"/>
      <c r="E407" s="3"/>
      <c r="F407" s="3"/>
      <c r="G407" s="3"/>
      <c r="H407" s="3"/>
      <c r="I407" s="3"/>
      <c r="J407" s="3"/>
      <c r="K407" s="3"/>
      <c r="L407" s="3"/>
      <c r="M407" s="1736"/>
      <c r="N407" s="3"/>
      <c r="O407" s="3"/>
      <c r="P407" s="3"/>
      <c r="Q407" s="115"/>
      <c r="AJ407" s="115"/>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row>
    <row r="408" spans="2:94">
      <c r="B408" s="3"/>
      <c r="C408" s="3"/>
      <c r="D408" s="3"/>
      <c r="E408" s="3"/>
      <c r="F408" s="3"/>
      <c r="G408" s="3"/>
      <c r="H408" s="3"/>
      <c r="I408" s="3"/>
      <c r="J408" s="3"/>
      <c r="K408" s="3"/>
      <c r="L408" s="3"/>
      <c r="M408" s="1736"/>
      <c r="N408" s="3"/>
      <c r="O408" s="3"/>
      <c r="P408" s="3"/>
      <c r="Q408" s="115"/>
      <c r="AJ408" s="115"/>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row>
    <row r="409" spans="2:94">
      <c r="B409" s="3"/>
      <c r="C409" s="3"/>
      <c r="D409" s="3"/>
      <c r="E409" s="3"/>
      <c r="F409" s="3"/>
      <c r="G409" s="3"/>
      <c r="H409" s="3"/>
      <c r="I409" s="3"/>
      <c r="J409" s="3"/>
      <c r="K409" s="3"/>
      <c r="L409" s="3"/>
      <c r="M409" s="1736"/>
      <c r="N409" s="3"/>
      <c r="O409" s="3"/>
      <c r="P409" s="3"/>
      <c r="Q409" s="115"/>
      <c r="AJ409" s="115"/>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row>
    <row r="410" spans="2:94">
      <c r="B410" s="3"/>
      <c r="C410" s="3"/>
      <c r="D410" s="3"/>
      <c r="E410" s="3"/>
      <c r="F410" s="3"/>
      <c r="G410" s="3"/>
      <c r="H410" s="3"/>
      <c r="I410" s="3"/>
      <c r="J410" s="3"/>
      <c r="K410" s="3"/>
      <c r="L410" s="3"/>
      <c r="M410" s="1736"/>
      <c r="N410" s="3"/>
      <c r="O410" s="3"/>
      <c r="P410" s="3"/>
      <c r="Q410" s="115"/>
      <c r="AJ410" s="115"/>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row>
    <row r="411" spans="2:94">
      <c r="B411" s="3"/>
      <c r="C411" s="3"/>
      <c r="D411" s="3"/>
      <c r="E411" s="3"/>
      <c r="F411" s="3"/>
      <c r="G411" s="3"/>
      <c r="H411" s="3"/>
      <c r="I411" s="3"/>
      <c r="J411" s="3"/>
      <c r="K411" s="3"/>
      <c r="L411" s="3"/>
      <c r="M411" s="1736"/>
      <c r="N411" s="3"/>
      <c r="O411" s="3"/>
      <c r="P411" s="3"/>
      <c r="Q411" s="115"/>
      <c r="AJ411" s="115"/>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row>
    <row r="412" spans="2:94">
      <c r="B412" s="3"/>
      <c r="C412" s="3"/>
      <c r="D412" s="3"/>
      <c r="E412" s="3"/>
      <c r="F412" s="3"/>
      <c r="G412" s="3"/>
      <c r="H412" s="3"/>
      <c r="I412" s="3"/>
      <c r="J412" s="3"/>
      <c r="K412" s="3"/>
      <c r="L412" s="3"/>
      <c r="M412" s="1736"/>
      <c r="N412" s="3"/>
      <c r="O412" s="3"/>
      <c r="P412" s="3"/>
      <c r="Q412" s="115"/>
      <c r="AJ412" s="115"/>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row>
    <row r="413" spans="2:94">
      <c r="B413" s="3"/>
      <c r="C413" s="3"/>
      <c r="D413" s="3"/>
      <c r="E413" s="3"/>
      <c r="F413" s="3"/>
      <c r="G413" s="3"/>
      <c r="H413" s="3"/>
      <c r="I413" s="3"/>
      <c r="J413" s="3"/>
      <c r="K413" s="3"/>
      <c r="L413" s="3"/>
      <c r="M413" s="1736"/>
      <c r="N413" s="3"/>
      <c r="O413" s="3"/>
      <c r="P413" s="3"/>
      <c r="Q413" s="115"/>
      <c r="AJ413" s="115"/>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row>
    <row r="414" spans="2:94">
      <c r="B414" s="3"/>
      <c r="C414" s="3"/>
      <c r="D414" s="3"/>
      <c r="E414" s="3"/>
      <c r="F414" s="3"/>
      <c r="G414" s="3"/>
      <c r="H414" s="3"/>
      <c r="I414" s="3"/>
      <c r="J414" s="3"/>
      <c r="K414" s="3"/>
      <c r="L414" s="3"/>
      <c r="M414" s="1736"/>
      <c r="N414" s="3"/>
      <c r="O414" s="3"/>
      <c r="P414" s="3"/>
      <c r="Q414" s="115"/>
      <c r="AJ414" s="115"/>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row>
    <row r="415" spans="2:94">
      <c r="B415" s="3"/>
      <c r="C415" s="3"/>
      <c r="D415" s="3"/>
      <c r="E415" s="3"/>
      <c r="F415" s="3"/>
      <c r="G415" s="3"/>
      <c r="H415" s="3"/>
      <c r="I415" s="3"/>
      <c r="J415" s="3"/>
      <c r="K415" s="3"/>
      <c r="L415" s="3"/>
      <c r="M415" s="1736"/>
      <c r="N415" s="3"/>
      <c r="O415" s="3"/>
      <c r="P415" s="3"/>
      <c r="Q415" s="115"/>
      <c r="AJ415" s="115"/>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row>
    <row r="416" spans="2:94">
      <c r="B416" s="3"/>
      <c r="C416" s="3"/>
      <c r="D416" s="3"/>
      <c r="E416" s="3"/>
      <c r="F416" s="3"/>
      <c r="G416" s="3"/>
      <c r="H416" s="3"/>
      <c r="I416" s="3"/>
      <c r="J416" s="3"/>
      <c r="K416" s="3"/>
      <c r="L416" s="3"/>
      <c r="M416" s="1736"/>
      <c r="N416" s="3"/>
      <c r="O416" s="3"/>
      <c r="P416" s="3"/>
      <c r="Q416" s="115"/>
      <c r="AJ416" s="115"/>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row>
    <row r="417" spans="2:94">
      <c r="B417" s="3"/>
      <c r="C417" s="3"/>
      <c r="D417" s="3"/>
      <c r="E417" s="3"/>
      <c r="F417" s="3"/>
      <c r="G417" s="3"/>
      <c r="H417" s="3"/>
      <c r="I417" s="3"/>
      <c r="J417" s="3"/>
      <c r="K417" s="3"/>
      <c r="L417" s="3"/>
      <c r="M417" s="1736"/>
      <c r="N417" s="3"/>
      <c r="O417" s="3"/>
      <c r="P417" s="3"/>
      <c r="Q417" s="115"/>
      <c r="AJ417" s="115"/>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row>
    <row r="418" spans="2:94">
      <c r="B418" s="3"/>
      <c r="C418" s="3"/>
      <c r="D418" s="3"/>
      <c r="E418" s="3"/>
      <c r="F418" s="3"/>
      <c r="G418" s="3"/>
      <c r="H418" s="3"/>
      <c r="I418" s="3"/>
      <c r="J418" s="3"/>
      <c r="K418" s="3"/>
      <c r="L418" s="3"/>
      <c r="M418" s="1736"/>
      <c r="N418" s="3"/>
      <c r="O418" s="3"/>
      <c r="P418" s="3"/>
      <c r="Q418" s="115"/>
      <c r="AJ418" s="115"/>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row>
    <row r="419" spans="2:94">
      <c r="B419" s="3"/>
      <c r="C419" s="3"/>
      <c r="D419" s="3"/>
      <c r="E419" s="3"/>
      <c r="F419" s="3"/>
      <c r="G419" s="3"/>
      <c r="H419" s="3"/>
      <c r="I419" s="3"/>
      <c r="J419" s="3"/>
      <c r="K419" s="3"/>
      <c r="L419" s="3"/>
      <c r="M419" s="1736"/>
      <c r="N419" s="3"/>
      <c r="O419" s="3"/>
      <c r="P419" s="3"/>
      <c r="Q419" s="115"/>
      <c r="AJ419" s="115"/>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row>
    <row r="420" spans="2:94">
      <c r="B420" s="3"/>
      <c r="C420" s="3"/>
      <c r="D420" s="3"/>
      <c r="E420" s="3"/>
      <c r="F420" s="3"/>
      <c r="G420" s="3"/>
      <c r="H420" s="3"/>
      <c r="I420" s="3"/>
      <c r="J420" s="3"/>
      <c r="K420" s="3"/>
      <c r="L420" s="3"/>
      <c r="M420" s="1736"/>
      <c r="N420" s="3"/>
      <c r="O420" s="3"/>
      <c r="P420" s="3"/>
      <c r="Q420" s="115"/>
      <c r="AJ420" s="115"/>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row>
    <row r="421" spans="2:94">
      <c r="B421" s="3"/>
      <c r="C421" s="3"/>
      <c r="D421" s="3"/>
      <c r="E421" s="3"/>
      <c r="F421" s="3"/>
      <c r="G421" s="3"/>
      <c r="H421" s="3"/>
      <c r="I421" s="3"/>
      <c r="J421" s="3"/>
      <c r="K421" s="3"/>
      <c r="L421" s="3"/>
      <c r="M421" s="1736"/>
      <c r="N421" s="3"/>
      <c r="O421" s="3"/>
      <c r="P421" s="3"/>
      <c r="Q421" s="115"/>
      <c r="AJ421" s="115"/>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row>
    <row r="422" spans="2:94">
      <c r="B422" s="3"/>
      <c r="C422" s="3"/>
      <c r="D422" s="3"/>
      <c r="E422" s="3"/>
      <c r="F422" s="3"/>
      <c r="G422" s="3"/>
      <c r="H422" s="3"/>
      <c r="I422" s="3"/>
      <c r="J422" s="3"/>
      <c r="K422" s="3"/>
      <c r="L422" s="3"/>
      <c r="M422" s="1736"/>
      <c r="N422" s="3"/>
      <c r="O422" s="3"/>
      <c r="P422" s="3"/>
      <c r="Q422" s="115"/>
      <c r="AJ422" s="115"/>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row>
    <row r="423" spans="2:94">
      <c r="B423" s="3"/>
      <c r="C423" s="3"/>
      <c r="D423" s="3"/>
      <c r="E423" s="3"/>
      <c r="F423" s="3"/>
      <c r="G423" s="3"/>
      <c r="H423" s="3"/>
      <c r="I423" s="3"/>
      <c r="J423" s="3"/>
      <c r="K423" s="3"/>
      <c r="L423" s="3"/>
      <c r="M423" s="1736"/>
      <c r="N423" s="3"/>
      <c r="O423" s="3"/>
      <c r="P423" s="3"/>
      <c r="Q423" s="115"/>
      <c r="AJ423" s="115"/>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row>
    <row r="424" spans="2:94">
      <c r="B424" s="3"/>
      <c r="C424" s="3"/>
      <c r="D424" s="3"/>
      <c r="E424" s="3"/>
      <c r="F424" s="3"/>
      <c r="G424" s="3"/>
      <c r="H424" s="3"/>
      <c r="I424" s="3"/>
      <c r="J424" s="3"/>
      <c r="K424" s="3"/>
      <c r="L424" s="3"/>
      <c r="M424" s="1736"/>
      <c r="N424" s="3"/>
      <c r="O424" s="3"/>
      <c r="P424" s="3"/>
      <c r="Q424" s="115"/>
      <c r="AJ424" s="115"/>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row>
    <row r="425" spans="2:94">
      <c r="B425" s="3"/>
      <c r="C425" s="3"/>
      <c r="D425" s="3"/>
      <c r="E425" s="3"/>
      <c r="F425" s="3"/>
      <c r="G425" s="3"/>
      <c r="H425" s="3"/>
      <c r="I425" s="3"/>
      <c r="J425" s="3"/>
      <c r="K425" s="3"/>
      <c r="L425" s="3"/>
      <c r="M425" s="1736"/>
      <c r="N425" s="3"/>
      <c r="O425" s="3"/>
      <c r="P425" s="3"/>
      <c r="Q425" s="115"/>
      <c r="AJ425" s="115"/>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row>
    <row r="426" spans="2:94">
      <c r="B426" s="3"/>
      <c r="C426" s="3"/>
      <c r="D426" s="3"/>
      <c r="E426" s="3"/>
      <c r="F426" s="3"/>
      <c r="G426" s="3"/>
      <c r="H426" s="3"/>
      <c r="I426" s="3"/>
      <c r="J426" s="3"/>
      <c r="K426" s="3"/>
      <c r="L426" s="3"/>
      <c r="M426" s="1736"/>
      <c r="N426" s="3"/>
      <c r="O426" s="3"/>
      <c r="P426" s="3"/>
      <c r="Q426" s="115"/>
      <c r="AJ426" s="115"/>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row>
    <row r="427" spans="2:94">
      <c r="B427" s="3"/>
      <c r="C427" s="3"/>
      <c r="D427" s="3"/>
      <c r="E427" s="3"/>
      <c r="F427" s="3"/>
      <c r="G427" s="3"/>
      <c r="H427" s="3"/>
      <c r="I427" s="3"/>
      <c r="J427" s="3"/>
      <c r="K427" s="3"/>
      <c r="L427" s="3"/>
      <c r="M427" s="1736"/>
      <c r="N427" s="3"/>
      <c r="O427" s="3"/>
      <c r="P427" s="3"/>
      <c r="Q427" s="115"/>
      <c r="AJ427" s="115"/>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row>
    <row r="428" spans="2:94">
      <c r="B428" s="3"/>
      <c r="C428" s="3"/>
      <c r="D428" s="3"/>
      <c r="E428" s="3"/>
      <c r="F428" s="3"/>
      <c r="G428" s="3"/>
      <c r="H428" s="3"/>
      <c r="I428" s="3"/>
      <c r="J428" s="3"/>
      <c r="K428" s="3"/>
      <c r="L428" s="3"/>
      <c r="M428" s="1736"/>
      <c r="N428" s="3"/>
      <c r="O428" s="3"/>
      <c r="P428" s="3"/>
      <c r="Q428" s="115"/>
      <c r="AJ428" s="115"/>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row>
    <row r="429" spans="2:94">
      <c r="B429" s="3"/>
      <c r="C429" s="3"/>
      <c r="D429" s="3"/>
      <c r="E429" s="3"/>
      <c r="F429" s="3"/>
      <c r="G429" s="3"/>
      <c r="H429" s="3"/>
      <c r="I429" s="3"/>
      <c r="J429" s="3"/>
      <c r="K429" s="3"/>
      <c r="L429" s="3"/>
      <c r="M429" s="1736"/>
      <c r="N429" s="3"/>
      <c r="O429" s="3"/>
      <c r="P429" s="3"/>
      <c r="Q429" s="115"/>
      <c r="AJ429" s="115"/>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row>
    <row r="430" spans="2:94">
      <c r="B430" s="3"/>
      <c r="C430" s="3"/>
      <c r="D430" s="3"/>
      <c r="E430" s="3"/>
      <c r="F430" s="3"/>
      <c r="G430" s="3"/>
      <c r="H430" s="3"/>
      <c r="I430" s="3"/>
      <c r="J430" s="3"/>
      <c r="K430" s="3"/>
      <c r="L430" s="3"/>
      <c r="M430" s="1736"/>
      <c r="N430" s="3"/>
      <c r="O430" s="3"/>
      <c r="P430" s="3"/>
      <c r="Q430" s="115"/>
      <c r="AJ430" s="115"/>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row>
    <row r="431" spans="2:94">
      <c r="B431" s="3"/>
      <c r="C431" s="3"/>
      <c r="D431" s="3"/>
      <c r="E431" s="3"/>
      <c r="F431" s="3"/>
      <c r="G431" s="3"/>
      <c r="H431" s="3"/>
      <c r="I431" s="3"/>
      <c r="J431" s="3"/>
      <c r="K431" s="3"/>
      <c r="L431" s="3"/>
      <c r="M431" s="1736"/>
      <c r="N431" s="3"/>
      <c r="O431" s="3"/>
      <c r="P431" s="3"/>
      <c r="Q431" s="115"/>
      <c r="AJ431" s="115"/>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row>
    <row r="432" spans="2:94">
      <c r="B432" s="3"/>
      <c r="C432" s="3"/>
      <c r="D432" s="3"/>
      <c r="E432" s="3"/>
      <c r="F432" s="3"/>
      <c r="G432" s="3"/>
      <c r="H432" s="3"/>
      <c r="I432" s="3"/>
      <c r="J432" s="3"/>
      <c r="K432" s="3"/>
      <c r="L432" s="3"/>
      <c r="M432" s="1736"/>
      <c r="N432" s="3"/>
      <c r="O432" s="3"/>
      <c r="P432" s="3"/>
      <c r="Q432" s="115"/>
      <c r="AJ432" s="115"/>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row>
    <row r="433" spans="2:94">
      <c r="B433" s="3"/>
      <c r="C433" s="3"/>
      <c r="D433" s="3"/>
      <c r="E433" s="3"/>
      <c r="F433" s="3"/>
      <c r="G433" s="3"/>
      <c r="H433" s="3"/>
      <c r="I433" s="3"/>
      <c r="J433" s="3"/>
      <c r="K433" s="3"/>
      <c r="L433" s="3"/>
      <c r="M433" s="1736"/>
      <c r="N433" s="3"/>
      <c r="O433" s="3"/>
      <c r="P433" s="3"/>
      <c r="Q433" s="115"/>
      <c r="AJ433" s="115"/>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row>
    <row r="434" spans="2:94">
      <c r="B434" s="3"/>
      <c r="C434" s="3"/>
      <c r="D434" s="3"/>
      <c r="E434" s="3"/>
      <c r="F434" s="3"/>
      <c r="G434" s="3"/>
      <c r="H434" s="3"/>
      <c r="I434" s="3"/>
      <c r="J434" s="3"/>
      <c r="K434" s="3"/>
      <c r="L434" s="3"/>
      <c r="M434" s="1736"/>
      <c r="N434" s="3"/>
      <c r="O434" s="3"/>
      <c r="P434" s="3"/>
      <c r="Q434" s="115"/>
      <c r="AJ434" s="115"/>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row>
    <row r="435" spans="2:94">
      <c r="B435" s="3"/>
      <c r="C435" s="3"/>
      <c r="D435" s="3"/>
      <c r="E435" s="3"/>
      <c r="F435" s="3"/>
      <c r="G435" s="3"/>
      <c r="H435" s="3"/>
      <c r="I435" s="3"/>
      <c r="J435" s="3"/>
      <c r="K435" s="3"/>
      <c r="L435" s="3"/>
      <c r="M435" s="1736"/>
      <c r="N435" s="3"/>
      <c r="O435" s="3"/>
      <c r="P435" s="3"/>
      <c r="Q435" s="115"/>
      <c r="AJ435" s="115"/>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row>
    <row r="436" spans="2:94">
      <c r="B436" s="3"/>
      <c r="C436" s="3"/>
      <c r="D436" s="3"/>
      <c r="E436" s="3"/>
      <c r="F436" s="3"/>
      <c r="G436" s="3"/>
      <c r="H436" s="3"/>
      <c r="I436" s="3"/>
      <c r="J436" s="3"/>
      <c r="K436" s="3"/>
      <c r="L436" s="3"/>
      <c r="M436" s="1736"/>
      <c r="N436" s="3"/>
      <c r="O436" s="3"/>
      <c r="P436" s="3"/>
      <c r="Q436" s="115"/>
      <c r="AJ436" s="115"/>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row>
    <row r="437" spans="2:94">
      <c r="B437" s="3"/>
      <c r="C437" s="3"/>
      <c r="D437" s="3"/>
      <c r="E437" s="3"/>
      <c r="F437" s="3"/>
      <c r="G437" s="3"/>
      <c r="H437" s="3"/>
      <c r="I437" s="3"/>
      <c r="J437" s="3"/>
      <c r="K437" s="3"/>
      <c r="L437" s="3"/>
      <c r="M437" s="1736"/>
      <c r="N437" s="3"/>
      <c r="O437" s="3"/>
      <c r="P437" s="3"/>
      <c r="Q437" s="115"/>
      <c r="AJ437" s="115"/>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row>
    <row r="438" spans="2:94">
      <c r="B438" s="3"/>
      <c r="C438" s="3"/>
      <c r="D438" s="3"/>
      <c r="E438" s="3"/>
      <c r="F438" s="3"/>
      <c r="G438" s="3"/>
      <c r="H438" s="3"/>
      <c r="I438" s="3"/>
      <c r="J438" s="3"/>
      <c r="K438" s="3"/>
      <c r="L438" s="3"/>
      <c r="M438" s="1736"/>
      <c r="N438" s="3"/>
      <c r="O438" s="3"/>
      <c r="P438" s="3"/>
      <c r="Q438" s="115"/>
      <c r="AJ438" s="115"/>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row>
    <row r="439" spans="2:94">
      <c r="B439" s="3"/>
      <c r="C439" s="3"/>
      <c r="D439" s="3"/>
      <c r="E439" s="3"/>
      <c r="F439" s="3"/>
      <c r="G439" s="3"/>
      <c r="H439" s="3"/>
      <c r="I439" s="3"/>
      <c r="J439" s="3"/>
      <c r="K439" s="3"/>
      <c r="L439" s="3"/>
      <c r="M439" s="1736"/>
      <c r="N439" s="3"/>
      <c r="O439" s="3"/>
      <c r="P439" s="3"/>
      <c r="Q439" s="115"/>
      <c r="AJ439" s="115"/>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row>
    <row r="440" spans="2:94">
      <c r="B440" s="3"/>
      <c r="C440" s="3"/>
      <c r="D440" s="3"/>
      <c r="E440" s="3"/>
      <c r="F440" s="3"/>
      <c r="G440" s="3"/>
      <c r="H440" s="3"/>
      <c r="I440" s="3"/>
      <c r="J440" s="3"/>
      <c r="K440" s="3"/>
      <c r="L440" s="3"/>
      <c r="M440" s="1736"/>
      <c r="N440" s="3"/>
      <c r="O440" s="3"/>
      <c r="P440" s="3"/>
      <c r="Q440" s="115"/>
      <c r="AJ440" s="115"/>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row>
    <row r="441" spans="2:94">
      <c r="B441" s="3"/>
      <c r="C441" s="3"/>
      <c r="D441" s="3"/>
      <c r="E441" s="3"/>
      <c r="F441" s="3"/>
      <c r="G441" s="3"/>
      <c r="H441" s="3"/>
      <c r="I441" s="3"/>
      <c r="J441" s="3"/>
      <c r="K441" s="3"/>
      <c r="L441" s="3"/>
      <c r="M441" s="1736"/>
      <c r="N441" s="3"/>
      <c r="O441" s="3"/>
      <c r="P441" s="3"/>
      <c r="Q441" s="115"/>
      <c r="AJ441" s="115"/>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row>
    <row r="442" spans="2:94">
      <c r="B442" s="3"/>
      <c r="C442" s="3"/>
      <c r="D442" s="3"/>
      <c r="E442" s="3"/>
      <c r="F442" s="3"/>
      <c r="G442" s="3"/>
      <c r="H442" s="3"/>
      <c r="I442" s="3"/>
      <c r="J442" s="3"/>
      <c r="K442" s="3"/>
      <c r="L442" s="3"/>
      <c r="M442" s="1736"/>
      <c r="N442" s="3"/>
      <c r="O442" s="3"/>
      <c r="P442" s="3"/>
      <c r="Q442" s="115"/>
      <c r="AJ442" s="115"/>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row>
    <row r="443" spans="2:94">
      <c r="B443" s="3"/>
      <c r="C443" s="3"/>
      <c r="D443" s="3"/>
      <c r="E443" s="3"/>
      <c r="F443" s="3"/>
      <c r="G443" s="3"/>
      <c r="H443" s="3"/>
      <c r="I443" s="3"/>
      <c r="J443" s="3"/>
      <c r="K443" s="3"/>
      <c r="L443" s="3"/>
      <c r="M443" s="1736"/>
      <c r="N443" s="3"/>
      <c r="O443" s="3"/>
      <c r="P443" s="3"/>
      <c r="Q443" s="115"/>
      <c r="AJ443" s="115"/>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row>
    <row r="444" spans="2:94">
      <c r="B444" s="3"/>
      <c r="C444" s="3"/>
      <c r="D444" s="3"/>
      <c r="E444" s="3"/>
      <c r="F444" s="3"/>
      <c r="G444" s="3"/>
      <c r="H444" s="3"/>
      <c r="I444" s="3"/>
      <c r="J444" s="3"/>
      <c r="K444" s="3"/>
      <c r="L444" s="3"/>
      <c r="M444" s="1736"/>
      <c r="N444" s="3"/>
      <c r="O444" s="3"/>
      <c r="P444" s="3"/>
      <c r="Q444" s="115"/>
      <c r="AJ444" s="115"/>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row>
    <row r="445" spans="2:94">
      <c r="B445" s="3"/>
      <c r="C445" s="3"/>
      <c r="D445" s="3"/>
      <c r="E445" s="3"/>
      <c r="F445" s="3"/>
      <c r="G445" s="3"/>
      <c r="H445" s="3"/>
      <c r="I445" s="3"/>
      <c r="J445" s="3"/>
      <c r="K445" s="3"/>
      <c r="L445" s="3"/>
      <c r="M445" s="1736"/>
      <c r="N445" s="3"/>
      <c r="O445" s="3"/>
      <c r="P445" s="3"/>
      <c r="Q445" s="115"/>
      <c r="AJ445" s="115"/>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row>
    <row r="446" spans="2:94">
      <c r="B446" s="3"/>
      <c r="C446" s="3"/>
      <c r="D446" s="3"/>
      <c r="E446" s="3"/>
      <c r="F446" s="3"/>
      <c r="G446" s="3"/>
      <c r="H446" s="3"/>
      <c r="I446" s="3"/>
      <c r="J446" s="3"/>
      <c r="K446" s="3"/>
      <c r="L446" s="3"/>
      <c r="M446" s="1736"/>
      <c r="N446" s="3"/>
      <c r="O446" s="3"/>
      <c r="P446" s="3"/>
      <c r="Q446" s="115"/>
      <c r="AJ446" s="115"/>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row>
    <row r="447" spans="2:94">
      <c r="B447" s="3"/>
      <c r="C447" s="3"/>
      <c r="D447" s="3"/>
      <c r="E447" s="3"/>
      <c r="F447" s="3"/>
      <c r="G447" s="3"/>
      <c r="H447" s="3"/>
      <c r="I447" s="3"/>
      <c r="J447" s="3"/>
      <c r="K447" s="3"/>
      <c r="L447" s="3"/>
      <c r="M447" s="1736"/>
      <c r="N447" s="3"/>
      <c r="O447" s="3"/>
      <c r="P447" s="3"/>
      <c r="Q447" s="115"/>
      <c r="AJ447" s="115"/>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row>
    <row r="448" spans="2:94">
      <c r="B448" s="3"/>
      <c r="C448" s="3"/>
      <c r="D448" s="3"/>
      <c r="E448" s="3"/>
      <c r="F448" s="3"/>
      <c r="G448" s="3"/>
      <c r="H448" s="3"/>
      <c r="I448" s="3"/>
      <c r="J448" s="3"/>
      <c r="K448" s="3"/>
      <c r="L448" s="3"/>
      <c r="M448" s="1736"/>
      <c r="N448" s="3"/>
      <c r="O448" s="3"/>
      <c r="P448" s="3"/>
      <c r="Q448" s="115"/>
      <c r="AJ448" s="115"/>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row>
    <row r="449" spans="2:94">
      <c r="B449" s="3"/>
      <c r="C449" s="3"/>
      <c r="D449" s="3"/>
      <c r="E449" s="3"/>
      <c r="F449" s="3"/>
      <c r="G449" s="3"/>
      <c r="H449" s="3"/>
      <c r="I449" s="3"/>
      <c r="J449" s="3"/>
      <c r="K449" s="3"/>
      <c r="L449" s="3"/>
      <c r="M449" s="1736"/>
      <c r="N449" s="3"/>
      <c r="O449" s="3"/>
      <c r="P449" s="3"/>
      <c r="Q449" s="115"/>
      <c r="AJ449" s="115"/>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row>
    <row r="450" spans="2:94">
      <c r="B450" s="3"/>
      <c r="C450" s="3"/>
      <c r="D450" s="3"/>
      <c r="E450" s="3"/>
      <c r="F450" s="3"/>
      <c r="G450" s="3"/>
      <c r="H450" s="3"/>
      <c r="I450" s="3"/>
      <c r="J450" s="3"/>
      <c r="K450" s="3"/>
      <c r="L450" s="3"/>
      <c r="M450" s="1736"/>
      <c r="N450" s="3"/>
      <c r="O450" s="3"/>
      <c r="P450" s="3"/>
      <c r="Q450" s="115"/>
      <c r="AJ450" s="115"/>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row>
    <row r="451" spans="2:94">
      <c r="B451" s="3"/>
      <c r="C451" s="3"/>
      <c r="D451" s="3"/>
      <c r="E451" s="3"/>
      <c r="F451" s="3"/>
      <c r="G451" s="3"/>
      <c r="H451" s="3"/>
      <c r="I451" s="3"/>
      <c r="J451" s="3"/>
      <c r="K451" s="3"/>
      <c r="L451" s="3"/>
      <c r="M451" s="1736"/>
      <c r="N451" s="3"/>
      <c r="O451" s="3"/>
      <c r="P451" s="3"/>
      <c r="Q451" s="115"/>
      <c r="AJ451" s="115"/>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row>
    <row r="452" spans="2:94">
      <c r="B452" s="3"/>
      <c r="C452" s="3"/>
      <c r="D452" s="3"/>
      <c r="E452" s="3"/>
      <c r="F452" s="3"/>
      <c r="G452" s="3"/>
      <c r="H452" s="3"/>
      <c r="I452" s="3"/>
      <c r="J452" s="3"/>
      <c r="K452" s="3"/>
      <c r="L452" s="3"/>
      <c r="M452" s="1736"/>
      <c r="N452" s="3"/>
      <c r="O452" s="3"/>
      <c r="P452" s="3"/>
      <c r="Q452" s="115"/>
      <c r="AJ452" s="115"/>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row>
    <row r="453" spans="2:94">
      <c r="B453" s="3"/>
      <c r="C453" s="3"/>
      <c r="D453" s="3"/>
      <c r="E453" s="3"/>
      <c r="F453" s="3"/>
      <c r="G453" s="3"/>
      <c r="H453" s="3"/>
      <c r="I453" s="3"/>
      <c r="J453" s="3"/>
      <c r="K453" s="3"/>
      <c r="L453" s="3"/>
      <c r="M453" s="1736"/>
      <c r="N453" s="3"/>
      <c r="O453" s="3"/>
      <c r="P453" s="3"/>
      <c r="Q453" s="115"/>
      <c r="AJ453" s="115"/>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row>
    <row r="454" spans="2:94">
      <c r="B454" s="3"/>
      <c r="C454" s="3"/>
      <c r="D454" s="3"/>
      <c r="E454" s="3"/>
      <c r="F454" s="3"/>
      <c r="G454" s="3"/>
      <c r="H454" s="3"/>
      <c r="I454" s="3"/>
      <c r="J454" s="3"/>
      <c r="K454" s="3"/>
      <c r="L454" s="3"/>
      <c r="M454" s="1736"/>
      <c r="N454" s="3"/>
      <c r="O454" s="3"/>
      <c r="P454" s="3"/>
      <c r="Q454" s="115"/>
      <c r="AJ454" s="115"/>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row>
    <row r="455" spans="2:94">
      <c r="B455" s="3"/>
      <c r="C455" s="3"/>
      <c r="D455" s="3"/>
      <c r="E455" s="3"/>
      <c r="F455" s="3"/>
      <c r="G455" s="3"/>
      <c r="H455" s="3"/>
      <c r="I455" s="3"/>
      <c r="J455" s="3"/>
      <c r="K455" s="3"/>
      <c r="L455" s="3"/>
      <c r="M455" s="1736"/>
      <c r="N455" s="3"/>
      <c r="O455" s="3"/>
      <c r="P455" s="3"/>
      <c r="Q455" s="115"/>
      <c r="AJ455" s="115"/>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row>
    <row r="456" spans="2:94">
      <c r="B456" s="3"/>
      <c r="C456" s="3"/>
      <c r="D456" s="3"/>
      <c r="E456" s="3"/>
      <c r="F456" s="3"/>
      <c r="G456" s="3"/>
      <c r="H456" s="3"/>
      <c r="I456" s="3"/>
      <c r="J456" s="3"/>
      <c r="K456" s="3"/>
      <c r="L456" s="3"/>
      <c r="M456" s="1736"/>
      <c r="N456" s="3"/>
      <c r="O456" s="3"/>
      <c r="P456" s="3"/>
      <c r="Q456" s="115"/>
      <c r="AJ456" s="115"/>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row>
    <row r="457" spans="2:94">
      <c r="B457" s="3"/>
      <c r="C457" s="3"/>
      <c r="D457" s="3"/>
      <c r="E457" s="3"/>
      <c r="F457" s="3"/>
      <c r="G457" s="3"/>
      <c r="H457" s="3"/>
      <c r="I457" s="3"/>
      <c r="J457" s="3"/>
      <c r="K457" s="3"/>
      <c r="L457" s="3"/>
      <c r="M457" s="1736"/>
      <c r="N457" s="3"/>
      <c r="O457" s="3"/>
      <c r="P457" s="3"/>
      <c r="Q457" s="115"/>
      <c r="AJ457" s="115"/>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row>
    <row r="458" spans="2:94">
      <c r="B458" s="3"/>
      <c r="C458" s="3"/>
      <c r="D458" s="3"/>
      <c r="E458" s="3"/>
      <c r="F458" s="3"/>
      <c r="G458" s="3"/>
      <c r="H458" s="3"/>
      <c r="I458" s="3"/>
      <c r="J458" s="3"/>
      <c r="K458" s="3"/>
      <c r="L458" s="3"/>
      <c r="M458" s="1736"/>
      <c r="N458" s="3"/>
      <c r="O458" s="3"/>
      <c r="P458" s="3"/>
      <c r="Q458" s="115"/>
      <c r="AJ458" s="115"/>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row>
    <row r="459" spans="2:94">
      <c r="B459" s="3"/>
      <c r="C459" s="3"/>
      <c r="D459" s="3"/>
      <c r="E459" s="3"/>
      <c r="F459" s="3"/>
      <c r="G459" s="3"/>
      <c r="H459" s="3"/>
      <c r="I459" s="3"/>
      <c r="J459" s="3"/>
      <c r="K459" s="3"/>
      <c r="L459" s="3"/>
      <c r="M459" s="1736"/>
      <c r="N459" s="3"/>
      <c r="O459" s="3"/>
      <c r="P459" s="3"/>
      <c r="Q459" s="115"/>
      <c r="AJ459" s="115"/>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row>
    <row r="460" spans="2:94">
      <c r="B460" s="3"/>
      <c r="C460" s="3"/>
      <c r="D460" s="3"/>
      <c r="E460" s="3"/>
      <c r="F460" s="3"/>
      <c r="G460" s="3"/>
      <c r="H460" s="3"/>
      <c r="I460" s="3"/>
      <c r="J460" s="3"/>
      <c r="K460" s="3"/>
      <c r="L460" s="3"/>
      <c r="M460" s="1736"/>
      <c r="N460" s="3"/>
      <c r="O460" s="3"/>
      <c r="P460" s="3"/>
      <c r="Q460" s="115"/>
      <c r="AJ460" s="115"/>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row>
    <row r="461" spans="2:94">
      <c r="B461" s="3"/>
      <c r="C461" s="3"/>
      <c r="D461" s="3"/>
      <c r="E461" s="3"/>
      <c r="F461" s="3"/>
      <c r="G461" s="3"/>
      <c r="H461" s="3"/>
      <c r="I461" s="3"/>
      <c r="J461" s="3"/>
      <c r="K461" s="3"/>
      <c r="L461" s="3"/>
      <c r="M461" s="1736"/>
      <c r="N461" s="3"/>
      <c r="O461" s="3"/>
      <c r="P461" s="3"/>
      <c r="Q461" s="115"/>
      <c r="AJ461" s="115"/>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row>
    <row r="462" spans="2:94">
      <c r="B462" s="3"/>
      <c r="C462" s="3"/>
      <c r="D462" s="3"/>
      <c r="E462" s="3"/>
      <c r="F462" s="3"/>
      <c r="G462" s="3"/>
      <c r="H462" s="3"/>
      <c r="I462" s="3"/>
      <c r="J462" s="3"/>
      <c r="K462" s="3"/>
      <c r="L462" s="3"/>
      <c r="M462" s="1736"/>
      <c r="N462" s="3"/>
      <c r="O462" s="3"/>
      <c r="P462" s="3"/>
      <c r="Q462" s="115"/>
      <c r="AJ462" s="115"/>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row>
    <row r="463" spans="2:94">
      <c r="B463" s="3"/>
      <c r="C463" s="3"/>
      <c r="D463" s="3"/>
      <c r="E463" s="3"/>
      <c r="F463" s="3"/>
      <c r="G463" s="3"/>
      <c r="H463" s="3"/>
      <c r="I463" s="3"/>
      <c r="J463" s="3"/>
      <c r="K463" s="3"/>
      <c r="L463" s="3"/>
      <c r="M463" s="1736"/>
      <c r="N463" s="3"/>
      <c r="O463" s="3"/>
      <c r="P463" s="3"/>
      <c r="Q463" s="115"/>
      <c r="AJ463" s="115"/>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row>
    <row r="464" spans="2:94">
      <c r="B464" s="3"/>
      <c r="C464" s="3"/>
      <c r="D464" s="3"/>
      <c r="E464" s="3"/>
      <c r="F464" s="3"/>
      <c r="G464" s="3"/>
      <c r="H464" s="3"/>
      <c r="I464" s="3"/>
      <c r="J464" s="3"/>
      <c r="K464" s="3"/>
      <c r="L464" s="3"/>
      <c r="M464" s="1736"/>
      <c r="N464" s="3"/>
      <c r="O464" s="3"/>
      <c r="P464" s="3"/>
      <c r="Q464" s="115"/>
      <c r="AJ464" s="115"/>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row>
    <row r="465" spans="2:94">
      <c r="B465" s="3"/>
      <c r="C465" s="3"/>
      <c r="D465" s="3"/>
      <c r="E465" s="3"/>
      <c r="F465" s="3"/>
      <c r="G465" s="3"/>
      <c r="H465" s="3"/>
      <c r="I465" s="3"/>
      <c r="J465" s="3"/>
      <c r="K465" s="3"/>
      <c r="L465" s="3"/>
      <c r="M465" s="1736"/>
      <c r="N465" s="3"/>
      <c r="O465" s="3"/>
      <c r="P465" s="3"/>
      <c r="Q465" s="115"/>
      <c r="AJ465" s="115"/>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row>
    <row r="466" spans="2:94">
      <c r="B466" s="3"/>
      <c r="C466" s="3"/>
      <c r="D466" s="3"/>
      <c r="E466" s="3"/>
      <c r="F466" s="3"/>
      <c r="G466" s="3"/>
      <c r="H466" s="3"/>
      <c r="I466" s="3"/>
      <c r="J466" s="3"/>
      <c r="K466" s="3"/>
      <c r="L466" s="3"/>
      <c r="M466" s="1736"/>
      <c r="N466" s="3"/>
      <c r="O466" s="3"/>
      <c r="P466" s="3"/>
      <c r="Q466" s="115"/>
      <c r="AJ466" s="115"/>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row>
    <row r="467" spans="2:94">
      <c r="B467" s="3"/>
      <c r="C467" s="3"/>
      <c r="D467" s="3"/>
      <c r="E467" s="3"/>
      <c r="F467" s="3"/>
      <c r="G467" s="3"/>
      <c r="H467" s="3"/>
      <c r="I467" s="3"/>
      <c r="J467" s="3"/>
      <c r="K467" s="3"/>
      <c r="L467" s="3"/>
      <c r="M467" s="1736"/>
      <c r="N467" s="3"/>
      <c r="O467" s="3"/>
      <c r="P467" s="3"/>
      <c r="Q467" s="115"/>
      <c r="AJ467" s="115"/>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row>
    <row r="468" spans="2:94">
      <c r="B468" s="3"/>
      <c r="C468" s="3"/>
      <c r="D468" s="3"/>
      <c r="E468" s="3"/>
      <c r="F468" s="3"/>
      <c r="G468" s="3"/>
      <c r="H468" s="3"/>
      <c r="I468" s="3"/>
      <c r="J468" s="3"/>
      <c r="K468" s="3"/>
      <c r="L468" s="3"/>
      <c r="M468" s="1736"/>
      <c r="N468" s="3"/>
      <c r="O468" s="3"/>
      <c r="P468" s="3"/>
      <c r="Q468" s="115"/>
      <c r="AJ468" s="115"/>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row>
    <row r="469" spans="2:94">
      <c r="B469" s="3"/>
      <c r="C469" s="3"/>
      <c r="D469" s="3"/>
      <c r="E469" s="3"/>
      <c r="F469" s="3"/>
      <c r="G469" s="3"/>
      <c r="H469" s="3"/>
      <c r="I469" s="3"/>
      <c r="J469" s="3"/>
      <c r="K469" s="3"/>
      <c r="L469" s="3"/>
      <c r="M469" s="1736"/>
      <c r="N469" s="3"/>
      <c r="O469" s="3"/>
      <c r="P469" s="3"/>
      <c r="Q469" s="115"/>
      <c r="AJ469" s="115"/>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row>
    <row r="470" spans="2:94">
      <c r="B470" s="3"/>
      <c r="C470" s="3"/>
      <c r="D470" s="3"/>
      <c r="E470" s="3"/>
      <c r="F470" s="3"/>
      <c r="G470" s="3"/>
      <c r="H470" s="3"/>
      <c r="I470" s="3"/>
      <c r="J470" s="3"/>
      <c r="K470" s="3"/>
      <c r="L470" s="3"/>
      <c r="M470" s="1736"/>
      <c r="N470" s="3"/>
      <c r="O470" s="3"/>
      <c r="P470" s="3"/>
      <c r="Q470" s="115"/>
      <c r="AJ470" s="115"/>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row>
    <row r="471" spans="2:94">
      <c r="B471" s="3"/>
      <c r="C471" s="3"/>
      <c r="D471" s="3"/>
      <c r="E471" s="3"/>
      <c r="F471" s="3"/>
      <c r="G471" s="3"/>
      <c r="H471" s="3"/>
      <c r="I471" s="3"/>
      <c r="J471" s="3"/>
      <c r="K471" s="3"/>
      <c r="L471" s="3"/>
      <c r="M471" s="1736"/>
      <c r="N471" s="3"/>
      <c r="O471" s="3"/>
      <c r="P471" s="3"/>
      <c r="Q471" s="115"/>
      <c r="AJ471" s="115"/>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row>
    <row r="472" spans="2:94">
      <c r="B472" s="3"/>
      <c r="C472" s="3"/>
      <c r="D472" s="3"/>
      <c r="E472" s="3"/>
      <c r="F472" s="3"/>
      <c r="G472" s="3"/>
      <c r="H472" s="3"/>
      <c r="I472" s="3"/>
      <c r="J472" s="3"/>
      <c r="K472" s="3"/>
      <c r="L472" s="3"/>
      <c r="M472" s="1736"/>
      <c r="N472" s="3"/>
      <c r="O472" s="3"/>
      <c r="P472" s="3"/>
      <c r="Q472" s="115"/>
      <c r="AJ472" s="115"/>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row>
    <row r="473" spans="2:94">
      <c r="B473" s="3"/>
      <c r="C473" s="3"/>
      <c r="D473" s="3"/>
      <c r="E473" s="3"/>
      <c r="F473" s="3"/>
      <c r="G473" s="3"/>
      <c r="H473" s="3"/>
      <c r="I473" s="3"/>
      <c r="J473" s="3"/>
      <c r="K473" s="3"/>
      <c r="L473" s="3"/>
      <c r="M473" s="1736"/>
      <c r="N473" s="3"/>
      <c r="O473" s="3"/>
      <c r="P473" s="3"/>
      <c r="Q473" s="115"/>
      <c r="AJ473" s="115"/>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row>
    <row r="474" spans="2:94">
      <c r="B474" s="3"/>
      <c r="C474" s="3"/>
      <c r="D474" s="3"/>
      <c r="E474" s="3"/>
      <c r="F474" s="3"/>
      <c r="G474" s="3"/>
      <c r="H474" s="3"/>
      <c r="I474" s="3"/>
      <c r="J474" s="3"/>
      <c r="K474" s="3"/>
      <c r="L474" s="3"/>
      <c r="M474" s="1736"/>
      <c r="N474" s="3"/>
      <c r="O474" s="3"/>
      <c r="P474" s="3"/>
      <c r="Q474" s="115"/>
      <c r="AJ474" s="115"/>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row>
    <row r="475" spans="2:94">
      <c r="B475" s="3"/>
      <c r="C475" s="3"/>
      <c r="D475" s="3"/>
      <c r="E475" s="3"/>
      <c r="F475" s="3"/>
      <c r="G475" s="3"/>
      <c r="H475" s="3"/>
      <c r="I475" s="3"/>
      <c r="J475" s="3"/>
      <c r="K475" s="3"/>
      <c r="L475" s="3"/>
      <c r="M475" s="1736"/>
      <c r="N475" s="3"/>
      <c r="O475" s="3"/>
      <c r="P475" s="3"/>
      <c r="Q475" s="115"/>
      <c r="AJ475" s="115"/>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row>
    <row r="476" spans="2:94">
      <c r="B476" s="3"/>
      <c r="C476" s="3"/>
      <c r="D476" s="3"/>
      <c r="E476" s="3"/>
      <c r="F476" s="3"/>
      <c r="G476" s="3"/>
      <c r="H476" s="3"/>
      <c r="I476" s="3"/>
      <c r="J476" s="3"/>
      <c r="K476" s="3"/>
      <c r="L476" s="3"/>
      <c r="M476" s="1736"/>
      <c r="N476" s="3"/>
      <c r="O476" s="3"/>
      <c r="P476" s="3"/>
      <c r="Q476" s="115"/>
      <c r="AJ476" s="115"/>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row>
    <row r="477" spans="2:94">
      <c r="B477" s="3"/>
      <c r="C477" s="3"/>
      <c r="D477" s="3"/>
      <c r="E477" s="3"/>
      <c r="F477" s="3"/>
      <c r="G477" s="3"/>
      <c r="H477" s="3"/>
      <c r="I477" s="3"/>
      <c r="J477" s="3"/>
      <c r="K477" s="3"/>
      <c r="L477" s="3"/>
      <c r="M477" s="1736"/>
      <c r="N477" s="3"/>
      <c r="O477" s="3"/>
      <c r="P477" s="3"/>
      <c r="Q477" s="115"/>
      <c r="AJ477" s="115"/>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row>
    <row r="478" spans="2:94">
      <c r="B478" s="3"/>
      <c r="C478" s="3"/>
      <c r="D478" s="3"/>
      <c r="E478" s="3"/>
      <c r="F478" s="3"/>
      <c r="G478" s="3"/>
      <c r="H478" s="3"/>
      <c r="I478" s="3"/>
      <c r="J478" s="3"/>
      <c r="K478" s="3"/>
      <c r="L478" s="3"/>
      <c r="M478" s="1736"/>
      <c r="N478" s="3"/>
      <c r="O478" s="3"/>
      <c r="P478" s="3"/>
      <c r="Q478" s="115"/>
      <c r="AJ478" s="115"/>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row>
    <row r="479" spans="2:94">
      <c r="B479" s="3"/>
      <c r="C479" s="3"/>
      <c r="D479" s="3"/>
      <c r="E479" s="3"/>
      <c r="F479" s="3"/>
      <c r="G479" s="3"/>
      <c r="H479" s="3"/>
      <c r="I479" s="3"/>
      <c r="J479" s="3"/>
      <c r="K479" s="3"/>
      <c r="L479" s="3"/>
      <c r="M479" s="1736"/>
      <c r="N479" s="3"/>
      <c r="O479" s="3"/>
      <c r="P479" s="3"/>
      <c r="Q479" s="115"/>
      <c r="AJ479" s="115"/>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row>
    <row r="480" spans="2:94">
      <c r="B480" s="3"/>
      <c r="C480" s="3"/>
      <c r="D480" s="3"/>
      <c r="E480" s="3"/>
      <c r="F480" s="3"/>
      <c r="G480" s="3"/>
      <c r="H480" s="3"/>
      <c r="I480" s="3"/>
      <c r="J480" s="3"/>
      <c r="K480" s="3"/>
      <c r="L480" s="3"/>
      <c r="M480" s="1736"/>
      <c r="N480" s="3"/>
      <c r="O480" s="3"/>
      <c r="P480" s="3"/>
      <c r="Q480" s="115"/>
      <c r="AJ480" s="115"/>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row>
    <row r="481" spans="2:94">
      <c r="B481" s="3"/>
      <c r="C481" s="3"/>
      <c r="D481" s="3"/>
      <c r="E481" s="3"/>
      <c r="F481" s="3"/>
      <c r="G481" s="3"/>
      <c r="H481" s="3"/>
      <c r="I481" s="3"/>
      <c r="J481" s="3"/>
      <c r="K481" s="3"/>
      <c r="L481" s="3"/>
      <c r="M481" s="1736"/>
      <c r="N481" s="3"/>
      <c r="O481" s="3"/>
      <c r="P481" s="3"/>
      <c r="Q481" s="115"/>
      <c r="AJ481" s="115"/>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row>
    <row r="482" spans="2:94">
      <c r="B482" s="3"/>
      <c r="C482" s="3"/>
      <c r="D482" s="3"/>
      <c r="E482" s="3"/>
      <c r="F482" s="3"/>
      <c r="G482" s="3"/>
      <c r="H482" s="3"/>
      <c r="I482" s="3"/>
      <c r="J482" s="3"/>
      <c r="K482" s="3"/>
      <c r="L482" s="3"/>
      <c r="M482" s="1736"/>
      <c r="N482" s="3"/>
      <c r="O482" s="3"/>
      <c r="P482" s="3"/>
      <c r="Q482" s="115"/>
      <c r="AJ482" s="115"/>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row>
    <row r="483" spans="2:94">
      <c r="B483" s="3"/>
      <c r="C483" s="3"/>
      <c r="D483" s="3"/>
      <c r="E483" s="3"/>
      <c r="F483" s="3"/>
      <c r="G483" s="3"/>
      <c r="H483" s="3"/>
      <c r="I483" s="3"/>
      <c r="J483" s="3"/>
      <c r="K483" s="3"/>
      <c r="L483" s="3"/>
      <c r="M483" s="1736"/>
      <c r="N483" s="3"/>
      <c r="O483" s="3"/>
      <c r="P483" s="3"/>
      <c r="Q483" s="115"/>
      <c r="AJ483" s="115"/>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row>
    <row r="484" spans="2:94">
      <c r="B484" s="3"/>
      <c r="C484" s="3"/>
      <c r="D484" s="3"/>
      <c r="E484" s="3"/>
      <c r="F484" s="3"/>
      <c r="G484" s="3"/>
      <c r="H484" s="3"/>
      <c r="I484" s="3"/>
      <c r="J484" s="3"/>
      <c r="K484" s="3"/>
      <c r="L484" s="3"/>
      <c r="M484" s="1736"/>
      <c r="N484" s="3"/>
      <c r="O484" s="3"/>
      <c r="P484" s="3"/>
      <c r="Q484" s="115"/>
      <c r="AJ484" s="115"/>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row>
    <row r="485" spans="2:94">
      <c r="B485" s="3"/>
      <c r="C485" s="3"/>
      <c r="D485" s="3"/>
      <c r="E485" s="3"/>
      <c r="F485" s="3"/>
      <c r="G485" s="3"/>
      <c r="H485" s="3"/>
      <c r="I485" s="3"/>
      <c r="J485" s="3"/>
      <c r="K485" s="3"/>
      <c r="L485" s="3"/>
      <c r="M485" s="1736"/>
      <c r="N485" s="3"/>
      <c r="O485" s="3"/>
      <c r="P485" s="3"/>
      <c r="Q485" s="115"/>
      <c r="AJ485" s="115"/>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row>
    <row r="486" spans="2:94">
      <c r="B486" s="3"/>
      <c r="C486" s="3"/>
      <c r="D486" s="3"/>
      <c r="E486" s="3"/>
      <c r="F486" s="3"/>
      <c r="G486" s="3"/>
      <c r="H486" s="3"/>
      <c r="I486" s="3"/>
      <c r="J486" s="3"/>
      <c r="K486" s="3"/>
      <c r="L486" s="3"/>
      <c r="M486" s="1736"/>
      <c r="N486" s="3"/>
      <c r="O486" s="3"/>
      <c r="P486" s="3"/>
      <c r="Q486" s="115"/>
      <c r="AJ486" s="115"/>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row>
    <row r="487" spans="2:94">
      <c r="B487" s="3"/>
      <c r="C487" s="3"/>
      <c r="D487" s="3"/>
      <c r="E487" s="3"/>
      <c r="F487" s="3"/>
      <c r="G487" s="3"/>
      <c r="H487" s="3"/>
      <c r="I487" s="3"/>
      <c r="J487" s="3"/>
      <c r="K487" s="3"/>
      <c r="L487" s="3"/>
      <c r="M487" s="1736"/>
      <c r="N487" s="3"/>
      <c r="O487" s="3"/>
      <c r="P487" s="3"/>
      <c r="Q487" s="115"/>
      <c r="AJ487" s="115"/>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row>
    <row r="488" spans="2:94">
      <c r="B488" s="3"/>
      <c r="C488" s="3"/>
      <c r="D488" s="3"/>
      <c r="E488" s="3"/>
      <c r="F488" s="3"/>
      <c r="G488" s="3"/>
      <c r="H488" s="3"/>
      <c r="I488" s="3"/>
      <c r="J488" s="3"/>
      <c r="K488" s="3"/>
      <c r="L488" s="3"/>
      <c r="M488" s="1736"/>
      <c r="N488" s="3"/>
      <c r="O488" s="3"/>
      <c r="P488" s="3"/>
      <c r="Q488" s="115"/>
      <c r="AJ488" s="115"/>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row>
    <row r="489" spans="2:94">
      <c r="B489" s="3"/>
      <c r="C489" s="3"/>
      <c r="D489" s="3"/>
      <c r="E489" s="3"/>
      <c r="F489" s="3"/>
      <c r="G489" s="3"/>
      <c r="H489" s="3"/>
      <c r="I489" s="3"/>
      <c r="J489" s="3"/>
      <c r="K489" s="3"/>
      <c r="L489" s="3"/>
      <c r="M489" s="1736"/>
      <c r="N489" s="3"/>
      <c r="O489" s="3"/>
      <c r="P489" s="3"/>
      <c r="Q489" s="115"/>
      <c r="AJ489" s="115"/>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row>
    <row r="490" spans="2:94">
      <c r="B490" s="3"/>
      <c r="C490" s="3"/>
      <c r="D490" s="3"/>
      <c r="E490" s="3"/>
      <c r="F490" s="3"/>
      <c r="G490" s="3"/>
      <c r="H490" s="3"/>
      <c r="I490" s="3"/>
      <c r="J490" s="3"/>
      <c r="K490" s="3"/>
      <c r="L490" s="3"/>
      <c r="M490" s="1736"/>
      <c r="N490" s="3"/>
      <c r="O490" s="3"/>
      <c r="P490" s="3"/>
      <c r="Q490" s="115"/>
      <c r="AJ490" s="115"/>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row>
    <row r="491" spans="2:94">
      <c r="B491" s="3"/>
      <c r="C491" s="3"/>
      <c r="D491" s="3"/>
      <c r="E491" s="3"/>
      <c r="F491" s="3"/>
      <c r="G491" s="3"/>
      <c r="H491" s="3"/>
      <c r="I491" s="3"/>
      <c r="J491" s="3"/>
      <c r="K491" s="3"/>
      <c r="L491" s="3"/>
      <c r="M491" s="1736"/>
      <c r="N491" s="3"/>
      <c r="O491" s="3"/>
      <c r="P491" s="3"/>
      <c r="Q491" s="115"/>
      <c r="AJ491" s="115"/>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row>
    <row r="492" spans="2:94">
      <c r="B492" s="3"/>
      <c r="C492" s="3"/>
      <c r="D492" s="3"/>
      <c r="E492" s="3"/>
      <c r="F492" s="3"/>
      <c r="G492" s="3"/>
      <c r="H492" s="3"/>
      <c r="I492" s="3"/>
      <c r="J492" s="3"/>
      <c r="K492" s="3"/>
      <c r="L492" s="3"/>
      <c r="M492" s="1736"/>
      <c r="N492" s="3"/>
      <c r="O492" s="3"/>
      <c r="P492" s="3"/>
      <c r="Q492" s="115"/>
      <c r="AJ492" s="115"/>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row>
    <row r="493" spans="2:94">
      <c r="B493" s="3"/>
      <c r="C493" s="3"/>
      <c r="D493" s="3"/>
      <c r="E493" s="3"/>
      <c r="F493" s="3"/>
      <c r="G493" s="3"/>
      <c r="H493" s="3"/>
      <c r="I493" s="3"/>
      <c r="J493" s="3"/>
      <c r="K493" s="3"/>
      <c r="L493" s="3"/>
      <c r="M493" s="1736"/>
      <c r="N493" s="3"/>
      <c r="O493" s="3"/>
      <c r="P493" s="3"/>
      <c r="Q493" s="115"/>
      <c r="AJ493" s="115"/>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row>
    <row r="494" spans="2:94">
      <c r="B494" s="3"/>
      <c r="C494" s="3"/>
      <c r="D494" s="3"/>
      <c r="E494" s="3"/>
      <c r="F494" s="3"/>
      <c r="G494" s="3"/>
      <c r="H494" s="3"/>
      <c r="I494" s="3"/>
      <c r="J494" s="3"/>
      <c r="K494" s="3"/>
      <c r="L494" s="3"/>
      <c r="M494" s="1736"/>
      <c r="N494" s="3"/>
      <c r="O494" s="3"/>
      <c r="P494" s="3"/>
      <c r="Q494" s="115"/>
      <c r="AJ494" s="115"/>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row>
    <row r="495" spans="2:94">
      <c r="B495" s="3"/>
      <c r="C495" s="3"/>
      <c r="D495" s="3"/>
      <c r="E495" s="3"/>
      <c r="F495" s="3"/>
      <c r="G495" s="3"/>
      <c r="H495" s="3"/>
      <c r="I495" s="3"/>
      <c r="J495" s="3"/>
      <c r="K495" s="3"/>
      <c r="L495" s="3"/>
      <c r="M495" s="1736"/>
      <c r="N495" s="3"/>
      <c r="O495" s="3"/>
      <c r="P495" s="3"/>
      <c r="Q495" s="115"/>
      <c r="AJ495" s="115"/>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row>
    <row r="496" spans="2:94">
      <c r="B496" s="3"/>
      <c r="C496" s="3"/>
      <c r="D496" s="3"/>
      <c r="E496" s="3"/>
      <c r="F496" s="3"/>
      <c r="G496" s="3"/>
      <c r="H496" s="3"/>
      <c r="I496" s="3"/>
      <c r="J496" s="3"/>
      <c r="K496" s="3"/>
      <c r="L496" s="3"/>
      <c r="M496" s="1736"/>
      <c r="N496" s="3"/>
      <c r="O496" s="3"/>
      <c r="P496" s="3"/>
      <c r="Q496" s="115"/>
      <c r="AJ496" s="115"/>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row>
    <row r="497" spans="2:94">
      <c r="B497" s="3"/>
      <c r="C497" s="3"/>
      <c r="D497" s="3"/>
      <c r="E497" s="3"/>
      <c r="F497" s="3"/>
      <c r="G497" s="3"/>
      <c r="H497" s="3"/>
      <c r="I497" s="3"/>
      <c r="J497" s="3"/>
      <c r="K497" s="3"/>
      <c r="L497" s="3"/>
      <c r="M497" s="1736"/>
      <c r="N497" s="3"/>
      <c r="O497" s="3"/>
      <c r="P497" s="3"/>
      <c r="Q497" s="115"/>
      <c r="AJ497" s="115"/>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row>
    <row r="498" spans="2:94">
      <c r="B498" s="3"/>
      <c r="C498" s="3"/>
      <c r="D498" s="3"/>
      <c r="E498" s="3"/>
      <c r="F498" s="3"/>
      <c r="G498" s="3"/>
      <c r="H498" s="3"/>
      <c r="I498" s="3"/>
      <c r="J498" s="3"/>
      <c r="K498" s="3"/>
      <c r="L498" s="3"/>
      <c r="M498" s="1736"/>
      <c r="N498" s="3"/>
      <c r="O498" s="3"/>
      <c r="P498" s="3"/>
      <c r="Q498" s="115"/>
      <c r="AJ498" s="115"/>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row>
    <row r="499" spans="2:94">
      <c r="B499" s="3"/>
      <c r="C499" s="3"/>
      <c r="D499" s="3"/>
      <c r="E499" s="3"/>
      <c r="F499" s="3"/>
      <c r="G499" s="3"/>
      <c r="H499" s="3"/>
      <c r="I499" s="3"/>
      <c r="J499" s="3"/>
      <c r="K499" s="3"/>
      <c r="L499" s="3"/>
      <c r="M499" s="1736"/>
      <c r="N499" s="3"/>
      <c r="O499" s="3"/>
      <c r="P499" s="3"/>
      <c r="Q499" s="115"/>
      <c r="AJ499" s="115"/>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row>
    <row r="500" spans="2:94">
      <c r="B500" s="3"/>
      <c r="C500" s="3"/>
      <c r="D500" s="3"/>
      <c r="E500" s="3"/>
      <c r="F500" s="3"/>
      <c r="G500" s="3"/>
      <c r="H500" s="3"/>
      <c r="I500" s="3"/>
      <c r="J500" s="3"/>
      <c r="K500" s="3"/>
      <c r="L500" s="3"/>
      <c r="M500" s="1736"/>
      <c r="N500" s="3"/>
      <c r="O500" s="3"/>
      <c r="P500" s="3"/>
      <c r="Q500" s="115"/>
      <c r="AJ500" s="115"/>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row>
    <row r="501" spans="2:94">
      <c r="B501" s="3"/>
      <c r="C501" s="3"/>
      <c r="D501" s="3"/>
      <c r="E501" s="3"/>
      <c r="F501" s="3"/>
      <c r="G501" s="3"/>
      <c r="H501" s="3"/>
      <c r="I501" s="3"/>
      <c r="J501" s="3"/>
      <c r="K501" s="3"/>
      <c r="L501" s="3"/>
      <c r="M501" s="1736"/>
      <c r="N501" s="3"/>
      <c r="O501" s="3"/>
      <c r="P501" s="3"/>
      <c r="Q501" s="115"/>
      <c r="AJ501" s="115"/>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row>
    <row r="502" spans="2:94">
      <c r="B502" s="3"/>
      <c r="C502" s="3"/>
      <c r="D502" s="3"/>
      <c r="E502" s="3"/>
      <c r="F502" s="3"/>
      <c r="G502" s="3"/>
      <c r="H502" s="3"/>
      <c r="I502" s="3"/>
      <c r="J502" s="3"/>
      <c r="K502" s="3"/>
      <c r="L502" s="3"/>
      <c r="M502" s="1736"/>
      <c r="N502" s="3"/>
      <c r="O502" s="3"/>
      <c r="P502" s="3"/>
      <c r="Q502" s="115"/>
      <c r="AJ502" s="115"/>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row>
    <row r="503" spans="2:94">
      <c r="B503" s="3"/>
      <c r="C503" s="3"/>
      <c r="D503" s="3"/>
      <c r="E503" s="3"/>
      <c r="F503" s="3"/>
      <c r="G503" s="3"/>
      <c r="H503" s="3"/>
      <c r="I503" s="3"/>
      <c r="J503" s="3"/>
      <c r="K503" s="3"/>
      <c r="L503" s="3"/>
      <c r="M503" s="1736"/>
      <c r="N503" s="3"/>
      <c r="O503" s="3"/>
      <c r="P503" s="3"/>
      <c r="Q503" s="115"/>
      <c r="AJ503" s="115"/>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row>
    <row r="504" spans="2:94">
      <c r="B504" s="3"/>
      <c r="C504" s="3"/>
      <c r="D504" s="3"/>
      <c r="E504" s="3"/>
      <c r="F504" s="3"/>
      <c r="G504" s="3"/>
      <c r="H504" s="3"/>
      <c r="I504" s="3"/>
      <c r="J504" s="3"/>
      <c r="K504" s="3"/>
      <c r="L504" s="3"/>
      <c r="M504" s="1736"/>
      <c r="N504" s="3"/>
      <c r="O504" s="3"/>
      <c r="P504" s="3"/>
      <c r="Q504" s="115"/>
      <c r="AJ504" s="115"/>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row>
    <row r="505" spans="2:94">
      <c r="B505" s="3"/>
      <c r="C505" s="3"/>
      <c r="D505" s="3"/>
      <c r="E505" s="3"/>
      <c r="F505" s="3"/>
      <c r="G505" s="3"/>
      <c r="H505" s="3"/>
      <c r="I505" s="3"/>
      <c r="J505" s="3"/>
      <c r="K505" s="3"/>
      <c r="L505" s="3"/>
      <c r="M505" s="1736"/>
      <c r="N505" s="3"/>
      <c r="O505" s="3"/>
      <c r="P505" s="3"/>
      <c r="Q505" s="115"/>
      <c r="AJ505" s="115"/>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row>
    <row r="506" spans="2:94">
      <c r="B506" s="3"/>
      <c r="C506" s="3"/>
      <c r="D506" s="3"/>
      <c r="E506" s="3"/>
      <c r="F506" s="3"/>
      <c r="G506" s="3"/>
      <c r="H506" s="3"/>
      <c r="I506" s="3"/>
      <c r="J506" s="3"/>
      <c r="K506" s="3"/>
      <c r="L506" s="3"/>
      <c r="M506" s="1736"/>
      <c r="N506" s="3"/>
      <c r="O506" s="3"/>
      <c r="P506" s="3"/>
      <c r="Q506" s="115"/>
      <c r="AJ506" s="115"/>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row>
    <row r="507" spans="2:94">
      <c r="B507" s="3"/>
      <c r="C507" s="3"/>
      <c r="D507" s="3"/>
      <c r="E507" s="3"/>
      <c r="F507" s="3"/>
      <c r="G507" s="3"/>
      <c r="H507" s="3"/>
      <c r="I507" s="3"/>
      <c r="J507" s="3"/>
      <c r="K507" s="3"/>
      <c r="L507" s="3"/>
      <c r="M507" s="1736"/>
      <c r="N507" s="3"/>
      <c r="O507" s="3"/>
      <c r="P507" s="3"/>
      <c r="Q507" s="115"/>
      <c r="AJ507" s="115"/>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row>
    <row r="508" spans="2:94">
      <c r="B508" s="3"/>
      <c r="C508" s="3"/>
      <c r="D508" s="3"/>
      <c r="E508" s="3"/>
      <c r="F508" s="3"/>
      <c r="G508" s="3"/>
      <c r="H508" s="3"/>
      <c r="I508" s="3"/>
      <c r="J508" s="3"/>
      <c r="K508" s="3"/>
      <c r="L508" s="3"/>
      <c r="M508" s="1736"/>
      <c r="N508" s="3"/>
      <c r="O508" s="3"/>
      <c r="P508" s="3"/>
      <c r="Q508" s="115"/>
      <c r="AJ508" s="115"/>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row>
    <row r="509" spans="2:94">
      <c r="B509" s="3"/>
      <c r="C509" s="3"/>
      <c r="D509" s="3"/>
      <c r="E509" s="3"/>
      <c r="F509" s="3"/>
      <c r="G509" s="3"/>
      <c r="H509" s="3"/>
      <c r="I509" s="3"/>
      <c r="J509" s="3"/>
      <c r="K509" s="3"/>
      <c r="L509" s="3"/>
      <c r="M509" s="1736"/>
      <c r="N509" s="3"/>
      <c r="O509" s="3"/>
      <c r="P509" s="3"/>
      <c r="Q509" s="115"/>
      <c r="AJ509" s="115"/>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row>
    <row r="510" spans="2:94">
      <c r="B510" s="3"/>
      <c r="C510" s="3"/>
      <c r="D510" s="3"/>
      <c r="E510" s="3"/>
      <c r="F510" s="3"/>
      <c r="G510" s="3"/>
      <c r="H510" s="3"/>
      <c r="I510" s="3"/>
      <c r="J510" s="3"/>
      <c r="K510" s="3"/>
      <c r="L510" s="3"/>
      <c r="M510" s="1736"/>
      <c r="N510" s="3"/>
      <c r="O510" s="3"/>
      <c r="P510" s="3"/>
      <c r="Q510" s="115"/>
      <c r="AJ510" s="115"/>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row>
    <row r="511" spans="2:94">
      <c r="B511" s="3"/>
      <c r="C511" s="3"/>
      <c r="D511" s="3"/>
      <c r="E511" s="3"/>
      <c r="F511" s="3"/>
      <c r="G511" s="3"/>
      <c r="H511" s="3"/>
      <c r="I511" s="3"/>
      <c r="J511" s="3"/>
      <c r="K511" s="3"/>
      <c r="L511" s="3"/>
      <c r="M511" s="1736"/>
      <c r="N511" s="3"/>
      <c r="O511" s="3"/>
      <c r="P511" s="3"/>
      <c r="Q511" s="115"/>
      <c r="AJ511" s="115"/>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row>
    <row r="512" spans="2:94">
      <c r="B512" s="3"/>
      <c r="C512" s="3"/>
      <c r="D512" s="3"/>
      <c r="E512" s="3"/>
      <c r="F512" s="3"/>
      <c r="G512" s="3"/>
      <c r="H512" s="3"/>
      <c r="I512" s="3"/>
      <c r="J512" s="3"/>
      <c r="K512" s="3"/>
      <c r="L512" s="3"/>
      <c r="M512" s="1736"/>
      <c r="N512" s="3"/>
      <c r="O512" s="3"/>
      <c r="P512" s="3"/>
      <c r="Q512" s="115"/>
      <c r="AJ512" s="115"/>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row>
    <row r="513" spans="2:94">
      <c r="B513" s="3"/>
      <c r="C513" s="3"/>
      <c r="D513" s="3"/>
      <c r="E513" s="3"/>
      <c r="F513" s="3"/>
      <c r="G513" s="3"/>
      <c r="H513" s="3"/>
      <c r="I513" s="3"/>
      <c r="J513" s="3"/>
      <c r="K513" s="3"/>
      <c r="L513" s="3"/>
      <c r="M513" s="1736"/>
      <c r="N513" s="3"/>
      <c r="O513" s="3"/>
      <c r="P513" s="3"/>
      <c r="Q513" s="115"/>
      <c r="AJ513" s="115"/>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row>
    <row r="514" spans="2:94">
      <c r="B514" s="3"/>
      <c r="C514" s="3"/>
      <c r="D514" s="3"/>
      <c r="E514" s="3"/>
      <c r="F514" s="3"/>
      <c r="G514" s="3"/>
      <c r="H514" s="3"/>
      <c r="I514" s="3"/>
      <c r="J514" s="3"/>
      <c r="K514" s="3"/>
      <c r="L514" s="3"/>
      <c r="M514" s="1736"/>
      <c r="N514" s="3"/>
      <c r="O514" s="3"/>
      <c r="P514" s="3"/>
      <c r="Q514" s="115"/>
      <c r="AJ514" s="115"/>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row>
    <row r="515" spans="2:94">
      <c r="B515" s="3"/>
      <c r="C515" s="3"/>
      <c r="D515" s="3"/>
      <c r="E515" s="3"/>
      <c r="F515" s="3"/>
      <c r="G515" s="3"/>
      <c r="H515" s="3"/>
      <c r="I515" s="3"/>
      <c r="J515" s="3"/>
      <c r="K515" s="3"/>
      <c r="L515" s="3"/>
      <c r="M515" s="1736"/>
      <c r="N515" s="3"/>
      <c r="O515" s="3"/>
      <c r="P515" s="3"/>
      <c r="Q515" s="115"/>
      <c r="AJ515" s="115"/>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row>
    <row r="516" spans="2:94">
      <c r="B516" s="3"/>
      <c r="C516" s="3"/>
      <c r="D516" s="3"/>
      <c r="E516" s="3"/>
      <c r="F516" s="3"/>
      <c r="G516" s="3"/>
      <c r="H516" s="3"/>
      <c r="I516" s="3"/>
      <c r="J516" s="3"/>
      <c r="K516" s="3"/>
      <c r="L516" s="3"/>
      <c r="M516" s="1736"/>
      <c r="N516" s="3"/>
      <c r="O516" s="3"/>
      <c r="P516" s="3"/>
      <c r="Q516" s="115"/>
      <c r="AJ516" s="115"/>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row>
    <row r="517" spans="2:94">
      <c r="B517" s="3"/>
      <c r="C517" s="3"/>
      <c r="D517" s="3"/>
      <c r="E517" s="3"/>
      <c r="F517" s="3"/>
      <c r="G517" s="3"/>
      <c r="H517" s="3"/>
      <c r="I517" s="3"/>
      <c r="J517" s="3"/>
      <c r="K517" s="3"/>
      <c r="L517" s="3"/>
      <c r="M517" s="1736"/>
      <c r="N517" s="3"/>
      <c r="O517" s="3"/>
      <c r="P517" s="3"/>
      <c r="Q517" s="115"/>
      <c r="AJ517" s="115"/>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row>
    <row r="518" spans="2:94">
      <c r="B518" s="3"/>
      <c r="C518" s="3"/>
      <c r="D518" s="3"/>
      <c r="E518" s="3"/>
      <c r="F518" s="3"/>
      <c r="G518" s="3"/>
      <c r="H518" s="3"/>
      <c r="I518" s="3"/>
      <c r="J518" s="3"/>
      <c r="K518" s="3"/>
      <c r="L518" s="3"/>
      <c r="M518" s="1736"/>
      <c r="N518" s="3"/>
      <c r="O518" s="3"/>
      <c r="P518" s="3"/>
      <c r="Q518" s="115"/>
      <c r="AJ518" s="115"/>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row>
    <row r="519" spans="2:94">
      <c r="B519" s="3"/>
      <c r="C519" s="3"/>
      <c r="D519" s="3"/>
      <c r="E519" s="3"/>
      <c r="F519" s="3"/>
      <c r="G519" s="3"/>
      <c r="H519" s="3"/>
      <c r="I519" s="3"/>
      <c r="J519" s="3"/>
      <c r="K519" s="3"/>
      <c r="L519" s="3"/>
      <c r="M519" s="1736"/>
      <c r="N519" s="3"/>
      <c r="O519" s="3"/>
      <c r="P519" s="3"/>
      <c r="Q519" s="115"/>
      <c r="AJ519" s="115"/>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row>
    <row r="520" spans="2:94">
      <c r="B520" s="3"/>
      <c r="C520" s="3"/>
      <c r="D520" s="3"/>
      <c r="E520" s="3"/>
      <c r="F520" s="3"/>
      <c r="G520" s="3"/>
      <c r="H520" s="3"/>
      <c r="I520" s="3"/>
      <c r="J520" s="3"/>
      <c r="K520" s="3"/>
      <c r="L520" s="3"/>
      <c r="M520" s="1736"/>
      <c r="N520" s="3"/>
      <c r="O520" s="3"/>
      <c r="P520" s="3"/>
      <c r="Q520" s="115"/>
      <c r="AJ520" s="115"/>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row>
    <row r="521" spans="2:94">
      <c r="B521" s="3"/>
      <c r="C521" s="3"/>
      <c r="D521" s="3"/>
      <c r="E521" s="3"/>
      <c r="F521" s="3"/>
      <c r="G521" s="3"/>
      <c r="H521" s="3"/>
      <c r="I521" s="3"/>
      <c r="J521" s="3"/>
      <c r="K521" s="3"/>
      <c r="L521" s="3"/>
      <c r="M521" s="1736"/>
      <c r="N521" s="3"/>
      <c r="O521" s="3"/>
      <c r="P521" s="3"/>
      <c r="Q521" s="115"/>
      <c r="AJ521" s="115"/>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row>
    <row r="522" spans="2:94">
      <c r="B522" s="3"/>
      <c r="C522" s="3"/>
      <c r="D522" s="3"/>
      <c r="E522" s="3"/>
      <c r="F522" s="3"/>
      <c r="G522" s="3"/>
      <c r="H522" s="3"/>
      <c r="I522" s="3"/>
      <c r="J522" s="3"/>
      <c r="K522" s="3"/>
      <c r="L522" s="3"/>
      <c r="M522" s="1736"/>
      <c r="N522" s="3"/>
      <c r="O522" s="3"/>
      <c r="P522" s="3"/>
      <c r="Q522" s="115"/>
      <c r="AJ522" s="115"/>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row>
    <row r="523" spans="2:94">
      <c r="B523" s="3"/>
      <c r="C523" s="3"/>
      <c r="D523" s="3"/>
      <c r="E523" s="3"/>
      <c r="F523" s="3"/>
      <c r="G523" s="3"/>
      <c r="H523" s="3"/>
      <c r="I523" s="3"/>
      <c r="J523" s="3"/>
      <c r="K523" s="3"/>
      <c r="L523" s="3"/>
      <c r="M523" s="1736"/>
      <c r="N523" s="3"/>
      <c r="O523" s="3"/>
      <c r="P523" s="3"/>
      <c r="Q523" s="115"/>
      <c r="AJ523" s="115"/>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row>
    <row r="524" spans="2:94">
      <c r="B524" s="3"/>
      <c r="C524" s="3"/>
      <c r="D524" s="3"/>
      <c r="E524" s="3"/>
      <c r="F524" s="3"/>
      <c r="G524" s="3"/>
      <c r="H524" s="3"/>
      <c r="I524" s="3"/>
      <c r="J524" s="3"/>
      <c r="K524" s="3"/>
      <c r="L524" s="3"/>
      <c r="M524" s="1736"/>
      <c r="N524" s="3"/>
      <c r="O524" s="3"/>
      <c r="P524" s="3"/>
      <c r="Q524" s="115"/>
      <c r="AJ524" s="115"/>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row>
    <row r="525" spans="2:94">
      <c r="B525" s="3"/>
      <c r="C525" s="3"/>
      <c r="D525" s="3"/>
      <c r="E525" s="3"/>
      <c r="F525" s="3"/>
      <c r="G525" s="3"/>
      <c r="H525" s="3"/>
      <c r="I525" s="3"/>
      <c r="J525" s="3"/>
      <c r="K525" s="3"/>
      <c r="L525" s="3"/>
      <c r="M525" s="1736"/>
      <c r="N525" s="3"/>
      <c r="O525" s="3"/>
      <c r="P525" s="3"/>
      <c r="Q525" s="115"/>
      <c r="AJ525" s="115"/>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row>
    <row r="526" spans="2:94">
      <c r="B526" s="3"/>
      <c r="C526" s="3"/>
      <c r="D526" s="3"/>
      <c r="E526" s="3"/>
      <c r="F526" s="3"/>
      <c r="G526" s="3"/>
      <c r="H526" s="3"/>
      <c r="I526" s="3"/>
      <c r="J526" s="3"/>
      <c r="K526" s="3"/>
      <c r="L526" s="3"/>
      <c r="M526" s="1736"/>
      <c r="N526" s="3"/>
      <c r="O526" s="3"/>
      <c r="P526" s="3"/>
      <c r="Q526" s="115"/>
      <c r="AJ526" s="115"/>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row>
    <row r="527" spans="2:94">
      <c r="B527" s="3"/>
      <c r="C527" s="3"/>
      <c r="D527" s="3"/>
      <c r="E527" s="3"/>
      <c r="F527" s="3"/>
      <c r="G527" s="3"/>
      <c r="H527" s="3"/>
      <c r="I527" s="3"/>
      <c r="J527" s="3"/>
      <c r="K527" s="3"/>
      <c r="L527" s="3"/>
      <c r="M527" s="1736"/>
      <c r="N527" s="3"/>
      <c r="O527" s="3"/>
      <c r="P527" s="3"/>
      <c r="Q527" s="115"/>
      <c r="AJ527" s="115"/>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row>
    <row r="528" spans="2:94">
      <c r="B528" s="3"/>
      <c r="C528" s="3"/>
      <c r="D528" s="3"/>
      <c r="E528" s="3"/>
      <c r="F528" s="3"/>
      <c r="G528" s="3"/>
      <c r="H528" s="3"/>
      <c r="I528" s="3"/>
      <c r="J528" s="3"/>
      <c r="K528" s="3"/>
      <c r="L528" s="3"/>
      <c r="M528" s="1736"/>
      <c r="N528" s="3"/>
      <c r="O528" s="3"/>
      <c r="P528" s="3"/>
      <c r="Q528" s="115"/>
      <c r="AJ528" s="115"/>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row>
    <row r="529" spans="2:94">
      <c r="B529" s="3"/>
      <c r="C529" s="3"/>
      <c r="D529" s="3"/>
      <c r="E529" s="3"/>
      <c r="F529" s="3"/>
      <c r="G529" s="3"/>
      <c r="H529" s="3"/>
      <c r="I529" s="3"/>
      <c r="J529" s="3"/>
      <c r="K529" s="3"/>
      <c r="L529" s="3"/>
      <c r="M529" s="1736"/>
      <c r="N529" s="3"/>
      <c r="O529" s="3"/>
      <c r="P529" s="3"/>
      <c r="Q529" s="115"/>
      <c r="AJ529" s="115"/>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row>
    <row r="530" spans="2:94">
      <c r="B530" s="3"/>
      <c r="C530" s="3"/>
      <c r="D530" s="3"/>
      <c r="E530" s="3"/>
      <c r="F530" s="3"/>
      <c r="G530" s="3"/>
      <c r="H530" s="3"/>
      <c r="I530" s="3"/>
      <c r="J530" s="3"/>
      <c r="K530" s="3"/>
      <c r="L530" s="3"/>
      <c r="M530" s="1736"/>
      <c r="N530" s="3"/>
      <c r="O530" s="3"/>
      <c r="P530" s="3"/>
      <c r="Q530" s="115"/>
      <c r="AJ530" s="115"/>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row>
    <row r="531" spans="2:94">
      <c r="B531" s="3"/>
      <c r="C531" s="3"/>
      <c r="D531" s="3"/>
      <c r="E531" s="3"/>
      <c r="F531" s="3"/>
      <c r="G531" s="3"/>
      <c r="H531" s="3"/>
      <c r="I531" s="3"/>
      <c r="J531" s="3"/>
      <c r="K531" s="3"/>
      <c r="L531" s="3"/>
      <c r="M531" s="1736"/>
      <c r="N531" s="3"/>
      <c r="O531" s="3"/>
      <c r="P531" s="3"/>
      <c r="Q531" s="115"/>
      <c r="AJ531" s="115"/>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row>
    <row r="532" spans="2:94">
      <c r="B532" s="3"/>
      <c r="C532" s="3"/>
      <c r="D532" s="3"/>
      <c r="E532" s="3"/>
      <c r="F532" s="3"/>
      <c r="G532" s="3"/>
      <c r="H532" s="3"/>
      <c r="I532" s="3"/>
      <c r="J532" s="3"/>
      <c r="K532" s="3"/>
      <c r="L532" s="3"/>
      <c r="M532" s="1736"/>
      <c r="N532" s="3"/>
      <c r="O532" s="3"/>
      <c r="P532" s="3"/>
      <c r="Q532" s="115"/>
      <c r="AJ532" s="115"/>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row>
    <row r="533" spans="2:94">
      <c r="B533" s="3"/>
      <c r="C533" s="3"/>
      <c r="D533" s="3"/>
      <c r="E533" s="3"/>
      <c r="F533" s="3"/>
      <c r="G533" s="3"/>
      <c r="H533" s="3"/>
      <c r="I533" s="3"/>
      <c r="J533" s="3"/>
      <c r="K533" s="3"/>
      <c r="L533" s="3"/>
      <c r="M533" s="1736"/>
      <c r="N533" s="3"/>
      <c r="O533" s="3"/>
      <c r="P533" s="3"/>
      <c r="Q533" s="115"/>
      <c r="AJ533" s="115"/>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row>
    <row r="534" spans="2:94">
      <c r="B534" s="3"/>
      <c r="C534" s="3"/>
      <c r="D534" s="3"/>
      <c r="E534" s="3"/>
      <c r="F534" s="3"/>
      <c r="G534" s="3"/>
      <c r="H534" s="3"/>
      <c r="I534" s="3"/>
      <c r="J534" s="3"/>
      <c r="K534" s="3"/>
      <c r="L534" s="3"/>
      <c r="M534" s="1736"/>
      <c r="N534" s="3"/>
      <c r="O534" s="3"/>
      <c r="P534" s="3"/>
      <c r="Q534" s="115"/>
      <c r="AJ534" s="115"/>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row>
    <row r="535" spans="2:94">
      <c r="B535" s="3"/>
      <c r="C535" s="3"/>
      <c r="D535" s="3"/>
      <c r="E535" s="3"/>
      <c r="F535" s="3"/>
      <c r="G535" s="3"/>
      <c r="H535" s="3"/>
      <c r="I535" s="3"/>
      <c r="J535" s="3"/>
      <c r="K535" s="3"/>
      <c r="L535" s="3"/>
      <c r="M535" s="1736"/>
      <c r="N535" s="3"/>
      <c r="O535" s="3"/>
      <c r="P535" s="3"/>
      <c r="Q535" s="115"/>
      <c r="AJ535" s="115"/>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row>
    <row r="536" spans="2:94">
      <c r="B536" s="3"/>
      <c r="C536" s="3"/>
      <c r="D536" s="3"/>
      <c r="E536" s="3"/>
      <c r="F536" s="3"/>
      <c r="G536" s="3"/>
      <c r="H536" s="3"/>
      <c r="I536" s="3"/>
      <c r="J536" s="3"/>
      <c r="K536" s="3"/>
      <c r="L536" s="3"/>
      <c r="M536" s="1736"/>
      <c r="N536" s="3"/>
      <c r="O536" s="3"/>
      <c r="P536" s="3"/>
      <c r="Q536" s="115"/>
      <c r="AJ536" s="115"/>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row>
    <row r="537" spans="2:94">
      <c r="B537" s="3"/>
      <c r="C537" s="3"/>
      <c r="D537" s="3"/>
      <c r="E537" s="3"/>
      <c r="F537" s="3"/>
      <c r="G537" s="3"/>
      <c r="H537" s="3"/>
      <c r="I537" s="3"/>
      <c r="J537" s="3"/>
      <c r="K537" s="3"/>
      <c r="L537" s="3"/>
      <c r="M537" s="1736"/>
      <c r="N537" s="3"/>
      <c r="O537" s="3"/>
      <c r="P537" s="3"/>
      <c r="Q537" s="115"/>
      <c r="AJ537" s="115"/>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row>
    <row r="538" spans="2:94">
      <c r="B538" s="3"/>
      <c r="C538" s="3"/>
      <c r="D538" s="3"/>
      <c r="E538" s="3"/>
      <c r="F538" s="3"/>
      <c r="G538" s="3"/>
      <c r="H538" s="3"/>
      <c r="I538" s="3"/>
      <c r="J538" s="3"/>
      <c r="K538" s="3"/>
      <c r="L538" s="3"/>
      <c r="M538" s="1736"/>
      <c r="N538" s="3"/>
      <c r="O538" s="3"/>
      <c r="P538" s="3"/>
      <c r="Q538" s="115"/>
      <c r="AJ538" s="115"/>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row>
    <row r="539" spans="2:94">
      <c r="B539" s="3"/>
      <c r="C539" s="3"/>
      <c r="D539" s="3"/>
      <c r="E539" s="3"/>
      <c r="F539" s="3"/>
      <c r="G539" s="3"/>
      <c r="H539" s="3"/>
      <c r="I539" s="3"/>
      <c r="J539" s="3"/>
      <c r="K539" s="3"/>
      <c r="L539" s="3"/>
      <c r="M539" s="1736"/>
      <c r="N539" s="3"/>
      <c r="O539" s="3"/>
      <c r="P539" s="3"/>
      <c r="Q539" s="115"/>
      <c r="AJ539" s="115"/>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row>
    <row r="540" spans="2:94">
      <c r="B540" s="3"/>
      <c r="C540" s="3"/>
      <c r="D540" s="3"/>
      <c r="E540" s="3"/>
      <c r="F540" s="3"/>
      <c r="G540" s="3"/>
      <c r="H540" s="3"/>
      <c r="I540" s="3"/>
      <c r="J540" s="3"/>
      <c r="K540" s="3"/>
      <c r="L540" s="3"/>
      <c r="M540" s="1736"/>
      <c r="N540" s="3"/>
      <c r="O540" s="3"/>
      <c r="P540" s="3"/>
      <c r="Q540" s="115"/>
      <c r="AJ540" s="115"/>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row>
    <row r="541" spans="2:94">
      <c r="B541" s="3"/>
      <c r="C541" s="3"/>
      <c r="D541" s="3"/>
      <c r="E541" s="3"/>
      <c r="F541" s="3"/>
      <c r="G541" s="3"/>
      <c r="H541" s="3"/>
      <c r="I541" s="3"/>
      <c r="J541" s="3"/>
      <c r="K541" s="3"/>
      <c r="L541" s="3"/>
      <c r="M541" s="1736"/>
      <c r="N541" s="3"/>
      <c r="O541" s="3"/>
      <c r="P541" s="3"/>
      <c r="Q541" s="115"/>
      <c r="AJ541" s="115"/>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row>
    <row r="542" spans="2:94">
      <c r="B542" s="3"/>
      <c r="C542" s="3"/>
      <c r="D542" s="3"/>
      <c r="E542" s="3"/>
      <c r="F542" s="3"/>
      <c r="G542" s="3"/>
      <c r="H542" s="3"/>
      <c r="I542" s="3"/>
      <c r="J542" s="3"/>
      <c r="K542" s="3"/>
      <c r="L542" s="3"/>
      <c r="M542" s="1736"/>
      <c r="N542" s="3"/>
      <c r="O542" s="3"/>
      <c r="P542" s="3"/>
      <c r="Q542" s="115"/>
      <c r="AJ542" s="115"/>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row>
    <row r="543" spans="2:94">
      <c r="B543" s="3"/>
      <c r="C543" s="3"/>
      <c r="D543" s="3"/>
      <c r="E543" s="3"/>
      <c r="F543" s="3"/>
      <c r="G543" s="3"/>
      <c r="H543" s="3"/>
      <c r="I543" s="3"/>
      <c r="J543" s="3"/>
      <c r="K543" s="3"/>
      <c r="L543" s="3"/>
      <c r="M543" s="1736"/>
      <c r="N543" s="3"/>
      <c r="O543" s="3"/>
      <c r="P543" s="3"/>
      <c r="Q543" s="115"/>
      <c r="AJ543" s="115"/>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row>
    <row r="544" spans="2:94">
      <c r="B544" s="3"/>
      <c r="C544" s="3"/>
      <c r="D544" s="3"/>
      <c r="E544" s="3"/>
      <c r="F544" s="3"/>
      <c r="G544" s="3"/>
      <c r="H544" s="3"/>
      <c r="I544" s="3"/>
      <c r="J544" s="3"/>
      <c r="K544" s="3"/>
      <c r="L544" s="3"/>
      <c r="M544" s="1736"/>
      <c r="N544" s="3"/>
      <c r="O544" s="3"/>
      <c r="P544" s="3"/>
      <c r="Q544" s="115"/>
      <c r="AJ544" s="115"/>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row>
    <row r="545" spans="2:94">
      <c r="B545" s="3"/>
      <c r="C545" s="3"/>
      <c r="D545" s="3"/>
      <c r="E545" s="3"/>
      <c r="F545" s="3"/>
      <c r="G545" s="3"/>
      <c r="H545" s="3"/>
      <c r="I545" s="3"/>
      <c r="J545" s="3"/>
      <c r="K545" s="3"/>
      <c r="L545" s="3"/>
      <c r="M545" s="1736"/>
      <c r="N545" s="3"/>
      <c r="O545" s="3"/>
      <c r="P545" s="3"/>
      <c r="Q545" s="115"/>
      <c r="AJ545" s="115"/>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row>
    <row r="546" spans="2:94">
      <c r="B546" s="3"/>
      <c r="C546" s="3"/>
      <c r="D546" s="3"/>
      <c r="E546" s="3"/>
      <c r="F546" s="3"/>
      <c r="G546" s="3"/>
      <c r="H546" s="3"/>
      <c r="I546" s="3"/>
      <c r="J546" s="3"/>
      <c r="K546" s="3"/>
      <c r="L546" s="3"/>
      <c r="M546" s="1736"/>
      <c r="N546" s="3"/>
      <c r="O546" s="3"/>
      <c r="P546" s="3"/>
      <c r="Q546" s="115"/>
      <c r="AJ546" s="115"/>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row>
    <row r="547" spans="2:94">
      <c r="B547" s="3"/>
      <c r="C547" s="3"/>
      <c r="D547" s="3"/>
      <c r="E547" s="3"/>
      <c r="F547" s="3"/>
      <c r="G547" s="3"/>
      <c r="H547" s="3"/>
      <c r="I547" s="3"/>
      <c r="J547" s="3"/>
      <c r="K547" s="3"/>
      <c r="L547" s="3"/>
      <c r="M547" s="1736"/>
      <c r="N547" s="3"/>
      <c r="O547" s="3"/>
      <c r="P547" s="3"/>
      <c r="Q547" s="115"/>
      <c r="AJ547" s="115"/>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row>
    <row r="548" spans="2:94">
      <c r="B548" s="3"/>
      <c r="C548" s="3"/>
      <c r="D548" s="3"/>
      <c r="E548" s="3"/>
      <c r="F548" s="3"/>
      <c r="G548" s="3"/>
      <c r="H548" s="3"/>
      <c r="I548" s="3"/>
      <c r="J548" s="3"/>
      <c r="K548" s="3"/>
      <c r="L548" s="3"/>
      <c r="M548" s="1736"/>
      <c r="N548" s="3"/>
      <c r="O548" s="3"/>
      <c r="P548" s="3"/>
      <c r="Q548" s="115"/>
      <c r="AJ548" s="115"/>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row>
    <row r="549" spans="2:94">
      <c r="B549" s="3"/>
      <c r="C549" s="3"/>
      <c r="D549" s="3"/>
      <c r="E549" s="3"/>
      <c r="F549" s="3"/>
      <c r="G549" s="3"/>
      <c r="H549" s="3"/>
      <c r="I549" s="3"/>
      <c r="J549" s="3"/>
      <c r="K549" s="3"/>
      <c r="L549" s="3"/>
      <c r="M549" s="1736"/>
      <c r="N549" s="3"/>
      <c r="O549" s="3"/>
      <c r="P549" s="3"/>
      <c r="Q549" s="115"/>
      <c r="AJ549" s="115"/>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row>
    <row r="550" spans="2:94">
      <c r="B550" s="3"/>
      <c r="C550" s="3"/>
      <c r="D550" s="3"/>
      <c r="E550" s="3"/>
      <c r="F550" s="3"/>
      <c r="G550" s="3"/>
      <c r="H550" s="3"/>
      <c r="I550" s="3"/>
      <c r="J550" s="3"/>
      <c r="K550" s="3"/>
      <c r="L550" s="3"/>
      <c r="M550" s="1736"/>
      <c r="N550" s="3"/>
      <c r="O550" s="3"/>
      <c r="P550" s="3"/>
      <c r="Q550" s="115"/>
      <c r="AJ550" s="115"/>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row>
    <row r="551" spans="2:94">
      <c r="B551" s="3"/>
      <c r="C551" s="3"/>
      <c r="D551" s="3"/>
      <c r="E551" s="3"/>
      <c r="F551" s="3"/>
      <c r="G551" s="3"/>
      <c r="H551" s="3"/>
      <c r="I551" s="3"/>
      <c r="J551" s="3"/>
      <c r="K551" s="3"/>
      <c r="L551" s="3"/>
      <c r="M551" s="1736"/>
      <c r="N551" s="3"/>
      <c r="O551" s="3"/>
      <c r="P551" s="3"/>
      <c r="Q551" s="115"/>
      <c r="AJ551" s="115"/>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row>
    <row r="552" spans="2:94">
      <c r="B552" s="3"/>
      <c r="C552" s="3"/>
      <c r="D552" s="3"/>
      <c r="E552" s="3"/>
      <c r="F552" s="3"/>
      <c r="G552" s="3"/>
      <c r="H552" s="3"/>
      <c r="I552" s="3"/>
      <c r="J552" s="3"/>
      <c r="K552" s="3"/>
      <c r="L552" s="3"/>
      <c r="M552" s="1736"/>
      <c r="N552" s="3"/>
      <c r="O552" s="3"/>
      <c r="P552" s="3"/>
      <c r="Q552" s="115"/>
      <c r="AJ552" s="115"/>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row>
    <row r="553" spans="2:94">
      <c r="B553" s="3"/>
      <c r="C553" s="3"/>
      <c r="D553" s="3"/>
      <c r="E553" s="3"/>
      <c r="F553" s="3"/>
      <c r="G553" s="3"/>
      <c r="H553" s="3"/>
      <c r="I553" s="3"/>
      <c r="J553" s="3"/>
      <c r="K553" s="3"/>
      <c r="L553" s="3"/>
      <c r="M553" s="1736"/>
      <c r="N553" s="3"/>
      <c r="O553" s="3"/>
      <c r="P553" s="3"/>
      <c r="Q553" s="115"/>
      <c r="AJ553" s="115"/>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row>
    <row r="554" spans="2:94">
      <c r="B554" s="3"/>
      <c r="C554" s="3"/>
      <c r="D554" s="3"/>
      <c r="E554" s="3"/>
      <c r="F554" s="3"/>
      <c r="G554" s="3"/>
      <c r="H554" s="3"/>
      <c r="I554" s="3"/>
      <c r="J554" s="3"/>
      <c r="K554" s="3"/>
      <c r="L554" s="3"/>
      <c r="M554" s="1736"/>
      <c r="N554" s="3"/>
      <c r="O554" s="3"/>
      <c r="P554" s="3"/>
      <c r="Q554" s="115"/>
      <c r="AJ554" s="115"/>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row>
    <row r="555" spans="2:94">
      <c r="B555" s="3"/>
      <c r="C555" s="3"/>
      <c r="D555" s="3"/>
      <c r="E555" s="3"/>
      <c r="F555" s="3"/>
      <c r="G555" s="3"/>
      <c r="H555" s="3"/>
      <c r="I555" s="3"/>
      <c r="J555" s="3"/>
      <c r="K555" s="3"/>
      <c r="L555" s="3"/>
      <c r="M555" s="1736"/>
      <c r="N555" s="3"/>
      <c r="O555" s="3"/>
      <c r="P555" s="3"/>
      <c r="Q555" s="115"/>
      <c r="AJ555" s="115"/>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row>
    <row r="556" spans="2:94">
      <c r="B556" s="3"/>
      <c r="C556" s="3"/>
      <c r="D556" s="3"/>
      <c r="E556" s="3"/>
      <c r="F556" s="3"/>
      <c r="G556" s="3"/>
      <c r="H556" s="3"/>
      <c r="I556" s="3"/>
      <c r="J556" s="3"/>
      <c r="K556" s="3"/>
      <c r="L556" s="3"/>
      <c r="M556" s="1736"/>
      <c r="N556" s="3"/>
      <c r="O556" s="3"/>
      <c r="P556" s="3"/>
      <c r="Q556" s="115"/>
      <c r="AJ556" s="115"/>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row>
    <row r="557" spans="2:94">
      <c r="B557" s="3"/>
      <c r="C557" s="3"/>
      <c r="D557" s="3"/>
      <c r="E557" s="3"/>
      <c r="F557" s="3"/>
      <c r="G557" s="3"/>
      <c r="H557" s="3"/>
      <c r="I557" s="3"/>
      <c r="J557" s="3"/>
      <c r="K557" s="3"/>
      <c r="L557" s="3"/>
      <c r="M557" s="1736"/>
      <c r="N557" s="3"/>
      <c r="O557" s="3"/>
      <c r="P557" s="3"/>
      <c r="Q557" s="115"/>
      <c r="AJ557" s="115"/>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row>
    <row r="558" spans="2:94">
      <c r="B558" s="3"/>
      <c r="C558" s="3"/>
      <c r="D558" s="3"/>
      <c r="E558" s="3"/>
      <c r="F558" s="3"/>
      <c r="G558" s="3"/>
      <c r="H558" s="3"/>
      <c r="I558" s="3"/>
      <c r="J558" s="3"/>
      <c r="K558" s="3"/>
      <c r="L558" s="3"/>
      <c r="M558" s="1736"/>
      <c r="N558" s="3"/>
      <c r="O558" s="3"/>
      <c r="P558" s="3"/>
      <c r="Q558" s="115"/>
      <c r="AJ558" s="115"/>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row>
    <row r="559" spans="2:94">
      <c r="B559" s="3"/>
      <c r="C559" s="3"/>
      <c r="D559" s="3"/>
      <c r="E559" s="3"/>
      <c r="F559" s="3"/>
      <c r="G559" s="3"/>
      <c r="H559" s="3"/>
      <c r="I559" s="3"/>
      <c r="J559" s="3"/>
      <c r="K559" s="3"/>
      <c r="L559" s="3"/>
      <c r="M559" s="1736"/>
      <c r="N559" s="3"/>
      <c r="O559" s="3"/>
      <c r="P559" s="3"/>
      <c r="Q559" s="115"/>
      <c r="AJ559" s="115"/>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row>
    <row r="560" spans="2:94">
      <c r="B560" s="3"/>
      <c r="C560" s="3"/>
      <c r="D560" s="3"/>
      <c r="E560" s="3"/>
      <c r="F560" s="3"/>
      <c r="G560" s="3"/>
      <c r="H560" s="3"/>
      <c r="I560" s="3"/>
      <c r="J560" s="3"/>
      <c r="K560" s="3"/>
      <c r="L560" s="3"/>
      <c r="M560" s="1736"/>
      <c r="N560" s="3"/>
      <c r="O560" s="3"/>
      <c r="P560" s="3"/>
      <c r="Q560" s="115"/>
      <c r="AJ560" s="115"/>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row>
    <row r="561" spans="2:94">
      <c r="B561" s="3"/>
      <c r="C561" s="3"/>
      <c r="D561" s="3"/>
      <c r="E561" s="3"/>
      <c r="F561" s="3"/>
      <c r="G561" s="3"/>
      <c r="H561" s="3"/>
      <c r="I561" s="3"/>
      <c r="J561" s="3"/>
      <c r="K561" s="3"/>
      <c r="L561" s="3"/>
      <c r="M561" s="1736"/>
      <c r="N561" s="3"/>
      <c r="O561" s="3"/>
      <c r="P561" s="3"/>
      <c r="Q561" s="115"/>
      <c r="AJ561" s="115"/>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row>
    <row r="562" spans="2:94">
      <c r="B562" s="3"/>
      <c r="C562" s="3"/>
      <c r="D562" s="3"/>
      <c r="E562" s="3"/>
      <c r="F562" s="3"/>
      <c r="G562" s="3"/>
      <c r="H562" s="3"/>
      <c r="I562" s="3"/>
      <c r="J562" s="3"/>
      <c r="K562" s="3"/>
      <c r="L562" s="3"/>
      <c r="M562" s="1736"/>
      <c r="N562" s="3"/>
      <c r="O562" s="3"/>
      <c r="P562" s="3"/>
      <c r="Q562" s="115"/>
      <c r="AJ562" s="115"/>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row>
    <row r="563" spans="2:94">
      <c r="B563" s="3"/>
      <c r="C563" s="3"/>
      <c r="D563" s="3"/>
      <c r="E563" s="3"/>
      <c r="F563" s="3"/>
      <c r="G563" s="3"/>
      <c r="H563" s="3"/>
      <c r="I563" s="3"/>
      <c r="J563" s="3"/>
      <c r="K563" s="3"/>
      <c r="L563" s="3"/>
      <c r="M563" s="1736"/>
      <c r="N563" s="3"/>
      <c r="O563" s="3"/>
      <c r="P563" s="3"/>
      <c r="Q563" s="115"/>
      <c r="AJ563" s="115"/>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row>
    <row r="564" spans="2:94">
      <c r="B564" s="3"/>
      <c r="C564" s="3"/>
      <c r="D564" s="3"/>
      <c r="E564" s="3"/>
      <c r="F564" s="3"/>
      <c r="G564" s="3"/>
      <c r="H564" s="3"/>
      <c r="I564" s="3"/>
      <c r="J564" s="3"/>
      <c r="K564" s="3"/>
      <c r="L564" s="3"/>
      <c r="M564" s="1736"/>
      <c r="N564" s="3"/>
      <c r="O564" s="3"/>
      <c r="P564" s="3"/>
      <c r="Q564" s="115"/>
      <c r="AJ564" s="115"/>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row>
    <row r="565" spans="2:94">
      <c r="B565" s="3"/>
      <c r="C565" s="3"/>
      <c r="D565" s="3"/>
      <c r="E565" s="3"/>
      <c r="F565" s="3"/>
      <c r="G565" s="3"/>
      <c r="H565" s="3"/>
      <c r="I565" s="3"/>
      <c r="J565" s="3"/>
      <c r="K565" s="3"/>
      <c r="L565" s="3"/>
      <c r="M565" s="1736"/>
      <c r="N565" s="3"/>
      <c r="O565" s="3"/>
      <c r="P565" s="3"/>
      <c r="Q565" s="115"/>
      <c r="AJ565" s="115"/>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row>
    <row r="566" spans="2:94">
      <c r="B566" s="3"/>
      <c r="C566" s="3"/>
      <c r="D566" s="3"/>
      <c r="E566" s="3"/>
      <c r="F566" s="3"/>
      <c r="G566" s="3"/>
      <c r="H566" s="3"/>
      <c r="I566" s="3"/>
      <c r="J566" s="3"/>
      <c r="K566" s="3"/>
      <c r="L566" s="3"/>
      <c r="M566" s="1736"/>
      <c r="N566" s="3"/>
      <c r="O566" s="3"/>
      <c r="P566" s="3"/>
      <c r="Q566" s="115"/>
      <c r="AJ566" s="115"/>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row>
    <row r="567" spans="2:94">
      <c r="B567" s="3"/>
      <c r="C567" s="3"/>
      <c r="D567" s="3"/>
      <c r="E567" s="3"/>
      <c r="F567" s="3"/>
      <c r="G567" s="3"/>
      <c r="H567" s="3"/>
      <c r="I567" s="3"/>
      <c r="J567" s="3"/>
      <c r="K567" s="3"/>
      <c r="L567" s="3"/>
      <c r="M567" s="1736"/>
      <c r="N567" s="3"/>
      <c r="O567" s="3"/>
      <c r="P567" s="3"/>
      <c r="Q567" s="115"/>
      <c r="AJ567" s="115"/>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row>
    <row r="568" spans="2:94">
      <c r="B568" s="3"/>
      <c r="C568" s="3"/>
      <c r="D568" s="3"/>
      <c r="E568" s="3"/>
      <c r="F568" s="3"/>
      <c r="G568" s="3"/>
      <c r="H568" s="3"/>
      <c r="I568" s="3"/>
      <c r="J568" s="3"/>
      <c r="K568" s="3"/>
      <c r="L568" s="3"/>
      <c r="M568" s="1736"/>
      <c r="N568" s="3"/>
      <c r="O568" s="3"/>
      <c r="P568" s="3"/>
      <c r="Q568" s="115"/>
      <c r="AJ568" s="115"/>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row>
    <row r="569" spans="2:94">
      <c r="B569" s="3"/>
      <c r="C569" s="3"/>
      <c r="D569" s="3"/>
      <c r="E569" s="3"/>
      <c r="F569" s="3"/>
      <c r="G569" s="3"/>
      <c r="H569" s="3"/>
      <c r="I569" s="3"/>
      <c r="J569" s="3"/>
      <c r="K569" s="3"/>
      <c r="L569" s="3"/>
      <c r="M569" s="1736"/>
      <c r="N569" s="3"/>
      <c r="O569" s="3"/>
      <c r="P569" s="3"/>
      <c r="Q569" s="115"/>
      <c r="AJ569" s="115"/>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row>
    <row r="570" spans="2:94">
      <c r="B570" s="3"/>
      <c r="C570" s="3"/>
      <c r="D570" s="3"/>
      <c r="E570" s="3"/>
      <c r="F570" s="3"/>
      <c r="G570" s="3"/>
      <c r="H570" s="3"/>
      <c r="I570" s="3"/>
      <c r="J570" s="3"/>
      <c r="K570" s="3"/>
      <c r="L570" s="3"/>
      <c r="M570" s="1736"/>
      <c r="N570" s="3"/>
      <c r="O570" s="3"/>
      <c r="P570" s="3"/>
      <c r="Q570" s="115"/>
      <c r="AJ570" s="115"/>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row>
    <row r="571" spans="2:94">
      <c r="B571" s="3"/>
      <c r="C571" s="3"/>
      <c r="D571" s="3"/>
      <c r="E571" s="3"/>
      <c r="F571" s="3"/>
      <c r="G571" s="3"/>
      <c r="H571" s="3"/>
      <c r="I571" s="3"/>
      <c r="J571" s="3"/>
      <c r="K571" s="3"/>
      <c r="L571" s="3"/>
      <c r="M571" s="1736"/>
      <c r="N571" s="3"/>
      <c r="O571" s="3"/>
      <c r="P571" s="3"/>
      <c r="Q571" s="115"/>
      <c r="AJ571" s="115"/>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row>
    <row r="572" spans="2:94">
      <c r="B572" s="3"/>
      <c r="C572" s="3"/>
      <c r="D572" s="3"/>
      <c r="E572" s="3"/>
      <c r="F572" s="3"/>
      <c r="G572" s="3"/>
      <c r="H572" s="3"/>
      <c r="I572" s="3"/>
      <c r="J572" s="3"/>
      <c r="K572" s="3"/>
      <c r="L572" s="3"/>
      <c r="M572" s="1736"/>
      <c r="N572" s="3"/>
      <c r="O572" s="3"/>
      <c r="P572" s="3"/>
      <c r="Q572" s="115"/>
      <c r="AJ572" s="115"/>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row>
    <row r="573" spans="2:94">
      <c r="B573" s="3"/>
      <c r="C573" s="3"/>
      <c r="D573" s="3"/>
      <c r="E573" s="3"/>
      <c r="F573" s="3"/>
      <c r="G573" s="3"/>
      <c r="H573" s="3"/>
      <c r="I573" s="3"/>
      <c r="J573" s="3"/>
      <c r="K573" s="3"/>
      <c r="L573" s="3"/>
      <c r="M573" s="1736"/>
      <c r="N573" s="3"/>
      <c r="O573" s="3"/>
      <c r="P573" s="3"/>
      <c r="Q573" s="115"/>
      <c r="AJ573" s="115"/>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row>
    <row r="574" spans="2:94">
      <c r="B574" s="3"/>
      <c r="C574" s="3"/>
      <c r="D574" s="3"/>
      <c r="E574" s="3"/>
      <c r="F574" s="3"/>
      <c r="G574" s="3"/>
      <c r="H574" s="3"/>
      <c r="I574" s="3"/>
      <c r="J574" s="3"/>
      <c r="K574" s="3"/>
      <c r="L574" s="3"/>
      <c r="M574" s="1736"/>
      <c r="N574" s="3"/>
      <c r="O574" s="3"/>
      <c r="P574" s="3"/>
      <c r="Q574" s="115"/>
      <c r="AJ574" s="115"/>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row>
    <row r="575" spans="2:94">
      <c r="B575" s="3"/>
      <c r="C575" s="3"/>
      <c r="D575" s="3"/>
      <c r="E575" s="3"/>
      <c r="F575" s="3"/>
      <c r="G575" s="3"/>
      <c r="H575" s="3"/>
      <c r="I575" s="3"/>
      <c r="J575" s="3"/>
      <c r="K575" s="3"/>
      <c r="L575" s="3"/>
      <c r="M575" s="1736"/>
      <c r="N575" s="3"/>
      <c r="O575" s="3"/>
      <c r="P575" s="3"/>
      <c r="Q575" s="115"/>
      <c r="AJ575" s="115"/>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row>
    <row r="576" spans="2:94">
      <c r="B576" s="3"/>
      <c r="C576" s="3"/>
      <c r="D576" s="3"/>
      <c r="E576" s="3"/>
      <c r="F576" s="3"/>
      <c r="G576" s="3"/>
      <c r="H576" s="3"/>
      <c r="I576" s="3"/>
      <c r="J576" s="3"/>
      <c r="K576" s="3"/>
      <c r="L576" s="3"/>
      <c r="M576" s="1736"/>
      <c r="N576" s="3"/>
      <c r="O576" s="3"/>
      <c r="P576" s="3"/>
      <c r="Q576" s="115"/>
      <c r="AJ576" s="115"/>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row>
    <row r="577" spans="2:94">
      <c r="B577" s="3"/>
      <c r="C577" s="3"/>
      <c r="D577" s="3"/>
      <c r="E577" s="3"/>
      <c r="F577" s="3"/>
      <c r="G577" s="3"/>
      <c r="H577" s="3"/>
      <c r="I577" s="3"/>
      <c r="J577" s="3"/>
      <c r="K577" s="3"/>
      <c r="L577" s="3"/>
      <c r="M577" s="1736"/>
      <c r="N577" s="3"/>
      <c r="O577" s="3"/>
      <c r="P577" s="3"/>
      <c r="Q577" s="115"/>
      <c r="AJ577" s="115"/>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row>
    <row r="578" spans="2:94">
      <c r="B578" s="3"/>
      <c r="C578" s="3"/>
      <c r="D578" s="3"/>
      <c r="E578" s="3"/>
      <c r="F578" s="3"/>
      <c r="G578" s="3"/>
      <c r="H578" s="3"/>
      <c r="I578" s="3"/>
      <c r="J578" s="3"/>
      <c r="K578" s="3"/>
      <c r="L578" s="3"/>
      <c r="M578" s="1736"/>
      <c r="N578" s="3"/>
      <c r="O578" s="3"/>
      <c r="P578" s="3"/>
      <c r="Q578" s="115"/>
      <c r="AJ578" s="115"/>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row>
    <row r="579" spans="2:94">
      <c r="B579" s="3"/>
      <c r="C579" s="3"/>
      <c r="D579" s="3"/>
      <c r="E579" s="3"/>
      <c r="F579" s="3"/>
      <c r="G579" s="3"/>
      <c r="H579" s="3"/>
      <c r="I579" s="3"/>
      <c r="J579" s="3"/>
      <c r="K579" s="3"/>
      <c r="L579" s="3"/>
      <c r="M579" s="1736"/>
      <c r="N579" s="3"/>
      <c r="O579" s="3"/>
      <c r="P579" s="3"/>
      <c r="Q579" s="115"/>
      <c r="AJ579" s="115"/>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row>
    <row r="580" spans="2:94">
      <c r="B580" s="3"/>
      <c r="C580" s="3"/>
      <c r="D580" s="3"/>
      <c r="E580" s="3"/>
      <c r="F580" s="3"/>
      <c r="G580" s="3"/>
      <c r="H580" s="3"/>
      <c r="I580" s="3"/>
      <c r="J580" s="3"/>
      <c r="K580" s="3"/>
      <c r="L580" s="3"/>
      <c r="M580" s="1736"/>
      <c r="N580" s="3"/>
      <c r="O580" s="3"/>
      <c r="P580" s="3"/>
      <c r="Q580" s="115"/>
      <c r="AJ580" s="115"/>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row>
    <row r="581" spans="2:94">
      <c r="B581" s="3"/>
      <c r="C581" s="3"/>
      <c r="D581" s="3"/>
      <c r="E581" s="3"/>
      <c r="F581" s="3"/>
      <c r="G581" s="3"/>
      <c r="H581" s="3"/>
      <c r="I581" s="3"/>
      <c r="J581" s="3"/>
      <c r="K581" s="3"/>
      <c r="L581" s="3"/>
      <c r="M581" s="1736"/>
      <c r="N581" s="3"/>
      <c r="O581" s="3"/>
      <c r="P581" s="3"/>
      <c r="Q581" s="115"/>
      <c r="AJ581" s="115"/>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row>
    <row r="582" spans="2:94">
      <c r="B582" s="3"/>
      <c r="C582" s="3"/>
      <c r="D582" s="3"/>
      <c r="E582" s="3"/>
      <c r="F582" s="3"/>
      <c r="G582" s="3"/>
      <c r="H582" s="3"/>
      <c r="I582" s="3"/>
      <c r="J582" s="3"/>
      <c r="K582" s="3"/>
      <c r="L582" s="3"/>
      <c r="M582" s="1736"/>
      <c r="N582" s="3"/>
      <c r="O582" s="3"/>
      <c r="P582" s="3"/>
      <c r="Q582" s="115"/>
      <c r="AJ582" s="115"/>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row>
    <row r="583" spans="2:94">
      <c r="B583" s="3"/>
      <c r="C583" s="3"/>
      <c r="D583" s="3"/>
      <c r="E583" s="3"/>
      <c r="F583" s="3"/>
      <c r="G583" s="3"/>
      <c r="H583" s="3"/>
      <c r="I583" s="3"/>
      <c r="J583" s="3"/>
      <c r="K583" s="3"/>
      <c r="L583" s="3"/>
      <c r="M583" s="1736"/>
      <c r="N583" s="3"/>
      <c r="O583" s="3"/>
      <c r="P583" s="3"/>
      <c r="Q583" s="115"/>
      <c r="AJ583" s="115"/>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row>
    <row r="584" spans="2:94">
      <c r="B584" s="3"/>
      <c r="C584" s="3"/>
      <c r="D584" s="3"/>
      <c r="E584" s="3"/>
      <c r="F584" s="3"/>
      <c r="G584" s="3"/>
      <c r="H584" s="3"/>
      <c r="I584" s="3"/>
      <c r="J584" s="3"/>
      <c r="K584" s="3"/>
      <c r="L584" s="3"/>
      <c r="M584" s="1736"/>
      <c r="N584" s="3"/>
      <c r="O584" s="3"/>
      <c r="P584" s="3"/>
      <c r="Q584" s="115"/>
      <c r="AJ584" s="115"/>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row>
    <row r="585" spans="2:94">
      <c r="B585" s="3"/>
      <c r="C585" s="3"/>
      <c r="D585" s="3"/>
      <c r="E585" s="3"/>
      <c r="F585" s="3"/>
      <c r="G585" s="3"/>
      <c r="H585" s="3"/>
      <c r="I585" s="3"/>
      <c r="J585" s="3"/>
      <c r="K585" s="3"/>
      <c r="L585" s="3"/>
      <c r="M585" s="1736"/>
      <c r="N585" s="3"/>
      <c r="O585" s="3"/>
      <c r="P585" s="3"/>
      <c r="Q585" s="115"/>
      <c r="AJ585" s="115"/>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row>
    <row r="586" spans="2:94">
      <c r="B586" s="3"/>
      <c r="C586" s="3"/>
      <c r="D586" s="3"/>
      <c r="E586" s="3"/>
      <c r="F586" s="3"/>
      <c r="G586" s="3"/>
      <c r="H586" s="3"/>
      <c r="I586" s="3"/>
      <c r="J586" s="3"/>
      <c r="K586" s="3"/>
      <c r="L586" s="3"/>
      <c r="M586" s="1736"/>
      <c r="N586" s="3"/>
      <c r="O586" s="3"/>
      <c r="P586" s="3"/>
      <c r="Q586" s="115"/>
      <c r="AJ586" s="115"/>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row>
    <row r="587" spans="2:94">
      <c r="B587" s="3"/>
      <c r="C587" s="3"/>
      <c r="D587" s="3"/>
      <c r="E587" s="3"/>
      <c r="F587" s="3"/>
      <c r="G587" s="3"/>
      <c r="H587" s="3"/>
      <c r="I587" s="3"/>
      <c r="J587" s="3"/>
      <c r="K587" s="3"/>
      <c r="L587" s="3"/>
      <c r="M587" s="1736"/>
      <c r="N587" s="3"/>
      <c r="O587" s="3"/>
      <c r="P587" s="3"/>
      <c r="Q587" s="115"/>
      <c r="AJ587" s="115"/>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row>
    <row r="588" spans="2:94">
      <c r="B588" s="3"/>
      <c r="C588" s="3"/>
      <c r="D588" s="3"/>
      <c r="E588" s="3"/>
      <c r="F588" s="3"/>
      <c r="G588" s="3"/>
      <c r="H588" s="3"/>
      <c r="I588" s="3"/>
      <c r="J588" s="3"/>
      <c r="K588" s="3"/>
      <c r="L588" s="3"/>
      <c r="M588" s="1736"/>
      <c r="N588" s="3"/>
      <c r="O588" s="3"/>
      <c r="P588" s="3"/>
      <c r="Q588" s="115"/>
      <c r="AJ588" s="115"/>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row>
    <row r="589" spans="2:94">
      <c r="B589" s="3"/>
      <c r="C589" s="3"/>
      <c r="D589" s="3"/>
      <c r="E589" s="3"/>
      <c r="F589" s="3"/>
      <c r="G589" s="3"/>
      <c r="H589" s="3"/>
      <c r="I589" s="3"/>
      <c r="J589" s="3"/>
      <c r="K589" s="3"/>
      <c r="L589" s="3"/>
      <c r="M589" s="1736"/>
      <c r="N589" s="3"/>
      <c r="O589" s="3"/>
      <c r="P589" s="3"/>
      <c r="Q589" s="115"/>
      <c r="AJ589" s="115"/>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row>
    <row r="590" spans="2:94">
      <c r="B590" s="3"/>
      <c r="C590" s="3"/>
      <c r="D590" s="3"/>
      <c r="E590" s="3"/>
      <c r="F590" s="3"/>
      <c r="G590" s="3"/>
      <c r="H590" s="3"/>
      <c r="I590" s="3"/>
      <c r="J590" s="3"/>
      <c r="K590" s="3"/>
      <c r="L590" s="3"/>
      <c r="M590" s="1736"/>
      <c r="N590" s="3"/>
      <c r="O590" s="3"/>
      <c r="P590" s="3"/>
      <c r="Q590" s="115"/>
      <c r="AJ590" s="115"/>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row>
    <row r="591" spans="2:94">
      <c r="B591" s="3"/>
      <c r="C591" s="3"/>
      <c r="D591" s="3"/>
      <c r="E591" s="3"/>
      <c r="F591" s="3"/>
      <c r="G591" s="3"/>
      <c r="H591" s="3"/>
      <c r="I591" s="3"/>
      <c r="J591" s="3"/>
      <c r="K591" s="3"/>
      <c r="L591" s="3"/>
      <c r="M591" s="1736"/>
      <c r="N591" s="3"/>
      <c r="O591" s="3"/>
      <c r="P591" s="3"/>
      <c r="Q591" s="115"/>
      <c r="AJ591" s="115"/>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row>
    <row r="592" spans="2:94">
      <c r="B592" s="3"/>
      <c r="C592" s="3"/>
      <c r="D592" s="3"/>
      <c r="E592" s="3"/>
      <c r="F592" s="3"/>
      <c r="G592" s="3"/>
      <c r="H592" s="3"/>
      <c r="I592" s="3"/>
      <c r="J592" s="3"/>
      <c r="K592" s="3"/>
      <c r="L592" s="3"/>
      <c r="M592" s="1736"/>
      <c r="N592" s="3"/>
      <c r="O592" s="3"/>
      <c r="P592" s="3"/>
      <c r="Q592" s="115"/>
      <c r="AJ592" s="115"/>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row>
    <row r="593" spans="2:94">
      <c r="B593" s="3"/>
      <c r="C593" s="3"/>
      <c r="D593" s="3"/>
      <c r="E593" s="3"/>
      <c r="F593" s="3"/>
      <c r="G593" s="3"/>
      <c r="H593" s="3"/>
      <c r="I593" s="3"/>
      <c r="J593" s="3"/>
      <c r="K593" s="3"/>
      <c r="L593" s="3"/>
      <c r="M593" s="1736"/>
      <c r="N593" s="3"/>
      <c r="O593" s="3"/>
      <c r="P593" s="3"/>
      <c r="Q593" s="115"/>
      <c r="AJ593" s="115"/>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row>
    <row r="594" spans="2:94">
      <c r="B594" s="3"/>
      <c r="C594" s="3"/>
      <c r="D594" s="3"/>
      <c r="E594" s="3"/>
      <c r="F594" s="3"/>
      <c r="G594" s="3"/>
      <c r="H594" s="3"/>
      <c r="I594" s="3"/>
      <c r="J594" s="3"/>
      <c r="K594" s="3"/>
      <c r="L594" s="3"/>
      <c r="M594" s="1736"/>
      <c r="N594" s="3"/>
      <c r="O594" s="3"/>
      <c r="P594" s="3"/>
      <c r="Q594" s="115"/>
      <c r="AJ594" s="115"/>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row>
    <row r="595" spans="2:94">
      <c r="B595" s="3"/>
      <c r="C595" s="3"/>
      <c r="D595" s="3"/>
      <c r="E595" s="3"/>
      <c r="F595" s="3"/>
      <c r="G595" s="3"/>
      <c r="H595" s="3"/>
      <c r="I595" s="3"/>
      <c r="J595" s="3"/>
      <c r="K595" s="3"/>
      <c r="L595" s="3"/>
      <c r="M595" s="1736"/>
      <c r="N595" s="3"/>
      <c r="O595" s="3"/>
      <c r="P595" s="3"/>
      <c r="Q595" s="115"/>
      <c r="AJ595" s="115"/>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row>
    <row r="596" spans="2:94">
      <c r="B596" s="3"/>
      <c r="C596" s="3"/>
      <c r="D596" s="3"/>
      <c r="E596" s="3"/>
      <c r="F596" s="3"/>
      <c r="G596" s="3"/>
      <c r="H596" s="3"/>
      <c r="I596" s="3"/>
      <c r="J596" s="3"/>
      <c r="K596" s="3"/>
      <c r="L596" s="3"/>
      <c r="M596" s="1736"/>
      <c r="N596" s="3"/>
      <c r="O596" s="3"/>
      <c r="P596" s="3"/>
      <c r="Q596" s="115"/>
      <c r="AJ596" s="115"/>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row>
    <row r="597" spans="2:94">
      <c r="B597" s="3"/>
      <c r="C597" s="3"/>
      <c r="D597" s="3"/>
      <c r="E597" s="3"/>
      <c r="F597" s="3"/>
      <c r="G597" s="3"/>
      <c r="H597" s="3"/>
      <c r="I597" s="3"/>
      <c r="J597" s="3"/>
      <c r="K597" s="3"/>
      <c r="L597" s="3"/>
      <c r="M597" s="1736"/>
      <c r="N597" s="3"/>
      <c r="O597" s="3"/>
      <c r="P597" s="3"/>
      <c r="Q597" s="115"/>
      <c r="AJ597" s="115"/>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row>
    <row r="598" spans="2:94">
      <c r="B598" s="3"/>
      <c r="C598" s="3"/>
      <c r="D598" s="3"/>
      <c r="E598" s="3"/>
      <c r="F598" s="3"/>
      <c r="G598" s="3"/>
      <c r="H598" s="3"/>
      <c r="I598" s="3"/>
      <c r="J598" s="3"/>
      <c r="K598" s="3"/>
      <c r="L598" s="3"/>
      <c r="M598" s="1736"/>
      <c r="N598" s="3"/>
      <c r="O598" s="3"/>
      <c r="P598" s="3"/>
      <c r="Q598" s="115"/>
      <c r="AJ598" s="115"/>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row>
    <row r="599" spans="2:94">
      <c r="B599" s="3"/>
      <c r="C599" s="3"/>
      <c r="D599" s="3"/>
      <c r="E599" s="3"/>
      <c r="F599" s="3"/>
      <c r="G599" s="3"/>
      <c r="H599" s="3"/>
      <c r="I599" s="3"/>
      <c r="J599" s="3"/>
      <c r="K599" s="3"/>
      <c r="L599" s="3"/>
      <c r="M599" s="1736"/>
      <c r="N599" s="3"/>
      <c r="O599" s="3"/>
      <c r="P599" s="3"/>
      <c r="Q599" s="115"/>
      <c r="AJ599" s="115"/>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row>
    <row r="600" spans="2:94">
      <c r="B600" s="3"/>
      <c r="C600" s="3"/>
      <c r="D600" s="3"/>
      <c r="E600" s="3"/>
      <c r="F600" s="3"/>
      <c r="G600" s="3"/>
      <c r="H600" s="3"/>
      <c r="I600" s="3"/>
      <c r="J600" s="3"/>
      <c r="K600" s="3"/>
      <c r="L600" s="3"/>
      <c r="M600" s="1736"/>
      <c r="N600" s="3"/>
      <c r="O600" s="3"/>
      <c r="P600" s="3"/>
      <c r="Q600" s="115"/>
      <c r="AJ600" s="115"/>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row>
    <row r="601" spans="2:94">
      <c r="B601" s="3"/>
      <c r="C601" s="3"/>
      <c r="D601" s="3"/>
      <c r="E601" s="3"/>
      <c r="F601" s="3"/>
      <c r="G601" s="3"/>
      <c r="H601" s="3"/>
      <c r="I601" s="3"/>
      <c r="J601" s="3"/>
      <c r="K601" s="3"/>
      <c r="L601" s="3"/>
      <c r="M601" s="1736"/>
      <c r="N601" s="3"/>
      <c r="O601" s="3"/>
      <c r="P601" s="3"/>
      <c r="Q601" s="115"/>
      <c r="AJ601" s="115"/>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row>
    <row r="602" spans="2:94">
      <c r="B602" s="3"/>
      <c r="C602" s="3"/>
      <c r="D602" s="3"/>
      <c r="E602" s="3"/>
      <c r="F602" s="3"/>
      <c r="G602" s="3"/>
      <c r="H602" s="3"/>
      <c r="I602" s="3"/>
      <c r="J602" s="3"/>
      <c r="K602" s="3"/>
      <c r="L602" s="3"/>
      <c r="M602" s="1736"/>
      <c r="N602" s="3"/>
      <c r="O602" s="3"/>
      <c r="P602" s="3"/>
      <c r="Q602" s="115"/>
      <c r="AJ602" s="115"/>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row>
    <row r="603" spans="2:94">
      <c r="B603" s="3"/>
      <c r="C603" s="3"/>
      <c r="D603" s="3"/>
      <c r="E603" s="3"/>
      <c r="F603" s="3"/>
      <c r="G603" s="3"/>
      <c r="H603" s="3"/>
      <c r="I603" s="3"/>
      <c r="J603" s="3"/>
      <c r="K603" s="3"/>
      <c r="L603" s="3"/>
      <c r="M603" s="1736"/>
      <c r="N603" s="3"/>
      <c r="O603" s="3"/>
      <c r="P603" s="3"/>
      <c r="Q603" s="115"/>
      <c r="AJ603" s="115"/>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row>
    <row r="604" spans="2:94">
      <c r="B604" s="3"/>
      <c r="C604" s="3"/>
      <c r="D604" s="3"/>
      <c r="E604" s="3"/>
      <c r="F604" s="3"/>
      <c r="G604" s="3"/>
      <c r="H604" s="3"/>
      <c r="I604" s="3"/>
      <c r="J604" s="3"/>
      <c r="K604" s="3"/>
      <c r="L604" s="3"/>
      <c r="M604" s="1736"/>
      <c r="N604" s="3"/>
      <c r="O604" s="3"/>
      <c r="P604" s="3"/>
      <c r="Q604" s="115"/>
      <c r="AJ604" s="115"/>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row>
    <row r="605" spans="2:94">
      <c r="B605" s="3"/>
      <c r="C605" s="3"/>
      <c r="D605" s="3"/>
      <c r="E605" s="3"/>
      <c r="F605" s="3"/>
      <c r="G605" s="3"/>
      <c r="H605" s="3"/>
      <c r="I605" s="3"/>
      <c r="J605" s="3"/>
      <c r="K605" s="3"/>
      <c r="L605" s="3"/>
      <c r="M605" s="1736"/>
      <c r="N605" s="3"/>
      <c r="O605" s="3"/>
      <c r="P605" s="3"/>
      <c r="Q605" s="115"/>
      <c r="AJ605" s="115"/>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row>
    <row r="606" spans="2:94">
      <c r="B606" s="3"/>
      <c r="C606" s="3"/>
      <c r="D606" s="3"/>
      <c r="E606" s="3"/>
      <c r="F606" s="3"/>
      <c r="G606" s="3"/>
      <c r="H606" s="3"/>
      <c r="I606" s="3"/>
      <c r="J606" s="3"/>
      <c r="K606" s="3"/>
      <c r="L606" s="3"/>
      <c r="M606" s="1736"/>
      <c r="N606" s="3"/>
      <c r="O606" s="3"/>
      <c r="P606" s="3"/>
      <c r="Q606" s="115"/>
      <c r="AJ606" s="115"/>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row>
    <row r="607" spans="2:94">
      <c r="B607" s="3"/>
      <c r="C607" s="3"/>
      <c r="D607" s="3"/>
      <c r="E607" s="3"/>
      <c r="F607" s="3"/>
      <c r="G607" s="3"/>
      <c r="H607" s="3"/>
      <c r="I607" s="3"/>
      <c r="J607" s="3"/>
      <c r="K607" s="3"/>
      <c r="L607" s="3"/>
      <c r="M607" s="1736"/>
      <c r="N607" s="3"/>
      <c r="O607" s="3"/>
      <c r="P607" s="3"/>
      <c r="Q607" s="115"/>
      <c r="AJ607" s="115"/>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row>
    <row r="608" spans="2:94">
      <c r="B608" s="3"/>
      <c r="C608" s="3"/>
      <c r="D608" s="3"/>
      <c r="E608" s="3"/>
      <c r="F608" s="3"/>
      <c r="G608" s="3"/>
      <c r="H608" s="3"/>
      <c r="I608" s="3"/>
      <c r="J608" s="3"/>
      <c r="K608" s="3"/>
      <c r="L608" s="3"/>
      <c r="M608" s="1736"/>
      <c r="N608" s="3"/>
      <c r="O608" s="3"/>
      <c r="P608" s="3"/>
      <c r="Q608" s="115"/>
      <c r="AJ608" s="115"/>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row>
    <row r="609" spans="2:94">
      <c r="B609" s="3"/>
      <c r="C609" s="3"/>
      <c r="D609" s="3"/>
      <c r="E609" s="3"/>
      <c r="F609" s="3"/>
      <c r="G609" s="3"/>
      <c r="H609" s="3"/>
      <c r="I609" s="3"/>
      <c r="J609" s="3"/>
      <c r="K609" s="3"/>
      <c r="L609" s="3"/>
      <c r="M609" s="1736"/>
      <c r="N609" s="3"/>
      <c r="O609" s="3"/>
      <c r="P609" s="3"/>
      <c r="Q609" s="115"/>
      <c r="AJ609" s="115"/>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row>
    <row r="610" spans="2:94">
      <c r="B610" s="3"/>
      <c r="C610" s="3"/>
      <c r="D610" s="3"/>
      <c r="E610" s="3"/>
      <c r="F610" s="3"/>
      <c r="G610" s="3"/>
      <c r="H610" s="3"/>
      <c r="I610" s="3"/>
      <c r="J610" s="3"/>
      <c r="K610" s="3"/>
      <c r="L610" s="3"/>
      <c r="M610" s="1736"/>
      <c r="N610" s="3"/>
      <c r="O610" s="3"/>
      <c r="P610" s="3"/>
      <c r="Q610" s="115"/>
      <c r="AJ610" s="115"/>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row>
    <row r="611" spans="2:94">
      <c r="B611" s="3"/>
      <c r="C611" s="3"/>
      <c r="D611" s="3"/>
      <c r="E611" s="3"/>
      <c r="F611" s="3"/>
      <c r="G611" s="3"/>
      <c r="H611" s="3"/>
      <c r="I611" s="3"/>
      <c r="J611" s="3"/>
      <c r="K611" s="3"/>
      <c r="L611" s="3"/>
      <c r="M611" s="1736"/>
      <c r="N611" s="3"/>
      <c r="O611" s="3"/>
      <c r="P611" s="3"/>
      <c r="Q611" s="115"/>
      <c r="AJ611" s="115"/>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row>
    <row r="612" spans="2:94">
      <c r="B612" s="3"/>
      <c r="C612" s="3"/>
      <c r="D612" s="3"/>
      <c r="E612" s="3"/>
      <c r="F612" s="3"/>
      <c r="G612" s="3"/>
      <c r="H612" s="3"/>
      <c r="I612" s="3"/>
      <c r="J612" s="3"/>
      <c r="K612" s="3"/>
      <c r="L612" s="3"/>
      <c r="M612" s="1736"/>
      <c r="N612" s="3"/>
      <c r="O612" s="3"/>
      <c r="P612" s="3"/>
      <c r="Q612" s="115"/>
      <c r="AJ612" s="115"/>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row>
    <row r="613" spans="2:94">
      <c r="B613" s="3"/>
      <c r="C613" s="3"/>
      <c r="D613" s="3"/>
      <c r="E613" s="3"/>
      <c r="F613" s="3"/>
      <c r="G613" s="3"/>
      <c r="H613" s="3"/>
      <c r="I613" s="3"/>
      <c r="J613" s="3"/>
      <c r="K613" s="3"/>
      <c r="L613" s="3"/>
      <c r="M613" s="1736"/>
      <c r="N613" s="3"/>
      <c r="O613" s="3"/>
      <c r="P613" s="3"/>
      <c r="Q613" s="115"/>
      <c r="AJ613" s="115"/>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row>
    <row r="614" spans="2:94">
      <c r="B614" s="3"/>
      <c r="C614" s="3"/>
      <c r="D614" s="3"/>
      <c r="E614" s="3"/>
      <c r="F614" s="3"/>
      <c r="G614" s="3"/>
      <c r="H614" s="3"/>
      <c r="I614" s="3"/>
      <c r="J614" s="3"/>
      <c r="K614" s="3"/>
      <c r="L614" s="3"/>
      <c r="M614" s="1736"/>
      <c r="N614" s="3"/>
      <c r="O614" s="3"/>
      <c r="P614" s="3"/>
      <c r="Q614" s="115"/>
      <c r="AJ614" s="115"/>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row>
    <row r="615" spans="2:94">
      <c r="B615" s="3"/>
      <c r="C615" s="3"/>
      <c r="D615" s="3"/>
      <c r="E615" s="3"/>
      <c r="F615" s="3"/>
      <c r="G615" s="3"/>
      <c r="H615" s="3"/>
      <c r="I615" s="3"/>
      <c r="J615" s="3"/>
      <c r="K615" s="3"/>
      <c r="L615" s="3"/>
      <c r="M615" s="1736"/>
      <c r="N615" s="3"/>
      <c r="O615" s="3"/>
      <c r="P615" s="3"/>
      <c r="Q615" s="115"/>
      <c r="AJ615" s="115"/>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row>
    <row r="616" spans="2:94">
      <c r="B616" s="3"/>
      <c r="C616" s="3"/>
      <c r="D616" s="3"/>
      <c r="E616" s="3"/>
      <c r="F616" s="3"/>
      <c r="G616" s="3"/>
      <c r="H616" s="3"/>
      <c r="I616" s="3"/>
      <c r="J616" s="3"/>
      <c r="K616" s="3"/>
      <c r="L616" s="3"/>
      <c r="M616" s="1736"/>
      <c r="N616" s="3"/>
      <c r="O616" s="3"/>
      <c r="P616" s="3"/>
      <c r="Q616" s="115"/>
      <c r="AJ616" s="115"/>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row>
    <row r="617" spans="2:94">
      <c r="B617" s="3"/>
      <c r="C617" s="3"/>
      <c r="D617" s="3"/>
      <c r="E617" s="3"/>
      <c r="F617" s="3"/>
      <c r="G617" s="3"/>
      <c r="H617" s="3"/>
      <c r="I617" s="3"/>
      <c r="J617" s="3"/>
      <c r="K617" s="3"/>
      <c r="L617" s="3"/>
      <c r="M617" s="1736"/>
      <c r="N617" s="3"/>
      <c r="O617" s="3"/>
      <c r="P617" s="3"/>
      <c r="Q617" s="115"/>
      <c r="AJ617" s="115"/>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row>
    <row r="618" spans="2:94">
      <c r="B618" s="3"/>
      <c r="C618" s="3"/>
      <c r="D618" s="3"/>
      <c r="E618" s="3"/>
      <c r="F618" s="3"/>
      <c r="G618" s="3"/>
      <c r="H618" s="3"/>
      <c r="I618" s="3"/>
      <c r="J618" s="3"/>
      <c r="K618" s="3"/>
      <c r="L618" s="3"/>
      <c r="M618" s="1736"/>
      <c r="N618" s="3"/>
      <c r="O618" s="3"/>
      <c r="P618" s="3"/>
      <c r="Q618" s="115"/>
      <c r="AJ618" s="115"/>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row>
    <row r="619" spans="2:94">
      <c r="B619" s="3"/>
      <c r="C619" s="3"/>
      <c r="D619" s="3"/>
      <c r="E619" s="3"/>
      <c r="F619" s="3"/>
      <c r="G619" s="3"/>
      <c r="H619" s="3"/>
      <c r="I619" s="3"/>
      <c r="J619" s="3"/>
      <c r="K619" s="3"/>
      <c r="L619" s="3"/>
      <c r="M619" s="1736"/>
      <c r="N619" s="3"/>
      <c r="O619" s="3"/>
      <c r="P619" s="3"/>
      <c r="Q619" s="115"/>
      <c r="AJ619" s="115"/>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row>
    <row r="620" spans="2:94">
      <c r="B620" s="3"/>
      <c r="C620" s="3"/>
      <c r="D620" s="3"/>
      <c r="E620" s="3"/>
      <c r="F620" s="3"/>
      <c r="G620" s="3"/>
      <c r="H620" s="3"/>
      <c r="I620" s="3"/>
      <c r="J620" s="3"/>
      <c r="K620" s="3"/>
      <c r="L620" s="3"/>
      <c r="M620" s="1736"/>
      <c r="N620" s="3"/>
      <c r="O620" s="3"/>
      <c r="P620" s="3"/>
      <c r="Q620" s="115"/>
      <c r="AJ620" s="115"/>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row>
    <row r="621" spans="2:94">
      <c r="B621" s="3"/>
      <c r="C621" s="3"/>
      <c r="D621" s="3"/>
      <c r="E621" s="3"/>
      <c r="F621" s="3"/>
      <c r="G621" s="3"/>
      <c r="H621" s="3"/>
      <c r="I621" s="3"/>
      <c r="J621" s="3"/>
      <c r="K621" s="3"/>
      <c r="L621" s="3"/>
      <c r="M621" s="1736"/>
      <c r="N621" s="3"/>
      <c r="O621" s="3"/>
      <c r="P621" s="3"/>
      <c r="Q621" s="115"/>
      <c r="AJ621" s="115"/>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row>
    <row r="622" spans="2:94">
      <c r="B622" s="3"/>
      <c r="C622" s="3"/>
      <c r="D622" s="3"/>
      <c r="E622" s="3"/>
      <c r="F622" s="3"/>
      <c r="G622" s="3"/>
      <c r="H622" s="3"/>
      <c r="I622" s="3"/>
      <c r="J622" s="3"/>
      <c r="K622" s="3"/>
      <c r="L622" s="3"/>
      <c r="M622" s="1736"/>
      <c r="N622" s="3"/>
      <c r="O622" s="3"/>
      <c r="P622" s="3"/>
      <c r="Q622" s="115"/>
      <c r="AJ622" s="115"/>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row>
    <row r="623" spans="2:94">
      <c r="B623" s="3"/>
      <c r="C623" s="3"/>
      <c r="D623" s="3"/>
      <c r="E623" s="3"/>
      <c r="F623" s="3"/>
      <c r="G623" s="3"/>
      <c r="H623" s="3"/>
      <c r="I623" s="3"/>
      <c r="J623" s="3"/>
      <c r="K623" s="3"/>
      <c r="L623" s="3"/>
      <c r="M623" s="1736"/>
      <c r="N623" s="3"/>
      <c r="O623" s="3"/>
      <c r="P623" s="3"/>
      <c r="Q623" s="115"/>
      <c r="AJ623" s="115"/>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row>
    <row r="624" spans="2:94">
      <c r="B624" s="3"/>
      <c r="C624" s="3"/>
      <c r="D624" s="3"/>
      <c r="E624" s="3"/>
      <c r="F624" s="3"/>
      <c r="G624" s="3"/>
      <c r="H624" s="3"/>
      <c r="I624" s="3"/>
      <c r="J624" s="3"/>
      <c r="K624" s="3"/>
      <c r="L624" s="3"/>
      <c r="M624" s="1736"/>
      <c r="N624" s="3"/>
      <c r="O624" s="3"/>
      <c r="P624" s="3"/>
      <c r="Q624" s="115"/>
      <c r="AJ624" s="115"/>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row>
    <row r="625" spans="2:94">
      <c r="B625" s="3"/>
      <c r="C625" s="3"/>
      <c r="D625" s="3"/>
      <c r="E625" s="3"/>
      <c r="F625" s="3"/>
      <c r="G625" s="3"/>
      <c r="H625" s="3"/>
      <c r="I625" s="3"/>
      <c r="J625" s="3"/>
      <c r="K625" s="3"/>
      <c r="L625" s="3"/>
      <c r="M625" s="1736"/>
      <c r="N625" s="3"/>
      <c r="O625" s="3"/>
      <c r="P625" s="3"/>
      <c r="Q625" s="115"/>
      <c r="AJ625" s="115"/>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row>
    <row r="626" spans="2:94">
      <c r="B626" s="3"/>
      <c r="C626" s="3"/>
      <c r="D626" s="3"/>
      <c r="E626" s="3"/>
      <c r="F626" s="3"/>
      <c r="G626" s="3"/>
      <c r="H626" s="3"/>
      <c r="I626" s="3"/>
      <c r="J626" s="3"/>
      <c r="K626" s="3"/>
      <c r="L626" s="3"/>
      <c r="M626" s="1736"/>
      <c r="N626" s="3"/>
      <c r="O626" s="3"/>
      <c r="P626" s="3"/>
      <c r="Q626" s="115"/>
      <c r="AJ626" s="115"/>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row>
    <row r="627" spans="2:94">
      <c r="B627" s="3"/>
      <c r="C627" s="3"/>
      <c r="D627" s="3"/>
      <c r="E627" s="3"/>
      <c r="F627" s="3"/>
      <c r="G627" s="3"/>
      <c r="H627" s="3"/>
      <c r="I627" s="3"/>
      <c r="J627" s="3"/>
      <c r="K627" s="3"/>
      <c r="L627" s="3"/>
      <c r="M627" s="1736"/>
      <c r="N627" s="3"/>
      <c r="O627" s="3"/>
      <c r="P627" s="3"/>
      <c r="Q627" s="115"/>
      <c r="AJ627" s="115"/>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row>
    <row r="628" spans="2:94">
      <c r="B628" s="3"/>
      <c r="C628" s="3"/>
      <c r="D628" s="3"/>
      <c r="E628" s="3"/>
      <c r="F628" s="3"/>
      <c r="G628" s="3"/>
      <c r="H628" s="3"/>
      <c r="I628" s="3"/>
      <c r="J628" s="3"/>
      <c r="K628" s="3"/>
      <c r="L628" s="3"/>
      <c r="M628" s="1736"/>
      <c r="N628" s="3"/>
      <c r="O628" s="3"/>
      <c r="P628" s="3"/>
      <c r="Q628" s="115"/>
      <c r="AJ628" s="115"/>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row>
    <row r="629" spans="2:94">
      <c r="B629" s="3"/>
      <c r="C629" s="3"/>
      <c r="D629" s="3"/>
      <c r="E629" s="3"/>
      <c r="F629" s="3"/>
      <c r="G629" s="3"/>
      <c r="H629" s="3"/>
      <c r="I629" s="3"/>
      <c r="J629" s="3"/>
      <c r="K629" s="3"/>
      <c r="L629" s="3"/>
      <c r="M629" s="1736"/>
      <c r="N629" s="3"/>
      <c r="O629" s="3"/>
      <c r="P629" s="3"/>
      <c r="Q629" s="115"/>
      <c r="AJ629" s="115"/>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row>
    <row r="630" spans="2:94">
      <c r="B630" s="3"/>
      <c r="C630" s="3"/>
      <c r="D630" s="3"/>
      <c r="E630" s="3"/>
      <c r="F630" s="3"/>
      <c r="G630" s="3"/>
      <c r="H630" s="3"/>
      <c r="I630" s="3"/>
      <c r="J630" s="3"/>
      <c r="K630" s="3"/>
      <c r="L630" s="3"/>
      <c r="M630" s="1736"/>
      <c r="N630" s="3"/>
      <c r="O630" s="3"/>
      <c r="P630" s="3"/>
      <c r="Q630" s="115"/>
      <c r="AJ630" s="115"/>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row>
    <row r="631" spans="2:94">
      <c r="B631" s="3"/>
      <c r="C631" s="3"/>
      <c r="D631" s="3"/>
      <c r="E631" s="3"/>
      <c r="F631" s="3"/>
      <c r="G631" s="3"/>
      <c r="H631" s="3"/>
      <c r="I631" s="3"/>
      <c r="J631" s="3"/>
      <c r="K631" s="3"/>
      <c r="L631" s="3"/>
      <c r="M631" s="1736"/>
      <c r="N631" s="3"/>
      <c r="O631" s="3"/>
      <c r="P631" s="3"/>
      <c r="Q631" s="115"/>
      <c r="AJ631" s="115"/>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row>
    <row r="632" spans="2:94">
      <c r="B632" s="3"/>
      <c r="C632" s="3"/>
      <c r="D632" s="3"/>
      <c r="E632" s="3"/>
      <c r="F632" s="3"/>
      <c r="G632" s="3"/>
      <c r="H632" s="3"/>
      <c r="I632" s="3"/>
      <c r="J632" s="3"/>
      <c r="K632" s="3"/>
      <c r="L632" s="3"/>
      <c r="M632" s="1736"/>
      <c r="N632" s="3"/>
      <c r="O632" s="3"/>
      <c r="P632" s="3"/>
      <c r="Q632" s="115"/>
      <c r="AJ632" s="115"/>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row>
    <row r="633" spans="2:94">
      <c r="B633" s="3"/>
      <c r="C633" s="3"/>
      <c r="D633" s="3"/>
      <c r="E633" s="3"/>
      <c r="F633" s="3"/>
      <c r="G633" s="3"/>
      <c r="H633" s="3"/>
      <c r="I633" s="3"/>
      <c r="J633" s="3"/>
      <c r="K633" s="3"/>
      <c r="L633" s="3"/>
      <c r="M633" s="1736"/>
      <c r="N633" s="3"/>
      <c r="O633" s="3"/>
      <c r="P633" s="3"/>
      <c r="Q633" s="115"/>
      <c r="AJ633" s="115"/>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row>
    <row r="634" spans="2:94">
      <c r="B634" s="3"/>
      <c r="C634" s="3"/>
      <c r="D634" s="3"/>
      <c r="E634" s="3"/>
      <c r="F634" s="3"/>
      <c r="G634" s="3"/>
      <c r="H634" s="3"/>
      <c r="I634" s="3"/>
      <c r="J634" s="3"/>
      <c r="K634" s="3"/>
      <c r="L634" s="3"/>
      <c r="M634" s="1736"/>
      <c r="N634" s="3"/>
      <c r="O634" s="3"/>
      <c r="P634" s="3"/>
      <c r="Q634" s="115"/>
      <c r="AJ634" s="115"/>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row>
    <row r="635" spans="2:94">
      <c r="B635" s="3"/>
      <c r="C635" s="3"/>
      <c r="D635" s="3"/>
      <c r="E635" s="3"/>
      <c r="F635" s="3"/>
      <c r="G635" s="3"/>
      <c r="H635" s="3"/>
      <c r="I635" s="3"/>
      <c r="J635" s="3"/>
      <c r="K635" s="3"/>
      <c r="L635" s="3"/>
      <c r="M635" s="1736"/>
      <c r="N635" s="3"/>
      <c r="O635" s="3"/>
      <c r="P635" s="3"/>
      <c r="Q635" s="115"/>
      <c r="AJ635" s="115"/>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row>
    <row r="636" spans="2:94">
      <c r="B636" s="3"/>
      <c r="C636" s="3"/>
      <c r="D636" s="3"/>
      <c r="E636" s="3"/>
      <c r="F636" s="3"/>
      <c r="G636" s="3"/>
      <c r="H636" s="3"/>
      <c r="I636" s="3"/>
      <c r="J636" s="3"/>
      <c r="K636" s="3"/>
      <c r="L636" s="3"/>
      <c r="M636" s="1736"/>
      <c r="N636" s="3"/>
      <c r="O636" s="3"/>
      <c r="P636" s="3"/>
      <c r="Q636" s="115"/>
      <c r="AJ636" s="115"/>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row>
    <row r="637" spans="2:94">
      <c r="B637" s="3"/>
      <c r="C637" s="3"/>
      <c r="D637" s="3"/>
      <c r="E637" s="3"/>
      <c r="F637" s="3"/>
      <c r="G637" s="3"/>
      <c r="H637" s="3"/>
      <c r="I637" s="3"/>
      <c r="J637" s="3"/>
      <c r="K637" s="3"/>
      <c r="L637" s="3"/>
      <c r="M637" s="1736"/>
      <c r="N637" s="3"/>
      <c r="O637" s="3"/>
      <c r="P637" s="3"/>
      <c r="Q637" s="115"/>
      <c r="AJ637" s="115"/>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row>
    <row r="638" spans="2:94">
      <c r="B638" s="3"/>
      <c r="C638" s="3"/>
      <c r="D638" s="3"/>
      <c r="E638" s="3"/>
      <c r="F638" s="3"/>
      <c r="G638" s="3"/>
      <c r="H638" s="3"/>
      <c r="I638" s="3"/>
      <c r="J638" s="3"/>
      <c r="K638" s="3"/>
      <c r="L638" s="3"/>
      <c r="M638" s="1736"/>
      <c r="N638" s="3"/>
      <c r="O638" s="3"/>
      <c r="P638" s="3"/>
      <c r="Q638" s="115"/>
      <c r="AJ638" s="115"/>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row>
    <row r="639" spans="2:94">
      <c r="B639" s="3"/>
      <c r="C639" s="3"/>
      <c r="D639" s="3"/>
      <c r="E639" s="3"/>
      <c r="F639" s="3"/>
      <c r="G639" s="3"/>
      <c r="H639" s="3"/>
      <c r="I639" s="3"/>
      <c r="J639" s="3"/>
      <c r="K639" s="3"/>
      <c r="L639" s="3"/>
      <c r="M639" s="1736"/>
      <c r="N639" s="3"/>
      <c r="O639" s="3"/>
      <c r="P639" s="3"/>
      <c r="Q639" s="115"/>
      <c r="AJ639" s="115"/>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row>
    <row r="640" spans="2:94">
      <c r="B640" s="3"/>
      <c r="C640" s="3"/>
      <c r="D640" s="3"/>
      <c r="E640" s="3"/>
      <c r="F640" s="3"/>
      <c r="G640" s="3"/>
      <c r="H640" s="3"/>
      <c r="I640" s="3"/>
      <c r="J640" s="3"/>
      <c r="K640" s="3"/>
      <c r="L640" s="3"/>
      <c r="M640" s="1736"/>
      <c r="N640" s="3"/>
      <c r="O640" s="3"/>
      <c r="P640" s="3"/>
      <c r="Q640" s="115"/>
      <c r="AJ640" s="115"/>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row>
    <row r="641" spans="2:94">
      <c r="B641" s="3"/>
      <c r="C641" s="3"/>
      <c r="D641" s="3"/>
      <c r="E641" s="3"/>
      <c r="F641" s="3"/>
      <c r="G641" s="3"/>
      <c r="H641" s="3"/>
      <c r="I641" s="3"/>
      <c r="J641" s="3"/>
      <c r="K641" s="3"/>
      <c r="L641" s="3"/>
      <c r="M641" s="1736"/>
      <c r="N641" s="3"/>
      <c r="O641" s="3"/>
      <c r="P641" s="3"/>
      <c r="Q641" s="115"/>
      <c r="AJ641" s="115"/>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row>
    <row r="642" spans="2:94">
      <c r="B642" s="3"/>
      <c r="C642" s="3"/>
      <c r="D642" s="3"/>
      <c r="E642" s="3"/>
      <c r="F642" s="3"/>
      <c r="G642" s="3"/>
      <c r="H642" s="3"/>
      <c r="I642" s="3"/>
      <c r="J642" s="3"/>
      <c r="K642" s="3"/>
      <c r="L642" s="3"/>
      <c r="M642" s="1736"/>
      <c r="N642" s="3"/>
      <c r="O642" s="3"/>
      <c r="P642" s="3"/>
      <c r="Q642" s="115"/>
      <c r="AJ642" s="115"/>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row>
    <row r="643" spans="2:94">
      <c r="B643" s="3"/>
      <c r="C643" s="3"/>
      <c r="D643" s="3"/>
      <c r="E643" s="3"/>
      <c r="F643" s="3"/>
      <c r="G643" s="3"/>
      <c r="H643" s="3"/>
      <c r="I643" s="3"/>
      <c r="J643" s="3"/>
      <c r="K643" s="3"/>
      <c r="L643" s="3"/>
      <c r="M643" s="1736"/>
      <c r="N643" s="3"/>
      <c r="O643" s="3"/>
      <c r="P643" s="3"/>
      <c r="Q643" s="115"/>
      <c r="AJ643" s="115"/>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row>
    <row r="644" spans="2:94">
      <c r="B644" s="3"/>
      <c r="C644" s="3"/>
      <c r="D644" s="3"/>
      <c r="E644" s="3"/>
      <c r="F644" s="3"/>
      <c r="G644" s="3"/>
      <c r="H644" s="3"/>
      <c r="I644" s="3"/>
      <c r="J644" s="3"/>
      <c r="K644" s="3"/>
      <c r="L644" s="3"/>
      <c r="M644" s="1736"/>
      <c r="N644" s="3"/>
      <c r="O644" s="3"/>
      <c r="P644" s="3"/>
      <c r="Q644" s="115"/>
      <c r="AJ644" s="115"/>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row>
    <row r="645" spans="2:94">
      <c r="B645" s="3"/>
      <c r="C645" s="3"/>
      <c r="D645" s="3"/>
      <c r="E645" s="3"/>
      <c r="F645" s="3"/>
      <c r="G645" s="3"/>
      <c r="H645" s="3"/>
      <c r="I645" s="3"/>
      <c r="J645" s="3"/>
      <c r="K645" s="3"/>
      <c r="L645" s="3"/>
      <c r="M645" s="1736"/>
      <c r="N645" s="3"/>
      <c r="O645" s="3"/>
      <c r="P645" s="3"/>
      <c r="Q645" s="115"/>
      <c r="AJ645" s="115"/>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row>
    <row r="646" spans="2:94">
      <c r="B646" s="3"/>
      <c r="C646" s="3"/>
      <c r="D646" s="3"/>
      <c r="E646" s="3"/>
      <c r="F646" s="3"/>
      <c r="G646" s="3"/>
      <c r="H646" s="3"/>
      <c r="I646" s="3"/>
      <c r="J646" s="3"/>
      <c r="K646" s="3"/>
      <c r="L646" s="3"/>
      <c r="M646" s="1736"/>
      <c r="N646" s="3"/>
      <c r="O646" s="3"/>
      <c r="P646" s="3"/>
      <c r="Q646" s="115"/>
      <c r="AJ646" s="115"/>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row>
    <row r="647" spans="2:94">
      <c r="B647" s="3"/>
      <c r="C647" s="3"/>
      <c r="D647" s="3"/>
      <c r="E647" s="3"/>
      <c r="F647" s="3"/>
      <c r="G647" s="3"/>
      <c r="H647" s="3"/>
      <c r="I647" s="3"/>
      <c r="J647" s="3"/>
      <c r="K647" s="3"/>
      <c r="L647" s="3"/>
      <c r="M647" s="1736"/>
      <c r="N647" s="3"/>
      <c r="O647" s="3"/>
      <c r="P647" s="3"/>
      <c r="Q647" s="115"/>
      <c r="AJ647" s="115"/>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row>
    <row r="648" spans="2:94">
      <c r="B648" s="3"/>
      <c r="C648" s="3"/>
      <c r="D648" s="3"/>
      <c r="E648" s="3"/>
      <c r="F648" s="3"/>
      <c r="G648" s="3"/>
      <c r="H648" s="3"/>
      <c r="I648" s="3"/>
      <c r="J648" s="3"/>
      <c r="K648" s="3"/>
      <c r="L648" s="3"/>
      <c r="M648" s="1736"/>
      <c r="N648" s="3"/>
      <c r="O648" s="3"/>
      <c r="P648" s="3"/>
      <c r="Q648" s="115"/>
      <c r="AJ648" s="115"/>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row>
    <row r="649" spans="2:94">
      <c r="B649" s="3"/>
      <c r="C649" s="3"/>
      <c r="D649" s="3"/>
      <c r="E649" s="3"/>
      <c r="F649" s="3"/>
      <c r="G649" s="3"/>
      <c r="H649" s="3"/>
      <c r="I649" s="3"/>
      <c r="J649" s="3"/>
      <c r="K649" s="3"/>
      <c r="L649" s="3"/>
      <c r="M649" s="1736"/>
      <c r="N649" s="3"/>
      <c r="O649" s="3"/>
      <c r="P649" s="3"/>
      <c r="Q649" s="115"/>
      <c r="AJ649" s="115"/>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row>
    <row r="650" spans="2:94">
      <c r="B650" s="3"/>
      <c r="C650" s="3"/>
      <c r="D650" s="3"/>
      <c r="E650" s="3"/>
      <c r="F650" s="3"/>
      <c r="G650" s="3"/>
      <c r="H650" s="3"/>
      <c r="I650" s="3"/>
      <c r="J650" s="3"/>
      <c r="K650" s="3"/>
      <c r="L650" s="3"/>
      <c r="M650" s="1736"/>
      <c r="N650" s="3"/>
      <c r="O650" s="3"/>
      <c r="P650" s="3"/>
      <c r="Q650" s="115"/>
      <c r="AJ650" s="115"/>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row>
    <row r="651" spans="2:94">
      <c r="B651" s="3"/>
      <c r="C651" s="3"/>
      <c r="D651" s="3"/>
      <c r="E651" s="3"/>
      <c r="F651" s="3"/>
      <c r="G651" s="3"/>
      <c r="H651" s="3"/>
      <c r="I651" s="3"/>
      <c r="J651" s="3"/>
      <c r="K651" s="3"/>
      <c r="L651" s="3"/>
      <c r="M651" s="1736"/>
      <c r="N651" s="3"/>
      <c r="O651" s="3"/>
      <c r="P651" s="3"/>
      <c r="Q651" s="115"/>
      <c r="AJ651" s="115"/>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row>
    <row r="652" spans="2:94">
      <c r="B652" s="3"/>
      <c r="C652" s="3"/>
      <c r="D652" s="3"/>
      <c r="E652" s="3"/>
      <c r="F652" s="3"/>
      <c r="G652" s="3"/>
      <c r="H652" s="3"/>
      <c r="I652" s="3"/>
      <c r="J652" s="3"/>
      <c r="K652" s="3"/>
      <c r="L652" s="3"/>
      <c r="M652" s="1736"/>
      <c r="N652" s="3"/>
      <c r="O652" s="3"/>
      <c r="P652" s="3"/>
      <c r="Q652" s="115"/>
      <c r="AJ652" s="115"/>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row>
    <row r="653" spans="2:94">
      <c r="B653" s="3"/>
      <c r="C653" s="3"/>
      <c r="D653" s="3"/>
      <c r="E653" s="3"/>
      <c r="F653" s="3"/>
      <c r="G653" s="3"/>
      <c r="H653" s="3"/>
      <c r="I653" s="3"/>
      <c r="J653" s="3"/>
      <c r="K653" s="3"/>
      <c r="L653" s="3"/>
      <c r="M653" s="1736"/>
      <c r="N653" s="3"/>
      <c r="O653" s="3"/>
      <c r="P653" s="3"/>
      <c r="Q653" s="115"/>
      <c r="AJ653" s="115"/>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row>
    <row r="654" spans="2:94">
      <c r="B654" s="3"/>
      <c r="C654" s="3"/>
      <c r="D654" s="3"/>
      <c r="E654" s="3"/>
      <c r="F654" s="3"/>
      <c r="G654" s="3"/>
      <c r="H654" s="3"/>
      <c r="I654" s="3"/>
      <c r="J654" s="3"/>
      <c r="K654" s="3"/>
      <c r="L654" s="3"/>
      <c r="M654" s="1736"/>
      <c r="N654" s="3"/>
      <c r="O654" s="3"/>
      <c r="P654" s="3"/>
      <c r="Q654" s="115"/>
      <c r="AJ654" s="115"/>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row>
    <row r="655" spans="2:94">
      <c r="B655" s="3"/>
      <c r="C655" s="3"/>
      <c r="D655" s="3"/>
      <c r="E655" s="3"/>
      <c r="F655" s="3"/>
      <c r="G655" s="3"/>
      <c r="H655" s="3"/>
      <c r="I655" s="3"/>
      <c r="J655" s="3"/>
      <c r="K655" s="3"/>
      <c r="L655" s="3"/>
      <c r="M655" s="1736"/>
      <c r="N655" s="3"/>
      <c r="O655" s="3"/>
      <c r="P655" s="3"/>
      <c r="Q655" s="115"/>
      <c r="AJ655" s="115"/>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row>
    <row r="656" spans="2:94">
      <c r="B656" s="3"/>
      <c r="C656" s="3"/>
      <c r="D656" s="3"/>
      <c r="E656" s="3"/>
      <c r="F656" s="3"/>
      <c r="G656" s="3"/>
      <c r="H656" s="3"/>
      <c r="I656" s="3"/>
      <c r="J656" s="3"/>
      <c r="K656" s="3"/>
      <c r="L656" s="3"/>
      <c r="M656" s="1736"/>
      <c r="N656" s="3"/>
      <c r="O656" s="3"/>
      <c r="P656" s="3"/>
      <c r="Q656" s="115"/>
      <c r="AJ656" s="115"/>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row>
    <row r="657" spans="2:94">
      <c r="B657" s="3"/>
      <c r="C657" s="3"/>
      <c r="D657" s="3"/>
      <c r="E657" s="3"/>
      <c r="F657" s="3"/>
      <c r="G657" s="3"/>
      <c r="H657" s="3"/>
      <c r="I657" s="3"/>
      <c r="J657" s="3"/>
      <c r="K657" s="3"/>
      <c r="L657" s="3"/>
      <c r="M657" s="1736"/>
      <c r="N657" s="3"/>
      <c r="O657" s="3"/>
      <c r="P657" s="3"/>
      <c r="Q657" s="115"/>
      <c r="AJ657" s="115"/>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row>
    <row r="658" spans="2:94">
      <c r="B658" s="3"/>
      <c r="C658" s="3"/>
      <c r="D658" s="3"/>
      <c r="E658" s="3"/>
      <c r="F658" s="3"/>
      <c r="G658" s="3"/>
      <c r="H658" s="3"/>
      <c r="I658" s="3"/>
      <c r="J658" s="3"/>
      <c r="K658" s="3"/>
      <c r="L658" s="3"/>
      <c r="M658" s="1736"/>
      <c r="N658" s="3"/>
      <c r="O658" s="3"/>
      <c r="P658" s="3"/>
      <c r="Q658" s="115"/>
      <c r="AJ658" s="115"/>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row>
    <row r="659" spans="2:94">
      <c r="B659" s="3"/>
      <c r="C659" s="3"/>
      <c r="D659" s="3"/>
      <c r="E659" s="3"/>
      <c r="F659" s="3"/>
      <c r="G659" s="3"/>
      <c r="H659" s="3"/>
      <c r="I659" s="3"/>
      <c r="J659" s="3"/>
      <c r="K659" s="3"/>
      <c r="L659" s="3"/>
      <c r="M659" s="1736"/>
      <c r="N659" s="3"/>
      <c r="O659" s="3"/>
      <c r="P659" s="3"/>
      <c r="Q659" s="115"/>
      <c r="AJ659" s="115"/>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row>
    <row r="660" spans="2:94">
      <c r="B660" s="3"/>
      <c r="C660" s="3"/>
      <c r="D660" s="3"/>
      <c r="E660" s="3"/>
      <c r="F660" s="3"/>
      <c r="G660" s="3"/>
      <c r="H660" s="3"/>
      <c r="I660" s="3"/>
      <c r="J660" s="3"/>
      <c r="K660" s="3"/>
      <c r="L660" s="3"/>
      <c r="M660" s="1736"/>
      <c r="N660" s="3"/>
      <c r="O660" s="3"/>
      <c r="P660" s="3"/>
      <c r="Q660" s="115"/>
      <c r="AJ660" s="115"/>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row>
    <row r="661" spans="2:94">
      <c r="B661" s="3"/>
      <c r="C661" s="3"/>
      <c r="D661" s="3"/>
      <c r="E661" s="3"/>
      <c r="F661" s="3"/>
      <c r="G661" s="3"/>
      <c r="H661" s="3"/>
      <c r="I661" s="3"/>
      <c r="J661" s="3"/>
      <c r="K661" s="3"/>
      <c r="L661" s="3"/>
      <c r="M661" s="1736"/>
      <c r="N661" s="3"/>
      <c r="O661" s="3"/>
      <c r="P661" s="3"/>
      <c r="Q661" s="115"/>
      <c r="AJ661" s="115"/>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row>
    <row r="662" spans="2:94">
      <c r="B662" s="3"/>
      <c r="C662" s="3"/>
      <c r="D662" s="3"/>
      <c r="E662" s="3"/>
      <c r="F662" s="3"/>
      <c r="G662" s="3"/>
      <c r="H662" s="3"/>
      <c r="I662" s="3"/>
      <c r="J662" s="3"/>
      <c r="K662" s="3"/>
      <c r="L662" s="3"/>
      <c r="M662" s="1736"/>
      <c r="N662" s="3"/>
      <c r="O662" s="3"/>
      <c r="P662" s="3"/>
      <c r="Q662" s="115"/>
      <c r="AJ662" s="115"/>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row>
    <row r="663" spans="2:94">
      <c r="B663" s="3"/>
      <c r="C663" s="3"/>
      <c r="D663" s="3"/>
      <c r="E663" s="3"/>
      <c r="F663" s="3"/>
      <c r="G663" s="3"/>
      <c r="H663" s="3"/>
      <c r="I663" s="3"/>
      <c r="J663" s="3"/>
      <c r="K663" s="3"/>
      <c r="L663" s="3"/>
      <c r="M663" s="1736"/>
      <c r="N663" s="3"/>
      <c r="O663" s="3"/>
      <c r="P663" s="3"/>
      <c r="Q663" s="115"/>
      <c r="AJ663" s="115"/>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row>
    <row r="664" spans="2:94">
      <c r="B664" s="3"/>
      <c r="C664" s="3"/>
      <c r="D664" s="3"/>
      <c r="E664" s="3"/>
      <c r="F664" s="3"/>
      <c r="G664" s="3"/>
      <c r="H664" s="3"/>
      <c r="I664" s="3"/>
      <c r="J664" s="3"/>
      <c r="K664" s="3"/>
      <c r="L664" s="3"/>
      <c r="M664" s="1736"/>
      <c r="N664" s="3"/>
      <c r="O664" s="3"/>
      <c r="P664" s="3"/>
      <c r="Q664" s="115"/>
      <c r="AJ664" s="115"/>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row>
    <row r="665" spans="2:94">
      <c r="B665" s="3"/>
      <c r="C665" s="3"/>
      <c r="D665" s="3"/>
      <c r="E665" s="3"/>
      <c r="F665" s="3"/>
      <c r="G665" s="3"/>
      <c r="H665" s="3"/>
      <c r="I665" s="3"/>
      <c r="J665" s="3"/>
      <c r="K665" s="3"/>
      <c r="L665" s="3"/>
      <c r="M665" s="1736"/>
      <c r="N665" s="3"/>
      <c r="O665" s="3"/>
      <c r="P665" s="3"/>
      <c r="Q665" s="115"/>
      <c r="AJ665" s="115"/>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row>
    <row r="666" spans="2:94">
      <c r="B666" s="3"/>
      <c r="C666" s="3"/>
      <c r="D666" s="3"/>
      <c r="E666" s="3"/>
      <c r="F666" s="3"/>
      <c r="G666" s="3"/>
      <c r="H666" s="3"/>
      <c r="I666" s="3"/>
      <c r="J666" s="3"/>
      <c r="K666" s="3"/>
      <c r="L666" s="3"/>
      <c r="M666" s="1736"/>
      <c r="N666" s="3"/>
      <c r="O666" s="3"/>
      <c r="P666" s="3"/>
      <c r="Q666" s="115"/>
      <c r="AJ666" s="115"/>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row>
    <row r="667" spans="2:94">
      <c r="B667" s="3"/>
      <c r="C667" s="3"/>
      <c r="D667" s="3"/>
      <c r="E667" s="3"/>
      <c r="F667" s="3"/>
      <c r="G667" s="3"/>
      <c r="H667" s="3"/>
      <c r="I667" s="3"/>
      <c r="J667" s="3"/>
      <c r="K667" s="3"/>
      <c r="L667" s="3"/>
      <c r="M667" s="1736"/>
      <c r="N667" s="3"/>
      <c r="O667" s="3"/>
      <c r="P667" s="3"/>
      <c r="Q667" s="115"/>
      <c r="AJ667" s="115"/>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row>
    <row r="668" spans="2:94">
      <c r="B668" s="3"/>
      <c r="C668" s="3"/>
      <c r="D668" s="3"/>
      <c r="E668" s="3"/>
      <c r="F668" s="3"/>
      <c r="G668" s="3"/>
      <c r="H668" s="3"/>
      <c r="I668" s="3"/>
      <c r="J668" s="3"/>
      <c r="K668" s="3"/>
      <c r="L668" s="3"/>
      <c r="M668" s="1736"/>
      <c r="N668" s="3"/>
      <c r="O668" s="3"/>
      <c r="P668" s="3"/>
      <c r="Q668" s="115"/>
      <c r="AJ668" s="115"/>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row>
    <row r="669" spans="2:94">
      <c r="AJ669" s="115"/>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row>
    <row r="670" spans="2:94">
      <c r="AJ670" s="115"/>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row>
    <row r="671" spans="2:94">
      <c r="AJ671" s="115"/>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row>
    <row r="672" spans="2:94">
      <c r="AJ672" s="115"/>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row>
    <row r="673" spans="36:94">
      <c r="AJ673" s="115"/>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row>
    <row r="674" spans="36:94">
      <c r="AJ674" s="115"/>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row>
    <row r="675" spans="36:94">
      <c r="AJ675" s="115"/>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row>
    <row r="676" spans="36:94">
      <c r="AJ676" s="115"/>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row>
    <row r="677" spans="36:94">
      <c r="AJ677" s="115"/>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row>
    <row r="678" spans="36:94">
      <c r="AJ678" s="115"/>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row>
    <row r="679" spans="36:94">
      <c r="AJ679" s="115"/>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row>
    <row r="680" spans="36:94">
      <c r="AJ680" s="115"/>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row>
    <row r="681" spans="36:94">
      <c r="AJ681" s="115"/>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row>
    <row r="682" spans="36:94">
      <c r="AJ682" s="115"/>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row>
    <row r="683" spans="36:94">
      <c r="AJ683" s="115"/>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row>
    <row r="684" spans="36:94">
      <c r="AJ684" s="115"/>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row>
    <row r="685" spans="36:94">
      <c r="AJ685" s="115"/>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row>
    <row r="686" spans="36:94">
      <c r="AJ686" s="115"/>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row>
    <row r="687" spans="36:94">
      <c r="AJ687" s="115"/>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row>
    <row r="688" spans="36:94">
      <c r="AJ688" s="115"/>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row>
    <row r="689" spans="36:94">
      <c r="AJ689" s="115"/>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row>
    <row r="690" spans="36:94">
      <c r="AJ690" s="115"/>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row>
    <row r="691" spans="36:94">
      <c r="AJ691" s="115"/>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row>
    <row r="692" spans="36:94">
      <c r="AJ692" s="115"/>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row>
    <row r="693" spans="36:94">
      <c r="AJ693" s="115"/>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row>
    <row r="694" spans="36:94">
      <c r="AJ694" s="115"/>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row>
    <row r="695" spans="36:94">
      <c r="AJ695" s="115"/>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row>
    <row r="696" spans="36:94">
      <c r="AJ696" s="115"/>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row>
    <row r="697" spans="36:94">
      <c r="AJ697" s="115"/>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row>
    <row r="698" spans="36:94">
      <c r="AJ698" s="115"/>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row>
    <row r="699" spans="36:94">
      <c r="AJ699" s="115"/>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row>
    <row r="700" spans="36:94">
      <c r="AJ700" s="115"/>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row>
    <row r="701" spans="36:94">
      <c r="AJ701" s="115"/>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row>
    <row r="702" spans="36:94">
      <c r="AJ702" s="115"/>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row>
    <row r="703" spans="36:94">
      <c r="AJ703" s="115"/>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row>
    <row r="704" spans="36:94">
      <c r="AJ704" s="115"/>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row>
    <row r="705" spans="36:94">
      <c r="AJ705" s="115"/>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row>
    <row r="706" spans="36:94">
      <c r="AJ706" s="115"/>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row>
    <row r="707" spans="36:94">
      <c r="AJ707" s="115"/>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row>
    <row r="708" spans="36:94">
      <c r="AJ708" s="115"/>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row>
  </sheetData>
  <sheetProtection algorithmName="SHA-512" hashValue="yD4Reb9BIxaq6p1yy3rY5nMlhPa6T9NgSlo/f/IU3kMNH0rsJnpKGNt0F4yRcAEA74pF6vG/s3qznzEg+ANe1A==" saltValue="UuqenZ7iRDysgcVnfqYeXw==" spinCount="100000" sheet="1" objects="1" scenarios="1" selectLockedCells="1"/>
  <mergeCells count="106">
    <mergeCell ref="D36:M36"/>
    <mergeCell ref="E102:O102"/>
    <mergeCell ref="C30:K30"/>
    <mergeCell ref="C48:D48"/>
    <mergeCell ref="E48:G48"/>
    <mergeCell ref="H48:K48"/>
    <mergeCell ref="H23:K23"/>
    <mergeCell ref="H24:K24"/>
    <mergeCell ref="H25:K25"/>
    <mergeCell ref="H26:K26"/>
    <mergeCell ref="H27:K27"/>
    <mergeCell ref="C23:D23"/>
    <mergeCell ref="C24:D24"/>
    <mergeCell ref="C25:D25"/>
    <mergeCell ref="C26:D26"/>
    <mergeCell ref="C27:D27"/>
    <mergeCell ref="E23:G23"/>
    <mergeCell ref="E24:G24"/>
    <mergeCell ref="E25:G25"/>
    <mergeCell ref="E26:G26"/>
    <mergeCell ref="E27:G27"/>
    <mergeCell ref="C44:O45"/>
    <mergeCell ref="C32:C33"/>
    <mergeCell ref="D32:M33"/>
    <mergeCell ref="D35:M35"/>
    <mergeCell ref="E113:O113"/>
    <mergeCell ref="C257:H267"/>
    <mergeCell ref="J257:O265"/>
    <mergeCell ref="J267:O267"/>
    <mergeCell ref="R59:S59"/>
    <mergeCell ref="D59:O60"/>
    <mergeCell ref="D94:D95"/>
    <mergeCell ref="E114:O114"/>
    <mergeCell ref="E115:O115"/>
    <mergeCell ref="E116:O116"/>
    <mergeCell ref="E131:O131"/>
    <mergeCell ref="E132:O132"/>
    <mergeCell ref="C147:H157"/>
    <mergeCell ref="J147:O155"/>
    <mergeCell ref="J157:O157"/>
    <mergeCell ref="E119:O119"/>
    <mergeCell ref="B221:O222"/>
    <mergeCell ref="C231:H241"/>
    <mergeCell ref="J231:O239"/>
    <mergeCell ref="J241:O241"/>
    <mergeCell ref="E96:O100"/>
    <mergeCell ref="C96:C100"/>
    <mergeCell ref="D96:D100"/>
    <mergeCell ref="D247:G247"/>
    <mergeCell ref="H247:L247"/>
    <mergeCell ref="C123:C124"/>
    <mergeCell ref="D123:D124"/>
    <mergeCell ref="E123:O124"/>
    <mergeCell ref="E125:O125"/>
    <mergeCell ref="E126:O126"/>
    <mergeCell ref="E127:O127"/>
    <mergeCell ref="E128:O128"/>
    <mergeCell ref="E129:O129"/>
    <mergeCell ref="E130:O130"/>
    <mergeCell ref="C51:D51"/>
    <mergeCell ref="E51:G51"/>
    <mergeCell ref="H51:K51"/>
    <mergeCell ref="C50:D50"/>
    <mergeCell ref="E50:G50"/>
    <mergeCell ref="H50:K50"/>
    <mergeCell ref="C49:D49"/>
    <mergeCell ref="E49:G49"/>
    <mergeCell ref="H49:K49"/>
    <mergeCell ref="E101:O101"/>
    <mergeCell ref="C54:K54"/>
    <mergeCell ref="C59:C60"/>
    <mergeCell ref="C94:C95"/>
    <mergeCell ref="E103:O103"/>
    <mergeCell ref="E117:O117"/>
    <mergeCell ref="E118:O118"/>
    <mergeCell ref="C107:C108"/>
    <mergeCell ref="D107:D108"/>
    <mergeCell ref="E107:O108"/>
    <mergeCell ref="E109:O109"/>
    <mergeCell ref="E110:O110"/>
    <mergeCell ref="E111:O111"/>
    <mergeCell ref="E112:O112"/>
    <mergeCell ref="D34:M34"/>
    <mergeCell ref="H250:L250"/>
    <mergeCell ref="B166:O167"/>
    <mergeCell ref="B178:O179"/>
    <mergeCell ref="C192:H202"/>
    <mergeCell ref="J192:O200"/>
    <mergeCell ref="J202:O202"/>
    <mergeCell ref="B205:O206"/>
    <mergeCell ref="B209:O211"/>
    <mergeCell ref="B215:O216"/>
    <mergeCell ref="D250:G250"/>
    <mergeCell ref="D248:G249"/>
    <mergeCell ref="H248:L248"/>
    <mergeCell ref="H249:L249"/>
    <mergeCell ref="C248:C249"/>
    <mergeCell ref="E94:O95"/>
    <mergeCell ref="D61:O63"/>
    <mergeCell ref="C61:C63"/>
    <mergeCell ref="C70:H80"/>
    <mergeCell ref="J70:O78"/>
    <mergeCell ref="J80:O80"/>
    <mergeCell ref="B84:O85"/>
    <mergeCell ref="B87:O88"/>
    <mergeCell ref="C42:O43"/>
  </mergeCells>
  <conditionalFormatting sqref="A4">
    <cfRule type="cellIs" dxfId="216" priority="11" operator="equal">
      <formula>"In Progress"</formula>
    </cfRule>
    <cfRule type="cellIs" dxfId="215" priority="12" operator="equal">
      <formula>"Not Started"</formula>
    </cfRule>
    <cfRule type="cellIs" dxfId="214" priority="13" operator="equal">
      <formula>"Completed"</formula>
    </cfRule>
  </conditionalFormatting>
  <conditionalFormatting sqref="B160">
    <cfRule type="expression" dxfId="213" priority="1">
      <formula>NOT(#REF!)</formula>
    </cfRule>
  </conditionalFormatting>
  <conditionalFormatting sqref="B205 C207:L207">
    <cfRule type="expression" dxfId="212" priority="3">
      <formula>NOT(AND(#REF!,#REF!))</formula>
    </cfRule>
  </conditionalFormatting>
  <conditionalFormatting sqref="C247">
    <cfRule type="expression" dxfId="211" priority="8">
      <formula>NOT(#REF!)</formula>
    </cfRule>
  </conditionalFormatting>
  <conditionalFormatting sqref="C90:D90">
    <cfRule type="expression" dxfId="210" priority="230">
      <formula>NOT(AB90)</formula>
    </cfRule>
  </conditionalFormatting>
  <conditionalFormatting sqref="E90">
    <cfRule type="expression" dxfId="209" priority="229">
      <formula>NOT(AC90)</formula>
    </cfRule>
  </conditionalFormatting>
  <conditionalFormatting sqref="F90">
    <cfRule type="expression" dxfId="208" priority="228">
      <formula>NOT(AC90)</formula>
    </cfRule>
  </conditionalFormatting>
  <conditionalFormatting sqref="G90">
    <cfRule type="expression" dxfId="207" priority="227">
      <formula>NOT(AC90)</formula>
    </cfRule>
  </conditionalFormatting>
  <conditionalFormatting sqref="H90">
    <cfRule type="expression" dxfId="206" priority="226">
      <formula>NOT(AC90)</formula>
    </cfRule>
  </conditionalFormatting>
  <conditionalFormatting sqref="I90">
    <cfRule type="expression" dxfId="205" priority="225">
      <formula>NOT(AC90)</formula>
    </cfRule>
  </conditionalFormatting>
  <conditionalFormatting sqref="J90">
    <cfRule type="expression" dxfId="204" priority="224">
      <formula>NOT(AC90)</formula>
    </cfRule>
  </conditionalFormatting>
  <conditionalFormatting sqref="K90">
    <cfRule type="expression" dxfId="203" priority="223">
      <formula>NOT(AC90)</formula>
    </cfRule>
  </conditionalFormatting>
  <conditionalFormatting sqref="L90">
    <cfRule type="expression" dxfId="202" priority="7">
      <formula>NOT(AC90)</formula>
    </cfRule>
  </conditionalFormatting>
  <dataValidations count="5">
    <dataValidation type="list" allowBlank="1" showInputMessage="1" showErrorMessage="1" sqref="AC12 F160 C61 C109:C119 C96 C101:C103 D134:K134 C125:C132 E140:K140 E136:K136 E138:K138 C34:C36" xr:uid="{5B42177E-9E1F-44EB-B606-1D3BC64112F6}">
      <formula1>YesNo</formula1>
    </dataValidation>
    <dataValidation type="custom" allowBlank="1" showInputMessage="1" showErrorMessage="1" sqref="M1" xr:uid="{F69C9D9E-A579-41BF-9E0F-0F6C19F099EF}">
      <formula1>"&lt;0&gt;0"</formula1>
    </dataValidation>
    <dataValidation allowBlank="1" showInputMessage="1" showErrorMessage="1" sqref="D130" xr:uid="{321D5F70-0F36-4827-85AC-3EDEB4906912}"/>
    <dataValidation type="list" allowBlank="1" showInputMessage="1" showErrorMessage="1" sqref="C30:K30" xr:uid="{7B480756-F923-4ED2-BDAF-D6BD1F64CE4D}">
      <formula1>$R$21:$R$28</formula1>
    </dataValidation>
    <dataValidation type="list" allowBlank="1" showInputMessage="1" showErrorMessage="1" sqref="C54:K54" xr:uid="{77C95F39-EE2E-4A3D-BFC6-4EE3DCF5172E}">
      <formula1>$R$47:$R$52</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A68-BA6D-4F7F-A89C-4D5517100CD0}">
  <sheetPr codeName="Sheet30">
    <pageSetUpPr fitToPage="1"/>
  </sheetPr>
  <dimension ref="A1:CR584"/>
  <sheetViews>
    <sheetView workbookViewId="0">
      <selection activeCell="C98" sqref="C98:J108"/>
    </sheetView>
  </sheetViews>
  <sheetFormatPr defaultColWidth="8.85546875" defaultRowHeight="15"/>
  <cols>
    <col min="1" max="1" width="5.85546875" customWidth="1"/>
    <col min="2" max="2" width="8.7109375" customWidth="1"/>
    <col min="3" max="5" width="8.85546875" customWidth="1"/>
    <col min="6" max="6" width="10.7109375" customWidth="1"/>
    <col min="7" max="7" width="8.85546875" customWidth="1"/>
    <col min="13" max="13" width="7.42578125" customWidth="1"/>
    <col min="14" max="14" width="9" customWidth="1"/>
    <col min="15" max="15" width="9.140625" customWidth="1"/>
    <col min="16" max="16" width="9.42578125" customWidth="1"/>
    <col min="17" max="17" width="7.140625" customWidth="1"/>
    <col min="18" max="18" width="7.7109375" customWidth="1"/>
    <col min="19" max="19" width="8.7109375" customWidth="1"/>
    <col min="20" max="20" width="7.7109375" customWidth="1"/>
    <col min="21" max="21" width="7.85546875" customWidth="1"/>
    <col min="22" max="22" width="8.7109375" style="547" customWidth="1"/>
    <col min="23" max="23" width="17.5703125" style="9" customWidth="1"/>
    <col min="24" max="24" width="16.7109375" style="9" customWidth="1"/>
    <col min="25" max="25" width="15.7109375" style="9" bestFit="1" customWidth="1"/>
    <col min="26" max="26" width="18.28515625" style="9" bestFit="1" customWidth="1"/>
    <col min="27" max="28" width="15.7109375" style="9" bestFit="1" customWidth="1"/>
    <col min="29" max="29" width="27.28515625" style="9" bestFit="1" customWidth="1"/>
    <col min="30" max="30" width="22.7109375" style="9" bestFit="1" customWidth="1"/>
    <col min="31" max="31" width="8.85546875" style="9"/>
    <col min="32" max="33" width="11.140625" style="9" bestFit="1" customWidth="1"/>
    <col min="34" max="34" width="8.85546875" style="9"/>
    <col min="35" max="36" width="11.140625" style="9" bestFit="1" customWidth="1"/>
    <col min="37" max="46" width="8.85546875" style="9"/>
  </cols>
  <sheetData>
    <row r="1" spans="1:94" ht="28.5">
      <c r="A1" s="513"/>
      <c r="B1" s="2613" t="str">
        <f>'1. TOC'!B1</f>
        <v>WHEDA 2025 Multifamily Application</v>
      </c>
      <c r="C1" s="2614"/>
      <c r="D1" s="2614"/>
      <c r="E1" s="2614"/>
      <c r="F1" s="2614"/>
      <c r="G1" s="2614"/>
      <c r="H1" s="2614"/>
      <c r="I1" s="2614"/>
      <c r="J1" s="3"/>
      <c r="K1" s="3"/>
      <c r="L1" s="115" t="str">
        <f>'1. TOC'!L1</f>
        <v>v25.1.12</v>
      </c>
      <c r="M1" s="97"/>
      <c r="N1" s="9"/>
      <c r="O1" s="9"/>
      <c r="P1" s="948" t="str">
        <f>HYPERLINK("#Table_of_Contents", Table_of_Contents)</f>
        <v>Table of Contents</v>
      </c>
      <c r="Q1" s="9"/>
      <c r="R1" s="9"/>
      <c r="S1" s="9"/>
      <c r="T1" s="9"/>
      <c r="U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row>
    <row r="2" spans="1:94" s="62" customFormat="1" ht="21">
      <c r="A2" s="855"/>
      <c r="B2" s="886" t="str">
        <f>_xlfn.CONCAT(IF(ISBLANK(WHEDA_Project_Number),"",_xlfn.CONCAT(WHEDA_Project_Number," - ")), Project_Name, IF(ISBLANK(Credit_percentage_applied_for),"",_xlfn.CONCAT(" - ", Credit_percentage_applied_for," HTC")))</f>
        <v/>
      </c>
      <c r="C2" s="781"/>
      <c r="D2" s="781"/>
      <c r="E2" s="781"/>
      <c r="H2" s="782"/>
      <c r="J2" s="782"/>
      <c r="M2" s="782"/>
      <c r="O2" s="767"/>
      <c r="P2" s="767"/>
      <c r="Q2" s="767"/>
      <c r="R2" s="767"/>
      <c r="S2" s="767"/>
      <c r="T2" s="767"/>
      <c r="U2" s="767"/>
      <c r="V2" s="547"/>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767"/>
      <c r="BU2" s="767"/>
      <c r="BV2" s="767"/>
      <c r="BW2" s="767"/>
      <c r="BX2" s="767"/>
    </row>
    <row r="3" spans="1:94" s="166" customFormat="1" ht="15.75">
      <c r="A3" s="855"/>
      <c r="B3" s="897"/>
      <c r="C3" s="898"/>
      <c r="D3" s="898"/>
      <c r="E3" s="898"/>
      <c r="H3" s="397"/>
      <c r="J3" s="397"/>
      <c r="M3" s="397"/>
      <c r="O3" s="11"/>
      <c r="P3" s="11"/>
      <c r="Q3" s="11"/>
      <c r="R3" s="11"/>
      <c r="S3" s="11"/>
      <c r="T3" s="11"/>
      <c r="U3" s="11"/>
      <c r="V3" s="1448"/>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94" s="900" customFormat="1" ht="28.5">
      <c r="A4" s="899" t="s">
        <v>5286</v>
      </c>
      <c r="B4" s="4" t="s">
        <v>5287</v>
      </c>
      <c r="C4" s="4"/>
      <c r="D4" s="4"/>
      <c r="E4" s="4"/>
      <c r="F4" s="4"/>
      <c r="H4" s="901"/>
      <c r="I4" s="902"/>
      <c r="J4" s="903"/>
      <c r="K4" s="902"/>
      <c r="L4" s="902"/>
      <c r="M4" s="903"/>
      <c r="N4" s="902"/>
      <c r="O4" s="902"/>
      <c r="P4" s="902"/>
      <c r="V4" s="1449"/>
      <c r="W4" s="1432"/>
      <c r="X4" s="1432"/>
      <c r="Y4" s="1432"/>
      <c r="Z4" s="1432"/>
      <c r="AA4" s="1432"/>
      <c r="AB4" s="1432"/>
      <c r="AC4" s="1432"/>
      <c r="AD4" s="1432"/>
      <c r="AE4" s="1432"/>
      <c r="AF4" s="1432"/>
      <c r="AG4" s="1432"/>
      <c r="AH4" s="1432"/>
      <c r="AI4" s="1432"/>
      <c r="AJ4" s="1432"/>
      <c r="AK4" s="1432"/>
      <c r="AL4" s="1432"/>
      <c r="AM4" s="1432"/>
      <c r="AN4" s="1432"/>
      <c r="AO4" s="1432"/>
      <c r="AP4" s="1432"/>
      <c r="AQ4" s="1432"/>
      <c r="AR4" s="1432"/>
      <c r="AS4" s="1432"/>
      <c r="AT4" s="1432"/>
    </row>
    <row r="5" spans="1:94" s="3" customFormat="1" ht="21">
      <c r="A5" s="856"/>
      <c r="B5" s="852" t="s">
        <v>5288</v>
      </c>
      <c r="C5" s="896"/>
      <c r="D5" s="896"/>
      <c r="E5" s="896"/>
      <c r="F5" s="896"/>
      <c r="H5" s="17"/>
      <c r="I5" s="115"/>
      <c r="J5" s="272"/>
      <c r="K5" s="115"/>
      <c r="L5" s="115"/>
      <c r="M5" s="272"/>
      <c r="N5" s="115"/>
      <c r="O5" s="115"/>
      <c r="P5" s="115"/>
      <c r="V5" s="547"/>
      <c r="W5" s="9"/>
      <c r="X5" s="9"/>
      <c r="Y5" s="9"/>
      <c r="Z5" s="9"/>
      <c r="AA5" s="9"/>
      <c r="AB5" s="9"/>
      <c r="AC5" s="9"/>
      <c r="AD5" s="9"/>
      <c r="AE5" s="9"/>
      <c r="AF5" s="9"/>
      <c r="AG5" s="9"/>
      <c r="AH5" s="9"/>
      <c r="AI5" s="9"/>
      <c r="AJ5" s="9"/>
      <c r="AK5" s="9"/>
      <c r="AL5" s="9"/>
      <c r="AM5" s="9"/>
      <c r="AN5" s="9"/>
      <c r="AO5" s="9"/>
      <c r="AP5" s="9"/>
      <c r="AQ5" s="9"/>
      <c r="AR5" s="9"/>
      <c r="AS5" s="9"/>
      <c r="AT5" s="9"/>
    </row>
    <row r="6" spans="1:94" s="3" customFormat="1" ht="18.75">
      <c r="A6" s="856"/>
      <c r="B6" s="1201" t="s">
        <v>4996</v>
      </c>
      <c r="C6" s="1026"/>
      <c r="D6" s="1026"/>
      <c r="E6" s="1026"/>
      <c r="F6" s="1026"/>
      <c r="G6" s="1026"/>
      <c r="H6" s="1026"/>
      <c r="I6" s="1027"/>
      <c r="J6" s="1027"/>
      <c r="K6" s="1027"/>
      <c r="L6" s="1027"/>
      <c r="M6" s="1027"/>
      <c r="N6" s="1027"/>
      <c r="O6" s="1027"/>
      <c r="P6" s="1027"/>
      <c r="Q6" s="1027"/>
      <c r="R6" s="1027"/>
      <c r="S6" s="1027"/>
      <c r="T6" s="1027"/>
      <c r="U6" s="1027"/>
      <c r="V6" s="547"/>
      <c r="W6" s="9"/>
      <c r="X6" s="9"/>
      <c r="Y6" s="9"/>
      <c r="Z6" s="9"/>
      <c r="AA6" s="9"/>
      <c r="AB6" s="9"/>
      <c r="AC6" s="9"/>
      <c r="AD6" s="9"/>
      <c r="AE6" s="9"/>
      <c r="AF6" s="9"/>
      <c r="AG6" s="9"/>
      <c r="AH6" s="9"/>
      <c r="AI6" s="9"/>
      <c r="AJ6" s="9"/>
      <c r="AK6" s="9"/>
      <c r="AL6" s="9"/>
      <c r="AM6" s="9"/>
      <c r="AN6" s="9"/>
      <c r="AO6" s="9"/>
      <c r="AP6" s="9"/>
      <c r="AQ6" s="9"/>
      <c r="AR6" s="9"/>
      <c r="AS6" s="9"/>
      <c r="AT6" s="9"/>
    </row>
    <row r="7" spans="1:94" s="3" customFormat="1">
      <c r="A7" s="856"/>
      <c r="B7" s="1027"/>
      <c r="C7" s="1027"/>
      <c r="D7" s="1027"/>
      <c r="E7" s="1027"/>
      <c r="F7" s="1027"/>
      <c r="G7" s="1027"/>
      <c r="H7" s="1027"/>
      <c r="I7" s="1027"/>
      <c r="J7" s="1027"/>
      <c r="K7" s="1027"/>
      <c r="L7" s="1027"/>
      <c r="M7" s="1027"/>
      <c r="N7" s="1027"/>
      <c r="O7" s="1027"/>
      <c r="P7" s="1027"/>
      <c r="Q7" s="1027"/>
      <c r="R7" s="1027"/>
      <c r="S7" s="1027"/>
      <c r="T7" s="1027"/>
      <c r="U7" s="1027"/>
      <c r="V7" s="547"/>
      <c r="W7" s="9"/>
      <c r="X7" s="9"/>
      <c r="Y7" s="9"/>
      <c r="Z7" s="9"/>
      <c r="AA7" s="9"/>
      <c r="AB7" s="9"/>
      <c r="AC7" s="9"/>
      <c r="AD7" s="9"/>
      <c r="AE7" s="9"/>
      <c r="AF7" s="9"/>
      <c r="AG7" s="9"/>
      <c r="AH7" s="9"/>
      <c r="AI7" s="9"/>
      <c r="AJ7" s="9"/>
      <c r="AK7" s="9"/>
      <c r="AL7" s="9"/>
      <c r="AM7" s="9"/>
      <c r="AN7" s="9"/>
      <c r="AO7" s="9"/>
      <c r="AP7" s="9"/>
      <c r="AQ7" s="9"/>
      <c r="AR7" s="9"/>
      <c r="AS7" s="9"/>
      <c r="AT7" s="9"/>
    </row>
    <row r="8" spans="1:94" s="3" customFormat="1">
      <c r="A8" s="856"/>
      <c r="B8" s="1027"/>
      <c r="C8" s="2504" t="s">
        <v>4997</v>
      </c>
      <c r="D8" s="2504"/>
      <c r="E8" s="2504" t="s">
        <v>4971</v>
      </c>
      <c r="F8" s="2504"/>
      <c r="G8" s="2504" t="s">
        <v>1051</v>
      </c>
      <c r="H8" s="2504"/>
      <c r="I8" s="1027"/>
      <c r="J8" s="1027"/>
      <c r="K8" s="1027"/>
      <c r="L8" s="1027"/>
      <c r="M8" s="1027"/>
      <c r="N8" s="1027"/>
      <c r="O8" s="1027"/>
      <c r="P8" s="1027"/>
      <c r="Q8" s="1027"/>
      <c r="R8" s="1027"/>
      <c r="S8" s="1027"/>
      <c r="T8" s="1027"/>
      <c r="U8" s="1027"/>
      <c r="V8" s="547"/>
      <c r="W8" s="9"/>
      <c r="X8" s="9"/>
      <c r="Y8" s="9"/>
      <c r="Z8" s="9"/>
      <c r="AA8" s="9"/>
      <c r="AB8" s="9"/>
      <c r="AC8" s="9"/>
      <c r="AD8" s="9"/>
      <c r="AE8" s="9"/>
      <c r="AF8" s="9"/>
      <c r="AG8" s="9"/>
      <c r="AH8" s="9"/>
      <c r="AI8" s="9"/>
      <c r="AJ8" s="9"/>
      <c r="AK8" s="9"/>
      <c r="AL8" s="9"/>
      <c r="AM8" s="9"/>
      <c r="AN8" s="9"/>
      <c r="AO8" s="9"/>
      <c r="AP8" s="9"/>
      <c r="AQ8" s="9"/>
      <c r="AR8" s="9"/>
      <c r="AS8" s="9"/>
      <c r="AT8" s="9"/>
    </row>
    <row r="9" spans="1:94" s="3" customFormat="1" ht="15.75">
      <c r="A9" s="856"/>
      <c r="B9" s="1027"/>
      <c r="C9" s="2604">
        <v>44</v>
      </c>
      <c r="D9" s="2604"/>
      <c r="E9" s="2623">
        <f>SUM(E50,E94,E124)</f>
        <v>0</v>
      </c>
      <c r="F9" s="2623"/>
      <c r="G9" s="2623">
        <f>SUM(G50:H50,G94,G124)</f>
        <v>0</v>
      </c>
      <c r="H9" s="2623"/>
      <c r="I9" s="1027"/>
      <c r="J9" s="1027"/>
      <c r="K9" s="1027"/>
      <c r="L9" s="1027"/>
      <c r="M9" s="1027"/>
      <c r="N9" s="1027"/>
      <c r="O9" s="1027"/>
      <c r="P9" s="1027"/>
      <c r="Q9" s="1027"/>
      <c r="R9" s="1027"/>
      <c r="S9" s="1027"/>
      <c r="T9" s="1027"/>
      <c r="U9" s="1027"/>
      <c r="V9" s="547"/>
      <c r="W9" s="9"/>
      <c r="X9" s="9"/>
      <c r="Y9" s="9"/>
      <c r="Z9" s="9"/>
      <c r="AA9" s="9"/>
      <c r="AB9" s="9"/>
      <c r="AC9" s="9"/>
      <c r="AD9" s="9"/>
      <c r="AE9" s="9"/>
      <c r="AF9" s="9"/>
      <c r="AG9" s="9"/>
      <c r="AH9" s="9"/>
      <c r="AI9" s="9"/>
      <c r="AJ9" s="9"/>
      <c r="AK9" s="9"/>
      <c r="AL9" s="9"/>
      <c r="AM9" s="9"/>
      <c r="AN9" s="9"/>
      <c r="AO9" s="9"/>
      <c r="AP9" s="9"/>
      <c r="AQ9" s="9"/>
      <c r="AR9" s="9"/>
      <c r="AS9" s="9"/>
      <c r="AT9" s="9"/>
    </row>
    <row r="10" spans="1:94" s="3" customFormat="1">
      <c r="A10" s="856"/>
      <c r="B10" s="1027"/>
      <c r="C10" s="1027"/>
      <c r="D10" s="1027"/>
      <c r="E10" s="1027"/>
      <c r="F10" s="1027"/>
      <c r="G10" s="1027"/>
      <c r="H10" s="1027"/>
      <c r="I10" s="1027"/>
      <c r="J10" s="1027"/>
      <c r="K10" s="1027"/>
      <c r="L10" s="1027"/>
      <c r="M10" s="1027"/>
      <c r="N10" s="1027"/>
      <c r="O10" s="1027"/>
      <c r="P10" s="1027"/>
      <c r="Q10" s="1027"/>
      <c r="R10" s="1027"/>
      <c r="S10" s="1027"/>
      <c r="T10" s="1027"/>
      <c r="U10" s="1027"/>
      <c r="V10" s="547"/>
      <c r="W10" s="9"/>
      <c r="X10" s="9"/>
      <c r="Y10" s="9"/>
      <c r="Z10" s="9"/>
      <c r="AA10" s="9"/>
      <c r="AB10" s="9"/>
      <c r="AC10" s="9"/>
      <c r="AD10" s="9"/>
      <c r="AE10" s="9"/>
      <c r="AF10" s="9"/>
      <c r="AG10" s="9"/>
      <c r="AH10" s="9"/>
      <c r="AI10" s="9"/>
      <c r="AJ10" s="9"/>
      <c r="AK10" s="9"/>
      <c r="AL10" s="9"/>
      <c r="AM10" s="9"/>
      <c r="AN10" s="9"/>
      <c r="AO10" s="9"/>
      <c r="AP10" s="9"/>
      <c r="AQ10" s="9"/>
      <c r="AR10" s="9"/>
      <c r="AS10" s="9"/>
      <c r="AT10" s="9"/>
    </row>
    <row r="11" spans="1:94" ht="23.45" customHeight="1">
      <c r="A11" s="881"/>
      <c r="B11" s="852" t="s">
        <v>4989</v>
      </c>
      <c r="C11" s="3"/>
      <c r="D11" s="3"/>
      <c r="E11" s="3"/>
      <c r="F11" s="3"/>
      <c r="G11" s="3"/>
      <c r="H11" s="3"/>
      <c r="I11" s="3"/>
      <c r="J11" s="3"/>
      <c r="K11" s="3"/>
      <c r="L11" s="513"/>
      <c r="M11" s="513"/>
      <c r="N11" s="513"/>
      <c r="O11" s="513"/>
      <c r="P11" s="513"/>
      <c r="Q11" s="513"/>
      <c r="R11" s="513"/>
      <c r="S11" s="513"/>
      <c r="T11" s="513"/>
      <c r="U11" s="51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spans="1:94" ht="15" customHeight="1">
      <c r="A12" s="513"/>
      <c r="B12" s="1235" t="s">
        <v>5289</v>
      </c>
      <c r="C12" s="1237"/>
      <c r="D12" s="1237"/>
      <c r="E12" s="1237"/>
      <c r="F12" s="1237"/>
      <c r="G12" s="1237"/>
      <c r="H12" s="1237"/>
      <c r="I12" s="1237"/>
      <c r="J12" s="1237"/>
      <c r="K12" s="1237"/>
      <c r="L12" s="1237"/>
      <c r="M12" s="1027"/>
      <c r="N12" s="1027"/>
      <c r="O12" s="1027"/>
      <c r="P12" s="1027"/>
      <c r="Q12" s="1027"/>
      <c r="R12" s="1027"/>
      <c r="S12" s="1027"/>
      <c r="T12" s="1027"/>
      <c r="U12" s="1027"/>
      <c r="W12" s="1332" t="s">
        <v>5290</v>
      </c>
      <c r="Z12" s="1332" t="s">
        <v>5291</v>
      </c>
      <c r="AC12" s="1332" t="s">
        <v>5292</v>
      </c>
      <c r="AD12" s="1332" t="s">
        <v>5293</v>
      </c>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94" ht="22.5" customHeight="1">
      <c r="A13" s="513"/>
      <c r="B13" s="1235" t="s">
        <v>5294</v>
      </c>
      <c r="C13" s="1237"/>
      <c r="D13" s="1237"/>
      <c r="E13" s="1237"/>
      <c r="F13" s="1237"/>
      <c r="G13" s="1237"/>
      <c r="H13" s="1237"/>
      <c r="I13" s="1237"/>
      <c r="J13" s="1237"/>
      <c r="K13" s="1237"/>
      <c r="L13" s="1237"/>
      <c r="M13" s="1027"/>
      <c r="N13" s="1027"/>
      <c r="O13" s="1027"/>
      <c r="P13" s="1027"/>
      <c r="Q13" s="1027"/>
      <c r="R13" s="1027"/>
      <c r="S13" s="1027"/>
      <c r="T13" s="1027"/>
      <c r="U13" s="1027"/>
      <c r="W13" s="1332" t="s">
        <v>5295</v>
      </c>
      <c r="X13" s="1436" t="s">
        <v>5296</v>
      </c>
      <c r="Y13" s="1436" t="s">
        <v>5297</v>
      </c>
      <c r="Z13" s="1332" t="s">
        <v>5295</v>
      </c>
      <c r="AA13" s="1436" t="s">
        <v>5296</v>
      </c>
      <c r="AB13" s="1436" t="s">
        <v>5297</v>
      </c>
      <c r="AC13" s="2649" t="s">
        <v>5298</v>
      </c>
      <c r="AD13" s="2649"/>
      <c r="AE13" s="9" t="s">
        <v>5299</v>
      </c>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spans="1:94" ht="15" customHeight="1">
      <c r="A14" s="513"/>
      <c r="B14" s="1714"/>
      <c r="C14" s="1027"/>
      <c r="D14" s="1027"/>
      <c r="E14" s="1027"/>
      <c r="F14" s="1238" t="s">
        <v>1499</v>
      </c>
      <c r="G14" s="2629" t="str">
        <f>IF(ISBLANK(Credit_percentage_applied_for),"Input Project Details",Credit_percentage_applied_for)</f>
        <v>Input Project Details</v>
      </c>
      <c r="H14" s="2630"/>
      <c r="I14" s="2631"/>
      <c r="J14" s="1027"/>
      <c r="K14" s="1027"/>
      <c r="L14" s="1034"/>
      <c r="M14" s="1034"/>
      <c r="N14" s="1266" t="s">
        <v>5300</v>
      </c>
      <c r="O14" s="1759" t="s">
        <v>5301</v>
      </c>
      <c r="P14" s="1759" t="s">
        <v>3947</v>
      </c>
      <c r="Q14" s="2621" t="s">
        <v>5302</v>
      </c>
      <c r="R14" s="2622"/>
      <c r="S14" s="1027"/>
      <c r="T14" s="1027"/>
      <c r="U14" s="1027"/>
      <c r="W14" s="9" t="s">
        <v>5303</v>
      </c>
      <c r="X14" s="1320"/>
      <c r="Y14" s="1320">
        <v>19600</v>
      </c>
      <c r="Z14" s="9" t="s">
        <v>5304</v>
      </c>
      <c r="AA14" s="1320"/>
      <c r="AB14" s="1320">
        <v>21200</v>
      </c>
      <c r="AC14" s="1428" t="b">
        <f>IF(AND(G14="State + Fed 4%",G15="New Construction",G22="No"),W30,IF(AND(G14="State + Fed 4%",G15="Acquisition/Rehab",G22="No"),W38,IF(AND(G14="9%",G15="New Construction",G22="No"),W14,(IF(AND(G14="4%",G15="New Construction",G22="No"),AE15,(IF(AND(G14="9%",G15="Acquisition/Rehab",G22="No"),W22,(IF(AND(G14="4%",G15="Acquisition/Rehab",G22="No"),AE23)))))))))</f>
        <v>0</v>
      </c>
      <c r="AD14" s="1428" t="b">
        <f>IF(AND(G14="State + Fed 4%",G15="New Construction",G22="Yes"),Z30,IF(AND(G14="State + Fed 4%",G15="Acquisition/Rehab",G22="Yes"),Z38,IF(AND(G14="9%",G15="New Construction",G22="Yes"),Z14,(IF(AND(G14="4%",G15="New Construction",G22="Yes"),AH15,(IF(AND(G14="9%",G15="Acquisition/Rehab",G22="Yes"),Z22,(IF(AND(G14="4%",G15="Acquisition/Rehab",G22="Yes"),AH23)))))))))</f>
        <v>0</v>
      </c>
      <c r="AE14" s="1426" t="s">
        <v>5305</v>
      </c>
      <c r="AF14" s="1426" t="s">
        <v>5306</v>
      </c>
      <c r="AG14" s="1426" t="s">
        <v>5307</v>
      </c>
      <c r="AH14" s="1426" t="s">
        <v>5305</v>
      </c>
      <c r="AI14" s="1426" t="s">
        <v>5306</v>
      </c>
      <c r="AJ14" s="1426" t="s">
        <v>5307</v>
      </c>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115"/>
      <c r="BU14" s="115"/>
      <c r="BV14" s="115"/>
      <c r="BW14" s="115"/>
      <c r="BX14" s="115"/>
      <c r="BY14" s="3"/>
      <c r="BZ14" s="3"/>
      <c r="CA14" s="3"/>
      <c r="CB14" s="3"/>
      <c r="CC14" s="3"/>
      <c r="CD14" s="3"/>
      <c r="CE14" s="3"/>
      <c r="CF14" s="9"/>
      <c r="CG14" s="9"/>
      <c r="CH14" s="9"/>
      <c r="CI14" s="9"/>
      <c r="CJ14" s="9"/>
      <c r="CK14" s="9"/>
      <c r="CL14" s="9"/>
      <c r="CM14" s="9"/>
      <c r="CN14" s="9"/>
      <c r="CO14" s="9"/>
      <c r="CP14" s="9"/>
    </row>
    <row r="15" spans="1:94">
      <c r="A15" s="513"/>
      <c r="B15" s="1027"/>
      <c r="C15" s="1027"/>
      <c r="D15" s="1216"/>
      <c r="E15" s="1027"/>
      <c r="F15" s="1238" t="s">
        <v>1501</v>
      </c>
      <c r="G15" s="2629" t="str">
        <f>IF(Credit_percentage_applied_for="4%","N/A for Fed 4% Projects",IF(OR(Project_Type="New Construction",Project_Type="Acquisition/Rehab"),Project_Type,IF(OR(Project_Type="Adaptive Reuse",Project_Type="Adaptive Reuse/New Construction"),"New Construction",IF(AND(Project_Type="Acquisition/New Construction",'4. Project Description'!D8&gt;'4. Project Description'!D9),"New Construction",IF(AND(Project_Type="Acquisition/New Construction",'4. Project Description'!D8&lt;='4. Project Description'!D9),"Acquisition/Rehab","")))))</f>
        <v/>
      </c>
      <c r="H15" s="2630"/>
      <c r="I15" s="2631"/>
      <c r="J15" s="1027"/>
      <c r="K15" s="1027"/>
      <c r="L15" s="1027"/>
      <c r="M15" s="1034"/>
      <c r="N15" s="1754" t="s">
        <v>303</v>
      </c>
      <c r="O15" s="1465">
        <f>SUMIF('11. Unit Mix'!J16:J65,"HOME",'11. Unit Mix'!H16:H65)+SUMIF('11. Unit Mix'!J16:J65,"Voucher",'11. Unit Mix'!H16:H65)</f>
        <v>0</v>
      </c>
      <c r="P15" s="1429">
        <v>1</v>
      </c>
      <c r="Q15" s="2609">
        <f>O15*P15</f>
        <v>0</v>
      </c>
      <c r="R15" s="2581"/>
      <c r="S15" s="1027"/>
      <c r="T15" s="1027"/>
      <c r="U15" s="1027"/>
      <c r="W15" s="9" t="s">
        <v>5308</v>
      </c>
      <c r="X15" s="1320">
        <v>19600</v>
      </c>
      <c r="Y15" s="1320">
        <v>20800</v>
      </c>
      <c r="Z15" s="9" t="s">
        <v>5309</v>
      </c>
      <c r="AA15" s="1320">
        <v>21200</v>
      </c>
      <c r="AB15" s="1320">
        <v>22000</v>
      </c>
      <c r="AC15" s="1428" t="b">
        <f>IF(AND(G14="State + Fed 4%",G15="New Construction",G22="No"),W31,IF(AND(G14="State + Fed 4%",G15="Acquisition/Rehab",G22="No"),W39,(IF(AND(G14="9%",G15="New Construction",G22="No"),W15,(IF(AND(G14="4%",G15="New Construction",G22="No"),AE16,(IF(AND(G14="9%",G15="Acquisition/Rehab",G22="No"),W23,(IF(AND(G14="4%",G15="Acquisition/Rehab",G22="No"),AE24))))))))))</f>
        <v>0</v>
      </c>
      <c r="AD15" s="1428" t="b">
        <f>IF(AND(G14="State + Fed 4%",G15="New Construction",G22="Yes"),Z31,IF(AND(G14="State + Fed 4%",G15="Acquisition/Rehab",G22="Yes"),Z39,IF(AND(G14="9%",G15="New Construction",G22="Yes"),Z15,(IF(AND(G14="4%",G15="New Construction",G22="Yes"),AH16,(IF(AND(G14="9%",G15="Acquisition/Rehab",G22="Yes"),Z23,(IF(AND(G14="4%",G15="Acquisition/Rehab",G22="Yes"),AH24)))))))))</f>
        <v>0</v>
      </c>
      <c r="AE15" s="9" t="s">
        <v>5310</v>
      </c>
      <c r="AG15" s="1320">
        <v>12837</v>
      </c>
      <c r="AH15" s="9" t="s">
        <v>5311</v>
      </c>
      <c r="AJ15" s="1427">
        <v>10804</v>
      </c>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115"/>
      <c r="BU15" s="115"/>
      <c r="BV15" s="115"/>
      <c r="BW15" s="3"/>
      <c r="BX15" s="3"/>
      <c r="BY15" s="3"/>
      <c r="BZ15" s="3"/>
      <c r="CA15" s="3"/>
      <c r="CB15" s="3"/>
      <c r="CC15" s="3"/>
      <c r="CD15" s="3"/>
      <c r="CE15" s="3"/>
      <c r="CF15" s="9"/>
      <c r="CG15" s="9"/>
      <c r="CH15" s="9"/>
      <c r="CI15" s="9"/>
      <c r="CJ15" s="9"/>
      <c r="CK15" s="9"/>
      <c r="CL15" s="9"/>
      <c r="CM15" s="9"/>
      <c r="CN15" s="9"/>
      <c r="CO15" s="9"/>
      <c r="CP15" s="9"/>
    </row>
    <row r="16" spans="1:94">
      <c r="A16" s="513"/>
      <c r="B16" s="1027"/>
      <c r="C16" s="1027"/>
      <c r="D16" s="1216"/>
      <c r="E16" s="1027"/>
      <c r="F16" s="1238" t="str">
        <f>IF(Credit_percentage_applied_for="4%","Annual 4% Federal Tax Credit Request",IF(Credit_percentage_applied_for="State + Fed 4%","Annual 4% State Tax Credit Request",IF(G14=9%,"Annual 9% Tax Credit Request","Annual Federal Request")))</f>
        <v>Annual Federal Request</v>
      </c>
      <c r="G16" s="2632">
        <f>IF('12. Funding Sources'!J46&gt;0,'12. Funding Sources'!J46,'12. Funding Sources'!J44)</f>
        <v>0</v>
      </c>
      <c r="H16" s="2633"/>
      <c r="I16" s="2634"/>
      <c r="J16" s="1027"/>
      <c r="K16" s="1027"/>
      <c r="L16" s="1027"/>
      <c r="M16" s="1034"/>
      <c r="N16" s="1754" t="s">
        <v>5312</v>
      </c>
      <c r="O16" s="1754">
        <f>SUMIFS('11. Unit Mix'!H16:H65,'11. Unit Mix'!I16:I65,0.3,'11. Unit Mix'!J16:J65,"Low Income")</f>
        <v>0</v>
      </c>
      <c r="P16" s="1754">
        <v>1.35</v>
      </c>
      <c r="Q16" s="2609">
        <f t="shared" ref="Q16:Q21" si="0">O16*P16</f>
        <v>0</v>
      </c>
      <c r="R16" s="2581"/>
      <c r="S16" s="1027"/>
      <c r="T16" s="1027"/>
      <c r="U16" s="1027"/>
      <c r="W16" s="9" t="s">
        <v>5313</v>
      </c>
      <c r="X16" s="1320">
        <v>20801</v>
      </c>
      <c r="Y16" s="1320">
        <v>22000</v>
      </c>
      <c r="Z16" s="9" t="s">
        <v>5314</v>
      </c>
      <c r="AA16" s="1320">
        <v>22001</v>
      </c>
      <c r="AB16" s="1320">
        <v>22800</v>
      </c>
      <c r="AC16" s="1428" t="b">
        <f>IF(AND(G14="State + Fed 4%",G15="New Construction",G22="No"),W32,IF(AND(G14="State + Fed 4%",G15="Acquisition/Rehab",G22="No"),W40,IF(AND(G14="9%",G15="New Construction",G22="No"),W16,(IF(AND(G14="4%",G15="New Construction",G22="No"),AE17,(IF(AND(G14="9%",G15="Acquisition/Rehab",G22="No"),W24,(IF(AND(G14="4%",G15="Acquisition/Rehab",G22="No"),AE25)))))))))</f>
        <v>0</v>
      </c>
      <c r="AD16" s="1428" t="b">
        <f>IF(AND(G14="State + Fed 4%",G15="New Construction",G22="Yes"),Z32,IF(AND(G14="State + Fed 4%",G15="Acquisition/Rehab",G22="Yes"),Z40,IF(AND(G14="9%",G15="New Construction",G22="Yes"),Z16,(IF(AND(G14="4%",G15="New Construction",G22="Yes"),AH17,(IF(AND(G14="9%",G15="Acquisition/Rehab",G22="Yes"),Z24,(IF(AND(G14="4%",G15="Acquisition/Rehab",G22="Yes"),AH25)))))))))</f>
        <v>0</v>
      </c>
      <c r="AE16" s="9" t="s">
        <v>5315</v>
      </c>
      <c r="AF16" s="1320">
        <v>12838</v>
      </c>
      <c r="AG16" s="1320">
        <v>13649</v>
      </c>
      <c r="AH16" s="9" t="s">
        <v>5316</v>
      </c>
      <c r="AI16" s="1427">
        <v>10805</v>
      </c>
      <c r="AJ16" s="1427">
        <v>11204</v>
      </c>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115"/>
      <c r="BU16" s="115"/>
      <c r="BV16" s="115"/>
      <c r="BW16" s="3"/>
      <c r="BX16" s="3"/>
      <c r="BY16" s="3"/>
      <c r="BZ16" s="3"/>
      <c r="CA16" s="3"/>
      <c r="CB16" s="3"/>
      <c r="CC16" s="3"/>
      <c r="CD16" s="3"/>
      <c r="CE16" s="3"/>
      <c r="CF16" s="9"/>
      <c r="CG16" s="9"/>
      <c r="CH16" s="9"/>
      <c r="CI16" s="9"/>
      <c r="CJ16" s="9"/>
      <c r="CK16" s="9"/>
      <c r="CL16" s="9"/>
      <c r="CM16" s="9"/>
      <c r="CN16" s="9"/>
      <c r="CO16" s="9"/>
      <c r="CP16" s="9"/>
    </row>
    <row r="17" spans="1:94">
      <c r="A17" s="513"/>
      <c r="B17" s="1027"/>
      <c r="C17" s="1216"/>
      <c r="D17" s="1216"/>
      <c r="E17" s="1027"/>
      <c r="F17" s="1238" t="s">
        <v>2845</v>
      </c>
      <c r="G17" s="2629">
        <f>Low_Income_Total_Units</f>
        <v>0</v>
      </c>
      <c r="H17" s="2630"/>
      <c r="I17" s="2631"/>
      <c r="J17" s="1027"/>
      <c r="K17" s="1027"/>
      <c r="L17" s="1027"/>
      <c r="M17" s="1034"/>
      <c r="N17" s="1754" t="s">
        <v>5317</v>
      </c>
      <c r="O17" s="1754">
        <f>SUMIFS('11. Unit Mix'!H16:H65,'11. Unit Mix'!I16:I65,0.4,'11. Unit Mix'!J16:J65,"Low Income")</f>
        <v>0</v>
      </c>
      <c r="P17" s="1754">
        <v>1.23</v>
      </c>
      <c r="Q17" s="2609">
        <f t="shared" si="0"/>
        <v>0</v>
      </c>
      <c r="R17" s="2581"/>
      <c r="S17" s="1027"/>
      <c r="T17" s="1027"/>
      <c r="U17" s="1027"/>
      <c r="W17" s="9" t="s">
        <v>5318</v>
      </c>
      <c r="X17" s="1320">
        <v>22001</v>
      </c>
      <c r="Y17" s="1320">
        <v>23200</v>
      </c>
      <c r="Z17" s="9" t="s">
        <v>5319</v>
      </c>
      <c r="AA17" s="1320">
        <v>22801</v>
      </c>
      <c r="AB17" s="1320">
        <v>23600</v>
      </c>
      <c r="AC17" s="1428" t="b">
        <f>IF(AND(G14="State + Fed 4%",G15="New Construction",G22="No"),W33,IF(AND(G14="State + Fed 4%",G15="Acquisition/Rehab",G22="No"),W41,IF(AND(G14="9%",G15="New Construction",G22="No"),W17,(IF(AND(G14="4%",G15="New Construction",G22="No"),AE18,(IF(AND(G14="9%",G15="Acquisition/Rehab",G22="No"),W25,(IF(AND(G14="4%",G15="Acquisition/Rehab",G22="No"),AE26)))))))))</f>
        <v>0</v>
      </c>
      <c r="AD17" s="1428" t="b">
        <f>IF(AND(G14="State + Fed 4%",G15="New Construction",G22="Yes"),Z33,IF(AND(G14="State + Fed 4%",G15="Acquisition/Rehab",G22="Yes"),Z41,IF(AND(G14="9%",G15="New Construction",G22="Yes"),Z17,(IF(AND(G14="4%",G15="New Construction",G22="Yes"),AH18,(IF(AND(G14="9%",G15="Acquisition/Rehab",G22="Yes"),Z25,(IF(AND(G14="4%",G15="Acquisition/Rehab",G22="Yes"),AH26)))))))))</f>
        <v>0</v>
      </c>
      <c r="AE17" s="9" t="s">
        <v>5320</v>
      </c>
      <c r="AF17" s="1320">
        <v>13650</v>
      </c>
      <c r="AG17" s="1320">
        <v>14460</v>
      </c>
      <c r="AH17" s="9" t="s">
        <v>5321</v>
      </c>
      <c r="AI17" s="1427">
        <v>11205</v>
      </c>
      <c r="AJ17" s="1427">
        <v>11604</v>
      </c>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115"/>
      <c r="BU17" s="115"/>
      <c r="BV17" s="115"/>
      <c r="BW17" s="3"/>
      <c r="BX17" s="3"/>
      <c r="BY17" s="3"/>
      <c r="BZ17" s="3"/>
      <c r="CA17" s="3"/>
      <c r="CB17" s="3"/>
      <c r="CC17" s="3"/>
      <c r="CD17" s="3"/>
      <c r="CE17" s="3"/>
      <c r="CF17" s="9"/>
      <c r="CG17" s="9"/>
      <c r="CH17" s="9"/>
      <c r="CI17" s="9"/>
      <c r="CJ17" s="9"/>
      <c r="CK17" s="9"/>
      <c r="CL17" s="9"/>
      <c r="CM17" s="9"/>
      <c r="CN17" s="9"/>
      <c r="CO17" s="9"/>
      <c r="CP17" s="9"/>
    </row>
    <row r="18" spans="1:94">
      <c r="A18" s="513"/>
      <c r="B18" s="1027"/>
      <c r="C18" s="1027"/>
      <c r="D18" s="1216"/>
      <c r="E18" s="1027"/>
      <c r="F18" s="1238" t="s">
        <v>5322</v>
      </c>
      <c r="G18" s="2635">
        <f>Q22</f>
        <v>0</v>
      </c>
      <c r="H18" s="2636"/>
      <c r="I18" s="2637"/>
      <c r="J18" s="1027"/>
      <c r="K18" s="1027"/>
      <c r="L18" s="1027"/>
      <c r="M18" s="1034"/>
      <c r="N18" s="1754" t="s">
        <v>5323</v>
      </c>
      <c r="O18" s="1754">
        <f>SUMIFS('11. Unit Mix'!H16:H65,'11. Unit Mix'!I16:I65,0.5,'11. Unit Mix'!J16:J65,"Low Income")</f>
        <v>0</v>
      </c>
      <c r="P18" s="1754">
        <v>1.1399999999999999</v>
      </c>
      <c r="Q18" s="2609">
        <f t="shared" si="0"/>
        <v>0</v>
      </c>
      <c r="R18" s="2581"/>
      <c r="S18" s="1027"/>
      <c r="T18" s="1027"/>
      <c r="U18" s="1027"/>
      <c r="W18" s="9" t="s">
        <v>5324</v>
      </c>
      <c r="X18" s="1320">
        <v>23201</v>
      </c>
      <c r="Y18" s="1320">
        <v>24400</v>
      </c>
      <c r="Z18" s="9" t="s">
        <v>5325</v>
      </c>
      <c r="AA18" s="1320">
        <v>23601</v>
      </c>
      <c r="AB18" s="1320">
        <v>24400</v>
      </c>
      <c r="AC18" s="1428" t="b">
        <f>IF(AND(G14="State + Fed 4%",G15="New Construction",G22="No"),W34,IF(AND(G14="State + Fed 4%",G15="Acquisition/Rehab",G22="No"),W42,IF(AND(G14="9%",G15="New Construction",G22="No"),W18,(IF(AND(G14="4%",G15="New Construction",G22="No"),AE19,(IF(AND(G14="9%",G15="Acquisition/Rehab",G22="No"),W26,(IF(AND(G14="4%",G15="Acquisition/Rehab",G22="No"),AE27)))))))))</f>
        <v>0</v>
      </c>
      <c r="AD18" s="1428" t="b">
        <f>IF(AND(G14="State + Fed 4%",G15="New Construction",G22="Yes"),Z34,IF(AND(G14="State + Fed 4%",G15="Acquisition/Rehab",G22="Yes"),Z42,IF(AND(G14="9%",G15="New Construction",G22="Yes"),Z18,(IF(AND(G14="4%",G15="New Construction",G22="Yes"),AH19,(IF(AND(G14="9%",G15="Acquisition/Rehab",G22="Yes"),Z26,(IF(AND(G14="4%",G15="Acquisition/Rehab",G22="Yes"),AH27)))))))))</f>
        <v>0</v>
      </c>
      <c r="AE18" s="9" t="s">
        <v>5326</v>
      </c>
      <c r="AF18" s="1320">
        <v>14461</v>
      </c>
      <c r="AG18" s="1320">
        <v>15272</v>
      </c>
      <c r="AH18" s="9" t="s">
        <v>5327</v>
      </c>
      <c r="AI18" s="1427">
        <v>11605</v>
      </c>
      <c r="AJ18" s="1427">
        <v>12004</v>
      </c>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115"/>
      <c r="BU18" s="115"/>
      <c r="BV18" s="115"/>
      <c r="BW18" s="3"/>
      <c r="BX18" s="3"/>
      <c r="BY18" s="3"/>
      <c r="BZ18" s="3"/>
      <c r="CA18" s="3"/>
      <c r="CB18" s="3"/>
      <c r="CC18" s="3"/>
      <c r="CD18" s="3"/>
      <c r="CE18" s="3"/>
      <c r="CF18" s="9"/>
      <c r="CG18" s="9"/>
      <c r="CH18" s="9"/>
      <c r="CI18" s="9"/>
      <c r="CJ18" s="9"/>
      <c r="CK18" s="9"/>
      <c r="CL18" s="9"/>
      <c r="CM18" s="9"/>
      <c r="CN18" s="9"/>
      <c r="CO18" s="9"/>
      <c r="CP18" s="9"/>
    </row>
    <row r="19" spans="1:94">
      <c r="A19" s="513"/>
      <c r="B19" s="1027"/>
      <c r="C19" s="1239" t="s">
        <v>5328</v>
      </c>
      <c r="D19" s="1216"/>
      <c r="E19" s="1027"/>
      <c r="F19" s="1027"/>
      <c r="G19" s="1027"/>
      <c r="H19" s="1244"/>
      <c r="I19" s="1244"/>
      <c r="J19" s="1027"/>
      <c r="K19" s="1027"/>
      <c r="L19" s="1027"/>
      <c r="M19" s="1034"/>
      <c r="N19" s="1754" t="s">
        <v>5329</v>
      </c>
      <c r="O19" s="1754">
        <f>SUMIFS('11. Unit Mix'!H16:H65,'11. Unit Mix'!I16:I65,0.6,'11. Unit Mix'!J16:J65,"Low Income")</f>
        <v>0</v>
      </c>
      <c r="P19" s="1429">
        <v>1</v>
      </c>
      <c r="Q19" s="2609">
        <f t="shared" si="0"/>
        <v>0</v>
      </c>
      <c r="R19" s="2581"/>
      <c r="S19" s="1027"/>
      <c r="T19" s="1027"/>
      <c r="U19" s="1027"/>
      <c r="W19" s="9" t="s">
        <v>5330</v>
      </c>
      <c r="X19" s="1320">
        <v>24401</v>
      </c>
      <c r="Y19" s="1320">
        <v>25600</v>
      </c>
      <c r="Z19" s="9" t="s">
        <v>5331</v>
      </c>
      <c r="AA19" s="1320">
        <v>24401</v>
      </c>
      <c r="AB19" s="1320">
        <v>25200</v>
      </c>
      <c r="AC19" s="1428" t="b">
        <f>IF(AND(G14="State + Fed 4%",G15="New Construction",G22="No"),W35,IF(AND(G14="State + Fed 4%",G15="Acquisition/Rehab",G22="No"),W43,IF(AND(G14="9%",G15="New Construction",G22="No"),W19,(IF(AND(G14="4%",G15="New Construction",G22="No"),AE20,(IF(AND(G14="9%",G15="Acquisition/Rehab",G22="No"),W27,(IF(AND(G14="4%",G15="Acquisition/Rehab",G22="No"),AE28)))))))))</f>
        <v>0</v>
      </c>
      <c r="AD19" s="1428" t="b">
        <f>IF(AND(G14="State + Fed 4%",G15="New Construction",G22="Yes"),Z35,IF(AND(G14="State + Fed 4%",G15="Acquisition/Rehab",G22="Yes"),Z43,IF(AND(G14="9%",G15="New Construction",G22="Yes"),Z19,(IF(AND(G14="4%",G15="New Construction",G22="Yes"),AH20,(IF(AND(G14="9%",G15="Acquisition/Rehab",G22="Yes"),Z27,(IF(AND(G14="4%",G15="Acquisition/Rehab",G22="Yes"),AH28)))))))))</f>
        <v>0</v>
      </c>
      <c r="AE19" s="9" t="s">
        <v>5332</v>
      </c>
      <c r="AF19" s="1320">
        <v>15273</v>
      </c>
      <c r="AG19" s="1320">
        <v>16084</v>
      </c>
      <c r="AH19" s="9" t="s">
        <v>5333</v>
      </c>
      <c r="AI19" s="1427">
        <v>12005</v>
      </c>
      <c r="AJ19" s="1427">
        <v>12404</v>
      </c>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115"/>
      <c r="BU19" s="115"/>
      <c r="BV19" s="115"/>
      <c r="BW19" s="3"/>
      <c r="BX19" s="3"/>
      <c r="BY19" s="3"/>
      <c r="BZ19" s="3"/>
      <c r="CA19" s="3"/>
      <c r="CB19" s="3"/>
      <c r="CC19" s="3"/>
      <c r="CD19" s="3"/>
      <c r="CE19" s="3"/>
      <c r="CF19" s="9"/>
      <c r="CG19" s="9"/>
      <c r="CH19" s="9"/>
      <c r="CI19" s="9"/>
      <c r="CJ19" s="9"/>
      <c r="CK19" s="9"/>
      <c r="CL19" s="9"/>
      <c r="CM19" s="9"/>
      <c r="CN19" s="9"/>
      <c r="CO19" s="9"/>
      <c r="CP19" s="9"/>
    </row>
    <row r="20" spans="1:94" ht="14.45" customHeight="1">
      <c r="A20" s="513"/>
      <c r="B20" s="1027"/>
      <c r="C20" s="1027"/>
      <c r="D20" s="1239"/>
      <c r="E20" s="1027"/>
      <c r="F20" s="1027"/>
      <c r="G20" s="1027"/>
      <c r="H20" s="1027"/>
      <c r="I20" s="1027"/>
      <c r="J20" s="1027"/>
      <c r="K20" s="1027"/>
      <c r="L20" s="1027"/>
      <c r="M20" s="1034"/>
      <c r="N20" s="1754" t="s">
        <v>5334</v>
      </c>
      <c r="O20" s="1754">
        <f>SUMIFS('11. Unit Mix'!H16:H65,'11. Unit Mix'!I16:I65,0.7,'11. Unit Mix'!J16:J65,"Low Income")</f>
        <v>0</v>
      </c>
      <c r="P20" s="1429">
        <v>0.9</v>
      </c>
      <c r="Q20" s="2609">
        <f t="shared" si="0"/>
        <v>0</v>
      </c>
      <c r="R20" s="2581"/>
      <c r="S20" s="1027"/>
      <c r="T20" s="1027"/>
      <c r="U20" s="1027"/>
      <c r="W20" s="9" t="s">
        <v>5335</v>
      </c>
      <c r="X20" s="1320">
        <v>25600</v>
      </c>
      <c r="Z20" s="9" t="s">
        <v>5336</v>
      </c>
      <c r="AA20" s="1320">
        <v>25200</v>
      </c>
      <c r="AC20" s="1428" t="b">
        <f>IF(AND(G14="State + Fed 4%",G15="New Construction",G22="No"),W36,IF(AND(G14="State + Fed 4%",G15="Acquisition/Rehab",G22="No"),W44,IF(AND(G14="9%",G15="New Construction",G22="No"),W20,(IF(AND(G14="4%",G15="New Construction",G22="No"),AE21,(IF(AND(G14="9%",G15="Acquisition/Rehab",G22="No"),W28,(IF(AND(G14="4%",G15="Acquisition/Rehab",G22="No"),#REF!)))))))))</f>
        <v>0</v>
      </c>
      <c r="AD20" s="1428" t="b">
        <f>IF(AND(G14="State + Fed 4%",G15="New Construction",G22="Yes"),Z36,IF(AND(G14="State + Fed 4%",G15="Acquisition/Rehab",G22="Yes"),Z44,IF(AND(G14="9%",G15="New Construction",G22="Yes"),Z20,(IF(AND(G14="4%",G15="New Construction",G22="Yes"),AH21,(IF(AND(G14="9%",G15="Acquisition/Rehab",G22="Yes"),Z28,(IF(AND(G14="4%",G15="Acquisition/Rehab",G22="Yes"),#REF!)))))))))</f>
        <v>0</v>
      </c>
      <c r="AE20" s="9" t="s">
        <v>5337</v>
      </c>
      <c r="AF20" s="1320">
        <v>16085</v>
      </c>
      <c r="AG20" s="1320"/>
      <c r="AH20" s="9" t="s">
        <v>5338</v>
      </c>
      <c r="AI20" s="1427">
        <v>12405</v>
      </c>
      <c r="AJ20" s="1427"/>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15"/>
      <c r="BU20" s="115"/>
      <c r="BV20" s="115"/>
      <c r="BW20" s="3"/>
      <c r="BX20" s="3"/>
      <c r="BY20" s="3"/>
      <c r="BZ20" s="3"/>
      <c r="CA20" s="3"/>
      <c r="CB20" s="3"/>
      <c r="CC20" s="3"/>
      <c r="CD20" s="3"/>
      <c r="CE20" s="3"/>
      <c r="CF20" s="9"/>
      <c r="CG20" s="9"/>
      <c r="CH20" s="9"/>
      <c r="CI20" s="9"/>
      <c r="CJ20" s="9"/>
      <c r="CK20" s="9"/>
      <c r="CL20" s="9"/>
      <c r="CM20" s="9"/>
      <c r="CN20" s="9"/>
      <c r="CO20" s="9"/>
      <c r="CP20" s="9"/>
    </row>
    <row r="21" spans="1:94">
      <c r="A21" s="513"/>
      <c r="B21" s="1027"/>
      <c r="C21" s="1027"/>
      <c r="D21" s="1240"/>
      <c r="E21" s="1027"/>
      <c r="F21" s="1241" t="s">
        <v>5339</v>
      </c>
      <c r="G21" s="2632">
        <f>IFERROR(ROUND(G16/G18,0),0)</f>
        <v>0</v>
      </c>
      <c r="H21" s="2633"/>
      <c r="I21" s="2634"/>
      <c r="J21" s="1027"/>
      <c r="K21" s="1027"/>
      <c r="L21" s="1027"/>
      <c r="M21" s="1034"/>
      <c r="N21" s="1754" t="s">
        <v>5340</v>
      </c>
      <c r="O21" s="1754">
        <f>SUMIFS('11. Unit Mix'!H16:H65,'11. Unit Mix'!I16:I65,0.8,'11. Unit Mix'!J16:J65,"Low Income")</f>
        <v>0</v>
      </c>
      <c r="P21" s="1754">
        <v>0.85</v>
      </c>
      <c r="Q21" s="2609">
        <f t="shared" si="0"/>
        <v>0</v>
      </c>
      <c r="R21" s="2581"/>
      <c r="S21" s="1027"/>
      <c r="T21" s="1027"/>
      <c r="U21" s="1027"/>
      <c r="W21" s="1426" t="s">
        <v>5341</v>
      </c>
      <c r="X21" s="1426" t="s">
        <v>5342</v>
      </c>
      <c r="Y21" s="1426" t="s">
        <v>5343</v>
      </c>
      <c r="Z21" s="1426" t="s">
        <v>5341</v>
      </c>
      <c r="AA21" s="1426" t="s">
        <v>5342</v>
      </c>
      <c r="AB21" s="1426" t="s">
        <v>5343</v>
      </c>
      <c r="AE21" s="9" t="s">
        <v>5344</v>
      </c>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115"/>
      <c r="BU21" s="115"/>
      <c r="BV21" s="115"/>
      <c r="BW21" s="3"/>
      <c r="BX21" s="3"/>
      <c r="BY21" s="3"/>
      <c r="BZ21" s="3"/>
      <c r="CA21" s="3"/>
      <c r="CB21" s="3"/>
      <c r="CC21" s="3"/>
      <c r="CD21" s="3"/>
      <c r="CE21" s="3"/>
      <c r="CF21" s="9"/>
      <c r="CG21" s="9"/>
      <c r="CH21" s="9"/>
      <c r="CI21" s="9"/>
      <c r="CJ21" s="9"/>
      <c r="CK21" s="9"/>
      <c r="CL21" s="9"/>
      <c r="CM21" s="9"/>
      <c r="CN21" s="9"/>
      <c r="CO21" s="9"/>
      <c r="CP21" s="9"/>
    </row>
    <row r="22" spans="1:94" ht="14.45" customHeight="1">
      <c r="A22" s="513"/>
      <c r="B22" s="1027"/>
      <c r="C22" s="1027"/>
      <c r="D22" s="1240"/>
      <c r="E22" s="1027"/>
      <c r="F22" s="1241" t="s">
        <v>5345</v>
      </c>
      <c r="G22" s="2638" t="str">
        <f>IF(Set_Aside="Rural Set-Aside","Yes","No")</f>
        <v>No</v>
      </c>
      <c r="H22" s="2639"/>
      <c r="I22" s="2640"/>
      <c r="J22" s="1027"/>
      <c r="K22" s="1027"/>
      <c r="L22" s="1027"/>
      <c r="M22" s="1034"/>
      <c r="N22" s="2609" t="s">
        <v>1507</v>
      </c>
      <c r="O22" s="2580"/>
      <c r="P22" s="2581"/>
      <c r="Q22" s="2609">
        <f>SUM(Q15:R21)</f>
        <v>0</v>
      </c>
      <c r="R22" s="2581"/>
      <c r="S22" s="1027"/>
      <c r="T22" s="1027"/>
      <c r="U22" s="1027"/>
      <c r="W22" s="9" t="s">
        <v>5346</v>
      </c>
      <c r="Y22" s="1320">
        <v>14600</v>
      </c>
      <c r="Z22" s="9" t="s">
        <v>5347</v>
      </c>
      <c r="AB22" s="1320">
        <v>15800</v>
      </c>
      <c r="AE22" s="1426" t="s">
        <v>5348</v>
      </c>
      <c r="AF22" s="1426" t="s">
        <v>5349</v>
      </c>
      <c r="AG22" s="1426" t="s">
        <v>5350</v>
      </c>
      <c r="AH22" s="1426" t="s">
        <v>5348</v>
      </c>
      <c r="AI22" s="1426" t="s">
        <v>5349</v>
      </c>
      <c r="AJ22" s="1426" t="s">
        <v>5350</v>
      </c>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115"/>
      <c r="BU22" s="115"/>
      <c r="BV22" s="115"/>
      <c r="BW22" s="3"/>
      <c r="BX22" s="3"/>
      <c r="BY22" s="3"/>
      <c r="BZ22" s="3"/>
      <c r="CA22" s="3"/>
      <c r="CB22" s="3"/>
      <c r="CC22" s="3"/>
      <c r="CD22" s="3"/>
      <c r="CE22" s="3"/>
      <c r="CF22" s="9"/>
      <c r="CG22" s="9"/>
      <c r="CH22" s="9"/>
      <c r="CI22" s="9"/>
      <c r="CJ22" s="9"/>
      <c r="CK22" s="9"/>
      <c r="CL22" s="9"/>
      <c r="CM22" s="9"/>
      <c r="CN22" s="9"/>
      <c r="CO22" s="9"/>
      <c r="CP22" s="9"/>
    </row>
    <row r="23" spans="1:94">
      <c r="A23" s="513"/>
      <c r="B23" s="1027"/>
      <c r="C23" s="1027"/>
      <c r="D23" s="1027"/>
      <c r="E23" s="1027"/>
      <c r="F23" s="1027"/>
      <c r="G23" s="1243"/>
      <c r="H23" s="1243"/>
      <c r="I23" s="1243"/>
      <c r="J23" s="1243"/>
      <c r="K23" s="1243"/>
      <c r="L23" s="1034"/>
      <c r="M23" s="1034"/>
      <c r="N23" s="1034"/>
      <c r="O23" s="1034"/>
      <c r="P23" s="1034"/>
      <c r="Q23" s="1027"/>
      <c r="R23" s="1027"/>
      <c r="S23" s="1027"/>
      <c r="T23" s="1027"/>
      <c r="U23" s="1027"/>
      <c r="W23" s="9" t="s">
        <v>5351</v>
      </c>
      <c r="X23" s="1320">
        <v>14600</v>
      </c>
      <c r="Y23" s="1320">
        <v>15500</v>
      </c>
      <c r="Z23" s="9" t="s">
        <v>5352</v>
      </c>
      <c r="AA23" s="1320">
        <v>15801</v>
      </c>
      <c r="AB23" s="1320">
        <v>16400</v>
      </c>
      <c r="AE23" s="9" t="s">
        <v>5353</v>
      </c>
      <c r="AG23" s="1320">
        <v>9627</v>
      </c>
      <c r="AH23" s="9" t="s">
        <v>5354</v>
      </c>
      <c r="AJ23" s="1427">
        <v>8103</v>
      </c>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115"/>
      <c r="BU23" s="115"/>
      <c r="BV23" s="115"/>
      <c r="BW23" s="3"/>
      <c r="BX23" s="3"/>
      <c r="BY23" s="3"/>
      <c r="BZ23" s="3"/>
      <c r="CA23" s="3"/>
      <c r="CB23" s="3"/>
      <c r="CC23" s="3"/>
      <c r="CD23" s="3"/>
      <c r="CE23" s="3"/>
      <c r="CF23" s="9"/>
      <c r="CG23" s="9"/>
      <c r="CH23" s="9"/>
      <c r="CI23" s="9"/>
      <c r="CJ23" s="9"/>
      <c r="CK23" s="9"/>
      <c r="CL23" s="9"/>
      <c r="CM23" s="9"/>
      <c r="CN23" s="9"/>
      <c r="CO23" s="9"/>
      <c r="CP23" s="9"/>
    </row>
    <row r="24" spans="1:94">
      <c r="A24" s="513"/>
      <c r="B24" s="1027"/>
      <c r="C24" s="1027"/>
      <c r="D24" s="1027"/>
      <c r="E24" s="1030" t="str">
        <f>IF(G22="Yes", "Rural Set-Aside", "Non-Rural Set-Aside")</f>
        <v>Non-Rural Set-Aside</v>
      </c>
      <c r="F24" s="1030"/>
      <c r="G24" s="1030"/>
      <c r="H24" s="1030"/>
      <c r="I24" s="1242"/>
      <c r="J24" s="1027"/>
      <c r="K24" s="1027"/>
      <c r="L24" s="1027"/>
      <c r="M24" s="1027"/>
      <c r="N24" s="1027"/>
      <c r="O24" s="1034"/>
      <c r="P24" s="1034"/>
      <c r="Q24" s="1034"/>
      <c r="R24" s="1034"/>
      <c r="S24" s="1027"/>
      <c r="T24" s="1027"/>
      <c r="U24" s="1027"/>
      <c r="W24" s="9" t="s">
        <v>5355</v>
      </c>
      <c r="X24" s="1320">
        <v>15501</v>
      </c>
      <c r="Y24" s="1320">
        <v>16400</v>
      </c>
      <c r="Z24" s="9" t="s">
        <v>5356</v>
      </c>
      <c r="AA24" s="1320">
        <v>16401</v>
      </c>
      <c r="AB24" s="1320">
        <v>17000</v>
      </c>
      <c r="AE24" s="9" t="s">
        <v>5357</v>
      </c>
      <c r="AF24" s="1320">
        <v>9628</v>
      </c>
      <c r="AG24" s="1320">
        <v>10236</v>
      </c>
      <c r="AH24" s="9" t="s">
        <v>5358</v>
      </c>
      <c r="AI24" s="1427">
        <v>8104</v>
      </c>
      <c r="AJ24" s="1427">
        <v>8403</v>
      </c>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115"/>
      <c r="BU24" s="115"/>
      <c r="BV24" s="115"/>
      <c r="BW24" s="3"/>
      <c r="BX24" s="3"/>
      <c r="BY24" s="3"/>
      <c r="BZ24" s="3"/>
      <c r="CA24" s="3"/>
      <c r="CB24" s="3"/>
      <c r="CC24" s="3"/>
      <c r="CD24" s="3"/>
      <c r="CE24" s="3"/>
      <c r="CF24" s="9"/>
      <c r="CG24" s="9"/>
      <c r="CH24" s="9"/>
      <c r="CI24" s="9"/>
      <c r="CJ24" s="9"/>
      <c r="CK24" s="9"/>
      <c r="CL24" s="9"/>
      <c r="CM24" s="9"/>
      <c r="CN24" s="9"/>
      <c r="CO24" s="9"/>
      <c r="CP24" s="9"/>
    </row>
    <row r="25" spans="1:94" ht="18.600000000000001" customHeight="1">
      <c r="A25" s="513"/>
      <c r="B25" s="1027"/>
      <c r="C25" s="1027"/>
      <c r="D25" s="1027"/>
      <c r="E25" s="2508" t="s">
        <v>5359</v>
      </c>
      <c r="F25" s="2610"/>
      <c r="G25" s="2508" t="s">
        <v>5002</v>
      </c>
      <c r="H25" s="2610"/>
      <c r="I25" s="1242"/>
      <c r="J25" s="1027"/>
      <c r="K25" s="1027"/>
      <c r="L25" s="1027"/>
      <c r="M25" s="1027"/>
      <c r="N25" s="1027"/>
      <c r="O25" s="1027"/>
      <c r="P25" s="1027"/>
      <c r="Q25" s="1027"/>
      <c r="R25" s="1027"/>
      <c r="S25" s="1034"/>
      <c r="T25" s="1034"/>
      <c r="U25" s="1034"/>
      <c r="W25" s="9" t="s">
        <v>5360</v>
      </c>
      <c r="X25" s="1320">
        <v>16401</v>
      </c>
      <c r="Y25" s="1320">
        <v>17300</v>
      </c>
      <c r="Z25" s="9" t="s">
        <v>5361</v>
      </c>
      <c r="AA25" s="1320">
        <v>17001</v>
      </c>
      <c r="AB25" s="1320">
        <v>17600</v>
      </c>
      <c r="AE25" s="9" t="s">
        <v>5362</v>
      </c>
      <c r="AF25" s="1320">
        <v>10237</v>
      </c>
      <c r="AG25" s="1320">
        <v>10845</v>
      </c>
      <c r="AH25" s="9" t="s">
        <v>5363</v>
      </c>
      <c r="AI25" s="1427">
        <v>8404</v>
      </c>
      <c r="AJ25" s="1427">
        <v>8703</v>
      </c>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115"/>
      <c r="BU25" s="115"/>
      <c r="BV25" s="115"/>
      <c r="BW25" s="3"/>
      <c r="BX25" s="3"/>
      <c r="BY25" s="3"/>
      <c r="BZ25" s="3"/>
      <c r="CA25" s="3"/>
      <c r="CB25" s="3"/>
      <c r="CC25" s="3"/>
      <c r="CD25" s="3"/>
      <c r="CE25" s="3"/>
      <c r="CF25" s="9"/>
      <c r="CG25" s="9"/>
      <c r="CH25" s="9"/>
      <c r="CI25" s="9"/>
      <c r="CJ25" s="9"/>
      <c r="CK25" s="9"/>
      <c r="CL25" s="9"/>
      <c r="CM25" s="9"/>
      <c r="CN25" s="9"/>
      <c r="CO25" s="9"/>
      <c r="CP25" s="9"/>
    </row>
    <row r="26" spans="1:94" ht="15" customHeight="1">
      <c r="A26" s="513"/>
      <c r="B26" s="1027"/>
      <c r="C26" s="1027"/>
      <c r="D26" s="1027"/>
      <c r="E26" s="2609" t="b">
        <f>IF(Credit_percentage_applied_for="4%","All Projects",IF(AND($G$22="Yes",AC14=FALSE),AD14,IF(AND($G$22="No",AD14=FALSE),AC14,"Input Project Details")))</f>
        <v>0</v>
      </c>
      <c r="F26" s="2581"/>
      <c r="G26" s="2609">
        <v>36</v>
      </c>
      <c r="H26" s="2581"/>
      <c r="I26" s="1242"/>
      <c r="J26" s="1027"/>
      <c r="K26" s="1027"/>
      <c r="L26" s="1027"/>
      <c r="M26" s="1027"/>
      <c r="N26" s="1034"/>
      <c r="O26" s="1027"/>
      <c r="P26" s="1027"/>
      <c r="Q26" s="1027"/>
      <c r="R26" s="1027"/>
      <c r="S26" s="1027"/>
      <c r="T26" s="1027"/>
      <c r="U26" s="1027"/>
      <c r="W26" s="9" t="s">
        <v>5364</v>
      </c>
      <c r="X26" s="1320">
        <v>17301</v>
      </c>
      <c r="Y26" s="1320">
        <v>18200</v>
      </c>
      <c r="Z26" s="9" t="s">
        <v>5365</v>
      </c>
      <c r="AA26" s="1320">
        <v>17601</v>
      </c>
      <c r="AB26" s="1320">
        <v>18200</v>
      </c>
      <c r="AE26" s="9" t="s">
        <v>5366</v>
      </c>
      <c r="AF26" s="1320">
        <v>10846</v>
      </c>
      <c r="AG26" s="1320">
        <v>11454</v>
      </c>
      <c r="AH26" s="9" t="s">
        <v>5367</v>
      </c>
      <c r="AI26" s="1427">
        <v>8704</v>
      </c>
      <c r="AJ26" s="1427">
        <v>9003</v>
      </c>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row>
    <row r="27" spans="1:94" ht="15" customHeight="1">
      <c r="A27" s="513"/>
      <c r="B27" s="1027"/>
      <c r="C27" s="1027"/>
      <c r="D27" s="1027"/>
      <c r="E27" s="2609" t="b">
        <f t="shared" ref="E27:E32" si="1">IF(Credit_percentage_applied_for="4%","N/A",IF(AND($G$22="Yes",AC15=FALSE),AD15,IF(AND($G$22="No",AD15=FALSE),AC15,"Input Project Details")))</f>
        <v>0</v>
      </c>
      <c r="F27" s="2581"/>
      <c r="G27" s="2609">
        <v>34</v>
      </c>
      <c r="H27" s="2581"/>
      <c r="I27" s="1242"/>
      <c r="J27" s="1027"/>
      <c r="K27" s="1027"/>
      <c r="L27" s="1027"/>
      <c r="M27" s="1027"/>
      <c r="N27" s="1034"/>
      <c r="O27" s="1027"/>
      <c r="P27" s="1027"/>
      <c r="Q27" s="1027"/>
      <c r="R27" s="1027"/>
      <c r="S27" s="1027"/>
      <c r="T27" s="1027"/>
      <c r="U27" s="1027"/>
      <c r="W27" s="9" t="s">
        <v>5368</v>
      </c>
      <c r="X27" s="1320">
        <v>18201</v>
      </c>
      <c r="Y27" s="1320">
        <v>19100</v>
      </c>
      <c r="Z27" s="9" t="s">
        <v>5369</v>
      </c>
      <c r="AA27" s="1320">
        <v>18201</v>
      </c>
      <c r="AB27" s="1320">
        <v>18800</v>
      </c>
      <c r="AE27" s="9" t="s">
        <v>5370</v>
      </c>
      <c r="AF27" s="1320">
        <v>11455</v>
      </c>
      <c r="AG27" s="1320">
        <v>12063</v>
      </c>
      <c r="AH27" s="9" t="s">
        <v>5371</v>
      </c>
      <c r="AI27" s="1427">
        <v>9004</v>
      </c>
      <c r="AJ27" s="1427">
        <v>9303</v>
      </c>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row>
    <row r="28" spans="1:94" ht="15" customHeight="1">
      <c r="A28" s="513"/>
      <c r="B28" s="1027"/>
      <c r="C28" s="1027"/>
      <c r="D28" s="1027"/>
      <c r="E28" s="2609" t="b">
        <f t="shared" si="1"/>
        <v>0</v>
      </c>
      <c r="F28" s="2581"/>
      <c r="G28" s="2609">
        <v>32</v>
      </c>
      <c r="H28" s="2581"/>
      <c r="I28" s="1242"/>
      <c r="J28" s="1027"/>
      <c r="K28" s="1027"/>
      <c r="L28" s="1027"/>
      <c r="M28" s="1027"/>
      <c r="N28" s="1034"/>
      <c r="O28" s="1027"/>
      <c r="P28" s="1027"/>
      <c r="Q28" s="1027"/>
      <c r="R28" s="1027"/>
      <c r="S28" s="1027"/>
      <c r="T28" s="1027"/>
      <c r="U28" s="1027"/>
      <c r="W28" s="9" t="s">
        <v>5372</v>
      </c>
      <c r="X28" s="1320">
        <v>19100</v>
      </c>
      <c r="Y28" s="1320"/>
      <c r="Z28" s="9" t="s">
        <v>5373</v>
      </c>
      <c r="AA28" s="1320">
        <v>18800</v>
      </c>
      <c r="AB28" s="1320"/>
      <c r="AE28" s="9" t="s">
        <v>5374</v>
      </c>
      <c r="AF28" s="1320">
        <v>12064</v>
      </c>
      <c r="AG28" s="1320"/>
      <c r="AH28" s="9" t="s">
        <v>5375</v>
      </c>
      <c r="AI28" s="1427">
        <v>9304</v>
      </c>
      <c r="AJ28" s="1427"/>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row>
    <row r="29" spans="1:94" ht="15" customHeight="1">
      <c r="A29" s="513"/>
      <c r="B29" s="1027"/>
      <c r="C29" s="1027"/>
      <c r="D29" s="1027"/>
      <c r="E29" s="2609" t="b">
        <f t="shared" si="1"/>
        <v>0</v>
      </c>
      <c r="F29" s="2581"/>
      <c r="G29" s="2609">
        <v>30</v>
      </c>
      <c r="H29" s="2581"/>
      <c r="I29" s="1242"/>
      <c r="J29" s="1027"/>
      <c r="K29" s="1027"/>
      <c r="L29" s="1027"/>
      <c r="M29" s="1027"/>
      <c r="N29" s="1034"/>
      <c r="O29" s="1027"/>
      <c r="P29" s="1027"/>
      <c r="Q29" s="1027"/>
      <c r="R29" s="1027"/>
      <c r="S29" s="1027"/>
      <c r="T29" s="1027"/>
      <c r="U29" s="1027"/>
      <c r="W29" s="1426" t="s">
        <v>5376</v>
      </c>
      <c r="X29" s="1426" t="s">
        <v>5377</v>
      </c>
      <c r="Y29" s="1426" t="s">
        <v>5378</v>
      </c>
      <c r="Z29" s="1426" t="s">
        <v>5376</v>
      </c>
      <c r="AA29" s="1426" t="s">
        <v>5377</v>
      </c>
      <c r="AB29" s="1426" t="s">
        <v>5378</v>
      </c>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row>
    <row r="30" spans="1:94" ht="15" customHeight="1">
      <c r="A30" s="513"/>
      <c r="B30" s="1027"/>
      <c r="C30" s="1027"/>
      <c r="D30" s="1027"/>
      <c r="E30" s="2609" t="b">
        <f t="shared" si="1"/>
        <v>0</v>
      </c>
      <c r="F30" s="2581"/>
      <c r="G30" s="2609">
        <v>28</v>
      </c>
      <c r="H30" s="2581"/>
      <c r="I30" s="1242"/>
      <c r="J30" s="1027"/>
      <c r="K30" s="1027"/>
      <c r="L30" s="1027"/>
      <c r="M30" s="1027"/>
      <c r="N30" s="1034"/>
      <c r="O30" s="1027"/>
      <c r="P30" s="1027"/>
      <c r="Q30" s="1027"/>
      <c r="R30" s="1027"/>
      <c r="S30" s="1027"/>
      <c r="T30" s="1027"/>
      <c r="U30" s="1027"/>
      <c r="W30" s="9" t="s">
        <v>5379</v>
      </c>
      <c r="Y30" s="1320">
        <v>8500</v>
      </c>
      <c r="Z30" s="9" t="s">
        <v>5380</v>
      </c>
      <c r="AB30" s="1320">
        <v>15500</v>
      </c>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row>
    <row r="31" spans="1:94" ht="15" customHeight="1">
      <c r="A31" s="513"/>
      <c r="B31" s="1027"/>
      <c r="C31" s="1027"/>
      <c r="D31" s="1027"/>
      <c r="E31" s="2609" t="b">
        <f t="shared" si="1"/>
        <v>0</v>
      </c>
      <c r="F31" s="2581"/>
      <c r="G31" s="2609">
        <v>26</v>
      </c>
      <c r="H31" s="2581"/>
      <c r="I31" s="1242"/>
      <c r="J31" s="1027"/>
      <c r="K31" s="1027"/>
      <c r="L31" s="1027"/>
      <c r="M31" s="1027"/>
      <c r="N31" s="1034"/>
      <c r="O31" s="1027"/>
      <c r="P31" s="1027"/>
      <c r="Q31" s="1027"/>
      <c r="R31" s="1027"/>
      <c r="S31" s="1027"/>
      <c r="T31" s="1027"/>
      <c r="U31" s="1027"/>
      <c r="W31" s="9" t="s">
        <v>5381</v>
      </c>
      <c r="X31" s="1320">
        <v>8500</v>
      </c>
      <c r="Y31" s="1320">
        <v>9200</v>
      </c>
      <c r="Z31" s="9" t="s">
        <v>5382</v>
      </c>
      <c r="AA31" s="1320">
        <v>15500</v>
      </c>
      <c r="AB31" s="1320">
        <v>16400</v>
      </c>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row>
    <row r="32" spans="1:94">
      <c r="A32" s="882"/>
      <c r="B32" s="1027"/>
      <c r="C32" s="1242"/>
      <c r="D32" s="1242"/>
      <c r="E32" s="2609" t="b">
        <f t="shared" si="1"/>
        <v>0</v>
      </c>
      <c r="F32" s="2581"/>
      <c r="G32" s="2611">
        <v>0</v>
      </c>
      <c r="H32" s="2612"/>
      <c r="I32" s="1027"/>
      <c r="J32" s="1027"/>
      <c r="K32" s="1027"/>
      <c r="L32" s="1027"/>
      <c r="M32" s="1027"/>
      <c r="N32" s="1027"/>
      <c r="O32" s="1027"/>
      <c r="P32" s="1027"/>
      <c r="Q32" s="1027"/>
      <c r="R32" s="1027"/>
      <c r="S32" s="1027"/>
      <c r="T32" s="1027"/>
      <c r="U32" s="1027"/>
      <c r="W32" s="9" t="s">
        <v>5383</v>
      </c>
      <c r="X32" s="1320">
        <v>9201</v>
      </c>
      <c r="Y32" s="1320">
        <v>9900</v>
      </c>
      <c r="Z32" s="9" t="s">
        <v>5360</v>
      </c>
      <c r="AA32" s="1320">
        <v>16401</v>
      </c>
      <c r="AB32" s="1320">
        <v>17300</v>
      </c>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row>
    <row r="33" spans="1:84" ht="14.45" hidden="1" customHeight="1">
      <c r="A33" s="883"/>
      <c r="B33" s="1027"/>
      <c r="C33" s="1242"/>
      <c r="D33" s="1242"/>
      <c r="E33" s="1242"/>
      <c r="F33" s="1027"/>
      <c r="G33" s="1027"/>
      <c r="H33" s="1027"/>
      <c r="I33" s="1027"/>
      <c r="J33" s="1027"/>
      <c r="K33" s="1027"/>
      <c r="L33" s="1027"/>
      <c r="M33" s="1027"/>
      <c r="N33" s="1027"/>
      <c r="O33" s="1027"/>
      <c r="P33" s="1027"/>
      <c r="Q33" s="1027"/>
      <c r="R33" s="1027"/>
      <c r="S33" s="1027"/>
      <c r="T33" s="1027"/>
      <c r="U33" s="1027"/>
      <c r="W33" s="9" t="s">
        <v>5384</v>
      </c>
      <c r="X33" s="1320">
        <v>9901</v>
      </c>
      <c r="Y33" s="1320">
        <v>10600</v>
      </c>
      <c r="Z33" s="9" t="s">
        <v>5364</v>
      </c>
      <c r="AA33" s="1320">
        <v>17301</v>
      </c>
      <c r="AB33" s="1320">
        <v>18200</v>
      </c>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row>
    <row r="34" spans="1:84" ht="14.45" hidden="1" customHeight="1">
      <c r="A34" s="884" t="s">
        <v>5385</v>
      </c>
      <c r="B34" s="1245"/>
      <c r="C34" s="1245"/>
      <c r="D34" s="1245"/>
      <c r="E34" s="1245"/>
      <c r="F34" s="1245"/>
      <c r="G34" s="1245"/>
      <c r="H34" s="1245"/>
      <c r="I34" s="1027"/>
      <c r="J34" s="1027"/>
      <c r="K34" s="1027"/>
      <c r="L34" s="1027"/>
      <c r="M34" s="1027"/>
      <c r="N34" s="1027"/>
      <c r="O34" s="1027"/>
      <c r="P34" s="1027"/>
      <c r="Q34" s="1027"/>
      <c r="R34" s="1027"/>
      <c r="S34" s="1027"/>
      <c r="T34" s="1027"/>
      <c r="U34" s="1027"/>
      <c r="W34" s="9" t="s">
        <v>5386</v>
      </c>
      <c r="X34" s="1320">
        <v>10601</v>
      </c>
      <c r="Y34" s="1320">
        <v>11300</v>
      </c>
      <c r="Z34" s="9" t="s">
        <v>5368</v>
      </c>
      <c r="AA34" s="1320">
        <v>18201</v>
      </c>
      <c r="AB34" s="1320">
        <v>19100</v>
      </c>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row>
    <row r="35" spans="1:84" ht="14.45" hidden="1" customHeight="1" thickBot="1">
      <c r="A35" s="883"/>
      <c r="B35" s="1246"/>
      <c r="C35" s="1246"/>
      <c r="D35" s="1246"/>
      <c r="E35" s="1246"/>
      <c r="F35" s="1246"/>
      <c r="G35" s="1246"/>
      <c r="H35" s="1246"/>
      <c r="I35" s="1246"/>
      <c r="J35" s="1246"/>
      <c r="K35" s="1246"/>
      <c r="L35" s="1027"/>
      <c r="M35" s="1027"/>
      <c r="N35" s="1027"/>
      <c r="O35" s="1027"/>
      <c r="P35" s="1027"/>
      <c r="Q35" s="1027"/>
      <c r="R35" s="1027"/>
      <c r="S35" s="1027"/>
      <c r="T35" s="1027"/>
      <c r="U35" s="1027"/>
      <c r="W35" s="9" t="s">
        <v>5387</v>
      </c>
      <c r="X35" s="1320">
        <v>11301</v>
      </c>
      <c r="Y35" s="1320">
        <v>12000</v>
      </c>
      <c r="Z35" s="9" t="s">
        <v>5388</v>
      </c>
      <c r="AA35" s="1320">
        <v>19101</v>
      </c>
      <c r="AB35" s="1320">
        <v>20000</v>
      </c>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row>
    <row r="36" spans="1:84" ht="14.45" hidden="1" customHeight="1" thickTop="1">
      <c r="A36" s="883"/>
      <c r="B36" s="1247"/>
      <c r="C36" s="1247"/>
      <c r="D36" s="1247"/>
      <c r="E36" s="1247"/>
      <c r="F36" s="1247"/>
      <c r="G36" s="1247"/>
      <c r="H36" s="1247"/>
      <c r="I36" s="1247"/>
      <c r="J36" s="1247"/>
      <c r="K36" s="1027"/>
      <c r="L36" s="1027"/>
      <c r="M36" s="1027"/>
      <c r="N36" s="1027"/>
      <c r="O36" s="1027"/>
      <c r="P36" s="1027"/>
      <c r="Q36" s="1027"/>
      <c r="R36" s="1027"/>
      <c r="S36" s="1027"/>
      <c r="T36" s="1027"/>
      <c r="U36" s="1027"/>
      <c r="W36" s="9" t="s">
        <v>5389</v>
      </c>
      <c r="X36" s="1320">
        <v>12000</v>
      </c>
      <c r="Z36" s="9" t="s">
        <v>5390</v>
      </c>
      <c r="AA36" s="1320">
        <v>20000</v>
      </c>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row>
    <row r="37" spans="1:84" ht="14.45" hidden="1" customHeight="1">
      <c r="A37" s="883"/>
      <c r="B37" s="1027"/>
      <c r="C37" s="1241" t="s">
        <v>5391</v>
      </c>
      <c r="D37" s="1241"/>
      <c r="E37" s="1241"/>
      <c r="F37" s="1253">
        <v>100</v>
      </c>
      <c r="G37" s="1245"/>
      <c r="H37" s="1245"/>
      <c r="I37" s="1027"/>
      <c r="J37" s="1027"/>
      <c r="K37" s="1027"/>
      <c r="L37" s="1027"/>
      <c r="M37" s="1027"/>
      <c r="N37" s="1027"/>
      <c r="O37" s="1027"/>
      <c r="P37" s="1027"/>
      <c r="Q37" s="1027"/>
      <c r="R37" s="1027"/>
      <c r="S37" s="1027"/>
      <c r="T37" s="1027"/>
      <c r="U37" s="1027"/>
      <c r="W37" s="1426" t="s">
        <v>5392</v>
      </c>
      <c r="X37" s="1426" t="s">
        <v>5393</v>
      </c>
      <c r="Y37" s="1426" t="s">
        <v>5394</v>
      </c>
      <c r="Z37" s="1426" t="s">
        <v>5392</v>
      </c>
      <c r="AA37" s="1426" t="s">
        <v>5393</v>
      </c>
      <c r="AB37" s="1426" t="s">
        <v>5394</v>
      </c>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row>
    <row r="38" spans="1:84" ht="14.45" hidden="1" customHeight="1">
      <c r="A38" s="883"/>
      <c r="B38" s="1027"/>
      <c r="C38" s="1248" t="s">
        <v>5395</v>
      </c>
      <c r="D38" s="1248"/>
      <c r="E38" s="1248"/>
      <c r="F38" s="1253">
        <v>10</v>
      </c>
      <c r="G38" s="1245"/>
      <c r="H38" s="1245"/>
      <c r="I38" s="1027"/>
      <c r="J38" s="1027"/>
      <c r="K38" s="1027"/>
      <c r="L38" s="1034"/>
      <c r="M38" s="1034"/>
      <c r="N38" s="1034"/>
      <c r="O38" s="1034"/>
      <c r="P38" s="1034"/>
      <c r="Q38" s="1027"/>
      <c r="R38" s="1027"/>
      <c r="S38" s="1027"/>
      <c r="T38" s="1027"/>
      <c r="U38" s="1027"/>
      <c r="W38" s="9" t="s">
        <v>5396</v>
      </c>
      <c r="Y38" s="1320">
        <v>6400</v>
      </c>
      <c r="Z38" s="9" t="s">
        <v>5397</v>
      </c>
      <c r="AB38" s="1320">
        <v>11600</v>
      </c>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row>
    <row r="39" spans="1:84" ht="14.45" hidden="1" customHeight="1">
      <c r="A39" s="883"/>
      <c r="B39" s="1027"/>
      <c r="C39" s="1248" t="s">
        <v>5398</v>
      </c>
      <c r="D39" s="1248"/>
      <c r="E39" s="1248"/>
      <c r="F39" s="1254">
        <f>IFERROR(F38/F37,0)</f>
        <v>0.1</v>
      </c>
      <c r="G39" s="1245"/>
      <c r="H39" s="1245"/>
      <c r="I39" s="1027"/>
      <c r="J39" s="1027"/>
      <c r="K39" s="1027"/>
      <c r="L39" s="1034"/>
      <c r="M39" s="1034"/>
      <c r="N39" s="1034"/>
      <c r="O39" s="1034"/>
      <c r="P39" s="1034"/>
      <c r="Q39" s="1027"/>
      <c r="R39" s="1027"/>
      <c r="S39" s="1027"/>
      <c r="T39" s="1027"/>
      <c r="U39" s="1027"/>
      <c r="W39" s="9" t="s">
        <v>5399</v>
      </c>
      <c r="X39" s="1320">
        <v>6400</v>
      </c>
      <c r="Y39" s="1320">
        <v>6900</v>
      </c>
      <c r="Z39" s="9" t="s">
        <v>5400</v>
      </c>
      <c r="AA39" s="1320">
        <v>11601</v>
      </c>
      <c r="AB39" s="1320">
        <v>12300</v>
      </c>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row>
    <row r="40" spans="1:84" ht="14.45" hidden="1" customHeight="1">
      <c r="A40" s="883"/>
      <c r="B40" s="1245"/>
      <c r="C40" s="1245"/>
      <c r="D40" s="1245"/>
      <c r="E40" s="1245"/>
      <c r="F40" s="1245"/>
      <c r="G40" s="1245"/>
      <c r="H40" s="1245"/>
      <c r="I40" s="1027"/>
      <c r="J40" s="1027"/>
      <c r="K40" s="1027"/>
      <c r="L40" s="1034"/>
      <c r="M40" s="1034"/>
      <c r="N40" s="1034"/>
      <c r="O40" s="1034"/>
      <c r="P40" s="1034"/>
      <c r="Q40" s="1027"/>
      <c r="R40" s="1027"/>
      <c r="S40" s="1027"/>
      <c r="T40" s="1027"/>
      <c r="U40" s="1027"/>
      <c r="W40" s="9" t="s">
        <v>5401</v>
      </c>
      <c r="X40" s="1320">
        <v>6901</v>
      </c>
      <c r="Y40" s="1320">
        <v>7400</v>
      </c>
      <c r="Z40" s="9" t="s">
        <v>5402</v>
      </c>
      <c r="AA40" s="1320">
        <v>12301</v>
      </c>
      <c r="AB40" s="1320">
        <v>12900</v>
      </c>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row>
    <row r="41" spans="1:84" ht="14.45" hidden="1" customHeight="1">
      <c r="A41" s="883"/>
      <c r="B41" s="1245"/>
      <c r="C41" s="1249" t="s">
        <v>5403</v>
      </c>
      <c r="D41" s="1250"/>
      <c r="E41" s="1250"/>
      <c r="F41" s="1255" t="s">
        <v>5002</v>
      </c>
      <c r="G41" s="1245"/>
      <c r="H41" s="1245"/>
      <c r="I41" s="1027"/>
      <c r="J41" s="1027"/>
      <c r="K41" s="1027"/>
      <c r="L41" s="1034"/>
      <c r="M41" s="1034"/>
      <c r="N41" s="1034"/>
      <c r="O41" s="1034"/>
      <c r="P41" s="1034"/>
      <c r="Q41" s="1027"/>
      <c r="R41" s="1027"/>
      <c r="S41" s="1027"/>
      <c r="T41" s="1027"/>
      <c r="U41" s="1027"/>
      <c r="W41" s="9" t="s">
        <v>5404</v>
      </c>
      <c r="X41" s="1320">
        <v>7401</v>
      </c>
      <c r="Y41" s="1320">
        <v>7900</v>
      </c>
      <c r="Z41" s="9" t="s">
        <v>5405</v>
      </c>
      <c r="AA41" s="1320">
        <v>12901</v>
      </c>
      <c r="AB41" s="1320">
        <v>13600</v>
      </c>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row>
    <row r="42" spans="1:84" ht="14.45" hidden="1" customHeight="1">
      <c r="A42" s="883"/>
      <c r="B42" s="1245"/>
      <c r="C42" s="1251" t="s">
        <v>5406</v>
      </c>
      <c r="D42" s="1252"/>
      <c r="E42" s="1252"/>
      <c r="F42" s="1256">
        <v>5</v>
      </c>
      <c r="G42" s="1245"/>
      <c r="H42" s="1245"/>
      <c r="I42" s="1027"/>
      <c r="J42" s="1027"/>
      <c r="K42" s="1027"/>
      <c r="L42" s="1034"/>
      <c r="M42" s="1034"/>
      <c r="N42" s="1034"/>
      <c r="O42" s="1034"/>
      <c r="P42" s="1034"/>
      <c r="Q42" s="1027"/>
      <c r="R42" s="1027"/>
      <c r="S42" s="1027"/>
      <c r="T42" s="1027"/>
      <c r="U42" s="1027"/>
      <c r="W42" s="9" t="s">
        <v>5407</v>
      </c>
      <c r="X42" s="1320">
        <v>7901</v>
      </c>
      <c r="Y42" s="1320">
        <v>8400</v>
      </c>
      <c r="Z42" s="9" t="s">
        <v>5408</v>
      </c>
      <c r="AA42" s="1320">
        <v>13601</v>
      </c>
      <c r="AB42" s="1320">
        <v>14300</v>
      </c>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row>
    <row r="43" spans="1:84" ht="14.45" hidden="1" customHeight="1">
      <c r="A43" s="883"/>
      <c r="B43" s="1245"/>
      <c r="C43" s="1251" t="s">
        <v>5409</v>
      </c>
      <c r="D43" s="1252"/>
      <c r="E43" s="1252"/>
      <c r="F43" s="1256">
        <v>0</v>
      </c>
      <c r="G43" s="1245"/>
      <c r="H43" s="1245"/>
      <c r="I43" s="1027"/>
      <c r="J43" s="1027"/>
      <c r="K43" s="1027"/>
      <c r="L43" s="1034"/>
      <c r="M43" s="1034"/>
      <c r="N43" s="1034"/>
      <c r="O43" s="1034"/>
      <c r="P43" s="1034"/>
      <c r="Q43" s="1027"/>
      <c r="R43" s="1027"/>
      <c r="S43" s="1027"/>
      <c r="T43" s="1027"/>
      <c r="U43" s="1027"/>
      <c r="W43" s="9" t="s">
        <v>5410</v>
      </c>
      <c r="X43" s="1320">
        <v>8401</v>
      </c>
      <c r="Y43" s="1320">
        <v>9000</v>
      </c>
      <c r="Z43" s="9" t="s">
        <v>5411</v>
      </c>
      <c r="AA43" s="1320">
        <v>14301</v>
      </c>
      <c r="AB43" s="1320">
        <v>14900</v>
      </c>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row>
    <row r="44" spans="1:84" ht="14.45" hidden="1" customHeight="1">
      <c r="A44" s="883"/>
      <c r="B44" s="1245"/>
      <c r="C44" s="1245"/>
      <c r="D44" s="1245"/>
      <c r="E44" s="1245"/>
      <c r="F44" s="1245"/>
      <c r="G44" s="1245"/>
      <c r="H44" s="1245"/>
      <c r="I44" s="1027"/>
      <c r="J44" s="1027"/>
      <c r="K44" s="1027"/>
      <c r="L44" s="1034"/>
      <c r="M44" s="1034"/>
      <c r="N44" s="1034"/>
      <c r="O44" s="1034"/>
      <c r="P44" s="1034"/>
      <c r="Q44" s="1027"/>
      <c r="R44" s="1027"/>
      <c r="S44" s="1027"/>
      <c r="T44" s="1027"/>
      <c r="U44" s="1027"/>
      <c r="W44" s="9" t="s">
        <v>5412</v>
      </c>
      <c r="X44" s="1320">
        <v>9000</v>
      </c>
      <c r="Z44" s="9" t="s">
        <v>5413</v>
      </c>
      <c r="AA44" s="1320">
        <v>14900</v>
      </c>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row>
    <row r="45" spans="1:84" ht="14.45" hidden="1" customHeight="1">
      <c r="A45" s="883"/>
      <c r="B45" s="1245"/>
      <c r="C45" s="1030"/>
      <c r="D45" s="1030"/>
      <c r="E45" s="1030"/>
      <c r="F45" s="1742" t="s">
        <v>5414</v>
      </c>
      <c r="G45" s="1245"/>
      <c r="H45" s="1245"/>
      <c r="I45" s="1027"/>
      <c r="J45" s="1027"/>
      <c r="K45" s="1027"/>
      <c r="L45" s="1034"/>
      <c r="M45" s="1034"/>
      <c r="N45" s="1034"/>
      <c r="O45" s="1034"/>
      <c r="P45" s="1034"/>
      <c r="Q45" s="1027"/>
      <c r="R45" s="1027"/>
      <c r="S45" s="1027"/>
      <c r="T45" s="1027"/>
      <c r="U45" s="1027"/>
      <c r="W45" s="9" t="s">
        <v>5415</v>
      </c>
      <c r="Z45" s="9" t="s">
        <v>5416</v>
      </c>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row>
    <row r="46" spans="1:84" ht="13.9" hidden="1" customHeight="1">
      <c r="A46" s="883"/>
      <c r="B46" s="1245"/>
      <c r="C46" s="1030" t="s">
        <v>5417</v>
      </c>
      <c r="D46" s="1030"/>
      <c r="E46" s="1030"/>
      <c r="F46" s="1440">
        <f>IF(F39&gt;10%,5,IF(AND(F39&lt;=10%,F39&gt;=0%),0,0))</f>
        <v>0</v>
      </c>
      <c r="G46" s="1245"/>
      <c r="H46" s="1245"/>
      <c r="I46" s="1027"/>
      <c r="J46" s="1027"/>
      <c r="K46" s="1027"/>
      <c r="L46" s="1034"/>
      <c r="M46" s="1034"/>
      <c r="N46" s="1034"/>
      <c r="O46" s="1034"/>
      <c r="P46" s="1034"/>
      <c r="Q46" s="1027"/>
      <c r="R46" s="1027"/>
      <c r="S46" s="1027"/>
      <c r="T46" s="1027"/>
      <c r="U46" s="1027"/>
      <c r="W46" s="9">
        <f>IF(AND(G14="State + Fed 4%",G15="Acquisition/Rehab",G22="No"),IF(G21&gt;X44,0,IF(AND(G21&gt;=X43,G21&lt;=Y43),G31,IF(AND(G21&gt;=X42,G21&lt;=Y42),G30,IF(AND(G21&gt;=X41,G21&lt;=Y41),G29,IF(AND(G21&gt;=X40,G21&lt;=Y40),G28,IF(AND(G21&gt;=X39,G21&lt;=Y39),G27,IF(G21&lt;Y38,G26))))))),IF(AND(G14="State + Fed 4%",G15="New Construction",G22="No"),IF(G21&gt;X36,0,IF(AND(G21&gt;=X35,G21&lt;=Y35),G31,IF(AND(G21&gt;=X34,G21&lt;=Y34),G30,IF(AND(G21&gt;=X33,G21&lt;=Y33),G29,IF(AND(G21&gt;=X32,G21&lt;=Y32),G28,IF(AND(G21&gt;=X31,G21&lt;=Y31),G27,IF(G21&lt;Y30,G26))))))),IF(AND(G14="4%",G15="New Construction",G22="No"),(IF(G21&gt;AF20,0,IF(AND(G21&gt;=AF19,G21&lt;=AG19),G30,IF(AND(G21&gt;=AF18,G21&lt;=AG18),G29,IF(AND(G21&gt;=AF17,G21&lt;=AG17),G28,IF(AND(G21&gt;=AF16,G21&lt;=AG16),G27,IF(G21&lt;AG15,G26))))))),IF(AND(G14="9%",G15="New Construction",G22="No"),IF(G21&gt;X20,0,IF(AND(G21&gt;=X19,G21&lt;=Y19),G31,IF(AND(G21&gt;=X18,G21&lt;=Y18),G30,IF(AND(G21&gt;=X17,G21&lt;=Y17),G29,IF(AND(G21&gt;=X16,G21&lt;=Y16),G28,IF(AND(G21&gt;=X15,G21&lt;=Y15),G27,IF(G21&lt;Y14,G26))))))),IF(AND(G14="4%",G15="Acquisition/Rehab",G22="No"),(IF(G21&gt;AF28,0,IF(AND(G21&gt;AF27,G21&lt;AG27),G30,IF(AND(G21&gt;AF26,G21&lt;AG26),G29,IF(AND(G21&gt;AF25,G21&lt;AG25),G28,IF(AND(G21&gt;AF24,G21&lt;AG24),G27,IF(G21&lt;AG23,G26))))))),IF(AND(G14="9%",G15="Acquisition/Rehab",G22="No"),IF(G21&gt;X28,0,IF(AND(G21&gt;=X27,G21&lt;=Y27),G31,IF(AND(G21&gt;=X26,G21&lt;=Y26),G30,IF(AND(G21&gt;=X25,G21&lt;=Y25),G29,IF(AND(G21&gt;=X24,G21&lt;=Y24),G28,IF(AND(G21&gt;=X23,G21&lt;=Y23),G27,IF(G21&lt;Y22,G26))))))),G26))))))</f>
        <v>36</v>
      </c>
      <c r="Z46" s="805">
        <f>IF(AND(G14="State + Fed 4%",G15="Acquisition/Rehab",G22="Yes"),IF(G21&gt;AA44,0,IF(AND(G21&gt;=AA43,G21&lt;=AB43),G31,IF(AND(G21&gt;=AA42,G21&lt;=AB42),G30,IF(AND(G21&gt;=AA41,G21&lt;=AB41),G29,IF(AND(G21&gt;=AA40,G21&lt;=AB40),G28,IF(AND(G21&gt;=AA39,G21&lt;=AB39),G27,IF(G21&lt;AB38,G26))))))),IF(AND(G14="State + Fed 4%",G15="New Construction",G22="Yes"),IF(G21&gt;AA36,0,IF(AND(G21&gt;=AA35,G21&lt;=AB35),G31,IF(AND(G21&gt;=AA34,G21&lt;=AB34),G30,IF(AND(G21&gt;=AA33,G21&lt;=AB33),G29,IF(AND(G21&gt;=AA32,G21&lt;=AB32),G28,IF(AND(G21&gt;=AA31,G21&lt;=AB31),G27,IF(G21&lt;AB30,G26))))))),IF(AND(G14="4%",G15="New Construction",G22="Yes"),(IF(G21&gt;AI20,0,IF(AND(G21&gt;AI19,G21&lt;AJ19),G30,IF(AND(G21&gt;AI18,G21&lt;AJ18),G29,IF(AND(G21&gt;AI17,G21&lt;AJ17),G28,IF(AND(G21&gt;AI16,G21&lt;AJ16),G27,IF(G21&lt;=AJ15,G26))))))),IF(AND(G14="9%",G15="New Construction",G22="Yes"),IF(G21&gt;AA20,0,IF(AND(G21&gt;=AA19,G21&lt;=AB19),G31,IF(AND(G21&gt;=AA18,G21&lt;=AB18),G30,IF(AND(G21&gt;=AA17,G21&lt;=AB17),G29,IF(AND(G21&gt;=AA16,G21&lt;=AB16),G28,IF(AND(G21&gt;=AA15,G21&lt;=AB15),G27,IF(G21&lt;AB14,G26))))))),IF(AND(G14="4%",G15="Acquisition/Rehab",G22="Yes"),(IF(G21&gt;AI28,0,IF(AND(G21&gt;AI27,G21&lt;AJ27),G30,IF(AND(G21&gt;AI26,G21&lt;AJ26),G29,IF(AND(G21&gt;AI25,G21&lt;AJ25),G28,IF(AND(G21&gt;AI24,G21&lt;AJ24),G27,IF(G21&lt;=AJ23,G26))))))),IF(AND(G14="9%",G15="Acquisition/Rehab",G22="Yes"),IF(G21&gt;AA28,0,IF(AND(G21&gt;=AA27,G21&lt;=AB27),G31,IF(AND(G21&gt;=AA26,G21&lt;=AB26),G30,IF(AND(G21&gt;=AA25,G21&lt;=AB25),G29,IF(AND(G21&gt;=AA24,G21&lt;=AB24),G28,IF(AND(G21&gt;=AA23,G21&lt;=AB23),G27,IF(G21&lt;AB22,G26))))))),G26))))))</f>
        <v>36</v>
      </c>
      <c r="AA46" s="83"/>
      <c r="AB46" s="8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row>
    <row r="47" spans="1:84" s="376" customFormat="1" ht="14.45" hidden="1" customHeight="1">
      <c r="A47" s="1443"/>
      <c r="B47" s="1444"/>
      <c r="C47" s="1034"/>
      <c r="D47" s="1034"/>
      <c r="E47" s="1034"/>
      <c r="F47" s="1034"/>
      <c r="G47" s="1444"/>
      <c r="H47" s="1444"/>
      <c r="I47" s="1034"/>
      <c r="J47" s="1034"/>
      <c r="K47" s="1034"/>
      <c r="L47" s="1034"/>
      <c r="M47" s="1034"/>
      <c r="N47" s="1034"/>
      <c r="O47" s="1034"/>
      <c r="P47" s="1034"/>
      <c r="Q47" s="1034"/>
      <c r="R47" s="1034"/>
      <c r="S47" s="1034"/>
      <c r="T47" s="1034"/>
      <c r="U47" s="1034"/>
      <c r="V47" s="547"/>
      <c r="W47" s="9"/>
      <c r="X47" s="9"/>
      <c r="Y47" s="9"/>
      <c r="Z47" s="9"/>
      <c r="AA47" s="9"/>
      <c r="AB47" s="9"/>
      <c r="AC47" s="9"/>
      <c r="AD47" s="9"/>
      <c r="AE47" s="9"/>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row>
    <row r="48" spans="1:84" s="376" customFormat="1">
      <c r="A48" s="1441"/>
      <c r="B48" s="1034"/>
      <c r="C48" s="1032"/>
      <c r="D48" s="1032"/>
      <c r="E48" s="1032"/>
      <c r="F48" s="1442"/>
      <c r="G48" s="1034"/>
      <c r="H48" s="1034"/>
      <c r="I48" s="1034"/>
      <c r="J48" s="1034"/>
      <c r="K48" s="1034"/>
      <c r="L48" s="1034"/>
      <c r="M48" s="1034"/>
      <c r="N48" s="1034"/>
      <c r="O48" s="1034"/>
      <c r="P48" s="1034"/>
      <c r="Q48" s="1034"/>
      <c r="R48" s="1034"/>
      <c r="S48" s="1034"/>
      <c r="T48" s="1034"/>
      <c r="U48" s="1034"/>
      <c r="V48" s="547"/>
      <c r="W48" s="9"/>
      <c r="X48" s="9"/>
      <c r="Y48" s="9"/>
      <c r="Z48" s="9"/>
      <c r="AA48" s="9"/>
      <c r="AB48" s="9"/>
      <c r="AC48" s="9"/>
      <c r="AD48" s="9"/>
      <c r="AE48" s="9"/>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row>
    <row r="49" spans="1:84" ht="16.149999999999999" customHeight="1">
      <c r="A49" s="513"/>
      <c r="B49" s="1027"/>
      <c r="C49" s="2504" t="s">
        <v>4997</v>
      </c>
      <c r="D49" s="2504"/>
      <c r="E49" s="2504" t="s">
        <v>4971</v>
      </c>
      <c r="F49" s="2504"/>
      <c r="G49" s="2504" t="s">
        <v>1051</v>
      </c>
      <c r="H49" s="2504"/>
      <c r="I49" s="1034"/>
      <c r="J49" s="1034"/>
      <c r="K49" s="1034"/>
      <c r="L49" s="1034"/>
      <c r="M49" s="1034"/>
      <c r="N49" s="1034"/>
      <c r="O49" s="1034"/>
      <c r="P49" s="1034"/>
      <c r="Q49" s="1027"/>
      <c r="R49" s="1027"/>
      <c r="S49" s="1027"/>
      <c r="T49" s="1027"/>
      <c r="U49" s="1027"/>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row>
    <row r="50" spans="1:84" ht="17.45" customHeight="1">
      <c r="A50" s="513"/>
      <c r="B50" s="1027"/>
      <c r="C50" s="2651">
        <v>36</v>
      </c>
      <c r="D50" s="2651"/>
      <c r="E50" s="2603">
        <f>IF(Credit_percentage_applied_for="4%",36,IF(G21&gt;0,IF(G22="Yes",Z46,IF(G22="No",W46,0)),0))</f>
        <v>0</v>
      </c>
      <c r="F50" s="2603"/>
      <c r="G50" s="2604"/>
      <c r="H50" s="2604"/>
      <c r="I50" s="1034"/>
      <c r="J50" s="1034"/>
      <c r="K50" s="1034"/>
      <c r="L50" s="1034"/>
      <c r="M50" s="1034"/>
      <c r="N50" s="1034"/>
      <c r="O50" s="1034"/>
      <c r="P50" s="1034"/>
      <c r="Q50" s="1027"/>
      <c r="R50" s="1027"/>
      <c r="S50" s="1027"/>
      <c r="T50" s="1027"/>
      <c r="U50" s="1027"/>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row>
    <row r="51" spans="1:84" s="39" customFormat="1" ht="18.75" hidden="1">
      <c r="A51" s="864"/>
      <c r="B51" s="1035"/>
      <c r="C51" s="1035"/>
      <c r="D51" s="1445"/>
      <c r="E51" s="1035"/>
      <c r="F51" s="1035"/>
      <c r="G51" s="1035"/>
      <c r="H51" s="1035"/>
      <c r="I51" s="1035"/>
      <c r="J51" s="1035"/>
      <c r="K51" s="1035"/>
      <c r="L51" s="1035"/>
      <c r="M51" s="1035"/>
      <c r="N51" s="1035"/>
      <c r="O51" s="1035"/>
      <c r="P51" s="1035"/>
      <c r="Q51" s="1035"/>
      <c r="R51" s="1035"/>
      <c r="S51" s="1035"/>
      <c r="T51" s="1035"/>
      <c r="U51" s="1035"/>
      <c r="V51" s="547"/>
      <c r="W51" s="9"/>
      <c r="X51" s="9"/>
      <c r="Y51" s="9"/>
      <c r="Z51" s="9"/>
      <c r="AA51" s="9"/>
      <c r="AB51" s="9"/>
      <c r="AC51" s="9"/>
      <c r="AD51" s="9"/>
      <c r="AE51" s="9"/>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row>
    <row r="52" spans="1:84" s="39" customFormat="1">
      <c r="A52" s="864"/>
      <c r="B52" s="1035"/>
      <c r="C52" s="1035"/>
      <c r="D52" s="1035"/>
      <c r="E52" s="1035"/>
      <c r="F52" s="1035"/>
      <c r="G52" s="1035"/>
      <c r="H52" s="1035"/>
      <c r="I52" s="1035"/>
      <c r="J52" s="1035"/>
      <c r="K52" s="1035"/>
      <c r="L52" s="1035"/>
      <c r="M52" s="1035"/>
      <c r="N52" s="1035"/>
      <c r="O52" s="1035"/>
      <c r="P52" s="1035"/>
      <c r="Q52" s="1035"/>
      <c r="R52" s="1035"/>
      <c r="S52" s="1035"/>
      <c r="T52" s="1035"/>
      <c r="U52" s="1035"/>
      <c r="V52" s="547"/>
      <c r="W52" s="9"/>
      <c r="X52" s="9"/>
      <c r="Y52" s="9"/>
      <c r="Z52" s="9"/>
      <c r="AA52" s="9"/>
      <c r="AB52" s="9"/>
      <c r="AC52" s="9"/>
      <c r="AD52" s="9"/>
      <c r="AE52" s="9"/>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row>
    <row r="53" spans="1:84" s="513" customFormat="1" ht="18.75">
      <c r="B53" s="2650" t="s">
        <v>5112</v>
      </c>
      <c r="C53" s="2650"/>
      <c r="D53" s="2650"/>
      <c r="F53" s="859"/>
      <c r="G53" s="859"/>
      <c r="J53" s="3"/>
      <c r="K53" s="3"/>
      <c r="L53" s="8" t="s">
        <v>5113</v>
      </c>
      <c r="M53" s="8"/>
      <c r="N53" s="3"/>
      <c r="O53" s="3"/>
      <c r="P53" s="3"/>
      <c r="Q53" s="3"/>
      <c r="V53" s="547"/>
      <c r="W53" s="9"/>
      <c r="X53" s="9"/>
      <c r="Y53" s="9"/>
      <c r="Z53" s="9"/>
      <c r="AA53" s="9"/>
      <c r="AB53" s="9"/>
      <c r="AC53" s="9"/>
      <c r="AD53" s="9"/>
      <c r="AE53" s="9"/>
      <c r="AF53" s="9"/>
      <c r="AG53" s="9"/>
      <c r="AH53" s="9"/>
      <c r="AI53" s="9"/>
      <c r="AJ53" s="9"/>
      <c r="AK53" s="9"/>
      <c r="AL53" s="9"/>
      <c r="AM53" s="9"/>
      <c r="AN53" s="9"/>
      <c r="AO53" s="9"/>
      <c r="AP53" s="9"/>
      <c r="AQ53" s="9"/>
      <c r="AR53" s="9"/>
      <c r="AS53" s="9"/>
      <c r="AT53" s="9"/>
    </row>
    <row r="54" spans="1:84">
      <c r="A54" s="513"/>
      <c r="B54" s="1030" t="s">
        <v>4802</v>
      </c>
      <c r="C54" s="1257"/>
      <c r="D54" s="1257"/>
      <c r="E54" s="1027"/>
      <c r="F54" s="1027"/>
      <c r="G54" s="1027"/>
      <c r="H54" s="1027"/>
      <c r="I54" s="1027"/>
      <c r="J54" s="1027"/>
      <c r="K54" s="1027"/>
      <c r="L54" s="1032" t="s">
        <v>3637</v>
      </c>
      <c r="M54" s="1027"/>
      <c r="N54" s="1032"/>
      <c r="O54" s="1027"/>
      <c r="P54" s="1027"/>
      <c r="Q54" s="1027"/>
      <c r="R54" s="1027"/>
      <c r="S54" s="1027"/>
      <c r="T54" s="1027"/>
      <c r="U54" s="1027"/>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row>
    <row r="55" spans="1:84" ht="15.75" customHeight="1">
      <c r="A55" s="513"/>
      <c r="B55" s="1027"/>
      <c r="C55" s="1998"/>
      <c r="D55" s="1999"/>
      <c r="E55" s="1999"/>
      <c r="F55" s="1999"/>
      <c r="G55" s="1999"/>
      <c r="H55" s="1999"/>
      <c r="I55" s="1999"/>
      <c r="J55" s="2000"/>
      <c r="K55" s="1027"/>
      <c r="L55" s="1998"/>
      <c r="M55" s="1999"/>
      <c r="N55" s="1999"/>
      <c r="O55" s="1999"/>
      <c r="P55" s="1999"/>
      <c r="Q55" s="1999"/>
      <c r="R55" s="1999"/>
      <c r="S55" s="1999"/>
      <c r="T55" s="2000"/>
      <c r="U55" s="1027"/>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row>
    <row r="56" spans="1:84">
      <c r="A56" s="513"/>
      <c r="B56" s="1027"/>
      <c r="C56" s="2001"/>
      <c r="D56" s="2002"/>
      <c r="E56" s="2002"/>
      <c r="F56" s="2002"/>
      <c r="G56" s="2002"/>
      <c r="H56" s="2002"/>
      <c r="I56" s="2002"/>
      <c r="J56" s="2003"/>
      <c r="K56" s="1027"/>
      <c r="L56" s="2001"/>
      <c r="M56" s="2002"/>
      <c r="N56" s="2002"/>
      <c r="O56" s="2002"/>
      <c r="P56" s="2002"/>
      <c r="Q56" s="2002"/>
      <c r="R56" s="2002"/>
      <c r="S56" s="2002"/>
      <c r="T56" s="2003"/>
      <c r="U56" s="1027"/>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row>
    <row r="57" spans="1:84">
      <c r="A57" s="513"/>
      <c r="B57" s="1027"/>
      <c r="C57" s="2001"/>
      <c r="D57" s="2002"/>
      <c r="E57" s="2002"/>
      <c r="F57" s="2002"/>
      <c r="G57" s="2002"/>
      <c r="H57" s="2002"/>
      <c r="I57" s="2002"/>
      <c r="J57" s="2003"/>
      <c r="K57" s="1027"/>
      <c r="L57" s="2001"/>
      <c r="M57" s="2002"/>
      <c r="N57" s="2002"/>
      <c r="O57" s="2002"/>
      <c r="P57" s="2002"/>
      <c r="Q57" s="2002"/>
      <c r="R57" s="2002"/>
      <c r="S57" s="2002"/>
      <c r="T57" s="2003"/>
      <c r="U57" s="1027"/>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row>
    <row r="58" spans="1:84">
      <c r="A58" s="513"/>
      <c r="B58" s="1027"/>
      <c r="C58" s="2001"/>
      <c r="D58" s="2002"/>
      <c r="E58" s="2002"/>
      <c r="F58" s="2002"/>
      <c r="G58" s="2002"/>
      <c r="H58" s="2002"/>
      <c r="I58" s="2002"/>
      <c r="J58" s="2003"/>
      <c r="K58" s="1027"/>
      <c r="L58" s="2001"/>
      <c r="M58" s="2002"/>
      <c r="N58" s="2002"/>
      <c r="O58" s="2002"/>
      <c r="P58" s="2002"/>
      <c r="Q58" s="2002"/>
      <c r="R58" s="2002"/>
      <c r="S58" s="2002"/>
      <c r="T58" s="2003"/>
      <c r="U58" s="1027"/>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row>
    <row r="59" spans="1:84">
      <c r="A59" s="513"/>
      <c r="B59" s="1027"/>
      <c r="C59" s="2001"/>
      <c r="D59" s="2002"/>
      <c r="E59" s="2002"/>
      <c r="F59" s="2002"/>
      <c r="G59" s="2002"/>
      <c r="H59" s="2002"/>
      <c r="I59" s="2002"/>
      <c r="J59" s="2003"/>
      <c r="K59" s="1027"/>
      <c r="L59" s="2001"/>
      <c r="M59" s="2002"/>
      <c r="N59" s="2002"/>
      <c r="O59" s="2002"/>
      <c r="P59" s="2002"/>
      <c r="Q59" s="2002"/>
      <c r="R59" s="2002"/>
      <c r="S59" s="2002"/>
      <c r="T59" s="2003"/>
      <c r="U59" s="1027"/>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4">
      <c r="A60" s="513"/>
      <c r="B60" s="1027"/>
      <c r="C60" s="2001"/>
      <c r="D60" s="2002"/>
      <c r="E60" s="2002"/>
      <c r="F60" s="2002"/>
      <c r="G60" s="2002"/>
      <c r="H60" s="2002"/>
      <c r="I60" s="2002"/>
      <c r="J60" s="2003"/>
      <c r="K60" s="1027"/>
      <c r="L60" s="2001"/>
      <c r="M60" s="2002"/>
      <c r="N60" s="2002"/>
      <c r="O60" s="2002"/>
      <c r="P60" s="2002"/>
      <c r="Q60" s="2002"/>
      <c r="R60" s="2002"/>
      <c r="S60" s="2002"/>
      <c r="T60" s="2003"/>
      <c r="U60" s="1027"/>
      <c r="AC60" s="1435"/>
      <c r="AD60" s="1435"/>
      <c r="AE60" s="1435"/>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row>
    <row r="61" spans="1:84">
      <c r="A61" s="513"/>
      <c r="B61" s="1027"/>
      <c r="C61" s="2001"/>
      <c r="D61" s="2002"/>
      <c r="E61" s="2002"/>
      <c r="F61" s="2002"/>
      <c r="G61" s="2002"/>
      <c r="H61" s="2002"/>
      <c r="I61" s="2002"/>
      <c r="J61" s="2003"/>
      <c r="K61" s="1027"/>
      <c r="L61" s="2001"/>
      <c r="M61" s="2002"/>
      <c r="N61" s="2002"/>
      <c r="O61" s="2002"/>
      <c r="P61" s="2002"/>
      <c r="Q61" s="2002"/>
      <c r="R61" s="2002"/>
      <c r="S61" s="2002"/>
      <c r="T61" s="2003"/>
      <c r="U61" s="1027"/>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row>
    <row r="62" spans="1:84">
      <c r="A62" s="513"/>
      <c r="B62" s="1027"/>
      <c r="C62" s="2001"/>
      <c r="D62" s="2002"/>
      <c r="E62" s="2002"/>
      <c r="F62" s="2002"/>
      <c r="G62" s="2002"/>
      <c r="H62" s="2002"/>
      <c r="I62" s="2002"/>
      <c r="J62" s="2003"/>
      <c r="K62" s="1027"/>
      <c r="L62" s="2001"/>
      <c r="M62" s="2002"/>
      <c r="N62" s="2002"/>
      <c r="O62" s="2002"/>
      <c r="P62" s="2002"/>
      <c r="Q62" s="2002"/>
      <c r="R62" s="2002"/>
      <c r="S62" s="2002"/>
      <c r="T62" s="2003"/>
      <c r="U62" s="1027"/>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row>
    <row r="63" spans="1:84">
      <c r="A63" s="513"/>
      <c r="B63" s="1027"/>
      <c r="C63" s="2001"/>
      <c r="D63" s="2002"/>
      <c r="E63" s="2002"/>
      <c r="F63" s="2002"/>
      <c r="G63" s="2002"/>
      <c r="H63" s="2002"/>
      <c r="I63" s="2002"/>
      <c r="J63" s="2003"/>
      <c r="K63" s="1027"/>
      <c r="L63" s="2004"/>
      <c r="M63" s="2005"/>
      <c r="N63" s="2005"/>
      <c r="O63" s="2005"/>
      <c r="P63" s="2005"/>
      <c r="Q63" s="2005"/>
      <c r="R63" s="2005"/>
      <c r="S63" s="2005"/>
      <c r="T63" s="2006"/>
      <c r="U63" s="1027"/>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row>
    <row r="64" spans="1:84">
      <c r="A64" s="513"/>
      <c r="B64" s="1027"/>
      <c r="C64" s="2001"/>
      <c r="D64" s="2002"/>
      <c r="E64" s="2002"/>
      <c r="F64" s="2002"/>
      <c r="G64" s="2002"/>
      <c r="H64" s="2002"/>
      <c r="I64" s="2002"/>
      <c r="J64" s="2003"/>
      <c r="K64" s="1027"/>
      <c r="L64" s="2601" t="s">
        <v>1058</v>
      </c>
      <c r="M64" s="2601"/>
      <c r="N64" s="2601"/>
      <c r="O64" s="1027"/>
      <c r="P64" s="1027"/>
      <c r="Q64" s="1027"/>
      <c r="R64" s="1027"/>
      <c r="S64" s="1027"/>
      <c r="T64" s="1027"/>
      <c r="U64" s="1027"/>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row>
    <row r="65" spans="1:84">
      <c r="A65" s="513"/>
      <c r="B65" s="1027"/>
      <c r="C65" s="2004"/>
      <c r="D65" s="2005"/>
      <c r="E65" s="2005"/>
      <c r="F65" s="2005"/>
      <c r="G65" s="2005"/>
      <c r="H65" s="2005"/>
      <c r="I65" s="2005"/>
      <c r="J65" s="2006"/>
      <c r="K65" s="1027"/>
      <c r="L65" s="2577"/>
      <c r="M65" s="2578"/>
      <c r="N65" s="2578"/>
      <c r="O65" s="2578"/>
      <c r="P65" s="2578"/>
      <c r="Q65" s="2578"/>
      <c r="R65" s="2578"/>
      <c r="S65" s="2578"/>
      <c r="T65" s="2579"/>
      <c r="U65" s="1027"/>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row>
    <row r="66" spans="1:84" s="441" customFormat="1">
      <c r="A66" s="513"/>
      <c r="B66" s="1027"/>
      <c r="C66" s="1258"/>
      <c r="D66" s="1027"/>
      <c r="E66" s="1027"/>
      <c r="F66" s="1027"/>
      <c r="G66" s="1027"/>
      <c r="H66" s="1027"/>
      <c r="I66" s="1027"/>
      <c r="J66" s="1034"/>
      <c r="K66" s="1034"/>
      <c r="L66" s="1034"/>
      <c r="M66" s="1034"/>
      <c r="N66" s="1034"/>
      <c r="O66" s="1034"/>
      <c r="P66" s="1034"/>
      <c r="Q66" s="1027"/>
      <c r="R66" s="1027"/>
      <c r="S66" s="1027"/>
      <c r="T66" s="1027"/>
      <c r="U66" s="1027"/>
      <c r="V66" s="547"/>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767"/>
      <c r="BG66" s="767"/>
      <c r="BH66" s="767"/>
      <c r="BI66" s="767"/>
      <c r="BJ66" s="767"/>
      <c r="BK66" s="767"/>
      <c r="BL66" s="767"/>
      <c r="BM66" s="767"/>
      <c r="BN66" s="767"/>
      <c r="BO66" s="767"/>
      <c r="BP66" s="767"/>
      <c r="BQ66" s="767"/>
      <c r="BR66" s="767"/>
      <c r="BS66" s="767"/>
      <c r="BT66" s="767"/>
      <c r="BU66" s="767"/>
      <c r="BV66" s="767"/>
      <c r="BW66" s="767"/>
      <c r="BX66" s="767"/>
    </row>
    <row r="67" spans="1:84" ht="17.25" customHeight="1">
      <c r="A67" s="881"/>
      <c r="B67" s="965" t="s">
        <v>4990</v>
      </c>
      <c r="C67" s="965"/>
      <c r="D67" s="965"/>
      <c r="E67" s="965"/>
      <c r="F67" s="965"/>
      <c r="G67" s="965"/>
      <c r="H67" s="965"/>
      <c r="I67" s="965"/>
      <c r="J67" s="965"/>
      <c r="K67" s="965"/>
      <c r="L67" s="965"/>
      <c r="M67" s="965"/>
      <c r="N67" s="965"/>
      <c r="O67" s="965"/>
      <c r="P67" s="965"/>
      <c r="Q67" s="965"/>
      <c r="R67" s="965"/>
      <c r="S67" s="965"/>
      <c r="T67" s="965"/>
      <c r="U67" s="965"/>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row>
    <row r="68" spans="1:84" ht="16.5" customHeight="1">
      <c r="A68" s="513"/>
      <c r="B68" s="2469" t="s">
        <v>5418</v>
      </c>
      <c r="C68" s="2469"/>
      <c r="D68" s="2469"/>
      <c r="E68" s="2469"/>
      <c r="F68" s="2469"/>
      <c r="G68" s="2469"/>
      <c r="H68" s="2469"/>
      <c r="I68" s="2469"/>
      <c r="J68" s="2469"/>
      <c r="K68" s="2469"/>
      <c r="L68" s="2469"/>
      <c r="M68" s="2469"/>
      <c r="N68" s="2469"/>
      <c r="O68" s="2469"/>
      <c r="P68" s="2469"/>
      <c r="Q68" s="2469"/>
      <c r="R68" s="2469"/>
      <c r="S68" s="2469"/>
      <c r="T68" s="2469"/>
      <c r="U68" s="1027"/>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row>
    <row r="69" spans="1:84" ht="17.45" customHeight="1">
      <c r="A69" s="1612"/>
      <c r="B69" s="2469"/>
      <c r="C69" s="2469"/>
      <c r="D69" s="2469"/>
      <c r="E69" s="2469"/>
      <c r="F69" s="2469"/>
      <c r="G69" s="2469"/>
      <c r="H69" s="2469"/>
      <c r="I69" s="2469"/>
      <c r="J69" s="2469"/>
      <c r="K69" s="2469"/>
      <c r="L69" s="2469"/>
      <c r="M69" s="2469"/>
      <c r="N69" s="2469"/>
      <c r="O69" s="2469"/>
      <c r="P69" s="2469"/>
      <c r="Q69" s="2469"/>
      <c r="R69" s="2469"/>
      <c r="S69" s="2469"/>
      <c r="T69" s="2469"/>
      <c r="U69" s="1027"/>
      <c r="V69" s="121"/>
      <c r="AC69" s="83"/>
      <c r="AD69" s="83"/>
      <c r="AF69" s="83"/>
      <c r="AG69" s="83"/>
      <c r="AH69" s="83"/>
      <c r="AI69" s="83"/>
      <c r="AJ69" s="83"/>
      <c r="AK69" s="83"/>
      <c r="AL69" s="83"/>
      <c r="AM69" s="83"/>
      <c r="AN69" s="83"/>
      <c r="AO69" s="8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row>
    <row r="70" spans="1:84">
      <c r="A70" s="1612"/>
      <c r="B70" s="1259" t="s">
        <v>5419</v>
      </c>
      <c r="C70" s="1260"/>
      <c r="D70" s="1260"/>
      <c r="E70" s="1260"/>
      <c r="F70" s="1260"/>
      <c r="G70" s="1260"/>
      <c r="H70" s="1260"/>
      <c r="I70" s="1260"/>
      <c r="J70" s="1261"/>
      <c r="K70" s="1261"/>
      <c r="L70" s="1261"/>
      <c r="M70" s="1261"/>
      <c r="N70" s="1261"/>
      <c r="O70" s="1261"/>
      <c r="P70" s="1261"/>
      <c r="Q70" s="1027"/>
      <c r="R70" s="1027"/>
      <c r="S70" s="1027"/>
      <c r="T70" s="1027"/>
      <c r="U70" s="1027"/>
      <c r="V70" s="121"/>
      <c r="AC70" s="83"/>
      <c r="AD70" s="83"/>
      <c r="AF70" s="83"/>
      <c r="AG70" s="83"/>
      <c r="AH70" s="83"/>
      <c r="AI70" s="83"/>
      <c r="AJ70" s="83"/>
      <c r="AK70" s="83"/>
      <c r="AL70" s="83"/>
      <c r="AM70" s="83"/>
      <c r="AN70" s="83"/>
      <c r="AO70" s="8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row>
    <row r="71" spans="1:84" ht="19.899999999999999" customHeight="1">
      <c r="A71" s="1612"/>
      <c r="B71" s="1261"/>
      <c r="C71" s="1261"/>
      <c r="D71" s="1261"/>
      <c r="E71" s="1261"/>
      <c r="F71" s="1261"/>
      <c r="G71" s="1261"/>
      <c r="H71" s="1261"/>
      <c r="I71" s="1261"/>
      <c r="J71" s="1261"/>
      <c r="K71" s="1261"/>
      <c r="L71" s="1261"/>
      <c r="M71" s="1261"/>
      <c r="N71" s="1261"/>
      <c r="O71" s="1261"/>
      <c r="P71" s="1261"/>
      <c r="Q71" s="1027"/>
      <c r="R71" s="1027"/>
      <c r="S71" s="1027"/>
      <c r="T71" s="1027"/>
      <c r="U71" s="1027"/>
      <c r="V71" s="121"/>
      <c r="AC71" s="83"/>
      <c r="AD71" s="83"/>
      <c r="AF71" s="83"/>
      <c r="AG71" s="83"/>
      <c r="AH71" s="83"/>
      <c r="AI71" s="83"/>
      <c r="AJ71" s="83"/>
      <c r="AK71" s="83"/>
      <c r="AL71" s="83"/>
      <c r="AM71" s="83"/>
      <c r="AN71" s="83"/>
      <c r="AO71" s="8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row>
    <row r="72" spans="1:84" ht="18" customHeight="1">
      <c r="A72" s="1612"/>
      <c r="B72" s="2469" t="s">
        <v>5420</v>
      </c>
      <c r="C72" s="2469"/>
      <c r="D72" s="2469"/>
      <c r="E72" s="2469"/>
      <c r="F72" s="2469"/>
      <c r="G72" s="2469"/>
      <c r="H72" s="2469"/>
      <c r="I72" s="2469"/>
      <c r="J72" s="2469"/>
      <c r="K72" s="2469"/>
      <c r="L72" s="2469"/>
      <c r="M72" s="2469"/>
      <c r="N72" s="2469"/>
      <c r="O72" s="2469"/>
      <c r="P72" s="2469"/>
      <c r="Q72" s="2469"/>
      <c r="R72" s="1604"/>
      <c r="S72" s="1027"/>
      <c r="T72" s="1027"/>
      <c r="U72" s="1027"/>
      <c r="V72" s="121"/>
      <c r="W72" s="83"/>
      <c r="X72" s="83"/>
      <c r="Y72" s="83"/>
      <c r="Z72" s="83"/>
      <c r="AA72" s="83"/>
      <c r="AB72" s="83"/>
      <c r="AC72" s="83"/>
      <c r="AD72" s="83"/>
      <c r="AF72" s="83"/>
      <c r="AG72" s="83"/>
      <c r="AH72" s="83"/>
      <c r="AI72" s="83"/>
      <c r="AJ72" s="83"/>
      <c r="AK72" s="83"/>
      <c r="AL72" s="83"/>
      <c r="AM72" s="83"/>
      <c r="AN72" s="83"/>
      <c r="AO72" s="8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row>
    <row r="73" spans="1:84" ht="16.899999999999999" customHeight="1">
      <c r="A73" s="1612"/>
      <c r="B73" s="2615" t="s">
        <v>5421</v>
      </c>
      <c r="C73" s="2616"/>
      <c r="D73" s="2616"/>
      <c r="E73" s="2616"/>
      <c r="F73" s="2616"/>
      <c r="G73" s="2616"/>
      <c r="H73" s="2616"/>
      <c r="I73" s="2616"/>
      <c r="J73" s="2616"/>
      <c r="K73" s="2616"/>
      <c r="L73" s="2616"/>
      <c r="M73" s="2616"/>
      <c r="N73" s="1604"/>
      <c r="O73" s="1604"/>
      <c r="P73" s="1604"/>
      <c r="Q73" s="1027"/>
      <c r="R73" s="1027"/>
      <c r="S73" s="1027"/>
      <c r="T73" s="1027"/>
      <c r="U73" s="1027"/>
      <c r="V73" s="121"/>
      <c r="W73" s="83"/>
      <c r="X73" s="83"/>
      <c r="Y73" s="83"/>
      <c r="Z73" s="83"/>
      <c r="AA73" s="83"/>
      <c r="AB73" s="83"/>
      <c r="AC73" s="83"/>
      <c r="AD73" s="83"/>
      <c r="AF73" s="83"/>
      <c r="AG73" s="83"/>
      <c r="AH73" s="83"/>
      <c r="AI73" s="83"/>
      <c r="AJ73" s="83"/>
      <c r="AK73" s="83"/>
      <c r="AL73" s="83"/>
      <c r="AM73" s="83"/>
      <c r="AN73" s="83"/>
      <c r="AO73" s="8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row>
    <row r="74" spans="1:84" ht="21.6" customHeight="1">
      <c r="A74" s="1612"/>
      <c r="B74" s="2617" t="s">
        <v>5422</v>
      </c>
      <c r="C74" s="2618"/>
      <c r="D74" s="2618"/>
      <c r="E74" s="2618"/>
      <c r="F74" s="2618"/>
      <c r="G74" s="2618"/>
      <c r="H74" s="2618"/>
      <c r="I74" s="2618"/>
      <c r="J74" s="2618"/>
      <c r="K74" s="2618"/>
      <c r="L74" s="2618"/>
      <c r="M74" s="2618"/>
      <c r="N74" s="1503"/>
      <c r="O74" s="1714"/>
      <c r="P74" s="1714"/>
      <c r="Q74" s="1027"/>
      <c r="R74" s="1027"/>
      <c r="S74" s="1027"/>
      <c r="T74" s="1027"/>
      <c r="U74" s="1027"/>
      <c r="V74" s="121"/>
      <c r="W74" s="83"/>
      <c r="X74" s="83"/>
      <c r="Y74" s="83"/>
      <c r="Z74" s="83"/>
      <c r="AA74" s="83"/>
      <c r="AB74" s="83"/>
      <c r="AC74" s="83"/>
      <c r="AD74" s="83"/>
      <c r="AF74" s="83"/>
      <c r="AG74" s="83"/>
      <c r="AH74" s="83"/>
      <c r="AI74" s="83"/>
      <c r="AJ74" s="83"/>
      <c r="AK74" s="83"/>
      <c r="AL74" s="83"/>
      <c r="AM74" s="83"/>
      <c r="AN74" s="83"/>
      <c r="AO74" s="8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row>
    <row r="75" spans="1:84">
      <c r="A75" s="1612"/>
      <c r="B75" s="1613"/>
      <c r="C75" s="2626" t="s">
        <v>3493</v>
      </c>
      <c r="D75" s="2627"/>
      <c r="E75" s="2627"/>
      <c r="F75" s="2627"/>
      <c r="G75" s="2627"/>
      <c r="H75" s="2627"/>
      <c r="I75" s="2627"/>
      <c r="J75" s="2627"/>
      <c r="K75" s="2627"/>
      <c r="L75" s="2628"/>
      <c r="M75" s="2185" t="s">
        <v>5423</v>
      </c>
      <c r="N75" s="2186"/>
      <c r="O75" s="2509" t="s">
        <v>5424</v>
      </c>
      <c r="P75" s="2509"/>
      <c r="Q75" s="2509" t="s">
        <v>3494</v>
      </c>
      <c r="R75" s="2509"/>
      <c r="S75" s="2509" t="s">
        <v>5425</v>
      </c>
      <c r="T75" s="2509"/>
      <c r="U75" s="1027"/>
      <c r="V75" s="121"/>
      <c r="W75" s="83"/>
      <c r="X75" s="83"/>
      <c r="Y75" s="83"/>
      <c r="Z75" s="83"/>
      <c r="AA75" s="83"/>
      <c r="AB75" s="83"/>
      <c r="AC75" s="83"/>
      <c r="AD75" s="83"/>
      <c r="AF75" s="83"/>
      <c r="AG75" s="83"/>
      <c r="AH75" s="83"/>
      <c r="AI75" s="83"/>
      <c r="AJ75" s="83"/>
      <c r="AK75" s="83"/>
      <c r="AL75" s="83"/>
      <c r="AM75" s="83"/>
      <c r="AN75" s="83"/>
      <c r="AO75" s="8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row>
    <row r="76" spans="1:84">
      <c r="A76" s="1612"/>
      <c r="B76" s="1604"/>
      <c r="C76" s="2592" t="s">
        <v>5426</v>
      </c>
      <c r="D76" s="2593"/>
      <c r="E76" s="2593"/>
      <c r="F76" s="2593"/>
      <c r="G76" s="2593"/>
      <c r="H76" s="2593"/>
      <c r="I76" s="2593"/>
      <c r="J76" s="2593"/>
      <c r="K76" s="2593"/>
      <c r="L76" s="2594"/>
      <c r="M76" s="2624"/>
      <c r="N76" s="2625"/>
      <c r="O76" s="2619"/>
      <c r="P76" s="2619"/>
      <c r="Q76" s="2619"/>
      <c r="R76" s="2619"/>
      <c r="S76" s="2619"/>
      <c r="T76" s="2620"/>
      <c r="U76" s="1027"/>
      <c r="V76" s="121"/>
      <c r="W76" s="83"/>
      <c r="X76" s="83"/>
      <c r="Y76" s="83"/>
      <c r="Z76" s="83"/>
      <c r="AA76" s="83"/>
      <c r="AB76" s="83"/>
      <c r="AC76" s="83"/>
      <c r="AD76" s="83"/>
      <c r="AF76" s="83"/>
      <c r="AG76" s="83"/>
      <c r="AH76" s="83"/>
      <c r="AI76" s="83"/>
      <c r="AJ76" s="83"/>
      <c r="AK76" s="83"/>
      <c r="AL76" s="83"/>
      <c r="AM76" s="83"/>
      <c r="AN76" s="83"/>
      <c r="AO76" s="8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1:84" ht="28.5" customHeight="1">
      <c r="A77" s="1612"/>
      <c r="B77" s="1604"/>
      <c r="C77" s="2523" t="s">
        <v>5427</v>
      </c>
      <c r="D77" s="2523"/>
      <c r="E77" s="2523"/>
      <c r="F77" s="2523"/>
      <c r="G77" s="2523"/>
      <c r="H77" s="2523"/>
      <c r="I77" s="2523"/>
      <c r="J77" s="2523"/>
      <c r="K77" s="2523"/>
      <c r="L77" s="2523"/>
      <c r="M77" s="2582">
        <v>2</v>
      </c>
      <c r="N77" s="2583"/>
      <c r="O77" s="2608"/>
      <c r="P77" s="2608"/>
      <c r="Q77" s="2608"/>
      <c r="R77" s="2608"/>
      <c r="S77" s="2608"/>
      <c r="T77" s="2608"/>
      <c r="U77" s="1027"/>
      <c r="W77" s="83"/>
      <c r="X77" s="83" t="s">
        <v>5428</v>
      </c>
      <c r="Y77" s="1434"/>
      <c r="Z77" s="1437" t="s">
        <v>5429</v>
      </c>
      <c r="AA77" s="1437"/>
      <c r="AB77" s="1438"/>
      <c r="AC77" s="1434" t="s">
        <v>5430</v>
      </c>
      <c r="AD77" s="83"/>
      <c r="AF77" s="83"/>
      <c r="AG77" s="83"/>
      <c r="AH77" s="83"/>
      <c r="AI77" s="83"/>
      <c r="AJ77" s="83"/>
      <c r="AK77" s="83"/>
      <c r="AL77" s="83"/>
      <c r="AM77" s="83"/>
      <c r="AN77" s="83"/>
      <c r="AO77" s="83"/>
      <c r="AP77" s="83"/>
      <c r="AQ77" s="83"/>
      <c r="AR77" s="83"/>
      <c r="AS77" s="83"/>
      <c r="AT77" s="83"/>
      <c r="AU77" s="372"/>
      <c r="AV77" s="372"/>
      <c r="AW77" s="372"/>
      <c r="AX77" s="372"/>
      <c r="AY77" s="372"/>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1:84" ht="18" customHeight="1">
      <c r="A78" s="513"/>
      <c r="B78" s="1604"/>
      <c r="C78" s="2523"/>
      <c r="D78" s="2523"/>
      <c r="E78" s="2523"/>
      <c r="F78" s="2523"/>
      <c r="G78" s="2523"/>
      <c r="H78" s="2523"/>
      <c r="I78" s="2523"/>
      <c r="J78" s="2523"/>
      <c r="K78" s="2523"/>
      <c r="L78" s="2523"/>
      <c r="M78" s="2584"/>
      <c r="N78" s="2585"/>
      <c r="O78" s="2608"/>
      <c r="P78" s="2608"/>
      <c r="Q78" s="2608"/>
      <c r="R78" s="2608"/>
      <c r="S78" s="2608"/>
      <c r="T78" s="2608"/>
      <c r="U78" s="1027"/>
      <c r="W78" s="83" t="b">
        <f>OR(AND(X79,X80), X80=X79)</f>
        <v>1</v>
      </c>
      <c r="X78" s="83">
        <f>IF(W78,0,IF(X79, 2,1))</f>
        <v>0</v>
      </c>
      <c r="Y78" s="1433" t="b">
        <f>OR(AND(Z79,Z80), Z80=Z79)</f>
        <v>1</v>
      </c>
      <c r="Z78" s="1433">
        <f>IF(Y78,0,IF(Z79, 2,1))</f>
        <v>0</v>
      </c>
      <c r="AA78" s="1433"/>
      <c r="AB78" s="1433" t="b">
        <f>OR(AND(AC79,AC80), AC80=AC79)</f>
        <v>1</v>
      </c>
      <c r="AC78" s="1433">
        <f>IF(AB78,0,IF(AC79, 2,1))</f>
        <v>0</v>
      </c>
      <c r="AF78" s="83"/>
      <c r="AG78" s="83"/>
      <c r="AH78" s="83"/>
      <c r="AI78" s="83"/>
      <c r="AJ78" s="83"/>
      <c r="AK78" s="83"/>
      <c r="AL78" s="83"/>
      <c r="AM78" s="83"/>
      <c r="AN78" s="83"/>
      <c r="AO78" s="83"/>
      <c r="AP78" s="83"/>
      <c r="AQ78" s="83"/>
      <c r="AR78" s="83"/>
      <c r="AS78" s="83"/>
      <c r="AT78" s="83"/>
      <c r="AU78" s="372"/>
      <c r="AV78" s="372"/>
      <c r="AW78" s="372"/>
      <c r="AX78" s="372"/>
      <c r="AY78" s="372"/>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1:84" ht="30" customHeight="1">
      <c r="A79" s="513"/>
      <c r="B79" s="1604"/>
      <c r="C79" s="2595" t="s">
        <v>5431</v>
      </c>
      <c r="D79" s="2595"/>
      <c r="E79" s="2595"/>
      <c r="F79" s="2595"/>
      <c r="G79" s="2595"/>
      <c r="H79" s="2595"/>
      <c r="I79" s="2595"/>
      <c r="J79" s="2595"/>
      <c r="K79" s="2595"/>
      <c r="L79" s="2595"/>
      <c r="M79" s="2582">
        <v>1</v>
      </c>
      <c r="N79" s="2583"/>
      <c r="O79" s="2608"/>
      <c r="P79" s="2608"/>
      <c r="Q79" s="2608"/>
      <c r="R79" s="2608"/>
      <c r="S79" s="2608"/>
      <c r="T79" s="2608"/>
      <c r="U79" s="1027"/>
      <c r="W79" s="83"/>
      <c r="X79" s="83" t="b">
        <f>Q77="Yes"</f>
        <v>0</v>
      </c>
      <c r="Y79" s="1433"/>
      <c r="Z79" s="1433" t="b">
        <f>O77="Yes"</f>
        <v>0</v>
      </c>
      <c r="AA79" s="1433"/>
      <c r="AC79" s="1433" t="b">
        <f>S77="Yes"</f>
        <v>0</v>
      </c>
      <c r="AF79" s="83"/>
      <c r="AG79" s="83"/>
      <c r="AH79" s="83"/>
      <c r="AI79" s="83"/>
      <c r="AJ79" s="83"/>
      <c r="AK79" s="83"/>
      <c r="AL79" s="83"/>
      <c r="AM79" s="83"/>
      <c r="AN79" s="83"/>
      <c r="AO79" s="83"/>
      <c r="AP79" s="83"/>
      <c r="AQ79" s="83"/>
      <c r="AR79" s="83"/>
      <c r="AS79" s="83"/>
      <c r="AT79" s="83"/>
      <c r="AU79" s="372"/>
      <c r="AV79" s="372"/>
      <c r="AW79" s="372"/>
      <c r="AX79" s="372"/>
      <c r="AY79" s="372"/>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1:84" ht="14.25" customHeight="1">
      <c r="A80" s="513"/>
      <c r="B80" s="1604"/>
      <c r="C80" s="2595"/>
      <c r="D80" s="2595"/>
      <c r="E80" s="2595"/>
      <c r="F80" s="2595"/>
      <c r="G80" s="2595"/>
      <c r="H80" s="2595"/>
      <c r="I80" s="2595"/>
      <c r="J80" s="2595"/>
      <c r="K80" s="2595"/>
      <c r="L80" s="2595"/>
      <c r="M80" s="2584"/>
      <c r="N80" s="2585"/>
      <c r="O80" s="2608"/>
      <c r="P80" s="2608"/>
      <c r="Q80" s="2608"/>
      <c r="R80" s="2608"/>
      <c r="S80" s="2608"/>
      <c r="T80" s="2608"/>
      <c r="U80" s="1027"/>
      <c r="W80" s="83"/>
      <c r="X80" s="83" t="b">
        <f>Q79="Yes"</f>
        <v>0</v>
      </c>
      <c r="Y80" s="1434"/>
      <c r="Z80" s="1433" t="b">
        <f>O79="Yes"</f>
        <v>0</v>
      </c>
      <c r="AA80" s="1433"/>
      <c r="AC80" s="1433" t="b">
        <f>S79="Yes"</f>
        <v>0</v>
      </c>
      <c r="AF80" s="83"/>
      <c r="AG80" s="83"/>
      <c r="AH80" s="83"/>
      <c r="AI80" s="83"/>
      <c r="AJ80" s="83"/>
      <c r="AK80" s="83"/>
      <c r="AL80" s="83"/>
      <c r="AM80" s="83"/>
      <c r="AN80" s="83"/>
      <c r="AO80" s="83"/>
      <c r="AP80" s="83"/>
      <c r="AQ80" s="83"/>
      <c r="AR80" s="83"/>
      <c r="AS80" s="83"/>
      <c r="AT80" s="83"/>
      <c r="AU80" s="372"/>
      <c r="AV80" s="372"/>
      <c r="AW80" s="372"/>
      <c r="AX80" s="372"/>
      <c r="AY80" s="372"/>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1:81">
      <c r="A81" s="513"/>
      <c r="B81" s="1604"/>
      <c r="C81" s="2643" t="s">
        <v>5432</v>
      </c>
      <c r="D81" s="2644"/>
      <c r="E81" s="2644"/>
      <c r="F81" s="2644"/>
      <c r="G81" s="2644"/>
      <c r="H81" s="2644"/>
      <c r="I81" s="2644"/>
      <c r="J81" s="2644"/>
      <c r="K81" s="2644"/>
      <c r="L81" s="2645"/>
      <c r="M81" s="2582"/>
      <c r="N81" s="2583"/>
      <c r="O81" s="2582"/>
      <c r="P81" s="2583"/>
      <c r="Q81" s="2582"/>
      <c r="R81" s="2583"/>
      <c r="S81" s="2582"/>
      <c r="T81" s="2583"/>
      <c r="U81" s="1027"/>
      <c r="W81" s="83"/>
      <c r="X81" s="83"/>
      <c r="Y81" s="1434"/>
      <c r="Z81" s="1437"/>
      <c r="AA81" s="1437"/>
      <c r="AB81" s="1438"/>
      <c r="AC81" s="1434"/>
      <c r="AF81" s="83"/>
      <c r="AG81" s="83"/>
      <c r="AH81" s="83"/>
      <c r="AI81" s="83"/>
      <c r="AJ81" s="83"/>
      <c r="AK81" s="83"/>
      <c r="AL81" s="83"/>
      <c r="AM81" s="83"/>
      <c r="AN81" s="83"/>
      <c r="AO81" s="83"/>
      <c r="AP81" s="83"/>
      <c r="AQ81" s="83"/>
      <c r="AR81" s="83"/>
      <c r="AS81" s="83"/>
      <c r="AT81" s="83"/>
      <c r="AU81" s="372"/>
      <c r="AV81" s="372"/>
      <c r="AW81" s="372"/>
      <c r="AX81" s="372"/>
      <c r="AY81" s="372"/>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1:81" ht="18" customHeight="1">
      <c r="A82" s="513"/>
      <c r="B82" s="1604"/>
      <c r="C82" s="2646"/>
      <c r="D82" s="2647"/>
      <c r="E82" s="2647"/>
      <c r="F82" s="2647"/>
      <c r="G82" s="2647"/>
      <c r="H82" s="2647"/>
      <c r="I82" s="2647"/>
      <c r="J82" s="2647"/>
      <c r="K82" s="2647"/>
      <c r="L82" s="2648"/>
      <c r="M82" s="2584"/>
      <c r="N82" s="2585"/>
      <c r="O82" s="2584"/>
      <c r="P82" s="2585"/>
      <c r="Q82" s="2584"/>
      <c r="R82" s="2585"/>
      <c r="S82" s="2584"/>
      <c r="T82" s="2585"/>
      <c r="U82" s="1027"/>
      <c r="W82" s="83"/>
      <c r="X82" s="83"/>
      <c r="Y82" s="1434"/>
      <c r="Z82" s="1437"/>
      <c r="AA82" s="1437"/>
      <c r="AB82" s="1438"/>
      <c r="AC82" s="1434"/>
      <c r="AF82" s="83"/>
      <c r="AG82" s="83"/>
      <c r="AH82" s="83"/>
      <c r="AI82" s="83"/>
      <c r="AJ82" s="83"/>
      <c r="AK82" s="83"/>
      <c r="AL82" s="83"/>
      <c r="AM82" s="83"/>
      <c r="AN82" s="83"/>
      <c r="AO82" s="83"/>
      <c r="AP82" s="83"/>
      <c r="AQ82" s="83"/>
      <c r="AR82" s="83"/>
      <c r="AS82" s="83"/>
      <c r="AT82" s="83"/>
      <c r="AU82" s="372"/>
      <c r="AV82" s="372"/>
      <c r="AW82" s="372"/>
      <c r="AX82" s="372"/>
      <c r="AY82" s="372"/>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1:81" ht="18" customHeight="1">
      <c r="A83" s="513"/>
      <c r="B83" s="1604"/>
      <c r="C83" s="2586"/>
      <c r="D83" s="2587"/>
      <c r="E83" s="2587"/>
      <c r="F83" s="2587"/>
      <c r="G83" s="2587"/>
      <c r="H83" s="2587"/>
      <c r="I83" s="2587"/>
      <c r="J83" s="2587"/>
      <c r="K83" s="2587"/>
      <c r="L83" s="2588"/>
      <c r="M83" s="2580">
        <v>2</v>
      </c>
      <c r="N83" s="2581"/>
      <c r="O83" s="2607"/>
      <c r="P83" s="2607"/>
      <c r="Q83" s="2607"/>
      <c r="R83" s="2607"/>
      <c r="S83" s="2607"/>
      <c r="T83" s="2607"/>
      <c r="U83" s="1027"/>
      <c r="W83" s="83"/>
      <c r="X83" s="83"/>
      <c r="Y83" s="1434"/>
      <c r="Z83" s="1437"/>
      <c r="AA83" s="1437"/>
      <c r="AB83" s="1438"/>
      <c r="AC83" s="1434"/>
      <c r="AF83" s="83"/>
      <c r="AG83" s="83"/>
      <c r="AH83" s="83"/>
      <c r="AI83" s="83"/>
      <c r="AJ83" s="83"/>
      <c r="AK83" s="83"/>
      <c r="AL83" s="83"/>
      <c r="AM83" s="83"/>
      <c r="AN83" s="83"/>
      <c r="AO83" s="83"/>
      <c r="AP83" s="83"/>
      <c r="AQ83" s="83"/>
      <c r="AR83" s="83"/>
      <c r="AS83" s="83"/>
      <c r="AT83" s="83"/>
      <c r="AU83" s="372"/>
      <c r="AV83" s="372"/>
      <c r="AW83" s="372"/>
      <c r="AX83" s="372"/>
      <c r="AY83" s="372"/>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1:81" ht="16.149999999999999" customHeight="1">
      <c r="A84" s="513"/>
      <c r="B84" s="1604"/>
      <c r="C84" s="2589"/>
      <c r="D84" s="2590"/>
      <c r="E84" s="2590"/>
      <c r="F84" s="2590"/>
      <c r="G84" s="2590"/>
      <c r="H84" s="2590"/>
      <c r="I84" s="2590"/>
      <c r="J84" s="2590"/>
      <c r="K84" s="2590"/>
      <c r="L84" s="2591"/>
      <c r="M84" s="2580">
        <v>1</v>
      </c>
      <c r="N84" s="2581"/>
      <c r="O84" s="2642"/>
      <c r="P84" s="2642"/>
      <c r="Q84" s="2642"/>
      <c r="R84" s="2642"/>
      <c r="S84" s="2607"/>
      <c r="T84" s="2607"/>
      <c r="U84" s="1027"/>
      <c r="W84" s="83"/>
      <c r="X84" s="83"/>
      <c r="Y84" s="1434"/>
      <c r="Z84" s="1437" t="s">
        <v>5429</v>
      </c>
      <c r="AA84" s="1437"/>
      <c r="AB84" s="1438"/>
      <c r="AC84" s="1434" t="s">
        <v>5428</v>
      </c>
      <c r="AF84" s="83"/>
      <c r="AG84" s="83"/>
      <c r="AH84" s="83"/>
      <c r="AI84" s="83"/>
      <c r="AJ84" s="83"/>
      <c r="AK84" s="83"/>
      <c r="AL84" s="83"/>
      <c r="AM84" s="83"/>
      <c r="AN84" s="83"/>
      <c r="AO84" s="83"/>
      <c r="AP84" s="83"/>
      <c r="AQ84" s="83"/>
      <c r="AR84" s="83"/>
      <c r="AS84" s="83"/>
      <c r="AT84" s="83"/>
      <c r="AU84" s="372"/>
      <c r="AV84" s="372"/>
      <c r="AW84" s="372"/>
      <c r="AX84" s="372"/>
      <c r="AY84" s="372"/>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1:81" ht="18.600000000000001" customHeight="1">
      <c r="A85" s="513"/>
      <c r="B85" s="1604"/>
      <c r="C85" s="2592" t="s">
        <v>5433</v>
      </c>
      <c r="D85" s="2593"/>
      <c r="E85" s="2593"/>
      <c r="F85" s="2593"/>
      <c r="G85" s="2593"/>
      <c r="H85" s="2593"/>
      <c r="I85" s="2593"/>
      <c r="J85" s="2593"/>
      <c r="K85" s="2593"/>
      <c r="L85" s="2594"/>
      <c r="M85" s="2609"/>
      <c r="N85" s="2581"/>
      <c r="O85" s="2570"/>
      <c r="P85" s="2570"/>
      <c r="Q85" s="2570"/>
      <c r="R85" s="2570"/>
      <c r="S85" s="2570"/>
      <c r="T85" s="2570"/>
      <c r="U85" s="1027"/>
      <c r="W85" s="83"/>
      <c r="X85" s="83"/>
      <c r="Y85" s="1434"/>
      <c r="Z85" s="1437"/>
      <c r="AA85" s="1437"/>
      <c r="AB85" s="1438"/>
      <c r="AC85" s="1434"/>
      <c r="AF85" s="83"/>
      <c r="AG85" s="83"/>
      <c r="AH85" s="83"/>
      <c r="AI85" s="83"/>
      <c r="AJ85" s="83"/>
      <c r="AK85" s="83"/>
      <c r="AL85" s="83"/>
      <c r="AM85" s="83"/>
      <c r="AN85" s="83"/>
      <c r="AO85" s="83"/>
      <c r="AP85" s="83"/>
      <c r="AQ85" s="83"/>
      <c r="AR85" s="83"/>
      <c r="AS85" s="83"/>
      <c r="AT85" s="83"/>
      <c r="AU85" s="372"/>
      <c r="AV85" s="372"/>
      <c r="AW85" s="372"/>
      <c r="AX85" s="372"/>
      <c r="AY85" s="372"/>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1:81" ht="18" customHeight="1">
      <c r="A86" s="513"/>
      <c r="B86" s="1604"/>
      <c r="C86" s="2539" t="s">
        <v>5434</v>
      </c>
      <c r="D86" s="2539"/>
      <c r="E86" s="2539"/>
      <c r="F86" s="2539"/>
      <c r="G86" s="2539"/>
      <c r="H86" s="2539"/>
      <c r="I86" s="2539"/>
      <c r="J86" s="2539"/>
      <c r="K86" s="2539"/>
      <c r="L86" s="2539"/>
      <c r="M86" s="2582">
        <v>2</v>
      </c>
      <c r="N86" s="2583"/>
      <c r="O86" s="2607"/>
      <c r="P86" s="2607"/>
      <c r="Q86" s="2607"/>
      <c r="R86" s="2607"/>
      <c r="S86" s="2607"/>
      <c r="T86" s="2607"/>
      <c r="U86" s="1027"/>
      <c r="W86" s="83" t="b">
        <f>COUNTIF(Q83:R84, "Yes")&gt;1</f>
        <v>0</v>
      </c>
      <c r="X86" s="83">
        <f>IF(W86,0,IF(X87, 2, IF(X88,1,0)))</f>
        <v>0</v>
      </c>
      <c r="Y86" s="1433" t="b">
        <f>COUNTIF(O83:P84, "Yes")&gt;1</f>
        <v>0</v>
      </c>
      <c r="Z86" s="1433">
        <f>IF(Y86,0,IF(Z87, 2, IF(Z88,1,0)))</f>
        <v>0</v>
      </c>
      <c r="AA86" s="1433"/>
      <c r="AB86" s="1433" t="b">
        <f>COUNTIF(S83:T84, "Yes")&gt;1</f>
        <v>0</v>
      </c>
      <c r="AC86" s="1433">
        <f>IF(AB86,0,IF(AC87, 2, IF(AC88,1,0)))</f>
        <v>0</v>
      </c>
      <c r="AF86" s="83"/>
      <c r="AG86" s="83"/>
      <c r="AH86" s="83"/>
      <c r="AI86" s="83"/>
      <c r="AJ86" s="83"/>
      <c r="AK86" s="83"/>
      <c r="AL86" s="83"/>
      <c r="AM86" s="83"/>
      <c r="AN86" s="83"/>
      <c r="AO86" s="83"/>
      <c r="AP86" s="83"/>
      <c r="AQ86" s="83"/>
      <c r="AR86" s="83"/>
      <c r="AS86" s="83"/>
      <c r="AT86" s="83"/>
      <c r="AU86" s="372"/>
      <c r="AV86" s="372"/>
      <c r="AW86" s="372"/>
      <c r="AX86" s="372"/>
      <c r="AY86" s="372"/>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1:81" ht="28.5" customHeight="1">
      <c r="A87" s="513"/>
      <c r="B87" s="1604"/>
      <c r="C87" s="2539"/>
      <c r="D87" s="2539"/>
      <c r="E87" s="2539"/>
      <c r="F87" s="2539"/>
      <c r="G87" s="2539"/>
      <c r="H87" s="2539"/>
      <c r="I87" s="2539"/>
      <c r="J87" s="2539"/>
      <c r="K87" s="2539"/>
      <c r="L87" s="2539"/>
      <c r="M87" s="2584"/>
      <c r="N87" s="2585"/>
      <c r="O87" s="2607"/>
      <c r="P87" s="2607"/>
      <c r="Q87" s="2607"/>
      <c r="R87" s="2607"/>
      <c r="S87" s="2607"/>
      <c r="T87" s="2607"/>
      <c r="U87" s="1027"/>
      <c r="W87" s="83"/>
      <c r="X87" s="83" t="b">
        <f>Q83="Yes"</f>
        <v>0</v>
      </c>
      <c r="Y87" s="1434"/>
      <c r="Z87" s="1433" t="b">
        <f>O83="Yes"</f>
        <v>0</v>
      </c>
      <c r="AA87" s="1433"/>
      <c r="AC87" s="1433" t="b">
        <f>S83="Yes"</f>
        <v>0</v>
      </c>
      <c r="AF87" s="83"/>
      <c r="AG87" s="83"/>
      <c r="AH87" s="83"/>
      <c r="AI87" s="83"/>
      <c r="AJ87" s="83"/>
      <c r="AK87" s="83"/>
      <c r="AL87" s="83"/>
      <c r="AM87" s="83"/>
      <c r="AN87" s="83"/>
      <c r="AO87" s="83"/>
      <c r="AP87" s="83"/>
      <c r="AQ87" s="83"/>
      <c r="AR87" s="83"/>
      <c r="AS87" s="83"/>
      <c r="AT87" s="83"/>
      <c r="AU87" s="372"/>
      <c r="AV87" s="372"/>
      <c r="AW87" s="372"/>
      <c r="AX87" s="372"/>
      <c r="AY87" s="372"/>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1:81">
      <c r="A88" s="513"/>
      <c r="B88" s="1604"/>
      <c r="C88" s="2641" t="s">
        <v>5435</v>
      </c>
      <c r="D88" s="2641"/>
      <c r="E88" s="2641"/>
      <c r="F88" s="2641"/>
      <c r="G88" s="2641"/>
      <c r="H88" s="2641"/>
      <c r="I88" s="2641"/>
      <c r="J88" s="2641"/>
      <c r="K88" s="2641"/>
      <c r="L88" s="2641"/>
      <c r="M88" s="2582"/>
      <c r="N88" s="2583"/>
      <c r="O88" s="2582"/>
      <c r="P88" s="2583"/>
      <c r="Q88" s="2582"/>
      <c r="R88" s="2583"/>
      <c r="S88" s="2582"/>
      <c r="T88" s="2583"/>
      <c r="U88" s="1027"/>
      <c r="W88" s="83"/>
      <c r="X88" s="83" t="b">
        <f>Q84="Yes"</f>
        <v>0</v>
      </c>
      <c r="Y88" s="1434"/>
      <c r="Z88" s="1433" t="b">
        <f>O84="Yes"</f>
        <v>0</v>
      </c>
      <c r="AA88" s="1433"/>
      <c r="AC88" s="1433" t="b">
        <f>S84="Yes"</f>
        <v>0</v>
      </c>
      <c r="AF88" s="83"/>
      <c r="AG88" s="83"/>
      <c r="AH88" s="83"/>
      <c r="AI88" s="83"/>
      <c r="AJ88" s="83"/>
      <c r="AK88" s="83"/>
      <c r="AL88" s="83"/>
      <c r="AM88" s="83"/>
      <c r="AN88" s="83"/>
      <c r="AO88" s="83"/>
      <c r="AP88" s="83"/>
      <c r="AQ88" s="83"/>
      <c r="AR88" s="83"/>
      <c r="AS88" s="83"/>
      <c r="AT88" s="83"/>
      <c r="AU88" s="372"/>
      <c r="AV88" s="372"/>
      <c r="AW88" s="372"/>
      <c r="AX88" s="372"/>
      <c r="AY88" s="372"/>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1:81" ht="15" customHeight="1">
      <c r="A89" s="513"/>
      <c r="B89" s="1604"/>
      <c r="C89" s="2641"/>
      <c r="D89" s="2641"/>
      <c r="E89" s="2641"/>
      <c r="F89" s="2641"/>
      <c r="G89" s="2641"/>
      <c r="H89" s="2641"/>
      <c r="I89" s="2641"/>
      <c r="J89" s="2641"/>
      <c r="K89" s="2641"/>
      <c r="L89" s="2641"/>
      <c r="M89" s="2584"/>
      <c r="N89" s="2585"/>
      <c r="O89" s="2584"/>
      <c r="P89" s="2585"/>
      <c r="Q89" s="2584"/>
      <c r="R89" s="2585"/>
      <c r="S89" s="2584"/>
      <c r="T89" s="2585"/>
      <c r="U89" s="1027"/>
      <c r="W89" s="83"/>
      <c r="X89" s="83"/>
      <c r="Y89" s="1434"/>
      <c r="Z89" s="1433"/>
      <c r="AA89" s="1433"/>
      <c r="AC89" s="1433"/>
      <c r="AF89" s="83"/>
      <c r="AG89" s="83"/>
      <c r="AH89" s="83"/>
      <c r="AI89" s="83"/>
      <c r="AJ89" s="83"/>
      <c r="AK89" s="83"/>
      <c r="AL89" s="83"/>
      <c r="AM89" s="83"/>
      <c r="AN89" s="83"/>
      <c r="AO89" s="83"/>
      <c r="AP89" s="83"/>
      <c r="AQ89" s="83"/>
      <c r="AR89" s="83"/>
      <c r="AS89" s="83"/>
      <c r="AT89" s="83"/>
      <c r="AU89" s="372"/>
      <c r="AV89" s="372"/>
      <c r="AW89" s="372"/>
      <c r="AX89" s="372"/>
      <c r="AY89" s="372"/>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1:81" ht="15" customHeight="1">
      <c r="A90" s="513"/>
      <c r="B90" s="1604"/>
      <c r="C90" s="2595" t="s">
        <v>5436</v>
      </c>
      <c r="D90" s="2596"/>
      <c r="E90" s="2596"/>
      <c r="F90" s="2596"/>
      <c r="G90" s="2596"/>
      <c r="H90" s="2596"/>
      <c r="I90" s="2596"/>
      <c r="J90" s="2596"/>
      <c r="K90" s="2596"/>
      <c r="L90" s="2597"/>
      <c r="M90" s="2582" t="s">
        <v>5437</v>
      </c>
      <c r="N90" s="2583"/>
      <c r="O90" s="2652">
        <f>SUM(Z78,Z86,AA90)</f>
        <v>0</v>
      </c>
      <c r="P90" s="2653"/>
      <c r="Q90" s="2652">
        <f>X78+X86+Y90</f>
        <v>0</v>
      </c>
      <c r="R90" s="2653"/>
      <c r="S90" s="2652">
        <f>AC78+AC86+AD90</f>
        <v>0</v>
      </c>
      <c r="T90" s="2653"/>
      <c r="U90" s="1027"/>
      <c r="W90" s="83"/>
      <c r="X90" s="83" t="b">
        <f>Q86="Yes"</f>
        <v>0</v>
      </c>
      <c r="Y90" s="1434">
        <f>IF(X90, 2, 0)</f>
        <v>0</v>
      </c>
      <c r="Z90" s="1433" t="b">
        <f>O86="Yes"</f>
        <v>0</v>
      </c>
      <c r="AA90" s="1434">
        <f>IF(Z90, 2, 0)</f>
        <v>0</v>
      </c>
      <c r="AB90" s="1433"/>
      <c r="AC90" s="1433" t="b">
        <f>S86="Yes"</f>
        <v>0</v>
      </c>
      <c r="AD90" s="1434">
        <f>IF(AC90, 2, 0)</f>
        <v>0</v>
      </c>
      <c r="AF90" s="83"/>
      <c r="AG90" s="83"/>
      <c r="AH90" s="83"/>
      <c r="AI90" s="83"/>
      <c r="AJ90" s="83"/>
      <c r="AK90" s="83"/>
      <c r="AL90" s="83"/>
      <c r="AM90" s="83"/>
      <c r="AN90" s="83"/>
      <c r="AO90" s="83"/>
      <c r="AP90" s="83"/>
      <c r="AQ90" s="83"/>
      <c r="AR90" s="83"/>
      <c r="AS90" s="83"/>
      <c r="AT90" s="83"/>
      <c r="AU90" s="372"/>
      <c r="AV90" s="372"/>
      <c r="AW90" s="372"/>
      <c r="AX90" s="372"/>
      <c r="AY90" s="372"/>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1:81" ht="30" customHeight="1">
      <c r="A91" s="513"/>
      <c r="B91" s="1604"/>
      <c r="C91" s="2598"/>
      <c r="D91" s="2599"/>
      <c r="E91" s="2599"/>
      <c r="F91" s="2599"/>
      <c r="G91" s="2599"/>
      <c r="H91" s="2599"/>
      <c r="I91" s="2599"/>
      <c r="J91" s="2599"/>
      <c r="K91" s="2599"/>
      <c r="L91" s="2600"/>
      <c r="M91" s="2584"/>
      <c r="N91" s="2585"/>
      <c r="O91" s="2654"/>
      <c r="P91" s="2655"/>
      <c r="Q91" s="2654"/>
      <c r="R91" s="2655"/>
      <c r="S91" s="2654"/>
      <c r="T91" s="2655"/>
      <c r="U91" s="1027"/>
      <c r="W91" s="83"/>
      <c r="X91" s="83"/>
      <c r="AB91" s="1438"/>
      <c r="AC91" s="918"/>
      <c r="AF91" s="83"/>
      <c r="AG91" s="83"/>
      <c r="AH91" s="83"/>
      <c r="AI91" s="83"/>
      <c r="AJ91" s="83"/>
      <c r="AK91" s="83"/>
      <c r="AL91" s="83"/>
      <c r="AM91" s="83"/>
      <c r="AN91" s="83"/>
      <c r="AO91" s="83"/>
      <c r="AP91" s="83"/>
      <c r="AQ91" s="83"/>
      <c r="AR91" s="83"/>
      <c r="AS91" s="83"/>
      <c r="AT91" s="83"/>
      <c r="AU91" s="372"/>
      <c r="AV91" s="372"/>
      <c r="AW91" s="372"/>
      <c r="AX91" s="372"/>
      <c r="AY91" s="372"/>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1:81">
      <c r="A92" s="513"/>
      <c r="B92" s="1604"/>
      <c r="C92" s="1604"/>
      <c r="D92" s="1604"/>
      <c r="E92" s="1604"/>
      <c r="F92" s="1604"/>
      <c r="G92" s="1604"/>
      <c r="H92" s="1604"/>
      <c r="I92" s="1604"/>
      <c r="J92" s="1604"/>
      <c r="K92" s="1604"/>
      <c r="L92" s="1604"/>
      <c r="M92" s="1604"/>
      <c r="N92" s="1604"/>
      <c r="O92" s="1604"/>
      <c r="P92" s="1604"/>
      <c r="Q92" s="1604"/>
      <c r="R92" s="1604"/>
      <c r="S92" s="1604"/>
      <c r="T92" s="1604"/>
      <c r="U92" s="1027"/>
      <c r="W92" s="83"/>
      <c r="X92" s="83"/>
      <c r="Y92" s="1433" t="s">
        <v>5438</v>
      </c>
      <c r="Z92" s="1433" t="s">
        <v>5439</v>
      </c>
      <c r="AA92" s="1433"/>
      <c r="AB92" s="1439"/>
      <c r="AC92" s="1433"/>
      <c r="AF92" s="83"/>
      <c r="AG92" s="83"/>
      <c r="AH92" s="83"/>
      <c r="AI92" s="83"/>
      <c r="AJ92" s="83"/>
      <c r="AK92" s="83"/>
      <c r="AL92" s="83"/>
      <c r="AM92" s="83"/>
      <c r="AN92" s="83"/>
      <c r="AO92" s="83"/>
      <c r="AP92" s="83"/>
      <c r="AQ92" s="83"/>
      <c r="AR92" s="83"/>
      <c r="AS92" s="83"/>
      <c r="AT92" s="83"/>
      <c r="AU92" s="372"/>
      <c r="AV92" s="372"/>
      <c r="AW92" s="372"/>
      <c r="AX92" s="372"/>
      <c r="AY92" s="372"/>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1:81">
      <c r="A93" s="513"/>
      <c r="B93" s="1604"/>
      <c r="C93" s="2504" t="s">
        <v>4997</v>
      </c>
      <c r="D93" s="2504"/>
      <c r="E93" s="2504" t="s">
        <v>4971</v>
      </c>
      <c r="F93" s="2504"/>
      <c r="G93" s="2504" t="s">
        <v>1051</v>
      </c>
      <c r="H93" s="2504"/>
      <c r="I93" s="1604"/>
      <c r="J93" s="1604"/>
      <c r="K93" s="1604"/>
      <c r="L93" s="1604"/>
      <c r="M93" s="1604"/>
      <c r="N93" s="1604"/>
      <c r="O93" s="1604"/>
      <c r="P93" s="1604"/>
      <c r="Q93" s="1604"/>
      <c r="R93" s="1604"/>
      <c r="S93" s="1604"/>
      <c r="T93" s="1604"/>
      <c r="U93" s="1027"/>
      <c r="W93" s="83"/>
      <c r="X93" s="83"/>
      <c r="Y93" s="1433"/>
      <c r="Z93" s="1433"/>
      <c r="AA93" s="1433"/>
      <c r="AB93" s="1439"/>
      <c r="AC93" s="1433"/>
      <c r="AF93" s="83"/>
      <c r="AG93" s="83"/>
      <c r="AH93" s="83"/>
      <c r="AI93" s="83"/>
      <c r="AJ93" s="83"/>
      <c r="AK93" s="83"/>
      <c r="AL93" s="83"/>
      <c r="AM93" s="83"/>
      <c r="AN93" s="83"/>
      <c r="AO93" s="83"/>
      <c r="AP93" s="83"/>
      <c r="AQ93" s="83"/>
      <c r="AR93" s="83"/>
      <c r="AS93" s="83"/>
      <c r="AT93" s="83"/>
      <c r="AU93" s="372"/>
      <c r="AV93" s="372"/>
      <c r="AW93" s="372"/>
      <c r="AX93" s="372"/>
      <c r="AY93" s="372"/>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1:81" ht="15.75">
      <c r="A94" s="513"/>
      <c r="B94" s="1604"/>
      <c r="C94" s="2651">
        <v>6</v>
      </c>
      <c r="D94" s="2651"/>
      <c r="E94" s="2603">
        <f>ROUND(IF(Z95,MAX(O90,SUM(O90:T91)/3),MAX(O90,SUM(O90:R91)/2)),0)</f>
        <v>0</v>
      </c>
      <c r="F94" s="2603"/>
      <c r="G94" s="2604"/>
      <c r="H94" s="2604"/>
      <c r="I94" s="1604"/>
      <c r="J94" s="1604"/>
      <c r="K94" s="1604"/>
      <c r="L94" s="1604"/>
      <c r="M94" s="1604"/>
      <c r="N94" s="1604"/>
      <c r="O94" s="1604"/>
      <c r="P94" s="1604"/>
      <c r="Q94" s="1604"/>
      <c r="R94" s="1604"/>
      <c r="S94" s="1604"/>
      <c r="T94" s="1604"/>
      <c r="U94" s="1027"/>
      <c r="W94" s="83"/>
      <c r="X94" s="83"/>
      <c r="Y94" s="1433"/>
      <c r="Z94" s="1433"/>
      <c r="AA94" s="1433"/>
      <c r="AB94" s="1439"/>
      <c r="AC94" s="1433"/>
      <c r="AF94" s="83"/>
      <c r="AG94" s="83"/>
      <c r="AH94" s="83"/>
      <c r="AI94" s="83"/>
      <c r="AJ94" s="83"/>
      <c r="AK94" s="83"/>
      <c r="AL94" s="83"/>
      <c r="AM94" s="83"/>
      <c r="AN94" s="83"/>
      <c r="AO94" s="83"/>
      <c r="AP94" s="83"/>
      <c r="AQ94" s="83"/>
      <c r="AR94" s="83"/>
      <c r="AS94" s="83"/>
      <c r="AT94" s="83"/>
      <c r="AU94" s="372"/>
      <c r="AV94" s="372"/>
      <c r="AW94" s="372"/>
      <c r="AX94" s="372"/>
      <c r="AY94" s="372"/>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1:81" ht="15" customHeight="1">
      <c r="A95" s="513"/>
      <c r="B95" s="1604"/>
      <c r="C95" s="1604"/>
      <c r="D95" s="1604"/>
      <c r="E95" s="1604"/>
      <c r="F95" s="1604"/>
      <c r="G95" s="1604"/>
      <c r="H95" s="1604"/>
      <c r="I95" s="1604"/>
      <c r="J95" s="1604"/>
      <c r="K95" s="1604"/>
      <c r="L95" s="1604"/>
      <c r="M95" s="1604"/>
      <c r="N95" s="1604"/>
      <c r="O95" s="1604"/>
      <c r="P95" s="1604"/>
      <c r="Q95" s="1604"/>
      <c r="R95" s="1604"/>
      <c r="S95" s="1604"/>
      <c r="T95" s="1604"/>
      <c r="U95" s="1027"/>
      <c r="W95" s="83"/>
      <c r="X95" s="83"/>
      <c r="Y95" s="1433" t="b">
        <f>IF(COUNTA(Q77:R80)+COUNTA(Q83:R84)&gt;=1,TRUE,FALSE)</f>
        <v>0</v>
      </c>
      <c r="Z95" s="1433" t="b">
        <f>IF(COUNTA(S77:T80)+COUNTA(S83:T84)&gt;=1,TRUE,FALSE)</f>
        <v>0</v>
      </c>
      <c r="AA95" s="1434"/>
      <c r="AF95" s="83"/>
      <c r="AG95" s="83"/>
      <c r="AH95" s="83"/>
      <c r="AI95" s="83"/>
      <c r="AJ95" s="83"/>
      <c r="AK95" s="83"/>
      <c r="AL95" s="83"/>
      <c r="AM95" s="83"/>
      <c r="AN95" s="83"/>
      <c r="AO95" s="83"/>
      <c r="AP95" s="83"/>
      <c r="AQ95" s="83"/>
      <c r="AR95" s="83"/>
      <c r="AS95" s="83"/>
      <c r="AT95" s="83"/>
      <c r="AU95" s="372"/>
      <c r="AV95" s="372"/>
      <c r="AW95" s="372"/>
      <c r="AX95" s="372"/>
      <c r="AY95" s="372"/>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row>
    <row r="96" spans="1:81" ht="18.75">
      <c r="A96" s="513"/>
      <c r="B96" s="880" t="s">
        <v>1055</v>
      </c>
      <c r="C96" s="885"/>
      <c r="D96" s="513"/>
      <c r="E96" s="513"/>
      <c r="F96" s="859"/>
      <c r="G96" s="859"/>
      <c r="H96" s="513"/>
      <c r="I96" s="3"/>
      <c r="J96" s="3"/>
      <c r="K96" s="3"/>
      <c r="L96" s="8" t="s">
        <v>3638</v>
      </c>
      <c r="M96" s="3"/>
      <c r="N96" s="3"/>
      <c r="O96" s="8"/>
      <c r="P96" s="8"/>
      <c r="Q96" s="3"/>
      <c r="R96" s="3"/>
      <c r="S96" s="3"/>
      <c r="T96" s="3"/>
      <c r="U96" s="3"/>
      <c r="W96" s="83"/>
      <c r="AF96" s="83"/>
      <c r="AG96" s="83"/>
      <c r="AH96" s="83"/>
      <c r="AI96" s="83"/>
      <c r="AJ96" s="83"/>
      <c r="AK96" s="83"/>
      <c r="AL96" s="83"/>
      <c r="AM96" s="83"/>
      <c r="AN96" s="83"/>
      <c r="AO96" s="83"/>
      <c r="AP96" s="83"/>
      <c r="AQ96" s="83"/>
      <c r="AR96" s="83"/>
      <c r="AS96" s="83"/>
      <c r="AT96" s="83"/>
      <c r="AU96" s="372"/>
      <c r="AV96" s="372"/>
      <c r="AW96" s="372"/>
      <c r="AX96" s="372"/>
      <c r="AY96" s="372"/>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row>
    <row r="97" spans="1:96">
      <c r="A97" s="513"/>
      <c r="B97" s="1262" t="s">
        <v>4117</v>
      </c>
      <c r="C97" s="1263"/>
      <c r="D97" s="1263"/>
      <c r="E97" s="1027"/>
      <c r="F97" s="1027"/>
      <c r="G97" s="1027"/>
      <c r="H97" s="1027"/>
      <c r="I97" s="1027"/>
      <c r="J97" s="1027"/>
      <c r="K97" s="1027"/>
      <c r="L97" s="2602" t="s">
        <v>3637</v>
      </c>
      <c r="M97" s="2602"/>
      <c r="N97" s="1027"/>
      <c r="O97" s="1027"/>
      <c r="P97" s="1027"/>
      <c r="Q97" s="1027"/>
      <c r="R97" s="1027"/>
      <c r="S97" s="1027"/>
      <c r="T97" s="1027"/>
      <c r="U97" s="1027"/>
      <c r="AG97" s="83"/>
      <c r="AH97" s="83"/>
      <c r="AI97" s="83"/>
      <c r="AJ97" s="83"/>
      <c r="AK97" s="83"/>
      <c r="AL97" s="83"/>
      <c r="AM97" s="83"/>
      <c r="AN97" s="83"/>
      <c r="AO97" s="83"/>
      <c r="AP97" s="83"/>
      <c r="AQ97" s="83"/>
      <c r="AR97" s="83"/>
      <c r="AS97" s="83"/>
      <c r="AT97" s="83"/>
      <c r="AU97" s="372"/>
      <c r="AV97" s="372"/>
      <c r="AW97" s="372"/>
      <c r="AX97" s="372"/>
      <c r="AY97" s="372"/>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1:96">
      <c r="A98" s="513"/>
      <c r="B98" s="1027"/>
      <c r="C98" s="1998"/>
      <c r="D98" s="1999"/>
      <c r="E98" s="1999"/>
      <c r="F98" s="1999"/>
      <c r="G98" s="1999"/>
      <c r="H98" s="1999"/>
      <c r="I98" s="1999"/>
      <c r="J98" s="2000"/>
      <c r="K98" s="1027"/>
      <c r="L98" s="1998"/>
      <c r="M98" s="1999"/>
      <c r="N98" s="1999"/>
      <c r="O98" s="1999"/>
      <c r="P98" s="1999"/>
      <c r="Q98" s="1999"/>
      <c r="R98" s="1999"/>
      <c r="S98" s="1999"/>
      <c r="T98" s="2000"/>
      <c r="U98" s="1027"/>
      <c r="AG98" s="83"/>
      <c r="AH98" s="83"/>
      <c r="AI98" s="83"/>
      <c r="AJ98" s="83"/>
      <c r="AK98" s="83"/>
      <c r="AL98" s="83"/>
      <c r="AM98" s="83"/>
      <c r="AN98" s="83"/>
      <c r="AO98" s="83"/>
      <c r="AP98" s="83"/>
      <c r="AQ98" s="83"/>
      <c r="AR98" s="83"/>
      <c r="AS98" s="83"/>
      <c r="AT98" s="83"/>
      <c r="AU98" s="372"/>
      <c r="AV98" s="372"/>
      <c r="AW98" s="372"/>
      <c r="AX98" s="372"/>
      <c r="AY98" s="372"/>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1:96">
      <c r="A99" s="513"/>
      <c r="B99" s="1027"/>
      <c r="C99" s="2001"/>
      <c r="D99" s="2002"/>
      <c r="E99" s="2002"/>
      <c r="F99" s="2002"/>
      <c r="G99" s="2002"/>
      <c r="H99" s="2002"/>
      <c r="I99" s="2002"/>
      <c r="J99" s="2003"/>
      <c r="K99" s="1027"/>
      <c r="L99" s="2001"/>
      <c r="M99" s="2002"/>
      <c r="N99" s="2002"/>
      <c r="O99" s="2002"/>
      <c r="P99" s="2002"/>
      <c r="Q99" s="2002"/>
      <c r="R99" s="2002"/>
      <c r="S99" s="2002"/>
      <c r="T99" s="2003"/>
      <c r="U99" s="1027"/>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1:96">
      <c r="A100" s="513"/>
      <c r="B100" s="1027"/>
      <c r="C100" s="2001"/>
      <c r="D100" s="2002"/>
      <c r="E100" s="2002"/>
      <c r="F100" s="2002"/>
      <c r="G100" s="2002"/>
      <c r="H100" s="2002"/>
      <c r="I100" s="2002"/>
      <c r="J100" s="2003"/>
      <c r="K100" s="1027"/>
      <c r="L100" s="2001"/>
      <c r="M100" s="2002"/>
      <c r="N100" s="2002"/>
      <c r="O100" s="2002"/>
      <c r="P100" s="2002"/>
      <c r="Q100" s="2002"/>
      <c r="R100" s="2002"/>
      <c r="S100" s="2002"/>
      <c r="T100" s="2003"/>
      <c r="U100" s="1027"/>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1:96">
      <c r="A101" s="513"/>
      <c r="B101" s="1027"/>
      <c r="C101" s="2001"/>
      <c r="D101" s="2002"/>
      <c r="E101" s="2002"/>
      <c r="F101" s="2002"/>
      <c r="G101" s="2002"/>
      <c r="H101" s="2002"/>
      <c r="I101" s="2002"/>
      <c r="J101" s="2003"/>
      <c r="K101" s="1027"/>
      <c r="L101" s="2001"/>
      <c r="M101" s="2002"/>
      <c r="N101" s="2002"/>
      <c r="O101" s="2002"/>
      <c r="P101" s="2002"/>
      <c r="Q101" s="2002"/>
      <c r="R101" s="2002"/>
      <c r="S101" s="2002"/>
      <c r="T101" s="2003"/>
      <c r="U101" s="1027"/>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1:96">
      <c r="A102" s="513"/>
      <c r="B102" s="1027"/>
      <c r="C102" s="2001"/>
      <c r="D102" s="2002"/>
      <c r="E102" s="2002"/>
      <c r="F102" s="2002"/>
      <c r="G102" s="2002"/>
      <c r="H102" s="2002"/>
      <c r="I102" s="2002"/>
      <c r="J102" s="2003"/>
      <c r="K102" s="1027"/>
      <c r="L102" s="2001"/>
      <c r="M102" s="2002"/>
      <c r="N102" s="2002"/>
      <c r="O102" s="2002"/>
      <c r="P102" s="2002"/>
      <c r="Q102" s="2002"/>
      <c r="R102" s="2002"/>
      <c r="S102" s="2002"/>
      <c r="T102" s="2003"/>
      <c r="U102" s="1027"/>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1:96">
      <c r="A103" s="513"/>
      <c r="B103" s="1027"/>
      <c r="C103" s="2001"/>
      <c r="D103" s="2002"/>
      <c r="E103" s="2002"/>
      <c r="F103" s="2002"/>
      <c r="G103" s="2002"/>
      <c r="H103" s="2002"/>
      <c r="I103" s="2002"/>
      <c r="J103" s="2003"/>
      <c r="K103" s="1027"/>
      <c r="L103" s="2001"/>
      <c r="M103" s="2002"/>
      <c r="N103" s="2002"/>
      <c r="O103" s="2002"/>
      <c r="P103" s="2002"/>
      <c r="Q103" s="2002"/>
      <c r="R103" s="2002"/>
      <c r="S103" s="2002"/>
      <c r="T103" s="2003"/>
      <c r="U103" s="1027"/>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1:96">
      <c r="A104" s="513"/>
      <c r="B104" s="1027"/>
      <c r="C104" s="2001"/>
      <c r="D104" s="2002"/>
      <c r="E104" s="2002"/>
      <c r="F104" s="2002"/>
      <c r="G104" s="2002"/>
      <c r="H104" s="2002"/>
      <c r="I104" s="2002"/>
      <c r="J104" s="2003"/>
      <c r="K104" s="1027"/>
      <c r="L104" s="2001"/>
      <c r="M104" s="2002"/>
      <c r="N104" s="2002"/>
      <c r="O104" s="2002"/>
      <c r="P104" s="2002"/>
      <c r="Q104" s="2002"/>
      <c r="R104" s="2002"/>
      <c r="S104" s="2002"/>
      <c r="T104" s="2003"/>
      <c r="U104" s="1027"/>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1:96">
      <c r="A105" s="513"/>
      <c r="B105" s="1027"/>
      <c r="C105" s="2001"/>
      <c r="D105" s="2002"/>
      <c r="E105" s="2002"/>
      <c r="F105" s="2002"/>
      <c r="G105" s="2002"/>
      <c r="H105" s="2002"/>
      <c r="I105" s="2002"/>
      <c r="J105" s="2003"/>
      <c r="K105" s="1027"/>
      <c r="L105" s="2001"/>
      <c r="M105" s="2002"/>
      <c r="N105" s="2002"/>
      <c r="O105" s="2002"/>
      <c r="P105" s="2002"/>
      <c r="Q105" s="2002"/>
      <c r="R105" s="2002"/>
      <c r="S105" s="2002"/>
      <c r="T105" s="2003"/>
      <c r="U105" s="1027"/>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1:96">
      <c r="A106" s="513"/>
      <c r="B106" s="1027"/>
      <c r="C106" s="2001"/>
      <c r="D106" s="2002"/>
      <c r="E106" s="2002"/>
      <c r="F106" s="2002"/>
      <c r="G106" s="2002"/>
      <c r="H106" s="2002"/>
      <c r="I106" s="2002"/>
      <c r="J106" s="2003"/>
      <c r="K106" s="1027"/>
      <c r="L106" s="2004"/>
      <c r="M106" s="2005"/>
      <c r="N106" s="2005"/>
      <c r="O106" s="2005"/>
      <c r="P106" s="2005"/>
      <c r="Q106" s="2005"/>
      <c r="R106" s="2005"/>
      <c r="S106" s="2005"/>
      <c r="T106" s="2006"/>
      <c r="U106" s="1027"/>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1:96">
      <c r="A107" s="513"/>
      <c r="B107" s="1027"/>
      <c r="C107" s="2001"/>
      <c r="D107" s="2002"/>
      <c r="E107" s="2002"/>
      <c r="F107" s="2002"/>
      <c r="G107" s="2002"/>
      <c r="H107" s="2002"/>
      <c r="I107" s="2002"/>
      <c r="J107" s="2003"/>
      <c r="K107" s="1027"/>
      <c r="L107" s="2601" t="s">
        <v>1058</v>
      </c>
      <c r="M107" s="2601"/>
      <c r="N107" s="2601"/>
      <c r="O107" s="1027"/>
      <c r="P107" s="1027"/>
      <c r="Q107" s="1027"/>
      <c r="R107" s="1027"/>
      <c r="S107" s="1027"/>
      <c r="T107" s="1027"/>
      <c r="U107" s="1027"/>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1:96">
      <c r="A108" s="513"/>
      <c r="B108" s="1027"/>
      <c r="C108" s="2004"/>
      <c r="D108" s="2005"/>
      <c r="E108" s="2005"/>
      <c r="F108" s="2005"/>
      <c r="G108" s="2005"/>
      <c r="H108" s="2005"/>
      <c r="I108" s="2005"/>
      <c r="J108" s="2006"/>
      <c r="K108" s="1027"/>
      <c r="L108" s="2577"/>
      <c r="M108" s="2578"/>
      <c r="N108" s="2578"/>
      <c r="O108" s="2578"/>
      <c r="P108" s="2578"/>
      <c r="Q108" s="2578"/>
      <c r="R108" s="2578"/>
      <c r="S108" s="2578"/>
      <c r="T108" s="2579"/>
      <c r="U108" s="1027"/>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1:96">
      <c r="A109" s="513"/>
      <c r="B109" s="1027"/>
      <c r="C109" s="1027"/>
      <c r="D109" s="1027"/>
      <c r="E109" s="1027"/>
      <c r="F109" s="1027"/>
      <c r="G109" s="1027"/>
      <c r="H109" s="1027"/>
      <c r="I109" s="1027"/>
      <c r="J109" s="1027"/>
      <c r="K109" s="1027"/>
      <c r="L109" s="1027"/>
      <c r="M109" s="1027"/>
      <c r="N109" s="1027"/>
      <c r="O109" s="1027"/>
      <c r="P109" s="1027"/>
      <c r="Q109" s="1027"/>
      <c r="R109" s="1027"/>
      <c r="S109" s="1027"/>
      <c r="T109" s="1027"/>
      <c r="U109" s="1027"/>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1:96" s="441" customFormat="1" ht="19.149999999999999" customHeight="1">
      <c r="A110" s="513"/>
      <c r="B110" s="2605" t="s">
        <v>4991</v>
      </c>
      <c r="C110" s="2606"/>
      <c r="D110" s="2606"/>
      <c r="E110" s="2606"/>
      <c r="F110" s="2606"/>
      <c r="G110" s="3"/>
      <c r="H110" s="3"/>
      <c r="I110" s="3"/>
      <c r="J110" s="115"/>
      <c r="K110" s="115"/>
      <c r="L110" s="115"/>
      <c r="M110" s="115"/>
      <c r="N110" s="115"/>
      <c r="O110" s="115"/>
      <c r="P110" s="115"/>
      <c r="Q110" s="3"/>
      <c r="R110" s="3"/>
      <c r="S110" s="3"/>
      <c r="T110" s="3"/>
      <c r="U110" s="3"/>
      <c r="V110" s="547"/>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767"/>
      <c r="BO110" s="767"/>
      <c r="BP110" s="767"/>
      <c r="BQ110" s="767"/>
      <c r="BR110" s="767"/>
      <c r="BS110" s="767"/>
      <c r="BT110" s="767"/>
      <c r="BU110" s="767"/>
      <c r="BV110" s="767"/>
      <c r="BW110" s="767"/>
      <c r="BX110" s="767"/>
    </row>
    <row r="111" spans="1:96" ht="21" hidden="1">
      <c r="A111" s="513"/>
      <c r="B111" s="2605"/>
      <c r="C111" s="2606"/>
      <c r="D111" s="2606"/>
      <c r="E111" s="2606"/>
      <c r="F111" s="2606"/>
      <c r="G111" s="861"/>
      <c r="H111" s="861"/>
      <c r="I111" s="872"/>
      <c r="J111" s="872"/>
      <c r="K111" s="872"/>
      <c r="L111" s="872"/>
      <c r="M111" s="872"/>
      <c r="N111" s="872"/>
      <c r="O111" s="872"/>
      <c r="P111" s="872"/>
      <c r="Q111" s="861"/>
      <c r="R111" s="861"/>
      <c r="S111" s="861"/>
      <c r="T111" s="861"/>
      <c r="U111" s="861"/>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row>
    <row r="112" spans="1:96">
      <c r="A112" s="992"/>
      <c r="B112" s="1027"/>
      <c r="C112" s="1027"/>
      <c r="D112" s="1027"/>
      <c r="E112" s="1027"/>
      <c r="F112" s="1027"/>
      <c r="G112" s="1027"/>
      <c r="H112" s="1027"/>
      <c r="I112" s="1027"/>
      <c r="J112" s="1027"/>
      <c r="K112" s="1027"/>
      <c r="L112" s="1027"/>
      <c r="M112" s="1027"/>
      <c r="N112" s="1027"/>
      <c r="O112" s="1027"/>
      <c r="P112" s="1027"/>
      <c r="Q112" s="1027"/>
      <c r="R112" s="1027"/>
      <c r="S112" s="1027"/>
      <c r="T112" s="1027"/>
      <c r="U112" s="1027"/>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row>
    <row r="113" spans="1:84">
      <c r="A113" s="513"/>
      <c r="B113" s="1756" t="s">
        <v>5058</v>
      </c>
      <c r="C113" s="1027"/>
      <c r="D113" s="1027"/>
      <c r="E113" s="1027"/>
      <c r="F113" s="1027"/>
      <c r="G113" s="1027"/>
      <c r="H113" s="913"/>
      <c r="I113" s="1264"/>
      <c r="J113" s="1027"/>
      <c r="K113" s="1027"/>
      <c r="L113" s="1027"/>
      <c r="M113" s="1027"/>
      <c r="N113" s="1027"/>
      <c r="O113" s="1027"/>
      <c r="P113" s="1027"/>
      <c r="Q113" s="1027"/>
      <c r="R113" s="1027"/>
      <c r="S113" s="1027"/>
      <c r="T113" s="1027"/>
      <c r="U113" s="1027"/>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row>
    <row r="114" spans="1:84">
      <c r="A114" s="513"/>
      <c r="B114" s="1027"/>
      <c r="C114" s="1027"/>
      <c r="D114" s="1027"/>
      <c r="E114" s="1027"/>
      <c r="F114" s="1027"/>
      <c r="G114" s="1027"/>
      <c r="H114" s="1027"/>
      <c r="I114" s="1027"/>
      <c r="J114" s="1027"/>
      <c r="K114" s="1027"/>
      <c r="L114" s="1027"/>
      <c r="M114" s="1027"/>
      <c r="N114" s="1027"/>
      <c r="O114" s="1027"/>
      <c r="P114" s="1027"/>
      <c r="Q114" s="1027"/>
      <c r="R114" s="1027"/>
      <c r="S114" s="1027"/>
      <c r="T114" s="1027"/>
      <c r="U114" s="1027"/>
      <c r="W114" s="9" t="b">
        <f>H113="Yes"</f>
        <v>0</v>
      </c>
      <c r="X114" s="9">
        <f>IF(W114, 2, 0)</f>
        <v>0</v>
      </c>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row>
    <row r="115" spans="1:84">
      <c r="A115" s="513"/>
      <c r="B115" s="1030" t="s">
        <v>4001</v>
      </c>
      <c r="C115" s="1027"/>
      <c r="D115" s="1027"/>
      <c r="E115" s="1027"/>
      <c r="F115" s="1027"/>
      <c r="G115" s="1027"/>
      <c r="H115" s="1027"/>
      <c r="I115" s="1027"/>
      <c r="J115" s="1027"/>
      <c r="K115" s="1027"/>
      <c r="L115" s="1027"/>
      <c r="M115" s="1027"/>
      <c r="N115" s="1027"/>
      <c r="O115" s="1027"/>
      <c r="P115" s="1027"/>
      <c r="Q115" s="1027"/>
      <c r="R115" s="1027"/>
      <c r="S115" s="1027"/>
      <c r="T115" s="1027"/>
      <c r="U115" s="1027"/>
      <c r="W115" s="8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row>
    <row r="116" spans="1:84">
      <c r="A116" s="513"/>
      <c r="B116" s="1027" t="s">
        <v>5440</v>
      </c>
      <c r="C116" s="1027"/>
      <c r="D116" s="1027"/>
      <c r="E116" s="1027"/>
      <c r="F116" s="1027"/>
      <c r="G116" s="1027"/>
      <c r="H116" s="1264"/>
      <c r="I116" s="1264"/>
      <c r="J116" s="1027"/>
      <c r="K116" s="1027"/>
      <c r="L116" s="1027"/>
      <c r="M116" s="1027"/>
      <c r="N116" s="1027"/>
      <c r="O116" s="1027"/>
      <c r="P116" s="1027"/>
      <c r="Q116" s="1027"/>
      <c r="R116" s="1027"/>
      <c r="S116" s="1027"/>
      <c r="T116" s="1027"/>
      <c r="U116" s="1027"/>
      <c r="W116" s="8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row>
    <row r="117" spans="1:84">
      <c r="A117" s="513"/>
      <c r="B117" s="1027" t="s">
        <v>5441</v>
      </c>
      <c r="C117" s="1027"/>
      <c r="D117" s="1027"/>
      <c r="E117" s="1027"/>
      <c r="F117" s="1027"/>
      <c r="G117" s="1027"/>
      <c r="H117" s="1264"/>
      <c r="I117" s="1264"/>
      <c r="J117" s="1027"/>
      <c r="K117" s="1027"/>
      <c r="L117" s="1027"/>
      <c r="M117" s="1027"/>
      <c r="N117" s="1027"/>
      <c r="O117" s="1027"/>
      <c r="P117" s="1027"/>
      <c r="Q117" s="1027"/>
      <c r="R117" s="1027"/>
      <c r="S117" s="1027"/>
      <c r="T117" s="1027"/>
      <c r="U117" s="1027"/>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row>
    <row r="118" spans="1:84">
      <c r="A118" s="513"/>
      <c r="B118" s="1027" t="s">
        <v>5442</v>
      </c>
      <c r="C118" s="1027"/>
      <c r="D118" s="1027"/>
      <c r="E118" s="1027"/>
      <c r="F118" s="1027"/>
      <c r="G118" s="1027"/>
      <c r="H118" s="1027"/>
      <c r="I118" s="1027"/>
      <c r="J118" s="1027"/>
      <c r="K118" s="1027"/>
      <c r="L118" s="1027"/>
      <c r="M118" s="1027"/>
      <c r="N118" s="1027"/>
      <c r="O118" s="1027"/>
      <c r="P118" s="1027"/>
      <c r="Q118" s="1027"/>
      <c r="R118" s="1027"/>
      <c r="S118" s="1027"/>
      <c r="T118" s="1027"/>
      <c r="U118" s="1027"/>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row>
    <row r="119" spans="1:84">
      <c r="A119" s="513"/>
      <c r="B119" s="1027"/>
      <c r="C119" s="1027"/>
      <c r="D119" s="1027"/>
      <c r="E119" s="1027"/>
      <c r="F119" s="1027"/>
      <c r="G119" s="1027"/>
      <c r="H119" s="1027"/>
      <c r="I119" s="1027"/>
      <c r="J119" s="1027"/>
      <c r="K119" s="1027"/>
      <c r="L119" s="1027"/>
      <c r="M119" s="1027"/>
      <c r="N119" s="1027"/>
      <c r="O119" s="1027"/>
      <c r="P119" s="1027"/>
      <c r="Q119" s="1027"/>
      <c r="R119" s="1027"/>
      <c r="S119" s="1027"/>
      <c r="T119" s="1027"/>
      <c r="U119" s="1027"/>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row>
    <row r="120" spans="1:84">
      <c r="A120" s="513"/>
      <c r="B120" s="1088" t="s">
        <v>5443</v>
      </c>
      <c r="C120" s="1027"/>
      <c r="D120" s="1027"/>
      <c r="E120" s="1027"/>
      <c r="F120" s="1027"/>
      <c r="G120" s="1027"/>
      <c r="H120" s="1027"/>
      <c r="I120" s="1027"/>
      <c r="J120" s="1027"/>
      <c r="K120" s="1027"/>
      <c r="L120" s="1027"/>
      <c r="M120" s="1027"/>
      <c r="N120" s="1027"/>
      <c r="O120" s="1027"/>
      <c r="P120" s="1027"/>
      <c r="Q120" s="1027"/>
      <c r="R120" s="1027"/>
      <c r="S120" s="1027"/>
      <c r="T120" s="1027"/>
      <c r="U120" s="1027"/>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row>
    <row r="121" spans="1:84" ht="16.899999999999999" customHeight="1">
      <c r="A121" s="513"/>
      <c r="B121" s="1088"/>
      <c r="C121" s="1027"/>
      <c r="D121" s="1027"/>
      <c r="E121" s="1027"/>
      <c r="F121" s="1027"/>
      <c r="G121" s="1027"/>
      <c r="H121" s="1027"/>
      <c r="I121" s="1027"/>
      <c r="J121" s="1027"/>
      <c r="K121" s="1027"/>
      <c r="L121" s="1027"/>
      <c r="M121" s="1027"/>
      <c r="N121" s="1027"/>
      <c r="O121" s="1027"/>
      <c r="P121" s="1027"/>
      <c r="Q121" s="1027"/>
      <c r="R121" s="1027"/>
      <c r="S121" s="1027"/>
      <c r="T121" s="1027"/>
      <c r="U121" s="1027"/>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row>
    <row r="122" spans="1:84">
      <c r="A122" s="513"/>
      <c r="B122" s="1027"/>
      <c r="C122" s="1027"/>
      <c r="D122" s="1027"/>
      <c r="E122" s="1027"/>
      <c r="F122" s="1027"/>
      <c r="G122" s="1027"/>
      <c r="H122" s="1027"/>
      <c r="I122" s="1027"/>
      <c r="J122" s="1027"/>
      <c r="K122" s="1027"/>
      <c r="L122" s="1027"/>
      <c r="M122" s="1027"/>
      <c r="N122" s="1027"/>
      <c r="O122" s="1027"/>
      <c r="P122" s="1027"/>
      <c r="Q122" s="1027"/>
      <c r="R122" s="1027"/>
      <c r="S122" s="1027"/>
      <c r="T122" s="1027"/>
      <c r="U122" s="1027"/>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row>
    <row r="123" spans="1:84" s="3" customFormat="1">
      <c r="A123" s="513"/>
      <c r="B123" s="1027"/>
      <c r="C123" s="2504" t="s">
        <v>4997</v>
      </c>
      <c r="D123" s="2504"/>
      <c r="E123" s="2504" t="s">
        <v>4971</v>
      </c>
      <c r="F123" s="2504"/>
      <c r="G123" s="2504" t="s">
        <v>1051</v>
      </c>
      <c r="H123" s="2504"/>
      <c r="I123" s="1027"/>
      <c r="J123" s="1027"/>
      <c r="K123" s="1027"/>
      <c r="L123" s="1027"/>
      <c r="M123" s="1027"/>
      <c r="N123" s="1027"/>
      <c r="O123" s="1027"/>
      <c r="P123" s="1027"/>
      <c r="Q123" s="1027"/>
      <c r="R123" s="1027"/>
      <c r="S123" s="1027"/>
      <c r="T123" s="1027"/>
      <c r="U123" s="1027"/>
      <c r="V123" s="547"/>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row>
    <row r="124" spans="1:84" s="3" customFormat="1" ht="15.75">
      <c r="A124" s="513"/>
      <c r="B124" s="1027"/>
      <c r="C124" s="2651">
        <v>2</v>
      </c>
      <c r="D124" s="2651"/>
      <c r="E124" s="2603">
        <f>X114</f>
        <v>0</v>
      </c>
      <c r="F124" s="2603"/>
      <c r="G124" s="2604"/>
      <c r="H124" s="2604"/>
      <c r="I124" s="1027"/>
      <c r="J124" s="1027"/>
      <c r="K124" s="1027"/>
      <c r="L124" s="1027"/>
      <c r="M124" s="1027"/>
      <c r="N124" s="1027"/>
      <c r="O124" s="1027"/>
      <c r="P124" s="1027"/>
      <c r="Q124" s="1027"/>
      <c r="R124" s="1027"/>
      <c r="S124" s="1027"/>
      <c r="T124" s="1027"/>
      <c r="U124" s="1027"/>
      <c r="V124" s="547"/>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row>
    <row r="125" spans="1:84" s="3" customFormat="1">
      <c r="A125" s="513"/>
      <c r="B125" s="1027"/>
      <c r="C125" s="1027"/>
      <c r="D125" s="1027"/>
      <c r="E125" s="1027"/>
      <c r="F125" s="1027"/>
      <c r="G125" s="1027"/>
      <c r="H125" s="1027"/>
      <c r="I125" s="1027"/>
      <c r="J125" s="1027"/>
      <c r="K125" s="1027"/>
      <c r="L125" s="1027"/>
      <c r="M125" s="1027"/>
      <c r="N125" s="1027"/>
      <c r="O125" s="1027"/>
      <c r="P125" s="1027"/>
      <c r="Q125" s="1027"/>
      <c r="R125" s="1027"/>
      <c r="S125" s="1027"/>
      <c r="T125" s="1027"/>
      <c r="U125" s="1027"/>
      <c r="V125" s="547"/>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row>
    <row r="126" spans="1:84" s="3" customFormat="1" ht="18.75">
      <c r="A126" s="513"/>
      <c r="B126" s="962" t="s">
        <v>1055</v>
      </c>
      <c r="C126" s="963"/>
      <c r="D126" s="964"/>
      <c r="E126" s="513"/>
      <c r="F126" s="859"/>
      <c r="G126" s="859"/>
      <c r="H126" s="513"/>
      <c r="I126" s="513"/>
      <c r="J126" s="513"/>
      <c r="L126" s="880" t="s">
        <v>3638</v>
      </c>
      <c r="M126" s="880"/>
      <c r="N126" s="513"/>
      <c r="O126" s="513"/>
      <c r="P126" s="513"/>
      <c r="Q126" s="513"/>
      <c r="R126" s="513"/>
      <c r="S126" s="513"/>
      <c r="T126" s="513"/>
      <c r="U126" s="513"/>
      <c r="V126" s="547"/>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row>
    <row r="127" spans="1:84" s="3" customFormat="1">
      <c r="A127" s="513"/>
      <c r="B127" s="1027"/>
      <c r="C127" s="1869" t="s">
        <v>4802</v>
      </c>
      <c r="D127" s="1868"/>
      <c r="E127" s="1868"/>
      <c r="F127" s="1027"/>
      <c r="G127" s="1027"/>
      <c r="H127" s="1027"/>
      <c r="I127" s="1027"/>
      <c r="J127" s="1027"/>
      <c r="K127" s="1027"/>
      <c r="L127" s="2602" t="s">
        <v>3637</v>
      </c>
      <c r="M127" s="2602"/>
      <c r="N127" s="1027"/>
      <c r="O127" s="1027"/>
      <c r="P127" s="1027"/>
      <c r="Q127" s="1027"/>
      <c r="R127" s="1027"/>
      <c r="S127" s="1027"/>
      <c r="T127" s="1027"/>
      <c r="U127" s="1027"/>
      <c r="V127" s="547"/>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84" s="3" customFormat="1">
      <c r="A128" s="513"/>
      <c r="B128" s="1027"/>
      <c r="C128" s="1998"/>
      <c r="D128" s="1999"/>
      <c r="E128" s="1999"/>
      <c r="F128" s="1999"/>
      <c r="G128" s="1999"/>
      <c r="H128" s="1999"/>
      <c r="I128" s="1999"/>
      <c r="J128" s="2000"/>
      <c r="K128" s="1027"/>
      <c r="L128" s="1998"/>
      <c r="M128" s="1999"/>
      <c r="N128" s="1999"/>
      <c r="O128" s="1999"/>
      <c r="P128" s="1999"/>
      <c r="Q128" s="1999"/>
      <c r="R128" s="1999"/>
      <c r="S128" s="1999"/>
      <c r="T128" s="2000"/>
      <c r="U128" s="1027"/>
      <c r="V128" s="547"/>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76" s="3" customFormat="1">
      <c r="A129" s="513"/>
      <c r="B129" s="1027"/>
      <c r="C129" s="2001"/>
      <c r="D129" s="2002"/>
      <c r="E129" s="2002"/>
      <c r="F129" s="2002"/>
      <c r="G129" s="2002"/>
      <c r="H129" s="2002"/>
      <c r="I129" s="2002"/>
      <c r="J129" s="2003"/>
      <c r="K129" s="1027"/>
      <c r="L129" s="2001"/>
      <c r="M129" s="2002"/>
      <c r="N129" s="2002"/>
      <c r="O129" s="2002"/>
      <c r="P129" s="2002"/>
      <c r="Q129" s="2002"/>
      <c r="R129" s="2002"/>
      <c r="S129" s="2002"/>
      <c r="T129" s="2003"/>
      <c r="U129" s="1027"/>
      <c r="V129" s="547"/>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76" s="3" customFormat="1">
      <c r="A130" s="513"/>
      <c r="B130" s="1027"/>
      <c r="C130" s="2001"/>
      <c r="D130" s="2002"/>
      <c r="E130" s="2002"/>
      <c r="F130" s="2002"/>
      <c r="G130" s="2002"/>
      <c r="H130" s="2002"/>
      <c r="I130" s="2002"/>
      <c r="J130" s="2003"/>
      <c r="K130" s="1027"/>
      <c r="L130" s="2001"/>
      <c r="M130" s="2002"/>
      <c r="N130" s="2002"/>
      <c r="O130" s="2002"/>
      <c r="P130" s="2002"/>
      <c r="Q130" s="2002"/>
      <c r="R130" s="2002"/>
      <c r="S130" s="2002"/>
      <c r="T130" s="2003"/>
      <c r="U130" s="1027"/>
      <c r="V130" s="547"/>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76" s="3" customFormat="1">
      <c r="A131" s="513"/>
      <c r="B131" s="1027"/>
      <c r="C131" s="2001"/>
      <c r="D131" s="2002"/>
      <c r="E131" s="2002"/>
      <c r="F131" s="2002"/>
      <c r="G131" s="2002"/>
      <c r="H131" s="2002"/>
      <c r="I131" s="2002"/>
      <c r="J131" s="2003"/>
      <c r="K131" s="1027"/>
      <c r="L131" s="2001"/>
      <c r="M131" s="2002"/>
      <c r="N131" s="2002"/>
      <c r="O131" s="2002"/>
      <c r="P131" s="2002"/>
      <c r="Q131" s="2002"/>
      <c r="R131" s="2002"/>
      <c r="S131" s="2002"/>
      <c r="T131" s="2003"/>
      <c r="U131" s="1027"/>
      <c r="V131" s="547"/>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row>
    <row r="132" spans="1:76" s="3" customFormat="1">
      <c r="A132" s="513"/>
      <c r="B132" s="1027"/>
      <c r="C132" s="2001"/>
      <c r="D132" s="2002"/>
      <c r="E132" s="2002"/>
      <c r="F132" s="2002"/>
      <c r="G132" s="2002"/>
      <c r="H132" s="2002"/>
      <c r="I132" s="2002"/>
      <c r="J132" s="2003"/>
      <c r="K132" s="1027"/>
      <c r="L132" s="2001"/>
      <c r="M132" s="2002"/>
      <c r="N132" s="2002"/>
      <c r="O132" s="2002"/>
      <c r="P132" s="2002"/>
      <c r="Q132" s="2002"/>
      <c r="R132" s="2002"/>
      <c r="S132" s="2002"/>
      <c r="T132" s="2003"/>
      <c r="U132" s="1027"/>
      <c r="V132" s="547"/>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76" s="3" customFormat="1">
      <c r="A133" s="513"/>
      <c r="B133" s="1027"/>
      <c r="C133" s="2001"/>
      <c r="D133" s="2002"/>
      <c r="E133" s="2002"/>
      <c r="F133" s="2002"/>
      <c r="G133" s="2002"/>
      <c r="H133" s="2002"/>
      <c r="I133" s="2002"/>
      <c r="J133" s="2003"/>
      <c r="K133" s="1027"/>
      <c r="L133" s="2001"/>
      <c r="M133" s="2002"/>
      <c r="N133" s="2002"/>
      <c r="O133" s="2002"/>
      <c r="P133" s="2002"/>
      <c r="Q133" s="2002"/>
      <c r="R133" s="2002"/>
      <c r="S133" s="2002"/>
      <c r="T133" s="2003"/>
      <c r="U133" s="1027"/>
      <c r="V133" s="547"/>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row>
    <row r="134" spans="1:76" s="3" customFormat="1">
      <c r="A134" s="513"/>
      <c r="B134" s="1027"/>
      <c r="C134" s="2001"/>
      <c r="D134" s="2002"/>
      <c r="E134" s="2002"/>
      <c r="F134" s="2002"/>
      <c r="G134" s="2002"/>
      <c r="H134" s="2002"/>
      <c r="I134" s="2002"/>
      <c r="J134" s="2003"/>
      <c r="K134" s="1027"/>
      <c r="L134" s="2001"/>
      <c r="M134" s="2002"/>
      <c r="N134" s="2002"/>
      <c r="O134" s="2002"/>
      <c r="P134" s="2002"/>
      <c r="Q134" s="2002"/>
      <c r="R134" s="2002"/>
      <c r="S134" s="2002"/>
      <c r="T134" s="2003"/>
      <c r="U134" s="1027"/>
      <c r="V134" s="547"/>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row>
    <row r="135" spans="1:76" s="3" customFormat="1">
      <c r="A135" s="513"/>
      <c r="B135" s="1027"/>
      <c r="C135" s="2001"/>
      <c r="D135" s="2002"/>
      <c r="E135" s="2002"/>
      <c r="F135" s="2002"/>
      <c r="G135" s="2002"/>
      <c r="H135" s="2002"/>
      <c r="I135" s="2002"/>
      <c r="J135" s="2003"/>
      <c r="K135" s="1027"/>
      <c r="L135" s="2001"/>
      <c r="M135" s="2002"/>
      <c r="N135" s="2002"/>
      <c r="O135" s="2002"/>
      <c r="P135" s="2002"/>
      <c r="Q135" s="2002"/>
      <c r="R135" s="2002"/>
      <c r="S135" s="2002"/>
      <c r="T135" s="2003"/>
      <c r="U135" s="1027"/>
      <c r="V135" s="547"/>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row>
    <row r="136" spans="1:76" s="3" customFormat="1">
      <c r="A136" s="513"/>
      <c r="B136" s="1265"/>
      <c r="C136" s="2001"/>
      <c r="D136" s="2002"/>
      <c r="E136" s="2002"/>
      <c r="F136" s="2002"/>
      <c r="G136" s="2002"/>
      <c r="H136" s="2002"/>
      <c r="I136" s="2002"/>
      <c r="J136" s="2003"/>
      <c r="K136" s="1027"/>
      <c r="L136" s="2004"/>
      <c r="M136" s="2005"/>
      <c r="N136" s="2005"/>
      <c r="O136" s="2005"/>
      <c r="P136" s="2005"/>
      <c r="Q136" s="2005"/>
      <c r="R136" s="2005"/>
      <c r="S136" s="2005"/>
      <c r="T136" s="2006"/>
      <c r="U136" s="1027"/>
      <c r="V136" s="547"/>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row>
    <row r="137" spans="1:76" s="3" customFormat="1">
      <c r="A137" s="513"/>
      <c r="B137" s="1027"/>
      <c r="C137" s="2001"/>
      <c r="D137" s="2002"/>
      <c r="E137" s="2002"/>
      <c r="F137" s="2002"/>
      <c r="G137" s="2002"/>
      <c r="H137" s="2002"/>
      <c r="I137" s="2002"/>
      <c r="J137" s="2003"/>
      <c r="K137" s="1027"/>
      <c r="L137" s="2601" t="s">
        <v>1058</v>
      </c>
      <c r="M137" s="2601"/>
      <c r="N137" s="2601"/>
      <c r="O137" s="1027"/>
      <c r="P137" s="1027"/>
      <c r="Q137" s="1027"/>
      <c r="R137" s="1027"/>
      <c r="S137" s="1027"/>
      <c r="T137" s="1027"/>
      <c r="U137" s="1027"/>
      <c r="V137" s="547"/>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row>
    <row r="138" spans="1:76" s="3" customFormat="1">
      <c r="A138" s="513"/>
      <c r="B138" s="1027"/>
      <c r="C138" s="2004"/>
      <c r="D138" s="2005"/>
      <c r="E138" s="2005"/>
      <c r="F138" s="2005"/>
      <c r="G138" s="2005"/>
      <c r="H138" s="2005"/>
      <c r="I138" s="2005"/>
      <c r="J138" s="2006"/>
      <c r="K138" s="1027"/>
      <c r="L138" s="2577"/>
      <c r="M138" s="2578"/>
      <c r="N138" s="2578"/>
      <c r="O138" s="2578"/>
      <c r="P138" s="2578"/>
      <c r="Q138" s="2578"/>
      <c r="R138" s="2578"/>
      <c r="S138" s="2578"/>
      <c r="T138" s="2579"/>
      <c r="U138" s="1027"/>
      <c r="V138" s="547"/>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row>
    <row r="139" spans="1:76" s="3" customFormat="1">
      <c r="A139" s="513"/>
      <c r="B139" s="1027"/>
      <c r="C139" s="1027"/>
      <c r="D139" s="1027"/>
      <c r="E139" s="1027"/>
      <c r="F139" s="1027"/>
      <c r="G139" s="1027"/>
      <c r="H139" s="1027"/>
      <c r="I139" s="1027"/>
      <c r="J139" s="1027"/>
      <c r="K139" s="1027"/>
      <c r="L139" s="1027"/>
      <c r="M139" s="1027"/>
      <c r="N139" s="1027"/>
      <c r="O139" s="1027"/>
      <c r="P139" s="1027"/>
      <c r="Q139" s="1027"/>
      <c r="R139" s="1027"/>
      <c r="S139" s="1027"/>
      <c r="T139" s="1027"/>
      <c r="U139" s="1027"/>
      <c r="V139" s="547"/>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row>
    <row r="140" spans="1:76" s="3" customFormat="1">
      <c r="A140" s="513"/>
      <c r="V140" s="547"/>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row>
    <row r="141" spans="1:76" s="3" customFormat="1">
      <c r="V141" s="547"/>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row>
    <row r="142" spans="1:76" s="3" customFormat="1">
      <c r="V142" s="547"/>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row>
    <row r="143" spans="1:76" s="3" customFormat="1">
      <c r="V143" s="547"/>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row>
    <row r="144" spans="1:76" s="3" customFormat="1">
      <c r="V144" s="547"/>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row>
    <row r="145" spans="22:76" s="3" customFormat="1">
      <c r="V145" s="547"/>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row>
    <row r="146" spans="22:76" s="3" customFormat="1">
      <c r="V146" s="547"/>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row>
    <row r="147" spans="22:76" s="3" customFormat="1">
      <c r="V147" s="547"/>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row>
    <row r="148" spans="22:76" s="3" customFormat="1">
      <c r="V148" s="547"/>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row>
    <row r="149" spans="22:76" s="3" customFormat="1">
      <c r="V149" s="547"/>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row>
    <row r="150" spans="22:76" s="3" customFormat="1">
      <c r="V150" s="547"/>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row>
    <row r="151" spans="22:76" s="3" customFormat="1">
      <c r="V151" s="547"/>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row>
    <row r="152" spans="22:76" s="3" customFormat="1">
      <c r="V152" s="547"/>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row>
    <row r="153" spans="22:76" s="3" customFormat="1">
      <c r="V153" s="547"/>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row>
    <row r="154" spans="22:76" s="3" customFormat="1">
      <c r="V154" s="547"/>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row>
    <row r="155" spans="22:76" s="3" customFormat="1">
      <c r="V155" s="547"/>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row>
    <row r="156" spans="22:76" s="3" customFormat="1">
      <c r="V156" s="547"/>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row>
    <row r="157" spans="22:76" s="3" customFormat="1">
      <c r="V157" s="547"/>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row>
    <row r="158" spans="22:76" s="3" customFormat="1">
      <c r="V158" s="547"/>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row>
    <row r="159" spans="22:76" s="3" customFormat="1">
      <c r="V159" s="547"/>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row>
    <row r="160" spans="22:76" s="3" customFormat="1">
      <c r="V160" s="547"/>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row>
    <row r="161" spans="22:76" s="3" customFormat="1">
      <c r="V161" s="547"/>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row>
    <row r="162" spans="22:76" s="3" customFormat="1">
      <c r="V162" s="547"/>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row>
    <row r="163" spans="22:76" s="3" customFormat="1">
      <c r="V163" s="547"/>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row>
    <row r="164" spans="22:76" s="3" customFormat="1">
      <c r="V164" s="547"/>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row>
    <row r="165" spans="22:76" s="3" customFormat="1">
      <c r="V165" s="547"/>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row>
    <row r="166" spans="22:76" s="3" customFormat="1">
      <c r="V166" s="547"/>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row>
    <row r="167" spans="22:76" s="3" customFormat="1">
      <c r="V167" s="547"/>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row>
    <row r="168" spans="22:76" s="3" customFormat="1">
      <c r="V168" s="547"/>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row>
    <row r="169" spans="22:76" s="3" customFormat="1">
      <c r="V169" s="547"/>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row>
    <row r="170" spans="22:76" s="3" customFormat="1">
      <c r="V170" s="547"/>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row>
    <row r="171" spans="22:76" s="3" customFormat="1">
      <c r="V171" s="547"/>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row>
    <row r="172" spans="22:76" s="3" customFormat="1">
      <c r="V172" s="547"/>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row>
    <row r="173" spans="22:76" s="3" customFormat="1">
      <c r="V173" s="547"/>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row>
    <row r="174" spans="22:76" s="3" customFormat="1">
      <c r="V174" s="547"/>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row>
    <row r="175" spans="22:76" s="3" customFormat="1">
      <c r="V175" s="547"/>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row>
    <row r="176" spans="22:76" s="3" customFormat="1">
      <c r="V176" s="547"/>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row>
    <row r="177" spans="22:76" s="3" customFormat="1">
      <c r="V177" s="547"/>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row>
    <row r="178" spans="22:76" s="3" customFormat="1">
      <c r="V178" s="547"/>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row>
    <row r="179" spans="22:76" s="3" customFormat="1">
      <c r="V179" s="547"/>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row>
    <row r="180" spans="22:76" s="3" customFormat="1">
      <c r="V180" s="547"/>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row>
    <row r="181" spans="22:76" s="3" customFormat="1">
      <c r="V181" s="547"/>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row>
    <row r="182" spans="22:76" s="3" customFormat="1">
      <c r="V182" s="547"/>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row>
    <row r="183" spans="22:76" s="3" customFormat="1">
      <c r="V183" s="547"/>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row>
    <row r="184" spans="22:76" s="3" customFormat="1">
      <c r="V184" s="547"/>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row>
    <row r="185" spans="22:76" s="3" customFormat="1">
      <c r="V185" s="547"/>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row>
    <row r="186" spans="22:76" s="3" customFormat="1">
      <c r="V186" s="547"/>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row>
    <row r="187" spans="22:76" s="3" customFormat="1">
      <c r="V187" s="547"/>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row>
    <row r="188" spans="22:76" s="3" customFormat="1">
      <c r="V188" s="547"/>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row>
    <row r="189" spans="22:76" s="3" customFormat="1">
      <c r="V189" s="547"/>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row>
    <row r="190" spans="22:76" s="3" customFormat="1">
      <c r="V190" s="547"/>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row>
    <row r="191" spans="22:76" s="3" customFormat="1">
      <c r="V191" s="547"/>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row>
    <row r="192" spans="22:76" s="3" customFormat="1">
      <c r="V192" s="547"/>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row>
    <row r="193" spans="22:76" s="3" customFormat="1">
      <c r="V193" s="547"/>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row>
    <row r="194" spans="22:76" s="3" customFormat="1">
      <c r="V194" s="547"/>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row>
    <row r="195" spans="22:76" s="3" customFormat="1">
      <c r="V195" s="547"/>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row>
    <row r="196" spans="22:76" s="3" customFormat="1">
      <c r="V196" s="547"/>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row>
    <row r="197" spans="22:76" s="3" customFormat="1">
      <c r="V197" s="547"/>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row>
    <row r="198" spans="22:76" s="3" customFormat="1">
      <c r="V198" s="547"/>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row>
    <row r="199" spans="22:76" s="3" customFormat="1">
      <c r="V199" s="547"/>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row>
    <row r="200" spans="22:76" s="3" customFormat="1">
      <c r="V200" s="547"/>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row>
    <row r="201" spans="22:76" s="3" customFormat="1">
      <c r="V201" s="547"/>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row>
    <row r="202" spans="22:76" s="3" customFormat="1">
      <c r="V202" s="547"/>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row>
    <row r="203" spans="22:76" s="3" customFormat="1">
      <c r="V203" s="547"/>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row>
    <row r="204" spans="22:76" s="3" customFormat="1">
      <c r="V204" s="547"/>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row>
    <row r="205" spans="22:76" s="3" customFormat="1">
      <c r="V205" s="547"/>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row>
    <row r="206" spans="22:76" s="3" customFormat="1">
      <c r="V206" s="547"/>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row>
    <row r="207" spans="22:76" s="3" customFormat="1">
      <c r="V207" s="547"/>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row>
    <row r="208" spans="22:76" s="3" customFormat="1">
      <c r="V208" s="547"/>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row>
    <row r="209" spans="22:76" s="3" customFormat="1">
      <c r="V209" s="547"/>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row>
    <row r="210" spans="22:76" s="3" customFormat="1">
      <c r="V210" s="547"/>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row>
    <row r="211" spans="22:76" s="3" customFormat="1">
      <c r="V211" s="547"/>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row>
    <row r="212" spans="22:76" s="3" customFormat="1">
      <c r="V212" s="547"/>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row>
    <row r="213" spans="22:76" s="3" customFormat="1">
      <c r="V213" s="547"/>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row>
    <row r="214" spans="22:76" s="3" customFormat="1">
      <c r="V214" s="547"/>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row>
    <row r="215" spans="22:76" s="3" customFormat="1">
      <c r="V215" s="547"/>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row>
    <row r="216" spans="22:76" s="3" customFormat="1">
      <c r="V216" s="547"/>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row>
    <row r="217" spans="22:76" s="3" customFormat="1">
      <c r="V217" s="547"/>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row>
    <row r="218" spans="22:76" s="3" customFormat="1">
      <c r="V218" s="547"/>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row>
    <row r="219" spans="22:76" s="3" customFormat="1">
      <c r="V219" s="547"/>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row>
    <row r="220" spans="22:76" s="3" customFormat="1">
      <c r="V220" s="547"/>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row>
    <row r="221" spans="22:76" s="3" customFormat="1">
      <c r="V221" s="547"/>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row>
    <row r="222" spans="22:76" s="3" customFormat="1">
      <c r="V222" s="547"/>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row>
    <row r="223" spans="22:76" s="3" customFormat="1">
      <c r="V223" s="547"/>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row>
    <row r="224" spans="22:76" s="3" customFormat="1">
      <c r="V224" s="547"/>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row>
    <row r="225" spans="22:76" s="3" customFormat="1">
      <c r="V225" s="547"/>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row>
    <row r="226" spans="22:76" s="3" customFormat="1">
      <c r="V226" s="547"/>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row>
    <row r="227" spans="22:76" s="3" customFormat="1">
      <c r="V227" s="547"/>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row>
    <row r="228" spans="22:76" s="3" customFormat="1">
      <c r="V228" s="547"/>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row>
    <row r="229" spans="22:76" s="3" customFormat="1">
      <c r="V229" s="547"/>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row>
    <row r="230" spans="22:76" s="3" customFormat="1">
      <c r="V230" s="547"/>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row>
    <row r="231" spans="22:76" s="3" customFormat="1">
      <c r="V231" s="547"/>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row>
    <row r="232" spans="22:76" s="3" customFormat="1">
      <c r="V232" s="547"/>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row>
    <row r="233" spans="22:76" s="3" customFormat="1">
      <c r="V233" s="547"/>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row>
    <row r="234" spans="22:76" s="3" customFormat="1">
      <c r="V234" s="547"/>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row>
    <row r="235" spans="22:76" s="3" customFormat="1">
      <c r="V235" s="547"/>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row>
    <row r="236" spans="22:76" s="3" customFormat="1">
      <c r="V236" s="547"/>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row>
    <row r="237" spans="22:76" s="3" customFormat="1">
      <c r="V237" s="547"/>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row>
    <row r="238" spans="22:76" s="3" customFormat="1">
      <c r="V238" s="547"/>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row>
    <row r="239" spans="22:76" s="3" customFormat="1">
      <c r="V239" s="547"/>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row>
    <row r="240" spans="22:76" s="3" customFormat="1">
      <c r="V240" s="547"/>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row>
    <row r="241" spans="22:76" s="3" customFormat="1">
      <c r="V241" s="547"/>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row>
    <row r="242" spans="22:76" s="3" customFormat="1">
      <c r="V242" s="547"/>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row>
    <row r="243" spans="22:76" s="3" customFormat="1">
      <c r="V243" s="547"/>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row>
    <row r="244" spans="22:76" s="3" customFormat="1">
      <c r="V244" s="547"/>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row>
    <row r="245" spans="22:76" s="3" customFormat="1">
      <c r="V245" s="547"/>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row>
    <row r="246" spans="22:76" s="3" customFormat="1">
      <c r="V246" s="547"/>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row>
    <row r="247" spans="22:76" s="3" customFormat="1">
      <c r="V247" s="547"/>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row>
    <row r="248" spans="22:76" s="3" customFormat="1">
      <c r="V248" s="547"/>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row>
    <row r="249" spans="22:76" s="3" customFormat="1">
      <c r="V249" s="547"/>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row>
    <row r="250" spans="22:76" s="3" customFormat="1">
      <c r="V250" s="547"/>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row>
    <row r="251" spans="22:76" s="3" customFormat="1">
      <c r="V251" s="547"/>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row>
    <row r="252" spans="22:76" s="3" customFormat="1">
      <c r="V252" s="547"/>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row>
    <row r="253" spans="22:76" s="3" customFormat="1">
      <c r="V253" s="547"/>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row>
    <row r="254" spans="22:76" s="3" customFormat="1">
      <c r="V254" s="547"/>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row>
    <row r="255" spans="22:76" s="3" customFormat="1">
      <c r="V255" s="547"/>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row>
    <row r="256" spans="22:76" s="3" customFormat="1">
      <c r="V256" s="547"/>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row>
    <row r="257" spans="22:76" s="3" customFormat="1">
      <c r="V257" s="547"/>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row>
    <row r="258" spans="22:76" s="3" customFormat="1">
      <c r="V258" s="547"/>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row>
    <row r="259" spans="22:76" s="3" customFormat="1">
      <c r="V259" s="547"/>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row>
    <row r="260" spans="22:76" s="3" customFormat="1">
      <c r="V260" s="547"/>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row>
    <row r="261" spans="22:76" s="3" customFormat="1">
      <c r="V261" s="547"/>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row>
    <row r="262" spans="22:76" s="3" customFormat="1">
      <c r="V262" s="547"/>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row>
    <row r="263" spans="22:76" s="3" customFormat="1">
      <c r="V263" s="547"/>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row>
    <row r="264" spans="22:76" s="3" customFormat="1">
      <c r="V264" s="547"/>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row>
    <row r="265" spans="22:76" s="3" customFormat="1">
      <c r="V265" s="547"/>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row>
    <row r="266" spans="22:76" s="3" customFormat="1">
      <c r="V266" s="547"/>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row>
    <row r="267" spans="22:76" s="3" customFormat="1">
      <c r="V267" s="547"/>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row>
    <row r="268" spans="22:76" s="3" customFormat="1">
      <c r="V268" s="547"/>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row>
    <row r="269" spans="22:76" s="3" customFormat="1">
      <c r="V269" s="547"/>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row>
    <row r="270" spans="22:76" s="3" customFormat="1">
      <c r="V270" s="547"/>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row>
    <row r="271" spans="22:76" s="3" customFormat="1">
      <c r="V271" s="547"/>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row>
    <row r="272" spans="22:76" s="3" customFormat="1">
      <c r="V272" s="547"/>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row>
    <row r="273" spans="22:76" s="3" customFormat="1">
      <c r="V273" s="547"/>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row>
    <row r="274" spans="22:76" s="3" customFormat="1">
      <c r="V274" s="547"/>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row>
    <row r="275" spans="22:76" s="3" customFormat="1">
      <c r="V275" s="547"/>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row>
    <row r="276" spans="22:76" s="3" customFormat="1">
      <c r="V276" s="547"/>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row>
    <row r="277" spans="22:76" s="3" customFormat="1">
      <c r="V277" s="547"/>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row>
    <row r="278" spans="22:76" s="3" customFormat="1">
      <c r="V278" s="547"/>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row>
    <row r="279" spans="22:76" s="3" customFormat="1">
      <c r="V279" s="547"/>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row>
    <row r="280" spans="22:76" s="3" customFormat="1">
      <c r="V280" s="547"/>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row>
    <row r="281" spans="22:76" s="3" customFormat="1">
      <c r="V281" s="547"/>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row>
    <row r="282" spans="22:76" s="3" customFormat="1">
      <c r="V282" s="547"/>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row>
    <row r="283" spans="22:76" s="3" customFormat="1">
      <c r="V283" s="547"/>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row>
    <row r="284" spans="22:76" s="3" customFormat="1">
      <c r="V284" s="547"/>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row>
    <row r="285" spans="22:76" s="3" customFormat="1">
      <c r="V285" s="547"/>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row>
    <row r="286" spans="22:76" s="3" customFormat="1">
      <c r="V286" s="547"/>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row>
    <row r="287" spans="22:76" s="3" customFormat="1">
      <c r="V287" s="547"/>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row>
    <row r="288" spans="22:76" s="3" customFormat="1">
      <c r="V288" s="547"/>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row>
    <row r="289" spans="2:76" s="3" customFormat="1">
      <c r="V289" s="547"/>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row>
    <row r="290" spans="2:76" s="3" customFormat="1">
      <c r="V290" s="547"/>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row>
    <row r="291" spans="2:76" s="3" customFormat="1">
      <c r="B291"/>
      <c r="C291"/>
      <c r="D291"/>
      <c r="E291"/>
      <c r="F291"/>
      <c r="G291"/>
      <c r="H291"/>
      <c r="I291"/>
      <c r="J291"/>
      <c r="K291"/>
      <c r="L291"/>
      <c r="M291"/>
      <c r="N291"/>
      <c r="O291"/>
      <c r="P291"/>
      <c r="V291" s="547"/>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row>
    <row r="292" spans="2:76">
      <c r="Q292" s="3"/>
      <c r="R292" s="3"/>
      <c r="S292" s="3"/>
      <c r="T292" s="3"/>
      <c r="U292" s="3"/>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row>
    <row r="293" spans="2:76">
      <c r="Q293" s="3"/>
      <c r="R293" s="3"/>
      <c r="S293" s="3"/>
      <c r="T293" s="3"/>
      <c r="U293" s="3"/>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row>
    <row r="294" spans="2:76">
      <c r="Q294" s="3"/>
      <c r="R294" s="3"/>
      <c r="S294" s="3"/>
      <c r="T294" s="3"/>
      <c r="U294" s="3"/>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row>
    <row r="295" spans="2:76">
      <c r="Q295" s="3"/>
      <c r="R295" s="3"/>
      <c r="S295" s="3"/>
      <c r="T295" s="3"/>
      <c r="U295" s="3"/>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row>
    <row r="296" spans="2:76">
      <c r="Q296" s="3"/>
      <c r="R296" s="3"/>
      <c r="S296" s="3"/>
      <c r="T296" s="3"/>
      <c r="U296" s="3"/>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row>
    <row r="297" spans="2:76">
      <c r="Q297" s="3"/>
      <c r="R297" s="3"/>
      <c r="S297" s="3"/>
      <c r="T297" s="3"/>
      <c r="U297" s="3"/>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row>
    <row r="298" spans="2:76">
      <c r="Q298" s="3"/>
      <c r="R298" s="3"/>
      <c r="S298" s="3"/>
      <c r="T298" s="3"/>
      <c r="U298" s="3"/>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row>
    <row r="299" spans="2:76">
      <c r="Q299" s="3"/>
      <c r="R299" s="3"/>
      <c r="S299" s="3"/>
      <c r="T299" s="3"/>
      <c r="U299" s="3"/>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row>
    <row r="300" spans="2:76">
      <c r="Q300" s="3"/>
      <c r="R300" s="3"/>
      <c r="S300" s="3"/>
      <c r="T300" s="3"/>
      <c r="U300" s="3"/>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row>
    <row r="301" spans="2:76">
      <c r="Q301" s="3"/>
      <c r="R301" s="3"/>
      <c r="S301" s="3"/>
      <c r="T301" s="3"/>
      <c r="U301" s="3"/>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row>
    <row r="302" spans="2:76">
      <c r="Q302" s="3"/>
      <c r="R302" s="3"/>
      <c r="S302" s="3"/>
      <c r="T302" s="3"/>
      <c r="U302" s="3"/>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row>
    <row r="303" spans="2:76">
      <c r="Q303" s="3"/>
      <c r="R303" s="3"/>
      <c r="S303" s="3"/>
      <c r="T303" s="3"/>
      <c r="U303" s="3"/>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row>
    <row r="304" spans="2:76">
      <c r="Q304" s="3"/>
      <c r="R304" s="3"/>
      <c r="S304" s="3"/>
      <c r="T304" s="3"/>
      <c r="U304" s="3"/>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row>
    <row r="305" spans="17:76">
      <c r="Q305" s="3"/>
      <c r="R305" s="3"/>
      <c r="S305" s="3"/>
      <c r="T305" s="3"/>
      <c r="U305" s="3"/>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row>
    <row r="306" spans="17:76">
      <c r="Q306" s="3"/>
      <c r="R306" s="3"/>
      <c r="S306" s="3"/>
      <c r="T306" s="3"/>
      <c r="U306" s="3"/>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row>
    <row r="307" spans="17:76">
      <c r="Q307" s="3"/>
      <c r="R307" s="3"/>
      <c r="S307" s="3"/>
      <c r="T307" s="3"/>
      <c r="U307" s="3"/>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row>
    <row r="308" spans="17:76">
      <c r="Q308" s="3"/>
      <c r="R308" s="3"/>
      <c r="S308" s="3"/>
      <c r="T308" s="3"/>
      <c r="U308" s="3"/>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row>
    <row r="309" spans="17:76">
      <c r="Q309" s="3"/>
      <c r="R309" s="3"/>
      <c r="S309" s="3"/>
      <c r="T309" s="3"/>
      <c r="U309" s="3"/>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row>
    <row r="310" spans="17:76">
      <c r="Q310" s="3"/>
      <c r="R310" s="3"/>
      <c r="S310" s="3"/>
      <c r="T310" s="3"/>
      <c r="U310" s="3"/>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row>
    <row r="311" spans="17:76">
      <c r="Q311" s="3"/>
      <c r="R311" s="3"/>
      <c r="S311" s="3"/>
      <c r="T311" s="3"/>
      <c r="U311" s="3"/>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row>
    <row r="312" spans="17:76">
      <c r="Q312" s="3"/>
      <c r="R312" s="3"/>
      <c r="S312" s="3"/>
      <c r="T312" s="3"/>
      <c r="U312" s="3"/>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row>
    <row r="313" spans="17:76">
      <c r="Q313" s="3"/>
      <c r="R313" s="3"/>
      <c r="S313" s="3"/>
      <c r="T313" s="3"/>
      <c r="U313" s="3"/>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row>
    <row r="314" spans="17:76">
      <c r="Q314" s="3"/>
      <c r="R314" s="3"/>
      <c r="S314" s="3"/>
      <c r="T314" s="3"/>
      <c r="U314" s="3"/>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row>
    <row r="315" spans="17:76">
      <c r="Q315" s="3"/>
      <c r="R315" s="3"/>
      <c r="S315" s="3"/>
      <c r="T315" s="3"/>
      <c r="U315" s="3"/>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row>
    <row r="316" spans="17:76">
      <c r="Q316" s="3"/>
      <c r="R316" s="3"/>
      <c r="S316" s="3"/>
      <c r="T316" s="3"/>
      <c r="U316" s="3"/>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row>
    <row r="317" spans="17:76">
      <c r="Q317" s="3"/>
      <c r="R317" s="3"/>
      <c r="S317" s="3"/>
      <c r="T317" s="3"/>
      <c r="U317" s="3"/>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row>
    <row r="318" spans="17:76">
      <c r="Q318" s="3"/>
      <c r="R318" s="3"/>
      <c r="S318" s="3"/>
      <c r="T318" s="3"/>
      <c r="U318" s="3"/>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row>
    <row r="319" spans="17:76">
      <c r="Q319" s="3"/>
      <c r="R319" s="3"/>
      <c r="S319" s="3"/>
      <c r="T319" s="3"/>
      <c r="U319" s="3"/>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row>
    <row r="320" spans="17:76">
      <c r="Q320" s="3"/>
      <c r="R320" s="3"/>
      <c r="S320" s="3"/>
      <c r="T320" s="3"/>
      <c r="U320" s="3"/>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row>
    <row r="321" spans="17:76">
      <c r="Q321" s="3"/>
      <c r="R321" s="3"/>
      <c r="S321" s="3"/>
      <c r="T321" s="3"/>
      <c r="U321" s="3"/>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row>
    <row r="322" spans="17:76">
      <c r="Q322" s="3"/>
      <c r="R322" s="3"/>
      <c r="S322" s="3"/>
      <c r="T322" s="3"/>
      <c r="U322" s="3"/>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row>
    <row r="323" spans="17:76">
      <c r="Q323" s="3"/>
      <c r="R323" s="3"/>
      <c r="S323" s="3"/>
      <c r="T323" s="3"/>
      <c r="U323" s="3"/>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row>
    <row r="324" spans="17:76">
      <c r="Q324" s="3"/>
      <c r="R324" s="3"/>
      <c r="S324" s="3"/>
      <c r="T324" s="3"/>
      <c r="U324" s="3"/>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row>
    <row r="325" spans="17:76">
      <c r="Q325" s="3"/>
      <c r="R325" s="3"/>
      <c r="S325" s="3"/>
      <c r="T325" s="3"/>
      <c r="U325" s="3"/>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row>
    <row r="326" spans="17:76">
      <c r="Q326" s="3"/>
      <c r="R326" s="3"/>
      <c r="S326" s="3"/>
      <c r="T326" s="3"/>
      <c r="U326" s="3"/>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row>
    <row r="327" spans="17:76">
      <c r="Q327" s="3"/>
      <c r="R327" s="3"/>
      <c r="S327" s="3"/>
      <c r="T327" s="3"/>
      <c r="U327" s="3"/>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row>
    <row r="328" spans="17:76">
      <c r="Q328" s="3"/>
      <c r="R328" s="3"/>
      <c r="S328" s="3"/>
      <c r="T328" s="3"/>
      <c r="U328" s="3"/>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row>
    <row r="329" spans="17:76">
      <c r="Q329" s="3"/>
      <c r="R329" s="3"/>
      <c r="S329" s="3"/>
      <c r="T329" s="3"/>
      <c r="U329" s="3"/>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row>
    <row r="330" spans="17:76">
      <c r="Q330" s="3"/>
      <c r="R330" s="3"/>
      <c r="S330" s="3"/>
      <c r="T330" s="3"/>
      <c r="U330" s="3"/>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row>
    <row r="331" spans="17:76">
      <c r="Q331" s="3"/>
      <c r="R331" s="3"/>
      <c r="S331" s="3"/>
      <c r="T331" s="3"/>
      <c r="U331" s="3"/>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row>
    <row r="332" spans="17:76">
      <c r="Q332" s="3"/>
      <c r="R332" s="3"/>
      <c r="S332" s="3"/>
      <c r="T332" s="3"/>
      <c r="U332" s="3"/>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row>
    <row r="333" spans="17:76">
      <c r="Q333" s="3"/>
      <c r="R333" s="3"/>
      <c r="S333" s="3"/>
      <c r="T333" s="3"/>
      <c r="U333" s="3"/>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row>
    <row r="334" spans="17:76">
      <c r="Q334" s="3"/>
      <c r="R334" s="3"/>
      <c r="S334" s="3"/>
      <c r="T334" s="3"/>
      <c r="U334" s="3"/>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row>
    <row r="335" spans="17:76">
      <c r="Q335" s="3"/>
      <c r="R335" s="3"/>
      <c r="S335" s="3"/>
      <c r="T335" s="3"/>
      <c r="U335" s="3"/>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row>
    <row r="336" spans="17:76">
      <c r="Q336" s="3"/>
      <c r="R336" s="3"/>
      <c r="S336" s="3"/>
      <c r="T336" s="3"/>
      <c r="U336" s="3"/>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row>
    <row r="337" spans="17:76">
      <c r="Q337" s="3"/>
      <c r="R337" s="3"/>
      <c r="S337" s="3"/>
      <c r="T337" s="3"/>
      <c r="U337" s="3"/>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row>
    <row r="338" spans="17:76">
      <c r="Q338" s="3"/>
      <c r="R338" s="3"/>
      <c r="S338" s="3"/>
      <c r="T338" s="3"/>
      <c r="U338" s="3"/>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row>
    <row r="339" spans="17:76">
      <c r="Q339" s="3"/>
      <c r="R339" s="3"/>
      <c r="S339" s="3"/>
      <c r="T339" s="3"/>
      <c r="U339" s="3"/>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row>
    <row r="340" spans="17:76">
      <c r="Q340" s="3"/>
      <c r="R340" s="3"/>
      <c r="S340" s="3"/>
      <c r="T340" s="3"/>
      <c r="U340" s="3"/>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row>
    <row r="341" spans="17:76">
      <c r="Q341" s="3"/>
      <c r="R341" s="3"/>
      <c r="S341" s="3"/>
      <c r="T341" s="3"/>
      <c r="U341" s="3"/>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row>
    <row r="342" spans="17:76">
      <c r="Q342" s="3"/>
      <c r="R342" s="3"/>
      <c r="S342" s="3"/>
      <c r="T342" s="3"/>
      <c r="U342" s="3"/>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row>
    <row r="343" spans="17:76">
      <c r="Q343" s="3"/>
      <c r="R343" s="3"/>
      <c r="S343" s="3"/>
      <c r="T343" s="3"/>
      <c r="U343" s="3"/>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row>
    <row r="344" spans="17:76">
      <c r="Q344" s="3"/>
      <c r="R344" s="3"/>
      <c r="S344" s="3"/>
      <c r="T344" s="3"/>
      <c r="U344" s="3"/>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row>
    <row r="345" spans="17:76">
      <c r="Q345" s="3"/>
      <c r="R345" s="3"/>
      <c r="S345" s="3"/>
      <c r="T345" s="3"/>
      <c r="U345" s="3"/>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row>
    <row r="346" spans="17:76">
      <c r="Q346" s="3"/>
      <c r="R346" s="3"/>
      <c r="S346" s="3"/>
      <c r="T346" s="3"/>
      <c r="U346" s="3"/>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row>
    <row r="347" spans="17:76">
      <c r="Q347" s="3"/>
      <c r="R347" s="3"/>
      <c r="S347" s="3"/>
      <c r="T347" s="3"/>
      <c r="U347" s="3"/>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row>
    <row r="348" spans="17:76">
      <c r="Q348" s="3"/>
      <c r="R348" s="3"/>
      <c r="S348" s="3"/>
      <c r="T348" s="3"/>
      <c r="U348" s="3"/>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row>
    <row r="349" spans="17:76">
      <c r="Q349" s="3"/>
      <c r="R349" s="3"/>
      <c r="S349" s="3"/>
      <c r="T349" s="3"/>
      <c r="U349" s="3"/>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row>
    <row r="350" spans="17:76">
      <c r="Q350" s="3"/>
      <c r="R350" s="3"/>
      <c r="S350" s="3"/>
      <c r="T350" s="3"/>
      <c r="U350" s="3"/>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row>
    <row r="351" spans="17:76">
      <c r="Q351" s="3"/>
      <c r="R351" s="3"/>
      <c r="S351" s="3"/>
      <c r="T351" s="3"/>
      <c r="U351" s="3"/>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row>
    <row r="352" spans="17:76">
      <c r="Q352" s="3"/>
      <c r="R352" s="3"/>
      <c r="S352" s="3"/>
      <c r="T352" s="3"/>
      <c r="U352" s="3"/>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row>
    <row r="353" spans="17:76">
      <c r="Q353" s="3"/>
      <c r="R353" s="3"/>
      <c r="S353" s="3"/>
      <c r="T353" s="3"/>
      <c r="U353" s="3"/>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row>
    <row r="354" spans="17:76">
      <c r="Q354" s="3"/>
      <c r="R354" s="3"/>
      <c r="S354" s="3"/>
      <c r="T354" s="3"/>
      <c r="U354" s="3"/>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row>
    <row r="355" spans="17:76">
      <c r="Q355" s="3"/>
      <c r="R355" s="3"/>
      <c r="S355" s="3"/>
      <c r="T355" s="3"/>
      <c r="U355" s="3"/>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row>
    <row r="356" spans="17:76">
      <c r="Q356" s="3"/>
      <c r="R356" s="3"/>
      <c r="S356" s="3"/>
      <c r="T356" s="3"/>
      <c r="U356" s="3"/>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row>
    <row r="357" spans="17:76">
      <c r="Q357" s="3"/>
      <c r="R357" s="3"/>
      <c r="S357" s="3"/>
      <c r="T357" s="3"/>
      <c r="U357" s="3"/>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row>
    <row r="358" spans="17:76">
      <c r="Q358" s="3"/>
      <c r="R358" s="3"/>
      <c r="S358" s="3"/>
      <c r="T358" s="3"/>
      <c r="U358" s="3"/>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row>
    <row r="359" spans="17:76">
      <c r="Q359" s="3"/>
      <c r="R359" s="3"/>
      <c r="S359" s="3"/>
      <c r="T359" s="3"/>
      <c r="U359" s="3"/>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row>
    <row r="360" spans="17:76">
      <c r="Q360" s="3"/>
      <c r="R360" s="3"/>
      <c r="S360" s="3"/>
      <c r="T360" s="3"/>
      <c r="U360" s="3"/>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row>
    <row r="361" spans="17:76">
      <c r="Q361" s="3"/>
      <c r="R361" s="3"/>
      <c r="S361" s="3"/>
      <c r="T361" s="3"/>
      <c r="U361" s="3"/>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row>
    <row r="362" spans="17:76">
      <c r="Q362" s="3"/>
      <c r="R362" s="3"/>
      <c r="S362" s="3"/>
      <c r="T362" s="3"/>
      <c r="U362" s="3"/>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row>
    <row r="363" spans="17:76">
      <c r="Q363" s="3"/>
      <c r="R363" s="3"/>
      <c r="S363" s="3"/>
      <c r="T363" s="3"/>
      <c r="U363" s="3"/>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row>
    <row r="364" spans="17:76">
      <c r="Q364" s="3"/>
      <c r="R364" s="3"/>
      <c r="S364" s="3"/>
      <c r="T364" s="3"/>
      <c r="U364" s="3"/>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row>
    <row r="365" spans="17:76">
      <c r="Q365" s="3"/>
      <c r="R365" s="3"/>
      <c r="S365" s="3"/>
      <c r="T365" s="3"/>
      <c r="U365" s="3"/>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row>
    <row r="366" spans="17:76">
      <c r="Q366" s="3"/>
      <c r="R366" s="3"/>
      <c r="S366" s="3"/>
      <c r="T366" s="3"/>
      <c r="U366" s="3"/>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row>
    <row r="367" spans="17:76">
      <c r="Q367" s="3"/>
      <c r="R367" s="3"/>
      <c r="S367" s="3"/>
      <c r="T367" s="3"/>
      <c r="U367" s="3"/>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row>
    <row r="368" spans="17:76">
      <c r="Q368" s="3"/>
      <c r="R368" s="3"/>
      <c r="S368" s="3"/>
      <c r="T368" s="3"/>
      <c r="U368" s="3"/>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row>
    <row r="369" spans="17:76">
      <c r="Q369" s="3"/>
      <c r="R369" s="3"/>
      <c r="S369" s="3"/>
      <c r="T369" s="3"/>
      <c r="U369" s="3"/>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row>
    <row r="370" spans="17:76">
      <c r="Q370" s="3"/>
      <c r="R370" s="3"/>
      <c r="S370" s="3"/>
      <c r="T370" s="3"/>
      <c r="U370" s="3"/>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row>
    <row r="371" spans="17:76">
      <c r="Q371" s="3"/>
      <c r="R371" s="3"/>
      <c r="S371" s="3"/>
      <c r="T371" s="3"/>
      <c r="U371" s="3"/>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row>
    <row r="372" spans="17:76">
      <c r="Q372" s="3"/>
      <c r="R372" s="3"/>
      <c r="S372" s="3"/>
      <c r="T372" s="3"/>
      <c r="U372" s="3"/>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row>
    <row r="373" spans="17:76">
      <c r="Q373" s="3"/>
      <c r="R373" s="3"/>
      <c r="S373" s="3"/>
      <c r="T373" s="3"/>
      <c r="U373" s="3"/>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row>
    <row r="374" spans="17:76">
      <c r="Q374" s="3"/>
      <c r="R374" s="3"/>
      <c r="S374" s="3"/>
      <c r="T374" s="3"/>
      <c r="U374" s="3"/>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row>
    <row r="375" spans="17:76">
      <c r="Q375" s="3"/>
      <c r="R375" s="3"/>
      <c r="S375" s="3"/>
      <c r="T375" s="3"/>
      <c r="U375" s="3"/>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row>
    <row r="376" spans="17:76">
      <c r="Q376" s="3"/>
      <c r="R376" s="3"/>
      <c r="S376" s="3"/>
      <c r="T376" s="3"/>
      <c r="U376" s="3"/>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row>
    <row r="377" spans="17:76">
      <c r="Q377" s="3"/>
      <c r="R377" s="3"/>
      <c r="S377" s="3"/>
      <c r="T377" s="3"/>
      <c r="U377" s="3"/>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row>
    <row r="378" spans="17:76">
      <c r="Q378" s="3"/>
      <c r="R378" s="3"/>
      <c r="S378" s="3"/>
      <c r="T378" s="3"/>
      <c r="U378" s="3"/>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row>
    <row r="379" spans="17:76">
      <c r="Q379" s="3"/>
      <c r="R379" s="3"/>
      <c r="S379" s="3"/>
      <c r="T379" s="3"/>
      <c r="U379" s="3"/>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row>
    <row r="380" spans="17:76">
      <c r="Q380" s="3"/>
      <c r="R380" s="3"/>
      <c r="S380" s="3"/>
      <c r="T380" s="3"/>
      <c r="U380" s="3"/>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row>
    <row r="381" spans="17:76">
      <c r="Q381" s="3"/>
      <c r="R381" s="3"/>
      <c r="S381" s="3"/>
      <c r="T381" s="3"/>
      <c r="U381" s="3"/>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row>
    <row r="382" spans="17:76">
      <c r="Q382" s="3"/>
      <c r="R382" s="3"/>
      <c r="S382" s="3"/>
      <c r="T382" s="3"/>
      <c r="U382" s="3"/>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row>
    <row r="383" spans="17:76">
      <c r="Q383" s="3"/>
      <c r="R383" s="3"/>
      <c r="S383" s="3"/>
      <c r="T383" s="3"/>
      <c r="U383" s="3"/>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row>
    <row r="384" spans="17:76">
      <c r="Q384" s="3"/>
      <c r="R384" s="3"/>
      <c r="S384" s="3"/>
      <c r="T384" s="3"/>
      <c r="U384" s="3"/>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row>
    <row r="385" spans="17:76">
      <c r="Q385" s="3"/>
      <c r="R385" s="3"/>
      <c r="S385" s="3"/>
      <c r="T385" s="3"/>
      <c r="U385" s="3"/>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row>
    <row r="386" spans="17:76">
      <c r="Q386" s="3"/>
      <c r="R386" s="3"/>
      <c r="S386" s="3"/>
      <c r="T386" s="3"/>
      <c r="U386" s="3"/>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row>
    <row r="387" spans="17:76">
      <c r="Q387" s="3"/>
      <c r="R387" s="3"/>
      <c r="S387" s="3"/>
      <c r="T387" s="3"/>
      <c r="U387" s="3"/>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row>
    <row r="388" spans="17:76">
      <c r="Q388" s="3"/>
      <c r="R388" s="3"/>
      <c r="S388" s="3"/>
      <c r="T388" s="3"/>
      <c r="U388" s="3"/>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row>
    <row r="389" spans="17:76">
      <c r="Q389" s="3"/>
      <c r="R389" s="3"/>
      <c r="S389" s="3"/>
      <c r="T389" s="3"/>
      <c r="U389" s="3"/>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row>
    <row r="390" spans="17:76">
      <c r="Q390" s="3"/>
      <c r="R390" s="3"/>
      <c r="S390" s="3"/>
      <c r="T390" s="3"/>
      <c r="U390" s="3"/>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row>
    <row r="391" spans="17:76">
      <c r="Q391" s="3"/>
      <c r="R391" s="3"/>
      <c r="S391" s="3"/>
      <c r="T391" s="3"/>
      <c r="U391" s="3"/>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row>
    <row r="392" spans="17:76">
      <c r="Q392" s="3"/>
      <c r="R392" s="3"/>
      <c r="S392" s="3"/>
      <c r="T392" s="3"/>
      <c r="U392" s="3"/>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row>
    <row r="393" spans="17:76">
      <c r="Q393" s="3"/>
      <c r="R393" s="3"/>
      <c r="S393" s="3"/>
      <c r="T393" s="3"/>
      <c r="U393" s="3"/>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row>
    <row r="394" spans="17:76">
      <c r="Q394" s="3"/>
      <c r="R394" s="3"/>
      <c r="S394" s="3"/>
      <c r="T394" s="3"/>
      <c r="U394" s="3"/>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row>
    <row r="395" spans="17:76">
      <c r="Q395" s="3"/>
      <c r="R395" s="3"/>
      <c r="S395" s="3"/>
      <c r="T395" s="3"/>
      <c r="U395" s="3"/>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row>
    <row r="396" spans="17:76">
      <c r="Q396" s="3"/>
      <c r="R396" s="3"/>
      <c r="S396" s="3"/>
      <c r="T396" s="3"/>
      <c r="U396" s="3"/>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row>
    <row r="397" spans="17:76">
      <c r="Q397" s="3"/>
      <c r="R397" s="3"/>
      <c r="S397" s="3"/>
      <c r="T397" s="3"/>
      <c r="U397" s="3"/>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row>
    <row r="398" spans="17:76">
      <c r="Q398" s="3"/>
      <c r="R398" s="3"/>
      <c r="S398" s="3"/>
      <c r="T398" s="3"/>
      <c r="U398" s="3"/>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row>
    <row r="399" spans="17:76">
      <c r="Q399" s="3"/>
      <c r="R399" s="3"/>
      <c r="S399" s="3"/>
      <c r="T399" s="3"/>
      <c r="U399" s="3"/>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row>
    <row r="400" spans="17:76">
      <c r="Q400" s="3"/>
      <c r="R400" s="3"/>
      <c r="S400" s="3"/>
      <c r="T400" s="3"/>
      <c r="U400" s="3"/>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row>
    <row r="401" spans="17:76">
      <c r="Q401" s="3"/>
      <c r="R401" s="3"/>
      <c r="S401" s="3"/>
      <c r="T401" s="3"/>
      <c r="U401" s="3"/>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row>
    <row r="402" spans="17:76">
      <c r="Q402" s="3"/>
      <c r="R402" s="3"/>
      <c r="S402" s="3"/>
      <c r="T402" s="3"/>
      <c r="U402" s="3"/>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row>
    <row r="403" spans="17:76">
      <c r="Q403" s="3"/>
      <c r="R403" s="3"/>
      <c r="S403" s="3"/>
      <c r="T403" s="3"/>
      <c r="U403" s="3"/>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row>
    <row r="404" spans="17:76">
      <c r="Q404" s="3"/>
      <c r="R404" s="3"/>
      <c r="S404" s="3"/>
      <c r="T404" s="3"/>
      <c r="U404" s="3"/>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row>
    <row r="405" spans="17:76">
      <c r="Q405" s="3"/>
      <c r="R405" s="3"/>
      <c r="S405" s="3"/>
      <c r="T405" s="3"/>
      <c r="U405" s="3"/>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row>
    <row r="406" spans="17:76">
      <c r="Q406" s="3"/>
      <c r="R406" s="3"/>
      <c r="S406" s="3"/>
      <c r="T406" s="3"/>
      <c r="U406" s="3"/>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row>
    <row r="407" spans="17:76">
      <c r="Q407" s="3"/>
      <c r="R407" s="3"/>
      <c r="S407" s="3"/>
      <c r="T407" s="3"/>
      <c r="U407" s="3"/>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row>
    <row r="408" spans="17:76">
      <c r="Q408" s="3"/>
      <c r="R408" s="3"/>
      <c r="S408" s="3"/>
      <c r="T408" s="3"/>
      <c r="U408" s="3"/>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row>
    <row r="409" spans="17:76">
      <c r="Q409" s="3"/>
      <c r="R409" s="3"/>
      <c r="S409" s="3"/>
      <c r="T409" s="3"/>
      <c r="U409" s="3"/>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row>
    <row r="410" spans="17:76">
      <c r="Q410" s="3"/>
      <c r="R410" s="3"/>
      <c r="S410" s="3"/>
      <c r="T410" s="3"/>
      <c r="U410" s="3"/>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row>
    <row r="411" spans="17:76">
      <c r="Q411" s="3"/>
      <c r="R411" s="3"/>
      <c r="S411" s="3"/>
      <c r="T411" s="3"/>
      <c r="U411" s="3"/>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row>
    <row r="412" spans="17:76">
      <c r="Q412" s="3"/>
      <c r="R412" s="3"/>
      <c r="S412" s="3"/>
      <c r="T412" s="3"/>
      <c r="U412" s="3"/>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row>
    <row r="413" spans="17:76">
      <c r="Q413" s="3"/>
      <c r="R413" s="3"/>
      <c r="S413" s="3"/>
      <c r="T413" s="3"/>
      <c r="U413" s="3"/>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row>
    <row r="414" spans="17:76">
      <c r="Q414" s="3"/>
      <c r="R414" s="3"/>
      <c r="S414" s="3"/>
      <c r="T414" s="3"/>
      <c r="U414" s="3"/>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row>
    <row r="415" spans="17:76">
      <c r="Q415" s="3"/>
      <c r="R415" s="3"/>
      <c r="S415" s="3"/>
      <c r="T415" s="3"/>
      <c r="U415" s="3"/>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row>
    <row r="416" spans="17:76">
      <c r="Q416" s="3"/>
      <c r="R416" s="3"/>
      <c r="S416" s="3"/>
      <c r="T416" s="3"/>
      <c r="U416" s="3"/>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row>
    <row r="417" spans="17:76">
      <c r="Q417" s="3"/>
      <c r="R417" s="3"/>
      <c r="S417" s="3"/>
      <c r="T417" s="3"/>
      <c r="U417" s="3"/>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row>
    <row r="418" spans="17:76">
      <c r="Q418" s="3"/>
      <c r="R418" s="3"/>
      <c r="S418" s="3"/>
      <c r="T418" s="3"/>
      <c r="U418" s="3"/>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row>
    <row r="419" spans="17:76">
      <c r="Q419" s="3"/>
      <c r="R419" s="3"/>
      <c r="S419" s="3"/>
      <c r="T419" s="3"/>
      <c r="U419" s="3"/>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row>
    <row r="420" spans="17:76">
      <c r="Q420" s="3"/>
      <c r="R420" s="3"/>
      <c r="S420" s="3"/>
      <c r="T420" s="3"/>
      <c r="U420" s="3"/>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row>
    <row r="421" spans="17:76">
      <c r="Q421" s="3"/>
      <c r="R421" s="3"/>
      <c r="S421" s="3"/>
      <c r="T421" s="3"/>
      <c r="U421" s="3"/>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row>
    <row r="422" spans="17:76">
      <c r="Q422" s="3"/>
      <c r="R422" s="3"/>
      <c r="S422" s="3"/>
      <c r="T422" s="3"/>
      <c r="U422" s="3"/>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row>
    <row r="423" spans="17:76">
      <c r="Q423" s="3"/>
      <c r="R423" s="3"/>
      <c r="S423" s="3"/>
      <c r="T423" s="3"/>
      <c r="U423" s="3"/>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row>
    <row r="424" spans="17:76">
      <c r="Q424" s="3"/>
      <c r="R424" s="3"/>
      <c r="S424" s="3"/>
      <c r="T424" s="3"/>
      <c r="U424" s="3"/>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row>
    <row r="425" spans="17:76">
      <c r="Q425" s="3"/>
      <c r="R425" s="3"/>
      <c r="S425" s="3"/>
      <c r="T425" s="3"/>
      <c r="U425" s="3"/>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row>
    <row r="426" spans="17:76">
      <c r="Q426" s="3"/>
      <c r="R426" s="3"/>
      <c r="S426" s="3"/>
      <c r="T426" s="3"/>
      <c r="U426" s="3"/>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row>
    <row r="427" spans="17:76">
      <c r="Q427" s="3"/>
      <c r="R427" s="3"/>
      <c r="S427" s="3"/>
      <c r="T427" s="3"/>
      <c r="U427" s="3"/>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row>
    <row r="428" spans="17:76">
      <c r="Q428" s="3"/>
      <c r="R428" s="3"/>
      <c r="S428" s="3"/>
      <c r="T428" s="3"/>
      <c r="U428" s="3"/>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row>
    <row r="429" spans="17:76">
      <c r="Q429" s="3"/>
      <c r="R429" s="3"/>
      <c r="S429" s="3"/>
      <c r="T429" s="3"/>
      <c r="U429" s="3"/>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row>
    <row r="430" spans="17:76">
      <c r="Q430" s="3"/>
      <c r="R430" s="3"/>
      <c r="S430" s="3"/>
      <c r="T430" s="3"/>
      <c r="U430" s="3"/>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row>
    <row r="431" spans="17:76">
      <c r="Q431" s="3"/>
      <c r="R431" s="3"/>
      <c r="S431" s="3"/>
      <c r="T431" s="3"/>
      <c r="U431" s="3"/>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row>
    <row r="432" spans="17:76">
      <c r="Q432" s="3"/>
      <c r="R432" s="3"/>
      <c r="S432" s="3"/>
      <c r="T432" s="3"/>
      <c r="U432" s="3"/>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row>
    <row r="433" spans="17:76">
      <c r="Q433" s="3"/>
      <c r="R433" s="3"/>
      <c r="S433" s="3"/>
      <c r="T433" s="3"/>
      <c r="U433" s="3"/>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row>
    <row r="434" spans="17:76">
      <c r="Q434" s="3"/>
      <c r="R434" s="3"/>
      <c r="S434" s="3"/>
      <c r="T434" s="3"/>
      <c r="U434" s="3"/>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row>
    <row r="435" spans="17:76">
      <c r="Q435" s="3"/>
      <c r="R435" s="3"/>
      <c r="S435" s="3"/>
      <c r="T435" s="3"/>
      <c r="U435" s="3"/>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row>
    <row r="436" spans="17:76">
      <c r="Q436" s="3"/>
      <c r="R436" s="3"/>
      <c r="S436" s="3"/>
      <c r="T436" s="3"/>
      <c r="U436" s="3"/>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row>
    <row r="437" spans="17:76">
      <c r="Q437" s="3"/>
      <c r="R437" s="3"/>
      <c r="S437" s="3"/>
      <c r="T437" s="3"/>
      <c r="U437" s="3"/>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row>
    <row r="438" spans="17:76">
      <c r="Q438" s="3"/>
      <c r="R438" s="3"/>
      <c r="S438" s="3"/>
      <c r="T438" s="3"/>
      <c r="U438" s="3"/>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row>
    <row r="439" spans="17:76">
      <c r="Q439" s="3"/>
      <c r="R439" s="3"/>
      <c r="S439" s="3"/>
      <c r="T439" s="3"/>
      <c r="U439" s="3"/>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row>
    <row r="440" spans="17:76">
      <c r="Q440" s="3"/>
      <c r="R440" s="3"/>
      <c r="S440" s="3"/>
      <c r="T440" s="3"/>
      <c r="U440" s="3"/>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row>
    <row r="441" spans="17:76">
      <c r="Q441" s="3"/>
      <c r="R441" s="3"/>
      <c r="S441" s="3"/>
      <c r="T441" s="3"/>
      <c r="U441" s="3"/>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row>
    <row r="442" spans="17:76">
      <c r="Q442" s="3"/>
      <c r="R442" s="3"/>
      <c r="S442" s="3"/>
      <c r="T442" s="3"/>
      <c r="U442" s="3"/>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row>
    <row r="443" spans="17:76">
      <c r="Q443" s="3"/>
      <c r="R443" s="3"/>
      <c r="S443" s="3"/>
      <c r="T443" s="3"/>
      <c r="U443" s="3"/>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row>
    <row r="444" spans="17:76">
      <c r="Q444" s="3"/>
      <c r="R444" s="3"/>
      <c r="S444" s="3"/>
      <c r="T444" s="3"/>
      <c r="U444" s="3"/>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row>
    <row r="445" spans="17:76">
      <c r="Q445" s="3"/>
      <c r="R445" s="3"/>
      <c r="S445" s="3"/>
      <c r="T445" s="3"/>
      <c r="U445" s="3"/>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row>
    <row r="446" spans="17:76">
      <c r="Q446" s="3"/>
      <c r="R446" s="3"/>
      <c r="S446" s="3"/>
      <c r="T446" s="3"/>
      <c r="U446" s="3"/>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row>
    <row r="447" spans="17:76">
      <c r="Q447" s="3"/>
      <c r="R447" s="3"/>
      <c r="S447" s="3"/>
      <c r="T447" s="3"/>
      <c r="U447" s="3"/>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row>
    <row r="448" spans="17:76">
      <c r="Q448" s="3"/>
      <c r="R448" s="3"/>
      <c r="S448" s="3"/>
      <c r="T448" s="3"/>
      <c r="U448" s="3"/>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row>
    <row r="449" spans="17:76">
      <c r="Q449" s="3"/>
      <c r="R449" s="3"/>
      <c r="S449" s="3"/>
      <c r="T449" s="3"/>
      <c r="U449" s="3"/>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row>
    <row r="450" spans="17:76">
      <c r="Q450" s="3"/>
      <c r="R450" s="3"/>
      <c r="S450" s="3"/>
      <c r="T450" s="3"/>
      <c r="U450" s="3"/>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row>
    <row r="451" spans="17:76">
      <c r="Q451" s="3"/>
      <c r="R451" s="3"/>
      <c r="S451" s="3"/>
      <c r="T451" s="3"/>
      <c r="U451" s="3"/>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row>
    <row r="452" spans="17:76">
      <c r="Q452" s="3"/>
      <c r="R452" s="3"/>
      <c r="S452" s="3"/>
      <c r="T452" s="3"/>
      <c r="U452" s="3"/>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row>
    <row r="453" spans="17:76">
      <c r="Q453" s="3"/>
      <c r="R453" s="3"/>
      <c r="S453" s="3"/>
      <c r="T453" s="3"/>
      <c r="U453" s="3"/>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row>
    <row r="454" spans="17:76">
      <c r="Q454" s="3"/>
      <c r="R454" s="3"/>
      <c r="S454" s="3"/>
      <c r="T454" s="3"/>
      <c r="U454" s="3"/>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row>
    <row r="455" spans="17:76">
      <c r="Q455" s="3"/>
      <c r="R455" s="3"/>
      <c r="S455" s="3"/>
      <c r="T455" s="3"/>
      <c r="U455" s="3"/>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row>
    <row r="456" spans="17:76">
      <c r="Q456" s="3"/>
      <c r="R456" s="3"/>
      <c r="S456" s="3"/>
      <c r="T456" s="3"/>
      <c r="U456" s="3"/>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row>
    <row r="457" spans="17:76">
      <c r="Q457" s="3"/>
      <c r="R457" s="3"/>
      <c r="S457" s="3"/>
      <c r="T457" s="3"/>
      <c r="U457" s="3"/>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row>
    <row r="458" spans="17:76">
      <c r="Q458" s="3"/>
      <c r="R458" s="3"/>
      <c r="S458" s="3"/>
      <c r="T458" s="3"/>
      <c r="U458" s="3"/>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row>
    <row r="459" spans="17:76">
      <c r="Q459" s="3"/>
      <c r="R459" s="3"/>
      <c r="S459" s="3"/>
      <c r="T459" s="3"/>
      <c r="U459" s="3"/>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row>
    <row r="460" spans="17:76">
      <c r="Q460" s="3"/>
      <c r="R460" s="3"/>
      <c r="S460" s="3"/>
      <c r="T460" s="3"/>
      <c r="U460" s="3"/>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row>
    <row r="461" spans="17:76">
      <c r="Q461" s="3"/>
      <c r="R461" s="3"/>
      <c r="S461" s="3"/>
      <c r="T461" s="3"/>
      <c r="U461" s="3"/>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row>
    <row r="462" spans="17:76">
      <c r="Q462" s="3"/>
      <c r="R462" s="3"/>
      <c r="S462" s="3"/>
      <c r="T462" s="3"/>
      <c r="U462" s="3"/>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row>
    <row r="463" spans="17:76">
      <c r="Q463" s="3"/>
      <c r="R463" s="3"/>
      <c r="S463" s="3"/>
      <c r="T463" s="3"/>
      <c r="U463" s="3"/>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row>
    <row r="464" spans="17:76">
      <c r="Q464" s="3"/>
      <c r="R464" s="3"/>
      <c r="S464" s="3"/>
      <c r="T464" s="3"/>
      <c r="U464" s="3"/>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row>
    <row r="465" spans="17:76">
      <c r="Q465" s="3"/>
      <c r="R465" s="3"/>
      <c r="S465" s="3"/>
      <c r="T465" s="3"/>
      <c r="U465" s="3"/>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row>
    <row r="466" spans="17:76">
      <c r="Q466" s="3"/>
      <c r="R466" s="3"/>
      <c r="S466" s="3"/>
      <c r="T466" s="3"/>
      <c r="U466" s="3"/>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row>
    <row r="467" spans="17:76">
      <c r="Q467" s="3"/>
      <c r="R467" s="3"/>
      <c r="S467" s="3"/>
      <c r="T467" s="3"/>
      <c r="U467" s="3"/>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row>
    <row r="468" spans="17:76">
      <c r="Q468" s="3"/>
      <c r="R468" s="3"/>
      <c r="S468" s="3"/>
      <c r="T468" s="3"/>
      <c r="U468" s="3"/>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row>
    <row r="469" spans="17:76">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row>
    <row r="470" spans="17:76">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row>
    <row r="471" spans="17:76">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row>
    <row r="472" spans="17:76">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row>
    <row r="473" spans="17:76">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row>
    <row r="474" spans="17:76">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row>
    <row r="475" spans="17:76">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row>
    <row r="476" spans="17:76">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row>
    <row r="477" spans="17:76">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row>
    <row r="478" spans="17:76">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row>
    <row r="479" spans="17:76">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row>
    <row r="480" spans="17:76">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row>
    <row r="481" spans="47:76">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row>
    <row r="482" spans="47:76">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row>
    <row r="483" spans="47:76">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row>
    <row r="484" spans="47:76">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row>
    <row r="485" spans="47:76">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row>
    <row r="486" spans="47:76">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row>
    <row r="487" spans="47:76">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row>
    <row r="488" spans="47:76">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row>
    <row r="489" spans="47:76">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row>
    <row r="490" spans="47:76">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row>
    <row r="491" spans="47:76">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row>
    <row r="492" spans="47:76">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row>
    <row r="493" spans="47:76">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row>
    <row r="494" spans="47:76">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row>
    <row r="495" spans="47:76">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row>
    <row r="496" spans="47:76">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row>
    <row r="497" spans="47:76">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row>
    <row r="498" spans="47:76">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row>
    <row r="499" spans="47:76">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row>
    <row r="500" spans="47:76">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row>
    <row r="501" spans="47:76">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row>
    <row r="502" spans="47:76">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row>
    <row r="503" spans="47:76">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row>
    <row r="504" spans="47:76">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row>
    <row r="505" spans="47:76">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row>
    <row r="506" spans="47:76">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row>
    <row r="507" spans="47:76">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row>
    <row r="508" spans="47:76">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row>
    <row r="509" spans="47:76">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row>
    <row r="510" spans="47:76">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row>
    <row r="511" spans="47:76">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row>
    <row r="512" spans="47:76">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row>
    <row r="513" spans="47:76">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row>
    <row r="514" spans="47:76">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row>
    <row r="515" spans="47:76">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row>
    <row r="516" spans="47:76">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row>
    <row r="517" spans="47:76">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row>
    <row r="518" spans="47:76">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row>
    <row r="519" spans="47:76">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row>
    <row r="520" spans="47:76">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row>
    <row r="521" spans="47:76">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row>
    <row r="522" spans="47:76">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row>
    <row r="523" spans="47:76">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row>
    <row r="524" spans="47:76">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row>
    <row r="525" spans="47:76">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row>
    <row r="526" spans="47:76">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row>
    <row r="527" spans="47:76">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row>
    <row r="528" spans="47:76">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row>
    <row r="529" spans="47:76">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row>
    <row r="530" spans="47:76">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row>
    <row r="531" spans="47:76">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row>
    <row r="532" spans="47:76">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row>
    <row r="533" spans="47:76">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row>
    <row r="534" spans="47:76">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row>
    <row r="535" spans="47:76">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row>
    <row r="536" spans="47:76">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row>
    <row r="537" spans="47:76">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row>
    <row r="538" spans="47:76">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row>
    <row r="539" spans="47:76">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row>
    <row r="540" spans="47:76">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row>
    <row r="541" spans="47:76">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row>
    <row r="542" spans="47:76">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row>
    <row r="543" spans="47:76">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row>
    <row r="544" spans="47:76">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row>
    <row r="545" spans="47:76">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row>
    <row r="546" spans="47:76">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row>
    <row r="547" spans="47:76">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row>
    <row r="548" spans="47:76">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row>
    <row r="549" spans="47:76">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row>
    <row r="550" spans="47:76">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row>
    <row r="551" spans="47:76">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row>
    <row r="552" spans="47:76">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row>
    <row r="553" spans="47:76">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row>
    <row r="554" spans="47:76">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row>
    <row r="555" spans="47:76">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row>
    <row r="556" spans="47:76">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row>
    <row r="557" spans="47:76">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row>
    <row r="558" spans="47:76">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row>
    <row r="559" spans="47:76">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row>
    <row r="560" spans="47:76">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row>
    <row r="561" spans="47:76">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row>
    <row r="562" spans="47:76">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row>
    <row r="563" spans="47:76">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row>
    <row r="564" spans="47:76">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row>
    <row r="565" spans="47:76">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row>
    <row r="566" spans="47:76">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row>
    <row r="567" spans="47:76">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row>
    <row r="568" spans="47:76">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row>
    <row r="569" spans="47:76">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row>
    <row r="570" spans="47:76">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row>
    <row r="571" spans="47:76">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row>
    <row r="572" spans="47:76">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row>
    <row r="573" spans="47:76">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row>
    <row r="574" spans="47:76">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row>
    <row r="575" spans="47:76">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row>
    <row r="576" spans="47:76">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row>
    <row r="577" spans="47:76">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row>
    <row r="578" spans="47:76">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row>
    <row r="579" spans="47:76">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row>
    <row r="580" spans="47:76">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row>
    <row r="581" spans="47:76">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row>
    <row r="582" spans="47:76">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row>
    <row r="583" spans="47:76">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row>
    <row r="584" spans="47:76">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row>
  </sheetData>
  <sheetProtection algorithmName="SHA-512" hashValue="RFXF/i4AA522PIhy4ceKPoAn0+vW8E3I2rhhCJQ2ceq5n0WFQ8Bi+4+S3jmpCgU2unETIdlygtwTo3FagMFKjg==" saltValue="atdI0DC8crCvl2Rd2LNB3A==" spinCount="100000" sheet="1" objects="1" scenarios="1" selectLockedCells="1"/>
  <mergeCells count="134">
    <mergeCell ref="S90:T91"/>
    <mergeCell ref="C93:D93"/>
    <mergeCell ref="E93:F93"/>
    <mergeCell ref="G93:H93"/>
    <mergeCell ref="C94:D94"/>
    <mergeCell ref="E94:F94"/>
    <mergeCell ref="G94:H94"/>
    <mergeCell ref="M90:N91"/>
    <mergeCell ref="O90:P91"/>
    <mergeCell ref="Q90:R91"/>
    <mergeCell ref="C123:D123"/>
    <mergeCell ref="C124:D124"/>
    <mergeCell ref="C8:D8"/>
    <mergeCell ref="C9:D9"/>
    <mergeCell ref="E8:F8"/>
    <mergeCell ref="G8:H8"/>
    <mergeCell ref="Q15:R15"/>
    <mergeCell ref="Q16:R16"/>
    <mergeCell ref="Q17:R17"/>
    <mergeCell ref="Q18:R18"/>
    <mergeCell ref="Q19:R19"/>
    <mergeCell ref="Q20:R20"/>
    <mergeCell ref="Q21:R21"/>
    <mergeCell ref="Q22:R22"/>
    <mergeCell ref="G29:H29"/>
    <mergeCell ref="G30:H30"/>
    <mergeCell ref="G31:H31"/>
    <mergeCell ref="G15:I15"/>
    <mergeCell ref="O76:P76"/>
    <mergeCell ref="Q76:R76"/>
    <mergeCell ref="Q88:R89"/>
    <mergeCell ref="L98:T106"/>
    <mergeCell ref="Q84:R84"/>
    <mergeCell ref="L97:M97"/>
    <mergeCell ref="Q86:R87"/>
    <mergeCell ref="AC13:AD13"/>
    <mergeCell ref="B72:Q72"/>
    <mergeCell ref="B53:D53"/>
    <mergeCell ref="E26:F26"/>
    <mergeCell ref="E27:F27"/>
    <mergeCell ref="E28:F28"/>
    <mergeCell ref="E29:F29"/>
    <mergeCell ref="E30:F30"/>
    <mergeCell ref="E31:F31"/>
    <mergeCell ref="E32:F32"/>
    <mergeCell ref="L64:N64"/>
    <mergeCell ref="L55:T63"/>
    <mergeCell ref="L65:T65"/>
    <mergeCell ref="C49:D49"/>
    <mergeCell ref="C50:D50"/>
    <mergeCell ref="E49:F49"/>
    <mergeCell ref="E50:F50"/>
    <mergeCell ref="G49:H49"/>
    <mergeCell ref="G50:H50"/>
    <mergeCell ref="G26:H26"/>
    <mergeCell ref="G27:H27"/>
    <mergeCell ref="G28:H28"/>
    <mergeCell ref="G21:I21"/>
    <mergeCell ref="C86:L87"/>
    <mergeCell ref="C88:L89"/>
    <mergeCell ref="M85:N85"/>
    <mergeCell ref="O85:P85"/>
    <mergeCell ref="O86:P87"/>
    <mergeCell ref="O88:P89"/>
    <mergeCell ref="C77:L78"/>
    <mergeCell ref="O77:P78"/>
    <mergeCell ref="M79:N80"/>
    <mergeCell ref="M83:N83"/>
    <mergeCell ref="O83:P83"/>
    <mergeCell ref="O84:P84"/>
    <mergeCell ref="C81:L82"/>
    <mergeCell ref="M81:N82"/>
    <mergeCell ref="B1:I1"/>
    <mergeCell ref="B73:M73"/>
    <mergeCell ref="B74:M74"/>
    <mergeCell ref="S76:T76"/>
    <mergeCell ref="C79:L80"/>
    <mergeCell ref="S77:T78"/>
    <mergeCell ref="S83:T83"/>
    <mergeCell ref="S84:T84"/>
    <mergeCell ref="Q14:R14"/>
    <mergeCell ref="E25:F25"/>
    <mergeCell ref="S81:T82"/>
    <mergeCell ref="Q75:R75"/>
    <mergeCell ref="G9:H9"/>
    <mergeCell ref="E9:F9"/>
    <mergeCell ref="C55:J65"/>
    <mergeCell ref="M76:N76"/>
    <mergeCell ref="C75:L75"/>
    <mergeCell ref="C76:L76"/>
    <mergeCell ref="B68:T69"/>
    <mergeCell ref="G14:I14"/>
    <mergeCell ref="G16:I16"/>
    <mergeCell ref="G17:I17"/>
    <mergeCell ref="G18:I18"/>
    <mergeCell ref="G22:I22"/>
    <mergeCell ref="S75:T75"/>
    <mergeCell ref="M75:N75"/>
    <mergeCell ref="O75:P75"/>
    <mergeCell ref="S79:T80"/>
    <mergeCell ref="Q83:R83"/>
    <mergeCell ref="N22:P22"/>
    <mergeCell ref="G25:H25"/>
    <mergeCell ref="Q79:R80"/>
    <mergeCell ref="O79:P80"/>
    <mergeCell ref="O81:P82"/>
    <mergeCell ref="Q81:R82"/>
    <mergeCell ref="M77:N78"/>
    <mergeCell ref="Q77:R78"/>
    <mergeCell ref="G32:H32"/>
    <mergeCell ref="L108:T108"/>
    <mergeCell ref="C98:J108"/>
    <mergeCell ref="L128:T136"/>
    <mergeCell ref="L138:T138"/>
    <mergeCell ref="C128:J138"/>
    <mergeCell ref="M84:N84"/>
    <mergeCell ref="M88:N89"/>
    <mergeCell ref="M86:N87"/>
    <mergeCell ref="C83:L84"/>
    <mergeCell ref="C85:L85"/>
    <mergeCell ref="C90:L91"/>
    <mergeCell ref="L137:N137"/>
    <mergeCell ref="C127:E127"/>
    <mergeCell ref="L127:M127"/>
    <mergeCell ref="E123:F123"/>
    <mergeCell ref="E124:F124"/>
    <mergeCell ref="G123:H123"/>
    <mergeCell ref="G124:H124"/>
    <mergeCell ref="L107:N107"/>
    <mergeCell ref="B110:F111"/>
    <mergeCell ref="S85:T85"/>
    <mergeCell ref="S86:T87"/>
    <mergeCell ref="S88:T89"/>
    <mergeCell ref="Q85:R85"/>
  </mergeCells>
  <conditionalFormatting sqref="A2:A3">
    <cfRule type="cellIs" dxfId="201" priority="12" operator="equal">
      <formula>"In Progress"</formula>
    </cfRule>
    <cfRule type="cellIs" dxfId="200" priority="13" operator="equal">
      <formula>"Not Started"</formula>
    </cfRule>
    <cfRule type="cellIs" dxfId="199" priority="14" operator="equal">
      <formula>"Completed"</formula>
    </cfRule>
  </conditionalFormatting>
  <dataValidations count="2">
    <dataValidation type="list" allowBlank="1" showInputMessage="1" showErrorMessage="1" sqref="O83:T84 O86:T87 H113 O77:T80" xr:uid="{77C2C48B-4A8D-47D5-8BEF-D3D2514AC4A7}">
      <formula1>YesNo</formula1>
    </dataValidation>
    <dataValidation type="custom" allowBlank="1" showInputMessage="1" showErrorMessage="1" sqref="P1" xr:uid="{BF0D3A3C-3111-4AF5-870F-D3B92270E6A8}">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rowBreaks count="1" manualBreakCount="1">
    <brk id="95" max="21"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908BFA69-BFB4-462E-8AE8-C3A9298BB758}">
            <xm:f>NOT('21. Location Score'!#REF!)</xm:f>
            <x14:dxf>
              <font>
                <b/>
                <i val="0"/>
                <strike val="0"/>
                <color rgb="FFC00000"/>
              </font>
            </x14:dxf>
          </x14:cfRule>
          <xm:sqref>B113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2D4D-84BB-40D7-A66C-89DAB83B9C0D}">
  <sheetPr codeName="Sheet50">
    <pageSetUpPr fitToPage="1"/>
  </sheetPr>
  <dimension ref="A1:P66"/>
  <sheetViews>
    <sheetView workbookViewId="0">
      <selection activeCell="B9" sqref="B9"/>
    </sheetView>
  </sheetViews>
  <sheetFormatPr defaultColWidth="8.85546875" defaultRowHeight="15"/>
  <cols>
    <col min="1" max="1" width="6.85546875" style="3" customWidth="1"/>
    <col min="2" max="2" width="16.7109375" style="3" customWidth="1"/>
    <col min="3" max="3" width="10.140625" style="3" customWidth="1"/>
    <col min="4" max="4" width="28.140625" style="3" customWidth="1"/>
    <col min="5" max="5" width="25.28515625" style="3" bestFit="1" customWidth="1"/>
    <col min="6" max="10" width="8.85546875" style="3"/>
    <col min="11" max="11" width="51.42578125" style="3" customWidth="1"/>
    <col min="12" max="15" width="8.85546875" style="3"/>
    <col min="16" max="16" width="9.140625" style="3" customWidth="1"/>
    <col min="17" max="16384" width="8.85546875" style="3"/>
  </cols>
  <sheetData>
    <row r="1" spans="1:16" ht="28.5">
      <c r="B1" s="4" t="str">
        <f>'1. TOC'!B1</f>
        <v>WHEDA 2025 Multifamily Application</v>
      </c>
      <c r="G1" s="115" t="str">
        <f>'1. TOC'!L1</f>
        <v>v25.1.12</v>
      </c>
      <c r="J1" s="947" t="str">
        <f>HYPERLINK("#Table_of_Contents", Table_of_Contents)</f>
        <v>Table of Contents</v>
      </c>
      <c r="K1"/>
      <c r="M1"/>
    </row>
    <row r="2" spans="1:16" s="861" customFormat="1" ht="21">
      <c r="B2" s="886" t="str">
        <f>_xlfn.CONCAT(IF(ISBLANK(WHEDA_Project_Number),"",_xlfn.CONCAT(WHEDA_Project_Number," - ")), Project_Name, IF(ISBLANK(Credit_percentage_applied_for),"",_xlfn.CONCAT(" - ", Credit_percentage_applied_for," HTC")))</f>
        <v/>
      </c>
      <c r="C2" s="841"/>
      <c r="D2" s="841"/>
      <c r="E2" s="841"/>
      <c r="F2" s="841"/>
      <c r="G2" s="841"/>
      <c r="H2" s="841"/>
      <c r="I2" s="841"/>
      <c r="J2" s="841"/>
      <c r="K2" s="841"/>
      <c r="L2" s="841"/>
      <c r="M2" s="841"/>
      <c r="N2" s="841"/>
    </row>
    <row r="3" spans="1:16">
      <c r="C3" s="896"/>
      <c r="D3" s="896"/>
      <c r="E3" s="896"/>
      <c r="F3" s="896"/>
      <c r="G3" s="896"/>
      <c r="H3" s="896"/>
      <c r="I3" s="896"/>
      <c r="J3" s="896"/>
      <c r="K3" s="896"/>
      <c r="L3" s="896"/>
      <c r="M3" s="896"/>
      <c r="N3" s="896"/>
    </row>
    <row r="4" spans="1:16" ht="28.5">
      <c r="B4" s="4" t="s">
        <v>3481</v>
      </c>
      <c r="C4" s="773"/>
      <c r="D4" s="773"/>
      <c r="E4" s="773"/>
      <c r="F4" s="773"/>
      <c r="G4" s="773"/>
      <c r="H4" s="773"/>
      <c r="I4" s="773"/>
      <c r="J4" s="773"/>
      <c r="K4" s="773"/>
      <c r="L4" s="773"/>
      <c r="M4" s="774"/>
      <c r="P4" s="17"/>
    </row>
    <row r="5" spans="1:16" ht="15.75" thickBot="1"/>
    <row r="6" spans="1:16" ht="18.75">
      <c r="A6" s="98"/>
      <c r="B6" s="2662" t="s">
        <v>5444</v>
      </c>
      <c r="C6" s="2662" t="s">
        <v>5445</v>
      </c>
      <c r="D6" s="2658" t="s">
        <v>5446</v>
      </c>
      <c r="E6" s="2662" t="s">
        <v>5003</v>
      </c>
      <c r="F6" s="2663"/>
      <c r="G6" s="2663"/>
      <c r="H6" s="2663"/>
      <c r="I6" s="2663"/>
      <c r="J6" s="2663"/>
      <c r="K6" s="2663"/>
      <c r="L6" s="2663"/>
      <c r="M6" s="2663"/>
      <c r="N6" s="2664"/>
    </row>
    <row r="7" spans="1:16" ht="16.5" thickBot="1">
      <c r="A7" s="238"/>
      <c r="B7" s="2665"/>
      <c r="C7" s="2665"/>
      <c r="D7" s="2659"/>
      <c r="E7" s="2665"/>
      <c r="F7" s="2666"/>
      <c r="G7" s="2666"/>
      <c r="H7" s="2666"/>
      <c r="I7" s="2666"/>
      <c r="J7" s="2666"/>
      <c r="K7" s="2666"/>
      <c r="L7" s="2666"/>
      <c r="M7" s="2666"/>
      <c r="N7" s="2667"/>
    </row>
    <row r="8" spans="1:16" ht="30" customHeight="1">
      <c r="A8" s="238"/>
      <c r="B8" s="609">
        <f>+IF(Total_Units&gt;24,2000,1000)</f>
        <v>1000</v>
      </c>
      <c r="C8" s="610">
        <v>1</v>
      </c>
      <c r="D8" s="611" t="s">
        <v>5447</v>
      </c>
      <c r="E8" s="2668" t="s">
        <v>5448</v>
      </c>
      <c r="F8" s="2668"/>
      <c r="G8" s="2668"/>
      <c r="H8" s="2668"/>
      <c r="I8" s="2668"/>
      <c r="J8" s="2668"/>
      <c r="K8" s="2668"/>
      <c r="L8" s="2668"/>
      <c r="M8" s="2668"/>
      <c r="N8" s="2669"/>
    </row>
    <row r="9" spans="1:16" ht="15.75">
      <c r="A9" s="238"/>
      <c r="B9" s="620"/>
      <c r="C9" s="606">
        <f>C8+1</f>
        <v>2</v>
      </c>
      <c r="D9" s="607" t="s">
        <v>5449</v>
      </c>
      <c r="E9" s="2656" t="s">
        <v>5450</v>
      </c>
      <c r="F9" s="2656"/>
      <c r="G9" s="2656"/>
      <c r="H9" s="2656"/>
      <c r="I9" s="2656"/>
      <c r="J9" s="2656"/>
      <c r="K9" s="2656"/>
      <c r="L9" s="2656"/>
      <c r="M9" s="2656"/>
      <c r="N9" s="2657"/>
    </row>
    <row r="10" spans="1:16" ht="30" customHeight="1">
      <c r="A10" s="239"/>
      <c r="B10" s="620"/>
      <c r="C10" s="606">
        <f t="shared" ref="C10:C24" si="0">C9+1</f>
        <v>3</v>
      </c>
      <c r="D10" s="608" t="s">
        <v>5451</v>
      </c>
      <c r="E10" s="2656" t="s">
        <v>5452</v>
      </c>
      <c r="F10" s="2656"/>
      <c r="G10" s="2656"/>
      <c r="H10" s="2656"/>
      <c r="I10" s="2656"/>
      <c r="J10" s="2656"/>
      <c r="K10" s="2656"/>
      <c r="L10" s="2656"/>
      <c r="M10" s="2656"/>
      <c r="N10" s="2657"/>
    </row>
    <row r="11" spans="1:16" ht="60" customHeight="1">
      <c r="A11" s="239"/>
      <c r="B11" s="620"/>
      <c r="C11" s="606">
        <f t="shared" si="0"/>
        <v>4</v>
      </c>
      <c r="D11" s="608" t="s">
        <v>775</v>
      </c>
      <c r="E11" s="2656" t="s">
        <v>5453</v>
      </c>
      <c r="F11" s="2656"/>
      <c r="G11" s="2656"/>
      <c r="H11" s="2656"/>
      <c r="I11" s="2656"/>
      <c r="J11" s="2656"/>
      <c r="K11" s="2656"/>
      <c r="L11" s="2656"/>
      <c r="M11" s="2656"/>
      <c r="N11" s="2657"/>
    </row>
    <row r="12" spans="1:16" ht="30" customHeight="1">
      <c r="A12" s="239"/>
      <c r="B12" s="620"/>
      <c r="C12" s="606">
        <f t="shared" si="0"/>
        <v>5</v>
      </c>
      <c r="D12" s="608" t="s">
        <v>777</v>
      </c>
      <c r="E12" s="2656" t="s">
        <v>5454</v>
      </c>
      <c r="F12" s="2656"/>
      <c r="G12" s="2656"/>
      <c r="H12" s="2656"/>
      <c r="I12" s="2656"/>
      <c r="J12" s="2656"/>
      <c r="K12" s="2656"/>
      <c r="L12" s="2656"/>
      <c r="M12" s="2656"/>
      <c r="N12" s="2657"/>
    </row>
    <row r="13" spans="1:16" ht="69.75" customHeight="1">
      <c r="A13" s="239"/>
      <c r="B13" s="620"/>
      <c r="C13" s="606">
        <f t="shared" si="0"/>
        <v>6</v>
      </c>
      <c r="D13" s="607" t="s">
        <v>5455</v>
      </c>
      <c r="E13" s="2670" t="s">
        <v>5456</v>
      </c>
      <c r="F13" s="2671"/>
      <c r="G13" s="2671"/>
      <c r="H13" s="2671"/>
      <c r="I13" s="2671"/>
      <c r="J13" s="2671"/>
      <c r="K13" s="2671"/>
      <c r="L13" s="2671"/>
      <c r="M13" s="2671"/>
      <c r="N13" s="2672"/>
    </row>
    <row r="14" spans="1:16" ht="30" customHeight="1">
      <c r="A14" s="239"/>
      <c r="B14" s="620"/>
      <c r="C14" s="606">
        <f t="shared" si="0"/>
        <v>7</v>
      </c>
      <c r="D14" s="608" t="s">
        <v>5457</v>
      </c>
      <c r="E14" s="2656" t="s">
        <v>5458</v>
      </c>
      <c r="F14" s="2656"/>
      <c r="G14" s="2656"/>
      <c r="H14" s="2656"/>
      <c r="I14" s="2656"/>
      <c r="J14" s="2656"/>
      <c r="K14" s="2656"/>
      <c r="L14" s="2656"/>
      <c r="M14" s="2656"/>
      <c r="N14" s="2657"/>
    </row>
    <row r="15" spans="1:16" ht="31.5" customHeight="1">
      <c r="A15" s="239"/>
      <c r="B15" s="620"/>
      <c r="C15" s="606">
        <f t="shared" si="0"/>
        <v>8</v>
      </c>
      <c r="D15" s="608" t="s">
        <v>5459</v>
      </c>
      <c r="E15" s="2656" t="s">
        <v>5460</v>
      </c>
      <c r="F15" s="2656"/>
      <c r="G15" s="2656"/>
      <c r="H15" s="2656"/>
      <c r="I15" s="2656"/>
      <c r="J15" s="2656"/>
      <c r="K15" s="2656"/>
      <c r="L15" s="2656"/>
      <c r="M15" s="2656"/>
      <c r="N15" s="2657"/>
    </row>
    <row r="16" spans="1:16" ht="44.45" customHeight="1">
      <c r="A16" s="239"/>
      <c r="B16" s="620"/>
      <c r="C16" s="606">
        <f t="shared" si="0"/>
        <v>9</v>
      </c>
      <c r="D16" s="608" t="s">
        <v>5461</v>
      </c>
      <c r="E16" s="2656" t="s">
        <v>5462</v>
      </c>
      <c r="F16" s="2656"/>
      <c r="G16" s="2656"/>
      <c r="H16" s="2656"/>
      <c r="I16" s="2656"/>
      <c r="J16" s="2656"/>
      <c r="K16" s="2656"/>
      <c r="L16" s="2656"/>
      <c r="M16" s="2656"/>
      <c r="N16" s="2657"/>
    </row>
    <row r="17" spans="1:14" ht="44.45" customHeight="1">
      <c r="A17" s="239"/>
      <c r="B17" s="620"/>
      <c r="C17" s="606">
        <f t="shared" si="0"/>
        <v>10</v>
      </c>
      <c r="D17" s="608" t="s">
        <v>5463</v>
      </c>
      <c r="E17" s="2656" t="s">
        <v>5464</v>
      </c>
      <c r="F17" s="2656"/>
      <c r="G17" s="2656"/>
      <c r="H17" s="2656"/>
      <c r="I17" s="2656"/>
      <c r="J17" s="2656"/>
      <c r="K17" s="2656"/>
      <c r="L17" s="2656"/>
      <c r="M17" s="2656"/>
      <c r="N17" s="2657"/>
    </row>
    <row r="18" spans="1:14">
      <c r="A18" s="239"/>
      <c r="B18" s="620"/>
      <c r="C18" s="606">
        <f t="shared" si="0"/>
        <v>11</v>
      </c>
      <c r="D18" s="608" t="s">
        <v>3496</v>
      </c>
      <c r="E18" s="2656" t="str">
        <f>CONCATENATE("Evidence that the proposed Management Agent has been approved through WHEDA's Management Agent Certification process for the ", Tax_Credit_Year, " Cycle.")</f>
        <v>Evidence that the proposed Management Agent has been approved through WHEDA's Management Agent Certification process for the 2025 Cycle.</v>
      </c>
      <c r="F18" s="2656"/>
      <c r="G18" s="2656"/>
      <c r="H18" s="2656"/>
      <c r="I18" s="2656"/>
      <c r="J18" s="2656"/>
      <c r="K18" s="2656"/>
      <c r="L18" s="2656"/>
      <c r="M18" s="2656"/>
      <c r="N18" s="2657"/>
    </row>
    <row r="19" spans="1:14" ht="68.25" customHeight="1">
      <c r="A19" s="239"/>
      <c r="B19" s="620"/>
      <c r="C19" s="606">
        <f t="shared" si="0"/>
        <v>12</v>
      </c>
      <c r="D19" s="608" t="s">
        <v>5465</v>
      </c>
      <c r="E19" s="2656" t="s">
        <v>5466</v>
      </c>
      <c r="F19" s="2656"/>
      <c r="G19" s="2656"/>
      <c r="H19" s="2656"/>
      <c r="I19" s="2656"/>
      <c r="J19" s="2656"/>
      <c r="K19" s="2656"/>
      <c r="L19" s="2656"/>
      <c r="M19" s="2656"/>
      <c r="N19" s="2657"/>
    </row>
    <row r="20" spans="1:14" ht="30" customHeight="1">
      <c r="A20" s="239"/>
      <c r="B20" s="620"/>
      <c r="C20" s="606">
        <f t="shared" si="0"/>
        <v>13</v>
      </c>
      <c r="D20" s="608" t="s">
        <v>5467</v>
      </c>
      <c r="E20" s="2656" t="s">
        <v>5468</v>
      </c>
      <c r="F20" s="2656"/>
      <c r="G20" s="2656"/>
      <c r="H20" s="2656"/>
      <c r="I20" s="2656"/>
      <c r="J20" s="2656"/>
      <c r="K20" s="2656"/>
      <c r="L20" s="2656"/>
      <c r="M20" s="2656"/>
      <c r="N20" s="2657"/>
    </row>
    <row r="21" spans="1:14" ht="46.15" customHeight="1">
      <c r="A21" s="239"/>
      <c r="B21" s="620"/>
      <c r="C21" s="606">
        <f t="shared" si="0"/>
        <v>14</v>
      </c>
      <c r="D21" s="608" t="s">
        <v>3265</v>
      </c>
      <c r="E21" s="2656" t="s">
        <v>5469</v>
      </c>
      <c r="F21" s="2656"/>
      <c r="G21" s="2656"/>
      <c r="H21" s="2656"/>
      <c r="I21" s="2656"/>
      <c r="J21" s="2656"/>
      <c r="K21" s="2656"/>
      <c r="L21" s="2656"/>
      <c r="M21" s="2656"/>
      <c r="N21" s="2657"/>
    </row>
    <row r="22" spans="1:14" ht="197.25" customHeight="1">
      <c r="A22" s="239"/>
      <c r="B22" s="620"/>
      <c r="C22" s="606">
        <f t="shared" si="0"/>
        <v>15</v>
      </c>
      <c r="D22" s="608" t="s">
        <v>5385</v>
      </c>
      <c r="E22" s="2660" t="s">
        <v>5470</v>
      </c>
      <c r="F22" s="2660"/>
      <c r="G22" s="2660"/>
      <c r="H22" s="2660"/>
      <c r="I22" s="2660"/>
      <c r="J22" s="2660"/>
      <c r="K22" s="2660"/>
      <c r="L22" s="2660"/>
      <c r="M22" s="2660"/>
      <c r="N22" s="2661"/>
    </row>
    <row r="23" spans="1:14" ht="76.900000000000006" customHeight="1">
      <c r="A23" s="239"/>
      <c r="B23" s="620"/>
      <c r="C23" s="606">
        <f t="shared" si="0"/>
        <v>16</v>
      </c>
      <c r="D23" s="608" t="s">
        <v>5471</v>
      </c>
      <c r="E23" s="2676" t="s">
        <v>5472</v>
      </c>
      <c r="F23" s="2677"/>
      <c r="G23" s="2677"/>
      <c r="H23" s="2677"/>
      <c r="I23" s="2677"/>
      <c r="J23" s="2677"/>
      <c r="K23" s="2677"/>
      <c r="L23" s="2677"/>
      <c r="M23" s="2677"/>
      <c r="N23" s="2678"/>
    </row>
    <row r="24" spans="1:14">
      <c r="A24" s="239"/>
      <c r="B24" s="620"/>
      <c r="C24" s="606">
        <f t="shared" si="0"/>
        <v>17</v>
      </c>
      <c r="D24" s="608" t="s">
        <v>5473</v>
      </c>
      <c r="E24" s="2656" t="s">
        <v>5474</v>
      </c>
      <c r="F24" s="2656"/>
      <c r="G24" s="2656"/>
      <c r="H24" s="2656"/>
      <c r="I24" s="2656"/>
      <c r="J24" s="2656"/>
      <c r="K24" s="2656"/>
      <c r="L24" s="2656"/>
      <c r="M24" s="2656"/>
      <c r="N24" s="2657"/>
    </row>
    <row r="25" spans="1:14">
      <c r="A25" s="239"/>
      <c r="B25" s="2673" t="s">
        <v>5475</v>
      </c>
      <c r="C25" s="2674"/>
      <c r="D25" s="2674"/>
      <c r="E25" s="2674"/>
      <c r="F25" s="2674"/>
      <c r="G25" s="2674"/>
      <c r="H25" s="2674"/>
      <c r="I25" s="2674"/>
      <c r="J25" s="2674"/>
      <c r="K25" s="2674"/>
      <c r="L25" s="2674"/>
      <c r="M25" s="2674"/>
      <c r="N25" s="2675"/>
    </row>
    <row r="26" spans="1:14" ht="30.75" customHeight="1">
      <c r="A26" s="239"/>
      <c r="B26" s="620"/>
      <c r="C26" s="606">
        <f>C24+1</f>
        <v>18</v>
      </c>
      <c r="D26" s="608" t="s">
        <v>5476</v>
      </c>
      <c r="E26" s="2656" t="s">
        <v>5477</v>
      </c>
      <c r="F26" s="2656"/>
      <c r="G26" s="2656"/>
      <c r="H26" s="2656"/>
      <c r="I26" s="2656"/>
      <c r="J26" s="2656"/>
      <c r="K26" s="2656"/>
      <c r="L26" s="2656"/>
      <c r="M26" s="2656"/>
      <c r="N26" s="2657"/>
    </row>
    <row r="27" spans="1:14" ht="32.25" customHeight="1">
      <c r="A27" s="239"/>
      <c r="B27" s="620"/>
      <c r="C27" s="606">
        <f>C26+1</f>
        <v>19</v>
      </c>
      <c r="D27" s="608" t="s">
        <v>5478</v>
      </c>
      <c r="E27" s="2656" t="s">
        <v>5479</v>
      </c>
      <c r="F27" s="2656"/>
      <c r="G27" s="2656"/>
      <c r="H27" s="2656"/>
      <c r="I27" s="2656"/>
      <c r="J27" s="2656"/>
      <c r="K27" s="2656"/>
      <c r="L27" s="2656"/>
      <c r="M27" s="2656"/>
      <c r="N27" s="2657"/>
    </row>
    <row r="28" spans="1:14" ht="31.5" customHeight="1">
      <c r="A28" s="239"/>
      <c r="B28" s="620"/>
      <c r="C28" s="606">
        <f t="shared" ref="C28:C31" si="1">C27+1</f>
        <v>20</v>
      </c>
      <c r="D28" s="608" t="s">
        <v>5480</v>
      </c>
      <c r="E28" s="2656" t="s">
        <v>5481</v>
      </c>
      <c r="F28" s="2656"/>
      <c r="G28" s="2656"/>
      <c r="H28" s="2656"/>
      <c r="I28" s="2656"/>
      <c r="J28" s="2656"/>
      <c r="K28" s="2656"/>
      <c r="L28" s="2656"/>
      <c r="M28" s="2656"/>
      <c r="N28" s="2657"/>
    </row>
    <row r="29" spans="1:14" ht="63.75" customHeight="1">
      <c r="A29" s="239"/>
      <c r="B29" s="620"/>
      <c r="C29" s="606">
        <f t="shared" si="1"/>
        <v>21</v>
      </c>
      <c r="D29" s="608" t="s">
        <v>5482</v>
      </c>
      <c r="E29" s="2656" t="s">
        <v>5483</v>
      </c>
      <c r="F29" s="2656"/>
      <c r="G29" s="2656"/>
      <c r="H29" s="2656"/>
      <c r="I29" s="2656"/>
      <c r="J29" s="2656"/>
      <c r="K29" s="2656"/>
      <c r="L29" s="2656"/>
      <c r="M29" s="2656"/>
      <c r="N29" s="2657"/>
    </row>
    <row r="30" spans="1:14">
      <c r="A30" s="239"/>
      <c r="B30" s="620"/>
      <c r="C30" s="606">
        <f t="shared" si="1"/>
        <v>22</v>
      </c>
      <c r="D30" s="608" t="s">
        <v>5484</v>
      </c>
      <c r="E30" s="2681" t="s">
        <v>5485</v>
      </c>
      <c r="F30" s="2681"/>
      <c r="G30" s="2681"/>
      <c r="H30" s="2681"/>
      <c r="I30" s="2681"/>
      <c r="J30" s="2681"/>
      <c r="K30" s="2681"/>
      <c r="L30" s="2681"/>
      <c r="M30" s="2681"/>
      <c r="N30" s="2682"/>
    </row>
    <row r="31" spans="1:14">
      <c r="A31" s="239"/>
      <c r="B31" s="622"/>
      <c r="C31" s="606">
        <f t="shared" si="1"/>
        <v>23</v>
      </c>
      <c r="D31" s="613" t="s">
        <v>1594</v>
      </c>
      <c r="E31" s="2681" t="s">
        <v>5486</v>
      </c>
      <c r="F31" s="2681"/>
      <c r="G31" s="2681"/>
      <c r="H31" s="2681"/>
      <c r="I31" s="2681"/>
      <c r="J31" s="2681"/>
      <c r="K31" s="2681"/>
      <c r="L31" s="2681"/>
      <c r="M31" s="2681"/>
      <c r="N31" s="2682"/>
    </row>
    <row r="32" spans="1:14">
      <c r="A32" s="239"/>
      <c r="B32" s="2683" t="s">
        <v>5487</v>
      </c>
      <c r="C32" s="2684"/>
      <c r="D32" s="2684"/>
      <c r="E32" s="2684"/>
      <c r="F32" s="2684"/>
      <c r="G32" s="2684"/>
      <c r="H32" s="2684"/>
      <c r="I32" s="2684"/>
      <c r="J32" s="2684"/>
      <c r="K32" s="2684"/>
      <c r="L32" s="2684"/>
      <c r="M32" s="2684"/>
      <c r="N32" s="2685"/>
    </row>
    <row r="33" spans="1:14" ht="45.75" customHeight="1">
      <c r="A33" s="239"/>
      <c r="B33" s="620"/>
      <c r="C33" s="606">
        <f>C31+1</f>
        <v>24</v>
      </c>
      <c r="D33" s="608" t="s">
        <v>5488</v>
      </c>
      <c r="E33" s="2656" t="s">
        <v>5489</v>
      </c>
      <c r="F33" s="2656"/>
      <c r="G33" s="2656"/>
      <c r="H33" s="2656"/>
      <c r="I33" s="2656"/>
      <c r="J33" s="2656"/>
      <c r="K33" s="2656"/>
      <c r="L33" s="2656"/>
      <c r="M33" s="2656"/>
      <c r="N33" s="2657"/>
    </row>
    <row r="34" spans="1:14" ht="31.5" customHeight="1">
      <c r="A34" s="239"/>
      <c r="B34" s="620"/>
      <c r="C34" s="606">
        <f>C33+1</f>
        <v>25</v>
      </c>
      <c r="D34" s="608" t="s">
        <v>5490</v>
      </c>
      <c r="E34" s="2656" t="s">
        <v>5491</v>
      </c>
      <c r="F34" s="2656"/>
      <c r="G34" s="2656"/>
      <c r="H34" s="2656"/>
      <c r="I34" s="2656"/>
      <c r="J34" s="2656"/>
      <c r="K34" s="2656"/>
      <c r="L34" s="2656"/>
      <c r="M34" s="2656"/>
      <c r="N34" s="2657"/>
    </row>
    <row r="35" spans="1:14">
      <c r="A35" s="239"/>
      <c r="B35" s="2683" t="s">
        <v>5492</v>
      </c>
      <c r="C35" s="2684"/>
      <c r="D35" s="2684"/>
      <c r="E35" s="2684"/>
      <c r="F35" s="2684"/>
      <c r="G35" s="2684"/>
      <c r="H35" s="2684"/>
      <c r="I35" s="2684"/>
      <c r="J35" s="2684"/>
      <c r="K35" s="2684"/>
      <c r="L35" s="2684"/>
      <c r="M35" s="2684"/>
      <c r="N35" s="2685"/>
    </row>
    <row r="36" spans="1:14" ht="36.75" customHeight="1">
      <c r="A36" s="239"/>
      <c r="B36" s="621"/>
      <c r="C36" s="634">
        <f>C34+1</f>
        <v>26</v>
      </c>
      <c r="D36" s="612" t="s">
        <v>5493</v>
      </c>
      <c r="E36" s="2656" t="s">
        <v>5494</v>
      </c>
      <c r="F36" s="2656"/>
      <c r="G36" s="2656"/>
      <c r="H36" s="2656"/>
      <c r="I36" s="2656"/>
      <c r="J36" s="2656"/>
      <c r="K36" s="2656"/>
      <c r="L36" s="2656"/>
      <c r="M36" s="2656"/>
      <c r="N36" s="2657"/>
    </row>
    <row r="37" spans="1:14">
      <c r="A37" s="239"/>
      <c r="B37" s="2683" t="s">
        <v>5495</v>
      </c>
      <c r="C37" s="2684"/>
      <c r="D37" s="2684"/>
      <c r="E37" s="2684"/>
      <c r="F37" s="2684"/>
      <c r="G37" s="2684"/>
      <c r="H37" s="2684"/>
      <c r="I37" s="2684"/>
      <c r="J37" s="2684"/>
      <c r="K37" s="2684"/>
      <c r="L37" s="2684"/>
      <c r="M37" s="2684"/>
      <c r="N37" s="2685"/>
    </row>
    <row r="38" spans="1:14">
      <c r="A38" s="239"/>
      <c r="B38" s="622"/>
      <c r="C38" s="1761">
        <f>C36+1</f>
        <v>27</v>
      </c>
      <c r="D38" s="613" t="s">
        <v>5496</v>
      </c>
      <c r="E38" s="2681" t="s">
        <v>5497</v>
      </c>
      <c r="F38" s="2681"/>
      <c r="G38" s="2681"/>
      <c r="H38" s="2681"/>
      <c r="I38" s="2681"/>
      <c r="J38" s="2681"/>
      <c r="K38" s="2681"/>
      <c r="L38" s="2681"/>
      <c r="M38" s="2681"/>
      <c r="N38" s="2682"/>
    </row>
    <row r="39" spans="1:14" ht="15.75" thickBot="1">
      <c r="A39" s="239"/>
      <c r="B39" s="623"/>
      <c r="C39" s="618">
        <f>C38+1</f>
        <v>28</v>
      </c>
      <c r="D39" s="619" t="s">
        <v>5498</v>
      </c>
      <c r="E39" s="2679" t="s">
        <v>5499</v>
      </c>
      <c r="F39" s="2679"/>
      <c r="G39" s="2679"/>
      <c r="H39" s="2679"/>
      <c r="I39" s="2679"/>
      <c r="J39" s="2679"/>
      <c r="K39" s="2679"/>
      <c r="L39" s="2679"/>
      <c r="M39" s="2679"/>
      <c r="N39" s="2680"/>
    </row>
    <row r="40" spans="1:14">
      <c r="A40" s="345"/>
      <c r="B40" s="345"/>
      <c r="C40" s="345"/>
    </row>
    <row r="42" spans="1:14" ht="31.5" customHeight="1"/>
    <row r="43" spans="1:14" ht="33.75" customHeight="1"/>
    <row r="45" spans="1:14" ht="34.5" customHeight="1"/>
    <row r="50" ht="48" customHeight="1"/>
    <row r="51" ht="30" customHeight="1"/>
    <row r="52" ht="48" customHeight="1"/>
    <row r="53" ht="93.75" customHeight="1"/>
    <row r="56" ht="30.75" customHeight="1"/>
    <row r="66" ht="61.5" customHeight="1"/>
  </sheetData>
  <sheetProtection algorithmName="SHA-512" hashValue="ancRdLCR7zDcXWby3NLGdzO8X+4Rgi8PPPJ2w5I0K3kSbPo6HTD2+XqIv5/AKVGrS6nq3E7REiYK1xo8TYoIxw==" saltValue="IXz5zt6BHDDAKfZcqQKl/g==" spinCount="100000" sheet="1" objects="1" scenarios="1" selectLockedCells="1"/>
  <mergeCells count="36">
    <mergeCell ref="E39:N39"/>
    <mergeCell ref="E29:N29"/>
    <mergeCell ref="E36:N36"/>
    <mergeCell ref="E30:N30"/>
    <mergeCell ref="E31:N31"/>
    <mergeCell ref="E34:N34"/>
    <mergeCell ref="E33:N33"/>
    <mergeCell ref="E38:N38"/>
    <mergeCell ref="B37:N37"/>
    <mergeCell ref="B35:N35"/>
    <mergeCell ref="B32:N32"/>
    <mergeCell ref="E28:N28"/>
    <mergeCell ref="E16:N16"/>
    <mergeCell ref="E17:N17"/>
    <mergeCell ref="E13:N13"/>
    <mergeCell ref="C6:C7"/>
    <mergeCell ref="E19:N19"/>
    <mergeCell ref="E27:N27"/>
    <mergeCell ref="E26:N26"/>
    <mergeCell ref="B25:N25"/>
    <mergeCell ref="E14:N14"/>
    <mergeCell ref="E24:N24"/>
    <mergeCell ref="B6:B7"/>
    <mergeCell ref="E15:N15"/>
    <mergeCell ref="E23:N23"/>
    <mergeCell ref="E12:N12"/>
    <mergeCell ref="E18:N18"/>
    <mergeCell ref="E20:N20"/>
    <mergeCell ref="E21:N21"/>
    <mergeCell ref="D6:D7"/>
    <mergeCell ref="E22:N22"/>
    <mergeCell ref="E6:N7"/>
    <mergeCell ref="E8:N8"/>
    <mergeCell ref="E9:N9"/>
    <mergeCell ref="E10:N10"/>
    <mergeCell ref="E11:N11"/>
  </mergeCells>
  <dataValidations count="1">
    <dataValidation type="custom" allowBlank="1" showInputMessage="1" showErrorMessage="1" sqref="B7 J1 B40:C40 A7:A40" xr:uid="{2B9BC633-2FE9-4E99-B8FA-CAEEFA9F2D3E}">
      <formula1>"&lt;0&gt;0"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36C909F-ACDE-4F1F-9809-D74354746B70}">
          <x14:formula1>
            <xm:f>'Dropdown Lists'!$A$6:$A$7</xm:f>
          </x14:formula1>
          <xm:sqref>B9:B24 B33:B34 B36 B26:B31 B38:B39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2EF8-6CCA-444F-8E00-F673D4465F65}">
  <sheetPr codeName="Sheet51">
    <pageSetUpPr fitToPage="1"/>
  </sheetPr>
  <dimension ref="A1:N42"/>
  <sheetViews>
    <sheetView workbookViewId="0">
      <selection activeCell="B7" sqref="B7:B9"/>
    </sheetView>
  </sheetViews>
  <sheetFormatPr defaultColWidth="8.85546875" defaultRowHeight="15"/>
  <cols>
    <col min="1" max="1" width="5.140625" style="3" customWidth="1"/>
    <col min="2" max="2" width="16.7109375" style="3" customWidth="1"/>
    <col min="3" max="3" width="9.5703125" style="3" customWidth="1"/>
    <col min="4" max="4" width="27.28515625" style="3" customWidth="1"/>
    <col min="5" max="5" width="8.85546875" style="3"/>
    <col min="6" max="6" width="9.140625" style="3" customWidth="1"/>
    <col min="7" max="12" width="8.85546875" style="3"/>
    <col min="13" max="13" width="43" style="3" customWidth="1"/>
    <col min="14" max="16384" width="8.85546875" style="3"/>
  </cols>
  <sheetData>
    <row r="1" spans="1:14" ht="28.5">
      <c r="B1" s="4" t="str">
        <f>'1. TOC'!B1</f>
        <v>WHEDA 2025 Multifamily Application</v>
      </c>
      <c r="G1" s="115" t="str">
        <f>'1. TOC'!L1</f>
        <v>v25.1.12</v>
      </c>
      <c r="K1" s="947" t="str">
        <f>HYPERLINK("#Table_of_Contents", Table_of_Contents)</f>
        <v>Table of Contents</v>
      </c>
      <c r="L1" s="399"/>
      <c r="M1"/>
    </row>
    <row r="2" spans="1:14" s="861" customFormat="1" ht="21">
      <c r="B2" s="886" t="str">
        <f>_xlfn.CONCAT(IF(ISBLANK(WHEDA_Project_Number),"",_xlfn.CONCAT(WHEDA_Project_Number," - ")), Project_Name, IF(ISBLANK(Credit_percentage_applied_for),"",_xlfn.CONCAT(" - ", Credit_percentage_applied_for," HTC")))</f>
        <v/>
      </c>
      <c r="C2" s="841"/>
      <c r="D2" s="841"/>
      <c r="E2" s="841"/>
      <c r="F2" s="841"/>
      <c r="G2" s="841"/>
      <c r="H2" s="841"/>
      <c r="I2" s="841"/>
      <c r="J2" s="841"/>
      <c r="K2" s="841"/>
      <c r="L2" s="841"/>
      <c r="M2" s="841"/>
      <c r="N2" s="841"/>
    </row>
    <row r="3" spans="1:14">
      <c r="C3" s="896"/>
      <c r="D3" s="896"/>
      <c r="E3" s="896"/>
      <c r="F3" s="896"/>
      <c r="G3" s="896"/>
      <c r="H3" s="896"/>
      <c r="I3" s="896"/>
      <c r="J3" s="896"/>
      <c r="K3" s="896"/>
      <c r="L3" s="896"/>
      <c r="M3" s="896"/>
      <c r="N3" s="896"/>
    </row>
    <row r="4" spans="1:14" ht="29.25" thickBot="1">
      <c r="B4" s="4" t="s">
        <v>3482</v>
      </c>
      <c r="C4" s="773"/>
      <c r="D4" s="773"/>
      <c r="E4" s="773"/>
      <c r="F4" s="773"/>
      <c r="G4" s="773"/>
      <c r="H4" s="773"/>
      <c r="I4" s="773"/>
      <c r="J4" s="773"/>
      <c r="K4" s="773"/>
      <c r="L4" s="773"/>
      <c r="M4" s="774"/>
    </row>
    <row r="5" spans="1:14" ht="18.75">
      <c r="A5" s="98"/>
      <c r="B5" s="2658" t="s">
        <v>5444</v>
      </c>
      <c r="C5" s="2658" t="s">
        <v>5445</v>
      </c>
      <c r="D5" s="2658" t="s">
        <v>5446</v>
      </c>
      <c r="E5" s="2662" t="s">
        <v>5003</v>
      </c>
      <c r="F5" s="2663"/>
      <c r="G5" s="2663"/>
      <c r="H5" s="2663"/>
      <c r="I5" s="2663"/>
      <c r="J5" s="2663"/>
      <c r="K5" s="2663"/>
      <c r="L5" s="2663"/>
      <c r="M5" s="2663"/>
      <c r="N5" s="2664"/>
    </row>
    <row r="6" spans="1:14" ht="16.5" thickBot="1">
      <c r="A6" s="238"/>
      <c r="B6" s="2659"/>
      <c r="C6" s="2659"/>
      <c r="D6" s="2659"/>
      <c r="E6" s="2665"/>
      <c r="F6" s="2666"/>
      <c r="G6" s="2666"/>
      <c r="H6" s="2666"/>
      <c r="I6" s="2666"/>
      <c r="J6" s="2666"/>
      <c r="K6" s="2666"/>
      <c r="L6" s="2666"/>
      <c r="M6" s="2666"/>
      <c r="N6" s="2667"/>
    </row>
    <row r="7" spans="1:14" ht="14.45" customHeight="1">
      <c r="A7" s="239"/>
      <c r="B7" s="2718"/>
      <c r="C7" s="2717">
        <v>29</v>
      </c>
      <c r="D7" s="2715" t="s">
        <v>4973</v>
      </c>
      <c r="E7" s="2686" t="s">
        <v>5500</v>
      </c>
      <c r="F7" s="2686"/>
      <c r="G7" s="2686"/>
      <c r="H7" s="2686"/>
      <c r="I7" s="2686"/>
      <c r="J7" s="2686"/>
      <c r="K7" s="2686"/>
      <c r="L7" s="2686"/>
      <c r="M7" s="2686"/>
      <c r="N7" s="2687"/>
    </row>
    <row r="8" spans="1:14" ht="28.9" customHeight="1">
      <c r="A8" s="239"/>
      <c r="B8" s="2707"/>
      <c r="C8" s="2705"/>
      <c r="D8" s="2716"/>
      <c r="E8" s="2688" t="s">
        <v>5501</v>
      </c>
      <c r="F8" s="2689"/>
      <c r="G8" s="2689"/>
      <c r="H8" s="2689"/>
      <c r="I8" s="2689"/>
      <c r="J8" s="2689"/>
      <c r="K8" s="2689"/>
      <c r="L8" s="2689"/>
      <c r="M8" s="2689"/>
      <c r="N8" s="2690"/>
    </row>
    <row r="9" spans="1:14" ht="43.15" customHeight="1">
      <c r="A9" s="345"/>
      <c r="B9" s="2707"/>
      <c r="C9" s="2705"/>
      <c r="D9" s="2716"/>
      <c r="E9" s="2694" t="s">
        <v>5502</v>
      </c>
      <c r="F9" s="2695"/>
      <c r="G9" s="2695"/>
      <c r="H9" s="2695"/>
      <c r="I9" s="2695"/>
      <c r="J9" s="2695"/>
      <c r="K9" s="2695"/>
      <c r="L9" s="2695"/>
      <c r="M9" s="2695"/>
      <c r="N9" s="2696"/>
    </row>
    <row r="10" spans="1:14" ht="28.9" customHeight="1">
      <c r="A10" s="238"/>
      <c r="B10" s="2720"/>
      <c r="C10" s="2697">
        <f>C7+1</f>
        <v>30</v>
      </c>
      <c r="D10" s="2699" t="s">
        <v>5503</v>
      </c>
      <c r="E10" s="2700" t="s">
        <v>5504</v>
      </c>
      <c r="F10" s="2700"/>
      <c r="G10" s="2700"/>
      <c r="H10" s="2700"/>
      <c r="I10" s="2700"/>
      <c r="J10" s="2700"/>
      <c r="K10" s="2700"/>
      <c r="L10" s="2700"/>
      <c r="M10" s="2700"/>
      <c r="N10" s="2701"/>
    </row>
    <row r="11" spans="1:14" ht="43.15" customHeight="1">
      <c r="A11" s="238"/>
      <c r="B11" s="2720"/>
      <c r="C11" s="2698"/>
      <c r="D11" s="2699"/>
      <c r="E11" s="2700" t="s">
        <v>5505</v>
      </c>
      <c r="F11" s="2700"/>
      <c r="G11" s="2700"/>
      <c r="H11" s="2700"/>
      <c r="I11" s="2700"/>
      <c r="J11" s="2700"/>
      <c r="K11" s="2700"/>
      <c r="L11" s="2700"/>
      <c r="M11" s="2700"/>
      <c r="N11" s="2701"/>
    </row>
    <row r="12" spans="1:14" ht="14.45" customHeight="1">
      <c r="A12" s="345"/>
      <c r="B12" s="2707"/>
      <c r="C12" s="2706">
        <v>31</v>
      </c>
      <c r="D12" s="2709" t="s">
        <v>5506</v>
      </c>
      <c r="E12" s="2722" t="s">
        <v>5507</v>
      </c>
      <c r="F12" s="2723"/>
      <c r="G12" s="2723"/>
      <c r="H12" s="2723"/>
      <c r="I12" s="2723"/>
      <c r="J12" s="2723"/>
      <c r="K12" s="2723"/>
      <c r="L12" s="2723"/>
      <c r="M12" s="2723"/>
      <c r="N12" s="2724"/>
    </row>
    <row r="13" spans="1:14" ht="14.45" customHeight="1">
      <c r="A13" s="345"/>
      <c r="B13" s="2707"/>
      <c r="C13" s="2698"/>
      <c r="D13" s="2699"/>
      <c r="E13" s="2702" t="s">
        <v>5508</v>
      </c>
      <c r="F13" s="2689"/>
      <c r="G13" s="2689"/>
      <c r="H13" s="2689"/>
      <c r="I13" s="2689"/>
      <c r="J13" s="2689"/>
      <c r="K13" s="2689"/>
      <c r="L13" s="2689"/>
      <c r="M13" s="2689"/>
      <c r="N13" s="2690"/>
    </row>
    <row r="14" spans="1:14" ht="14.45" customHeight="1">
      <c r="A14" s="239"/>
      <c r="B14" s="2710"/>
      <c r="C14" s="2704">
        <v>32</v>
      </c>
      <c r="D14" s="2699" t="s">
        <v>5509</v>
      </c>
      <c r="E14" s="2688" t="s">
        <v>5510</v>
      </c>
      <c r="F14" s="2689"/>
      <c r="G14" s="2689"/>
      <c r="H14" s="2689"/>
      <c r="I14" s="2689"/>
      <c r="J14" s="2689"/>
      <c r="K14" s="2689"/>
      <c r="L14" s="2689"/>
      <c r="M14" s="2689"/>
      <c r="N14" s="2690"/>
    </row>
    <row r="15" spans="1:14" ht="14.45" customHeight="1">
      <c r="A15" s="239"/>
      <c r="B15" s="2710"/>
      <c r="C15" s="2705"/>
      <c r="D15" s="2699"/>
      <c r="E15" s="2688" t="s">
        <v>5511</v>
      </c>
      <c r="F15" s="2689"/>
      <c r="G15" s="2689"/>
      <c r="H15" s="2689"/>
      <c r="I15" s="2689"/>
      <c r="J15" s="2689"/>
      <c r="K15" s="2689"/>
      <c r="L15" s="2689"/>
      <c r="M15" s="2689"/>
      <c r="N15" s="2690"/>
    </row>
    <row r="16" spans="1:14" ht="28.9" customHeight="1">
      <c r="A16" s="239"/>
      <c r="B16" s="2710"/>
      <c r="C16" s="2705"/>
      <c r="D16" s="2699"/>
      <c r="E16" s="2688" t="s">
        <v>5512</v>
      </c>
      <c r="F16" s="2689"/>
      <c r="G16" s="2689"/>
      <c r="H16" s="2689"/>
      <c r="I16" s="2689"/>
      <c r="J16" s="2689"/>
      <c r="K16" s="2689"/>
      <c r="L16" s="2689"/>
      <c r="M16" s="2689"/>
      <c r="N16" s="2690"/>
    </row>
    <row r="17" spans="1:14" ht="14.45" customHeight="1">
      <c r="A17" s="239"/>
      <c r="B17" s="2710"/>
      <c r="C17" s="2705"/>
      <c r="D17" s="2699"/>
      <c r="E17" s="2688" t="s">
        <v>5513</v>
      </c>
      <c r="F17" s="2689"/>
      <c r="G17" s="2689"/>
      <c r="H17" s="2689"/>
      <c r="I17" s="2689"/>
      <c r="J17" s="2689"/>
      <c r="K17" s="2689"/>
      <c r="L17" s="2689"/>
      <c r="M17" s="2689"/>
      <c r="N17" s="2690"/>
    </row>
    <row r="18" spans="1:14" ht="14.45" customHeight="1">
      <c r="A18" s="239"/>
      <c r="B18" s="2710"/>
      <c r="C18" s="2705"/>
      <c r="D18" s="2699"/>
      <c r="E18" s="2688" t="s">
        <v>5514</v>
      </c>
      <c r="F18" s="2689"/>
      <c r="G18" s="2689"/>
      <c r="H18" s="2689"/>
      <c r="I18" s="2689"/>
      <c r="J18" s="2689"/>
      <c r="K18" s="2689"/>
      <c r="L18" s="2689"/>
      <c r="M18" s="2689"/>
      <c r="N18" s="2690"/>
    </row>
    <row r="19" spans="1:14" ht="14.45" customHeight="1">
      <c r="A19" s="239"/>
      <c r="B19" s="2710"/>
      <c r="C19" s="2705"/>
      <c r="D19" s="2699"/>
      <c r="E19" s="2688" t="s">
        <v>5515</v>
      </c>
      <c r="F19" s="2688"/>
      <c r="G19" s="2688"/>
      <c r="H19" s="2688"/>
      <c r="I19" s="2688"/>
      <c r="J19" s="2688"/>
      <c r="K19" s="2688"/>
      <c r="L19" s="2688"/>
      <c r="M19" s="2688"/>
      <c r="N19" s="2703"/>
    </row>
    <row r="20" spans="1:14" ht="28.9" customHeight="1">
      <c r="A20" s="239"/>
      <c r="B20" s="2710"/>
      <c r="C20" s="2706"/>
      <c r="D20" s="2699"/>
      <c r="E20" s="2688" t="s">
        <v>5516</v>
      </c>
      <c r="F20" s="2689"/>
      <c r="G20" s="2689"/>
      <c r="H20" s="2689"/>
      <c r="I20" s="2689"/>
      <c r="J20" s="2689"/>
      <c r="K20" s="2689"/>
      <c r="L20" s="2689"/>
      <c r="M20" s="2689"/>
      <c r="N20" s="2690"/>
    </row>
    <row r="21" spans="1:14" ht="28.9" customHeight="1">
      <c r="A21" s="239"/>
      <c r="B21" s="2710"/>
      <c r="C21" s="2704">
        <v>33</v>
      </c>
      <c r="D21" s="2699" t="s">
        <v>5094</v>
      </c>
      <c r="E21" s="2689" t="s">
        <v>5517</v>
      </c>
      <c r="F21" s="2689"/>
      <c r="G21" s="2689"/>
      <c r="H21" s="2689"/>
      <c r="I21" s="2689"/>
      <c r="J21" s="2689"/>
      <c r="K21" s="2689"/>
      <c r="L21" s="2689"/>
      <c r="M21" s="2689"/>
      <c r="N21" s="2690"/>
    </row>
    <row r="22" spans="1:14" ht="14.45" customHeight="1">
      <c r="A22" s="239"/>
      <c r="B22" s="2710"/>
      <c r="C22" s="2706"/>
      <c r="D22" s="2699"/>
      <c r="E22" s="2689" t="s">
        <v>5518</v>
      </c>
      <c r="F22" s="2689"/>
      <c r="G22" s="2689"/>
      <c r="H22" s="2689"/>
      <c r="I22" s="2689"/>
      <c r="J22" s="2689"/>
      <c r="K22" s="2689"/>
      <c r="L22" s="2689"/>
      <c r="M22" s="2689"/>
      <c r="N22" s="2690"/>
    </row>
    <row r="23" spans="1:14" ht="30">
      <c r="A23" s="239"/>
      <c r="B23" s="1762"/>
      <c r="C23" s="1761">
        <v>34</v>
      </c>
      <c r="D23" s="612" t="s">
        <v>5519</v>
      </c>
      <c r="E23" s="2689" t="s">
        <v>5520</v>
      </c>
      <c r="F23" s="2689"/>
      <c r="G23" s="2689"/>
      <c r="H23" s="2689"/>
      <c r="I23" s="2689"/>
      <c r="J23" s="2689"/>
      <c r="K23" s="2689"/>
      <c r="L23" s="2689"/>
      <c r="M23" s="2689"/>
      <c r="N23" s="2690"/>
    </row>
    <row r="24" spans="1:14" ht="30.75" customHeight="1">
      <c r="A24" s="239"/>
      <c r="B24" s="2710"/>
      <c r="C24" s="2704">
        <v>35</v>
      </c>
      <c r="D24" s="2699" t="s">
        <v>5127</v>
      </c>
      <c r="E24" s="2708" t="s">
        <v>5521</v>
      </c>
      <c r="F24" s="2689"/>
      <c r="G24" s="2689"/>
      <c r="H24" s="2689"/>
      <c r="I24" s="2689"/>
      <c r="J24" s="2689"/>
      <c r="K24" s="2689"/>
      <c r="L24" s="2689"/>
      <c r="M24" s="2689"/>
      <c r="N24" s="2690"/>
    </row>
    <row r="25" spans="1:14" ht="38.25" customHeight="1">
      <c r="A25" s="239"/>
      <c r="B25" s="2710"/>
      <c r="C25" s="2706"/>
      <c r="D25" s="2699"/>
      <c r="E25" s="2702" t="s">
        <v>5522</v>
      </c>
      <c r="F25" s="2688"/>
      <c r="G25" s="2688"/>
      <c r="H25" s="2688"/>
      <c r="I25" s="2688"/>
      <c r="J25" s="2688"/>
      <c r="K25" s="2688"/>
      <c r="L25" s="2688"/>
      <c r="M25" s="2688"/>
      <c r="N25" s="2703"/>
    </row>
    <row r="26" spans="1:14" ht="28.9" customHeight="1">
      <c r="A26" s="239"/>
      <c r="B26" s="1762"/>
      <c r="C26" s="1761">
        <v>36</v>
      </c>
      <c r="D26" s="612" t="s">
        <v>5523</v>
      </c>
      <c r="E26" s="2688" t="s">
        <v>5524</v>
      </c>
      <c r="F26" s="2688"/>
      <c r="G26" s="2688"/>
      <c r="H26" s="2688"/>
      <c r="I26" s="2688"/>
      <c r="J26" s="2688"/>
      <c r="K26" s="2688"/>
      <c r="L26" s="2688"/>
      <c r="M26" s="2688"/>
      <c r="N26" s="2703"/>
    </row>
    <row r="27" spans="1:14" ht="15.6" customHeight="1">
      <c r="A27" s="238"/>
      <c r="B27" s="2720"/>
      <c r="C27" s="2704">
        <v>37</v>
      </c>
      <c r="D27" s="2699" t="s">
        <v>5525</v>
      </c>
      <c r="E27" s="2700" t="s">
        <v>5526</v>
      </c>
      <c r="F27" s="2700"/>
      <c r="G27" s="2700"/>
      <c r="H27" s="2700"/>
      <c r="I27" s="2700"/>
      <c r="J27" s="2700"/>
      <c r="K27" s="2700"/>
      <c r="L27" s="2700"/>
      <c r="M27" s="2700"/>
      <c r="N27" s="2701"/>
    </row>
    <row r="28" spans="1:14" ht="43.15" customHeight="1">
      <c r="A28" s="239"/>
      <c r="B28" s="2720"/>
      <c r="C28" s="2706"/>
      <c r="D28" s="2699"/>
      <c r="E28" s="2700" t="s">
        <v>5527</v>
      </c>
      <c r="F28" s="2700"/>
      <c r="G28" s="2700"/>
      <c r="H28" s="2700"/>
      <c r="I28" s="2700"/>
      <c r="J28" s="2700"/>
      <c r="K28" s="2700"/>
      <c r="L28" s="2700"/>
      <c r="M28" s="2700"/>
      <c r="N28" s="2701"/>
    </row>
    <row r="29" spans="1:14" ht="28.9" customHeight="1">
      <c r="A29" s="239"/>
      <c r="B29" s="2710"/>
      <c r="C29" s="2704">
        <v>38</v>
      </c>
      <c r="D29" s="2699" t="s">
        <v>5210</v>
      </c>
      <c r="E29" s="2688" t="s">
        <v>5528</v>
      </c>
      <c r="F29" s="2689"/>
      <c r="G29" s="2689"/>
      <c r="H29" s="2689"/>
      <c r="I29" s="2689"/>
      <c r="J29" s="2689"/>
      <c r="K29" s="2689"/>
      <c r="L29" s="2689"/>
      <c r="M29" s="2689"/>
      <c r="N29" s="2690"/>
    </row>
    <row r="30" spans="1:14" ht="28.9" customHeight="1">
      <c r="A30" s="239"/>
      <c r="B30" s="2710"/>
      <c r="C30" s="2706"/>
      <c r="D30" s="2699"/>
      <c r="E30" s="2688" t="s">
        <v>5529</v>
      </c>
      <c r="F30" s="2689"/>
      <c r="G30" s="2689"/>
      <c r="H30" s="2689"/>
      <c r="I30" s="2689"/>
      <c r="J30" s="2689"/>
      <c r="K30" s="2689"/>
      <c r="L30" s="2689"/>
      <c r="M30" s="2689"/>
      <c r="N30" s="2690"/>
    </row>
    <row r="31" spans="1:14" ht="30" customHeight="1">
      <c r="A31" s="239"/>
      <c r="B31" s="993"/>
      <c r="C31" s="1761">
        <v>39</v>
      </c>
      <c r="D31" s="612" t="s">
        <v>4985</v>
      </c>
      <c r="E31" s="2688" t="s">
        <v>5530</v>
      </c>
      <c r="F31" s="2689"/>
      <c r="G31" s="2689"/>
      <c r="H31" s="2689"/>
      <c r="I31" s="2689"/>
      <c r="J31" s="2689"/>
      <c r="K31" s="2689"/>
      <c r="L31" s="2689"/>
      <c r="M31" s="2689"/>
      <c r="N31" s="2690"/>
    </row>
    <row r="32" spans="1:14" ht="28.9" customHeight="1">
      <c r="A32" s="239"/>
      <c r="B32" s="2710"/>
      <c r="C32" s="2712">
        <v>40</v>
      </c>
      <c r="D32" s="2699" t="s">
        <v>4986</v>
      </c>
      <c r="E32" s="2688" t="s">
        <v>5531</v>
      </c>
      <c r="F32" s="2689"/>
      <c r="G32" s="2689"/>
      <c r="H32" s="2689"/>
      <c r="I32" s="2689"/>
      <c r="J32" s="2689"/>
      <c r="K32" s="2689"/>
      <c r="L32" s="2689"/>
      <c r="M32" s="2689"/>
      <c r="N32" s="2690"/>
    </row>
    <row r="33" spans="1:14" ht="57.6" customHeight="1">
      <c r="A33" s="239"/>
      <c r="B33" s="2710"/>
      <c r="C33" s="2713"/>
      <c r="D33" s="2699"/>
      <c r="E33" s="2721" t="s">
        <v>5532</v>
      </c>
      <c r="F33" s="2689"/>
      <c r="G33" s="2689"/>
      <c r="H33" s="2689"/>
      <c r="I33" s="2689"/>
      <c r="J33" s="2689"/>
      <c r="K33" s="2689"/>
      <c r="L33" s="2689"/>
      <c r="M33" s="2689"/>
      <c r="N33" s="2690"/>
    </row>
    <row r="34" spans="1:14" ht="28.9" customHeight="1">
      <c r="A34" s="239"/>
      <c r="B34" s="2710"/>
      <c r="C34" s="2713"/>
      <c r="D34" s="2699"/>
      <c r="E34" s="2688" t="s">
        <v>5533</v>
      </c>
      <c r="F34" s="2689"/>
      <c r="G34" s="2689"/>
      <c r="H34" s="2689"/>
      <c r="I34" s="2689"/>
      <c r="J34" s="2689"/>
      <c r="K34" s="2689"/>
      <c r="L34" s="2689"/>
      <c r="M34" s="2689"/>
      <c r="N34" s="2690"/>
    </row>
    <row r="35" spans="1:14" ht="14.45" customHeight="1">
      <c r="A35" s="239"/>
      <c r="B35" s="2710"/>
      <c r="C35" s="2713"/>
      <c r="D35" s="2699"/>
      <c r="E35" s="2688" t="s">
        <v>5534</v>
      </c>
      <c r="F35" s="2688"/>
      <c r="G35" s="2688"/>
      <c r="H35" s="2688"/>
      <c r="I35" s="2688"/>
      <c r="J35" s="2688"/>
      <c r="K35" s="2688"/>
      <c r="L35" s="2688"/>
      <c r="M35" s="2688"/>
      <c r="N35" s="2703"/>
    </row>
    <row r="36" spans="1:14" ht="14.45" customHeight="1">
      <c r="B36" s="2711"/>
      <c r="C36" s="2713"/>
      <c r="D36" s="2714"/>
      <c r="E36" s="2694" t="s">
        <v>5535</v>
      </c>
      <c r="F36" s="2694"/>
      <c r="G36" s="2694"/>
      <c r="H36" s="2694"/>
      <c r="I36" s="2694"/>
      <c r="J36" s="2694"/>
      <c r="K36" s="2694"/>
      <c r="L36" s="2694"/>
      <c r="M36" s="2694"/>
      <c r="N36" s="2719"/>
    </row>
    <row r="37" spans="1:14" ht="43.15" customHeight="1">
      <c r="A37" s="239"/>
      <c r="B37" s="2710"/>
      <c r="C37" s="2697">
        <v>41</v>
      </c>
      <c r="D37" s="2699" t="s">
        <v>4990</v>
      </c>
      <c r="E37" s="2688" t="s">
        <v>5536</v>
      </c>
      <c r="F37" s="2689"/>
      <c r="G37" s="2689"/>
      <c r="H37" s="2689"/>
      <c r="I37" s="2689"/>
      <c r="J37" s="2689"/>
      <c r="K37" s="2689"/>
      <c r="L37" s="2689"/>
      <c r="M37" s="2689"/>
      <c r="N37" s="2690"/>
    </row>
    <row r="38" spans="1:14" ht="14.45" customHeight="1">
      <c r="A38" s="239"/>
      <c r="B38" s="2710"/>
      <c r="C38" s="2697"/>
      <c r="D38" s="2699"/>
      <c r="E38" s="2688" t="s">
        <v>5537</v>
      </c>
      <c r="F38" s="2688"/>
      <c r="G38" s="2688"/>
      <c r="H38" s="2688"/>
      <c r="I38" s="2688"/>
      <c r="J38" s="2688"/>
      <c r="K38" s="2688"/>
      <c r="L38" s="2688"/>
      <c r="M38" s="2688"/>
      <c r="N38" s="2703"/>
    </row>
    <row r="39" spans="1:14" ht="28.9" customHeight="1">
      <c r="A39" s="239"/>
      <c r="B39" s="2710"/>
      <c r="C39" s="2697"/>
      <c r="D39" s="2699"/>
      <c r="E39" s="2688" t="s">
        <v>5538</v>
      </c>
      <c r="F39" s="2689"/>
      <c r="G39" s="2689"/>
      <c r="H39" s="2689"/>
      <c r="I39" s="2689"/>
      <c r="J39" s="2689"/>
      <c r="K39" s="2689"/>
      <c r="L39" s="2689"/>
      <c r="M39" s="2689"/>
      <c r="N39" s="2690"/>
    </row>
    <row r="40" spans="1:14" ht="43.15" customHeight="1">
      <c r="A40" s="239"/>
      <c r="B40" s="2710"/>
      <c r="C40" s="2697"/>
      <c r="D40" s="2699"/>
      <c r="E40" s="2688" t="s">
        <v>5539</v>
      </c>
      <c r="F40" s="2689"/>
      <c r="G40" s="2689"/>
      <c r="H40" s="2689"/>
      <c r="I40" s="2689"/>
      <c r="J40" s="2689"/>
      <c r="K40" s="2689"/>
      <c r="L40" s="2689"/>
      <c r="M40" s="2689"/>
      <c r="N40" s="2690"/>
    </row>
    <row r="41" spans="1:14" ht="14.45" customHeight="1">
      <c r="A41" s="239"/>
      <c r="B41" s="2710"/>
      <c r="C41" s="2697"/>
      <c r="D41" s="2699"/>
      <c r="E41" s="2688" t="s">
        <v>5540</v>
      </c>
      <c r="F41" s="2689"/>
      <c r="G41" s="2689"/>
      <c r="H41" s="2689"/>
      <c r="I41" s="2689"/>
      <c r="J41" s="2689"/>
      <c r="K41" s="2689"/>
      <c r="L41" s="2689"/>
      <c r="M41" s="2689"/>
      <c r="N41" s="2690"/>
    </row>
    <row r="42" spans="1:14" ht="34.5" customHeight="1" thickBot="1">
      <c r="A42" s="345"/>
      <c r="B42" s="1688"/>
      <c r="C42" s="618">
        <v>42</v>
      </c>
      <c r="D42" s="1689" t="s">
        <v>4991</v>
      </c>
      <c r="E42" s="2691" t="s">
        <v>5541</v>
      </c>
      <c r="F42" s="2692"/>
      <c r="G42" s="2692"/>
      <c r="H42" s="2692"/>
      <c r="I42" s="2692"/>
      <c r="J42" s="2692"/>
      <c r="K42" s="2692"/>
      <c r="L42" s="2692"/>
      <c r="M42" s="2692"/>
      <c r="N42" s="2693"/>
    </row>
  </sheetData>
  <sheetProtection algorithmName="SHA-512" hashValue="wou+IrI31vWv8fO8ErHE4YyrOftxi03Ez1jJjjGQjf3OS3r/jlzUd2+6h1n7oLFhkAfq4dbgj1J3Ek76Ql+W4A==" saltValue="fm+6UT6GL8jUWvBDp2NE0w==" spinCount="100000" sheet="1" objects="1" scenarios="1" selectLockedCells="1"/>
  <mergeCells count="70">
    <mergeCell ref="D7:D9"/>
    <mergeCell ref="C7:C9"/>
    <mergeCell ref="B7:B9"/>
    <mergeCell ref="B5:B6"/>
    <mergeCell ref="E36:N36"/>
    <mergeCell ref="B10:B11"/>
    <mergeCell ref="B27:B28"/>
    <mergeCell ref="B21:B22"/>
    <mergeCell ref="B24:B25"/>
    <mergeCell ref="B14:B20"/>
    <mergeCell ref="B29:B30"/>
    <mergeCell ref="E32:N32"/>
    <mergeCell ref="E33:N33"/>
    <mergeCell ref="E35:N35"/>
    <mergeCell ref="E12:N12"/>
    <mergeCell ref="E13:N13"/>
    <mergeCell ref="E34:N34"/>
    <mergeCell ref="E17:N17"/>
    <mergeCell ref="B37:B41"/>
    <mergeCell ref="B32:B36"/>
    <mergeCell ref="C32:C36"/>
    <mergeCell ref="D32:D36"/>
    <mergeCell ref="E38:N38"/>
    <mergeCell ref="E26:N26"/>
    <mergeCell ref="E29:N29"/>
    <mergeCell ref="E30:N30"/>
    <mergeCell ref="E39:N39"/>
    <mergeCell ref="E27:N27"/>
    <mergeCell ref="E28:N28"/>
    <mergeCell ref="E31:N31"/>
    <mergeCell ref="E37:N37"/>
    <mergeCell ref="D12:D13"/>
    <mergeCell ref="C29:C30"/>
    <mergeCell ref="D29:D30"/>
    <mergeCell ref="C37:C41"/>
    <mergeCell ref="D37:D41"/>
    <mergeCell ref="C27:C28"/>
    <mergeCell ref="D27:D28"/>
    <mergeCell ref="B12:B13"/>
    <mergeCell ref="C24:C25"/>
    <mergeCell ref="D24:D25"/>
    <mergeCell ref="E23:N23"/>
    <mergeCell ref="E24:N24"/>
    <mergeCell ref="E18:N18"/>
    <mergeCell ref="E19:N19"/>
    <mergeCell ref="E20:N20"/>
    <mergeCell ref="E14:N14"/>
    <mergeCell ref="E15:N15"/>
    <mergeCell ref="E16:N16"/>
    <mergeCell ref="C21:C22"/>
    <mergeCell ref="D21:D22"/>
    <mergeCell ref="E21:N21"/>
    <mergeCell ref="E22:N22"/>
    <mergeCell ref="C12:C13"/>
    <mergeCell ref="E7:N7"/>
    <mergeCell ref="E8:N8"/>
    <mergeCell ref="E42:N42"/>
    <mergeCell ref="E9:N9"/>
    <mergeCell ref="C5:C6"/>
    <mergeCell ref="D5:D6"/>
    <mergeCell ref="E5:N6"/>
    <mergeCell ref="C10:C11"/>
    <mergeCell ref="D10:D11"/>
    <mergeCell ref="E10:N10"/>
    <mergeCell ref="E11:N11"/>
    <mergeCell ref="E40:N40"/>
    <mergeCell ref="E41:N41"/>
    <mergeCell ref="E25:N25"/>
    <mergeCell ref="C14:C20"/>
    <mergeCell ref="D14:D20"/>
  </mergeCells>
  <dataValidations count="1">
    <dataValidation type="custom" allowBlank="1" showInputMessage="1" showErrorMessage="1" sqref="A37:A42 K1 A6:A33" xr:uid="{87AFD752-F596-4E2E-972B-6B71ED18FACB}">
      <formula1>"&lt;0&gt;0"</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2B62AC8-4365-419A-878B-A3B7B3E7CC44}">
          <x14:formula1>
            <xm:f>'Dropdown Lists'!$A$6:$A$7</xm:f>
          </x14:formula1>
          <xm:sqref>B7 B10:B12 B14:B42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AC59-0A25-4540-8494-4EE2A9866E5E}">
  <sheetPr codeName="Sheet52">
    <pageSetUpPr fitToPage="1"/>
  </sheetPr>
  <dimension ref="B1:DP40"/>
  <sheetViews>
    <sheetView workbookViewId="0">
      <selection activeCell="H10" sqref="H10:J10"/>
    </sheetView>
  </sheetViews>
  <sheetFormatPr defaultColWidth="8.85546875" defaultRowHeight="15"/>
  <cols>
    <col min="1" max="1" width="4.7109375" style="3" customWidth="1"/>
    <col min="2" max="2" width="8.85546875" style="3"/>
    <col min="3" max="4" width="11.5703125" style="3" customWidth="1"/>
    <col min="5" max="5" width="5" style="3" customWidth="1"/>
    <col min="6" max="6" width="7.28515625" style="3" customWidth="1"/>
    <col min="7" max="8" width="11.5703125" style="3" customWidth="1"/>
    <col min="9" max="9" width="3.7109375" style="3" customWidth="1"/>
    <col min="10" max="10" width="10.28515625" style="3" customWidth="1"/>
    <col min="11" max="14" width="11.5703125" style="3" customWidth="1"/>
    <col min="15" max="15" width="7.85546875" style="3" customWidth="1"/>
    <col min="16" max="17" width="8.85546875" style="3"/>
    <col min="18" max="18" width="17.7109375" style="3" customWidth="1"/>
    <col min="19" max="19" width="7.140625" style="3" customWidth="1"/>
    <col min="20" max="20" width="5" style="3" customWidth="1"/>
    <col min="21" max="35" width="9.140625" style="3" customWidth="1"/>
    <col min="36" max="16384" width="8.85546875" style="3"/>
  </cols>
  <sheetData>
    <row r="1" spans="2:120" ht="28.5">
      <c r="B1" s="4" t="str">
        <f>'1. TOC'!B1</f>
        <v>WHEDA 2025 Multifamily Application</v>
      </c>
      <c r="G1"/>
      <c r="L1" s="115" t="str">
        <f>'1. TOC'!L1</f>
        <v>v25.1.12</v>
      </c>
      <c r="O1" s="9"/>
      <c r="P1" s="947" t="str">
        <f>HYPERLINK("#Table_of_Contents", Table_of_Contents)</f>
        <v>Table of Contents</v>
      </c>
      <c r="Q1" s="94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ht="28.5">
      <c r="B2" s="886" t="str">
        <f>_xlfn.CONCAT(IF(ISBLANK(WHEDA_Project_Number),"",_xlfn.CONCAT(WHEDA_Project_Number," - ")), Project_Name, IF(ISBLANK(Credit_percentage_applied_for),"",_xlfn.CONCAT(" - ", Credit_percentage_applied_for," HTC")))</f>
        <v/>
      </c>
      <c r="C2" s="813"/>
      <c r="D2" s="813"/>
      <c r="E2" s="813"/>
      <c r="F2" s="813"/>
      <c r="G2" s="813"/>
      <c r="H2" s="813"/>
      <c r="I2" s="813"/>
      <c r="J2" s="813"/>
      <c r="K2" s="813"/>
      <c r="L2" s="813"/>
      <c r="M2" s="62"/>
      <c r="N2" s="62"/>
      <c r="O2" s="767"/>
      <c r="P2" s="767"/>
      <c r="Q2" s="767"/>
      <c r="R2" s="767"/>
      <c r="S2" s="767"/>
      <c r="T2" s="767"/>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row>
    <row r="3" spans="2:120">
      <c r="C3" s="896"/>
      <c r="D3" s="896"/>
      <c r="E3" s="896"/>
      <c r="F3" s="896"/>
      <c r="G3" s="896"/>
      <c r="H3" s="896"/>
      <c r="I3" s="896"/>
      <c r="J3" s="896"/>
      <c r="K3" s="896"/>
      <c r="L3" s="896"/>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5">
      <c r="B4" s="4" t="s">
        <v>5542</v>
      </c>
      <c r="C4" s="773"/>
      <c r="D4" s="773"/>
      <c r="E4" s="773"/>
      <c r="F4" s="773"/>
      <c r="G4" s="773"/>
      <c r="H4" s="773"/>
      <c r="I4" s="773"/>
      <c r="J4" s="773"/>
      <c r="K4" s="773"/>
      <c r="L4" s="773"/>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ht="18.75">
      <c r="B5" s="1206" t="s">
        <v>5543</v>
      </c>
      <c r="C5" s="1027"/>
      <c r="D5" s="1027"/>
      <c r="E5" s="1027"/>
      <c r="F5" s="1027"/>
      <c r="G5" s="1027"/>
      <c r="H5" s="1027"/>
      <c r="I5" s="1027"/>
      <c r="J5" s="1027"/>
      <c r="K5" s="1027"/>
      <c r="L5" s="1027"/>
      <c r="M5" s="1027"/>
      <c r="N5" s="1027"/>
      <c r="O5" s="1027"/>
      <c r="P5" s="1027"/>
      <c r="Q5" s="1027"/>
      <c r="R5" s="1027"/>
      <c r="S5" s="1027"/>
      <c r="T5" s="1027"/>
    </row>
    <row r="6" spans="2:120">
      <c r="B6" s="1030"/>
      <c r="C6" s="1030"/>
      <c r="D6" s="1030"/>
      <c r="E6" s="1030"/>
      <c r="F6" s="1030"/>
      <c r="G6" s="1030"/>
      <c r="H6" s="1030"/>
      <c r="I6" s="1030"/>
      <c r="J6" s="1030"/>
      <c r="K6" s="1030"/>
      <c r="L6" s="1030"/>
      <c r="M6" s="1030"/>
      <c r="N6" s="1030"/>
      <c r="O6" s="1030"/>
      <c r="P6" s="1030"/>
      <c r="Q6" s="1030"/>
      <c r="R6" s="1030"/>
      <c r="S6" s="1030"/>
      <c r="T6" s="1027"/>
    </row>
    <row r="7" spans="2:120">
      <c r="B7" s="2290" t="s">
        <v>5544</v>
      </c>
      <c r="C7" s="2290"/>
      <c r="D7" s="2290"/>
      <c r="E7" s="2290"/>
      <c r="F7" s="2290"/>
      <c r="G7" s="2290"/>
      <c r="H7" s="2290"/>
      <c r="I7" s="2290"/>
      <c r="J7" s="2290"/>
      <c r="K7" s="2290"/>
      <c r="L7" s="2290"/>
      <c r="M7" s="2290"/>
      <c r="N7" s="2290"/>
      <c r="O7" s="2290"/>
      <c r="P7" s="2290"/>
      <c r="Q7" s="2290"/>
      <c r="R7" s="2290"/>
      <c r="S7" s="2290"/>
      <c r="T7" s="1027"/>
    </row>
    <row r="8" spans="2:120" ht="15" customHeight="1">
      <c r="B8" s="2290" t="s">
        <v>5545</v>
      </c>
      <c r="C8" s="2290"/>
      <c r="D8" s="2290"/>
      <c r="E8" s="2290"/>
      <c r="F8" s="2290"/>
      <c r="G8" s="2290"/>
      <c r="H8" s="2290"/>
      <c r="I8" s="2290"/>
      <c r="J8" s="1027"/>
      <c r="K8" s="1027"/>
      <c r="L8" s="1027"/>
      <c r="M8" s="1027"/>
      <c r="N8" s="1027"/>
      <c r="O8" s="1027"/>
      <c r="P8" s="1027"/>
      <c r="Q8" s="1027"/>
      <c r="R8" s="1027"/>
      <c r="S8" s="1067"/>
      <c r="T8" s="1027"/>
    </row>
    <row r="9" spans="2:120" ht="15" customHeight="1">
      <c r="B9" s="1733"/>
      <c r="C9" s="1733"/>
      <c r="D9" s="1733"/>
      <c r="E9" s="1733"/>
      <c r="F9" s="1733"/>
      <c r="G9" s="1733"/>
      <c r="H9" s="1027"/>
      <c r="I9" s="1040"/>
      <c r="J9" s="1027"/>
      <c r="K9" s="1027"/>
      <c r="L9" s="1027"/>
      <c r="M9" s="1027"/>
      <c r="N9" s="1027"/>
      <c r="O9" s="1027"/>
      <c r="P9" s="1027"/>
      <c r="Q9" s="1027"/>
      <c r="R9" s="1027"/>
      <c r="S9" s="1067"/>
      <c r="T9" s="1027"/>
    </row>
    <row r="10" spans="2:120" ht="15" customHeight="1">
      <c r="B10" s="1733"/>
      <c r="C10" s="1267" t="s">
        <v>5546</v>
      </c>
      <c r="D10" s="1267"/>
      <c r="E10" s="1267"/>
      <c r="F10" s="1267"/>
      <c r="G10" s="1268"/>
      <c r="H10" s="2728"/>
      <c r="I10" s="2729"/>
      <c r="J10" s="2730"/>
      <c r="K10" s="1027"/>
      <c r="L10" s="1027"/>
      <c r="M10" s="1027"/>
      <c r="N10" s="1027"/>
      <c r="O10" s="1027"/>
      <c r="P10" s="1027"/>
      <c r="Q10" s="1027"/>
      <c r="R10" s="1027"/>
      <c r="S10" s="1067"/>
      <c r="T10" s="1027"/>
    </row>
    <row r="11" spans="2:120" ht="15" customHeight="1">
      <c r="B11" s="1733"/>
      <c r="C11" s="1267" t="s">
        <v>5547</v>
      </c>
      <c r="D11" s="1267"/>
      <c r="E11" s="1267"/>
      <c r="F11" s="1269"/>
      <c r="G11" s="1270"/>
      <c r="H11" s="2731"/>
      <c r="I11" s="2731"/>
      <c r="J11" s="2731"/>
      <c r="K11" s="2731"/>
      <c r="L11" s="2731"/>
      <c r="M11" s="2731"/>
      <c r="N11" s="2731"/>
      <c r="O11" s="2731"/>
      <c r="P11" s="2731"/>
      <c r="Q11" s="2731"/>
      <c r="R11" s="1027"/>
      <c r="S11" s="1067"/>
      <c r="T11" s="1027"/>
    </row>
    <row r="12" spans="2:120" ht="15" customHeight="1">
      <c r="B12" s="1027"/>
      <c r="C12" s="1270" t="s">
        <v>5548</v>
      </c>
      <c r="D12" s="1270"/>
      <c r="E12" s="1270"/>
      <c r="F12" s="1271"/>
      <c r="G12" s="1270"/>
      <c r="H12" s="2731"/>
      <c r="I12" s="2731"/>
      <c r="J12" s="2731"/>
      <c r="K12" s="2731"/>
      <c r="L12" s="2731"/>
      <c r="M12" s="2731"/>
      <c r="N12" s="2731"/>
      <c r="O12" s="2731"/>
      <c r="P12" s="2731"/>
      <c r="Q12" s="2731"/>
      <c r="R12" s="1067"/>
      <c r="S12" s="1067"/>
      <c r="T12" s="1027"/>
    </row>
    <row r="13" spans="2:120" ht="15" customHeight="1">
      <c r="B13" s="1027"/>
      <c r="C13" s="1027"/>
      <c r="D13" s="1027"/>
      <c r="E13" s="1027"/>
      <c r="F13" s="1067"/>
      <c r="G13" s="1027"/>
      <c r="H13" s="1027"/>
      <c r="I13" s="1027"/>
      <c r="J13" s="1027"/>
      <c r="K13" s="1027"/>
      <c r="L13" s="1027"/>
      <c r="M13" s="1734"/>
      <c r="N13" s="1734"/>
      <c r="O13" s="1067"/>
      <c r="P13" s="1027"/>
      <c r="Q13" s="1067"/>
      <c r="R13" s="1067"/>
      <c r="S13" s="1067"/>
      <c r="T13" s="1027"/>
    </row>
    <row r="14" spans="2:120">
      <c r="B14" s="1027"/>
      <c r="C14" s="1027" t="s">
        <v>5549</v>
      </c>
      <c r="D14" s="1027"/>
      <c r="E14" s="1027"/>
      <c r="F14" s="1027"/>
      <c r="G14" s="1027"/>
      <c r="H14" s="1027"/>
      <c r="I14" s="1027"/>
      <c r="J14" s="1027"/>
      <c r="K14" s="1027"/>
      <c r="L14" s="1027"/>
      <c r="M14" s="1027"/>
      <c r="N14" s="1027"/>
      <c r="O14" s="1027"/>
      <c r="P14" s="1027"/>
      <c r="Q14" s="1027"/>
      <c r="R14" s="1027"/>
      <c r="S14" s="1027"/>
      <c r="T14" s="1027"/>
    </row>
    <row r="15" spans="2:120">
      <c r="B15" s="1027"/>
      <c r="C15" s="1027"/>
      <c r="D15" s="1027"/>
      <c r="E15" s="1027"/>
      <c r="F15" s="1027"/>
      <c r="G15" s="1027"/>
      <c r="H15" s="1027"/>
      <c r="I15" s="1027"/>
      <c r="J15" s="1027"/>
      <c r="K15" s="1027"/>
      <c r="L15" s="1027"/>
      <c r="M15" s="1027"/>
      <c r="N15" s="1027"/>
      <c r="O15" s="1027"/>
      <c r="P15" s="1027"/>
      <c r="Q15" s="1027"/>
      <c r="R15" s="1027"/>
      <c r="S15" s="1027"/>
      <c r="T15" s="1027"/>
    </row>
    <row r="16" spans="2:120" ht="58.15" customHeight="1">
      <c r="B16" s="1073">
        <v>1</v>
      </c>
      <c r="C16" s="1935" t="s">
        <v>5550</v>
      </c>
      <c r="D16" s="1935"/>
      <c r="E16" s="1935"/>
      <c r="F16" s="1935"/>
      <c r="G16" s="1935"/>
      <c r="H16" s="1935"/>
      <c r="I16" s="1935"/>
      <c r="J16" s="1935"/>
      <c r="K16" s="1935"/>
      <c r="L16" s="1935"/>
      <c r="M16" s="1935"/>
      <c r="N16" s="1935"/>
      <c r="O16" s="1935"/>
      <c r="P16" s="1935"/>
      <c r="Q16" s="1935"/>
      <c r="R16" s="1935"/>
      <c r="S16" s="1935"/>
      <c r="T16" s="1027"/>
    </row>
    <row r="17" spans="2:20">
      <c r="B17" s="1073"/>
      <c r="C17" s="1699"/>
      <c r="D17" s="1699"/>
      <c r="E17" s="1699"/>
      <c r="F17" s="1699"/>
      <c r="G17" s="1699"/>
      <c r="H17" s="1699"/>
      <c r="I17" s="1699"/>
      <c r="J17" s="1699"/>
      <c r="K17" s="1699"/>
      <c r="L17" s="1699"/>
      <c r="M17" s="1699"/>
      <c r="N17" s="1699"/>
      <c r="O17" s="1699"/>
      <c r="P17" s="1699"/>
      <c r="Q17" s="1699"/>
      <c r="R17" s="1699"/>
      <c r="S17" s="1699"/>
      <c r="T17" s="1027"/>
    </row>
    <row r="18" spans="2:20" ht="74.45" customHeight="1">
      <c r="B18" s="1073">
        <v>2</v>
      </c>
      <c r="C18" s="1935" t="s">
        <v>5551</v>
      </c>
      <c r="D18" s="1935"/>
      <c r="E18" s="1935"/>
      <c r="F18" s="1935"/>
      <c r="G18" s="1935"/>
      <c r="H18" s="1935"/>
      <c r="I18" s="1935"/>
      <c r="J18" s="1935"/>
      <c r="K18" s="1935"/>
      <c r="L18" s="1935"/>
      <c r="M18" s="1935"/>
      <c r="N18" s="1935"/>
      <c r="O18" s="1935"/>
      <c r="P18" s="1935"/>
      <c r="Q18" s="1935"/>
      <c r="R18" s="1935"/>
      <c r="S18" s="1935"/>
      <c r="T18" s="1027"/>
    </row>
    <row r="19" spans="2:20">
      <c r="B19" s="1073"/>
      <c r="C19" s="1699"/>
      <c r="D19" s="1699"/>
      <c r="E19" s="1699"/>
      <c r="F19" s="1699"/>
      <c r="G19" s="1699"/>
      <c r="H19" s="1699"/>
      <c r="I19" s="1699"/>
      <c r="J19" s="1699"/>
      <c r="K19" s="1699"/>
      <c r="L19" s="1699"/>
      <c r="M19" s="1699"/>
      <c r="N19" s="1699"/>
      <c r="O19" s="1699"/>
      <c r="P19" s="1699"/>
      <c r="Q19" s="1699"/>
      <c r="R19" s="1699"/>
      <c r="S19" s="1699"/>
      <c r="T19" s="1027"/>
    </row>
    <row r="20" spans="2:20" ht="28.15" customHeight="1">
      <c r="B20" s="1073">
        <v>3</v>
      </c>
      <c r="C20" s="1935" t="s">
        <v>5552</v>
      </c>
      <c r="D20" s="1935"/>
      <c r="E20" s="1935"/>
      <c r="F20" s="1935"/>
      <c r="G20" s="1935"/>
      <c r="H20" s="1935"/>
      <c r="I20" s="1935"/>
      <c r="J20" s="1935"/>
      <c r="K20" s="1935"/>
      <c r="L20" s="1935"/>
      <c r="M20" s="1935"/>
      <c r="N20" s="1935"/>
      <c r="O20" s="1935"/>
      <c r="P20" s="1935"/>
      <c r="Q20" s="1935"/>
      <c r="R20" s="1935"/>
      <c r="S20" s="1935"/>
      <c r="T20" s="1027"/>
    </row>
    <row r="21" spans="2:20">
      <c r="B21" s="1073"/>
      <c r="C21" s="1699"/>
      <c r="D21" s="1699"/>
      <c r="E21" s="1699"/>
      <c r="F21" s="1699"/>
      <c r="G21" s="1699"/>
      <c r="H21" s="1699"/>
      <c r="I21" s="1699"/>
      <c r="J21" s="1699"/>
      <c r="K21" s="1699"/>
      <c r="L21" s="1699"/>
      <c r="M21" s="1699"/>
      <c r="N21" s="1699"/>
      <c r="O21" s="1699"/>
      <c r="P21" s="1699"/>
      <c r="Q21" s="1699"/>
      <c r="R21" s="1699"/>
      <c r="S21" s="1699"/>
      <c r="T21" s="1027"/>
    </row>
    <row r="22" spans="2:20" ht="15" customHeight="1">
      <c r="B22" s="1073">
        <v>4</v>
      </c>
      <c r="C22" s="2732" t="s">
        <v>5553</v>
      </c>
      <c r="D22" s="2732"/>
      <c r="E22" s="2732"/>
      <c r="F22" s="2732"/>
      <c r="G22" s="2732"/>
      <c r="H22" s="2732"/>
      <c r="I22" s="2732"/>
      <c r="J22" s="2732"/>
      <c r="K22" s="2732"/>
      <c r="L22" s="2732"/>
      <c r="M22" s="2732"/>
      <c r="N22" s="2732"/>
      <c r="O22" s="2732"/>
      <c r="P22" s="2732"/>
      <c r="Q22" s="2732"/>
      <c r="R22" s="2732"/>
      <c r="S22" s="2732"/>
      <c r="T22" s="1027"/>
    </row>
    <row r="23" spans="2:20">
      <c r="B23" s="1073"/>
      <c r="C23" s="1699"/>
      <c r="D23" s="1699"/>
      <c r="E23" s="1699"/>
      <c r="F23" s="1699"/>
      <c r="G23" s="1699"/>
      <c r="H23" s="1699"/>
      <c r="I23" s="1699"/>
      <c r="J23" s="1699"/>
      <c r="K23" s="1699"/>
      <c r="L23" s="1699"/>
      <c r="M23" s="1699"/>
      <c r="N23" s="1699"/>
      <c r="O23" s="1699"/>
      <c r="P23" s="1699"/>
      <c r="Q23" s="1699"/>
      <c r="R23" s="1699"/>
      <c r="S23" s="1699"/>
      <c r="T23" s="1027"/>
    </row>
    <row r="24" spans="2:20">
      <c r="B24" s="1073">
        <v>5</v>
      </c>
      <c r="C24" s="2732" t="s">
        <v>5554</v>
      </c>
      <c r="D24" s="2732"/>
      <c r="E24" s="2732"/>
      <c r="F24" s="2732"/>
      <c r="G24" s="2732"/>
      <c r="H24" s="2732"/>
      <c r="I24" s="2732"/>
      <c r="J24" s="2732"/>
      <c r="K24" s="2732"/>
      <c r="L24" s="2732"/>
      <c r="M24" s="2732"/>
      <c r="N24" s="2732"/>
      <c r="O24" s="2732"/>
      <c r="P24" s="2732"/>
      <c r="Q24" s="2732"/>
      <c r="R24" s="2732"/>
      <c r="S24" s="2732"/>
      <c r="T24" s="1027"/>
    </row>
    <row r="25" spans="2:20" ht="15" customHeight="1">
      <c r="B25" s="1073"/>
      <c r="C25" s="1699"/>
      <c r="D25" s="1699"/>
      <c r="E25" s="1699"/>
      <c r="F25" s="1699"/>
      <c r="G25" s="1699"/>
      <c r="H25" s="1699"/>
      <c r="I25" s="1699"/>
      <c r="J25" s="1699"/>
      <c r="K25" s="1699"/>
      <c r="L25" s="1699"/>
      <c r="M25" s="1699"/>
      <c r="N25" s="1699"/>
      <c r="O25" s="1699"/>
      <c r="P25" s="1699"/>
      <c r="Q25" s="1699"/>
      <c r="R25" s="1699"/>
      <c r="S25" s="1699"/>
      <c r="T25" s="1027"/>
    </row>
    <row r="26" spans="2:20" ht="43.9" customHeight="1">
      <c r="B26" s="1073">
        <v>6</v>
      </c>
      <c r="C26" s="1935" t="s">
        <v>5555</v>
      </c>
      <c r="D26" s="1935"/>
      <c r="E26" s="1935"/>
      <c r="F26" s="1935"/>
      <c r="G26" s="1935"/>
      <c r="H26" s="1935"/>
      <c r="I26" s="1935"/>
      <c r="J26" s="1935"/>
      <c r="K26" s="1935"/>
      <c r="L26" s="1935"/>
      <c r="M26" s="1935"/>
      <c r="N26" s="1935"/>
      <c r="O26" s="1935"/>
      <c r="P26" s="1935"/>
      <c r="Q26" s="1935"/>
      <c r="R26" s="1935"/>
      <c r="S26" s="1935"/>
      <c r="T26" s="1027"/>
    </row>
    <row r="27" spans="2:20">
      <c r="B27" s="1027"/>
      <c r="C27" s="1235"/>
      <c r="D27" s="1235"/>
      <c r="E27" s="1235"/>
      <c r="F27" s="1235"/>
      <c r="G27" s="1235"/>
      <c r="H27" s="1235"/>
      <c r="I27" s="1235"/>
      <c r="J27" s="1235"/>
      <c r="K27" s="1235"/>
      <c r="L27" s="1235"/>
      <c r="M27" s="1235"/>
      <c r="N27" s="1235"/>
      <c r="O27" s="1235"/>
      <c r="P27" s="1235"/>
      <c r="Q27" s="1235"/>
      <c r="R27" s="1235"/>
      <c r="S27" s="1235"/>
      <c r="T27" s="1027"/>
    </row>
    <row r="28" spans="2:20" ht="14.45" customHeight="1">
      <c r="B28" s="1027">
        <v>7</v>
      </c>
      <c r="C28" s="1235" t="s">
        <v>5556</v>
      </c>
      <c r="D28" s="1231"/>
      <c r="E28" s="1231"/>
      <c r="F28" s="1231"/>
      <c r="G28" s="1231"/>
      <c r="H28" s="1231"/>
      <c r="I28" s="1231"/>
      <c r="J28" s="1231"/>
      <c r="K28" s="1231"/>
      <c r="L28" s="1231"/>
      <c r="M28" s="1231"/>
      <c r="N28" s="1231"/>
      <c r="O28" s="1231"/>
      <c r="P28" s="1231"/>
      <c r="Q28" s="1231"/>
      <c r="R28" s="1231"/>
      <c r="S28" s="1231"/>
      <c r="T28" s="1027"/>
    </row>
    <row r="29" spans="2:20" ht="14.45" customHeight="1">
      <c r="B29" s="1027"/>
      <c r="C29" s="1235"/>
      <c r="D29" s="1231"/>
      <c r="E29" s="1231"/>
      <c r="F29" s="1231"/>
      <c r="G29" s="1231"/>
      <c r="H29" s="1231"/>
      <c r="I29" s="1231"/>
      <c r="J29" s="1231"/>
      <c r="K29" s="1231"/>
      <c r="L29" s="1231"/>
      <c r="M29" s="1231"/>
      <c r="N29" s="1231"/>
      <c r="O29" s="1231"/>
      <c r="P29" s="1231"/>
      <c r="Q29" s="1231"/>
      <c r="R29" s="1231"/>
      <c r="S29" s="1231"/>
      <c r="T29" s="1027"/>
    </row>
    <row r="30" spans="2:20">
      <c r="B30" s="1027"/>
      <c r="C30" s="1231"/>
      <c r="D30" s="1235" t="s">
        <v>5557</v>
      </c>
      <c r="E30" s="1231"/>
      <c r="F30" s="258"/>
      <c r="G30" s="1231"/>
      <c r="H30" s="1231"/>
      <c r="I30" s="1231"/>
      <c r="J30" s="1231"/>
      <c r="K30" s="1231"/>
      <c r="L30" s="1231"/>
      <c r="M30" s="1231"/>
      <c r="N30" s="1231"/>
      <c r="O30" s="1231"/>
      <c r="P30" s="1231"/>
      <c r="Q30" s="1231"/>
      <c r="R30" s="1231"/>
      <c r="S30" s="1231"/>
      <c r="T30" s="1027"/>
    </row>
    <row r="31" spans="2:20" ht="15" customHeight="1">
      <c r="B31" s="1027"/>
      <c r="C31" s="1235"/>
      <c r="D31" s="1235"/>
      <c r="E31" s="1235"/>
      <c r="F31" s="1235"/>
      <c r="G31" s="1235"/>
      <c r="H31" s="1235"/>
      <c r="I31" s="1235"/>
      <c r="J31" s="1235"/>
      <c r="K31" s="1235"/>
      <c r="L31" s="1235"/>
      <c r="M31" s="1235"/>
      <c r="N31" s="1235"/>
      <c r="O31" s="1235"/>
      <c r="P31" s="1235"/>
      <c r="Q31" s="1235"/>
      <c r="R31" s="1235"/>
      <c r="S31" s="1235"/>
      <c r="T31" s="1027"/>
    </row>
    <row r="32" spans="2:20" ht="29.45" customHeight="1">
      <c r="B32" s="1235">
        <v>8</v>
      </c>
      <c r="C32" s="1935" t="s">
        <v>5558</v>
      </c>
      <c r="D32" s="1935"/>
      <c r="E32" s="1935"/>
      <c r="F32" s="1935"/>
      <c r="G32" s="1935"/>
      <c r="H32" s="1935"/>
      <c r="I32" s="1935"/>
      <c r="J32" s="1935"/>
      <c r="K32" s="1935"/>
      <c r="L32" s="1935"/>
      <c r="M32" s="1935"/>
      <c r="N32" s="1935"/>
      <c r="O32" s="1935"/>
      <c r="P32" s="1935"/>
      <c r="Q32" s="1935"/>
      <c r="R32" s="1935"/>
      <c r="S32" s="1935"/>
      <c r="T32" s="1027"/>
    </row>
    <row r="33" spans="2:20">
      <c r="B33" s="1027"/>
      <c r="C33" s="1235"/>
      <c r="D33" s="1235"/>
      <c r="E33" s="1235"/>
      <c r="F33" s="1235"/>
      <c r="G33" s="1235"/>
      <c r="H33" s="1235"/>
      <c r="I33" s="1235"/>
      <c r="J33" s="1235"/>
      <c r="K33" s="1235"/>
      <c r="L33" s="1235"/>
      <c r="M33" s="1235"/>
      <c r="N33" s="1235"/>
      <c r="O33" s="1235"/>
      <c r="P33" s="1235"/>
      <c r="Q33" s="1235"/>
      <c r="R33" s="1235"/>
      <c r="S33" s="1235"/>
      <c r="T33" s="1027"/>
    </row>
    <row r="34" spans="2:20">
      <c r="B34" s="1027"/>
      <c r="C34" s="1235"/>
      <c r="D34" s="1235"/>
      <c r="E34" s="1235"/>
      <c r="F34" s="1235"/>
      <c r="G34" s="1235"/>
      <c r="H34" s="1235"/>
      <c r="I34" s="1235"/>
      <c r="J34" s="1235"/>
      <c r="K34" s="1235"/>
      <c r="L34" s="1235"/>
      <c r="M34" s="1235"/>
      <c r="N34" s="1235"/>
      <c r="O34" s="1235"/>
      <c r="P34" s="1235"/>
      <c r="Q34" s="1235"/>
      <c r="R34" s="1235"/>
      <c r="S34" s="1235"/>
      <c r="T34" s="1027"/>
    </row>
    <row r="35" spans="2:20">
      <c r="B35" s="1027"/>
      <c r="C35" s="1235"/>
      <c r="D35" s="1235"/>
      <c r="E35" s="1027" t="s">
        <v>4</v>
      </c>
      <c r="F35" s="2725"/>
      <c r="G35" s="2727"/>
      <c r="H35" s="1235"/>
      <c r="I35" s="1235"/>
      <c r="J35" s="1235"/>
      <c r="K35" s="1235"/>
      <c r="L35" s="1235"/>
      <c r="M35" s="1235"/>
      <c r="N35" s="1235"/>
      <c r="O35" s="1235"/>
      <c r="P35" s="1235"/>
      <c r="Q35" s="1235"/>
      <c r="R35" s="1235"/>
      <c r="S35" s="1235"/>
      <c r="T35" s="1027"/>
    </row>
    <row r="36" spans="2:20" ht="15" customHeight="1">
      <c r="B36" s="1027"/>
      <c r="C36" s="1235"/>
      <c r="D36" s="1231"/>
      <c r="E36" s="1040" t="s">
        <v>5559</v>
      </c>
      <c r="F36" s="2725"/>
      <c r="G36" s="2726"/>
      <c r="H36" s="2726"/>
      <c r="I36" s="2726"/>
      <c r="J36" s="2726"/>
      <c r="K36" s="2726"/>
      <c r="L36" s="2726"/>
      <c r="M36" s="2727"/>
      <c r="N36" s="1231"/>
      <c r="O36" s="1231"/>
      <c r="P36" s="1231"/>
      <c r="Q36" s="1231"/>
      <c r="R36" s="1231"/>
      <c r="S36" s="1231"/>
      <c r="T36" s="1027"/>
    </row>
    <row r="37" spans="2:20">
      <c r="B37" s="1027"/>
      <c r="C37" s="1235"/>
      <c r="D37" s="1231"/>
      <c r="E37" s="1231"/>
      <c r="F37" s="1231"/>
      <c r="G37" s="1231"/>
      <c r="H37" s="1231"/>
      <c r="I37" s="1231"/>
      <c r="J37" s="1231"/>
      <c r="K37" s="1231"/>
      <c r="L37" s="1231"/>
      <c r="M37" s="1231"/>
      <c r="N37" s="1231"/>
      <c r="O37" s="1231"/>
      <c r="P37" s="1231"/>
      <c r="Q37" s="1231"/>
      <c r="R37" s="1231"/>
      <c r="S37" s="1231"/>
      <c r="T37" s="1027"/>
    </row>
    <row r="38" spans="2:20" ht="15" customHeight="1">
      <c r="B38" s="1027"/>
      <c r="C38" s="1235"/>
      <c r="D38" s="1231"/>
      <c r="E38" s="1040" t="s">
        <v>5560</v>
      </c>
      <c r="F38" s="2725"/>
      <c r="G38" s="2726"/>
      <c r="H38" s="2726"/>
      <c r="I38" s="2726"/>
      <c r="J38" s="2727"/>
      <c r="K38" s="1231"/>
      <c r="L38" s="1231"/>
      <c r="M38" s="1231"/>
      <c r="N38" s="1231"/>
      <c r="O38" s="1231"/>
      <c r="P38" s="1231"/>
      <c r="Q38" s="1231"/>
      <c r="R38" s="1231"/>
      <c r="S38" s="1231"/>
      <c r="T38" s="1027"/>
    </row>
    <row r="39" spans="2:20">
      <c r="B39" s="1027"/>
      <c r="C39" s="1235"/>
      <c r="D39" s="1231"/>
      <c r="E39" s="1040" t="s">
        <v>5561</v>
      </c>
      <c r="F39" s="2725"/>
      <c r="G39" s="2726"/>
      <c r="H39" s="2726"/>
      <c r="I39" s="2726"/>
      <c r="J39" s="2726"/>
      <c r="K39" s="2726"/>
      <c r="L39" s="2726"/>
      <c r="M39" s="2727"/>
      <c r="N39" s="1231"/>
      <c r="O39" s="1231"/>
      <c r="P39" s="1231"/>
      <c r="Q39" s="1231"/>
      <c r="R39" s="1231"/>
      <c r="S39" s="1231"/>
      <c r="T39" s="1027"/>
    </row>
    <row r="40" spans="2:20">
      <c r="B40" s="1027"/>
      <c r="C40" s="1235"/>
      <c r="D40" s="1235"/>
      <c r="E40" s="1235"/>
      <c r="F40" s="1235"/>
      <c r="G40" s="1235"/>
      <c r="H40" s="1235"/>
      <c r="I40" s="1235"/>
      <c r="J40" s="1235"/>
      <c r="K40" s="1235"/>
      <c r="L40" s="1235"/>
      <c r="M40" s="1235"/>
      <c r="N40" s="1235"/>
      <c r="O40" s="1235"/>
      <c r="P40" s="1235"/>
      <c r="Q40" s="1235"/>
      <c r="R40" s="1235"/>
      <c r="S40" s="1235"/>
      <c r="T40" s="1027"/>
    </row>
  </sheetData>
  <sheetProtection algorithmName="SHA-512" hashValue="wO+LXXvPbrWZXueNDlOcMZW3Irp561ASJtCQIKpp7WNsEuxPMVsAfKXrwQKDRePcDsqKbvALs8Rcc+17+2EOPA==" saltValue="GJhX5E9Kuqk9exNcHhKt7Q==" spinCount="100000" sheet="1" objects="1" scenarios="1" selectLockedCells="1"/>
  <mergeCells count="16">
    <mergeCell ref="C16:S16"/>
    <mergeCell ref="C18:S18"/>
    <mergeCell ref="C20:S20"/>
    <mergeCell ref="C26:S26"/>
    <mergeCell ref="C24:S24"/>
    <mergeCell ref="C22:S22"/>
    <mergeCell ref="B7:S7"/>
    <mergeCell ref="B8:I8"/>
    <mergeCell ref="H10:J10"/>
    <mergeCell ref="H12:Q12"/>
    <mergeCell ref="H11:Q11"/>
    <mergeCell ref="F38:J38"/>
    <mergeCell ref="F39:M39"/>
    <mergeCell ref="F36:M36"/>
    <mergeCell ref="F35:G35"/>
    <mergeCell ref="C32:S32"/>
  </mergeCells>
  <dataValidations count="1">
    <dataValidation type="custom" allowBlank="1" showInputMessage="1" showErrorMessage="1" sqref="P1" xr:uid="{30393E92-78D7-46B6-8CA9-346BE2C365BB}">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32C3-A590-4683-BAEA-A5E18FEF0659}">
  <sheetPr codeName="Sheet53">
    <pageSetUpPr fitToPage="1"/>
  </sheetPr>
  <dimension ref="B1:DP56"/>
  <sheetViews>
    <sheetView tabSelected="1" workbookViewId="0">
      <selection activeCell="D38" sqref="D38:E38"/>
    </sheetView>
  </sheetViews>
  <sheetFormatPr defaultColWidth="8.85546875" defaultRowHeight="15"/>
  <cols>
    <col min="1" max="1" width="4.28515625" style="3" customWidth="1"/>
    <col min="2" max="16" width="10.28515625" style="3" customWidth="1"/>
    <col min="17" max="18" width="8.85546875" style="3"/>
    <col min="19" max="19" width="7.28515625" style="3" customWidth="1"/>
    <col min="20" max="20" width="5.140625" style="3" customWidth="1"/>
    <col min="21" max="39" width="9.140625" style="3" customWidth="1"/>
    <col min="40" max="16384" width="8.85546875" style="3"/>
  </cols>
  <sheetData>
    <row r="1" spans="2:120" ht="28.5">
      <c r="B1" s="4" t="str">
        <f>'1. TOC'!B1</f>
        <v>WHEDA 2025 Multifamily Application</v>
      </c>
      <c r="I1" s="115" t="str">
        <f>'1. TOC'!L1</f>
        <v>v25.1.12</v>
      </c>
      <c r="J1" s="947" t="str">
        <f>HYPERLINK("#Table_of_Contents", Table_of_Contents)</f>
        <v>Table of Contents</v>
      </c>
      <c r="K1" s="950"/>
      <c r="M1"/>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s="861" customFormat="1" ht="21">
      <c r="B2" s="886" t="str">
        <f>_xlfn.CONCAT(IF(ISBLANK(WHEDA_Project_Number),"",_xlfn.CONCAT(WHEDA_Project_Number," - ")), Project_Name, IF(ISBLANK(Credit_percentage_applied_for),"",_xlfn.CONCAT(" - ", Credit_percentage_applied_for," HTC")))</f>
        <v/>
      </c>
      <c r="C2" s="841"/>
      <c r="D2" s="841"/>
      <c r="E2" s="841"/>
      <c r="F2" s="841"/>
      <c r="G2" s="841"/>
      <c r="H2" s="841"/>
      <c r="I2" s="841"/>
      <c r="J2" s="841"/>
      <c r="K2" s="841"/>
      <c r="L2" s="841"/>
      <c r="M2" s="841"/>
      <c r="N2" s="841"/>
      <c r="O2" s="841"/>
      <c r="P2" s="841"/>
      <c r="Q2" s="841"/>
      <c r="R2" s="841"/>
      <c r="S2" s="841"/>
      <c r="T2" s="841"/>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c r="BC2" s="870"/>
      <c r="BD2" s="870"/>
      <c r="BE2" s="870"/>
      <c r="BF2" s="870"/>
      <c r="BG2" s="870"/>
      <c r="BH2" s="870"/>
      <c r="BI2" s="870"/>
      <c r="BJ2" s="870"/>
      <c r="BK2" s="870"/>
      <c r="BL2" s="870"/>
      <c r="BM2" s="870"/>
      <c r="BN2" s="870"/>
      <c r="BO2" s="870"/>
      <c r="BP2" s="870"/>
      <c r="BQ2" s="870"/>
      <c r="BR2" s="870"/>
      <c r="BS2" s="870"/>
      <c r="BT2" s="870"/>
      <c r="BU2" s="870"/>
      <c r="BV2" s="870"/>
      <c r="BW2" s="870"/>
      <c r="BX2" s="870"/>
      <c r="BY2" s="870"/>
      <c r="BZ2" s="870"/>
      <c r="CA2" s="870"/>
      <c r="CB2" s="870"/>
      <c r="CC2" s="870"/>
      <c r="CD2" s="870"/>
      <c r="CE2" s="870"/>
      <c r="CF2" s="870"/>
      <c r="CG2" s="870"/>
      <c r="CH2" s="870"/>
      <c r="CI2" s="870"/>
      <c r="CJ2" s="870"/>
      <c r="CK2" s="870"/>
      <c r="CL2" s="870"/>
      <c r="CM2" s="870"/>
      <c r="CN2" s="870"/>
      <c r="CO2" s="870"/>
      <c r="CP2" s="870"/>
      <c r="CQ2" s="870"/>
      <c r="CR2" s="870"/>
      <c r="CS2" s="870"/>
      <c r="CT2" s="870"/>
      <c r="CU2" s="870"/>
      <c r="CV2" s="870"/>
      <c r="CW2" s="870"/>
      <c r="CX2" s="870"/>
      <c r="CY2" s="870"/>
      <c r="CZ2" s="870"/>
      <c r="DA2" s="870"/>
      <c r="DB2" s="870"/>
      <c r="DC2" s="870"/>
      <c r="DD2" s="870"/>
      <c r="DE2" s="870"/>
      <c r="DF2" s="870"/>
      <c r="DG2" s="870"/>
      <c r="DH2" s="870"/>
      <c r="DI2" s="870"/>
      <c r="DJ2" s="870"/>
      <c r="DK2" s="870"/>
      <c r="DL2" s="870"/>
      <c r="DM2" s="870"/>
      <c r="DN2" s="870"/>
      <c r="DO2" s="870"/>
      <c r="DP2" s="870"/>
    </row>
    <row r="3" spans="2:120">
      <c r="C3" s="896"/>
      <c r="D3" s="896"/>
      <c r="E3" s="896"/>
      <c r="F3" s="896"/>
      <c r="G3" s="896"/>
      <c r="H3" s="896"/>
      <c r="I3" s="896"/>
      <c r="J3" s="896"/>
      <c r="K3" s="896"/>
      <c r="L3" s="896"/>
      <c r="M3" s="896"/>
      <c r="N3" s="896"/>
      <c r="O3" s="896"/>
      <c r="P3" s="896"/>
      <c r="Q3" s="896"/>
      <c r="R3" s="896"/>
      <c r="S3" s="896"/>
      <c r="T3" s="896"/>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5">
      <c r="B4" s="4" t="s">
        <v>5562</v>
      </c>
      <c r="C4" s="773"/>
      <c r="D4" s="773"/>
      <c r="E4" s="773"/>
      <c r="F4" s="773"/>
      <c r="G4" s="773"/>
      <c r="H4" s="773"/>
      <c r="I4" s="773"/>
      <c r="J4" s="773"/>
      <c r="K4" s="773"/>
      <c r="L4" s="773"/>
      <c r="M4" s="774"/>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c r="B5" s="1027"/>
      <c r="C5" s="1027"/>
      <c r="D5" s="1027"/>
      <c r="E5" s="1027"/>
      <c r="F5" s="1027"/>
      <c r="G5" s="1027"/>
      <c r="H5" s="1027"/>
      <c r="I5" s="1027"/>
      <c r="J5" s="1027"/>
      <c r="K5" s="1027"/>
      <c r="L5" s="1027"/>
      <c r="M5" s="1027"/>
      <c r="N5" s="1027"/>
      <c r="O5" s="1027"/>
      <c r="P5" s="1027"/>
      <c r="Q5" s="1027"/>
      <c r="R5" s="1027"/>
      <c r="S5" s="1027"/>
      <c r="T5" s="1027"/>
    </row>
    <row r="6" spans="2:120">
      <c r="B6" s="2290" t="s">
        <v>5563</v>
      </c>
      <c r="C6" s="2290"/>
      <c r="D6" s="2290"/>
      <c r="E6" s="2290"/>
      <c r="F6" s="2290"/>
      <c r="G6" s="2290"/>
      <c r="H6" s="2290"/>
      <c r="I6" s="2290"/>
      <c r="J6" s="2290"/>
      <c r="K6" s="2290"/>
      <c r="L6" s="2290"/>
      <c r="M6" s="2290"/>
      <c r="N6" s="2290"/>
      <c r="O6" s="2290"/>
      <c r="P6" s="2290"/>
      <c r="Q6" s="2290"/>
      <c r="R6" s="2290"/>
      <c r="S6" s="2290"/>
      <c r="T6" s="1027"/>
    </row>
    <row r="7" spans="2:120">
      <c r="B7" s="2290"/>
      <c r="C7" s="2290"/>
      <c r="D7" s="2290"/>
      <c r="E7" s="2290"/>
      <c r="F7" s="2290"/>
      <c r="G7" s="2290"/>
      <c r="H7" s="2290"/>
      <c r="I7" s="2290"/>
      <c r="J7" s="2290"/>
      <c r="K7" s="2290"/>
      <c r="L7" s="2290"/>
      <c r="M7" s="2290"/>
      <c r="N7" s="2290"/>
      <c r="O7" s="2290"/>
      <c r="P7" s="2290"/>
      <c r="Q7" s="2290"/>
      <c r="R7" s="2290"/>
      <c r="S7" s="2290"/>
      <c r="T7" s="1027"/>
    </row>
    <row r="8" spans="2:120">
      <c r="B8" s="1733"/>
      <c r="C8" s="1733"/>
      <c r="D8" s="1733"/>
      <c r="E8" s="1733"/>
      <c r="F8" s="1733"/>
      <c r="G8" s="1733"/>
      <c r="H8" s="1733"/>
      <c r="I8" s="1733"/>
      <c r="J8" s="1733"/>
      <c r="K8" s="1733"/>
      <c r="L8" s="1733"/>
      <c r="M8" s="1733"/>
      <c r="N8" s="1733"/>
      <c r="O8" s="1733"/>
      <c r="P8" s="1733"/>
      <c r="Q8" s="1733"/>
      <c r="R8" s="1733"/>
      <c r="S8" s="1733"/>
      <c r="T8" s="1027"/>
    </row>
    <row r="9" spans="2:120">
      <c r="B9" s="1027"/>
      <c r="C9" s="1027">
        <v>1</v>
      </c>
      <c r="D9" s="1935" t="s">
        <v>5564</v>
      </c>
      <c r="E9" s="1935"/>
      <c r="F9" s="1935"/>
      <c r="G9" s="1935"/>
      <c r="H9" s="1935"/>
      <c r="I9" s="1935"/>
      <c r="J9" s="1935"/>
      <c r="K9" s="1935"/>
      <c r="L9" s="1935"/>
      <c r="M9" s="1935"/>
      <c r="N9" s="1935"/>
      <c r="O9" s="1935"/>
      <c r="P9" s="1935"/>
      <c r="Q9" s="1935"/>
      <c r="R9" s="1935"/>
      <c r="S9" s="1935"/>
      <c r="T9" s="1027"/>
    </row>
    <row r="10" spans="2:120">
      <c r="B10" s="1027"/>
      <c r="C10" s="1027"/>
      <c r="D10" s="1935"/>
      <c r="E10" s="1935"/>
      <c r="F10" s="1935"/>
      <c r="G10" s="1935"/>
      <c r="H10" s="1935"/>
      <c r="I10" s="1935"/>
      <c r="J10" s="1935"/>
      <c r="K10" s="1935"/>
      <c r="L10" s="1935"/>
      <c r="M10" s="1935"/>
      <c r="N10" s="1935"/>
      <c r="O10" s="1935"/>
      <c r="P10" s="1935"/>
      <c r="Q10" s="1935"/>
      <c r="R10" s="1935"/>
      <c r="S10" s="1935"/>
      <c r="T10" s="1027"/>
    </row>
    <row r="11" spans="2:120">
      <c r="B11" s="1027"/>
      <c r="C11" s="1027"/>
      <c r="D11" s="1935"/>
      <c r="E11" s="1935"/>
      <c r="F11" s="1935"/>
      <c r="G11" s="1935"/>
      <c r="H11" s="1935"/>
      <c r="I11" s="1935"/>
      <c r="J11" s="1935"/>
      <c r="K11" s="1935"/>
      <c r="L11" s="1935"/>
      <c r="M11" s="1935"/>
      <c r="N11" s="1935"/>
      <c r="O11" s="1935"/>
      <c r="P11" s="1935"/>
      <c r="Q11" s="1935"/>
      <c r="R11" s="1935"/>
      <c r="S11" s="1935"/>
      <c r="T11" s="1027"/>
    </row>
    <row r="12" spans="2:120">
      <c r="B12" s="1027"/>
      <c r="C12" s="1027">
        <v>2</v>
      </c>
      <c r="D12" s="1935" t="s">
        <v>5565</v>
      </c>
      <c r="E12" s="1935"/>
      <c r="F12" s="1935"/>
      <c r="G12" s="1935"/>
      <c r="H12" s="1935"/>
      <c r="I12" s="1935"/>
      <c r="J12" s="1935"/>
      <c r="K12" s="1935"/>
      <c r="L12" s="1935"/>
      <c r="M12" s="1935"/>
      <c r="N12" s="1935"/>
      <c r="O12" s="1935"/>
      <c r="P12" s="1935"/>
      <c r="Q12" s="1935"/>
      <c r="R12" s="1935"/>
      <c r="S12" s="1935"/>
      <c r="T12" s="1027"/>
    </row>
    <row r="13" spans="2:120">
      <c r="B13" s="1027"/>
      <c r="C13" s="1027"/>
      <c r="D13" s="1935"/>
      <c r="E13" s="1935"/>
      <c r="F13" s="1935"/>
      <c r="G13" s="1935"/>
      <c r="H13" s="1935"/>
      <c r="I13" s="1935"/>
      <c r="J13" s="1935"/>
      <c r="K13" s="1935"/>
      <c r="L13" s="1935"/>
      <c r="M13" s="1935"/>
      <c r="N13" s="1935"/>
      <c r="O13" s="1935"/>
      <c r="P13" s="1935"/>
      <c r="Q13" s="1935"/>
      <c r="R13" s="1935"/>
      <c r="S13" s="1935"/>
      <c r="T13" s="1027"/>
    </row>
    <row r="14" spans="2:120" ht="21" customHeight="1">
      <c r="B14" s="1027"/>
      <c r="C14" s="1027"/>
      <c r="D14" s="1935"/>
      <c r="E14" s="1935"/>
      <c r="F14" s="1935"/>
      <c r="G14" s="1935"/>
      <c r="H14" s="1935"/>
      <c r="I14" s="1935"/>
      <c r="J14" s="1935"/>
      <c r="K14" s="1935"/>
      <c r="L14" s="1935"/>
      <c r="M14" s="1935"/>
      <c r="N14" s="1935"/>
      <c r="O14" s="1935"/>
      <c r="P14" s="1935"/>
      <c r="Q14" s="1935"/>
      <c r="R14" s="1935"/>
      <c r="S14" s="1935"/>
      <c r="T14" s="1027"/>
    </row>
    <row r="15" spans="2:120">
      <c r="B15" s="1027"/>
      <c r="C15" s="1027"/>
      <c r="D15" s="1027"/>
      <c r="E15" s="1027"/>
      <c r="F15" s="1027"/>
      <c r="G15" s="1027"/>
      <c r="H15" s="1027"/>
      <c r="I15" s="1027"/>
      <c r="J15" s="1027"/>
      <c r="K15" s="1027"/>
      <c r="L15" s="1027"/>
      <c r="M15" s="1027"/>
      <c r="N15" s="1027"/>
      <c r="O15" s="1027"/>
      <c r="P15" s="1027"/>
      <c r="Q15" s="1027"/>
      <c r="R15" s="1027"/>
      <c r="S15" s="1027"/>
      <c r="T15" s="1027"/>
    </row>
    <row r="16" spans="2:120">
      <c r="B16" s="1027"/>
      <c r="C16" s="1027">
        <v>3</v>
      </c>
      <c r="D16" s="1935" t="s">
        <v>5566</v>
      </c>
      <c r="E16" s="1935"/>
      <c r="F16" s="1935"/>
      <c r="G16" s="1935"/>
      <c r="H16" s="1935"/>
      <c r="I16" s="1935"/>
      <c r="J16" s="1935"/>
      <c r="K16" s="1935"/>
      <c r="L16" s="1935"/>
      <c r="M16" s="1935"/>
      <c r="N16" s="1935"/>
      <c r="O16" s="1935"/>
      <c r="P16" s="1935"/>
      <c r="Q16" s="1935"/>
      <c r="R16" s="1935"/>
      <c r="S16" s="1935"/>
      <c r="T16" s="1027"/>
    </row>
    <row r="17" spans="2:20">
      <c r="B17" s="1027"/>
      <c r="C17" s="1027"/>
      <c r="D17" s="1935"/>
      <c r="E17" s="1935"/>
      <c r="F17" s="1935"/>
      <c r="G17" s="1935"/>
      <c r="H17" s="1935"/>
      <c r="I17" s="1935"/>
      <c r="J17" s="1935"/>
      <c r="K17" s="1935"/>
      <c r="L17" s="1935"/>
      <c r="M17" s="1935"/>
      <c r="N17" s="1935"/>
      <c r="O17" s="1935"/>
      <c r="P17" s="1935"/>
      <c r="Q17" s="1935"/>
      <c r="R17" s="1935"/>
      <c r="S17" s="1935"/>
      <c r="T17" s="1027"/>
    </row>
    <row r="18" spans="2:20">
      <c r="B18" s="1027"/>
      <c r="C18" s="1027"/>
      <c r="D18" s="1027"/>
      <c r="E18" s="1027"/>
      <c r="F18" s="1027"/>
      <c r="G18" s="1027"/>
      <c r="H18" s="1027"/>
      <c r="I18" s="1027"/>
      <c r="J18" s="1027"/>
      <c r="K18" s="1027"/>
      <c r="L18" s="1027"/>
      <c r="M18" s="1027"/>
      <c r="N18" s="1027"/>
      <c r="O18" s="1027"/>
      <c r="P18" s="1027"/>
      <c r="Q18" s="1027"/>
      <c r="R18" s="1027"/>
      <c r="S18" s="1027"/>
      <c r="T18" s="1027"/>
    </row>
    <row r="19" spans="2:20">
      <c r="B19" s="1027"/>
      <c r="C19" s="1027">
        <v>4</v>
      </c>
      <c r="D19" s="1935" t="s">
        <v>5567</v>
      </c>
      <c r="E19" s="1935"/>
      <c r="F19" s="1935"/>
      <c r="G19" s="1935"/>
      <c r="H19" s="1935"/>
      <c r="I19" s="1935"/>
      <c r="J19" s="1935"/>
      <c r="K19" s="1935"/>
      <c r="L19" s="1935"/>
      <c r="M19" s="1935"/>
      <c r="N19" s="1935"/>
      <c r="O19" s="1935"/>
      <c r="P19" s="1935"/>
      <c r="Q19" s="1935"/>
      <c r="R19" s="1935"/>
      <c r="S19" s="1935"/>
      <c r="T19" s="1027"/>
    </row>
    <row r="20" spans="2:20">
      <c r="B20" s="1027"/>
      <c r="C20" s="1027"/>
      <c r="D20" s="1935"/>
      <c r="E20" s="1935"/>
      <c r="F20" s="1935"/>
      <c r="G20" s="1935"/>
      <c r="H20" s="1935"/>
      <c r="I20" s="1935"/>
      <c r="J20" s="1935"/>
      <c r="K20" s="1935"/>
      <c r="L20" s="1935"/>
      <c r="M20" s="1935"/>
      <c r="N20" s="1935"/>
      <c r="O20" s="1935"/>
      <c r="P20" s="1935"/>
      <c r="Q20" s="1935"/>
      <c r="R20" s="1935"/>
      <c r="S20" s="1935"/>
      <c r="T20" s="1027"/>
    </row>
    <row r="21" spans="2:20">
      <c r="B21" s="1027"/>
      <c r="C21" s="1027"/>
      <c r="D21" s="1935"/>
      <c r="E21" s="1935"/>
      <c r="F21" s="1935"/>
      <c r="G21" s="1935"/>
      <c r="H21" s="1935"/>
      <c r="I21" s="1935"/>
      <c r="J21" s="1935"/>
      <c r="K21" s="1935"/>
      <c r="L21" s="1935"/>
      <c r="M21" s="1935"/>
      <c r="N21" s="1935"/>
      <c r="O21" s="1935"/>
      <c r="P21" s="1935"/>
      <c r="Q21" s="1935"/>
      <c r="R21" s="1935"/>
      <c r="S21" s="1935"/>
      <c r="T21" s="1027"/>
    </row>
    <row r="22" spans="2:20" ht="20.25" customHeight="1">
      <c r="B22" s="1027"/>
      <c r="C22" s="1027"/>
      <c r="D22" s="1935"/>
      <c r="E22" s="1935"/>
      <c r="F22" s="1935"/>
      <c r="G22" s="1935"/>
      <c r="H22" s="1935"/>
      <c r="I22" s="1935"/>
      <c r="J22" s="1935"/>
      <c r="K22" s="1935"/>
      <c r="L22" s="1935"/>
      <c r="M22" s="1935"/>
      <c r="N22" s="1935"/>
      <c r="O22" s="1935"/>
      <c r="P22" s="1935"/>
      <c r="Q22" s="1935"/>
      <c r="R22" s="1935"/>
      <c r="S22" s="1935"/>
      <c r="T22" s="1027"/>
    </row>
    <row r="23" spans="2:20">
      <c r="B23" s="1027"/>
      <c r="C23" s="1027"/>
      <c r="D23" s="1027"/>
      <c r="E23" s="1027"/>
      <c r="F23" s="1027"/>
      <c r="G23" s="1027"/>
      <c r="H23" s="1027"/>
      <c r="I23" s="1027"/>
      <c r="J23" s="1027"/>
      <c r="K23" s="1027"/>
      <c r="L23" s="1027"/>
      <c r="M23" s="1027"/>
      <c r="N23" s="1027"/>
      <c r="O23" s="1027"/>
      <c r="P23" s="1027"/>
      <c r="Q23" s="1027"/>
      <c r="R23" s="1027"/>
      <c r="S23" s="1027"/>
      <c r="T23" s="1027"/>
    </row>
    <row r="24" spans="2:20">
      <c r="B24" s="1027"/>
      <c r="C24" s="1027">
        <v>5</v>
      </c>
      <c r="D24" s="1935" t="s">
        <v>5568</v>
      </c>
      <c r="E24" s="1935"/>
      <c r="F24" s="1935"/>
      <c r="G24" s="1935"/>
      <c r="H24" s="1935"/>
      <c r="I24" s="1935"/>
      <c r="J24" s="1935"/>
      <c r="K24" s="1935"/>
      <c r="L24" s="1935"/>
      <c r="M24" s="1935"/>
      <c r="N24" s="1935"/>
      <c r="O24" s="1935"/>
      <c r="P24" s="1935"/>
      <c r="Q24" s="1935"/>
      <c r="R24" s="1935"/>
      <c r="S24" s="1935"/>
      <c r="T24" s="1027"/>
    </row>
    <row r="25" spans="2:20" ht="16.5" customHeight="1">
      <c r="B25" s="1027"/>
      <c r="C25" s="1027"/>
      <c r="D25" s="1935"/>
      <c r="E25" s="1935"/>
      <c r="F25" s="1935"/>
      <c r="G25" s="1935"/>
      <c r="H25" s="1935"/>
      <c r="I25" s="1935"/>
      <c r="J25" s="1935"/>
      <c r="K25" s="1935"/>
      <c r="L25" s="1935"/>
      <c r="M25" s="1935"/>
      <c r="N25" s="1935"/>
      <c r="O25" s="1935"/>
      <c r="P25" s="1935"/>
      <c r="Q25" s="1935"/>
      <c r="R25" s="1935"/>
      <c r="S25" s="1935"/>
      <c r="T25" s="1027"/>
    </row>
    <row r="26" spans="2:20">
      <c r="B26" s="1027"/>
      <c r="C26" s="1027"/>
      <c r="D26" s="1235"/>
      <c r="E26" s="1235"/>
      <c r="F26" s="1235"/>
      <c r="G26" s="1235"/>
      <c r="H26" s="1235"/>
      <c r="I26" s="1235"/>
      <c r="J26" s="1235"/>
      <c r="K26" s="1235"/>
      <c r="L26" s="1235"/>
      <c r="M26" s="1235"/>
      <c r="N26" s="1235"/>
      <c r="O26" s="1235"/>
      <c r="P26" s="1235"/>
      <c r="Q26" s="1235"/>
      <c r="R26" s="1235"/>
      <c r="S26" s="1235"/>
      <c r="T26" s="1027"/>
    </row>
    <row r="27" spans="2:20">
      <c r="B27" s="1027"/>
      <c r="C27" s="1027">
        <v>6</v>
      </c>
      <c r="D27" s="2732" t="s">
        <v>5569</v>
      </c>
      <c r="E27" s="2732"/>
      <c r="F27" s="2732"/>
      <c r="G27" s="2732"/>
      <c r="H27" s="2732"/>
      <c r="I27" s="2732"/>
      <c r="J27" s="2732"/>
      <c r="K27" s="2732"/>
      <c r="L27" s="2732"/>
      <c r="M27" s="2732"/>
      <c r="N27" s="2732"/>
      <c r="O27" s="2732"/>
      <c r="P27" s="2732"/>
      <c r="Q27" s="2732"/>
      <c r="R27" s="2732"/>
      <c r="S27" s="2732"/>
      <c r="T27" s="1027"/>
    </row>
    <row r="28" spans="2:20">
      <c r="B28" s="1027"/>
      <c r="C28" s="1027"/>
      <c r="D28" s="1235"/>
      <c r="E28" s="1235"/>
      <c r="F28" s="1235"/>
      <c r="G28" s="1235"/>
      <c r="H28" s="1235"/>
      <c r="I28" s="1235"/>
      <c r="J28" s="1235"/>
      <c r="K28" s="1235"/>
      <c r="L28" s="1235"/>
      <c r="M28" s="1235"/>
      <c r="N28" s="1235"/>
      <c r="O28" s="1235"/>
      <c r="P28" s="1235"/>
      <c r="Q28" s="1235"/>
      <c r="R28" s="1235"/>
      <c r="S28" s="1235"/>
      <c r="T28" s="1027"/>
    </row>
    <row r="29" spans="2:20">
      <c r="B29" s="1027"/>
      <c r="C29" s="1027">
        <v>7</v>
      </c>
      <c r="D29" s="2732" t="s">
        <v>5570</v>
      </c>
      <c r="E29" s="2732"/>
      <c r="F29" s="2732"/>
      <c r="G29" s="2732"/>
      <c r="H29" s="2732"/>
      <c r="I29" s="2732"/>
      <c r="J29" s="2732"/>
      <c r="K29" s="2732"/>
      <c r="L29" s="2732"/>
      <c r="M29" s="2732"/>
      <c r="N29" s="2732"/>
      <c r="O29" s="2732"/>
      <c r="P29" s="2732"/>
      <c r="Q29" s="2732"/>
      <c r="R29" s="2732"/>
      <c r="S29" s="2732"/>
      <c r="T29" s="1027"/>
    </row>
    <row r="30" spans="2:20">
      <c r="B30" s="1027"/>
      <c r="C30" s="1027"/>
      <c r="D30" s="1235"/>
      <c r="E30" s="1235"/>
      <c r="F30" s="1235"/>
      <c r="G30" s="1235"/>
      <c r="H30" s="1235"/>
      <c r="I30" s="1235"/>
      <c r="J30" s="1235"/>
      <c r="K30" s="1235"/>
      <c r="L30" s="1235"/>
      <c r="M30" s="1235"/>
      <c r="N30" s="1235"/>
      <c r="O30" s="1235"/>
      <c r="P30" s="1235"/>
      <c r="Q30" s="1235"/>
      <c r="R30" s="1235"/>
      <c r="S30" s="1235"/>
      <c r="T30" s="1027"/>
    </row>
    <row r="31" spans="2:20">
      <c r="B31" s="1027"/>
      <c r="C31" s="1027">
        <v>8</v>
      </c>
      <c r="D31" s="1935" t="s">
        <v>5571</v>
      </c>
      <c r="E31" s="1935"/>
      <c r="F31" s="1935"/>
      <c r="G31" s="1935"/>
      <c r="H31" s="1935"/>
      <c r="I31" s="1935"/>
      <c r="J31" s="1935"/>
      <c r="K31" s="1935"/>
      <c r="L31" s="1935"/>
      <c r="M31" s="1935"/>
      <c r="N31" s="1935"/>
      <c r="O31" s="1935"/>
      <c r="P31" s="1935"/>
      <c r="Q31" s="1935"/>
      <c r="R31" s="1935"/>
      <c r="S31" s="1935"/>
      <c r="T31" s="1027"/>
    </row>
    <row r="32" spans="2:20">
      <c r="B32" s="1027"/>
      <c r="C32" s="1027"/>
      <c r="D32" s="1935"/>
      <c r="E32" s="1935"/>
      <c r="F32" s="1935"/>
      <c r="G32" s="1935"/>
      <c r="H32" s="1935"/>
      <c r="I32" s="1935"/>
      <c r="J32" s="1935"/>
      <c r="K32" s="1935"/>
      <c r="L32" s="1935"/>
      <c r="M32" s="1935"/>
      <c r="N32" s="1935"/>
      <c r="O32" s="1935"/>
      <c r="P32" s="1935"/>
      <c r="Q32" s="1935"/>
      <c r="R32" s="1935"/>
      <c r="S32" s="1935"/>
      <c r="T32" s="1027"/>
    </row>
    <row r="33" spans="2:20">
      <c r="B33" s="1027"/>
      <c r="C33" s="1027"/>
      <c r="D33" s="1231"/>
      <c r="E33" s="1231"/>
      <c r="F33" s="1231"/>
      <c r="G33" s="1231"/>
      <c r="H33" s="1231"/>
      <c r="I33" s="1231"/>
      <c r="J33" s="1231"/>
      <c r="K33" s="1231"/>
      <c r="L33" s="1231"/>
      <c r="M33" s="1231"/>
      <c r="N33" s="1231"/>
      <c r="O33" s="1231"/>
      <c r="P33" s="1231"/>
      <c r="Q33" s="1231"/>
      <c r="R33" s="1231"/>
      <c r="S33" s="1231"/>
      <c r="T33" s="1027"/>
    </row>
    <row r="34" spans="2:20">
      <c r="B34" s="1027"/>
      <c r="C34" s="1027">
        <v>9</v>
      </c>
      <c r="D34" s="1935" t="s">
        <v>5572</v>
      </c>
      <c r="E34" s="1935"/>
      <c r="F34" s="1935"/>
      <c r="G34" s="1935"/>
      <c r="H34" s="1935"/>
      <c r="I34" s="1935"/>
      <c r="J34" s="1935"/>
      <c r="K34" s="1935"/>
      <c r="L34" s="1935"/>
      <c r="M34" s="1935"/>
      <c r="N34" s="1935"/>
      <c r="O34" s="1935"/>
      <c r="P34" s="1935"/>
      <c r="Q34" s="1935"/>
      <c r="R34" s="1935"/>
      <c r="S34" s="1935"/>
      <c r="T34" s="1027"/>
    </row>
    <row r="35" spans="2:20">
      <c r="B35" s="1027"/>
      <c r="C35" s="1027"/>
      <c r="D35" s="1935"/>
      <c r="E35" s="1935"/>
      <c r="F35" s="1935"/>
      <c r="G35" s="1935"/>
      <c r="H35" s="1935"/>
      <c r="I35" s="1935"/>
      <c r="J35" s="1935"/>
      <c r="K35" s="1935"/>
      <c r="L35" s="1935"/>
      <c r="M35" s="1935"/>
      <c r="N35" s="1935"/>
      <c r="O35" s="1935"/>
      <c r="P35" s="1935"/>
      <c r="Q35" s="1935"/>
      <c r="R35" s="1935"/>
      <c r="S35" s="1935"/>
      <c r="T35" s="1027"/>
    </row>
    <row r="36" spans="2:20">
      <c r="B36" s="1027"/>
      <c r="C36" s="1027"/>
      <c r="D36" s="1027"/>
      <c r="E36" s="1027"/>
      <c r="F36" s="1027"/>
      <c r="G36" s="1027"/>
      <c r="H36" s="1027"/>
      <c r="I36" s="1027"/>
      <c r="J36" s="1027"/>
      <c r="K36" s="1027"/>
      <c r="L36" s="1027"/>
      <c r="M36" s="1027"/>
      <c r="N36" s="1027"/>
      <c r="O36" s="1027"/>
      <c r="P36" s="1027"/>
      <c r="Q36" s="1027"/>
      <c r="R36" s="1027"/>
      <c r="S36" s="1027"/>
      <c r="T36" s="1027"/>
    </row>
    <row r="37" spans="2:20">
      <c r="B37" s="1027"/>
      <c r="C37" s="1027"/>
      <c r="D37" s="1027"/>
      <c r="E37" s="1027"/>
      <c r="F37" s="1027"/>
      <c r="G37" s="1027"/>
      <c r="H37" s="1027"/>
      <c r="I37" s="1027"/>
      <c r="J37" s="1027"/>
      <c r="K37" s="1027"/>
      <c r="L37" s="1027"/>
      <c r="M37" s="1027"/>
      <c r="N37" s="1027"/>
      <c r="O37" s="1027"/>
      <c r="P37" s="1027"/>
      <c r="Q37" s="1027"/>
      <c r="R37" s="1027"/>
      <c r="S37" s="1027"/>
      <c r="T37" s="1027"/>
    </row>
    <row r="38" spans="2:20">
      <c r="B38" s="1027"/>
      <c r="C38" s="1027" t="s">
        <v>4</v>
      </c>
      <c r="D38" s="2725"/>
      <c r="E38" s="2727"/>
      <c r="F38" s="1027"/>
      <c r="G38" s="2725"/>
      <c r="H38" s="2726"/>
      <c r="I38" s="2726"/>
      <c r="J38" s="2726"/>
      <c r="K38" s="2726"/>
      <c r="L38" s="2726"/>
      <c r="M38" s="2726"/>
      <c r="N38" s="2727"/>
      <c r="O38" s="1027"/>
      <c r="P38" s="1027"/>
      <c r="Q38" s="1027"/>
      <c r="R38" s="1027"/>
      <c r="S38" s="1027"/>
      <c r="T38" s="1027"/>
    </row>
    <row r="39" spans="2:20">
      <c r="B39" s="1027"/>
      <c r="C39" s="1027"/>
      <c r="D39" s="1027"/>
      <c r="E39" s="1027"/>
      <c r="F39" s="1027"/>
      <c r="G39" s="1027" t="s">
        <v>5573</v>
      </c>
      <c r="H39" s="1027"/>
      <c r="I39" s="1027"/>
      <c r="J39" s="1027"/>
      <c r="K39" s="1027"/>
      <c r="L39" s="1027"/>
      <c r="M39" s="1027"/>
      <c r="N39" s="1027"/>
      <c r="O39" s="1027"/>
      <c r="P39" s="1027"/>
      <c r="Q39" s="1027"/>
      <c r="R39" s="1027"/>
      <c r="S39" s="1027"/>
      <c r="T39" s="1027"/>
    </row>
    <row r="40" spans="2:20">
      <c r="B40" s="1027"/>
      <c r="C40" s="1027"/>
      <c r="D40" s="1027"/>
      <c r="E40" s="1027"/>
      <c r="F40" s="1027"/>
      <c r="G40" s="1027" t="s">
        <v>5574</v>
      </c>
      <c r="H40" s="1027"/>
      <c r="I40" s="1027"/>
      <c r="J40" s="1027"/>
      <c r="K40" s="1027"/>
      <c r="L40" s="1027"/>
      <c r="M40" s="1027"/>
      <c r="N40" s="1027"/>
      <c r="O40" s="1027"/>
      <c r="P40" s="1027"/>
      <c r="Q40" s="1027"/>
      <c r="R40" s="1027"/>
      <c r="S40" s="1027"/>
      <c r="T40" s="1027"/>
    </row>
    <row r="41" spans="2:20">
      <c r="B41" s="1027"/>
      <c r="C41" s="1027"/>
      <c r="D41" s="1027"/>
      <c r="E41" s="1027"/>
      <c r="F41" s="1027"/>
      <c r="G41" s="1027"/>
      <c r="H41" s="1027"/>
      <c r="I41" s="1027"/>
      <c r="J41" s="1027"/>
      <c r="K41" s="1027"/>
      <c r="L41" s="1027"/>
      <c r="M41" s="1027"/>
      <c r="N41" s="1027"/>
      <c r="O41" s="1027"/>
      <c r="P41" s="1027"/>
      <c r="Q41" s="1027"/>
      <c r="R41" s="1027"/>
      <c r="S41" s="1027"/>
      <c r="T41" s="1027"/>
    </row>
    <row r="42" spans="2:20">
      <c r="B42" s="1027"/>
      <c r="C42" s="2733" t="str">
        <f>IF('3. Project Location'!D6&lt;&gt;"",'3. Project Location'!D6,"")</f>
        <v/>
      </c>
      <c r="D42" s="2734"/>
      <c r="E42" s="2734"/>
      <c r="F42" s="2734"/>
      <c r="G42" s="2734"/>
      <c r="H42" s="2735"/>
      <c r="I42" s="1027"/>
      <c r="J42" s="1040" t="s">
        <v>5560</v>
      </c>
      <c r="K42" s="2725"/>
      <c r="L42" s="2726"/>
      <c r="M42" s="2726"/>
      <c r="N42" s="2726"/>
      <c r="O42" s="2727"/>
      <c r="P42" s="1027"/>
      <c r="Q42" s="1027"/>
      <c r="R42" s="1027"/>
      <c r="S42" s="1027"/>
      <c r="T42" s="1027"/>
    </row>
    <row r="43" spans="2:20">
      <c r="B43" s="1027"/>
      <c r="C43" s="1027" t="s">
        <v>5575</v>
      </c>
      <c r="D43" s="1027"/>
      <c r="E43" s="1027"/>
      <c r="F43" s="1027"/>
      <c r="G43" s="1027"/>
      <c r="H43" s="1027"/>
      <c r="I43" s="1027"/>
      <c r="J43" s="1040" t="s">
        <v>5576</v>
      </c>
      <c r="K43" s="2725"/>
      <c r="L43" s="2726"/>
      <c r="M43" s="2726"/>
      <c r="N43" s="2726"/>
      <c r="O43" s="2727"/>
      <c r="P43" s="1027"/>
      <c r="Q43" s="1027"/>
      <c r="R43" s="1027"/>
      <c r="S43" s="1027"/>
      <c r="T43" s="1027"/>
    </row>
    <row r="44" spans="2:20">
      <c r="B44" s="1027"/>
      <c r="C44" s="1027"/>
      <c r="D44" s="1027"/>
      <c r="E44" s="1027"/>
      <c r="F44" s="1027"/>
      <c r="G44" s="1027"/>
      <c r="H44" s="1027"/>
      <c r="I44" s="1027"/>
      <c r="J44" s="1027"/>
      <c r="K44" s="1027"/>
      <c r="L44" s="1027"/>
      <c r="M44" s="1027"/>
      <c r="N44" s="1027"/>
      <c r="O44" s="1027"/>
      <c r="P44" s="1027"/>
      <c r="Q44" s="1027"/>
      <c r="R44" s="1027"/>
      <c r="S44" s="1027"/>
      <c r="T44" s="1027"/>
    </row>
    <row r="45" spans="2:20">
      <c r="B45" s="1027"/>
      <c r="C45" s="1027"/>
      <c r="D45" s="1027"/>
      <c r="E45" s="1027"/>
      <c r="F45" s="1027"/>
      <c r="G45" s="1027"/>
      <c r="H45" s="1027"/>
      <c r="I45" s="1027"/>
      <c r="J45" s="1027"/>
      <c r="K45" s="1027"/>
      <c r="L45" s="1027"/>
      <c r="M45" s="1027"/>
      <c r="N45" s="1027"/>
      <c r="O45" s="1027"/>
      <c r="P45" s="1027"/>
      <c r="Q45" s="1027"/>
      <c r="R45" s="1027"/>
      <c r="S45" s="1027"/>
      <c r="T45" s="1027"/>
    </row>
    <row r="46" spans="2:20">
      <c r="B46" s="1027"/>
      <c r="C46" s="1027"/>
      <c r="D46" s="1027"/>
      <c r="E46" s="1027"/>
      <c r="F46" s="1027"/>
      <c r="G46" s="1027"/>
      <c r="H46" s="1027"/>
      <c r="I46" s="1027"/>
      <c r="J46" s="1027"/>
      <c r="K46" s="1027"/>
      <c r="L46" s="1027"/>
      <c r="M46" s="1027"/>
      <c r="N46" s="1027"/>
      <c r="O46" s="1027"/>
      <c r="P46" s="1027"/>
      <c r="Q46" s="1027"/>
      <c r="R46" s="1027"/>
      <c r="S46" s="1027"/>
      <c r="T46" s="1027"/>
    </row>
    <row r="47" spans="2:20">
      <c r="B47" s="1027"/>
      <c r="C47" s="1027" t="s">
        <v>5577</v>
      </c>
      <c r="D47" s="1027"/>
      <c r="E47" s="1027"/>
      <c r="F47" s="1027"/>
      <c r="G47" s="1027"/>
      <c r="H47" s="1027"/>
      <c r="I47" s="1027"/>
      <c r="J47" s="1040" t="s">
        <v>5560</v>
      </c>
      <c r="K47" s="2725"/>
      <c r="L47" s="2726"/>
      <c r="M47" s="2726"/>
      <c r="N47" s="2726"/>
      <c r="O47" s="2727"/>
      <c r="P47" s="1027"/>
      <c r="Q47" s="1027"/>
      <c r="R47" s="1027"/>
      <c r="S47" s="1027"/>
      <c r="T47" s="1027"/>
    </row>
    <row r="48" spans="2:20">
      <c r="B48" s="1027"/>
      <c r="C48" s="1027"/>
      <c r="D48" s="1027"/>
      <c r="E48" s="1027"/>
      <c r="F48" s="1027"/>
      <c r="G48" s="1027"/>
      <c r="H48" s="1027"/>
      <c r="I48" s="1027"/>
      <c r="J48" s="1040" t="s">
        <v>5576</v>
      </c>
      <c r="K48" s="2725"/>
      <c r="L48" s="2726"/>
      <c r="M48" s="2726"/>
      <c r="N48" s="2726"/>
      <c r="O48" s="2727"/>
      <c r="P48" s="1027"/>
      <c r="Q48" s="1027"/>
      <c r="R48" s="1027"/>
      <c r="S48" s="1027"/>
      <c r="T48" s="1027"/>
    </row>
    <row r="49" spans="2:20">
      <c r="B49" s="1027"/>
      <c r="C49" s="1027"/>
      <c r="D49" s="1027"/>
      <c r="E49" s="1027"/>
      <c r="F49" s="1027"/>
      <c r="G49" s="1027"/>
      <c r="H49" s="1027"/>
      <c r="I49" s="1027"/>
      <c r="J49" s="1027"/>
      <c r="K49" s="1027"/>
      <c r="L49" s="1027"/>
      <c r="M49" s="1027"/>
      <c r="N49" s="1027"/>
      <c r="O49" s="1027"/>
      <c r="P49" s="1027"/>
      <c r="Q49" s="1027"/>
      <c r="R49" s="1027"/>
      <c r="S49" s="1027"/>
      <c r="T49" s="1027"/>
    </row>
    <row r="50" spans="2:20">
      <c r="B50" s="1027"/>
      <c r="C50" s="1027"/>
      <c r="D50" s="1027"/>
      <c r="E50" s="1027"/>
      <c r="F50" s="1027"/>
      <c r="G50" s="1027"/>
      <c r="H50" s="1027"/>
      <c r="I50" s="1027"/>
      <c r="J50" s="1027"/>
      <c r="K50" s="1027"/>
      <c r="L50" s="1027"/>
      <c r="M50" s="1027"/>
      <c r="N50" s="1027"/>
      <c r="O50" s="1027"/>
      <c r="P50" s="1027"/>
      <c r="Q50" s="1027"/>
      <c r="R50" s="1027"/>
      <c r="S50" s="1027"/>
      <c r="T50" s="1027"/>
    </row>
    <row r="51" spans="2:20">
      <c r="B51" s="1027"/>
      <c r="C51" s="1040" t="s">
        <v>5560</v>
      </c>
      <c r="D51" s="2725"/>
      <c r="E51" s="2726"/>
      <c r="F51" s="2726"/>
      <c r="G51" s="2726"/>
      <c r="H51" s="2727"/>
      <c r="I51" s="1027"/>
      <c r="J51" s="1027"/>
      <c r="K51" s="1027"/>
      <c r="L51" s="1027"/>
      <c r="M51" s="1027"/>
      <c r="N51" s="1027"/>
      <c r="O51" s="1027"/>
      <c r="P51" s="1027"/>
      <c r="Q51" s="1027"/>
      <c r="R51" s="1027"/>
      <c r="S51" s="1027"/>
      <c r="T51" s="1027"/>
    </row>
    <row r="52" spans="2:20">
      <c r="B52" s="1027"/>
      <c r="C52" s="1040" t="s">
        <v>5576</v>
      </c>
      <c r="D52" s="2725"/>
      <c r="E52" s="2726"/>
      <c r="F52" s="2726"/>
      <c r="G52" s="2726"/>
      <c r="H52" s="2727"/>
      <c r="I52" s="1027"/>
      <c r="J52" s="1040" t="s">
        <v>5560</v>
      </c>
      <c r="K52" s="2725"/>
      <c r="L52" s="2726"/>
      <c r="M52" s="2726"/>
      <c r="N52" s="2726"/>
      <c r="O52" s="2727"/>
      <c r="P52" s="1027"/>
      <c r="Q52" s="1027"/>
      <c r="R52" s="1027"/>
      <c r="S52" s="1027"/>
      <c r="T52" s="1027"/>
    </row>
    <row r="53" spans="2:20">
      <c r="B53" s="1027"/>
      <c r="C53" s="1027"/>
      <c r="D53" s="1027"/>
      <c r="E53" s="1027"/>
      <c r="F53" s="1027"/>
      <c r="G53" s="1027"/>
      <c r="H53" s="1027"/>
      <c r="I53" s="1027"/>
      <c r="J53" s="1040" t="s">
        <v>5576</v>
      </c>
      <c r="K53" s="2725"/>
      <c r="L53" s="2726"/>
      <c r="M53" s="2726"/>
      <c r="N53" s="2726"/>
      <c r="O53" s="2727"/>
      <c r="P53" s="1027"/>
      <c r="Q53" s="1027"/>
      <c r="R53" s="1027"/>
      <c r="S53" s="1027"/>
      <c r="T53" s="1027"/>
    </row>
    <row r="54" spans="2:20">
      <c r="B54" s="1027"/>
      <c r="C54" s="1040"/>
      <c r="D54" s="1027"/>
      <c r="E54" s="1027"/>
      <c r="F54" s="1027"/>
      <c r="G54" s="1027"/>
      <c r="H54" s="1027"/>
      <c r="I54" s="1027"/>
      <c r="J54" s="1027"/>
      <c r="K54" s="1027"/>
      <c r="L54" s="1027"/>
      <c r="M54" s="1027"/>
      <c r="N54" s="1027"/>
      <c r="O54" s="1027"/>
      <c r="P54" s="1027"/>
      <c r="Q54" s="1027"/>
      <c r="R54" s="1027"/>
      <c r="S54" s="1027"/>
      <c r="T54" s="1027"/>
    </row>
    <row r="55" spans="2:20">
      <c r="B55" s="1027"/>
      <c r="C55" s="1040" t="s">
        <v>4</v>
      </c>
      <c r="D55" s="2725"/>
      <c r="E55" s="2727"/>
      <c r="F55" s="1027"/>
      <c r="G55" s="1027"/>
      <c r="H55" s="1027"/>
      <c r="I55" s="1027"/>
      <c r="J55" s="1027"/>
      <c r="K55" s="1027"/>
      <c r="L55" s="1027"/>
      <c r="M55" s="1027"/>
      <c r="N55" s="1027"/>
      <c r="O55" s="1027"/>
      <c r="P55" s="1027"/>
      <c r="Q55" s="1027"/>
      <c r="R55" s="1027"/>
      <c r="S55" s="1027"/>
      <c r="T55" s="1027"/>
    </row>
    <row r="56" spans="2:20">
      <c r="B56" s="1027"/>
      <c r="C56" s="1027"/>
      <c r="D56" s="1027"/>
      <c r="E56" s="1027"/>
      <c r="F56" s="1027"/>
      <c r="G56" s="1027"/>
      <c r="H56" s="1027"/>
      <c r="I56" s="1027"/>
      <c r="J56" s="1027"/>
      <c r="K56" s="1027"/>
      <c r="L56" s="1027"/>
      <c r="M56" s="1027"/>
      <c r="N56" s="1027"/>
      <c r="O56" s="1027"/>
      <c r="P56" s="1027"/>
      <c r="Q56" s="1027"/>
      <c r="R56" s="1027"/>
      <c r="S56" s="1027"/>
      <c r="T56" s="1027"/>
    </row>
  </sheetData>
  <sheetProtection algorithmName="SHA-512" hashValue="sDRu99D6v0X5K3SlLLHif78T9KPCNH5tr2sv1Q26gtGLokj3Qs46ycKFImXf96FedBH+i/zn+V+wMiMUBFdxjg==" saltValue="/S4vh5612Ncq9Ag4YIRibA==" spinCount="100000" sheet="1" objects="1" scenarios="1" selectLockedCells="1"/>
  <mergeCells count="22">
    <mergeCell ref="D24:S25"/>
    <mergeCell ref="B6:S7"/>
    <mergeCell ref="D9:S11"/>
    <mergeCell ref="D12:S14"/>
    <mergeCell ref="D16:S17"/>
    <mergeCell ref="D19:S22"/>
    <mergeCell ref="D27:S27"/>
    <mergeCell ref="D29:S29"/>
    <mergeCell ref="D31:S32"/>
    <mergeCell ref="D34:S35"/>
    <mergeCell ref="D38:E38"/>
    <mergeCell ref="D52:H52"/>
    <mergeCell ref="K52:O52"/>
    <mergeCell ref="K53:O53"/>
    <mergeCell ref="D55:E55"/>
    <mergeCell ref="G38:N38"/>
    <mergeCell ref="C42:H42"/>
    <mergeCell ref="K42:O42"/>
    <mergeCell ref="K43:O43"/>
    <mergeCell ref="K47:O47"/>
    <mergeCell ref="K48:O48"/>
    <mergeCell ref="D51:H51"/>
  </mergeCells>
  <dataValidations count="1">
    <dataValidation type="custom" allowBlank="1" showInputMessage="1" showErrorMessage="1" sqref="J1" xr:uid="{D9B1F450-1491-408D-BF99-C24FF5A9165A}">
      <formula1>"&lt;0&gt;0"</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CC8D-E592-4546-BCAF-0D32ED4BD034}">
  <sheetPr codeName="Sheet21"/>
  <dimension ref="A2:S1533"/>
  <sheetViews>
    <sheetView workbookViewId="0"/>
  </sheetViews>
  <sheetFormatPr defaultRowHeight="15"/>
  <cols>
    <col min="2" max="2" width="45.28515625" bestFit="1" customWidth="1"/>
    <col min="5" max="5" width="39.85546875" customWidth="1"/>
    <col min="6" max="6" width="24.7109375" bestFit="1" customWidth="1"/>
    <col min="8" max="8" width="37.28515625" bestFit="1" customWidth="1"/>
    <col min="11" max="11" width="39.140625" bestFit="1" customWidth="1"/>
    <col min="14" max="14" width="9.5703125" bestFit="1" customWidth="1"/>
    <col min="16" max="16" width="39.140625" bestFit="1" customWidth="1"/>
  </cols>
  <sheetData>
    <row r="2" spans="2:19" ht="29.25" customHeight="1"/>
    <row r="3" spans="2:19" ht="45.75" customHeight="1">
      <c r="B3" s="2736" t="s">
        <v>5578</v>
      </c>
      <c r="C3" s="2736"/>
      <c r="D3" s="464"/>
      <c r="E3" s="2737" t="s">
        <v>5579</v>
      </c>
      <c r="F3" s="2737"/>
      <c r="G3" s="464"/>
      <c r="H3" s="1765" t="s">
        <v>5580</v>
      </c>
      <c r="I3" s="780"/>
      <c r="K3" s="2743" t="s">
        <v>5581</v>
      </c>
      <c r="L3" s="2744"/>
      <c r="M3" s="2744"/>
      <c r="N3" s="2744"/>
      <c r="P3" s="2741" t="s">
        <v>5582</v>
      </c>
      <c r="Q3" s="2741"/>
      <c r="R3" s="2741"/>
      <c r="S3" s="2741"/>
    </row>
    <row r="4" spans="2:19" ht="143.25" customHeight="1">
      <c r="B4" s="2738" t="s">
        <v>5583</v>
      </c>
      <c r="C4" s="2739"/>
      <c r="D4" s="464"/>
      <c r="E4" s="2740" t="s">
        <v>5584</v>
      </c>
      <c r="F4" s="2740"/>
      <c r="G4" s="464"/>
      <c r="H4" s="2740" t="s">
        <v>5585</v>
      </c>
      <c r="I4" s="2740"/>
      <c r="J4" s="1766"/>
      <c r="K4" s="2742" t="s">
        <v>5586</v>
      </c>
      <c r="L4" s="2742"/>
      <c r="M4" s="2742"/>
      <c r="N4" s="2742"/>
      <c r="P4" s="2742" t="s">
        <v>5587</v>
      </c>
      <c r="Q4" s="2742"/>
      <c r="R4" s="2742"/>
      <c r="S4" s="2742"/>
    </row>
    <row r="5" spans="2:19">
      <c r="B5" s="783">
        <v>1</v>
      </c>
      <c r="C5" s="783">
        <v>2</v>
      </c>
      <c r="D5" s="783">
        <v>3</v>
      </c>
      <c r="E5" s="783">
        <v>7</v>
      </c>
      <c r="F5" s="783">
        <v>8</v>
      </c>
      <c r="G5" s="783">
        <v>9</v>
      </c>
      <c r="H5" s="783">
        <v>10</v>
      </c>
      <c r="I5" s="783">
        <v>11</v>
      </c>
      <c r="J5" s="783">
        <v>12</v>
      </c>
      <c r="K5" s="783">
        <v>13</v>
      </c>
      <c r="L5" s="783">
        <v>14</v>
      </c>
      <c r="M5" s="783">
        <v>15</v>
      </c>
      <c r="N5" s="783">
        <v>16</v>
      </c>
      <c r="O5" s="783">
        <v>17</v>
      </c>
      <c r="P5" s="783">
        <v>18</v>
      </c>
      <c r="Q5" s="783">
        <v>19</v>
      </c>
      <c r="R5" s="783">
        <v>20</v>
      </c>
      <c r="S5" s="783">
        <v>21</v>
      </c>
    </row>
    <row r="6" spans="2:19" ht="26.25">
      <c r="B6" s="467" t="s">
        <v>4821</v>
      </c>
      <c r="C6" s="468" t="s">
        <v>5588</v>
      </c>
      <c r="D6" s="469"/>
      <c r="E6" s="467" t="s">
        <v>5589</v>
      </c>
      <c r="F6" s="468" t="s">
        <v>5590</v>
      </c>
      <c r="G6" s="465"/>
      <c r="H6" s="467" t="s">
        <v>4821</v>
      </c>
      <c r="I6" s="468" t="s">
        <v>5588</v>
      </c>
      <c r="J6" s="568"/>
      <c r="K6" s="785" t="s">
        <v>4821</v>
      </c>
      <c r="L6" s="786" t="s">
        <v>5591</v>
      </c>
      <c r="M6" s="567"/>
      <c r="N6" s="566"/>
      <c r="P6" s="467" t="s">
        <v>4821</v>
      </c>
      <c r="Q6" s="784" t="s">
        <v>5591</v>
      </c>
      <c r="R6" s="571"/>
      <c r="S6" s="566"/>
    </row>
    <row r="7" spans="2:19">
      <c r="B7" s="771" t="s">
        <v>5592</v>
      </c>
      <c r="C7" s="771">
        <v>10</v>
      </c>
      <c r="D7" s="466"/>
      <c r="E7" s="771" t="s">
        <v>5593</v>
      </c>
      <c r="F7" s="771">
        <v>3</v>
      </c>
      <c r="G7" s="465"/>
      <c r="H7" s="771" t="s">
        <v>5594</v>
      </c>
      <c r="I7" s="771">
        <v>1</v>
      </c>
      <c r="J7" s="466"/>
      <c r="K7" s="771" t="s">
        <v>5592</v>
      </c>
      <c r="L7" s="771">
        <v>4</v>
      </c>
      <c r="M7" s="570"/>
      <c r="N7" s="603"/>
      <c r="P7" s="771" t="s">
        <v>5592</v>
      </c>
      <c r="Q7" s="771">
        <v>1</v>
      </c>
      <c r="R7" s="570"/>
      <c r="S7" s="603"/>
    </row>
    <row r="8" spans="2:19">
      <c r="B8" s="771" t="s">
        <v>5595</v>
      </c>
      <c r="C8" s="771">
        <v>10</v>
      </c>
      <c r="D8" s="466"/>
      <c r="E8" s="771" t="s">
        <v>5596</v>
      </c>
      <c r="F8" s="771">
        <v>3</v>
      </c>
      <c r="G8" s="465"/>
      <c r="H8" s="771" t="s">
        <v>5597</v>
      </c>
      <c r="I8" s="771">
        <v>3</v>
      </c>
      <c r="J8" s="466"/>
      <c r="K8" s="771" t="s">
        <v>5598</v>
      </c>
      <c r="L8" s="771">
        <v>2</v>
      </c>
      <c r="M8" s="569"/>
      <c r="N8" s="603"/>
      <c r="P8" s="771" t="s">
        <v>5599</v>
      </c>
      <c r="Q8" s="771">
        <v>3</v>
      </c>
      <c r="R8" s="569"/>
      <c r="S8" s="603"/>
    </row>
    <row r="9" spans="2:19">
      <c r="B9" s="771" t="s">
        <v>5600</v>
      </c>
      <c r="C9" s="771">
        <v>10</v>
      </c>
      <c r="D9" s="466"/>
      <c r="E9" s="771" t="s">
        <v>5601</v>
      </c>
      <c r="F9" s="771">
        <v>3</v>
      </c>
      <c r="G9" s="465"/>
      <c r="H9" s="771" t="s">
        <v>5602</v>
      </c>
      <c r="I9" s="771">
        <v>3</v>
      </c>
      <c r="J9" s="466"/>
      <c r="K9" s="771" t="s">
        <v>5594</v>
      </c>
      <c r="L9" s="771">
        <v>4</v>
      </c>
      <c r="M9" s="569"/>
      <c r="N9" s="603"/>
      <c r="P9" s="771" t="s">
        <v>5595</v>
      </c>
      <c r="Q9" s="771">
        <v>1</v>
      </c>
      <c r="R9" s="569"/>
      <c r="S9" s="603"/>
    </row>
    <row r="10" spans="2:19">
      <c r="B10" s="771" t="s">
        <v>5603</v>
      </c>
      <c r="C10" s="771">
        <v>10</v>
      </c>
      <c r="D10" s="466"/>
      <c r="E10" s="771" t="s">
        <v>5604</v>
      </c>
      <c r="F10" s="771">
        <v>3</v>
      </c>
      <c r="G10" s="465"/>
      <c r="H10" s="771" t="s">
        <v>5605</v>
      </c>
      <c r="I10" s="771">
        <v>1</v>
      </c>
      <c r="J10" s="466"/>
      <c r="K10" s="771" t="s">
        <v>5606</v>
      </c>
      <c r="L10" s="771">
        <v>3</v>
      </c>
      <c r="M10" s="569"/>
      <c r="N10" s="603"/>
      <c r="P10" s="771" t="s">
        <v>5607</v>
      </c>
      <c r="Q10" s="771">
        <v>2</v>
      </c>
      <c r="R10" s="569"/>
      <c r="S10" s="603"/>
    </row>
    <row r="11" spans="2:19">
      <c r="B11" s="771" t="s">
        <v>5608</v>
      </c>
      <c r="C11" s="771">
        <v>8</v>
      </c>
      <c r="D11" s="466"/>
      <c r="E11" s="771" t="s">
        <v>5609</v>
      </c>
      <c r="F11" s="771">
        <v>3</v>
      </c>
      <c r="G11" s="465"/>
      <c r="H11" s="771" t="s">
        <v>5610</v>
      </c>
      <c r="I11" s="771">
        <v>1</v>
      </c>
      <c r="J11" s="466"/>
      <c r="K11" s="771" t="s">
        <v>5611</v>
      </c>
      <c r="L11" s="771">
        <v>4</v>
      </c>
      <c r="M11" s="569"/>
      <c r="N11" s="603"/>
      <c r="P11" s="771" t="s">
        <v>5612</v>
      </c>
      <c r="Q11" s="771">
        <v>3</v>
      </c>
      <c r="R11" s="569"/>
      <c r="S11" s="603"/>
    </row>
    <row r="12" spans="2:19">
      <c r="B12" s="771" t="s">
        <v>5597</v>
      </c>
      <c r="C12" s="771">
        <v>8</v>
      </c>
      <c r="D12" s="466"/>
      <c r="E12" s="771" t="s">
        <v>5613</v>
      </c>
      <c r="F12" s="771">
        <v>3</v>
      </c>
      <c r="G12" s="465"/>
      <c r="H12" s="771" t="s">
        <v>5614</v>
      </c>
      <c r="I12" s="771">
        <v>3</v>
      </c>
      <c r="J12" s="466"/>
      <c r="K12" s="771" t="s">
        <v>5595</v>
      </c>
      <c r="L12" s="771">
        <v>2</v>
      </c>
      <c r="M12" s="569"/>
      <c r="N12" s="603"/>
      <c r="P12" s="771" t="s">
        <v>5615</v>
      </c>
      <c r="Q12" s="771">
        <v>1</v>
      </c>
      <c r="R12" s="569"/>
      <c r="S12" s="603"/>
    </row>
    <row r="13" spans="2:19">
      <c r="B13" s="771" t="s">
        <v>5616</v>
      </c>
      <c r="C13" s="771">
        <v>8</v>
      </c>
      <c r="D13" s="466"/>
      <c r="E13" s="771" t="s">
        <v>5617</v>
      </c>
      <c r="F13" s="771">
        <v>3</v>
      </c>
      <c r="G13" s="465"/>
      <c r="H13" s="771" t="s">
        <v>5618</v>
      </c>
      <c r="I13" s="771">
        <v>1</v>
      </c>
      <c r="J13" s="466"/>
      <c r="K13" s="771" t="s">
        <v>5603</v>
      </c>
      <c r="L13" s="771">
        <v>4</v>
      </c>
      <c r="M13" s="569"/>
      <c r="N13" s="603"/>
      <c r="P13" s="771" t="s">
        <v>5597</v>
      </c>
      <c r="Q13" s="771">
        <v>3</v>
      </c>
      <c r="R13" s="569"/>
      <c r="S13" s="603"/>
    </row>
    <row r="14" spans="2:19">
      <c r="B14" s="771" t="s">
        <v>5602</v>
      </c>
      <c r="C14" s="771">
        <v>8</v>
      </c>
      <c r="D14" s="466"/>
      <c r="E14" s="771" t="s">
        <v>5619</v>
      </c>
      <c r="F14" s="771">
        <v>3</v>
      </c>
      <c r="G14" s="465"/>
      <c r="H14" s="771" t="s">
        <v>5620</v>
      </c>
      <c r="I14" s="771">
        <v>1</v>
      </c>
      <c r="J14" s="466"/>
      <c r="K14" s="771" t="s">
        <v>5615</v>
      </c>
      <c r="L14" s="771">
        <v>3</v>
      </c>
      <c r="M14" s="569"/>
      <c r="N14" s="603"/>
      <c r="P14" s="771" t="s">
        <v>5621</v>
      </c>
      <c r="Q14" s="771">
        <v>1</v>
      </c>
      <c r="R14" s="569"/>
      <c r="S14" s="603"/>
    </row>
    <row r="15" spans="2:19">
      <c r="B15" s="771" t="s">
        <v>5621</v>
      </c>
      <c r="C15" s="771">
        <v>8</v>
      </c>
      <c r="D15" s="466"/>
      <c r="E15" s="771" t="s">
        <v>5622</v>
      </c>
      <c r="F15" s="771">
        <v>3</v>
      </c>
      <c r="G15" s="465"/>
      <c r="H15" s="771" t="s">
        <v>5623</v>
      </c>
      <c r="I15" s="771">
        <v>3</v>
      </c>
      <c r="J15" s="466"/>
      <c r="K15" s="771" t="s">
        <v>5608</v>
      </c>
      <c r="L15" s="771">
        <v>4</v>
      </c>
      <c r="M15" s="569"/>
      <c r="N15" s="603"/>
      <c r="P15" s="771" t="s">
        <v>5624</v>
      </c>
      <c r="Q15" s="771">
        <v>1</v>
      </c>
      <c r="R15" s="569"/>
      <c r="S15" s="603"/>
    </row>
    <row r="16" spans="2:19">
      <c r="B16" s="771" t="s">
        <v>5625</v>
      </c>
      <c r="C16" s="771">
        <v>8</v>
      </c>
      <c r="D16" s="466"/>
      <c r="E16" s="771" t="s">
        <v>5626</v>
      </c>
      <c r="F16" s="771">
        <v>3</v>
      </c>
      <c r="G16" s="465"/>
      <c r="H16" s="771" t="s">
        <v>5627</v>
      </c>
      <c r="I16" s="771">
        <v>1</v>
      </c>
      <c r="J16" s="466"/>
      <c r="K16" s="771" t="s">
        <v>5616</v>
      </c>
      <c r="L16" s="771">
        <v>2</v>
      </c>
      <c r="M16" s="569"/>
      <c r="N16" s="603"/>
      <c r="P16" s="771" t="s">
        <v>5628</v>
      </c>
      <c r="Q16" s="771">
        <v>2</v>
      </c>
      <c r="R16" s="569"/>
      <c r="S16" s="603"/>
    </row>
    <row r="17" spans="2:19">
      <c r="B17" s="771" t="s">
        <v>5629</v>
      </c>
      <c r="C17" s="771">
        <v>8</v>
      </c>
      <c r="D17" s="466"/>
      <c r="E17" s="771" t="s">
        <v>5630</v>
      </c>
      <c r="F17" s="771">
        <v>3</v>
      </c>
      <c r="G17" s="465"/>
      <c r="H17" s="771" t="s">
        <v>5631</v>
      </c>
      <c r="I17" s="771">
        <v>1</v>
      </c>
      <c r="K17" s="771" t="s">
        <v>5624</v>
      </c>
      <c r="L17" s="771">
        <v>2</v>
      </c>
      <c r="M17" s="569"/>
      <c r="N17" s="603"/>
      <c r="P17" s="771" t="s">
        <v>5625</v>
      </c>
      <c r="Q17" s="771">
        <v>3</v>
      </c>
      <c r="R17" s="569"/>
      <c r="S17" s="603"/>
    </row>
    <row r="18" spans="2:19">
      <c r="B18" s="771" t="s">
        <v>5605</v>
      </c>
      <c r="C18" s="771">
        <v>10</v>
      </c>
      <c r="D18" s="466"/>
      <c r="E18" s="771" t="s">
        <v>5632</v>
      </c>
      <c r="F18" s="771">
        <v>3</v>
      </c>
      <c r="G18" s="465"/>
      <c r="H18" s="771" t="s">
        <v>5633</v>
      </c>
      <c r="I18" s="771">
        <v>5</v>
      </c>
      <c r="K18" s="771" t="s">
        <v>5628</v>
      </c>
      <c r="L18" s="771">
        <v>2</v>
      </c>
      <c r="M18" s="569"/>
      <c r="N18" s="603"/>
      <c r="P18" s="771" t="s">
        <v>5629</v>
      </c>
      <c r="Q18" s="771">
        <v>4</v>
      </c>
      <c r="R18" s="569"/>
      <c r="S18" s="603"/>
    </row>
    <row r="19" spans="2:19">
      <c r="B19" s="771" t="s">
        <v>5634</v>
      </c>
      <c r="C19" s="771">
        <v>8</v>
      </c>
      <c r="D19" s="466"/>
      <c r="E19" s="771" t="s">
        <v>5635</v>
      </c>
      <c r="F19" s="771">
        <v>3</v>
      </c>
      <c r="G19" s="465"/>
      <c r="H19" s="771" t="s">
        <v>5636</v>
      </c>
      <c r="I19" s="771">
        <v>1</v>
      </c>
      <c r="K19" s="771" t="s">
        <v>5637</v>
      </c>
      <c r="L19" s="771">
        <v>2</v>
      </c>
      <c r="M19" s="569"/>
      <c r="N19" s="603"/>
      <c r="P19" s="771" t="s">
        <v>5638</v>
      </c>
      <c r="Q19" s="771">
        <v>4</v>
      </c>
      <c r="R19" s="569"/>
      <c r="S19" s="603"/>
    </row>
    <row r="20" spans="2:19">
      <c r="B20" s="771" t="s">
        <v>5610</v>
      </c>
      <c r="C20" s="771">
        <v>8</v>
      </c>
      <c r="D20" s="466"/>
      <c r="E20" s="771" t="s">
        <v>5639</v>
      </c>
      <c r="F20" s="771">
        <v>5</v>
      </c>
      <c r="G20" s="465"/>
      <c r="H20" s="771" t="s">
        <v>5640</v>
      </c>
      <c r="I20" s="771">
        <v>3</v>
      </c>
      <c r="K20" s="771" t="s">
        <v>5605</v>
      </c>
      <c r="L20" s="771">
        <v>2</v>
      </c>
      <c r="M20" s="569"/>
      <c r="N20" s="603"/>
      <c r="P20" s="771" t="s">
        <v>5641</v>
      </c>
      <c r="Q20" s="771">
        <v>3</v>
      </c>
      <c r="R20" s="569"/>
      <c r="S20" s="603"/>
    </row>
    <row r="21" spans="2:19">
      <c r="B21" s="771" t="s">
        <v>5642</v>
      </c>
      <c r="C21" s="771">
        <v>8</v>
      </c>
      <c r="D21" s="466"/>
      <c r="E21" s="771" t="s">
        <v>5643</v>
      </c>
      <c r="F21" s="771">
        <v>5</v>
      </c>
      <c r="G21" s="465"/>
      <c r="H21" s="771" t="s">
        <v>5644</v>
      </c>
      <c r="I21" s="771">
        <v>1</v>
      </c>
      <c r="K21" s="771" t="s">
        <v>5634</v>
      </c>
      <c r="L21" s="771">
        <v>2</v>
      </c>
      <c r="M21" s="569"/>
      <c r="N21" s="603"/>
      <c r="P21" s="771" t="s">
        <v>5637</v>
      </c>
      <c r="Q21" s="771">
        <v>3</v>
      </c>
      <c r="R21" s="569"/>
      <c r="S21" s="603"/>
    </row>
    <row r="22" spans="2:19">
      <c r="B22" s="771" t="s">
        <v>5645</v>
      </c>
      <c r="C22" s="771">
        <v>8</v>
      </c>
      <c r="D22" s="466"/>
      <c r="E22" s="771" t="s">
        <v>5646</v>
      </c>
      <c r="F22" s="771">
        <v>3</v>
      </c>
      <c r="G22" s="465"/>
      <c r="H22" s="771" t="s">
        <v>5647</v>
      </c>
      <c r="I22" s="771">
        <v>5</v>
      </c>
      <c r="K22" s="771" t="s">
        <v>5642</v>
      </c>
      <c r="L22" s="771">
        <v>2</v>
      </c>
      <c r="M22" s="569"/>
      <c r="N22" s="603"/>
      <c r="P22" s="771" t="s">
        <v>5605</v>
      </c>
      <c r="Q22" s="771">
        <v>2</v>
      </c>
      <c r="R22" s="569"/>
      <c r="S22" s="603"/>
    </row>
    <row r="23" spans="2:19">
      <c r="B23" s="771" t="s">
        <v>5648</v>
      </c>
      <c r="C23" s="771">
        <v>8</v>
      </c>
      <c r="D23" s="466"/>
      <c r="E23" s="771" t="s">
        <v>5649</v>
      </c>
      <c r="F23" s="771">
        <v>3</v>
      </c>
      <c r="G23" s="465"/>
      <c r="H23" s="771" t="s">
        <v>5650</v>
      </c>
      <c r="I23" s="771">
        <v>3</v>
      </c>
      <c r="K23" s="771" t="s">
        <v>5614</v>
      </c>
      <c r="L23" s="771">
        <v>4</v>
      </c>
      <c r="M23" s="569"/>
      <c r="N23" s="603"/>
      <c r="P23" s="771" t="s">
        <v>5634</v>
      </c>
      <c r="Q23" s="771">
        <v>1</v>
      </c>
      <c r="R23" s="569"/>
      <c r="S23" s="603"/>
    </row>
    <row r="24" spans="2:19">
      <c r="B24" s="771" t="s">
        <v>5620</v>
      </c>
      <c r="C24" s="771">
        <v>8</v>
      </c>
      <c r="D24" s="466"/>
      <c r="E24" s="771" t="s">
        <v>5651</v>
      </c>
      <c r="F24" s="771">
        <v>3</v>
      </c>
      <c r="G24" s="465"/>
      <c r="H24" s="771" t="s">
        <v>5652</v>
      </c>
      <c r="I24" s="771">
        <v>1</v>
      </c>
      <c r="K24" s="771" t="s">
        <v>5618</v>
      </c>
      <c r="L24" s="771">
        <v>1</v>
      </c>
      <c r="M24" s="569"/>
      <c r="N24" s="603"/>
      <c r="P24" s="771" t="s">
        <v>5653</v>
      </c>
      <c r="Q24" s="771">
        <v>2</v>
      </c>
      <c r="R24" s="569"/>
      <c r="S24" s="603"/>
    </row>
    <row r="25" spans="2:19">
      <c r="B25" s="771" t="s">
        <v>5631</v>
      </c>
      <c r="C25" s="771">
        <v>8</v>
      </c>
      <c r="D25" s="466"/>
      <c r="E25" s="771" t="s">
        <v>5654</v>
      </c>
      <c r="F25" s="771">
        <v>3</v>
      </c>
      <c r="G25" s="465"/>
      <c r="H25" s="771" t="s">
        <v>5655</v>
      </c>
      <c r="I25" s="771">
        <v>1</v>
      </c>
      <c r="K25" s="771" t="s">
        <v>5620</v>
      </c>
      <c r="L25" s="771">
        <v>2</v>
      </c>
      <c r="M25" s="569"/>
      <c r="N25" s="603"/>
      <c r="P25" s="771" t="s">
        <v>5642</v>
      </c>
      <c r="Q25" s="771">
        <v>2</v>
      </c>
      <c r="R25" s="569"/>
      <c r="S25" s="603"/>
    </row>
    <row r="26" spans="2:19">
      <c r="B26" s="771" t="s">
        <v>5636</v>
      </c>
      <c r="C26" s="771">
        <v>8</v>
      </c>
      <c r="D26" s="466"/>
      <c r="E26" s="771" t="s">
        <v>5656</v>
      </c>
      <c r="F26" s="771">
        <v>3</v>
      </c>
      <c r="G26" s="465"/>
      <c r="H26" s="771" t="s">
        <v>5657</v>
      </c>
      <c r="I26" s="771">
        <v>3</v>
      </c>
      <c r="K26" s="771" t="s">
        <v>5623</v>
      </c>
      <c r="L26" s="771">
        <v>3</v>
      </c>
      <c r="M26" s="569"/>
      <c r="N26" s="603"/>
      <c r="P26" s="771" t="s">
        <v>5648</v>
      </c>
      <c r="Q26" s="771">
        <v>1</v>
      </c>
      <c r="R26" s="569"/>
      <c r="S26" s="603"/>
    </row>
    <row r="27" spans="2:19">
      <c r="B27" s="771" t="s">
        <v>5658</v>
      </c>
      <c r="C27" s="771">
        <v>10</v>
      </c>
      <c r="D27" s="466"/>
      <c r="E27" s="771" t="s">
        <v>5659</v>
      </c>
      <c r="F27" s="771">
        <v>3</v>
      </c>
      <c r="G27" s="465"/>
      <c r="H27" s="771" t="s">
        <v>5660</v>
      </c>
      <c r="I27" s="771">
        <v>3</v>
      </c>
      <c r="K27" s="771" t="s">
        <v>5631</v>
      </c>
      <c r="L27" s="771">
        <v>2</v>
      </c>
      <c r="M27" s="569"/>
      <c r="N27" s="603"/>
      <c r="P27" s="771" t="s">
        <v>5661</v>
      </c>
      <c r="Q27" s="771">
        <v>2</v>
      </c>
      <c r="R27" s="569"/>
      <c r="S27" s="603"/>
    </row>
    <row r="28" spans="2:19">
      <c r="B28" s="771" t="s">
        <v>5647</v>
      </c>
      <c r="C28" s="771">
        <v>8</v>
      </c>
      <c r="D28" s="466"/>
      <c r="E28" s="771" t="s">
        <v>5662</v>
      </c>
      <c r="F28" s="771">
        <v>3</v>
      </c>
      <c r="G28" s="465"/>
      <c r="H28" s="771" t="s">
        <v>5663</v>
      </c>
      <c r="I28" s="771">
        <v>3</v>
      </c>
      <c r="K28" s="771" t="s">
        <v>5664</v>
      </c>
      <c r="L28" s="771">
        <v>4</v>
      </c>
      <c r="M28" s="569"/>
      <c r="N28" s="603"/>
      <c r="P28" s="771" t="s">
        <v>5618</v>
      </c>
      <c r="Q28" s="771">
        <v>4</v>
      </c>
      <c r="R28" s="569"/>
      <c r="S28" s="603"/>
    </row>
    <row r="29" spans="2:19">
      <c r="B29" s="771" t="s">
        <v>5650</v>
      </c>
      <c r="C29" s="771">
        <v>10</v>
      </c>
      <c r="D29" s="466"/>
      <c r="E29" s="771" t="s">
        <v>5665</v>
      </c>
      <c r="F29" s="771">
        <v>3</v>
      </c>
      <c r="G29" s="465"/>
      <c r="H29" s="771" t="s">
        <v>5666</v>
      </c>
      <c r="I29" s="771">
        <v>5</v>
      </c>
      <c r="K29" s="771" t="s">
        <v>5667</v>
      </c>
      <c r="L29" s="771">
        <v>2</v>
      </c>
      <c r="M29" s="569"/>
      <c r="N29" s="603"/>
      <c r="P29" s="771" t="s">
        <v>5620</v>
      </c>
      <c r="Q29" s="771">
        <v>1</v>
      </c>
      <c r="R29" s="569"/>
      <c r="S29" s="603"/>
    </row>
    <row r="30" spans="2:19">
      <c r="B30" s="771" t="s">
        <v>5668</v>
      </c>
      <c r="C30" s="771">
        <v>10</v>
      </c>
      <c r="D30" s="466"/>
      <c r="E30" s="771" t="s">
        <v>5669</v>
      </c>
      <c r="F30" s="771">
        <v>3</v>
      </c>
      <c r="G30" s="465"/>
      <c r="H30" s="771" t="s">
        <v>5670</v>
      </c>
      <c r="I30" s="771">
        <v>5</v>
      </c>
      <c r="K30" s="771" t="s">
        <v>5671</v>
      </c>
      <c r="L30" s="771">
        <v>1</v>
      </c>
      <c r="M30" s="569"/>
      <c r="N30" s="603"/>
      <c r="P30" s="771" t="s">
        <v>5623</v>
      </c>
      <c r="Q30" s="771">
        <v>4</v>
      </c>
      <c r="R30" s="569"/>
      <c r="S30" s="603"/>
    </row>
    <row r="31" spans="2:19">
      <c r="B31" s="771" t="s">
        <v>5672</v>
      </c>
      <c r="C31" s="771">
        <v>10</v>
      </c>
      <c r="D31" s="466"/>
      <c r="E31" s="771" t="s">
        <v>5673</v>
      </c>
      <c r="F31" s="771">
        <v>3</v>
      </c>
      <c r="G31" s="465"/>
      <c r="H31" s="771" t="s">
        <v>5674</v>
      </c>
      <c r="I31" s="771">
        <v>5</v>
      </c>
      <c r="K31" s="771" t="s">
        <v>5675</v>
      </c>
      <c r="L31" s="771">
        <v>2</v>
      </c>
      <c r="M31" s="569"/>
      <c r="N31" s="603"/>
      <c r="P31" s="771" t="s">
        <v>5627</v>
      </c>
      <c r="Q31" s="771">
        <v>4</v>
      </c>
      <c r="R31" s="569"/>
      <c r="S31" s="603"/>
    </row>
    <row r="32" spans="2:19">
      <c r="B32" s="771" t="s">
        <v>5655</v>
      </c>
      <c r="C32" s="771">
        <v>10</v>
      </c>
      <c r="D32" s="466"/>
      <c r="E32" s="771" t="s">
        <v>5676</v>
      </c>
      <c r="F32" s="771">
        <v>5</v>
      </c>
      <c r="G32" s="465"/>
      <c r="H32" s="771" t="s">
        <v>5677</v>
      </c>
      <c r="I32" s="771">
        <v>3</v>
      </c>
      <c r="K32" s="771" t="s">
        <v>5658</v>
      </c>
      <c r="L32" s="771">
        <v>2</v>
      </c>
      <c r="M32" s="569"/>
      <c r="N32" s="603"/>
      <c r="P32" s="771" t="s">
        <v>5631</v>
      </c>
      <c r="Q32" s="771">
        <v>4</v>
      </c>
      <c r="R32" s="569"/>
      <c r="S32" s="603"/>
    </row>
    <row r="33" spans="2:19">
      <c r="B33" s="771" t="s">
        <v>5657</v>
      </c>
      <c r="C33" s="771">
        <v>8</v>
      </c>
      <c r="D33" s="466"/>
      <c r="E33" s="771" t="s">
        <v>5678</v>
      </c>
      <c r="F33" s="771">
        <v>3</v>
      </c>
      <c r="G33" s="465"/>
      <c r="H33" s="771" t="s">
        <v>5679</v>
      </c>
      <c r="I33" s="771">
        <v>3</v>
      </c>
      <c r="K33" s="771" t="s">
        <v>5644</v>
      </c>
      <c r="L33" s="771">
        <v>3</v>
      </c>
      <c r="M33" s="569"/>
      <c r="N33" s="603"/>
      <c r="P33" s="771" t="s">
        <v>5664</v>
      </c>
      <c r="Q33" s="771">
        <v>1</v>
      </c>
      <c r="R33" s="569"/>
      <c r="S33" s="603"/>
    </row>
    <row r="34" spans="2:19">
      <c r="B34" s="771" t="s">
        <v>5680</v>
      </c>
      <c r="C34" s="771">
        <v>10</v>
      </c>
      <c r="D34" s="466"/>
      <c r="E34" s="771" t="s">
        <v>5681</v>
      </c>
      <c r="F34" s="771">
        <v>3</v>
      </c>
      <c r="G34" s="465"/>
      <c r="H34" s="771" t="s">
        <v>5682</v>
      </c>
      <c r="I34" s="771">
        <v>1</v>
      </c>
      <c r="K34" s="771" t="s">
        <v>5647</v>
      </c>
      <c r="L34" s="771">
        <v>1</v>
      </c>
      <c r="M34" s="569"/>
      <c r="N34" s="603"/>
      <c r="P34" s="771" t="s">
        <v>5667</v>
      </c>
      <c r="Q34" s="771">
        <v>1</v>
      </c>
      <c r="R34" s="569"/>
      <c r="S34" s="603"/>
    </row>
    <row r="35" spans="2:19">
      <c r="B35" s="771" t="s">
        <v>5683</v>
      </c>
      <c r="C35" s="771">
        <v>10</v>
      </c>
      <c r="D35" s="466"/>
      <c r="E35" s="771" t="s">
        <v>5684</v>
      </c>
      <c r="F35" s="771">
        <v>3</v>
      </c>
      <c r="G35" s="465"/>
      <c r="H35" s="771" t="s">
        <v>5685</v>
      </c>
      <c r="I35" s="771">
        <v>3</v>
      </c>
      <c r="K35" s="771" t="s">
        <v>5668</v>
      </c>
      <c r="L35" s="771">
        <v>3</v>
      </c>
      <c r="M35" s="569"/>
      <c r="N35" s="603"/>
      <c r="P35" s="771" t="s">
        <v>5686</v>
      </c>
      <c r="Q35" s="771">
        <v>4</v>
      </c>
      <c r="R35" s="569"/>
      <c r="S35" s="603"/>
    </row>
    <row r="36" spans="2:19">
      <c r="B36" s="771" t="s">
        <v>5687</v>
      </c>
      <c r="C36" s="771">
        <v>8</v>
      </c>
      <c r="D36" s="466"/>
      <c r="E36" s="771" t="s">
        <v>5688</v>
      </c>
      <c r="F36" s="771">
        <v>3</v>
      </c>
      <c r="G36" s="465"/>
      <c r="H36" s="771" t="s">
        <v>5689</v>
      </c>
      <c r="I36" s="771">
        <v>1</v>
      </c>
      <c r="K36" s="771" t="s">
        <v>5672</v>
      </c>
      <c r="L36" s="771">
        <v>2</v>
      </c>
      <c r="M36" s="569"/>
      <c r="N36" s="603"/>
      <c r="P36" s="771" t="s">
        <v>5671</v>
      </c>
      <c r="Q36" s="771">
        <v>4</v>
      </c>
      <c r="R36" s="569"/>
      <c r="S36" s="603"/>
    </row>
    <row r="37" spans="2:19">
      <c r="B37" s="771" t="s">
        <v>5670</v>
      </c>
      <c r="C37" s="771">
        <v>8</v>
      </c>
      <c r="D37" s="466"/>
      <c r="E37" s="771" t="s">
        <v>5690</v>
      </c>
      <c r="F37" s="771">
        <v>3</v>
      </c>
      <c r="G37" s="465"/>
      <c r="H37" s="771" t="s">
        <v>5691</v>
      </c>
      <c r="I37" s="771">
        <v>3</v>
      </c>
      <c r="K37" s="771" t="s">
        <v>5657</v>
      </c>
      <c r="L37" s="771">
        <v>2</v>
      </c>
      <c r="M37" s="569"/>
      <c r="N37" s="603"/>
      <c r="P37" s="771" t="s">
        <v>5692</v>
      </c>
      <c r="Q37" s="771">
        <v>2</v>
      </c>
      <c r="R37" s="569"/>
      <c r="S37" s="603"/>
    </row>
    <row r="38" spans="2:19">
      <c r="B38" s="771" t="s">
        <v>5693</v>
      </c>
      <c r="C38" s="771">
        <v>10</v>
      </c>
      <c r="D38" s="466"/>
      <c r="E38" s="771" t="s">
        <v>5694</v>
      </c>
      <c r="F38" s="771">
        <v>3</v>
      </c>
      <c r="G38" s="465"/>
      <c r="H38" s="771" t="s">
        <v>5695</v>
      </c>
      <c r="I38" s="771">
        <v>1</v>
      </c>
      <c r="K38" s="771" t="s">
        <v>5680</v>
      </c>
      <c r="L38" s="771">
        <v>3</v>
      </c>
      <c r="M38" s="569"/>
      <c r="N38" s="603"/>
      <c r="P38" s="771" t="s">
        <v>5675</v>
      </c>
      <c r="Q38" s="771">
        <v>4</v>
      </c>
      <c r="R38" s="569"/>
      <c r="S38" s="603"/>
    </row>
    <row r="39" spans="2:19">
      <c r="B39" s="771" t="s">
        <v>5696</v>
      </c>
      <c r="C39" s="771">
        <v>8</v>
      </c>
      <c r="D39" s="466"/>
      <c r="E39" s="771" t="s">
        <v>5697</v>
      </c>
      <c r="F39" s="771">
        <v>5</v>
      </c>
      <c r="G39" s="465"/>
      <c r="H39" s="771" t="s">
        <v>5698</v>
      </c>
      <c r="I39" s="771">
        <v>1</v>
      </c>
      <c r="K39" s="771" t="s">
        <v>5687</v>
      </c>
      <c r="L39" s="771">
        <v>2</v>
      </c>
      <c r="M39" s="569"/>
      <c r="N39" s="603"/>
      <c r="P39" s="771" t="s">
        <v>5636</v>
      </c>
      <c r="Q39" s="771">
        <v>2</v>
      </c>
      <c r="R39" s="569"/>
      <c r="S39" s="603"/>
    </row>
    <row r="40" spans="2:19">
      <c r="B40" s="771" t="s">
        <v>5699</v>
      </c>
      <c r="C40" s="771">
        <v>8</v>
      </c>
      <c r="D40" s="466"/>
      <c r="E40" s="771" t="s">
        <v>5700</v>
      </c>
      <c r="F40" s="771">
        <v>3</v>
      </c>
      <c r="G40" s="465"/>
      <c r="H40" s="771" t="s">
        <v>5701</v>
      </c>
      <c r="I40" s="771">
        <v>1</v>
      </c>
      <c r="K40" s="771" t="s">
        <v>5666</v>
      </c>
      <c r="L40" s="771">
        <v>2</v>
      </c>
      <c r="M40" s="569"/>
      <c r="N40" s="603"/>
      <c r="P40" s="771" t="s">
        <v>5658</v>
      </c>
      <c r="Q40" s="771">
        <v>2</v>
      </c>
      <c r="R40" s="569"/>
      <c r="S40" s="603"/>
    </row>
    <row r="41" spans="2:19">
      <c r="B41" s="771" t="s">
        <v>5674</v>
      </c>
      <c r="C41" s="771">
        <v>8</v>
      </c>
      <c r="D41" s="466"/>
      <c r="E41" s="771" t="s">
        <v>5702</v>
      </c>
      <c r="F41" s="771">
        <v>3</v>
      </c>
      <c r="G41" s="465"/>
      <c r="H41" s="771" t="s">
        <v>5703</v>
      </c>
      <c r="I41" s="771">
        <v>5</v>
      </c>
      <c r="K41" s="771" t="s">
        <v>5670</v>
      </c>
      <c r="L41" s="771">
        <v>4</v>
      </c>
      <c r="M41" s="569"/>
      <c r="N41" s="603"/>
      <c r="P41" s="771" t="s">
        <v>5640</v>
      </c>
      <c r="Q41" s="771">
        <v>2</v>
      </c>
      <c r="R41" s="569"/>
      <c r="S41" s="603"/>
    </row>
    <row r="42" spans="2:19">
      <c r="B42" s="771" t="s">
        <v>5704</v>
      </c>
      <c r="C42" s="771">
        <v>10</v>
      </c>
      <c r="D42" s="466"/>
      <c r="E42" s="771" t="s">
        <v>5705</v>
      </c>
      <c r="F42" s="771">
        <v>3</v>
      </c>
      <c r="G42" s="465"/>
      <c r="H42" s="771" t="s">
        <v>5706</v>
      </c>
      <c r="I42" s="771">
        <v>5</v>
      </c>
      <c r="K42" s="771" t="s">
        <v>5699</v>
      </c>
      <c r="L42" s="771">
        <v>2</v>
      </c>
      <c r="M42" s="569"/>
      <c r="N42" s="603"/>
      <c r="P42" s="771" t="s">
        <v>5644</v>
      </c>
      <c r="Q42" s="771">
        <v>2</v>
      </c>
      <c r="R42" s="569"/>
      <c r="S42" s="603"/>
    </row>
    <row r="43" spans="2:19">
      <c r="B43" s="771" t="s">
        <v>5679</v>
      </c>
      <c r="C43" s="771">
        <v>10</v>
      </c>
      <c r="D43" s="466"/>
      <c r="E43" s="771" t="s">
        <v>5707</v>
      </c>
      <c r="F43" s="771">
        <v>3</v>
      </c>
      <c r="G43" s="465"/>
      <c r="H43" s="771" t="s">
        <v>5708</v>
      </c>
      <c r="I43" s="771">
        <v>1</v>
      </c>
      <c r="K43" s="771" t="s">
        <v>5677</v>
      </c>
      <c r="L43" s="771">
        <v>1</v>
      </c>
      <c r="M43" s="569"/>
      <c r="N43" s="603"/>
      <c r="P43" s="771" t="s">
        <v>5647</v>
      </c>
      <c r="Q43" s="771">
        <v>4</v>
      </c>
      <c r="R43" s="569"/>
      <c r="S43" s="603"/>
    </row>
    <row r="44" spans="2:19">
      <c r="B44" s="771" t="s">
        <v>5709</v>
      </c>
      <c r="C44" s="771">
        <v>8</v>
      </c>
      <c r="D44" s="466"/>
      <c r="E44" s="771" t="s">
        <v>413</v>
      </c>
      <c r="F44" s="771">
        <v>3</v>
      </c>
      <c r="G44" s="465"/>
      <c r="H44" s="771" t="s">
        <v>5710</v>
      </c>
      <c r="I44" s="771">
        <v>3</v>
      </c>
      <c r="K44" s="771" t="s">
        <v>5704</v>
      </c>
      <c r="L44" s="771">
        <v>3</v>
      </c>
      <c r="M44" s="569"/>
      <c r="N44" s="603"/>
      <c r="P44" s="771" t="s">
        <v>5650</v>
      </c>
      <c r="Q44" s="771">
        <v>2</v>
      </c>
      <c r="R44" s="569"/>
      <c r="S44" s="603"/>
    </row>
    <row r="45" spans="2:19">
      <c r="B45" s="771" t="s">
        <v>5682</v>
      </c>
      <c r="C45" s="771">
        <v>8</v>
      </c>
      <c r="D45" s="466"/>
      <c r="E45" s="771" t="s">
        <v>5711</v>
      </c>
      <c r="F45" s="771">
        <v>3</v>
      </c>
      <c r="G45" s="465"/>
      <c r="H45" s="771" t="s">
        <v>5712</v>
      </c>
      <c r="I45" s="771">
        <v>1</v>
      </c>
      <c r="K45" s="771" t="s">
        <v>5679</v>
      </c>
      <c r="L45" s="771">
        <v>2</v>
      </c>
      <c r="M45" s="569"/>
      <c r="N45" s="603"/>
      <c r="P45" s="771" t="s">
        <v>5668</v>
      </c>
      <c r="Q45" s="771">
        <v>4</v>
      </c>
      <c r="R45" s="569"/>
      <c r="S45" s="603"/>
    </row>
    <row r="46" spans="2:19">
      <c r="B46" s="771" t="s">
        <v>5713</v>
      </c>
      <c r="C46" s="771">
        <v>10</v>
      </c>
      <c r="D46" s="466"/>
      <c r="E46" s="771" t="s">
        <v>5714</v>
      </c>
      <c r="F46" s="771">
        <v>5</v>
      </c>
      <c r="G46" s="465"/>
      <c r="H46" s="771" t="s">
        <v>5715</v>
      </c>
      <c r="I46" s="771">
        <v>5</v>
      </c>
      <c r="K46" s="771" t="s">
        <v>5709</v>
      </c>
      <c r="L46" s="771">
        <v>4</v>
      </c>
      <c r="M46" s="569"/>
      <c r="N46" s="603"/>
      <c r="P46" s="771" t="s">
        <v>5672</v>
      </c>
      <c r="Q46" s="771">
        <v>2</v>
      </c>
      <c r="R46" s="569"/>
      <c r="S46" s="603"/>
    </row>
    <row r="47" spans="2:19">
      <c r="B47" s="771" t="s">
        <v>5716</v>
      </c>
      <c r="C47" s="771">
        <v>10</v>
      </c>
      <c r="D47" s="466"/>
      <c r="E47" s="771" t="s">
        <v>5717</v>
      </c>
      <c r="F47" s="771">
        <v>3</v>
      </c>
      <c r="G47" s="465"/>
      <c r="H47" s="771" t="s">
        <v>5718</v>
      </c>
      <c r="I47" s="771">
        <v>1</v>
      </c>
      <c r="K47" s="771" t="s">
        <v>5719</v>
      </c>
      <c r="L47" s="771">
        <v>3</v>
      </c>
      <c r="M47" s="569"/>
      <c r="N47" s="603"/>
      <c r="P47" s="771" t="s">
        <v>5652</v>
      </c>
      <c r="Q47" s="771">
        <v>4</v>
      </c>
      <c r="R47" s="569"/>
      <c r="S47" s="603"/>
    </row>
    <row r="48" spans="2:19">
      <c r="B48" s="771" t="s">
        <v>5720</v>
      </c>
      <c r="C48" s="771">
        <v>10</v>
      </c>
      <c r="D48" s="466"/>
      <c r="E48" s="771" t="s">
        <v>5721</v>
      </c>
      <c r="F48" s="771">
        <v>5</v>
      </c>
      <c r="G48" s="465"/>
      <c r="H48" s="771" t="s">
        <v>5722</v>
      </c>
      <c r="I48" s="771">
        <v>3</v>
      </c>
      <c r="K48" s="771" t="s">
        <v>5685</v>
      </c>
      <c r="L48" s="771">
        <v>2</v>
      </c>
      <c r="M48" s="569"/>
      <c r="N48" s="603"/>
      <c r="P48" s="771" t="s">
        <v>5655</v>
      </c>
      <c r="Q48" s="771">
        <v>4</v>
      </c>
      <c r="R48" s="569"/>
      <c r="S48" s="603"/>
    </row>
    <row r="49" spans="2:19">
      <c r="B49" s="771" t="s">
        <v>5723</v>
      </c>
      <c r="C49" s="771">
        <v>10</v>
      </c>
      <c r="D49" s="466"/>
      <c r="E49" s="771" t="s">
        <v>5724</v>
      </c>
      <c r="F49" s="771">
        <v>3</v>
      </c>
      <c r="G49" s="465"/>
      <c r="H49" s="771" t="s">
        <v>5725</v>
      </c>
      <c r="I49" s="771">
        <v>3</v>
      </c>
      <c r="K49" s="771" t="s">
        <v>5716</v>
      </c>
      <c r="L49" s="771">
        <v>2</v>
      </c>
      <c r="M49" s="569"/>
      <c r="N49" s="603"/>
      <c r="P49" s="771" t="s">
        <v>5657</v>
      </c>
      <c r="Q49" s="771">
        <v>2</v>
      </c>
      <c r="R49" s="569"/>
      <c r="S49" s="603"/>
    </row>
    <row r="50" spans="2:19">
      <c r="B50" s="771" t="s">
        <v>5726</v>
      </c>
      <c r="C50" s="771">
        <v>10</v>
      </c>
      <c r="D50" s="466"/>
      <c r="E50" s="771" t="s">
        <v>5727</v>
      </c>
      <c r="F50" s="771">
        <v>3</v>
      </c>
      <c r="G50" s="465"/>
      <c r="H50" s="771" t="s">
        <v>5728</v>
      </c>
      <c r="I50" s="771">
        <v>1</v>
      </c>
      <c r="K50" s="771" t="s">
        <v>5726</v>
      </c>
      <c r="L50" s="771">
        <v>4</v>
      </c>
      <c r="M50" s="569"/>
      <c r="N50" s="603"/>
      <c r="P50" s="771" t="s">
        <v>5680</v>
      </c>
      <c r="Q50" s="771">
        <v>4</v>
      </c>
      <c r="R50" s="569"/>
      <c r="S50" s="603"/>
    </row>
    <row r="51" spans="2:19">
      <c r="B51" s="771" t="s">
        <v>5729</v>
      </c>
      <c r="C51" s="771">
        <v>8</v>
      </c>
      <c r="D51" s="466"/>
      <c r="E51" s="771" t="s">
        <v>5730</v>
      </c>
      <c r="F51" s="771">
        <v>3</v>
      </c>
      <c r="G51" s="465"/>
      <c r="H51" s="771" t="s">
        <v>5731</v>
      </c>
      <c r="I51" s="771">
        <v>1</v>
      </c>
      <c r="K51" s="771" t="s">
        <v>5729</v>
      </c>
      <c r="L51" s="771">
        <v>1</v>
      </c>
      <c r="M51" s="569"/>
      <c r="N51" s="603"/>
      <c r="P51" s="771" t="s">
        <v>5683</v>
      </c>
      <c r="Q51" s="771">
        <v>3</v>
      </c>
      <c r="R51" s="569"/>
      <c r="S51" s="603"/>
    </row>
    <row r="52" spans="2:19">
      <c r="B52" s="771" t="s">
        <v>5732</v>
      </c>
      <c r="C52" s="771">
        <v>8</v>
      </c>
      <c r="D52" s="466"/>
      <c r="E52" s="771" t="s">
        <v>5733</v>
      </c>
      <c r="F52" s="771">
        <v>3</v>
      </c>
      <c r="G52" s="465"/>
      <c r="H52" s="771" t="s">
        <v>5734</v>
      </c>
      <c r="I52" s="771">
        <v>5</v>
      </c>
      <c r="K52" s="771" t="s">
        <v>5732</v>
      </c>
      <c r="L52" s="771">
        <v>1</v>
      </c>
      <c r="M52" s="569"/>
      <c r="N52" s="603"/>
      <c r="P52" s="771" t="s">
        <v>5687</v>
      </c>
      <c r="Q52" s="771">
        <v>2</v>
      </c>
      <c r="R52" s="569"/>
      <c r="S52" s="603"/>
    </row>
    <row r="53" spans="2:19">
      <c r="B53" s="771" t="s">
        <v>5735</v>
      </c>
      <c r="C53" s="771">
        <v>8</v>
      </c>
      <c r="D53" s="466"/>
      <c r="E53" s="771" t="s">
        <v>5736</v>
      </c>
      <c r="F53" s="771">
        <v>3</v>
      </c>
      <c r="G53" s="465"/>
      <c r="H53" s="771" t="s">
        <v>5737</v>
      </c>
      <c r="I53" s="771">
        <v>5</v>
      </c>
      <c r="K53" s="771" t="s">
        <v>5735</v>
      </c>
      <c r="L53" s="771">
        <v>4</v>
      </c>
      <c r="M53" s="569"/>
      <c r="N53" s="603"/>
      <c r="P53" s="771" t="s">
        <v>5663</v>
      </c>
      <c r="Q53" s="771">
        <v>4</v>
      </c>
      <c r="R53" s="569"/>
      <c r="S53" s="603"/>
    </row>
    <row r="54" spans="2:19">
      <c r="B54" s="771" t="s">
        <v>5738</v>
      </c>
      <c r="C54" s="771">
        <v>8</v>
      </c>
      <c r="D54" s="466"/>
      <c r="E54" s="771" t="s">
        <v>5739</v>
      </c>
      <c r="F54" s="771">
        <v>5</v>
      </c>
      <c r="G54" s="465"/>
      <c r="H54" s="771" t="s">
        <v>5740</v>
      </c>
      <c r="I54" s="771">
        <v>1</v>
      </c>
      <c r="K54" s="771" t="s">
        <v>5738</v>
      </c>
      <c r="L54" s="771">
        <v>3</v>
      </c>
      <c r="M54" s="569"/>
      <c r="N54" s="603"/>
      <c r="P54" s="771" t="s">
        <v>5666</v>
      </c>
      <c r="Q54" s="771">
        <v>3</v>
      </c>
      <c r="R54" s="569"/>
      <c r="S54" s="603"/>
    </row>
    <row r="55" spans="2:19">
      <c r="B55" s="771" t="s">
        <v>5741</v>
      </c>
      <c r="C55" s="771">
        <v>8</v>
      </c>
      <c r="D55" s="466"/>
      <c r="E55" s="771" t="s">
        <v>5742</v>
      </c>
      <c r="F55" s="771">
        <v>3</v>
      </c>
      <c r="G55" s="465"/>
      <c r="H55" s="771" t="s">
        <v>5743</v>
      </c>
      <c r="I55" s="771">
        <v>3</v>
      </c>
      <c r="K55" s="771" t="s">
        <v>5744</v>
      </c>
      <c r="L55" s="771">
        <v>3</v>
      </c>
      <c r="M55" s="569"/>
      <c r="N55" s="603"/>
      <c r="P55" s="771" t="s">
        <v>5693</v>
      </c>
      <c r="Q55" s="771">
        <v>2</v>
      </c>
      <c r="R55" s="569"/>
      <c r="S55" s="603"/>
    </row>
    <row r="56" spans="2:19">
      <c r="B56" s="771" t="s">
        <v>5744</v>
      </c>
      <c r="C56" s="771">
        <v>8</v>
      </c>
      <c r="D56" s="466"/>
      <c r="E56" s="771" t="s">
        <v>5745</v>
      </c>
      <c r="F56" s="771">
        <v>3</v>
      </c>
      <c r="G56" s="465"/>
      <c r="H56" s="771" t="s">
        <v>5746</v>
      </c>
      <c r="I56" s="771">
        <v>5</v>
      </c>
      <c r="K56" s="771" t="s">
        <v>5698</v>
      </c>
      <c r="L56" s="771">
        <v>2</v>
      </c>
      <c r="M56" s="569"/>
      <c r="N56" s="603"/>
      <c r="P56" s="771" t="s">
        <v>5699</v>
      </c>
      <c r="Q56" s="771">
        <v>1</v>
      </c>
      <c r="R56" s="569"/>
      <c r="S56" s="603"/>
    </row>
    <row r="57" spans="2:19">
      <c r="B57" s="771" t="s">
        <v>5747</v>
      </c>
      <c r="C57" s="771">
        <v>8</v>
      </c>
      <c r="D57" s="466"/>
      <c r="E57" s="771" t="s">
        <v>5748</v>
      </c>
      <c r="F57" s="771">
        <v>3</v>
      </c>
      <c r="G57" s="465"/>
      <c r="H57" s="771" t="s">
        <v>5749</v>
      </c>
      <c r="I57" s="771">
        <v>3</v>
      </c>
      <c r="K57" s="771" t="s">
        <v>5750</v>
      </c>
      <c r="L57" s="771">
        <v>2</v>
      </c>
      <c r="M57" s="569"/>
      <c r="N57" s="603"/>
      <c r="P57" s="771" t="s">
        <v>5674</v>
      </c>
      <c r="Q57" s="771">
        <v>2</v>
      </c>
      <c r="R57" s="569"/>
      <c r="S57" s="603"/>
    </row>
    <row r="58" spans="2:19">
      <c r="B58" s="771" t="s">
        <v>5751</v>
      </c>
      <c r="C58" s="771">
        <v>8</v>
      </c>
      <c r="D58" s="466"/>
      <c r="E58" s="771" t="s">
        <v>5752</v>
      </c>
      <c r="F58" s="771">
        <v>5</v>
      </c>
      <c r="G58" s="465"/>
      <c r="H58" s="771" t="s">
        <v>5753</v>
      </c>
      <c r="I58" s="771">
        <v>1</v>
      </c>
      <c r="K58" s="771" t="s">
        <v>5747</v>
      </c>
      <c r="L58" s="771">
        <v>2</v>
      </c>
      <c r="M58" s="569"/>
      <c r="N58" s="603"/>
      <c r="P58" s="771" t="s">
        <v>5754</v>
      </c>
      <c r="Q58" s="771">
        <v>4</v>
      </c>
      <c r="R58" s="569"/>
      <c r="S58" s="603"/>
    </row>
    <row r="59" spans="2:19">
      <c r="B59" s="771" t="s">
        <v>5703</v>
      </c>
      <c r="C59" s="771">
        <v>10</v>
      </c>
      <c r="D59" s="466"/>
      <c r="E59" s="771" t="s">
        <v>5755</v>
      </c>
      <c r="F59" s="771">
        <v>3</v>
      </c>
      <c r="G59" s="465"/>
      <c r="H59" s="771" t="s">
        <v>5756</v>
      </c>
      <c r="I59" s="771">
        <v>5</v>
      </c>
      <c r="K59" s="771" t="s">
        <v>5751</v>
      </c>
      <c r="L59" s="771">
        <v>2</v>
      </c>
      <c r="M59" s="569"/>
      <c r="N59" s="603"/>
      <c r="P59" s="771" t="s">
        <v>5677</v>
      </c>
      <c r="Q59" s="771">
        <v>4</v>
      </c>
      <c r="R59" s="569"/>
      <c r="S59" s="603"/>
    </row>
    <row r="60" spans="2:19">
      <c r="B60" s="771" t="s">
        <v>5706</v>
      </c>
      <c r="C60" s="771">
        <v>10</v>
      </c>
      <c r="D60" s="466"/>
      <c r="E60" s="771" t="s">
        <v>5757</v>
      </c>
      <c r="F60" s="771">
        <v>3</v>
      </c>
      <c r="G60" s="465"/>
      <c r="H60" s="771" t="s">
        <v>5758</v>
      </c>
      <c r="I60" s="771">
        <v>5</v>
      </c>
      <c r="K60" s="771" t="s">
        <v>5759</v>
      </c>
      <c r="L60" s="771">
        <v>2</v>
      </c>
      <c r="M60" s="569"/>
      <c r="N60" s="603"/>
      <c r="P60" s="771" t="s">
        <v>5704</v>
      </c>
      <c r="Q60" s="771">
        <v>3</v>
      </c>
      <c r="R60" s="569"/>
      <c r="S60" s="603"/>
    </row>
    <row r="61" spans="2:19">
      <c r="B61" s="771" t="s">
        <v>5708</v>
      </c>
      <c r="C61" s="771">
        <v>10</v>
      </c>
      <c r="D61" s="466"/>
      <c r="E61" s="771" t="s">
        <v>5760</v>
      </c>
      <c r="F61" s="771">
        <v>3</v>
      </c>
      <c r="G61" s="465"/>
      <c r="H61" s="771" t="s">
        <v>5761</v>
      </c>
      <c r="I61" s="771">
        <v>1</v>
      </c>
      <c r="K61" s="771" t="s">
        <v>5701</v>
      </c>
      <c r="L61" s="771">
        <v>2</v>
      </c>
      <c r="M61" s="569"/>
      <c r="N61" s="603"/>
      <c r="P61" s="771" t="s">
        <v>5679</v>
      </c>
      <c r="Q61" s="771">
        <v>1</v>
      </c>
      <c r="R61" s="569"/>
      <c r="S61" s="603"/>
    </row>
    <row r="62" spans="2:19">
      <c r="B62" s="771" t="s">
        <v>5762</v>
      </c>
      <c r="C62" s="771">
        <v>10</v>
      </c>
      <c r="D62" s="466"/>
      <c r="E62" s="771" t="s">
        <v>5763</v>
      </c>
      <c r="F62" s="771">
        <v>3</v>
      </c>
      <c r="G62" s="465"/>
      <c r="H62" s="771" t="s">
        <v>5764</v>
      </c>
      <c r="I62" s="771">
        <v>5</v>
      </c>
      <c r="K62" s="771" t="s">
        <v>5765</v>
      </c>
      <c r="L62" s="771">
        <v>4</v>
      </c>
      <c r="M62" s="569"/>
      <c r="N62" s="603"/>
      <c r="P62" s="771" t="s">
        <v>5709</v>
      </c>
      <c r="Q62" s="771">
        <v>4</v>
      </c>
      <c r="R62" s="569"/>
      <c r="S62" s="603"/>
    </row>
    <row r="63" spans="2:19">
      <c r="B63" s="771" t="s">
        <v>5766</v>
      </c>
      <c r="C63" s="771">
        <v>8</v>
      </c>
      <c r="D63" s="466"/>
      <c r="E63" s="771" t="s">
        <v>5767</v>
      </c>
      <c r="F63" s="771">
        <v>3</v>
      </c>
      <c r="G63" s="465"/>
      <c r="H63" s="771" t="s">
        <v>5768</v>
      </c>
      <c r="I63" s="771">
        <v>3</v>
      </c>
      <c r="K63" s="771" t="s">
        <v>5703</v>
      </c>
      <c r="L63" s="771">
        <v>3</v>
      </c>
      <c r="M63" s="569"/>
      <c r="N63" s="603"/>
      <c r="P63" s="771" t="s">
        <v>5769</v>
      </c>
      <c r="Q63" s="771">
        <v>2</v>
      </c>
      <c r="R63" s="569"/>
      <c r="S63" s="603"/>
    </row>
    <row r="64" spans="2:19">
      <c r="B64" s="771" t="s">
        <v>5770</v>
      </c>
      <c r="C64" s="771">
        <v>10</v>
      </c>
      <c r="D64" s="466"/>
      <c r="E64" s="771" t="s">
        <v>5771</v>
      </c>
      <c r="F64" s="771">
        <v>3</v>
      </c>
      <c r="G64" s="465"/>
      <c r="H64" s="771" t="s">
        <v>5772</v>
      </c>
      <c r="I64" s="771">
        <v>1</v>
      </c>
      <c r="K64" s="771" t="s">
        <v>5706</v>
      </c>
      <c r="L64" s="771">
        <v>1</v>
      </c>
      <c r="M64" s="569"/>
      <c r="N64" s="603"/>
      <c r="P64" s="771" t="s">
        <v>5773</v>
      </c>
      <c r="Q64" s="771">
        <v>4</v>
      </c>
      <c r="R64" s="569"/>
      <c r="S64" s="603"/>
    </row>
    <row r="65" spans="2:17">
      <c r="B65" s="771" t="s">
        <v>5715</v>
      </c>
      <c r="C65" s="771">
        <v>10</v>
      </c>
      <c r="D65" s="466"/>
      <c r="E65" s="771" t="s">
        <v>5774</v>
      </c>
      <c r="F65" s="771">
        <v>3</v>
      </c>
      <c r="G65" s="465"/>
      <c r="H65" s="771" t="s">
        <v>5775</v>
      </c>
      <c r="I65" s="771">
        <v>3</v>
      </c>
      <c r="K65" s="771" t="s">
        <v>5776</v>
      </c>
      <c r="L65" s="771">
        <v>3</v>
      </c>
      <c r="P65" s="771" t="s">
        <v>5719</v>
      </c>
      <c r="Q65" s="771">
        <v>2</v>
      </c>
    </row>
    <row r="66" spans="2:17">
      <c r="B66" s="771" t="s">
        <v>5718</v>
      </c>
      <c r="C66" s="771">
        <v>8</v>
      </c>
      <c r="D66" s="466"/>
      <c r="E66" s="771" t="s">
        <v>5777</v>
      </c>
      <c r="F66" s="771">
        <v>3</v>
      </c>
      <c r="G66" s="465"/>
      <c r="H66" s="771" t="s">
        <v>5778</v>
      </c>
      <c r="I66" s="771">
        <v>1</v>
      </c>
      <c r="K66" s="771" t="s">
        <v>5779</v>
      </c>
      <c r="L66" s="771">
        <v>1</v>
      </c>
      <c r="P66" s="771" t="s">
        <v>5682</v>
      </c>
      <c r="Q66" s="771">
        <v>1</v>
      </c>
    </row>
    <row r="67" spans="2:17">
      <c r="B67" s="771" t="s">
        <v>5780</v>
      </c>
      <c r="C67" s="771">
        <v>8</v>
      </c>
      <c r="D67" s="466"/>
      <c r="E67" s="771" t="s">
        <v>5781</v>
      </c>
      <c r="F67" s="771">
        <v>3</v>
      </c>
      <c r="G67" s="465"/>
      <c r="H67" s="771" t="s">
        <v>5782</v>
      </c>
      <c r="I67" s="771">
        <v>1</v>
      </c>
      <c r="K67" s="771" t="s">
        <v>5708</v>
      </c>
      <c r="L67" s="771">
        <v>4</v>
      </c>
      <c r="P67" s="771" t="s">
        <v>5685</v>
      </c>
      <c r="Q67" s="771">
        <v>1</v>
      </c>
    </row>
    <row r="68" spans="2:17">
      <c r="B68" s="771" t="s">
        <v>5783</v>
      </c>
      <c r="C68" s="771">
        <v>8</v>
      </c>
      <c r="D68" s="466"/>
      <c r="E68" s="771" t="s">
        <v>5784</v>
      </c>
      <c r="F68" s="771">
        <v>3</v>
      </c>
      <c r="G68" s="465"/>
      <c r="H68" s="771" t="s">
        <v>5785</v>
      </c>
      <c r="I68" s="771">
        <v>1</v>
      </c>
      <c r="K68" s="771" t="s">
        <v>5762</v>
      </c>
      <c r="L68" s="771">
        <v>4</v>
      </c>
      <c r="P68" s="771" t="s">
        <v>5689</v>
      </c>
      <c r="Q68" s="771">
        <v>1</v>
      </c>
    </row>
    <row r="69" spans="2:17">
      <c r="B69" s="771" t="s">
        <v>5786</v>
      </c>
      <c r="C69" s="771">
        <v>8</v>
      </c>
      <c r="D69" s="466"/>
      <c r="E69" s="771" t="s">
        <v>5787</v>
      </c>
      <c r="F69" s="771">
        <v>5</v>
      </c>
      <c r="G69" s="465"/>
      <c r="H69" s="771" t="s">
        <v>5788</v>
      </c>
      <c r="I69" s="771">
        <v>1</v>
      </c>
      <c r="K69" s="771" t="s">
        <v>5766</v>
      </c>
      <c r="L69" s="771">
        <v>2</v>
      </c>
      <c r="P69" s="771" t="s">
        <v>5691</v>
      </c>
      <c r="Q69" s="771">
        <v>2</v>
      </c>
    </row>
    <row r="70" spans="2:17">
      <c r="B70" s="771" t="s">
        <v>5789</v>
      </c>
      <c r="C70" s="771">
        <v>8</v>
      </c>
      <c r="D70" s="466"/>
      <c r="E70" s="771" t="s">
        <v>5790</v>
      </c>
      <c r="F70" s="771">
        <v>5</v>
      </c>
      <c r="G70" s="465"/>
      <c r="H70" s="771" t="s">
        <v>5791</v>
      </c>
      <c r="I70" s="771">
        <v>1</v>
      </c>
      <c r="K70" s="771" t="s">
        <v>5710</v>
      </c>
      <c r="L70" s="771">
        <v>1</v>
      </c>
      <c r="P70" s="771" t="s">
        <v>5792</v>
      </c>
      <c r="Q70" s="771">
        <v>4</v>
      </c>
    </row>
    <row r="71" spans="2:17">
      <c r="B71" s="771" t="s">
        <v>5793</v>
      </c>
      <c r="C71" s="771">
        <v>8</v>
      </c>
      <c r="D71" s="466"/>
      <c r="E71" s="771" t="s">
        <v>5794</v>
      </c>
      <c r="F71" s="771">
        <v>3</v>
      </c>
      <c r="G71" s="465"/>
      <c r="H71" s="771" t="s">
        <v>5795</v>
      </c>
      <c r="I71" s="771">
        <v>1</v>
      </c>
      <c r="K71" s="771" t="s">
        <v>5796</v>
      </c>
      <c r="L71" s="771">
        <v>1</v>
      </c>
      <c r="P71" s="771" t="s">
        <v>5797</v>
      </c>
      <c r="Q71" s="771">
        <v>4</v>
      </c>
    </row>
    <row r="72" spans="2:17">
      <c r="B72" s="771" t="s">
        <v>5798</v>
      </c>
      <c r="C72" s="771">
        <v>8</v>
      </c>
      <c r="D72" s="466"/>
      <c r="E72" s="771" t="s">
        <v>5799</v>
      </c>
      <c r="F72" s="771">
        <v>3</v>
      </c>
      <c r="G72" s="465"/>
      <c r="H72" s="771" t="s">
        <v>5800</v>
      </c>
      <c r="I72" s="771">
        <v>1</v>
      </c>
      <c r="K72" s="771" t="s">
        <v>5770</v>
      </c>
      <c r="L72" s="771">
        <v>2</v>
      </c>
      <c r="P72" s="771" t="s">
        <v>5713</v>
      </c>
      <c r="Q72" s="771">
        <v>2</v>
      </c>
    </row>
    <row r="73" spans="2:17">
      <c r="B73" s="771" t="s">
        <v>5801</v>
      </c>
      <c r="C73" s="771">
        <v>8</v>
      </c>
      <c r="D73" s="466"/>
      <c r="E73" s="771" t="s">
        <v>5802</v>
      </c>
      <c r="F73" s="771">
        <v>5</v>
      </c>
      <c r="G73" s="465"/>
      <c r="H73" s="771" t="s">
        <v>5803</v>
      </c>
      <c r="I73" s="771">
        <v>3</v>
      </c>
      <c r="K73" s="771" t="s">
        <v>5715</v>
      </c>
      <c r="L73" s="771">
        <v>2</v>
      </c>
      <c r="P73" s="771" t="s">
        <v>5804</v>
      </c>
      <c r="Q73" s="771">
        <v>4</v>
      </c>
    </row>
    <row r="74" spans="2:17">
      <c r="B74" s="771" t="s">
        <v>5728</v>
      </c>
      <c r="C74" s="771">
        <v>10</v>
      </c>
      <c r="D74" s="466"/>
      <c r="E74" s="771" t="s">
        <v>5805</v>
      </c>
      <c r="F74" s="771">
        <v>3</v>
      </c>
      <c r="G74" s="465"/>
      <c r="H74" s="771" t="s">
        <v>5806</v>
      </c>
      <c r="I74" s="771">
        <v>5</v>
      </c>
      <c r="K74" s="771" t="s">
        <v>5807</v>
      </c>
      <c r="L74" s="771">
        <v>3</v>
      </c>
      <c r="P74" s="771" t="s">
        <v>5695</v>
      </c>
      <c r="Q74" s="771">
        <v>4</v>
      </c>
    </row>
    <row r="75" spans="2:17">
      <c r="B75" s="771" t="s">
        <v>5808</v>
      </c>
      <c r="C75" s="771">
        <v>10</v>
      </c>
      <c r="D75" s="466"/>
      <c r="E75" s="771" t="s">
        <v>5809</v>
      </c>
      <c r="F75" s="771">
        <v>3</v>
      </c>
      <c r="G75" s="465"/>
      <c r="H75" s="771" t="s">
        <v>5810</v>
      </c>
      <c r="I75" s="771">
        <v>3</v>
      </c>
      <c r="K75" s="771" t="s">
        <v>5811</v>
      </c>
      <c r="L75" s="771">
        <v>2</v>
      </c>
      <c r="P75" s="771" t="s">
        <v>5716</v>
      </c>
      <c r="Q75" s="771">
        <v>1</v>
      </c>
    </row>
    <row r="76" spans="2:17">
      <c r="B76" s="771" t="s">
        <v>5812</v>
      </c>
      <c r="C76" s="771">
        <v>8</v>
      </c>
      <c r="D76" s="466"/>
      <c r="E76" s="771" t="s">
        <v>5813</v>
      </c>
      <c r="F76" s="771">
        <v>3</v>
      </c>
      <c r="G76" s="465"/>
      <c r="H76" s="771" t="s">
        <v>5814</v>
      </c>
      <c r="I76" s="771">
        <v>5</v>
      </c>
      <c r="K76" s="771" t="s">
        <v>5815</v>
      </c>
      <c r="L76" s="771">
        <v>2</v>
      </c>
      <c r="P76" s="771" t="s">
        <v>5720</v>
      </c>
      <c r="Q76" s="771">
        <v>2</v>
      </c>
    </row>
    <row r="77" spans="2:17">
      <c r="B77" s="771" t="s">
        <v>5731</v>
      </c>
      <c r="C77" s="771">
        <v>8</v>
      </c>
      <c r="D77" s="466"/>
      <c r="E77" s="771" t="s">
        <v>5816</v>
      </c>
      <c r="F77" s="771">
        <v>3</v>
      </c>
      <c r="G77" s="465"/>
      <c r="H77" s="771" t="s">
        <v>5817</v>
      </c>
      <c r="I77" s="771">
        <v>1</v>
      </c>
      <c r="K77" s="771" t="s">
        <v>5718</v>
      </c>
      <c r="L77" s="771">
        <v>2</v>
      </c>
      <c r="P77" s="771" t="s">
        <v>5723</v>
      </c>
      <c r="Q77" s="771">
        <v>4</v>
      </c>
    </row>
    <row r="78" spans="2:17">
      <c r="B78" s="771" t="s">
        <v>5818</v>
      </c>
      <c r="C78" s="771">
        <v>8</v>
      </c>
      <c r="D78" s="466"/>
      <c r="E78" s="771" t="s">
        <v>5819</v>
      </c>
      <c r="F78" s="771">
        <v>3</v>
      </c>
      <c r="G78" s="465"/>
      <c r="H78" s="771" t="s">
        <v>5820</v>
      </c>
      <c r="I78" s="771">
        <v>5</v>
      </c>
      <c r="K78" s="771" t="s">
        <v>5821</v>
      </c>
      <c r="L78" s="771">
        <v>2</v>
      </c>
      <c r="P78" s="771" t="s">
        <v>5726</v>
      </c>
      <c r="Q78" s="771">
        <v>4</v>
      </c>
    </row>
    <row r="79" spans="2:17">
      <c r="B79" s="771" t="s">
        <v>5822</v>
      </c>
      <c r="C79" s="771">
        <v>8</v>
      </c>
      <c r="D79" s="466"/>
      <c r="E79" s="771" t="s">
        <v>5823</v>
      </c>
      <c r="F79" s="771">
        <v>5</v>
      </c>
      <c r="G79" s="465"/>
      <c r="H79" s="771" t="s">
        <v>5824</v>
      </c>
      <c r="I79" s="771">
        <v>1</v>
      </c>
      <c r="K79" s="771" t="s">
        <v>5825</v>
      </c>
      <c r="L79" s="771">
        <v>2</v>
      </c>
      <c r="P79" s="771" t="s">
        <v>5826</v>
      </c>
      <c r="Q79" s="771">
        <v>2</v>
      </c>
    </row>
    <row r="80" spans="2:17">
      <c r="B80" s="771" t="s">
        <v>5827</v>
      </c>
      <c r="C80" s="771">
        <v>8</v>
      </c>
      <c r="D80" s="466"/>
      <c r="E80" s="771" t="s">
        <v>5828</v>
      </c>
      <c r="F80" s="771">
        <v>3</v>
      </c>
      <c r="G80" s="465"/>
      <c r="H80" s="771" t="s">
        <v>5829</v>
      </c>
      <c r="I80" s="771">
        <v>3</v>
      </c>
      <c r="K80" s="771" t="s">
        <v>5780</v>
      </c>
      <c r="L80" s="771">
        <v>2</v>
      </c>
      <c r="P80" s="771" t="s">
        <v>5732</v>
      </c>
      <c r="Q80" s="771">
        <v>1</v>
      </c>
    </row>
    <row r="81" spans="2:17">
      <c r="B81" s="771" t="s">
        <v>5830</v>
      </c>
      <c r="C81" s="771">
        <v>10</v>
      </c>
      <c r="D81" s="466"/>
      <c r="E81" s="771" t="s">
        <v>5831</v>
      </c>
      <c r="F81" s="771">
        <v>3</v>
      </c>
      <c r="G81" s="465"/>
      <c r="H81" s="771" t="s">
        <v>5832</v>
      </c>
      <c r="I81" s="771">
        <v>3</v>
      </c>
      <c r="K81" s="771" t="s">
        <v>5786</v>
      </c>
      <c r="L81" s="771">
        <v>2</v>
      </c>
      <c r="P81" s="771" t="s">
        <v>5738</v>
      </c>
      <c r="Q81" s="771">
        <v>1</v>
      </c>
    </row>
    <row r="82" spans="2:17">
      <c r="B82" s="771" t="s">
        <v>5734</v>
      </c>
      <c r="C82" s="771">
        <v>10</v>
      </c>
      <c r="D82" s="466"/>
      <c r="E82" s="771" t="s">
        <v>5833</v>
      </c>
      <c r="F82" s="771">
        <v>3</v>
      </c>
      <c r="G82" s="465"/>
      <c r="H82" s="771" t="s">
        <v>5834</v>
      </c>
      <c r="I82" s="771">
        <v>5</v>
      </c>
      <c r="K82" s="771" t="s">
        <v>5835</v>
      </c>
      <c r="L82" s="771">
        <v>3</v>
      </c>
      <c r="P82" s="771" t="s">
        <v>5741</v>
      </c>
      <c r="Q82" s="771">
        <v>2</v>
      </c>
    </row>
    <row r="83" spans="2:17">
      <c r="B83" s="771" t="s">
        <v>5737</v>
      </c>
      <c r="C83" s="771">
        <v>10</v>
      </c>
      <c r="D83" s="466"/>
      <c r="E83" s="771" t="s">
        <v>5836</v>
      </c>
      <c r="F83" s="771">
        <v>3</v>
      </c>
      <c r="G83" s="465"/>
      <c r="H83" s="771" t="s">
        <v>5837</v>
      </c>
      <c r="I83" s="771">
        <v>5</v>
      </c>
      <c r="K83" s="771" t="s">
        <v>5838</v>
      </c>
      <c r="L83" s="771">
        <v>1</v>
      </c>
      <c r="P83" s="771" t="s">
        <v>5750</v>
      </c>
      <c r="Q83" s="771">
        <v>2</v>
      </c>
    </row>
    <row r="84" spans="2:17">
      <c r="B84" s="771" t="s">
        <v>5740</v>
      </c>
      <c r="C84" s="771">
        <v>10</v>
      </c>
      <c r="D84" s="466"/>
      <c r="E84" s="771" t="s">
        <v>5839</v>
      </c>
      <c r="F84" s="771">
        <v>5</v>
      </c>
      <c r="G84" s="465"/>
      <c r="H84" s="771" t="s">
        <v>5840</v>
      </c>
      <c r="I84" s="771">
        <v>1</v>
      </c>
      <c r="K84" s="771" t="s">
        <v>5841</v>
      </c>
      <c r="L84" s="771">
        <v>2</v>
      </c>
      <c r="P84" s="771" t="s">
        <v>5747</v>
      </c>
      <c r="Q84" s="771">
        <v>2</v>
      </c>
    </row>
    <row r="85" spans="2:17">
      <c r="B85" s="771" t="s">
        <v>5842</v>
      </c>
      <c r="C85" s="771">
        <v>10</v>
      </c>
      <c r="D85" s="466"/>
      <c r="E85" s="771" t="s">
        <v>5843</v>
      </c>
      <c r="F85" s="771">
        <v>5</v>
      </c>
      <c r="G85" s="465"/>
      <c r="H85" s="771" t="s">
        <v>5844</v>
      </c>
      <c r="I85" s="771">
        <v>1</v>
      </c>
      <c r="K85" s="771" t="s">
        <v>5845</v>
      </c>
      <c r="L85" s="771">
        <v>2</v>
      </c>
      <c r="P85" s="771" t="s">
        <v>5759</v>
      </c>
      <c r="Q85" s="771">
        <v>4</v>
      </c>
    </row>
    <row r="86" spans="2:17">
      <c r="B86" s="771" t="s">
        <v>5746</v>
      </c>
      <c r="C86" s="771">
        <v>10</v>
      </c>
      <c r="D86" s="466"/>
      <c r="E86" s="771" t="s">
        <v>5846</v>
      </c>
      <c r="F86" s="771">
        <v>3</v>
      </c>
      <c r="G86" s="465"/>
      <c r="H86" s="771" t="s">
        <v>5847</v>
      </c>
      <c r="I86" s="771">
        <v>1</v>
      </c>
      <c r="K86" s="771" t="s">
        <v>5798</v>
      </c>
      <c r="L86" s="771">
        <v>3</v>
      </c>
      <c r="P86" s="771" t="s">
        <v>5701</v>
      </c>
      <c r="Q86" s="771">
        <v>2</v>
      </c>
    </row>
    <row r="87" spans="2:17">
      <c r="B87" s="771" t="s">
        <v>5848</v>
      </c>
      <c r="C87" s="771">
        <v>10</v>
      </c>
      <c r="D87" s="466"/>
      <c r="E87" s="771" t="s">
        <v>5849</v>
      </c>
      <c r="F87" s="771">
        <v>3</v>
      </c>
      <c r="G87" s="465"/>
      <c r="H87" s="771" t="s">
        <v>5850</v>
      </c>
      <c r="I87" s="771">
        <v>1</v>
      </c>
      <c r="K87" s="771" t="s">
        <v>5801</v>
      </c>
      <c r="L87" s="771">
        <v>3</v>
      </c>
      <c r="P87" s="771" t="s">
        <v>5765</v>
      </c>
      <c r="Q87" s="771">
        <v>2</v>
      </c>
    </row>
    <row r="88" spans="2:17">
      <c r="B88" s="771" t="s">
        <v>5749</v>
      </c>
      <c r="C88" s="771">
        <v>10</v>
      </c>
      <c r="D88" s="466"/>
      <c r="E88" s="771" t="s">
        <v>5851</v>
      </c>
      <c r="F88" s="771">
        <v>3</v>
      </c>
      <c r="G88" s="465"/>
      <c r="H88" s="771" t="s">
        <v>5852</v>
      </c>
      <c r="I88" s="771">
        <v>1</v>
      </c>
      <c r="K88" s="771" t="s">
        <v>5812</v>
      </c>
      <c r="L88" s="771">
        <v>3</v>
      </c>
      <c r="P88" s="771" t="s">
        <v>5703</v>
      </c>
      <c r="Q88" s="771">
        <v>1</v>
      </c>
    </row>
    <row r="89" spans="2:17">
      <c r="B89" s="771" t="s">
        <v>5753</v>
      </c>
      <c r="C89" s="771">
        <v>10</v>
      </c>
      <c r="D89" s="466"/>
      <c r="E89" s="771" t="s">
        <v>5853</v>
      </c>
      <c r="F89" s="771">
        <v>3</v>
      </c>
      <c r="G89" s="465"/>
      <c r="H89" s="771" t="s">
        <v>5854</v>
      </c>
      <c r="I89" s="771">
        <v>1</v>
      </c>
      <c r="K89" s="771" t="s">
        <v>5855</v>
      </c>
      <c r="L89" s="771">
        <v>3</v>
      </c>
      <c r="P89" s="771" t="s">
        <v>5706</v>
      </c>
      <c r="Q89" s="771">
        <v>1</v>
      </c>
    </row>
    <row r="90" spans="2:17">
      <c r="B90" s="771" t="s">
        <v>5856</v>
      </c>
      <c r="C90" s="771">
        <v>10</v>
      </c>
      <c r="D90" s="466"/>
      <c r="E90" s="771" t="s">
        <v>5857</v>
      </c>
      <c r="F90" s="771">
        <v>5</v>
      </c>
      <c r="G90" s="465"/>
      <c r="H90" s="771" t="s">
        <v>5858</v>
      </c>
      <c r="I90" s="771">
        <v>5</v>
      </c>
      <c r="K90" s="771" t="s">
        <v>5822</v>
      </c>
      <c r="L90" s="771">
        <v>2</v>
      </c>
      <c r="P90" s="771" t="s">
        <v>5776</v>
      </c>
      <c r="Q90" s="771">
        <v>1</v>
      </c>
    </row>
    <row r="91" spans="2:17">
      <c r="B91" s="771" t="s">
        <v>5756</v>
      </c>
      <c r="C91" s="771">
        <v>10</v>
      </c>
      <c r="D91" s="466"/>
      <c r="E91" s="771" t="s">
        <v>5859</v>
      </c>
      <c r="F91" s="771">
        <v>3</v>
      </c>
      <c r="G91" s="465"/>
      <c r="H91" s="771" t="s">
        <v>5860</v>
      </c>
      <c r="I91" s="771">
        <v>3</v>
      </c>
      <c r="K91" s="771" t="s">
        <v>5827</v>
      </c>
      <c r="L91" s="771">
        <v>1</v>
      </c>
      <c r="P91" s="771" t="s">
        <v>5861</v>
      </c>
      <c r="Q91" s="771">
        <v>4</v>
      </c>
    </row>
    <row r="92" spans="2:17">
      <c r="B92" s="771" t="s">
        <v>5862</v>
      </c>
      <c r="C92" s="771">
        <v>10</v>
      </c>
      <c r="D92" s="466"/>
      <c r="E92" s="771" t="s">
        <v>5863</v>
      </c>
      <c r="F92" s="771">
        <v>5</v>
      </c>
      <c r="G92" s="465"/>
      <c r="H92" s="771" t="s">
        <v>5864</v>
      </c>
      <c r="I92" s="771">
        <v>3</v>
      </c>
      <c r="K92" s="771" t="s">
        <v>5865</v>
      </c>
      <c r="L92" s="771">
        <v>3</v>
      </c>
      <c r="P92" s="771" t="s">
        <v>5779</v>
      </c>
      <c r="Q92" s="771">
        <v>2</v>
      </c>
    </row>
    <row r="93" spans="2:17">
      <c r="B93" s="771" t="s">
        <v>5866</v>
      </c>
      <c r="C93" s="771">
        <v>10</v>
      </c>
      <c r="D93" s="466"/>
      <c r="E93" s="771" t="s">
        <v>5867</v>
      </c>
      <c r="F93" s="771">
        <v>3</v>
      </c>
      <c r="G93" s="465"/>
      <c r="H93" s="771" t="s">
        <v>5868</v>
      </c>
      <c r="I93" s="771">
        <v>3</v>
      </c>
      <c r="K93" s="771" t="s">
        <v>5869</v>
      </c>
      <c r="L93" s="771">
        <v>2</v>
      </c>
      <c r="P93" s="771" t="s">
        <v>5762</v>
      </c>
      <c r="Q93" s="771">
        <v>4</v>
      </c>
    </row>
    <row r="94" spans="2:17">
      <c r="B94" s="771" t="s">
        <v>5758</v>
      </c>
      <c r="C94" s="771">
        <v>10</v>
      </c>
      <c r="D94" s="466"/>
      <c r="E94" s="771" t="s">
        <v>5870</v>
      </c>
      <c r="F94" s="771">
        <v>3</v>
      </c>
      <c r="G94" s="465"/>
      <c r="H94" s="771" t="s">
        <v>5871</v>
      </c>
      <c r="I94" s="771">
        <v>5</v>
      </c>
      <c r="K94" s="771" t="s">
        <v>5830</v>
      </c>
      <c r="L94" s="771">
        <v>4</v>
      </c>
      <c r="P94" s="771" t="s">
        <v>5766</v>
      </c>
      <c r="Q94" s="771">
        <v>4</v>
      </c>
    </row>
    <row r="95" spans="2:17">
      <c r="B95" s="771" t="s">
        <v>5761</v>
      </c>
      <c r="C95" s="771">
        <v>10</v>
      </c>
      <c r="D95" s="466"/>
      <c r="E95" s="771" t="s">
        <v>5872</v>
      </c>
      <c r="F95" s="771">
        <v>3</v>
      </c>
      <c r="G95" s="465"/>
      <c r="H95" s="771" t="s">
        <v>5873</v>
      </c>
      <c r="I95" s="771">
        <v>3</v>
      </c>
      <c r="K95" s="771" t="s">
        <v>5734</v>
      </c>
      <c r="L95" s="771">
        <v>4</v>
      </c>
      <c r="P95" s="771" t="s">
        <v>5710</v>
      </c>
      <c r="Q95" s="771">
        <v>4</v>
      </c>
    </row>
    <row r="96" spans="2:17">
      <c r="B96" s="771" t="s">
        <v>5874</v>
      </c>
      <c r="C96" s="771">
        <v>10</v>
      </c>
      <c r="D96" s="466"/>
      <c r="E96" s="771" t="s">
        <v>5875</v>
      </c>
      <c r="F96" s="771">
        <v>3</v>
      </c>
      <c r="G96" s="465"/>
      <c r="H96" s="771" t="s">
        <v>5876</v>
      </c>
      <c r="I96" s="771">
        <v>3</v>
      </c>
      <c r="K96" s="771" t="s">
        <v>5743</v>
      </c>
      <c r="L96" s="771">
        <v>4</v>
      </c>
      <c r="P96" s="771" t="s">
        <v>5796</v>
      </c>
      <c r="Q96" s="771">
        <v>4</v>
      </c>
    </row>
    <row r="97" spans="2:17">
      <c r="B97" s="771" t="s">
        <v>5877</v>
      </c>
      <c r="C97" s="771">
        <v>8</v>
      </c>
      <c r="D97" s="466"/>
      <c r="E97" s="771" t="s">
        <v>5878</v>
      </c>
      <c r="F97" s="771">
        <v>5</v>
      </c>
      <c r="G97" s="465"/>
      <c r="H97" s="771" t="s">
        <v>5879</v>
      </c>
      <c r="I97" s="771">
        <v>3</v>
      </c>
      <c r="K97" s="771" t="s">
        <v>5880</v>
      </c>
      <c r="L97" s="771">
        <v>4</v>
      </c>
      <c r="P97" s="771" t="s">
        <v>5770</v>
      </c>
      <c r="Q97" s="771">
        <v>1</v>
      </c>
    </row>
    <row r="98" spans="2:17">
      <c r="B98" s="771" t="s">
        <v>5772</v>
      </c>
      <c r="C98" s="771">
        <v>10</v>
      </c>
      <c r="D98" s="466"/>
      <c r="E98" s="771" t="s">
        <v>5881</v>
      </c>
      <c r="F98" s="771">
        <v>5</v>
      </c>
      <c r="G98" s="465"/>
      <c r="H98" s="771" t="s">
        <v>5882</v>
      </c>
      <c r="I98" s="771">
        <v>5</v>
      </c>
      <c r="K98" s="771" t="s">
        <v>5848</v>
      </c>
      <c r="L98" s="771">
        <v>4</v>
      </c>
      <c r="P98" s="771" t="s">
        <v>5712</v>
      </c>
      <c r="Q98" s="771">
        <v>4</v>
      </c>
    </row>
    <row r="99" spans="2:17">
      <c r="B99" s="771" t="s">
        <v>5883</v>
      </c>
      <c r="C99" s="771">
        <v>10</v>
      </c>
      <c r="D99" s="466"/>
      <c r="E99" s="771" t="s">
        <v>5884</v>
      </c>
      <c r="F99" s="771">
        <v>3</v>
      </c>
      <c r="G99" s="465"/>
      <c r="H99" s="771" t="s">
        <v>5885</v>
      </c>
      <c r="I99" s="771">
        <v>5</v>
      </c>
      <c r="K99" s="771" t="s">
        <v>5749</v>
      </c>
      <c r="L99" s="771">
        <v>1</v>
      </c>
      <c r="P99" s="771" t="s">
        <v>5715</v>
      </c>
      <c r="Q99" s="771">
        <v>1</v>
      </c>
    </row>
    <row r="100" spans="2:17">
      <c r="B100" s="771" t="s">
        <v>5886</v>
      </c>
      <c r="C100" s="771">
        <v>10</v>
      </c>
      <c r="D100" s="466"/>
      <c r="E100" s="771" t="s">
        <v>5887</v>
      </c>
      <c r="F100" s="771">
        <v>5</v>
      </c>
      <c r="G100" s="465"/>
      <c r="H100" s="771" t="s">
        <v>5888</v>
      </c>
      <c r="I100" s="771">
        <v>3</v>
      </c>
      <c r="K100" s="771" t="s">
        <v>5753</v>
      </c>
      <c r="L100" s="771">
        <v>1</v>
      </c>
      <c r="P100" s="771" t="s">
        <v>5807</v>
      </c>
      <c r="Q100" s="771">
        <v>2</v>
      </c>
    </row>
    <row r="101" spans="2:17">
      <c r="B101" s="771" t="s">
        <v>5775</v>
      </c>
      <c r="C101" s="771">
        <v>10</v>
      </c>
      <c r="D101" s="466"/>
      <c r="E101" s="771" t="s">
        <v>5889</v>
      </c>
      <c r="F101" s="771">
        <v>3</v>
      </c>
      <c r="G101" s="465"/>
      <c r="H101" s="771" t="s">
        <v>5890</v>
      </c>
      <c r="I101" s="771">
        <v>5</v>
      </c>
      <c r="K101" s="771" t="s">
        <v>5856</v>
      </c>
      <c r="L101" s="771">
        <v>3</v>
      </c>
      <c r="P101" s="771" t="s">
        <v>5811</v>
      </c>
      <c r="Q101" s="771">
        <v>2</v>
      </c>
    </row>
    <row r="102" spans="2:17">
      <c r="B102" s="771" t="s">
        <v>5778</v>
      </c>
      <c r="C102" s="771">
        <v>8</v>
      </c>
      <c r="D102" s="466"/>
      <c r="E102" s="771" t="s">
        <v>5891</v>
      </c>
      <c r="F102" s="771">
        <v>3</v>
      </c>
      <c r="G102" s="465"/>
      <c r="H102" s="771" t="s">
        <v>5892</v>
      </c>
      <c r="I102" s="771">
        <v>5</v>
      </c>
      <c r="K102" s="771" t="s">
        <v>5862</v>
      </c>
      <c r="L102" s="771">
        <v>3</v>
      </c>
      <c r="P102" s="771" t="s">
        <v>5815</v>
      </c>
      <c r="Q102" s="771">
        <v>1</v>
      </c>
    </row>
    <row r="103" spans="2:17">
      <c r="B103" s="771" t="s">
        <v>5782</v>
      </c>
      <c r="C103" s="771">
        <v>10</v>
      </c>
      <c r="D103" s="466"/>
      <c r="E103" s="771" t="s">
        <v>5893</v>
      </c>
      <c r="F103" s="771">
        <v>3</v>
      </c>
      <c r="G103" s="465"/>
      <c r="H103" s="771" t="s">
        <v>5894</v>
      </c>
      <c r="I103" s="771">
        <v>1</v>
      </c>
      <c r="K103" s="771" t="s">
        <v>5866</v>
      </c>
      <c r="L103" s="771">
        <v>2</v>
      </c>
      <c r="P103" s="771" t="s">
        <v>5718</v>
      </c>
      <c r="Q103" s="771">
        <v>1</v>
      </c>
    </row>
    <row r="104" spans="2:17">
      <c r="B104" s="771" t="s">
        <v>5785</v>
      </c>
      <c r="C104" s="771">
        <v>10</v>
      </c>
      <c r="D104" s="466"/>
      <c r="E104" s="771" t="s">
        <v>5895</v>
      </c>
      <c r="F104" s="771">
        <v>3</v>
      </c>
      <c r="G104" s="465"/>
      <c r="H104" s="771" t="s">
        <v>5896</v>
      </c>
      <c r="I104" s="771">
        <v>1</v>
      </c>
      <c r="K104" s="771" t="s">
        <v>5761</v>
      </c>
      <c r="L104" s="771">
        <v>2</v>
      </c>
      <c r="P104" s="771" t="s">
        <v>5821</v>
      </c>
      <c r="Q104" s="771">
        <v>4</v>
      </c>
    </row>
    <row r="105" spans="2:17">
      <c r="B105" s="771" t="s">
        <v>5791</v>
      </c>
      <c r="C105" s="771">
        <v>8</v>
      </c>
      <c r="D105" s="466"/>
      <c r="E105" s="771" t="s">
        <v>5897</v>
      </c>
      <c r="F105" s="771">
        <v>3</v>
      </c>
      <c r="G105" s="465"/>
      <c r="H105" s="771" t="s">
        <v>5898</v>
      </c>
      <c r="I105" s="771">
        <v>3</v>
      </c>
      <c r="K105" s="771" t="s">
        <v>5899</v>
      </c>
      <c r="L105" s="771">
        <v>1</v>
      </c>
      <c r="P105" s="771" t="s">
        <v>5825</v>
      </c>
      <c r="Q105" s="771">
        <v>3</v>
      </c>
    </row>
    <row r="106" spans="2:17">
      <c r="B106" s="771" t="s">
        <v>5795</v>
      </c>
      <c r="C106" s="771">
        <v>8</v>
      </c>
      <c r="D106" s="466"/>
      <c r="E106" s="771" t="s">
        <v>5900</v>
      </c>
      <c r="F106" s="771">
        <v>3</v>
      </c>
      <c r="G106" s="465"/>
      <c r="H106" s="771" t="s">
        <v>5901</v>
      </c>
      <c r="I106" s="771">
        <v>3</v>
      </c>
      <c r="K106" s="771" t="s">
        <v>5902</v>
      </c>
      <c r="L106" s="771">
        <v>4</v>
      </c>
      <c r="P106" s="771" t="s">
        <v>5780</v>
      </c>
      <c r="Q106" s="771">
        <v>2</v>
      </c>
    </row>
    <row r="107" spans="2:17">
      <c r="B107" s="771" t="s">
        <v>5806</v>
      </c>
      <c r="C107" s="771">
        <v>10</v>
      </c>
      <c r="D107" s="466"/>
      <c r="E107" s="771" t="s">
        <v>5903</v>
      </c>
      <c r="F107" s="771">
        <v>3</v>
      </c>
      <c r="G107" s="465"/>
      <c r="H107" s="771" t="s">
        <v>5904</v>
      </c>
      <c r="I107" s="771">
        <v>1</v>
      </c>
      <c r="K107" s="771" t="s">
        <v>5883</v>
      </c>
      <c r="L107" s="771">
        <v>2</v>
      </c>
      <c r="P107" s="771" t="s">
        <v>5905</v>
      </c>
      <c r="Q107" s="771">
        <v>2</v>
      </c>
    </row>
    <row r="108" spans="2:17">
      <c r="B108" s="771" t="s">
        <v>5906</v>
      </c>
      <c r="C108" s="771">
        <v>10</v>
      </c>
      <c r="D108" s="466"/>
      <c r="E108" s="771" t="s">
        <v>5907</v>
      </c>
      <c r="F108" s="771">
        <v>3</v>
      </c>
      <c r="G108" s="465"/>
      <c r="H108" s="771" t="s">
        <v>5908</v>
      </c>
      <c r="I108" s="771">
        <v>1</v>
      </c>
      <c r="K108" s="771" t="s">
        <v>5886</v>
      </c>
      <c r="L108" s="771">
        <v>4</v>
      </c>
      <c r="P108" s="771" t="s">
        <v>5783</v>
      </c>
      <c r="Q108" s="771">
        <v>2</v>
      </c>
    </row>
    <row r="109" spans="2:17">
      <c r="B109" s="771" t="s">
        <v>5810</v>
      </c>
      <c r="C109" s="771">
        <v>8</v>
      </c>
      <c r="D109" s="466"/>
      <c r="E109" s="771" t="s">
        <v>5909</v>
      </c>
      <c r="F109" s="771">
        <v>5</v>
      </c>
      <c r="G109" s="465"/>
      <c r="H109" s="771" t="s">
        <v>5910</v>
      </c>
      <c r="I109" s="771">
        <v>5</v>
      </c>
      <c r="K109" s="771" t="s">
        <v>5775</v>
      </c>
      <c r="L109" s="771">
        <v>4</v>
      </c>
      <c r="P109" s="771" t="s">
        <v>5786</v>
      </c>
      <c r="Q109" s="771">
        <v>1</v>
      </c>
    </row>
    <row r="110" spans="2:17">
      <c r="B110" s="771" t="s">
        <v>5911</v>
      </c>
      <c r="C110" s="771">
        <v>10</v>
      </c>
      <c r="D110" s="466"/>
      <c r="E110" s="771" t="s">
        <v>5912</v>
      </c>
      <c r="F110" s="771">
        <v>3</v>
      </c>
      <c r="G110" s="465"/>
      <c r="H110" s="771" t="s">
        <v>5913</v>
      </c>
      <c r="I110" s="771">
        <v>1</v>
      </c>
      <c r="K110" s="771" t="s">
        <v>5778</v>
      </c>
      <c r="L110" s="771">
        <v>2</v>
      </c>
      <c r="P110" s="771" t="s">
        <v>5789</v>
      </c>
      <c r="Q110" s="771">
        <v>1</v>
      </c>
    </row>
    <row r="111" spans="2:17">
      <c r="B111" s="771" t="s">
        <v>5814</v>
      </c>
      <c r="C111" s="771">
        <v>8</v>
      </c>
      <c r="D111" s="466"/>
      <c r="E111" s="771" t="s">
        <v>5914</v>
      </c>
      <c r="F111" s="771">
        <v>3</v>
      </c>
      <c r="G111" s="465"/>
      <c r="H111" s="771" t="s">
        <v>5915</v>
      </c>
      <c r="I111" s="771">
        <v>5</v>
      </c>
      <c r="K111" s="771" t="s">
        <v>5785</v>
      </c>
      <c r="L111" s="771">
        <v>2</v>
      </c>
      <c r="P111" s="771" t="s">
        <v>5916</v>
      </c>
      <c r="Q111" s="771">
        <v>4</v>
      </c>
    </row>
    <row r="112" spans="2:17">
      <c r="B112" s="771" t="s">
        <v>5817</v>
      </c>
      <c r="C112" s="771">
        <v>8</v>
      </c>
      <c r="D112" s="466"/>
      <c r="E112" s="771" t="s">
        <v>5917</v>
      </c>
      <c r="F112" s="771">
        <v>3</v>
      </c>
      <c r="G112" s="465"/>
      <c r="H112" s="771" t="s">
        <v>5918</v>
      </c>
      <c r="I112" s="771">
        <v>1</v>
      </c>
      <c r="K112" s="771" t="s">
        <v>5788</v>
      </c>
      <c r="L112" s="771">
        <v>3</v>
      </c>
      <c r="P112" s="771" t="s">
        <v>5793</v>
      </c>
      <c r="Q112" s="771">
        <v>1</v>
      </c>
    </row>
    <row r="113" spans="2:17">
      <c r="B113" s="771" t="s">
        <v>5919</v>
      </c>
      <c r="C113" s="771">
        <v>10</v>
      </c>
      <c r="D113" s="466"/>
      <c r="E113" s="771" t="s">
        <v>5920</v>
      </c>
      <c r="F113" s="771">
        <v>3</v>
      </c>
      <c r="G113" s="465"/>
      <c r="H113" s="771" t="s">
        <v>5921</v>
      </c>
      <c r="I113" s="771">
        <v>5</v>
      </c>
      <c r="K113" s="771" t="s">
        <v>5791</v>
      </c>
      <c r="L113" s="771">
        <v>4</v>
      </c>
      <c r="P113" s="771" t="s">
        <v>5835</v>
      </c>
      <c r="Q113" s="771">
        <v>2</v>
      </c>
    </row>
    <row r="114" spans="2:17">
      <c r="B114" s="771" t="s">
        <v>5824</v>
      </c>
      <c r="C114" s="771">
        <v>10</v>
      </c>
      <c r="D114" s="466"/>
      <c r="E114" s="771" t="s">
        <v>5922</v>
      </c>
      <c r="F114" s="771">
        <v>3</v>
      </c>
      <c r="G114" s="465"/>
      <c r="H114" s="771" t="s">
        <v>5923</v>
      </c>
      <c r="I114" s="771">
        <v>5</v>
      </c>
      <c r="K114" s="771" t="s">
        <v>5795</v>
      </c>
      <c r="L114" s="771">
        <v>3</v>
      </c>
      <c r="P114" s="771" t="s">
        <v>5838</v>
      </c>
      <c r="Q114" s="771">
        <v>1</v>
      </c>
    </row>
    <row r="115" spans="2:17">
      <c r="B115" s="771" t="s">
        <v>5924</v>
      </c>
      <c r="C115" s="771">
        <v>10</v>
      </c>
      <c r="D115" s="466"/>
      <c r="E115" s="771" t="s">
        <v>5925</v>
      </c>
      <c r="F115" s="771">
        <v>3</v>
      </c>
      <c r="G115" s="465"/>
      <c r="H115" s="771" t="s">
        <v>5926</v>
      </c>
      <c r="I115" s="771">
        <v>5</v>
      </c>
      <c r="K115" s="771" t="s">
        <v>5800</v>
      </c>
      <c r="L115" s="771">
        <v>2</v>
      </c>
      <c r="P115" s="771" t="s">
        <v>5841</v>
      </c>
      <c r="Q115" s="771">
        <v>3</v>
      </c>
    </row>
    <row r="116" spans="2:17">
      <c r="B116" s="771" t="s">
        <v>5927</v>
      </c>
      <c r="C116" s="771">
        <v>8</v>
      </c>
      <c r="D116" s="466"/>
      <c r="E116" s="771" t="s">
        <v>5928</v>
      </c>
      <c r="F116" s="771">
        <v>3</v>
      </c>
      <c r="G116" s="465"/>
      <c r="H116" s="771" t="s">
        <v>5929</v>
      </c>
      <c r="I116" s="771">
        <v>1</v>
      </c>
      <c r="K116" s="771" t="s">
        <v>5803</v>
      </c>
      <c r="L116" s="771">
        <v>1</v>
      </c>
      <c r="P116" s="771" t="s">
        <v>5722</v>
      </c>
      <c r="Q116" s="771">
        <v>4</v>
      </c>
    </row>
    <row r="117" spans="2:17">
      <c r="B117" s="771" t="s">
        <v>5930</v>
      </c>
      <c r="C117" s="771">
        <v>8</v>
      </c>
      <c r="D117" s="466"/>
      <c r="E117" s="771" t="s">
        <v>5931</v>
      </c>
      <c r="F117" s="771">
        <v>3</v>
      </c>
      <c r="G117" s="465"/>
      <c r="H117" s="771" t="s">
        <v>5932</v>
      </c>
      <c r="I117" s="771">
        <v>5</v>
      </c>
      <c r="K117" s="771" t="s">
        <v>5806</v>
      </c>
      <c r="L117" s="771">
        <v>2</v>
      </c>
      <c r="P117" s="771" t="s">
        <v>5845</v>
      </c>
      <c r="Q117" s="771">
        <v>2</v>
      </c>
    </row>
    <row r="118" spans="2:17">
      <c r="B118" s="771" t="s">
        <v>5933</v>
      </c>
      <c r="C118" s="771">
        <v>8</v>
      </c>
      <c r="D118" s="466"/>
      <c r="E118" s="771" t="s">
        <v>5934</v>
      </c>
      <c r="F118" s="771">
        <v>5</v>
      </c>
      <c r="G118" s="465"/>
      <c r="H118" s="771" t="s">
        <v>5935</v>
      </c>
      <c r="I118" s="771">
        <v>5</v>
      </c>
      <c r="K118" s="771" t="s">
        <v>5810</v>
      </c>
      <c r="L118" s="771">
        <v>2</v>
      </c>
      <c r="P118" s="771" t="s">
        <v>5725</v>
      </c>
      <c r="Q118" s="771">
        <v>4</v>
      </c>
    </row>
    <row r="119" spans="2:17">
      <c r="B119" s="771" t="s">
        <v>5837</v>
      </c>
      <c r="C119" s="771">
        <v>10</v>
      </c>
      <c r="D119" s="466"/>
      <c r="E119" s="771" t="s">
        <v>5936</v>
      </c>
      <c r="F119" s="771">
        <v>3</v>
      </c>
      <c r="G119" s="465"/>
      <c r="H119" s="771" t="s">
        <v>5937</v>
      </c>
      <c r="I119" s="771">
        <v>5</v>
      </c>
      <c r="K119" s="771" t="s">
        <v>5911</v>
      </c>
      <c r="L119" s="771">
        <v>4</v>
      </c>
      <c r="P119" s="771" t="s">
        <v>5798</v>
      </c>
      <c r="Q119" s="771">
        <v>1</v>
      </c>
    </row>
    <row r="120" spans="2:17">
      <c r="B120" s="771" t="s">
        <v>5938</v>
      </c>
      <c r="C120" s="771">
        <v>8</v>
      </c>
      <c r="D120" s="466"/>
      <c r="E120" s="771" t="s">
        <v>5939</v>
      </c>
      <c r="F120" s="771">
        <v>3</v>
      </c>
      <c r="G120" s="465"/>
      <c r="H120" s="771" t="s">
        <v>5940</v>
      </c>
      <c r="I120" s="771">
        <v>3</v>
      </c>
      <c r="K120" s="771" t="s">
        <v>5824</v>
      </c>
      <c r="L120" s="771">
        <v>4</v>
      </c>
      <c r="P120" s="771" t="s">
        <v>5801</v>
      </c>
      <c r="Q120" s="771">
        <v>2</v>
      </c>
    </row>
    <row r="121" spans="2:17">
      <c r="B121" s="771" t="s">
        <v>5840</v>
      </c>
      <c r="C121" s="771">
        <v>10</v>
      </c>
      <c r="D121" s="466"/>
      <c r="E121" s="771" t="s">
        <v>5941</v>
      </c>
      <c r="F121" s="771">
        <v>3</v>
      </c>
      <c r="G121" s="465"/>
      <c r="H121" s="771" t="s">
        <v>5942</v>
      </c>
      <c r="I121" s="771">
        <v>3</v>
      </c>
      <c r="K121" s="771" t="s">
        <v>5924</v>
      </c>
      <c r="L121" s="771">
        <v>2</v>
      </c>
      <c r="P121" s="771" t="s">
        <v>5728</v>
      </c>
      <c r="Q121" s="771">
        <v>2</v>
      </c>
    </row>
    <row r="122" spans="2:17">
      <c r="B122" s="771" t="s">
        <v>5943</v>
      </c>
      <c r="C122" s="771">
        <v>8</v>
      </c>
      <c r="D122" s="466"/>
      <c r="E122" s="771" t="s">
        <v>5944</v>
      </c>
      <c r="F122" s="771">
        <v>3</v>
      </c>
      <c r="G122" s="465"/>
      <c r="H122" s="771" t="s">
        <v>5945</v>
      </c>
      <c r="I122" s="771">
        <v>3</v>
      </c>
      <c r="K122" s="771" t="s">
        <v>5927</v>
      </c>
      <c r="L122" s="771">
        <v>2</v>
      </c>
      <c r="P122" s="771" t="s">
        <v>5808</v>
      </c>
      <c r="Q122" s="771">
        <v>1</v>
      </c>
    </row>
    <row r="123" spans="2:17">
      <c r="B123" s="771" t="s">
        <v>5844</v>
      </c>
      <c r="C123" s="771">
        <v>10</v>
      </c>
      <c r="D123" s="466"/>
      <c r="E123" s="771" t="s">
        <v>5946</v>
      </c>
      <c r="F123" s="771">
        <v>3</v>
      </c>
      <c r="G123" s="465"/>
      <c r="H123" s="771" t="s">
        <v>5947</v>
      </c>
      <c r="I123" s="771">
        <v>3</v>
      </c>
      <c r="K123" s="771" t="s">
        <v>5933</v>
      </c>
      <c r="L123" s="771">
        <v>4</v>
      </c>
      <c r="P123" s="771" t="s">
        <v>5812</v>
      </c>
      <c r="Q123" s="771">
        <v>1</v>
      </c>
    </row>
    <row r="124" spans="2:17">
      <c r="B124" s="771" t="s">
        <v>5847</v>
      </c>
      <c r="C124" s="771">
        <v>8</v>
      </c>
      <c r="D124" s="466"/>
      <c r="E124" s="771" t="s">
        <v>5948</v>
      </c>
      <c r="F124" s="771">
        <v>3</v>
      </c>
      <c r="G124" s="465"/>
      <c r="H124" s="771" t="s">
        <v>5949</v>
      </c>
      <c r="I124" s="771">
        <v>5</v>
      </c>
      <c r="K124" s="771" t="s">
        <v>5837</v>
      </c>
      <c r="L124" s="771">
        <v>3</v>
      </c>
      <c r="P124" s="771" t="s">
        <v>5731</v>
      </c>
      <c r="Q124" s="771">
        <v>2</v>
      </c>
    </row>
    <row r="125" spans="2:17">
      <c r="B125" s="771" t="s">
        <v>5850</v>
      </c>
      <c r="C125" s="771">
        <v>10</v>
      </c>
      <c r="D125" s="466"/>
      <c r="E125" s="771" t="s">
        <v>5950</v>
      </c>
      <c r="F125" s="771">
        <v>5</v>
      </c>
      <c r="G125" s="465"/>
      <c r="H125" s="771" t="s">
        <v>5951</v>
      </c>
      <c r="I125" s="771">
        <v>3</v>
      </c>
      <c r="K125" s="771" t="s">
        <v>5840</v>
      </c>
      <c r="L125" s="771">
        <v>3</v>
      </c>
      <c r="P125" s="771" t="s">
        <v>5952</v>
      </c>
      <c r="Q125" s="771">
        <v>4</v>
      </c>
    </row>
    <row r="126" spans="2:17">
      <c r="B126" s="771" t="s">
        <v>5953</v>
      </c>
      <c r="C126" s="771">
        <v>10</v>
      </c>
      <c r="D126" s="466"/>
      <c r="E126" s="771" t="s">
        <v>5954</v>
      </c>
      <c r="F126" s="771">
        <v>3</v>
      </c>
      <c r="G126" s="465"/>
      <c r="H126" s="771" t="s">
        <v>5955</v>
      </c>
      <c r="I126" s="771">
        <v>3</v>
      </c>
      <c r="K126" s="771" t="s">
        <v>5943</v>
      </c>
      <c r="L126" s="771">
        <v>2</v>
      </c>
      <c r="P126" s="771" t="s">
        <v>5855</v>
      </c>
      <c r="Q126" s="771">
        <v>1</v>
      </c>
    </row>
    <row r="127" spans="2:17">
      <c r="B127" s="771" t="s">
        <v>5854</v>
      </c>
      <c r="C127" s="771">
        <v>10</v>
      </c>
      <c r="D127" s="466"/>
      <c r="E127" s="771" t="s">
        <v>5956</v>
      </c>
      <c r="F127" s="771">
        <v>3</v>
      </c>
      <c r="G127" s="465"/>
      <c r="H127" s="771" t="s">
        <v>5957</v>
      </c>
      <c r="I127" s="771">
        <v>5</v>
      </c>
      <c r="K127" s="771" t="s">
        <v>5844</v>
      </c>
      <c r="L127" s="771">
        <v>2</v>
      </c>
      <c r="P127" s="771" t="s">
        <v>5827</v>
      </c>
      <c r="Q127" s="771">
        <v>4</v>
      </c>
    </row>
    <row r="128" spans="2:17">
      <c r="B128" s="771" t="s">
        <v>5858</v>
      </c>
      <c r="C128" s="771">
        <v>10</v>
      </c>
      <c r="D128" s="466"/>
      <c r="E128" s="771" t="s">
        <v>5958</v>
      </c>
      <c r="F128" s="771">
        <v>3</v>
      </c>
      <c r="G128" s="465"/>
      <c r="H128" s="771" t="s">
        <v>5959</v>
      </c>
      <c r="I128" s="771">
        <v>3</v>
      </c>
      <c r="K128" s="771" t="s">
        <v>5847</v>
      </c>
      <c r="L128" s="771">
        <v>2</v>
      </c>
      <c r="P128" s="771" t="s">
        <v>5865</v>
      </c>
      <c r="Q128" s="771">
        <v>2</v>
      </c>
    </row>
    <row r="129" spans="1:17">
      <c r="A129" s="457"/>
      <c r="B129" s="771" t="s">
        <v>5860</v>
      </c>
      <c r="C129" s="771">
        <v>8</v>
      </c>
      <c r="D129" s="466"/>
      <c r="E129" s="771" t="s">
        <v>5960</v>
      </c>
      <c r="F129" s="771">
        <v>5</v>
      </c>
      <c r="G129" s="465"/>
      <c r="H129" s="771" t="s">
        <v>5961</v>
      </c>
      <c r="I129" s="771">
        <v>5</v>
      </c>
      <c r="K129" s="771" t="s">
        <v>5850</v>
      </c>
      <c r="L129" s="771">
        <v>2</v>
      </c>
      <c r="P129" s="771" t="s">
        <v>5869</v>
      </c>
      <c r="Q129" s="771">
        <v>2</v>
      </c>
    </row>
    <row r="130" spans="1:17">
      <c r="B130" s="771" t="s">
        <v>5871</v>
      </c>
      <c r="C130" s="771">
        <v>8</v>
      </c>
      <c r="D130" s="466"/>
      <c r="E130" s="771" t="s">
        <v>5962</v>
      </c>
      <c r="F130" s="771">
        <v>3</v>
      </c>
      <c r="G130" s="465"/>
      <c r="H130" s="771" t="s">
        <v>5963</v>
      </c>
      <c r="I130" s="771">
        <v>3</v>
      </c>
      <c r="K130" s="771" t="s">
        <v>5953</v>
      </c>
      <c r="L130" s="771">
        <v>3</v>
      </c>
      <c r="P130" s="771" t="s">
        <v>5964</v>
      </c>
      <c r="Q130" s="771">
        <v>1</v>
      </c>
    </row>
    <row r="131" spans="1:17">
      <c r="B131" s="771" t="s">
        <v>5908</v>
      </c>
      <c r="C131" s="771">
        <v>8</v>
      </c>
      <c r="D131" s="466"/>
      <c r="E131" s="771" t="s">
        <v>5965</v>
      </c>
      <c r="F131" s="771">
        <v>3</v>
      </c>
      <c r="G131" s="465"/>
      <c r="H131" s="771" t="s">
        <v>5966</v>
      </c>
      <c r="I131" s="771">
        <v>1</v>
      </c>
      <c r="K131" s="771" t="s">
        <v>5854</v>
      </c>
      <c r="L131" s="771">
        <v>4</v>
      </c>
      <c r="P131" s="771" t="s">
        <v>5830</v>
      </c>
      <c r="Q131" s="771">
        <v>1</v>
      </c>
    </row>
    <row r="132" spans="1:17">
      <c r="B132" s="771" t="s">
        <v>5910</v>
      </c>
      <c r="C132" s="771">
        <v>8</v>
      </c>
      <c r="D132" s="466"/>
      <c r="E132" s="771" t="s">
        <v>5967</v>
      </c>
      <c r="F132" s="771">
        <v>3</v>
      </c>
      <c r="G132" s="465"/>
      <c r="H132" s="771" t="s">
        <v>5968</v>
      </c>
      <c r="I132" s="771">
        <v>5</v>
      </c>
      <c r="K132" s="771" t="s">
        <v>5969</v>
      </c>
      <c r="L132" s="771">
        <v>1</v>
      </c>
      <c r="P132" s="771" t="s">
        <v>5734</v>
      </c>
      <c r="Q132" s="771">
        <v>2</v>
      </c>
    </row>
    <row r="133" spans="1:17">
      <c r="B133" s="771" t="s">
        <v>5913</v>
      </c>
      <c r="C133" s="771">
        <v>8</v>
      </c>
      <c r="D133" s="466"/>
      <c r="E133" s="771" t="s">
        <v>5970</v>
      </c>
      <c r="F133" s="771">
        <v>3</v>
      </c>
      <c r="G133" s="465"/>
      <c r="H133" s="771" t="s">
        <v>5971</v>
      </c>
      <c r="I133" s="771">
        <v>3</v>
      </c>
      <c r="K133" s="771" t="s">
        <v>5860</v>
      </c>
      <c r="L133" s="771">
        <v>2</v>
      </c>
      <c r="P133" s="771" t="s">
        <v>5740</v>
      </c>
      <c r="Q133" s="771">
        <v>1</v>
      </c>
    </row>
    <row r="134" spans="1:17">
      <c r="B134" s="771" t="s">
        <v>5972</v>
      </c>
      <c r="C134" s="771">
        <v>8</v>
      </c>
      <c r="D134" s="466"/>
      <c r="E134" s="771" t="s">
        <v>5973</v>
      </c>
      <c r="F134" s="771">
        <v>3</v>
      </c>
      <c r="G134" s="465"/>
      <c r="H134" s="771" t="s">
        <v>5974</v>
      </c>
      <c r="I134" s="771">
        <v>1</v>
      </c>
      <c r="K134" s="771" t="s">
        <v>5864</v>
      </c>
      <c r="L134" s="771">
        <v>1</v>
      </c>
      <c r="P134" s="771" t="s">
        <v>5743</v>
      </c>
      <c r="Q134" s="771">
        <v>1</v>
      </c>
    </row>
    <row r="135" spans="1:17">
      <c r="B135" s="771" t="s">
        <v>5915</v>
      </c>
      <c r="C135" s="771">
        <v>8</v>
      </c>
      <c r="D135" s="466"/>
      <c r="E135" s="771" t="s">
        <v>5975</v>
      </c>
      <c r="F135" s="771">
        <v>3</v>
      </c>
      <c r="G135" s="465"/>
      <c r="H135" s="771" t="s">
        <v>5976</v>
      </c>
      <c r="I135" s="771">
        <v>1</v>
      </c>
      <c r="K135" s="771" t="s">
        <v>5871</v>
      </c>
      <c r="L135" s="771">
        <v>4</v>
      </c>
      <c r="P135" s="771" t="s">
        <v>5842</v>
      </c>
      <c r="Q135" s="771">
        <v>4</v>
      </c>
    </row>
    <row r="136" spans="1:17">
      <c r="B136" s="771" t="s">
        <v>5918</v>
      </c>
      <c r="C136" s="771">
        <v>8</v>
      </c>
      <c r="D136" s="466"/>
      <c r="E136" s="771" t="s">
        <v>5977</v>
      </c>
      <c r="F136" s="771">
        <v>3</v>
      </c>
      <c r="G136" s="465"/>
      <c r="H136" s="771" t="s">
        <v>5978</v>
      </c>
      <c r="I136" s="771">
        <v>1</v>
      </c>
      <c r="K136" s="771" t="s">
        <v>5873</v>
      </c>
      <c r="L136" s="771">
        <v>2</v>
      </c>
      <c r="P136" s="771" t="s">
        <v>5746</v>
      </c>
      <c r="Q136" s="771">
        <v>1</v>
      </c>
    </row>
    <row r="137" spans="1:17">
      <c r="B137" s="771" t="s">
        <v>5929</v>
      </c>
      <c r="C137" s="771">
        <v>8</v>
      </c>
      <c r="D137" s="466"/>
      <c r="E137" s="771" t="s">
        <v>5979</v>
      </c>
      <c r="F137" s="771">
        <v>5</v>
      </c>
      <c r="G137" s="465"/>
      <c r="H137" s="771" t="s">
        <v>5980</v>
      </c>
      <c r="I137" s="771">
        <v>1</v>
      </c>
      <c r="K137" s="771" t="s">
        <v>5879</v>
      </c>
      <c r="L137" s="771">
        <v>2</v>
      </c>
      <c r="P137" s="771" t="s">
        <v>5880</v>
      </c>
      <c r="Q137" s="771">
        <v>2</v>
      </c>
    </row>
    <row r="138" spans="1:17">
      <c r="B138" s="771" t="s">
        <v>5947</v>
      </c>
      <c r="C138" s="771">
        <v>8</v>
      </c>
      <c r="D138" s="466"/>
      <c r="E138" s="771" t="s">
        <v>5981</v>
      </c>
      <c r="F138" s="771">
        <v>3</v>
      </c>
      <c r="G138" s="465"/>
      <c r="H138" s="771" t="s">
        <v>5982</v>
      </c>
      <c r="I138" s="771">
        <v>5</v>
      </c>
      <c r="K138" s="771" t="s">
        <v>5882</v>
      </c>
      <c r="L138" s="771">
        <v>2</v>
      </c>
      <c r="P138" s="771" t="s">
        <v>5848</v>
      </c>
      <c r="Q138" s="771">
        <v>1</v>
      </c>
    </row>
    <row r="139" spans="1:17">
      <c r="B139" s="771" t="s">
        <v>5983</v>
      </c>
      <c r="C139" s="771">
        <v>10</v>
      </c>
      <c r="D139" s="466"/>
      <c r="E139" s="771" t="s">
        <v>5984</v>
      </c>
      <c r="F139" s="771">
        <v>3</v>
      </c>
      <c r="G139" s="465"/>
      <c r="H139" s="771" t="s">
        <v>5985</v>
      </c>
      <c r="I139" s="771">
        <v>3</v>
      </c>
      <c r="K139" s="771" t="s">
        <v>5885</v>
      </c>
      <c r="L139" s="771">
        <v>2</v>
      </c>
      <c r="P139" s="771" t="s">
        <v>5749</v>
      </c>
      <c r="Q139" s="771">
        <v>1</v>
      </c>
    </row>
    <row r="140" spans="1:17">
      <c r="B140" s="771" t="s">
        <v>5955</v>
      </c>
      <c r="C140" s="771">
        <v>8</v>
      </c>
      <c r="D140" s="466"/>
      <c r="E140" s="771" t="s">
        <v>5986</v>
      </c>
      <c r="F140" s="771">
        <v>3</v>
      </c>
      <c r="G140" s="465"/>
      <c r="H140" s="771" t="s">
        <v>5987</v>
      </c>
      <c r="I140" s="771">
        <v>5</v>
      </c>
      <c r="K140" s="771" t="s">
        <v>5888</v>
      </c>
      <c r="L140" s="771">
        <v>4</v>
      </c>
      <c r="P140" s="771" t="s">
        <v>5753</v>
      </c>
      <c r="Q140" s="771">
        <v>4</v>
      </c>
    </row>
    <row r="141" spans="1:17">
      <c r="B141" s="771" t="s">
        <v>5959</v>
      </c>
      <c r="C141" s="771">
        <v>8</v>
      </c>
      <c r="D141" s="466"/>
      <c r="E141" s="771" t="s">
        <v>5988</v>
      </c>
      <c r="F141" s="771">
        <v>3</v>
      </c>
      <c r="G141" s="465"/>
      <c r="H141" s="771" t="s">
        <v>5989</v>
      </c>
      <c r="I141" s="771">
        <v>5</v>
      </c>
      <c r="K141" s="771" t="s">
        <v>5892</v>
      </c>
      <c r="L141" s="771">
        <v>2</v>
      </c>
      <c r="P141" s="771" t="s">
        <v>5856</v>
      </c>
      <c r="Q141" s="771">
        <v>2</v>
      </c>
    </row>
    <row r="142" spans="1:17">
      <c r="B142" s="771" t="s">
        <v>5990</v>
      </c>
      <c r="C142" s="771">
        <v>10</v>
      </c>
      <c r="D142" s="466"/>
      <c r="E142" s="771" t="s">
        <v>5991</v>
      </c>
      <c r="F142" s="771">
        <v>3</v>
      </c>
      <c r="G142" s="465"/>
      <c r="H142" s="771" t="s">
        <v>5992</v>
      </c>
      <c r="I142" s="771">
        <v>3</v>
      </c>
      <c r="K142" s="771" t="s">
        <v>5894</v>
      </c>
      <c r="L142" s="771">
        <v>2</v>
      </c>
      <c r="P142" s="771" t="s">
        <v>5756</v>
      </c>
      <c r="Q142" s="771">
        <v>4</v>
      </c>
    </row>
    <row r="143" spans="1:17">
      <c r="B143" s="771" t="s">
        <v>5993</v>
      </c>
      <c r="C143" s="771">
        <v>10</v>
      </c>
      <c r="D143" s="466"/>
      <c r="E143" s="771" t="s">
        <v>5994</v>
      </c>
      <c r="F143" s="771">
        <v>3</v>
      </c>
      <c r="G143" s="465"/>
      <c r="H143" s="771" t="s">
        <v>5995</v>
      </c>
      <c r="I143" s="771">
        <v>1</v>
      </c>
      <c r="K143" s="771" t="s">
        <v>5901</v>
      </c>
      <c r="L143" s="771">
        <v>2</v>
      </c>
      <c r="P143" s="771" t="s">
        <v>5866</v>
      </c>
      <c r="Q143" s="771">
        <v>4</v>
      </c>
    </row>
    <row r="144" spans="1:17">
      <c r="B144" s="771" t="s">
        <v>5971</v>
      </c>
      <c r="C144" s="771">
        <v>8</v>
      </c>
      <c r="D144" s="466"/>
      <c r="E144" s="771" t="s">
        <v>5996</v>
      </c>
      <c r="F144" s="771">
        <v>3</v>
      </c>
      <c r="G144" s="465"/>
      <c r="H144" s="771" t="s">
        <v>5997</v>
      </c>
      <c r="I144" s="771">
        <v>1</v>
      </c>
      <c r="K144" s="771" t="s">
        <v>5908</v>
      </c>
      <c r="L144" s="771">
        <v>2</v>
      </c>
      <c r="P144" s="771" t="s">
        <v>5758</v>
      </c>
      <c r="Q144" s="771">
        <v>2</v>
      </c>
    </row>
    <row r="145" spans="2:17">
      <c r="B145" s="771" t="s">
        <v>5976</v>
      </c>
      <c r="C145" s="771">
        <v>8</v>
      </c>
      <c r="D145" s="466"/>
      <c r="E145" s="771" t="s">
        <v>5998</v>
      </c>
      <c r="F145" s="771">
        <v>3</v>
      </c>
      <c r="G145" s="465"/>
      <c r="H145" s="771" t="s">
        <v>5999</v>
      </c>
      <c r="I145" s="771">
        <v>1</v>
      </c>
      <c r="K145" s="771" t="s">
        <v>5923</v>
      </c>
      <c r="L145" s="771">
        <v>1</v>
      </c>
      <c r="P145" s="771" t="s">
        <v>5761</v>
      </c>
      <c r="Q145" s="771">
        <v>4</v>
      </c>
    </row>
    <row r="146" spans="2:17">
      <c r="B146" s="771" t="s">
        <v>6000</v>
      </c>
      <c r="C146" s="771">
        <v>10</v>
      </c>
      <c r="D146" s="466"/>
      <c r="E146" s="771" t="s">
        <v>6001</v>
      </c>
      <c r="F146" s="771">
        <v>3</v>
      </c>
      <c r="G146" s="465"/>
      <c r="H146" s="771" t="s">
        <v>6002</v>
      </c>
      <c r="I146" s="771">
        <v>1</v>
      </c>
      <c r="K146" s="771" t="s">
        <v>5926</v>
      </c>
      <c r="L146" s="771">
        <v>3</v>
      </c>
      <c r="P146" s="771" t="s">
        <v>5874</v>
      </c>
      <c r="Q146" s="771">
        <v>4</v>
      </c>
    </row>
    <row r="147" spans="2:17">
      <c r="B147" s="771" t="s">
        <v>5978</v>
      </c>
      <c r="C147" s="771">
        <v>8</v>
      </c>
      <c r="D147" s="466"/>
      <c r="E147" s="771" t="s">
        <v>6003</v>
      </c>
      <c r="F147" s="771">
        <v>3</v>
      </c>
      <c r="G147" s="465"/>
      <c r="H147" s="771" t="s">
        <v>6004</v>
      </c>
      <c r="I147" s="771">
        <v>1</v>
      </c>
      <c r="K147" s="771" t="s">
        <v>5929</v>
      </c>
      <c r="L147" s="771">
        <v>4</v>
      </c>
      <c r="P147" s="771" t="s">
        <v>5764</v>
      </c>
      <c r="Q147" s="771">
        <v>2</v>
      </c>
    </row>
    <row r="148" spans="2:17">
      <c r="B148" s="771" t="s">
        <v>6005</v>
      </c>
      <c r="C148" s="771">
        <v>10</v>
      </c>
      <c r="D148" s="466"/>
      <c r="E148" s="771" t="s">
        <v>6006</v>
      </c>
      <c r="F148" s="771">
        <v>3</v>
      </c>
      <c r="G148" s="465"/>
      <c r="H148" s="771" t="s">
        <v>6007</v>
      </c>
      <c r="I148" s="771">
        <v>5</v>
      </c>
      <c r="K148" s="771" t="s">
        <v>5937</v>
      </c>
      <c r="L148" s="771">
        <v>2</v>
      </c>
      <c r="P148" s="771" t="s">
        <v>5899</v>
      </c>
      <c r="Q148" s="771">
        <v>4</v>
      </c>
    </row>
    <row r="149" spans="2:17">
      <c r="B149" s="771" t="s">
        <v>5985</v>
      </c>
      <c r="C149" s="771">
        <v>8</v>
      </c>
      <c r="D149" s="466"/>
      <c r="E149" s="771" t="s">
        <v>6008</v>
      </c>
      <c r="F149" s="771">
        <v>3</v>
      </c>
      <c r="G149" s="465"/>
      <c r="H149" s="771" t="s">
        <v>6009</v>
      </c>
      <c r="I149" s="771">
        <v>3</v>
      </c>
      <c r="K149" s="771" t="s">
        <v>5942</v>
      </c>
      <c r="L149" s="771">
        <v>2</v>
      </c>
      <c r="P149" s="771" t="s">
        <v>5877</v>
      </c>
      <c r="Q149" s="771">
        <v>4</v>
      </c>
    </row>
    <row r="150" spans="2:17">
      <c r="B150" s="771" t="s">
        <v>5987</v>
      </c>
      <c r="C150" s="771">
        <v>10</v>
      </c>
      <c r="D150" s="466"/>
      <c r="E150" s="771" t="s">
        <v>6010</v>
      </c>
      <c r="F150" s="771">
        <v>3</v>
      </c>
      <c r="G150" s="465"/>
      <c r="H150" s="771" t="s">
        <v>6011</v>
      </c>
      <c r="I150" s="771">
        <v>3</v>
      </c>
      <c r="K150" s="771" t="s">
        <v>5945</v>
      </c>
      <c r="L150" s="771">
        <v>2</v>
      </c>
      <c r="P150" s="771" t="s">
        <v>5768</v>
      </c>
      <c r="Q150" s="771">
        <v>2</v>
      </c>
    </row>
    <row r="151" spans="2:17">
      <c r="B151" s="771" t="s">
        <v>5992</v>
      </c>
      <c r="C151" s="771">
        <v>8</v>
      </c>
      <c r="D151" s="466"/>
      <c r="E151" s="771" t="s">
        <v>6012</v>
      </c>
      <c r="F151" s="771">
        <v>3</v>
      </c>
      <c r="G151" s="465"/>
      <c r="H151" s="771" t="s">
        <v>6013</v>
      </c>
      <c r="I151" s="771">
        <v>1</v>
      </c>
      <c r="K151" s="771" t="s">
        <v>5983</v>
      </c>
      <c r="L151" s="771">
        <v>2</v>
      </c>
      <c r="P151" s="771" t="s">
        <v>5772</v>
      </c>
      <c r="Q151" s="771">
        <v>1</v>
      </c>
    </row>
    <row r="152" spans="2:17">
      <c r="B152" s="771" t="s">
        <v>6014</v>
      </c>
      <c r="C152" s="771">
        <v>8</v>
      </c>
      <c r="D152" s="466"/>
      <c r="E152" s="771" t="s">
        <v>6015</v>
      </c>
      <c r="F152" s="771">
        <v>3</v>
      </c>
      <c r="G152" s="465"/>
      <c r="H152" s="771" t="s">
        <v>6016</v>
      </c>
      <c r="I152" s="771">
        <v>1</v>
      </c>
      <c r="K152" s="771" t="s">
        <v>5957</v>
      </c>
      <c r="L152" s="771">
        <v>4</v>
      </c>
      <c r="P152" s="771" t="s">
        <v>5883</v>
      </c>
      <c r="Q152" s="771">
        <v>3</v>
      </c>
    </row>
    <row r="153" spans="2:17">
      <c r="B153" s="771" t="s">
        <v>6017</v>
      </c>
      <c r="C153" s="771">
        <v>10</v>
      </c>
      <c r="D153" s="466"/>
      <c r="E153" s="771" t="s">
        <v>6018</v>
      </c>
      <c r="F153" s="771">
        <v>3</v>
      </c>
      <c r="G153" s="465"/>
      <c r="H153" s="771" t="s">
        <v>6019</v>
      </c>
      <c r="I153" s="771">
        <v>1</v>
      </c>
      <c r="K153" s="771" t="s">
        <v>5961</v>
      </c>
      <c r="L153" s="771">
        <v>2</v>
      </c>
      <c r="P153" s="771" t="s">
        <v>5886</v>
      </c>
      <c r="Q153" s="771">
        <v>2</v>
      </c>
    </row>
    <row r="154" spans="2:17">
      <c r="B154" s="771" t="s">
        <v>6020</v>
      </c>
      <c r="C154" s="771">
        <v>8</v>
      </c>
      <c r="D154" s="466"/>
      <c r="E154" s="771" t="s">
        <v>6021</v>
      </c>
      <c r="F154" s="771">
        <v>3</v>
      </c>
      <c r="G154" s="465"/>
      <c r="H154" s="771" t="s">
        <v>6022</v>
      </c>
      <c r="I154" s="771">
        <v>3</v>
      </c>
      <c r="K154" s="771" t="s">
        <v>5990</v>
      </c>
      <c r="L154" s="771">
        <v>2</v>
      </c>
      <c r="P154" s="771" t="s">
        <v>5775</v>
      </c>
      <c r="Q154" s="771">
        <v>3</v>
      </c>
    </row>
    <row r="155" spans="2:17">
      <c r="B155" s="771" t="s">
        <v>6023</v>
      </c>
      <c r="C155" s="771">
        <v>8</v>
      </c>
      <c r="D155" s="466"/>
      <c r="E155" s="771" t="s">
        <v>6024</v>
      </c>
      <c r="F155" s="771">
        <v>3</v>
      </c>
      <c r="G155" s="465"/>
      <c r="H155" s="771" t="s">
        <v>6025</v>
      </c>
      <c r="I155" s="771">
        <v>3</v>
      </c>
      <c r="K155" s="771" t="s">
        <v>5993</v>
      </c>
      <c r="L155" s="771">
        <v>2</v>
      </c>
      <c r="P155" s="771" t="s">
        <v>5778</v>
      </c>
      <c r="Q155" s="771">
        <v>4</v>
      </c>
    </row>
    <row r="156" spans="2:17">
      <c r="B156" s="771" t="s">
        <v>6026</v>
      </c>
      <c r="C156" s="771">
        <v>8</v>
      </c>
      <c r="D156" s="466"/>
      <c r="E156" s="771" t="s">
        <v>6027</v>
      </c>
      <c r="F156" s="771">
        <v>3</v>
      </c>
      <c r="G156" s="465"/>
      <c r="H156" s="771" t="s">
        <v>6028</v>
      </c>
      <c r="I156" s="771">
        <v>3</v>
      </c>
      <c r="K156" s="771" t="s">
        <v>5963</v>
      </c>
      <c r="L156" s="771">
        <v>2</v>
      </c>
      <c r="P156" s="771" t="s">
        <v>5785</v>
      </c>
      <c r="Q156" s="771">
        <v>4</v>
      </c>
    </row>
    <row r="157" spans="2:17">
      <c r="B157" s="771" t="s">
        <v>6029</v>
      </c>
      <c r="C157" s="771">
        <v>8</v>
      </c>
      <c r="D157" s="466"/>
      <c r="E157" s="771" t="s">
        <v>6030</v>
      </c>
      <c r="F157" s="771">
        <v>5</v>
      </c>
      <c r="G157" s="465"/>
      <c r="H157" s="771" t="s">
        <v>6031</v>
      </c>
      <c r="I157" s="771">
        <v>1</v>
      </c>
      <c r="K157" s="771" t="s">
        <v>5968</v>
      </c>
      <c r="L157" s="771">
        <v>2</v>
      </c>
      <c r="P157" s="771" t="s">
        <v>5788</v>
      </c>
      <c r="Q157" s="771">
        <v>4</v>
      </c>
    </row>
    <row r="158" spans="2:17">
      <c r="B158" s="771" t="s">
        <v>6032</v>
      </c>
      <c r="C158" s="771">
        <v>10</v>
      </c>
      <c r="D158" s="466"/>
      <c r="E158" s="771" t="s">
        <v>6033</v>
      </c>
      <c r="F158" s="771">
        <v>3</v>
      </c>
      <c r="G158" s="465"/>
      <c r="H158" s="771" t="s">
        <v>6034</v>
      </c>
      <c r="I158" s="771">
        <v>1</v>
      </c>
      <c r="K158" s="771" t="s">
        <v>6000</v>
      </c>
      <c r="L158" s="771">
        <v>2</v>
      </c>
      <c r="P158" s="771" t="s">
        <v>5791</v>
      </c>
      <c r="Q158" s="771">
        <v>2</v>
      </c>
    </row>
    <row r="159" spans="2:17">
      <c r="B159" s="771" t="s">
        <v>6002</v>
      </c>
      <c r="C159" s="771">
        <v>8</v>
      </c>
      <c r="D159" s="466"/>
      <c r="E159" s="771" t="s">
        <v>6035</v>
      </c>
      <c r="F159" s="771">
        <v>3</v>
      </c>
      <c r="G159" s="465"/>
      <c r="H159" s="771" t="s">
        <v>6036</v>
      </c>
      <c r="I159" s="771">
        <v>1</v>
      </c>
      <c r="K159" s="771" t="s">
        <v>5978</v>
      </c>
      <c r="L159" s="771">
        <v>3</v>
      </c>
      <c r="P159" s="771" t="s">
        <v>6037</v>
      </c>
      <c r="Q159" s="771">
        <v>2</v>
      </c>
    </row>
    <row r="160" spans="2:17">
      <c r="B160" s="771" t="s">
        <v>6038</v>
      </c>
      <c r="C160" s="771">
        <v>8</v>
      </c>
      <c r="D160" s="466"/>
      <c r="E160" s="771" t="s">
        <v>6039</v>
      </c>
      <c r="F160" s="771">
        <v>3</v>
      </c>
      <c r="G160" s="465"/>
      <c r="H160" s="771" t="s">
        <v>6040</v>
      </c>
      <c r="I160" s="771">
        <v>5</v>
      </c>
      <c r="K160" s="771" t="s">
        <v>5980</v>
      </c>
      <c r="L160" s="771">
        <v>2</v>
      </c>
      <c r="P160" s="771" t="s">
        <v>5795</v>
      </c>
      <c r="Q160" s="771">
        <v>4</v>
      </c>
    </row>
    <row r="161" spans="2:17">
      <c r="B161" s="771" t="s">
        <v>6007</v>
      </c>
      <c r="C161" s="771">
        <v>8</v>
      </c>
      <c r="D161" s="466"/>
      <c r="E161" s="771" t="s">
        <v>6041</v>
      </c>
      <c r="F161" s="771">
        <v>3</v>
      </c>
      <c r="G161" s="465"/>
      <c r="H161" s="771" t="s">
        <v>6042</v>
      </c>
      <c r="I161" s="771">
        <v>3</v>
      </c>
      <c r="K161" s="771" t="s">
        <v>5982</v>
      </c>
      <c r="L161" s="771">
        <v>3</v>
      </c>
      <c r="P161" s="771" t="s">
        <v>5800</v>
      </c>
      <c r="Q161" s="771">
        <v>2</v>
      </c>
    </row>
    <row r="162" spans="2:17">
      <c r="B162" s="771" t="s">
        <v>6013</v>
      </c>
      <c r="C162" s="771">
        <v>8</v>
      </c>
      <c r="D162" s="466"/>
      <c r="E162" s="771" t="s">
        <v>6043</v>
      </c>
      <c r="F162" s="771">
        <v>3</v>
      </c>
      <c r="G162" s="465"/>
      <c r="H162" s="771" t="s">
        <v>6044</v>
      </c>
      <c r="I162" s="771">
        <v>1</v>
      </c>
      <c r="K162" s="771" t="s">
        <v>6005</v>
      </c>
      <c r="L162" s="771">
        <v>2</v>
      </c>
      <c r="P162" s="771" t="s">
        <v>5803</v>
      </c>
      <c r="Q162" s="771">
        <v>4</v>
      </c>
    </row>
    <row r="163" spans="2:17">
      <c r="B163" s="771" t="s">
        <v>6016</v>
      </c>
      <c r="C163" s="771">
        <v>8</v>
      </c>
      <c r="D163" s="466"/>
      <c r="E163" s="771" t="s">
        <v>6045</v>
      </c>
      <c r="F163" s="771">
        <v>3</v>
      </c>
      <c r="G163" s="465"/>
      <c r="H163" s="771" t="s">
        <v>6046</v>
      </c>
      <c r="I163" s="771">
        <v>1</v>
      </c>
      <c r="K163" s="771" t="s">
        <v>5987</v>
      </c>
      <c r="L163" s="771">
        <v>4</v>
      </c>
      <c r="P163" s="771" t="s">
        <v>5906</v>
      </c>
      <c r="Q163" s="771">
        <v>1</v>
      </c>
    </row>
    <row r="164" spans="2:17">
      <c r="B164" s="771" t="s">
        <v>6047</v>
      </c>
      <c r="C164" s="771">
        <v>10</v>
      </c>
      <c r="D164" s="466"/>
      <c r="F164" s="466"/>
      <c r="G164" s="465"/>
      <c r="H164" s="771" t="s">
        <v>6048</v>
      </c>
      <c r="I164" s="771">
        <v>1</v>
      </c>
      <c r="K164" s="771" t="s">
        <v>6014</v>
      </c>
      <c r="L164" s="771">
        <v>1</v>
      </c>
      <c r="P164" s="771" t="s">
        <v>5810</v>
      </c>
      <c r="Q164" s="771">
        <v>4</v>
      </c>
    </row>
    <row r="165" spans="2:17">
      <c r="B165" s="771" t="s">
        <v>6049</v>
      </c>
      <c r="C165" s="771">
        <v>8</v>
      </c>
      <c r="D165" s="466"/>
      <c r="F165" s="466"/>
      <c r="G165" s="465"/>
      <c r="H165" s="771" t="s">
        <v>6050</v>
      </c>
      <c r="I165" s="771">
        <v>3</v>
      </c>
      <c r="K165" s="771" t="s">
        <v>6017</v>
      </c>
      <c r="L165" s="771">
        <v>3</v>
      </c>
      <c r="P165" s="771" t="s">
        <v>5911</v>
      </c>
      <c r="Q165" s="771">
        <v>2</v>
      </c>
    </row>
    <row r="166" spans="2:17">
      <c r="B166" s="771" t="s">
        <v>6051</v>
      </c>
      <c r="C166" s="771">
        <v>8</v>
      </c>
      <c r="D166" s="466"/>
      <c r="F166" s="466"/>
      <c r="G166" s="465"/>
      <c r="H166" s="771" t="s">
        <v>6052</v>
      </c>
      <c r="I166" s="771">
        <v>3</v>
      </c>
      <c r="K166" s="771" t="s">
        <v>6020</v>
      </c>
      <c r="L166" s="771">
        <v>4</v>
      </c>
      <c r="P166" s="771" t="s">
        <v>5814</v>
      </c>
      <c r="Q166" s="771">
        <v>1</v>
      </c>
    </row>
    <row r="167" spans="2:17">
      <c r="B167" s="771" t="s">
        <v>6053</v>
      </c>
      <c r="C167" s="771">
        <v>10</v>
      </c>
      <c r="D167" s="466"/>
      <c r="F167" s="466"/>
      <c r="G167" s="465"/>
      <c r="H167" s="771" t="s">
        <v>6054</v>
      </c>
      <c r="I167" s="771">
        <v>1</v>
      </c>
      <c r="K167" s="771" t="s">
        <v>6023</v>
      </c>
      <c r="L167" s="771">
        <v>1</v>
      </c>
      <c r="P167" s="771" t="s">
        <v>5817</v>
      </c>
      <c r="Q167" s="771">
        <v>3</v>
      </c>
    </row>
    <row r="168" spans="2:17">
      <c r="B168" s="771" t="s">
        <v>6025</v>
      </c>
      <c r="C168" s="771">
        <v>10</v>
      </c>
      <c r="D168" s="466"/>
      <c r="F168" s="466"/>
      <c r="G168" s="465"/>
      <c r="H168" s="771" t="s">
        <v>6055</v>
      </c>
      <c r="I168" s="771">
        <v>1</v>
      </c>
      <c r="K168" s="771" t="s">
        <v>6056</v>
      </c>
      <c r="L168" s="771">
        <v>4</v>
      </c>
      <c r="P168" s="771" t="s">
        <v>5820</v>
      </c>
      <c r="Q168" s="771">
        <v>4</v>
      </c>
    </row>
    <row r="169" spans="2:17">
      <c r="B169" s="771" t="s">
        <v>6057</v>
      </c>
      <c r="C169" s="771">
        <v>10</v>
      </c>
      <c r="D169" s="466"/>
      <c r="F169" s="466"/>
      <c r="G169" s="465"/>
      <c r="H169" s="771" t="s">
        <v>6058</v>
      </c>
      <c r="I169" s="771">
        <v>3</v>
      </c>
      <c r="K169" s="771" t="s">
        <v>6026</v>
      </c>
      <c r="L169" s="771">
        <v>2</v>
      </c>
      <c r="P169" s="771" t="s">
        <v>5919</v>
      </c>
      <c r="Q169" s="771">
        <v>1</v>
      </c>
    </row>
    <row r="170" spans="2:17">
      <c r="B170" s="771" t="s">
        <v>6059</v>
      </c>
      <c r="C170" s="771">
        <v>8</v>
      </c>
      <c r="D170" s="466"/>
      <c r="F170" s="466"/>
      <c r="G170" s="465"/>
      <c r="H170" s="771" t="s">
        <v>6060</v>
      </c>
      <c r="I170" s="771">
        <v>5</v>
      </c>
      <c r="K170" s="771" t="s">
        <v>6029</v>
      </c>
      <c r="L170" s="771">
        <v>2</v>
      </c>
      <c r="P170" s="771" t="s">
        <v>5824</v>
      </c>
      <c r="Q170" s="771">
        <v>2</v>
      </c>
    </row>
    <row r="171" spans="2:17">
      <c r="B171" s="771" t="s">
        <v>6061</v>
      </c>
      <c r="C171" s="771">
        <v>8</v>
      </c>
      <c r="D171" s="466"/>
      <c r="F171" s="466"/>
      <c r="G171" s="465"/>
      <c r="H171" s="771" t="s">
        <v>6062</v>
      </c>
      <c r="I171" s="771">
        <v>3</v>
      </c>
      <c r="K171" s="771" t="s">
        <v>6038</v>
      </c>
      <c r="L171" s="771">
        <v>1</v>
      </c>
      <c r="P171" s="771" t="s">
        <v>5924</v>
      </c>
      <c r="Q171" s="771">
        <v>3</v>
      </c>
    </row>
    <row r="172" spans="2:17">
      <c r="B172" s="771" t="s">
        <v>6028</v>
      </c>
      <c r="C172" s="771">
        <v>10</v>
      </c>
      <c r="D172" s="466"/>
      <c r="F172" s="466"/>
      <c r="G172" s="465"/>
      <c r="H172" s="771" t="s">
        <v>6063</v>
      </c>
      <c r="I172" s="771">
        <v>1</v>
      </c>
      <c r="K172" s="771" t="s">
        <v>6009</v>
      </c>
      <c r="L172" s="771">
        <v>4</v>
      </c>
      <c r="P172" s="771" t="s">
        <v>5927</v>
      </c>
      <c r="Q172" s="771">
        <v>1</v>
      </c>
    </row>
    <row r="173" spans="2:17">
      <c r="B173" s="771" t="s">
        <v>6031</v>
      </c>
      <c r="C173" s="771">
        <v>10</v>
      </c>
      <c r="D173" s="466"/>
      <c r="F173" s="466"/>
      <c r="G173" s="465"/>
      <c r="H173" s="771" t="s">
        <v>6064</v>
      </c>
      <c r="I173" s="771">
        <v>3</v>
      </c>
      <c r="K173" s="771" t="s">
        <v>6065</v>
      </c>
      <c r="L173" s="771">
        <v>2</v>
      </c>
      <c r="P173" s="771" t="s">
        <v>5930</v>
      </c>
      <c r="Q173" s="771">
        <v>3</v>
      </c>
    </row>
    <row r="174" spans="2:17">
      <c r="B174" s="771" t="s">
        <v>6066</v>
      </c>
      <c r="C174" s="771">
        <v>10</v>
      </c>
      <c r="D174" s="466"/>
      <c r="F174" s="466"/>
      <c r="G174" s="465"/>
      <c r="H174" s="771" t="s">
        <v>6067</v>
      </c>
      <c r="I174" s="771">
        <v>1</v>
      </c>
      <c r="K174" s="771" t="s">
        <v>6011</v>
      </c>
      <c r="L174" s="771">
        <v>2</v>
      </c>
      <c r="P174" s="771" t="s">
        <v>5829</v>
      </c>
      <c r="Q174" s="771">
        <v>2</v>
      </c>
    </row>
    <row r="175" spans="2:17">
      <c r="B175" s="771" t="s">
        <v>6068</v>
      </c>
      <c r="C175" s="771">
        <v>8</v>
      </c>
      <c r="D175" s="466"/>
      <c r="F175" s="466"/>
      <c r="G175" s="465"/>
      <c r="H175" s="771" t="s">
        <v>6069</v>
      </c>
      <c r="I175" s="771">
        <v>1</v>
      </c>
      <c r="K175" s="771" t="s">
        <v>6016</v>
      </c>
      <c r="L175" s="771">
        <v>4</v>
      </c>
      <c r="P175" s="771" t="s">
        <v>5832</v>
      </c>
      <c r="Q175" s="771">
        <v>3</v>
      </c>
    </row>
    <row r="176" spans="2:17">
      <c r="B176" s="771" t="s">
        <v>6070</v>
      </c>
      <c r="C176" s="771">
        <v>8</v>
      </c>
      <c r="D176" s="466"/>
      <c r="F176" s="466"/>
      <c r="G176" s="465"/>
      <c r="H176" s="771" t="s">
        <v>6071</v>
      </c>
      <c r="I176" s="771">
        <v>1</v>
      </c>
      <c r="K176" s="771" t="s">
        <v>6047</v>
      </c>
      <c r="L176" s="771">
        <v>2</v>
      </c>
      <c r="P176" s="771" t="s">
        <v>5933</v>
      </c>
      <c r="Q176" s="771">
        <v>1</v>
      </c>
    </row>
    <row r="177" spans="2:17">
      <c r="B177" s="771" t="s">
        <v>6072</v>
      </c>
      <c r="C177" s="771">
        <v>8</v>
      </c>
      <c r="D177" s="466"/>
      <c r="F177" s="466"/>
      <c r="G177" s="465"/>
      <c r="H177" s="771" t="s">
        <v>6073</v>
      </c>
      <c r="I177" s="771">
        <v>1</v>
      </c>
      <c r="K177" s="771" t="s">
        <v>6074</v>
      </c>
      <c r="L177" s="771">
        <v>2</v>
      </c>
      <c r="P177" s="771" t="s">
        <v>5834</v>
      </c>
      <c r="Q177" s="771">
        <v>2</v>
      </c>
    </row>
    <row r="178" spans="2:17">
      <c r="B178" s="771" t="s">
        <v>6075</v>
      </c>
      <c r="C178" s="771">
        <v>10</v>
      </c>
      <c r="D178" s="466"/>
      <c r="F178" s="466"/>
      <c r="G178" s="465"/>
      <c r="H178" s="771" t="s">
        <v>6076</v>
      </c>
      <c r="I178" s="771">
        <v>5</v>
      </c>
      <c r="K178" s="771" t="s">
        <v>6019</v>
      </c>
      <c r="L178" s="771">
        <v>2</v>
      </c>
      <c r="P178" s="771" t="s">
        <v>5837</v>
      </c>
      <c r="Q178" s="771">
        <v>2</v>
      </c>
    </row>
    <row r="179" spans="2:17">
      <c r="B179" s="771" t="s">
        <v>6034</v>
      </c>
      <c r="C179" s="771">
        <v>8</v>
      </c>
      <c r="D179" s="466"/>
      <c r="F179" s="466"/>
      <c r="G179" s="465"/>
      <c r="H179" s="771" t="s">
        <v>6077</v>
      </c>
      <c r="I179" s="771">
        <v>3</v>
      </c>
      <c r="K179" s="771" t="s">
        <v>6022</v>
      </c>
      <c r="L179" s="771">
        <v>2</v>
      </c>
      <c r="P179" s="771" t="s">
        <v>5938</v>
      </c>
      <c r="Q179" s="771">
        <v>2</v>
      </c>
    </row>
    <row r="180" spans="2:17">
      <c r="B180" s="771" t="s">
        <v>6078</v>
      </c>
      <c r="C180" s="771">
        <v>8</v>
      </c>
      <c r="D180" s="466"/>
      <c r="F180" s="466"/>
      <c r="G180" s="465"/>
      <c r="H180" s="771" t="s">
        <v>6079</v>
      </c>
      <c r="I180" s="771">
        <v>1</v>
      </c>
      <c r="K180" s="771" t="s">
        <v>6080</v>
      </c>
      <c r="L180" s="771">
        <v>2</v>
      </c>
      <c r="P180" s="771" t="s">
        <v>5840</v>
      </c>
      <c r="Q180" s="771">
        <v>1</v>
      </c>
    </row>
    <row r="181" spans="2:17">
      <c r="B181" s="771" t="s">
        <v>6040</v>
      </c>
      <c r="C181" s="771">
        <v>8</v>
      </c>
      <c r="D181" s="466"/>
      <c r="F181" s="466"/>
      <c r="G181" s="465"/>
      <c r="H181" s="771" t="s">
        <v>6081</v>
      </c>
      <c r="I181" s="771">
        <v>5</v>
      </c>
      <c r="K181" s="771" t="s">
        <v>6059</v>
      </c>
      <c r="L181" s="771">
        <v>2</v>
      </c>
      <c r="P181" s="771" t="s">
        <v>5943</v>
      </c>
      <c r="Q181" s="771">
        <v>4</v>
      </c>
    </row>
    <row r="182" spans="2:17">
      <c r="B182" s="771" t="s">
        <v>6082</v>
      </c>
      <c r="C182" s="771">
        <v>8</v>
      </c>
      <c r="D182" s="466"/>
      <c r="F182" s="466"/>
      <c r="G182" s="465"/>
      <c r="H182" s="771" t="s">
        <v>6083</v>
      </c>
      <c r="I182" s="771">
        <v>1</v>
      </c>
      <c r="K182" s="771" t="s">
        <v>6084</v>
      </c>
      <c r="L182" s="771">
        <v>2</v>
      </c>
      <c r="P182" s="771" t="s">
        <v>5844</v>
      </c>
      <c r="Q182" s="771">
        <v>1</v>
      </c>
    </row>
    <row r="183" spans="2:17">
      <c r="B183" s="771" t="s">
        <v>6085</v>
      </c>
      <c r="C183" s="771">
        <v>10</v>
      </c>
      <c r="D183" s="466"/>
      <c r="F183" s="466"/>
      <c r="G183" s="465"/>
      <c r="H183" s="771" t="s">
        <v>6086</v>
      </c>
      <c r="I183" s="771">
        <v>1</v>
      </c>
      <c r="K183" s="771" t="s">
        <v>6061</v>
      </c>
      <c r="L183" s="771">
        <v>4</v>
      </c>
      <c r="P183" s="771" t="s">
        <v>5847</v>
      </c>
      <c r="Q183" s="771">
        <v>3</v>
      </c>
    </row>
    <row r="184" spans="2:17">
      <c r="B184" s="771" t="s">
        <v>6087</v>
      </c>
      <c r="C184" s="771">
        <v>8</v>
      </c>
      <c r="D184" s="466"/>
      <c r="F184" s="466"/>
      <c r="G184" s="465"/>
      <c r="H184" s="771" t="s">
        <v>6088</v>
      </c>
      <c r="I184" s="771">
        <v>5</v>
      </c>
      <c r="K184" s="771" t="s">
        <v>6089</v>
      </c>
      <c r="L184" s="771">
        <v>3</v>
      </c>
      <c r="P184" s="771" t="s">
        <v>5850</v>
      </c>
      <c r="Q184" s="771">
        <v>2</v>
      </c>
    </row>
    <row r="185" spans="2:17">
      <c r="B185" s="771" t="s">
        <v>6090</v>
      </c>
      <c r="C185" s="771">
        <v>10</v>
      </c>
      <c r="D185" s="466"/>
      <c r="F185" s="466"/>
      <c r="G185" s="465"/>
      <c r="H185" s="771" t="s">
        <v>6091</v>
      </c>
      <c r="I185" s="771">
        <v>5</v>
      </c>
      <c r="K185" s="771" t="s">
        <v>6028</v>
      </c>
      <c r="L185" s="771">
        <v>1</v>
      </c>
      <c r="P185" s="771" t="s">
        <v>5852</v>
      </c>
      <c r="Q185" s="771">
        <v>2</v>
      </c>
    </row>
    <row r="186" spans="2:17">
      <c r="B186" s="771" t="s">
        <v>6044</v>
      </c>
      <c r="C186" s="771">
        <v>10</v>
      </c>
      <c r="D186" s="466"/>
      <c r="F186" s="466"/>
      <c r="G186" s="465"/>
      <c r="H186" s="771" t="s">
        <v>6092</v>
      </c>
      <c r="I186" s="771">
        <v>5</v>
      </c>
      <c r="K186" s="771" t="s">
        <v>6031</v>
      </c>
      <c r="L186" s="771">
        <v>4</v>
      </c>
      <c r="P186" s="771" t="s">
        <v>5953</v>
      </c>
      <c r="Q186" s="771">
        <v>2</v>
      </c>
    </row>
    <row r="187" spans="2:17">
      <c r="B187" s="771" t="s">
        <v>6046</v>
      </c>
      <c r="C187" s="771">
        <v>10</v>
      </c>
      <c r="D187" s="466"/>
      <c r="F187" s="466"/>
      <c r="G187" s="465"/>
      <c r="H187" s="771" t="s">
        <v>6093</v>
      </c>
      <c r="I187" s="771">
        <v>3</v>
      </c>
      <c r="K187" s="771" t="s">
        <v>6066</v>
      </c>
      <c r="L187" s="771">
        <v>4</v>
      </c>
      <c r="P187" s="771" t="s">
        <v>5854</v>
      </c>
      <c r="Q187" s="771">
        <v>4</v>
      </c>
    </row>
    <row r="188" spans="2:17">
      <c r="B188" s="771" t="s">
        <v>6094</v>
      </c>
      <c r="C188" s="771">
        <v>8</v>
      </c>
      <c r="D188" s="466"/>
      <c r="F188" s="466"/>
      <c r="G188" s="465"/>
      <c r="H188" s="771" t="s">
        <v>6095</v>
      </c>
      <c r="I188" s="771">
        <v>3</v>
      </c>
      <c r="K188" s="771" t="s">
        <v>6068</v>
      </c>
      <c r="L188" s="771">
        <v>4</v>
      </c>
      <c r="P188" s="771" t="s">
        <v>5969</v>
      </c>
      <c r="Q188" s="771">
        <v>2</v>
      </c>
    </row>
    <row r="189" spans="2:17">
      <c r="B189" s="771" t="s">
        <v>6096</v>
      </c>
      <c r="C189" s="771">
        <v>8</v>
      </c>
      <c r="D189" s="466"/>
      <c r="F189" s="466"/>
      <c r="G189" s="465"/>
      <c r="H189" s="771" t="s">
        <v>6097</v>
      </c>
      <c r="I189" s="771">
        <v>3</v>
      </c>
      <c r="K189" s="771" t="s">
        <v>6070</v>
      </c>
      <c r="L189" s="771">
        <v>4</v>
      </c>
      <c r="P189" s="771" t="s">
        <v>5858</v>
      </c>
      <c r="Q189" s="771">
        <v>2</v>
      </c>
    </row>
    <row r="190" spans="2:17">
      <c r="B190" s="771" t="s">
        <v>6098</v>
      </c>
      <c r="C190" s="771">
        <v>10</v>
      </c>
      <c r="D190" s="466"/>
      <c r="F190" s="466"/>
      <c r="G190" s="465"/>
      <c r="H190" s="771" t="s">
        <v>6099</v>
      </c>
      <c r="I190" s="771">
        <v>5</v>
      </c>
      <c r="K190" s="771" t="s">
        <v>6100</v>
      </c>
      <c r="L190" s="771">
        <v>3</v>
      </c>
      <c r="P190" s="771" t="s">
        <v>5860</v>
      </c>
      <c r="Q190" s="771">
        <v>4</v>
      </c>
    </row>
    <row r="191" spans="2:17">
      <c r="B191" s="771" t="s">
        <v>6048</v>
      </c>
      <c r="C191" s="771">
        <v>8</v>
      </c>
      <c r="D191" s="466"/>
      <c r="F191" s="466"/>
      <c r="G191" s="465"/>
      <c r="H191" s="771" t="s">
        <v>6101</v>
      </c>
      <c r="I191" s="771">
        <v>3</v>
      </c>
      <c r="K191" s="771" t="s">
        <v>6072</v>
      </c>
      <c r="L191" s="771">
        <v>2</v>
      </c>
      <c r="P191" s="771" t="s">
        <v>5864</v>
      </c>
      <c r="Q191" s="771">
        <v>4</v>
      </c>
    </row>
    <row r="192" spans="2:17">
      <c r="B192" s="771" t="s">
        <v>6102</v>
      </c>
      <c r="C192" s="771">
        <v>8</v>
      </c>
      <c r="D192" s="466"/>
      <c r="F192" s="466"/>
      <c r="G192" s="465"/>
      <c r="H192" s="771" t="s">
        <v>6103</v>
      </c>
      <c r="I192" s="771">
        <v>3</v>
      </c>
      <c r="K192" s="771" t="s">
        <v>6075</v>
      </c>
      <c r="L192" s="771">
        <v>2</v>
      </c>
      <c r="P192" s="771" t="s">
        <v>5868</v>
      </c>
      <c r="Q192" s="771">
        <v>4</v>
      </c>
    </row>
    <row r="193" spans="2:17">
      <c r="B193" s="771" t="s">
        <v>6104</v>
      </c>
      <c r="C193" s="771">
        <v>8</v>
      </c>
      <c r="D193" s="466"/>
      <c r="F193" s="466"/>
      <c r="G193" s="465"/>
      <c r="H193" s="771" t="s">
        <v>6105</v>
      </c>
      <c r="I193" s="771">
        <v>5</v>
      </c>
      <c r="K193" s="771" t="s">
        <v>6106</v>
      </c>
      <c r="L193" s="771">
        <v>4</v>
      </c>
      <c r="P193" s="771" t="s">
        <v>5871</v>
      </c>
      <c r="Q193" s="771">
        <v>3</v>
      </c>
    </row>
    <row r="194" spans="2:17">
      <c r="B194" s="771" t="s">
        <v>6055</v>
      </c>
      <c r="C194" s="771">
        <v>8</v>
      </c>
      <c r="D194" s="466"/>
      <c r="F194" s="466"/>
      <c r="G194" s="465"/>
      <c r="H194" s="771" t="s">
        <v>6107</v>
      </c>
      <c r="I194" s="771">
        <v>5</v>
      </c>
      <c r="K194" s="771" t="s">
        <v>6034</v>
      </c>
      <c r="L194" s="771">
        <v>4</v>
      </c>
      <c r="P194" s="771" t="s">
        <v>5873</v>
      </c>
      <c r="Q194" s="771">
        <v>4</v>
      </c>
    </row>
    <row r="195" spans="2:17">
      <c r="B195" s="771" t="s">
        <v>6060</v>
      </c>
      <c r="C195" s="771">
        <v>8</v>
      </c>
      <c r="D195" s="466"/>
      <c r="F195" s="466"/>
      <c r="G195" s="465"/>
      <c r="H195" s="771" t="s">
        <v>6108</v>
      </c>
      <c r="I195" s="771">
        <v>1</v>
      </c>
      <c r="K195" s="771" t="s">
        <v>6036</v>
      </c>
      <c r="L195" s="771">
        <v>4</v>
      </c>
      <c r="P195" s="771" t="s">
        <v>5879</v>
      </c>
      <c r="Q195" s="771">
        <v>4</v>
      </c>
    </row>
    <row r="196" spans="2:17">
      <c r="B196" s="771" t="s">
        <v>6109</v>
      </c>
      <c r="C196" s="771">
        <v>8</v>
      </c>
      <c r="D196" s="466"/>
      <c r="F196" s="466"/>
      <c r="G196" s="465"/>
      <c r="H196" s="771" t="s">
        <v>6110</v>
      </c>
      <c r="I196" s="771">
        <v>1</v>
      </c>
      <c r="K196" s="771" t="s">
        <v>6111</v>
      </c>
      <c r="L196" s="771">
        <v>2</v>
      </c>
      <c r="P196" s="771" t="s">
        <v>5882</v>
      </c>
      <c r="Q196" s="771">
        <v>2</v>
      </c>
    </row>
    <row r="197" spans="2:17">
      <c r="B197" s="771" t="s">
        <v>6112</v>
      </c>
      <c r="C197" s="771">
        <v>10</v>
      </c>
      <c r="D197" s="466"/>
      <c r="F197" s="466"/>
      <c r="G197" s="465"/>
      <c r="H197" s="771" t="s">
        <v>6113</v>
      </c>
      <c r="I197" s="771">
        <v>1</v>
      </c>
      <c r="K197" s="771" t="s">
        <v>6114</v>
      </c>
      <c r="L197" s="771">
        <v>2</v>
      </c>
      <c r="P197" s="771" t="s">
        <v>5885</v>
      </c>
      <c r="Q197" s="771">
        <v>1</v>
      </c>
    </row>
    <row r="198" spans="2:17">
      <c r="B198" s="771" t="s">
        <v>6115</v>
      </c>
      <c r="C198" s="771">
        <v>10</v>
      </c>
      <c r="D198" s="466"/>
      <c r="F198" s="466"/>
      <c r="G198" s="465"/>
      <c r="H198" s="771" t="s">
        <v>6116</v>
      </c>
      <c r="I198" s="771">
        <v>3</v>
      </c>
      <c r="K198" s="771" t="s">
        <v>6117</v>
      </c>
      <c r="L198" s="771">
        <v>4</v>
      </c>
      <c r="P198" s="771" t="s">
        <v>5888</v>
      </c>
      <c r="Q198" s="771">
        <v>3</v>
      </c>
    </row>
    <row r="199" spans="2:17">
      <c r="B199" s="771" t="s">
        <v>6118</v>
      </c>
      <c r="C199" s="771">
        <v>8</v>
      </c>
      <c r="D199" s="466"/>
      <c r="F199" s="466"/>
      <c r="G199" s="465"/>
      <c r="H199" s="771" t="s">
        <v>6119</v>
      </c>
      <c r="I199" s="771">
        <v>3</v>
      </c>
      <c r="K199" s="771" t="s">
        <v>6042</v>
      </c>
      <c r="L199" s="771">
        <v>3</v>
      </c>
      <c r="P199" s="771" t="s">
        <v>5890</v>
      </c>
      <c r="Q199" s="771">
        <v>4</v>
      </c>
    </row>
    <row r="200" spans="2:17">
      <c r="B200" s="771" t="s">
        <v>6120</v>
      </c>
      <c r="C200" s="771">
        <v>10</v>
      </c>
      <c r="D200" s="466"/>
      <c r="F200" s="466"/>
      <c r="G200" s="465"/>
      <c r="H200" s="771" t="s">
        <v>6121</v>
      </c>
      <c r="I200" s="771">
        <v>3</v>
      </c>
      <c r="K200" s="771" t="s">
        <v>6085</v>
      </c>
      <c r="L200" s="771">
        <v>2</v>
      </c>
      <c r="P200" s="771" t="s">
        <v>5892</v>
      </c>
      <c r="Q200" s="771">
        <v>4</v>
      </c>
    </row>
    <row r="201" spans="2:17">
      <c r="B201" s="771" t="s">
        <v>6122</v>
      </c>
      <c r="C201" s="771">
        <v>10</v>
      </c>
      <c r="D201" s="466"/>
      <c r="F201" s="466"/>
      <c r="G201" s="465"/>
      <c r="H201" s="771" t="s">
        <v>6123</v>
      </c>
      <c r="I201" s="771">
        <v>3</v>
      </c>
      <c r="K201" s="771" t="s">
        <v>6124</v>
      </c>
      <c r="L201" s="771">
        <v>4</v>
      </c>
      <c r="P201" s="771" t="s">
        <v>5894</v>
      </c>
      <c r="Q201" s="771">
        <v>4</v>
      </c>
    </row>
    <row r="202" spans="2:17">
      <c r="B202" s="771" t="s">
        <v>6063</v>
      </c>
      <c r="C202" s="771">
        <v>10</v>
      </c>
      <c r="D202" s="466"/>
      <c r="F202" s="466"/>
      <c r="G202" s="465"/>
      <c r="H202" s="771" t="s">
        <v>6125</v>
      </c>
      <c r="I202" s="771">
        <v>1</v>
      </c>
      <c r="K202" s="771" t="s">
        <v>6087</v>
      </c>
      <c r="L202" s="771">
        <v>4</v>
      </c>
      <c r="P202" s="771" t="s">
        <v>5901</v>
      </c>
      <c r="Q202" s="771">
        <v>4</v>
      </c>
    </row>
    <row r="203" spans="2:17">
      <c r="B203" s="771" t="s">
        <v>6126</v>
      </c>
      <c r="C203" s="771">
        <v>10</v>
      </c>
      <c r="D203" s="466"/>
      <c r="F203" s="466"/>
      <c r="G203" s="465"/>
      <c r="H203" s="771" t="s">
        <v>6127</v>
      </c>
      <c r="I203" s="771">
        <v>5</v>
      </c>
      <c r="K203" s="771" t="s">
        <v>6046</v>
      </c>
      <c r="L203" s="771">
        <v>2</v>
      </c>
      <c r="P203" s="771" t="s">
        <v>5904</v>
      </c>
      <c r="Q203" s="771">
        <v>4</v>
      </c>
    </row>
    <row r="204" spans="2:17">
      <c r="B204" s="771" t="s">
        <v>6128</v>
      </c>
      <c r="C204" s="771">
        <v>10</v>
      </c>
      <c r="D204" s="466"/>
      <c r="F204" s="466"/>
      <c r="G204" s="465"/>
      <c r="H204" s="771" t="s">
        <v>6129</v>
      </c>
      <c r="I204" s="771">
        <v>3</v>
      </c>
      <c r="K204" s="771" t="s">
        <v>6130</v>
      </c>
      <c r="L204" s="771">
        <v>4</v>
      </c>
      <c r="P204" s="771" t="s">
        <v>5908</v>
      </c>
      <c r="Q204" s="771">
        <v>1</v>
      </c>
    </row>
    <row r="205" spans="2:17">
      <c r="B205" s="771" t="s">
        <v>6131</v>
      </c>
      <c r="C205" s="771">
        <v>10</v>
      </c>
      <c r="D205" s="466"/>
      <c r="F205" s="466"/>
      <c r="G205" s="465"/>
      <c r="H205" s="771" t="s">
        <v>6132</v>
      </c>
      <c r="I205" s="771">
        <v>5</v>
      </c>
      <c r="K205" s="771" t="s">
        <v>6098</v>
      </c>
      <c r="L205" s="771">
        <v>4</v>
      </c>
      <c r="P205" s="771" t="s">
        <v>5910</v>
      </c>
      <c r="Q205" s="771">
        <v>3</v>
      </c>
    </row>
    <row r="206" spans="2:17">
      <c r="B206" s="771" t="s">
        <v>6133</v>
      </c>
      <c r="C206" s="771">
        <v>8</v>
      </c>
      <c r="D206" s="466"/>
      <c r="F206" s="466"/>
      <c r="G206" s="465"/>
      <c r="H206" s="771" t="s">
        <v>6134</v>
      </c>
      <c r="I206" s="771">
        <v>3</v>
      </c>
      <c r="K206" s="771" t="s">
        <v>6048</v>
      </c>
      <c r="L206" s="771">
        <v>4</v>
      </c>
      <c r="P206" s="771" t="s">
        <v>5913</v>
      </c>
      <c r="Q206" s="771">
        <v>1</v>
      </c>
    </row>
    <row r="207" spans="2:17">
      <c r="B207" s="771" t="s">
        <v>6135</v>
      </c>
      <c r="C207" s="771">
        <v>8</v>
      </c>
      <c r="D207" s="466"/>
      <c r="F207" s="466"/>
      <c r="G207" s="465"/>
      <c r="H207" s="771" t="s">
        <v>6136</v>
      </c>
      <c r="I207" s="771">
        <v>5</v>
      </c>
      <c r="K207" s="771" t="s">
        <v>6137</v>
      </c>
      <c r="L207" s="771">
        <v>2</v>
      </c>
      <c r="P207" s="771" t="s">
        <v>5972</v>
      </c>
      <c r="Q207" s="771">
        <v>2</v>
      </c>
    </row>
    <row r="208" spans="2:17">
      <c r="B208" s="771" t="s">
        <v>6138</v>
      </c>
      <c r="C208" s="771">
        <v>8</v>
      </c>
      <c r="D208" s="466"/>
      <c r="F208" s="466"/>
      <c r="G208" s="465"/>
      <c r="H208" s="771" t="s">
        <v>6139</v>
      </c>
      <c r="I208" s="771">
        <v>5</v>
      </c>
      <c r="K208" s="771" t="s">
        <v>6052</v>
      </c>
      <c r="L208" s="771">
        <v>3</v>
      </c>
      <c r="P208" s="771" t="s">
        <v>5915</v>
      </c>
      <c r="Q208" s="771">
        <v>2</v>
      </c>
    </row>
    <row r="209" spans="2:17">
      <c r="B209" s="771" t="s">
        <v>6140</v>
      </c>
      <c r="C209" s="771">
        <v>8</v>
      </c>
      <c r="D209" s="466"/>
      <c r="F209" s="466"/>
      <c r="G209" s="465"/>
      <c r="H209" s="771" t="s">
        <v>6141</v>
      </c>
      <c r="I209" s="771">
        <v>1</v>
      </c>
      <c r="K209" s="771" t="s">
        <v>6142</v>
      </c>
      <c r="L209" s="771">
        <v>3</v>
      </c>
      <c r="P209" s="771" t="s">
        <v>5918</v>
      </c>
      <c r="Q209" s="771">
        <v>4</v>
      </c>
    </row>
    <row r="210" spans="2:17">
      <c r="B210" s="771" t="s">
        <v>6143</v>
      </c>
      <c r="C210" s="771">
        <v>8</v>
      </c>
      <c r="D210" s="466"/>
      <c r="F210" s="466"/>
      <c r="G210" s="465"/>
      <c r="H210" s="771" t="s">
        <v>6144</v>
      </c>
      <c r="I210" s="771">
        <v>5</v>
      </c>
      <c r="K210" s="771" t="s">
        <v>6145</v>
      </c>
      <c r="L210" s="771">
        <v>2</v>
      </c>
      <c r="P210" s="771" t="s">
        <v>5921</v>
      </c>
      <c r="Q210" s="771">
        <v>4</v>
      </c>
    </row>
    <row r="211" spans="2:17">
      <c r="B211" s="771" t="s">
        <v>6146</v>
      </c>
      <c r="C211" s="771">
        <v>10</v>
      </c>
      <c r="D211" s="466"/>
      <c r="F211" s="466"/>
      <c r="G211" s="465"/>
      <c r="H211" s="771" t="s">
        <v>6147</v>
      </c>
      <c r="I211" s="771">
        <v>1</v>
      </c>
      <c r="K211" s="771" t="s">
        <v>6055</v>
      </c>
      <c r="L211" s="771">
        <v>2</v>
      </c>
      <c r="P211" s="771" t="s">
        <v>5923</v>
      </c>
      <c r="Q211" s="771">
        <v>1</v>
      </c>
    </row>
    <row r="212" spans="2:17">
      <c r="B212" s="771" t="s">
        <v>6148</v>
      </c>
      <c r="C212" s="771">
        <v>8</v>
      </c>
      <c r="D212" s="466"/>
      <c r="F212" s="466"/>
      <c r="G212" s="465"/>
      <c r="H212" s="771" t="s">
        <v>6149</v>
      </c>
      <c r="I212" s="771">
        <v>3</v>
      </c>
      <c r="K212" s="771" t="s">
        <v>6150</v>
      </c>
      <c r="L212" s="771">
        <v>2</v>
      </c>
      <c r="P212" s="771" t="s">
        <v>5929</v>
      </c>
      <c r="Q212" s="771">
        <v>2</v>
      </c>
    </row>
    <row r="213" spans="2:17">
      <c r="B213" s="771" t="s">
        <v>6151</v>
      </c>
      <c r="C213" s="771">
        <v>8</v>
      </c>
      <c r="D213" s="466"/>
      <c r="F213" s="466"/>
      <c r="G213" s="465"/>
      <c r="H213" s="771" t="s">
        <v>6152</v>
      </c>
      <c r="I213" s="771">
        <v>1</v>
      </c>
      <c r="K213" s="771" t="s">
        <v>6058</v>
      </c>
      <c r="L213" s="771">
        <v>4</v>
      </c>
      <c r="P213" s="771" t="s">
        <v>5937</v>
      </c>
      <c r="Q213" s="771">
        <v>4</v>
      </c>
    </row>
    <row r="214" spans="2:17">
      <c r="B214" s="771" t="s">
        <v>6153</v>
      </c>
      <c r="C214" s="771">
        <v>8</v>
      </c>
      <c r="D214" s="466"/>
      <c r="F214" s="466"/>
      <c r="G214" s="465"/>
      <c r="H214" s="771" t="s">
        <v>6154</v>
      </c>
      <c r="I214" s="771">
        <v>3</v>
      </c>
      <c r="K214" s="771" t="s">
        <v>6112</v>
      </c>
      <c r="L214" s="771">
        <v>2</v>
      </c>
      <c r="P214" s="771" t="s">
        <v>5940</v>
      </c>
      <c r="Q214" s="771">
        <v>3</v>
      </c>
    </row>
    <row r="215" spans="2:17">
      <c r="B215" s="771" t="s">
        <v>6155</v>
      </c>
      <c r="C215" s="771">
        <v>10</v>
      </c>
      <c r="D215" s="466"/>
      <c r="F215" s="466"/>
      <c r="G215" s="465"/>
      <c r="H215" s="771" t="s">
        <v>6156</v>
      </c>
      <c r="I215" s="771">
        <v>3</v>
      </c>
      <c r="K215" s="771" t="s">
        <v>6157</v>
      </c>
      <c r="L215" s="771">
        <v>4</v>
      </c>
      <c r="P215" s="771" t="s">
        <v>5942</v>
      </c>
      <c r="Q215" s="771">
        <v>4</v>
      </c>
    </row>
    <row r="216" spans="2:17">
      <c r="B216" s="771" t="s">
        <v>6158</v>
      </c>
      <c r="C216" s="771">
        <v>10</v>
      </c>
      <c r="D216" s="466"/>
      <c r="F216" s="466"/>
      <c r="G216" s="465"/>
      <c r="H216" s="771" t="s">
        <v>6159</v>
      </c>
      <c r="I216" s="771">
        <v>3</v>
      </c>
      <c r="K216" s="771" t="s">
        <v>6118</v>
      </c>
      <c r="L216" s="771">
        <v>2</v>
      </c>
      <c r="P216" s="771" t="s">
        <v>6160</v>
      </c>
      <c r="Q216" s="771">
        <v>4</v>
      </c>
    </row>
    <row r="217" spans="2:17">
      <c r="B217" s="771" t="s">
        <v>6161</v>
      </c>
      <c r="C217" s="771">
        <v>8</v>
      </c>
      <c r="D217" s="466"/>
      <c r="F217" s="466"/>
      <c r="G217" s="465"/>
      <c r="H217" s="771" t="s">
        <v>6162</v>
      </c>
      <c r="I217" s="771">
        <v>3</v>
      </c>
      <c r="K217" s="771" t="s">
        <v>6122</v>
      </c>
      <c r="L217" s="771">
        <v>4</v>
      </c>
      <c r="P217" s="771" t="s">
        <v>5945</v>
      </c>
      <c r="Q217" s="771">
        <v>3</v>
      </c>
    </row>
    <row r="218" spans="2:17">
      <c r="B218" s="771" t="s">
        <v>6163</v>
      </c>
      <c r="C218" s="771">
        <v>8</v>
      </c>
      <c r="D218" s="466"/>
      <c r="F218" s="466"/>
      <c r="H218" s="771" t="s">
        <v>6164</v>
      </c>
      <c r="I218" s="771">
        <v>3</v>
      </c>
      <c r="K218" s="771" t="s">
        <v>6063</v>
      </c>
      <c r="L218" s="771">
        <v>2</v>
      </c>
      <c r="P218" s="771" t="s">
        <v>5947</v>
      </c>
      <c r="Q218" s="771">
        <v>1</v>
      </c>
    </row>
    <row r="219" spans="2:17">
      <c r="B219" s="771" t="s">
        <v>6165</v>
      </c>
      <c r="C219" s="771">
        <v>8</v>
      </c>
      <c r="D219" s="466"/>
      <c r="F219" s="466"/>
      <c r="H219" s="771" t="s">
        <v>6166</v>
      </c>
      <c r="I219" s="771">
        <v>5</v>
      </c>
      <c r="K219" s="771" t="s">
        <v>6126</v>
      </c>
      <c r="L219" s="771">
        <v>4</v>
      </c>
      <c r="P219" s="771" t="s">
        <v>5949</v>
      </c>
      <c r="Q219" s="771">
        <v>2</v>
      </c>
    </row>
    <row r="220" spans="2:17">
      <c r="B220" s="771" t="s">
        <v>6167</v>
      </c>
      <c r="C220" s="771">
        <v>8</v>
      </c>
      <c r="D220" s="466"/>
      <c r="F220" s="466"/>
      <c r="H220" s="771" t="s">
        <v>6168</v>
      </c>
      <c r="I220" s="771">
        <v>5</v>
      </c>
      <c r="K220" s="771" t="s">
        <v>6131</v>
      </c>
      <c r="L220" s="771">
        <v>4</v>
      </c>
      <c r="P220" s="771" t="s">
        <v>5951</v>
      </c>
      <c r="Q220" s="771">
        <v>4</v>
      </c>
    </row>
    <row r="221" spans="2:17">
      <c r="B221" s="771" t="s">
        <v>6169</v>
      </c>
      <c r="C221" s="771">
        <v>8</v>
      </c>
      <c r="D221" s="466"/>
      <c r="F221" s="466"/>
      <c r="H221" s="771" t="s">
        <v>6170</v>
      </c>
      <c r="I221" s="771">
        <v>5</v>
      </c>
      <c r="K221" s="771" t="s">
        <v>6138</v>
      </c>
      <c r="L221" s="771">
        <v>2</v>
      </c>
      <c r="P221" s="771" t="s">
        <v>5955</v>
      </c>
      <c r="Q221" s="771">
        <v>4</v>
      </c>
    </row>
    <row r="222" spans="2:17">
      <c r="B222" s="771" t="s">
        <v>6171</v>
      </c>
      <c r="C222" s="771">
        <v>8</v>
      </c>
      <c r="D222" s="466"/>
      <c r="F222" s="466"/>
      <c r="H222" s="771" t="s">
        <v>6172</v>
      </c>
      <c r="I222" s="771">
        <v>1</v>
      </c>
      <c r="K222" s="771" t="s">
        <v>6173</v>
      </c>
      <c r="L222" s="771">
        <v>4</v>
      </c>
      <c r="P222" s="771" t="s">
        <v>5959</v>
      </c>
      <c r="Q222" s="771">
        <v>4</v>
      </c>
    </row>
    <row r="223" spans="2:17">
      <c r="B223" s="771" t="s">
        <v>6174</v>
      </c>
      <c r="C223" s="771">
        <v>10</v>
      </c>
      <c r="D223" s="466"/>
      <c r="F223" s="466"/>
      <c r="H223" s="771" t="s">
        <v>6175</v>
      </c>
      <c r="I223" s="771">
        <v>3</v>
      </c>
      <c r="K223" s="771" t="s">
        <v>6140</v>
      </c>
      <c r="L223" s="771">
        <v>4</v>
      </c>
      <c r="P223" s="771" t="s">
        <v>5961</v>
      </c>
      <c r="Q223" s="771">
        <v>4</v>
      </c>
    </row>
    <row r="224" spans="2:17">
      <c r="B224" s="771" t="s">
        <v>6176</v>
      </c>
      <c r="C224" s="771">
        <v>8</v>
      </c>
      <c r="D224" s="466"/>
      <c r="F224" s="466"/>
      <c r="H224" s="771" t="s">
        <v>6177</v>
      </c>
      <c r="I224" s="771">
        <v>5</v>
      </c>
      <c r="K224" s="771" t="s">
        <v>6143</v>
      </c>
      <c r="L224" s="771">
        <v>2</v>
      </c>
      <c r="P224" s="771" t="s">
        <v>5993</v>
      </c>
      <c r="Q224" s="771">
        <v>3</v>
      </c>
    </row>
    <row r="225" spans="2:17">
      <c r="B225" s="771" t="s">
        <v>6178</v>
      </c>
      <c r="C225" s="771">
        <v>8</v>
      </c>
      <c r="D225" s="466"/>
      <c r="F225" s="466"/>
      <c r="H225" s="771" t="s">
        <v>6179</v>
      </c>
      <c r="I225" s="771">
        <v>3</v>
      </c>
      <c r="K225" s="771" t="s">
        <v>6146</v>
      </c>
      <c r="L225" s="771">
        <v>1</v>
      </c>
      <c r="P225" s="771" t="s">
        <v>5963</v>
      </c>
      <c r="Q225" s="771">
        <v>2</v>
      </c>
    </row>
    <row r="226" spans="2:17">
      <c r="B226" s="771" t="s">
        <v>6180</v>
      </c>
      <c r="C226" s="771">
        <v>8</v>
      </c>
      <c r="D226" s="466"/>
      <c r="F226" s="466"/>
      <c r="H226" s="771" t="s">
        <v>6181</v>
      </c>
      <c r="I226" s="771">
        <v>1</v>
      </c>
      <c r="K226" s="771" t="s">
        <v>6148</v>
      </c>
      <c r="L226" s="771">
        <v>3</v>
      </c>
      <c r="P226" s="771" t="s">
        <v>5968</v>
      </c>
      <c r="Q226" s="771">
        <v>4</v>
      </c>
    </row>
    <row r="227" spans="2:17">
      <c r="B227" s="771" t="s">
        <v>6182</v>
      </c>
      <c r="C227" s="771">
        <v>8</v>
      </c>
      <c r="D227" s="466"/>
      <c r="F227" s="466"/>
      <c r="H227" s="771" t="s">
        <v>6183</v>
      </c>
      <c r="I227" s="771">
        <v>5</v>
      </c>
      <c r="K227" s="771" t="s">
        <v>6184</v>
      </c>
      <c r="L227" s="771">
        <v>3</v>
      </c>
      <c r="P227" s="771" t="s">
        <v>5974</v>
      </c>
      <c r="Q227" s="771">
        <v>4</v>
      </c>
    </row>
    <row r="228" spans="2:17">
      <c r="B228" s="771" t="s">
        <v>6185</v>
      </c>
      <c r="C228" s="771">
        <v>8</v>
      </c>
      <c r="D228" s="466"/>
      <c r="F228" s="466"/>
      <c r="H228" s="771" t="s">
        <v>6186</v>
      </c>
      <c r="I228" s="771">
        <v>1</v>
      </c>
      <c r="K228" s="771" t="s">
        <v>6155</v>
      </c>
      <c r="L228" s="771">
        <v>4</v>
      </c>
      <c r="P228" s="771" t="s">
        <v>5976</v>
      </c>
      <c r="Q228" s="771">
        <v>2</v>
      </c>
    </row>
    <row r="229" spans="2:17">
      <c r="B229" s="771" t="s">
        <v>6187</v>
      </c>
      <c r="C229" s="771">
        <v>8</v>
      </c>
      <c r="D229" s="466"/>
      <c r="F229" s="466"/>
      <c r="H229" s="771" t="s">
        <v>6188</v>
      </c>
      <c r="I229" s="771">
        <v>3</v>
      </c>
      <c r="K229" s="771" t="s">
        <v>6161</v>
      </c>
      <c r="L229" s="771">
        <v>2</v>
      </c>
      <c r="P229" s="771" t="s">
        <v>5982</v>
      </c>
      <c r="Q229" s="771">
        <v>4</v>
      </c>
    </row>
    <row r="230" spans="2:17">
      <c r="B230" s="771" t="s">
        <v>6071</v>
      </c>
      <c r="C230" s="771">
        <v>8</v>
      </c>
      <c r="D230" s="466"/>
      <c r="F230" s="466"/>
      <c r="H230" s="771" t="s">
        <v>6189</v>
      </c>
      <c r="I230" s="771">
        <v>1</v>
      </c>
      <c r="K230" s="771" t="s">
        <v>6190</v>
      </c>
      <c r="L230" s="771">
        <v>2</v>
      </c>
      <c r="P230" s="771" t="s">
        <v>5985</v>
      </c>
      <c r="Q230" s="771">
        <v>2</v>
      </c>
    </row>
    <row r="231" spans="2:17">
      <c r="B231" s="771" t="s">
        <v>6073</v>
      </c>
      <c r="C231" s="771">
        <v>8</v>
      </c>
      <c r="D231" s="466"/>
      <c r="F231" s="466"/>
      <c r="H231" s="771" t="s">
        <v>6191</v>
      </c>
      <c r="I231" s="771">
        <v>3</v>
      </c>
      <c r="K231" s="771" t="s">
        <v>6192</v>
      </c>
      <c r="L231" s="771">
        <v>2</v>
      </c>
      <c r="P231" s="771" t="s">
        <v>5989</v>
      </c>
      <c r="Q231" s="771">
        <v>2</v>
      </c>
    </row>
    <row r="232" spans="2:17">
      <c r="B232" s="771" t="s">
        <v>6193</v>
      </c>
      <c r="C232" s="771">
        <v>10</v>
      </c>
      <c r="D232" s="466"/>
      <c r="F232" s="466"/>
      <c r="H232" s="771" t="s">
        <v>6194</v>
      </c>
      <c r="I232" s="771">
        <v>5</v>
      </c>
      <c r="K232" s="771" t="s">
        <v>6195</v>
      </c>
      <c r="L232" s="771">
        <v>2</v>
      </c>
      <c r="P232" s="771" t="s">
        <v>5992</v>
      </c>
      <c r="Q232" s="771">
        <v>4</v>
      </c>
    </row>
    <row r="233" spans="2:17">
      <c r="B233" s="771" t="s">
        <v>6196</v>
      </c>
      <c r="C233" s="771">
        <v>8</v>
      </c>
      <c r="D233" s="466"/>
      <c r="F233" s="466"/>
      <c r="H233" s="771" t="s">
        <v>6197</v>
      </c>
      <c r="I233" s="771">
        <v>5</v>
      </c>
      <c r="K233" s="771" t="s">
        <v>6198</v>
      </c>
      <c r="L233" s="771">
        <v>1</v>
      </c>
      <c r="P233" s="771" t="s">
        <v>6014</v>
      </c>
      <c r="Q233" s="771">
        <v>3</v>
      </c>
    </row>
    <row r="234" spans="2:17">
      <c r="B234" s="771" t="s">
        <v>6199</v>
      </c>
      <c r="C234" s="771">
        <v>8</v>
      </c>
      <c r="D234" s="466"/>
      <c r="F234" s="466"/>
      <c r="H234" s="771" t="s">
        <v>6200</v>
      </c>
      <c r="I234" s="771">
        <v>3</v>
      </c>
      <c r="K234" s="771" t="s">
        <v>6167</v>
      </c>
      <c r="L234" s="771">
        <v>2</v>
      </c>
      <c r="P234" s="771" t="s">
        <v>6201</v>
      </c>
      <c r="Q234" s="771">
        <v>2</v>
      </c>
    </row>
    <row r="235" spans="2:17">
      <c r="B235" s="771" t="s">
        <v>6202</v>
      </c>
      <c r="C235" s="771">
        <v>10</v>
      </c>
      <c r="D235" s="466"/>
      <c r="F235" s="466"/>
      <c r="H235" s="771" t="s">
        <v>6203</v>
      </c>
      <c r="I235" s="771">
        <v>5</v>
      </c>
      <c r="K235" s="771" t="s">
        <v>6204</v>
      </c>
      <c r="L235" s="771">
        <v>2</v>
      </c>
      <c r="P235" s="771" t="s">
        <v>6017</v>
      </c>
      <c r="Q235" s="771">
        <v>4</v>
      </c>
    </row>
    <row r="236" spans="2:17">
      <c r="B236" s="771" t="s">
        <v>6205</v>
      </c>
      <c r="C236" s="771">
        <v>8</v>
      </c>
      <c r="D236" s="466"/>
      <c r="F236" s="466"/>
      <c r="H236" s="771" t="s">
        <v>6206</v>
      </c>
      <c r="I236" s="771">
        <v>1</v>
      </c>
      <c r="K236" s="771" t="s">
        <v>6174</v>
      </c>
      <c r="L236" s="771">
        <v>4</v>
      </c>
      <c r="P236" s="771" t="s">
        <v>6020</v>
      </c>
      <c r="Q236" s="771">
        <v>1</v>
      </c>
    </row>
    <row r="237" spans="2:17">
      <c r="B237" s="771" t="s">
        <v>6079</v>
      </c>
      <c r="C237" s="771">
        <v>8</v>
      </c>
      <c r="D237" s="466"/>
      <c r="F237" s="466"/>
      <c r="H237" s="771" t="s">
        <v>6207</v>
      </c>
      <c r="I237" s="771">
        <v>1</v>
      </c>
      <c r="K237" s="771" t="s">
        <v>6208</v>
      </c>
      <c r="L237" s="771">
        <v>2</v>
      </c>
      <c r="P237" s="771" t="s">
        <v>6023</v>
      </c>
      <c r="Q237" s="771">
        <v>1</v>
      </c>
    </row>
    <row r="238" spans="2:17">
      <c r="B238" s="771" t="s">
        <v>6209</v>
      </c>
      <c r="C238" s="771">
        <v>10</v>
      </c>
      <c r="D238" s="466"/>
      <c r="F238" s="466"/>
      <c r="H238" s="771" t="s">
        <v>6210</v>
      </c>
      <c r="I238" s="771">
        <v>5</v>
      </c>
      <c r="K238" s="771" t="s">
        <v>6178</v>
      </c>
      <c r="L238" s="771">
        <v>2</v>
      </c>
      <c r="P238" s="771" t="s">
        <v>5995</v>
      </c>
      <c r="Q238" s="771">
        <v>4</v>
      </c>
    </row>
    <row r="239" spans="2:17">
      <c r="B239" s="771" t="s">
        <v>6211</v>
      </c>
      <c r="C239" s="771">
        <v>10</v>
      </c>
      <c r="D239" s="466"/>
      <c r="F239" s="466"/>
      <c r="H239" s="771" t="s">
        <v>6212</v>
      </c>
      <c r="I239" s="771">
        <v>5</v>
      </c>
      <c r="K239" s="771" t="s">
        <v>6180</v>
      </c>
      <c r="L239" s="771">
        <v>4</v>
      </c>
      <c r="P239" s="771" t="s">
        <v>5997</v>
      </c>
      <c r="Q239" s="771">
        <v>1</v>
      </c>
    </row>
    <row r="240" spans="2:17">
      <c r="B240" s="771" t="s">
        <v>6083</v>
      </c>
      <c r="C240" s="771">
        <v>10</v>
      </c>
      <c r="D240" s="466"/>
      <c r="F240" s="466"/>
      <c r="H240" s="771" t="s">
        <v>6213</v>
      </c>
      <c r="I240" s="771">
        <v>5</v>
      </c>
      <c r="K240" s="771" t="s">
        <v>6185</v>
      </c>
      <c r="L240" s="771">
        <v>3</v>
      </c>
      <c r="P240" s="771" t="s">
        <v>5999</v>
      </c>
      <c r="Q240" s="771">
        <v>2</v>
      </c>
    </row>
    <row r="241" spans="2:17">
      <c r="B241" s="771" t="s">
        <v>6214</v>
      </c>
      <c r="C241" s="771">
        <v>8</v>
      </c>
      <c r="D241" s="466"/>
      <c r="F241" s="466"/>
      <c r="H241" s="771" t="s">
        <v>6215</v>
      </c>
      <c r="I241" s="771">
        <v>1</v>
      </c>
      <c r="K241" s="771" t="s">
        <v>6216</v>
      </c>
      <c r="L241" s="771">
        <v>2</v>
      </c>
      <c r="P241" s="771" t="s">
        <v>6056</v>
      </c>
      <c r="Q241" s="771">
        <v>2</v>
      </c>
    </row>
    <row r="242" spans="2:17">
      <c r="B242" s="771" t="s">
        <v>6217</v>
      </c>
      <c r="C242" s="771">
        <v>8</v>
      </c>
      <c r="D242" s="466"/>
      <c r="F242" s="466"/>
      <c r="H242" s="771" t="s">
        <v>6218</v>
      </c>
      <c r="I242" s="771">
        <v>3</v>
      </c>
      <c r="K242" s="771" t="s">
        <v>6187</v>
      </c>
      <c r="L242" s="771">
        <v>2</v>
      </c>
      <c r="P242" s="771" t="s">
        <v>6026</v>
      </c>
      <c r="Q242" s="771">
        <v>4</v>
      </c>
    </row>
    <row r="243" spans="2:17">
      <c r="B243" s="771" t="s">
        <v>6219</v>
      </c>
      <c r="C243" s="771">
        <v>8</v>
      </c>
      <c r="D243" s="466"/>
      <c r="F243" s="466"/>
      <c r="H243" s="771" t="s">
        <v>6220</v>
      </c>
      <c r="I243" s="771">
        <v>3</v>
      </c>
      <c r="K243" s="771" t="s">
        <v>6069</v>
      </c>
      <c r="L243" s="771">
        <v>2</v>
      </c>
      <c r="P243" s="771" t="s">
        <v>6221</v>
      </c>
      <c r="Q243" s="771">
        <v>3</v>
      </c>
    </row>
    <row r="244" spans="2:17">
      <c r="B244" s="771" t="s">
        <v>6222</v>
      </c>
      <c r="C244" s="771">
        <v>8</v>
      </c>
      <c r="D244" s="466"/>
      <c r="F244" s="466"/>
      <c r="H244" s="771" t="s">
        <v>6223</v>
      </c>
      <c r="I244" s="771">
        <v>3</v>
      </c>
      <c r="K244" s="771" t="s">
        <v>6071</v>
      </c>
      <c r="L244" s="771">
        <v>4</v>
      </c>
      <c r="P244" s="771" t="s">
        <v>6224</v>
      </c>
      <c r="Q244" s="771">
        <v>4</v>
      </c>
    </row>
    <row r="245" spans="2:17">
      <c r="B245" s="771" t="s">
        <v>6086</v>
      </c>
      <c r="C245" s="771">
        <v>8</v>
      </c>
      <c r="D245" s="466"/>
      <c r="F245" s="466"/>
      <c r="H245" s="771" t="s">
        <v>6225</v>
      </c>
      <c r="I245" s="771">
        <v>3</v>
      </c>
      <c r="K245" s="771" t="s">
        <v>6073</v>
      </c>
      <c r="L245" s="771">
        <v>2</v>
      </c>
      <c r="P245" s="771" t="s">
        <v>6029</v>
      </c>
      <c r="Q245" s="771">
        <v>2</v>
      </c>
    </row>
    <row r="246" spans="2:17">
      <c r="B246" s="771" t="s">
        <v>6226</v>
      </c>
      <c r="C246" s="771">
        <v>8</v>
      </c>
      <c r="D246" s="466"/>
      <c r="F246" s="466"/>
      <c r="H246" s="771" t="s">
        <v>6227</v>
      </c>
      <c r="I246" s="771">
        <v>3</v>
      </c>
      <c r="K246" s="771" t="s">
        <v>6196</v>
      </c>
      <c r="L246" s="771">
        <v>2</v>
      </c>
      <c r="P246" s="771" t="s">
        <v>6032</v>
      </c>
      <c r="Q246" s="771">
        <v>1</v>
      </c>
    </row>
    <row r="247" spans="2:17">
      <c r="B247" s="771" t="s">
        <v>6228</v>
      </c>
      <c r="C247" s="771">
        <v>8</v>
      </c>
      <c r="D247" s="466"/>
      <c r="F247" s="466"/>
      <c r="H247" s="771" t="s">
        <v>6229</v>
      </c>
      <c r="I247" s="771">
        <v>3</v>
      </c>
      <c r="K247" s="771" t="s">
        <v>6199</v>
      </c>
      <c r="L247" s="771">
        <v>2</v>
      </c>
      <c r="P247" s="771" t="s">
        <v>6002</v>
      </c>
      <c r="Q247" s="771">
        <v>1</v>
      </c>
    </row>
    <row r="248" spans="2:17">
      <c r="B248" s="771" t="s">
        <v>6230</v>
      </c>
      <c r="C248" s="771">
        <v>8</v>
      </c>
      <c r="D248" s="466"/>
      <c r="F248" s="466"/>
      <c r="H248" s="771" t="s">
        <v>6231</v>
      </c>
      <c r="I248" s="771">
        <v>5</v>
      </c>
      <c r="K248" s="771" t="s">
        <v>6202</v>
      </c>
      <c r="L248" s="771">
        <v>2</v>
      </c>
      <c r="P248" s="771" t="s">
        <v>6004</v>
      </c>
      <c r="Q248" s="771">
        <v>1</v>
      </c>
    </row>
    <row r="249" spans="2:17">
      <c r="B249" s="771" t="s">
        <v>6232</v>
      </c>
      <c r="C249" s="771">
        <v>8</v>
      </c>
      <c r="D249" s="466"/>
      <c r="F249" s="466"/>
      <c r="H249" s="771" t="s">
        <v>6233</v>
      </c>
      <c r="I249" s="771">
        <v>3</v>
      </c>
      <c r="K249" s="771" t="s">
        <v>6205</v>
      </c>
      <c r="L249" s="771">
        <v>3</v>
      </c>
      <c r="P249" s="771" t="s">
        <v>6038</v>
      </c>
      <c r="Q249" s="771">
        <v>2</v>
      </c>
    </row>
    <row r="250" spans="2:17">
      <c r="B250" s="771" t="s">
        <v>6101</v>
      </c>
      <c r="C250" s="771">
        <v>10</v>
      </c>
      <c r="D250" s="466"/>
      <c r="F250" s="466"/>
      <c r="H250" s="771" t="s">
        <v>6234</v>
      </c>
      <c r="I250" s="771">
        <v>3</v>
      </c>
      <c r="K250" s="771" t="s">
        <v>6076</v>
      </c>
      <c r="L250" s="771">
        <v>4</v>
      </c>
      <c r="P250" s="771" t="s">
        <v>6007</v>
      </c>
      <c r="Q250" s="771">
        <v>2</v>
      </c>
    </row>
    <row r="251" spans="2:17">
      <c r="B251" s="771" t="s">
        <v>6235</v>
      </c>
      <c r="C251" s="771">
        <v>8</v>
      </c>
      <c r="D251" s="466"/>
      <c r="F251" s="466"/>
      <c r="H251" s="771" t="s">
        <v>6236</v>
      </c>
      <c r="I251" s="771">
        <v>5</v>
      </c>
      <c r="K251" s="771" t="s">
        <v>6077</v>
      </c>
      <c r="L251" s="771">
        <v>4</v>
      </c>
      <c r="P251" s="771" t="s">
        <v>6065</v>
      </c>
      <c r="Q251" s="771">
        <v>1</v>
      </c>
    </row>
    <row r="252" spans="2:17">
      <c r="B252" s="771" t="s">
        <v>6237</v>
      </c>
      <c r="C252" s="771">
        <v>8</v>
      </c>
      <c r="D252" s="466"/>
      <c r="F252" s="466"/>
      <c r="H252" s="771" t="s">
        <v>6238</v>
      </c>
      <c r="I252" s="771">
        <v>3</v>
      </c>
      <c r="K252" s="771" t="s">
        <v>6079</v>
      </c>
      <c r="L252" s="771">
        <v>4</v>
      </c>
      <c r="P252" s="771" t="s">
        <v>6011</v>
      </c>
      <c r="Q252" s="771">
        <v>2</v>
      </c>
    </row>
    <row r="253" spans="2:17">
      <c r="B253" s="771" t="s">
        <v>6239</v>
      </c>
      <c r="C253" s="771">
        <v>10</v>
      </c>
      <c r="D253" s="466"/>
      <c r="F253" s="466"/>
      <c r="H253" s="771" t="s">
        <v>6240</v>
      </c>
      <c r="I253" s="771">
        <v>5</v>
      </c>
      <c r="K253" s="771" t="s">
        <v>6211</v>
      </c>
      <c r="L253" s="771">
        <v>2</v>
      </c>
      <c r="P253" s="771" t="s">
        <v>6013</v>
      </c>
      <c r="Q253" s="771">
        <v>1</v>
      </c>
    </row>
    <row r="254" spans="2:17">
      <c r="B254" s="771" t="s">
        <v>6105</v>
      </c>
      <c r="C254" s="771">
        <v>10</v>
      </c>
      <c r="D254" s="466"/>
      <c r="F254" s="466"/>
      <c r="H254" s="771" t="s">
        <v>6241</v>
      </c>
      <c r="I254" s="771">
        <v>3</v>
      </c>
      <c r="K254" s="771" t="s">
        <v>6242</v>
      </c>
      <c r="L254" s="771">
        <v>3</v>
      </c>
      <c r="P254" s="771" t="s">
        <v>6016</v>
      </c>
      <c r="Q254" s="771">
        <v>1</v>
      </c>
    </row>
    <row r="255" spans="2:17">
      <c r="B255" s="771" t="s">
        <v>6107</v>
      </c>
      <c r="C255" s="771">
        <v>10</v>
      </c>
      <c r="D255" s="466"/>
      <c r="F255" s="466"/>
      <c r="H255" s="771" t="s">
        <v>6243</v>
      </c>
      <c r="I255" s="771">
        <v>3</v>
      </c>
      <c r="K255" s="771" t="s">
        <v>6244</v>
      </c>
      <c r="L255" s="771">
        <v>4</v>
      </c>
      <c r="P255" s="771" t="s">
        <v>6047</v>
      </c>
      <c r="Q255" s="771">
        <v>1</v>
      </c>
    </row>
    <row r="256" spans="2:17">
      <c r="B256" s="771" t="s">
        <v>6108</v>
      </c>
      <c r="C256" s="771">
        <v>10</v>
      </c>
      <c r="D256" s="466"/>
      <c r="H256" s="771" t="s">
        <v>6245</v>
      </c>
      <c r="I256" s="771">
        <v>1</v>
      </c>
      <c r="K256" s="771" t="s">
        <v>6083</v>
      </c>
      <c r="L256" s="771">
        <v>1</v>
      </c>
      <c r="P256" s="771" t="s">
        <v>6074</v>
      </c>
      <c r="Q256" s="771">
        <v>4</v>
      </c>
    </row>
    <row r="257" spans="2:17">
      <c r="B257" s="771" t="s">
        <v>6246</v>
      </c>
      <c r="C257" s="771">
        <v>10</v>
      </c>
      <c r="D257" s="466"/>
      <c r="H257" s="771" t="s">
        <v>6247</v>
      </c>
      <c r="I257" s="771">
        <v>5</v>
      </c>
      <c r="K257" s="771" t="s">
        <v>6214</v>
      </c>
      <c r="L257" s="771">
        <v>4</v>
      </c>
      <c r="P257" s="771" t="s">
        <v>6019</v>
      </c>
      <c r="Q257" s="771">
        <v>4</v>
      </c>
    </row>
    <row r="258" spans="2:17">
      <c r="B258" s="771" t="s">
        <v>6248</v>
      </c>
      <c r="C258" s="771">
        <v>10</v>
      </c>
      <c r="D258" s="466"/>
      <c r="H258" s="771" t="s">
        <v>6249</v>
      </c>
      <c r="I258" s="771">
        <v>5</v>
      </c>
      <c r="K258" s="771" t="s">
        <v>6250</v>
      </c>
      <c r="L258" s="771">
        <v>3</v>
      </c>
      <c r="P258" s="771" t="s">
        <v>6022</v>
      </c>
      <c r="Q258" s="771">
        <v>3</v>
      </c>
    </row>
    <row r="259" spans="2:17">
      <c r="B259" s="771" t="s">
        <v>6110</v>
      </c>
      <c r="C259" s="771">
        <v>8</v>
      </c>
      <c r="D259" s="466"/>
      <c r="H259" s="771" t="s">
        <v>6251</v>
      </c>
      <c r="I259" s="771">
        <v>1</v>
      </c>
      <c r="K259" s="771" t="s">
        <v>6217</v>
      </c>
      <c r="L259" s="771">
        <v>3</v>
      </c>
      <c r="P259" s="771" t="s">
        <v>6053</v>
      </c>
      <c r="Q259" s="771">
        <v>1</v>
      </c>
    </row>
    <row r="260" spans="2:17">
      <c r="B260" s="771" t="s">
        <v>6252</v>
      </c>
      <c r="C260" s="771">
        <v>8</v>
      </c>
      <c r="D260" s="466"/>
      <c r="H260" s="771" t="s">
        <v>6253</v>
      </c>
      <c r="I260" s="771">
        <v>3</v>
      </c>
      <c r="K260" s="771" t="s">
        <v>6222</v>
      </c>
      <c r="L260" s="771">
        <v>2</v>
      </c>
      <c r="P260" s="771" t="s">
        <v>6025</v>
      </c>
      <c r="Q260" s="771">
        <v>1</v>
      </c>
    </row>
    <row r="261" spans="2:17">
      <c r="B261" s="771" t="s">
        <v>6113</v>
      </c>
      <c r="C261" s="771">
        <v>8</v>
      </c>
      <c r="D261" s="466"/>
      <c r="H261" s="771" t="s">
        <v>6254</v>
      </c>
      <c r="I261" s="771">
        <v>3</v>
      </c>
      <c r="K261" s="771" t="s">
        <v>6255</v>
      </c>
      <c r="L261" s="771">
        <v>2</v>
      </c>
      <c r="P261" s="771" t="s">
        <v>6080</v>
      </c>
      <c r="Q261" s="771">
        <v>1</v>
      </c>
    </row>
    <row r="262" spans="2:17">
      <c r="B262" s="771" t="s">
        <v>6116</v>
      </c>
      <c r="C262" s="771">
        <v>8</v>
      </c>
      <c r="D262" s="466"/>
      <c r="H262" s="771" t="s">
        <v>6256</v>
      </c>
      <c r="I262" s="771">
        <v>3</v>
      </c>
      <c r="K262" s="771" t="s">
        <v>6086</v>
      </c>
      <c r="L262" s="771">
        <v>2</v>
      </c>
      <c r="P262" s="771" t="s">
        <v>6059</v>
      </c>
      <c r="Q262" s="771">
        <v>4</v>
      </c>
    </row>
    <row r="263" spans="2:17">
      <c r="B263" s="771" t="s">
        <v>6257</v>
      </c>
      <c r="C263" s="771">
        <v>8</v>
      </c>
      <c r="D263" s="466"/>
      <c r="H263" s="771" t="s">
        <v>6258</v>
      </c>
      <c r="I263" s="771">
        <v>3</v>
      </c>
      <c r="K263" s="771" t="s">
        <v>6259</v>
      </c>
      <c r="L263" s="771">
        <v>2</v>
      </c>
      <c r="P263" s="771" t="s">
        <v>6084</v>
      </c>
      <c r="Q263" s="771">
        <v>1</v>
      </c>
    </row>
    <row r="264" spans="2:17">
      <c r="B264" s="771" t="s">
        <v>6119</v>
      </c>
      <c r="C264" s="771">
        <v>10</v>
      </c>
      <c r="D264" s="466"/>
      <c r="H264" s="771" t="s">
        <v>6260</v>
      </c>
      <c r="I264" s="771">
        <v>3</v>
      </c>
      <c r="K264" s="771" t="s">
        <v>6088</v>
      </c>
      <c r="L264" s="771">
        <v>1</v>
      </c>
      <c r="P264" s="771" t="s">
        <v>6089</v>
      </c>
      <c r="Q264" s="771">
        <v>4</v>
      </c>
    </row>
    <row r="265" spans="2:17">
      <c r="B265" s="771" t="s">
        <v>6261</v>
      </c>
      <c r="C265" s="771">
        <v>10</v>
      </c>
      <c r="D265" s="466"/>
      <c r="H265" s="771" t="s">
        <v>6262</v>
      </c>
      <c r="I265" s="771">
        <v>3</v>
      </c>
      <c r="K265" s="771" t="s">
        <v>6263</v>
      </c>
      <c r="L265" s="771">
        <v>2</v>
      </c>
      <c r="P265" s="771" t="s">
        <v>6028</v>
      </c>
      <c r="Q265" s="771">
        <v>1</v>
      </c>
    </row>
    <row r="266" spans="2:17">
      <c r="B266" s="771" t="s">
        <v>6123</v>
      </c>
      <c r="C266" s="771">
        <v>8</v>
      </c>
      <c r="D266" s="466"/>
      <c r="H266" s="771" t="s">
        <v>6264</v>
      </c>
      <c r="I266" s="771">
        <v>1</v>
      </c>
      <c r="K266" s="771" t="s">
        <v>6091</v>
      </c>
      <c r="L266" s="771">
        <v>2</v>
      </c>
      <c r="P266" s="771" t="s">
        <v>6100</v>
      </c>
      <c r="Q266" s="771">
        <v>1</v>
      </c>
    </row>
    <row r="267" spans="2:17">
      <c r="B267" s="771" t="s">
        <v>6127</v>
      </c>
      <c r="C267" s="771">
        <v>8</v>
      </c>
      <c r="D267" s="466"/>
      <c r="H267" s="771" t="s">
        <v>6265</v>
      </c>
      <c r="I267" s="771">
        <v>3</v>
      </c>
      <c r="K267" s="771" t="s">
        <v>6092</v>
      </c>
      <c r="L267" s="771">
        <v>4</v>
      </c>
      <c r="P267" s="771" t="s">
        <v>6072</v>
      </c>
      <c r="Q267" s="771">
        <v>2</v>
      </c>
    </row>
    <row r="268" spans="2:17">
      <c r="B268" s="771" t="s">
        <v>6132</v>
      </c>
      <c r="C268" s="771">
        <v>8</v>
      </c>
      <c r="D268" s="466"/>
      <c r="H268" s="771" t="s">
        <v>6266</v>
      </c>
      <c r="I268" s="771">
        <v>1</v>
      </c>
      <c r="K268" s="771" t="s">
        <v>6093</v>
      </c>
      <c r="L268" s="771">
        <v>2</v>
      </c>
      <c r="P268" s="771" t="s">
        <v>6075</v>
      </c>
      <c r="Q268" s="771">
        <v>1</v>
      </c>
    </row>
    <row r="269" spans="2:17">
      <c r="B269" s="771" t="s">
        <v>6134</v>
      </c>
      <c r="C269" s="771">
        <v>8</v>
      </c>
      <c r="D269" s="466"/>
      <c r="H269" s="771" t="s">
        <v>6267</v>
      </c>
      <c r="I269" s="771">
        <v>1</v>
      </c>
      <c r="K269" s="771" t="s">
        <v>6228</v>
      </c>
      <c r="L269" s="771">
        <v>3</v>
      </c>
      <c r="P269" s="771" t="s">
        <v>6106</v>
      </c>
      <c r="Q269" s="771">
        <v>4</v>
      </c>
    </row>
    <row r="270" spans="2:17">
      <c r="B270" s="771" t="s">
        <v>6268</v>
      </c>
      <c r="C270" s="771">
        <v>8</v>
      </c>
      <c r="D270" s="466"/>
      <c r="H270" s="771" t="s">
        <v>6269</v>
      </c>
      <c r="I270" s="771">
        <v>3</v>
      </c>
      <c r="K270" s="771" t="s">
        <v>6095</v>
      </c>
      <c r="L270" s="771">
        <v>4</v>
      </c>
      <c r="P270" s="771" t="s">
        <v>6036</v>
      </c>
      <c r="Q270" s="771">
        <v>2</v>
      </c>
    </row>
    <row r="271" spans="2:17">
      <c r="B271" s="771" t="s">
        <v>6270</v>
      </c>
      <c r="C271" s="771">
        <v>8</v>
      </c>
      <c r="D271" s="466"/>
      <c r="H271" s="771" t="s">
        <v>6271</v>
      </c>
      <c r="I271" s="771">
        <v>5</v>
      </c>
      <c r="K271" s="771" t="s">
        <v>6232</v>
      </c>
      <c r="L271" s="771">
        <v>4</v>
      </c>
      <c r="P271" s="771" t="s">
        <v>6272</v>
      </c>
      <c r="Q271" s="771">
        <v>3</v>
      </c>
    </row>
    <row r="272" spans="2:17">
      <c r="B272" s="771" t="s">
        <v>6273</v>
      </c>
      <c r="C272" s="771">
        <v>8</v>
      </c>
      <c r="D272" s="466"/>
      <c r="H272" s="771" t="s">
        <v>6274</v>
      </c>
      <c r="I272" s="771">
        <v>5</v>
      </c>
      <c r="K272" s="771" t="s">
        <v>6101</v>
      </c>
      <c r="L272" s="771">
        <v>3</v>
      </c>
      <c r="P272" s="771" t="s">
        <v>6111</v>
      </c>
      <c r="Q272" s="771">
        <v>4</v>
      </c>
    </row>
    <row r="273" spans="2:17">
      <c r="B273" s="771" t="s">
        <v>6275</v>
      </c>
      <c r="C273" s="771">
        <v>8</v>
      </c>
      <c r="D273" s="466"/>
      <c r="H273" s="771" t="s">
        <v>6276</v>
      </c>
      <c r="I273" s="771">
        <v>3</v>
      </c>
      <c r="K273" s="771" t="s">
        <v>6103</v>
      </c>
      <c r="L273" s="771">
        <v>2</v>
      </c>
      <c r="P273" s="771" t="s">
        <v>6114</v>
      </c>
      <c r="Q273" s="771">
        <v>1</v>
      </c>
    </row>
    <row r="274" spans="2:17">
      <c r="B274" s="771" t="s">
        <v>6152</v>
      </c>
      <c r="C274" s="771">
        <v>10</v>
      </c>
      <c r="D274" s="466"/>
      <c r="H274" s="771" t="s">
        <v>6277</v>
      </c>
      <c r="I274" s="771">
        <v>3</v>
      </c>
      <c r="K274" s="771" t="s">
        <v>6278</v>
      </c>
      <c r="L274" s="771">
        <v>4</v>
      </c>
      <c r="P274" s="771" t="s">
        <v>6117</v>
      </c>
      <c r="Q274" s="771">
        <v>4</v>
      </c>
    </row>
    <row r="275" spans="2:17">
      <c r="B275" s="771" t="s">
        <v>6154</v>
      </c>
      <c r="C275" s="771">
        <v>10</v>
      </c>
      <c r="D275" s="466"/>
      <c r="H275" s="771" t="s">
        <v>6279</v>
      </c>
      <c r="I275" s="771">
        <v>5</v>
      </c>
      <c r="K275" s="771" t="s">
        <v>6237</v>
      </c>
      <c r="L275" s="771">
        <v>4</v>
      </c>
      <c r="P275" s="771" t="s">
        <v>6280</v>
      </c>
      <c r="Q275" s="771">
        <v>4</v>
      </c>
    </row>
    <row r="276" spans="2:17">
      <c r="B276" s="771" t="s">
        <v>6156</v>
      </c>
      <c r="C276" s="771">
        <v>8</v>
      </c>
      <c r="D276" s="466"/>
      <c r="H276" s="771" t="s">
        <v>6281</v>
      </c>
      <c r="I276" s="771">
        <v>5</v>
      </c>
      <c r="K276" s="771" t="s">
        <v>6239</v>
      </c>
      <c r="L276" s="771">
        <v>4</v>
      </c>
      <c r="P276" s="771" t="s">
        <v>6078</v>
      </c>
      <c r="Q276" s="771">
        <v>2</v>
      </c>
    </row>
    <row r="277" spans="2:17">
      <c r="B277" s="771" t="s">
        <v>6282</v>
      </c>
      <c r="C277" s="771">
        <v>10</v>
      </c>
      <c r="D277" s="466"/>
      <c r="H277" s="771" t="s">
        <v>6283</v>
      </c>
      <c r="I277" s="771">
        <v>3</v>
      </c>
      <c r="K277" s="771" t="s">
        <v>6105</v>
      </c>
      <c r="L277" s="771">
        <v>4</v>
      </c>
      <c r="P277" s="771" t="s">
        <v>6040</v>
      </c>
      <c r="Q277" s="771">
        <v>4</v>
      </c>
    </row>
    <row r="278" spans="2:17">
      <c r="B278" s="771" t="s">
        <v>6159</v>
      </c>
      <c r="C278" s="771">
        <v>10</v>
      </c>
      <c r="D278" s="466"/>
      <c r="H278" s="771" t="s">
        <v>6284</v>
      </c>
      <c r="I278" s="771">
        <v>1</v>
      </c>
      <c r="K278" s="771" t="s">
        <v>6107</v>
      </c>
      <c r="L278" s="771">
        <v>2</v>
      </c>
      <c r="P278" s="771" t="s">
        <v>6042</v>
      </c>
      <c r="Q278" s="771">
        <v>2</v>
      </c>
    </row>
    <row r="279" spans="2:17">
      <c r="B279" s="771" t="s">
        <v>6285</v>
      </c>
      <c r="C279" s="771">
        <v>8</v>
      </c>
      <c r="D279" s="466"/>
      <c r="H279" s="771" t="s">
        <v>6286</v>
      </c>
      <c r="I279" s="771">
        <v>3</v>
      </c>
      <c r="K279" s="771" t="s">
        <v>6108</v>
      </c>
      <c r="L279" s="771">
        <v>2</v>
      </c>
      <c r="P279" s="771" t="s">
        <v>6082</v>
      </c>
      <c r="Q279" s="771">
        <v>4</v>
      </c>
    </row>
    <row r="280" spans="2:17">
      <c r="B280" s="771" t="s">
        <v>6162</v>
      </c>
      <c r="C280" s="771">
        <v>10</v>
      </c>
      <c r="D280" s="466"/>
      <c r="H280" s="771" t="s">
        <v>6287</v>
      </c>
      <c r="I280" s="771">
        <v>5</v>
      </c>
      <c r="K280" s="771" t="s">
        <v>6246</v>
      </c>
      <c r="L280" s="771">
        <v>4</v>
      </c>
      <c r="P280" s="771" t="s">
        <v>6124</v>
      </c>
      <c r="Q280" s="771">
        <v>4</v>
      </c>
    </row>
    <row r="281" spans="2:17">
      <c r="B281" s="771" t="s">
        <v>6288</v>
      </c>
      <c r="C281" s="771">
        <v>10</v>
      </c>
      <c r="D281" s="466"/>
      <c r="H281" s="771" t="s">
        <v>6289</v>
      </c>
      <c r="I281" s="771">
        <v>5</v>
      </c>
      <c r="K281" s="771" t="s">
        <v>6248</v>
      </c>
      <c r="L281" s="771">
        <v>3</v>
      </c>
      <c r="P281" s="771" t="s">
        <v>6087</v>
      </c>
      <c r="Q281" s="771">
        <v>1</v>
      </c>
    </row>
    <row r="282" spans="2:17">
      <c r="B282" s="771" t="s">
        <v>6290</v>
      </c>
      <c r="C282" s="771">
        <v>8</v>
      </c>
      <c r="D282" s="466"/>
      <c r="H282" s="771" t="s">
        <v>6291</v>
      </c>
      <c r="I282" s="771">
        <v>3</v>
      </c>
      <c r="K282" s="771" t="s">
        <v>6110</v>
      </c>
      <c r="L282" s="771">
        <v>4</v>
      </c>
      <c r="P282" s="771" t="s">
        <v>6044</v>
      </c>
      <c r="Q282" s="771">
        <v>4</v>
      </c>
    </row>
    <row r="283" spans="2:17">
      <c r="B283" s="771" t="s">
        <v>6292</v>
      </c>
      <c r="C283" s="771">
        <v>10</v>
      </c>
      <c r="D283" s="466"/>
      <c r="H283" s="771" t="s">
        <v>6293</v>
      </c>
      <c r="I283" s="771">
        <v>5</v>
      </c>
      <c r="K283" s="771" t="s">
        <v>6252</v>
      </c>
      <c r="L283" s="771">
        <v>2</v>
      </c>
      <c r="P283" s="771" t="s">
        <v>6294</v>
      </c>
      <c r="Q283" s="771">
        <v>2</v>
      </c>
    </row>
    <row r="284" spans="2:17">
      <c r="B284" s="771" t="s">
        <v>6295</v>
      </c>
      <c r="C284" s="771">
        <v>8</v>
      </c>
      <c r="D284" s="466"/>
      <c r="H284" s="771" t="s">
        <v>6296</v>
      </c>
      <c r="I284" s="771">
        <v>3</v>
      </c>
      <c r="K284" s="771" t="s">
        <v>6113</v>
      </c>
      <c r="L284" s="771">
        <v>2</v>
      </c>
      <c r="P284" s="771" t="s">
        <v>6046</v>
      </c>
      <c r="Q284" s="771">
        <v>4</v>
      </c>
    </row>
    <row r="285" spans="2:17">
      <c r="B285" s="771" t="s">
        <v>6172</v>
      </c>
      <c r="C285" s="771">
        <v>8</v>
      </c>
      <c r="D285" s="466"/>
      <c r="H285" s="771" t="s">
        <v>6297</v>
      </c>
      <c r="I285" s="771">
        <v>3</v>
      </c>
      <c r="K285" s="771" t="s">
        <v>6116</v>
      </c>
      <c r="L285" s="771">
        <v>4</v>
      </c>
      <c r="P285" s="771" t="s">
        <v>6094</v>
      </c>
      <c r="Q285" s="771">
        <v>1</v>
      </c>
    </row>
    <row r="286" spans="2:17">
      <c r="B286" s="771" t="s">
        <v>6175</v>
      </c>
      <c r="C286" s="771">
        <v>8</v>
      </c>
      <c r="D286" s="466"/>
      <c r="H286" s="771" t="s">
        <v>6298</v>
      </c>
      <c r="I286" s="771">
        <v>5</v>
      </c>
      <c r="K286" s="771" t="s">
        <v>6257</v>
      </c>
      <c r="L286" s="771">
        <v>2</v>
      </c>
      <c r="P286" s="771" t="s">
        <v>6299</v>
      </c>
      <c r="Q286" s="771">
        <v>4</v>
      </c>
    </row>
    <row r="287" spans="2:17">
      <c r="B287" s="771" t="s">
        <v>6177</v>
      </c>
      <c r="C287" s="771">
        <v>8</v>
      </c>
      <c r="D287" s="466"/>
      <c r="H287" s="771" t="s">
        <v>6300</v>
      </c>
      <c r="I287" s="771">
        <v>3</v>
      </c>
      <c r="K287" s="771" t="s">
        <v>6119</v>
      </c>
      <c r="L287" s="771">
        <v>3</v>
      </c>
      <c r="P287" s="771" t="s">
        <v>6130</v>
      </c>
      <c r="Q287" s="771">
        <v>4</v>
      </c>
    </row>
    <row r="288" spans="2:17">
      <c r="B288" s="771" t="s">
        <v>6301</v>
      </c>
      <c r="C288" s="771">
        <v>8</v>
      </c>
      <c r="D288" s="466"/>
      <c r="H288" s="771" t="s">
        <v>6302</v>
      </c>
      <c r="I288" s="771">
        <v>1</v>
      </c>
      <c r="K288" s="771" t="s">
        <v>6121</v>
      </c>
      <c r="L288" s="771">
        <v>4</v>
      </c>
      <c r="P288" s="771" t="s">
        <v>6050</v>
      </c>
      <c r="Q288" s="771">
        <v>4</v>
      </c>
    </row>
    <row r="289" spans="2:17">
      <c r="B289" s="771" t="s">
        <v>6303</v>
      </c>
      <c r="C289" s="771">
        <v>8</v>
      </c>
      <c r="D289" s="466"/>
      <c r="H289" s="771" t="s">
        <v>6304</v>
      </c>
      <c r="I289" s="771">
        <v>5</v>
      </c>
      <c r="K289" s="771" t="s">
        <v>6261</v>
      </c>
      <c r="L289" s="771">
        <v>2</v>
      </c>
      <c r="P289" s="771" t="s">
        <v>6305</v>
      </c>
      <c r="Q289" s="771">
        <v>4</v>
      </c>
    </row>
    <row r="290" spans="2:17">
      <c r="B290" s="771" t="s">
        <v>6306</v>
      </c>
      <c r="C290" s="771">
        <v>8</v>
      </c>
      <c r="D290" s="466"/>
      <c r="H290" s="771" t="s">
        <v>6307</v>
      </c>
      <c r="I290" s="771">
        <v>3</v>
      </c>
      <c r="K290" s="771" t="s">
        <v>6123</v>
      </c>
      <c r="L290" s="771">
        <v>2</v>
      </c>
      <c r="P290" s="771" t="s">
        <v>6137</v>
      </c>
      <c r="Q290" s="771">
        <v>1</v>
      </c>
    </row>
    <row r="291" spans="2:17">
      <c r="B291" s="771" t="s">
        <v>6308</v>
      </c>
      <c r="C291" s="771">
        <v>10</v>
      </c>
      <c r="D291" s="466"/>
      <c r="H291" s="771" t="s">
        <v>6309</v>
      </c>
      <c r="I291" s="771">
        <v>5</v>
      </c>
      <c r="K291" s="771" t="s">
        <v>6125</v>
      </c>
      <c r="L291" s="771">
        <v>2</v>
      </c>
      <c r="P291" s="771" t="s">
        <v>6054</v>
      </c>
      <c r="Q291" s="771">
        <v>2</v>
      </c>
    </row>
    <row r="292" spans="2:17">
      <c r="B292" s="771" t="s">
        <v>6310</v>
      </c>
      <c r="C292" s="771">
        <v>10</v>
      </c>
      <c r="D292" s="466"/>
      <c r="H292" s="771" t="s">
        <v>6311</v>
      </c>
      <c r="I292" s="771">
        <v>3</v>
      </c>
      <c r="K292" s="771" t="s">
        <v>6129</v>
      </c>
      <c r="L292" s="771">
        <v>4</v>
      </c>
      <c r="P292" s="771" t="s">
        <v>6142</v>
      </c>
      <c r="Q292" s="771">
        <v>4</v>
      </c>
    </row>
    <row r="293" spans="2:17">
      <c r="B293" s="771" t="s">
        <v>6312</v>
      </c>
      <c r="C293" s="771">
        <v>8</v>
      </c>
      <c r="D293" s="466"/>
      <c r="H293" s="771" t="s">
        <v>6313</v>
      </c>
      <c r="I293" s="771">
        <v>5</v>
      </c>
      <c r="K293" s="771" t="s">
        <v>6132</v>
      </c>
      <c r="L293" s="771">
        <v>4</v>
      </c>
      <c r="P293" s="771" t="s">
        <v>6314</v>
      </c>
      <c r="Q293" s="771">
        <v>1</v>
      </c>
    </row>
    <row r="294" spans="2:17">
      <c r="B294" s="771" t="s">
        <v>6315</v>
      </c>
      <c r="C294" s="771">
        <v>8</v>
      </c>
      <c r="D294" s="466"/>
      <c r="H294" s="771" t="s">
        <v>6316</v>
      </c>
      <c r="I294" s="771">
        <v>3</v>
      </c>
      <c r="K294" s="771" t="s">
        <v>6136</v>
      </c>
      <c r="L294" s="771">
        <v>4</v>
      </c>
      <c r="P294" s="771" t="s">
        <v>6145</v>
      </c>
      <c r="Q294" s="771">
        <v>4</v>
      </c>
    </row>
    <row r="295" spans="2:17">
      <c r="B295" s="771" t="s">
        <v>6317</v>
      </c>
      <c r="C295" s="771">
        <v>8</v>
      </c>
      <c r="D295" s="466"/>
      <c r="H295" s="771" t="s">
        <v>6318</v>
      </c>
      <c r="I295" s="771">
        <v>1</v>
      </c>
      <c r="K295" s="771" t="s">
        <v>6141</v>
      </c>
      <c r="L295" s="771">
        <v>4</v>
      </c>
      <c r="P295" s="771" t="s">
        <v>6055</v>
      </c>
      <c r="Q295" s="771">
        <v>4</v>
      </c>
    </row>
    <row r="296" spans="2:17">
      <c r="B296" s="771" t="s">
        <v>6319</v>
      </c>
      <c r="C296" s="771">
        <v>8</v>
      </c>
      <c r="D296" s="466"/>
      <c r="H296" s="771" t="s">
        <v>6320</v>
      </c>
      <c r="I296" s="771">
        <v>5</v>
      </c>
      <c r="K296" s="771" t="s">
        <v>6144</v>
      </c>
      <c r="L296" s="771">
        <v>2</v>
      </c>
      <c r="P296" s="771" t="s">
        <v>6058</v>
      </c>
      <c r="Q296" s="771">
        <v>4</v>
      </c>
    </row>
    <row r="297" spans="2:17">
      <c r="B297" s="771" t="s">
        <v>6321</v>
      </c>
      <c r="C297" s="771">
        <v>10</v>
      </c>
      <c r="D297" s="466"/>
      <c r="H297" s="771" t="s">
        <v>6322</v>
      </c>
      <c r="I297" s="771">
        <v>3</v>
      </c>
      <c r="K297" s="771" t="s">
        <v>6323</v>
      </c>
      <c r="L297" s="771">
        <v>2</v>
      </c>
      <c r="P297" s="771" t="s">
        <v>6060</v>
      </c>
      <c r="Q297" s="771">
        <v>2</v>
      </c>
    </row>
    <row r="298" spans="2:17">
      <c r="B298" s="771" t="s">
        <v>6324</v>
      </c>
      <c r="C298" s="771">
        <v>8</v>
      </c>
      <c r="D298" s="466"/>
      <c r="H298" s="771" t="s">
        <v>6325</v>
      </c>
      <c r="I298" s="771">
        <v>3</v>
      </c>
      <c r="K298" s="771" t="s">
        <v>6326</v>
      </c>
      <c r="L298" s="771">
        <v>2</v>
      </c>
      <c r="P298" s="771" t="s">
        <v>6109</v>
      </c>
      <c r="Q298" s="771">
        <v>4</v>
      </c>
    </row>
    <row r="299" spans="2:17">
      <c r="B299" s="771" t="s">
        <v>6327</v>
      </c>
      <c r="C299" s="771">
        <v>8</v>
      </c>
      <c r="D299" s="466"/>
      <c r="H299" s="771" t="s">
        <v>6328</v>
      </c>
      <c r="I299" s="771">
        <v>1</v>
      </c>
      <c r="K299" s="771" t="s">
        <v>6268</v>
      </c>
      <c r="L299" s="771">
        <v>2</v>
      </c>
      <c r="P299" s="771" t="s">
        <v>6062</v>
      </c>
      <c r="Q299" s="771">
        <v>1</v>
      </c>
    </row>
    <row r="300" spans="2:17">
      <c r="B300" s="771" t="s">
        <v>6329</v>
      </c>
      <c r="C300" s="771">
        <v>10</v>
      </c>
      <c r="D300" s="466"/>
      <c r="H300" s="771" t="s">
        <v>6330</v>
      </c>
      <c r="I300" s="771">
        <v>3</v>
      </c>
      <c r="K300" s="771" t="s">
        <v>6147</v>
      </c>
      <c r="L300" s="771">
        <v>3</v>
      </c>
      <c r="P300" s="771" t="s">
        <v>6112</v>
      </c>
      <c r="Q300" s="771">
        <v>2</v>
      </c>
    </row>
    <row r="301" spans="2:17">
      <c r="B301" s="771" t="s">
        <v>6331</v>
      </c>
      <c r="C301" s="771">
        <v>8</v>
      </c>
      <c r="D301" s="466"/>
      <c r="H301" s="771" t="s">
        <v>6332</v>
      </c>
      <c r="I301" s="771">
        <v>3</v>
      </c>
      <c r="K301" s="771" t="s">
        <v>6273</v>
      </c>
      <c r="L301" s="771">
        <v>2</v>
      </c>
      <c r="P301" s="771" t="s">
        <v>6333</v>
      </c>
      <c r="Q301" s="771">
        <v>4</v>
      </c>
    </row>
    <row r="302" spans="2:17">
      <c r="B302" s="771" t="s">
        <v>6334</v>
      </c>
      <c r="C302" s="771">
        <v>8</v>
      </c>
      <c r="D302" s="466"/>
      <c r="H302" s="771" t="s">
        <v>6335</v>
      </c>
      <c r="I302" s="771">
        <v>1</v>
      </c>
      <c r="K302" s="771" t="s">
        <v>6154</v>
      </c>
      <c r="L302" s="771">
        <v>2</v>
      </c>
      <c r="P302" s="771" t="s">
        <v>6157</v>
      </c>
      <c r="Q302" s="771">
        <v>4</v>
      </c>
    </row>
    <row r="303" spans="2:17">
      <c r="B303" s="771" t="s">
        <v>6336</v>
      </c>
      <c r="C303" s="771">
        <v>10</v>
      </c>
      <c r="D303" s="466"/>
      <c r="H303" s="771" t="s">
        <v>6337</v>
      </c>
      <c r="I303" s="771">
        <v>1</v>
      </c>
      <c r="K303" s="771" t="s">
        <v>6156</v>
      </c>
      <c r="L303" s="771">
        <v>2</v>
      </c>
      <c r="P303" s="771" t="s">
        <v>6115</v>
      </c>
      <c r="Q303" s="771">
        <v>2</v>
      </c>
    </row>
    <row r="304" spans="2:17">
      <c r="B304" s="771" t="s">
        <v>6338</v>
      </c>
      <c r="C304" s="771">
        <v>10</v>
      </c>
      <c r="D304" s="466"/>
      <c r="H304" s="771" t="s">
        <v>6339</v>
      </c>
      <c r="I304" s="771">
        <v>3</v>
      </c>
      <c r="K304" s="771" t="s">
        <v>6282</v>
      </c>
      <c r="L304" s="771">
        <v>2</v>
      </c>
      <c r="P304" s="771" t="s">
        <v>6118</v>
      </c>
      <c r="Q304" s="771">
        <v>2</v>
      </c>
    </row>
    <row r="305" spans="2:17">
      <c r="B305" s="771" t="s">
        <v>6340</v>
      </c>
      <c r="C305" s="771">
        <v>8</v>
      </c>
      <c r="D305" s="466"/>
      <c r="H305" s="771" t="s">
        <v>6341</v>
      </c>
      <c r="I305" s="771">
        <v>3</v>
      </c>
      <c r="K305" s="771" t="s">
        <v>6342</v>
      </c>
      <c r="L305" s="771">
        <v>4</v>
      </c>
      <c r="P305" s="771" t="s">
        <v>6120</v>
      </c>
      <c r="Q305" s="771">
        <v>1</v>
      </c>
    </row>
    <row r="306" spans="2:17">
      <c r="B306" s="771" t="s">
        <v>6343</v>
      </c>
      <c r="C306" s="771">
        <v>10</v>
      </c>
      <c r="D306" s="466"/>
      <c r="H306" s="771" t="s">
        <v>6344</v>
      </c>
      <c r="I306" s="771">
        <v>3</v>
      </c>
      <c r="K306" s="771" t="s">
        <v>6285</v>
      </c>
      <c r="L306" s="771">
        <v>1</v>
      </c>
      <c r="P306" s="771" t="s">
        <v>6122</v>
      </c>
      <c r="Q306" s="771">
        <v>1</v>
      </c>
    </row>
    <row r="307" spans="2:17">
      <c r="B307" s="771" t="s">
        <v>6345</v>
      </c>
      <c r="C307" s="771">
        <v>8</v>
      </c>
      <c r="D307" s="466"/>
      <c r="H307" s="771" t="s">
        <v>6346</v>
      </c>
      <c r="I307" s="771">
        <v>3</v>
      </c>
      <c r="K307" s="771" t="s">
        <v>6292</v>
      </c>
      <c r="L307" s="771">
        <v>4</v>
      </c>
      <c r="P307" s="771" t="s">
        <v>6063</v>
      </c>
      <c r="Q307" s="771">
        <v>1</v>
      </c>
    </row>
    <row r="308" spans="2:17">
      <c r="B308" s="771" t="s">
        <v>6347</v>
      </c>
      <c r="C308" s="771">
        <v>8</v>
      </c>
      <c r="D308" s="466"/>
      <c r="H308" s="771" t="s">
        <v>6348</v>
      </c>
      <c r="I308" s="771">
        <v>3</v>
      </c>
      <c r="K308" s="771" t="s">
        <v>6164</v>
      </c>
      <c r="L308" s="771">
        <v>3</v>
      </c>
      <c r="P308" s="771" t="s">
        <v>6126</v>
      </c>
      <c r="Q308" s="771">
        <v>2</v>
      </c>
    </row>
    <row r="309" spans="2:17">
      <c r="B309" s="771" t="s">
        <v>6349</v>
      </c>
      <c r="C309" s="771">
        <v>8</v>
      </c>
      <c r="D309" s="466"/>
      <c r="H309" s="771" t="s">
        <v>6350</v>
      </c>
      <c r="I309" s="771">
        <v>5</v>
      </c>
      <c r="K309" s="771" t="s">
        <v>6351</v>
      </c>
      <c r="L309" s="771">
        <v>2</v>
      </c>
      <c r="P309" s="771" t="s">
        <v>6128</v>
      </c>
      <c r="Q309" s="771">
        <v>2</v>
      </c>
    </row>
    <row r="310" spans="2:17">
      <c r="B310" s="771" t="s">
        <v>6183</v>
      </c>
      <c r="C310" s="771">
        <v>10</v>
      </c>
      <c r="D310" s="466"/>
      <c r="H310" s="771" t="s">
        <v>6352</v>
      </c>
      <c r="I310" s="771">
        <v>5</v>
      </c>
      <c r="K310" s="771" t="s">
        <v>6295</v>
      </c>
      <c r="L310" s="771">
        <v>2</v>
      </c>
      <c r="P310" s="771" t="s">
        <v>6131</v>
      </c>
      <c r="Q310" s="771">
        <v>2</v>
      </c>
    </row>
    <row r="311" spans="2:17">
      <c r="B311" s="771" t="s">
        <v>6353</v>
      </c>
      <c r="C311" s="771">
        <v>8</v>
      </c>
      <c r="D311" s="466"/>
      <c r="H311" s="771" t="s">
        <v>6354</v>
      </c>
      <c r="I311" s="771">
        <v>5</v>
      </c>
      <c r="K311" s="771" t="s">
        <v>6355</v>
      </c>
      <c r="L311" s="771">
        <v>4</v>
      </c>
      <c r="P311" s="771" t="s">
        <v>6356</v>
      </c>
      <c r="Q311" s="771">
        <v>1</v>
      </c>
    </row>
    <row r="312" spans="2:17">
      <c r="B312" s="771" t="s">
        <v>6186</v>
      </c>
      <c r="C312" s="771">
        <v>10</v>
      </c>
      <c r="D312" s="466"/>
      <c r="H312" s="771" t="s">
        <v>6357</v>
      </c>
      <c r="I312" s="771">
        <v>1</v>
      </c>
      <c r="K312" s="771" t="s">
        <v>6168</v>
      </c>
      <c r="L312" s="771">
        <v>2</v>
      </c>
      <c r="P312" s="771" t="s">
        <v>6358</v>
      </c>
      <c r="Q312" s="771">
        <v>2</v>
      </c>
    </row>
    <row r="313" spans="2:17">
      <c r="B313" s="771" t="s">
        <v>6188</v>
      </c>
      <c r="C313" s="771">
        <v>8</v>
      </c>
      <c r="D313" s="466"/>
      <c r="H313" s="771" t="s">
        <v>6359</v>
      </c>
      <c r="I313" s="771">
        <v>1</v>
      </c>
      <c r="K313" s="771" t="s">
        <v>6172</v>
      </c>
      <c r="L313" s="771">
        <v>4</v>
      </c>
      <c r="P313" s="771" t="s">
        <v>6135</v>
      </c>
      <c r="Q313" s="771">
        <v>1</v>
      </c>
    </row>
    <row r="314" spans="2:17">
      <c r="B314" s="771" t="s">
        <v>6189</v>
      </c>
      <c r="C314" s="771">
        <v>8</v>
      </c>
      <c r="D314" s="466"/>
      <c r="H314" s="771" t="s">
        <v>6360</v>
      </c>
      <c r="I314" s="771">
        <v>1</v>
      </c>
      <c r="K314" s="771" t="s">
        <v>6175</v>
      </c>
      <c r="L314" s="771">
        <v>2</v>
      </c>
      <c r="P314" s="771" t="s">
        <v>6138</v>
      </c>
      <c r="Q314" s="771">
        <v>2</v>
      </c>
    </row>
    <row r="315" spans="2:17">
      <c r="B315" s="771" t="s">
        <v>6191</v>
      </c>
      <c r="C315" s="771">
        <v>10</v>
      </c>
      <c r="D315" s="466"/>
      <c r="H315" s="771" t="s">
        <v>6361</v>
      </c>
      <c r="I315" s="771">
        <v>5</v>
      </c>
      <c r="K315" s="771" t="s">
        <v>6179</v>
      </c>
      <c r="L315" s="771">
        <v>2</v>
      </c>
      <c r="P315" s="771" t="s">
        <v>6362</v>
      </c>
      <c r="Q315" s="771">
        <v>3</v>
      </c>
    </row>
    <row r="316" spans="2:17">
      <c r="B316" s="771" t="s">
        <v>6363</v>
      </c>
      <c r="C316" s="771">
        <v>10</v>
      </c>
      <c r="D316" s="466"/>
      <c r="H316" s="771" t="s">
        <v>6364</v>
      </c>
      <c r="I316" s="771">
        <v>3</v>
      </c>
      <c r="K316" s="771" t="s">
        <v>6365</v>
      </c>
      <c r="L316" s="771">
        <v>4</v>
      </c>
      <c r="P316" s="771" t="s">
        <v>6173</v>
      </c>
      <c r="Q316" s="771">
        <v>2</v>
      </c>
    </row>
    <row r="317" spans="2:17">
      <c r="B317" s="771" t="s">
        <v>6366</v>
      </c>
      <c r="C317" s="771">
        <v>8</v>
      </c>
      <c r="D317" s="466"/>
      <c r="H317" s="771" t="s">
        <v>6367</v>
      </c>
      <c r="I317" s="771">
        <v>3</v>
      </c>
      <c r="K317" s="771" t="s">
        <v>6368</v>
      </c>
      <c r="L317" s="771">
        <v>2</v>
      </c>
      <c r="P317" s="771" t="s">
        <v>6369</v>
      </c>
      <c r="Q317" s="771">
        <v>1</v>
      </c>
    </row>
    <row r="318" spans="2:17">
      <c r="B318" s="771" t="s">
        <v>6370</v>
      </c>
      <c r="C318" s="771">
        <v>10</v>
      </c>
      <c r="D318" s="466"/>
      <c r="H318" s="771" t="s">
        <v>6371</v>
      </c>
      <c r="I318" s="771">
        <v>1</v>
      </c>
      <c r="K318" s="771" t="s">
        <v>6372</v>
      </c>
      <c r="L318" s="771">
        <v>2</v>
      </c>
      <c r="P318" s="771" t="s">
        <v>6140</v>
      </c>
      <c r="Q318" s="771">
        <v>1</v>
      </c>
    </row>
    <row r="319" spans="2:17">
      <c r="B319" s="771" t="s">
        <v>6373</v>
      </c>
      <c r="C319" s="771">
        <v>8</v>
      </c>
      <c r="D319" s="466"/>
      <c r="H319" s="771" t="s">
        <v>6374</v>
      </c>
      <c r="I319" s="771">
        <v>1</v>
      </c>
      <c r="K319" s="771" t="s">
        <v>6303</v>
      </c>
      <c r="L319" s="771">
        <v>4</v>
      </c>
      <c r="P319" s="771" t="s">
        <v>6143</v>
      </c>
      <c r="Q319" s="771">
        <v>1</v>
      </c>
    </row>
    <row r="320" spans="2:17">
      <c r="B320" s="771" t="s">
        <v>6375</v>
      </c>
      <c r="C320" s="771">
        <v>8</v>
      </c>
      <c r="D320" s="466"/>
      <c r="H320" s="771" t="s">
        <v>6376</v>
      </c>
      <c r="I320" s="771">
        <v>1</v>
      </c>
      <c r="K320" s="771" t="s">
        <v>6306</v>
      </c>
      <c r="L320" s="771">
        <v>4</v>
      </c>
      <c r="P320" s="771" t="s">
        <v>6146</v>
      </c>
      <c r="Q320" s="771">
        <v>4</v>
      </c>
    </row>
    <row r="321" spans="2:17">
      <c r="B321" s="771" t="s">
        <v>6377</v>
      </c>
      <c r="C321" s="771">
        <v>8</v>
      </c>
      <c r="D321" s="466"/>
      <c r="H321" s="771" t="s">
        <v>6378</v>
      </c>
      <c r="I321" s="771">
        <v>3</v>
      </c>
      <c r="K321" s="771" t="s">
        <v>6379</v>
      </c>
      <c r="L321" s="771">
        <v>1</v>
      </c>
      <c r="P321" s="771" t="s">
        <v>6184</v>
      </c>
      <c r="Q321" s="771">
        <v>4</v>
      </c>
    </row>
    <row r="322" spans="2:17">
      <c r="B322" s="771" t="s">
        <v>6194</v>
      </c>
      <c r="C322" s="771">
        <v>10</v>
      </c>
      <c r="D322" s="466"/>
      <c r="H322" s="771" t="s">
        <v>6380</v>
      </c>
      <c r="I322" s="771">
        <v>5</v>
      </c>
      <c r="K322" s="771" t="s">
        <v>6310</v>
      </c>
      <c r="L322" s="771">
        <v>2</v>
      </c>
      <c r="P322" s="771" t="s">
        <v>6381</v>
      </c>
      <c r="Q322" s="771">
        <v>2</v>
      </c>
    </row>
    <row r="323" spans="2:17">
      <c r="B323" s="771" t="s">
        <v>6382</v>
      </c>
      <c r="C323" s="771">
        <v>8</v>
      </c>
      <c r="D323" s="466"/>
      <c r="H323" s="771" t="s">
        <v>6383</v>
      </c>
      <c r="I323" s="771">
        <v>1</v>
      </c>
      <c r="K323" s="771" t="s">
        <v>6384</v>
      </c>
      <c r="L323" s="771">
        <v>3</v>
      </c>
      <c r="P323" s="771" t="s">
        <v>6151</v>
      </c>
      <c r="Q323" s="771">
        <v>2</v>
      </c>
    </row>
    <row r="324" spans="2:17">
      <c r="B324" s="771" t="s">
        <v>6197</v>
      </c>
      <c r="C324" s="771">
        <v>8</v>
      </c>
      <c r="D324" s="466"/>
      <c r="H324" s="771" t="s">
        <v>6385</v>
      </c>
      <c r="I324" s="771">
        <v>5</v>
      </c>
      <c r="K324" s="771" t="s">
        <v>6386</v>
      </c>
      <c r="L324" s="771">
        <v>2</v>
      </c>
      <c r="P324" s="771" t="s">
        <v>6153</v>
      </c>
      <c r="Q324" s="771">
        <v>1</v>
      </c>
    </row>
    <row r="325" spans="2:17">
      <c r="B325" s="771" t="s">
        <v>6387</v>
      </c>
      <c r="C325" s="771">
        <v>8</v>
      </c>
      <c r="D325" s="466"/>
      <c r="H325" s="771" t="s">
        <v>6388</v>
      </c>
      <c r="I325" s="771">
        <v>1</v>
      </c>
      <c r="K325" s="771" t="s">
        <v>6312</v>
      </c>
      <c r="L325" s="771">
        <v>2</v>
      </c>
      <c r="P325" s="771" t="s">
        <v>6155</v>
      </c>
      <c r="Q325" s="771">
        <v>1</v>
      </c>
    </row>
    <row r="326" spans="2:17">
      <c r="B326" s="771" t="s">
        <v>6389</v>
      </c>
      <c r="C326" s="771">
        <v>8</v>
      </c>
      <c r="D326" s="466"/>
      <c r="H326" s="771" t="s">
        <v>6390</v>
      </c>
      <c r="I326" s="771">
        <v>1</v>
      </c>
      <c r="K326" s="771" t="s">
        <v>6315</v>
      </c>
      <c r="L326" s="771">
        <v>2</v>
      </c>
      <c r="P326" s="771" t="s">
        <v>6158</v>
      </c>
      <c r="Q326" s="771">
        <v>3</v>
      </c>
    </row>
    <row r="327" spans="2:17">
      <c r="B327" s="771" t="s">
        <v>6391</v>
      </c>
      <c r="C327" s="771">
        <v>8</v>
      </c>
      <c r="D327" s="466"/>
      <c r="H327" s="771" t="s">
        <v>6392</v>
      </c>
      <c r="I327" s="771">
        <v>3</v>
      </c>
      <c r="K327" s="771" t="s">
        <v>6324</v>
      </c>
      <c r="L327" s="771">
        <v>2</v>
      </c>
      <c r="P327" s="771" t="s">
        <v>6161</v>
      </c>
      <c r="Q327" s="771">
        <v>1</v>
      </c>
    </row>
    <row r="328" spans="2:17">
      <c r="B328" s="771" t="s">
        <v>6393</v>
      </c>
      <c r="C328" s="771">
        <v>8</v>
      </c>
      <c r="D328" s="466"/>
      <c r="H328" s="771" t="s">
        <v>6394</v>
      </c>
      <c r="I328" s="771">
        <v>1</v>
      </c>
      <c r="K328" s="771" t="s">
        <v>6395</v>
      </c>
      <c r="L328" s="771">
        <v>2</v>
      </c>
      <c r="P328" s="771" t="s">
        <v>6396</v>
      </c>
      <c r="Q328" s="771">
        <v>4</v>
      </c>
    </row>
    <row r="329" spans="2:17">
      <c r="B329" s="771" t="s">
        <v>6210</v>
      </c>
      <c r="C329" s="771">
        <v>8</v>
      </c>
      <c r="D329" s="466"/>
      <c r="H329" s="771" t="s">
        <v>6397</v>
      </c>
      <c r="I329" s="771">
        <v>1</v>
      </c>
      <c r="K329" s="771" t="s">
        <v>6398</v>
      </c>
      <c r="L329" s="771">
        <v>4</v>
      </c>
      <c r="P329" s="771" t="s">
        <v>6190</v>
      </c>
      <c r="Q329" s="771">
        <v>4</v>
      </c>
    </row>
    <row r="330" spans="2:17">
      <c r="B330" s="771" t="s">
        <v>6399</v>
      </c>
      <c r="C330" s="771">
        <v>8</v>
      </c>
      <c r="D330" s="466"/>
      <c r="H330" s="771" t="s">
        <v>6400</v>
      </c>
      <c r="I330" s="771">
        <v>5</v>
      </c>
      <c r="K330" s="771" t="s">
        <v>6401</v>
      </c>
      <c r="L330" s="771">
        <v>1</v>
      </c>
      <c r="P330" s="771" t="s">
        <v>6195</v>
      </c>
      <c r="Q330" s="771">
        <v>1</v>
      </c>
    </row>
    <row r="331" spans="2:17">
      <c r="B331" s="771" t="s">
        <v>6402</v>
      </c>
      <c r="C331" s="771">
        <v>8</v>
      </c>
      <c r="D331" s="466"/>
      <c r="H331" s="771" t="s">
        <v>6403</v>
      </c>
      <c r="I331" s="771">
        <v>1</v>
      </c>
      <c r="K331" s="771" t="s">
        <v>6404</v>
      </c>
      <c r="L331" s="771">
        <v>2</v>
      </c>
      <c r="P331" s="771" t="s">
        <v>6405</v>
      </c>
      <c r="Q331" s="771">
        <v>2</v>
      </c>
    </row>
    <row r="332" spans="2:17">
      <c r="B332" s="771" t="s">
        <v>6406</v>
      </c>
      <c r="C332" s="771">
        <v>8</v>
      </c>
      <c r="D332" s="466"/>
      <c r="H332" s="771" t="s">
        <v>6407</v>
      </c>
      <c r="I332" s="771">
        <v>5</v>
      </c>
      <c r="K332" s="771" t="s">
        <v>6329</v>
      </c>
      <c r="L332" s="771">
        <v>4</v>
      </c>
      <c r="P332" s="771" t="s">
        <v>6163</v>
      </c>
      <c r="Q332" s="771">
        <v>2</v>
      </c>
    </row>
    <row r="333" spans="2:17">
      <c r="B333" s="771" t="s">
        <v>6408</v>
      </c>
      <c r="C333" s="771">
        <v>8</v>
      </c>
      <c r="D333" s="466"/>
      <c r="H333" s="771" t="s">
        <v>6409</v>
      </c>
      <c r="I333" s="771">
        <v>1</v>
      </c>
      <c r="K333" s="771" t="s">
        <v>6338</v>
      </c>
      <c r="L333" s="771">
        <v>2</v>
      </c>
      <c r="P333" s="771" t="s">
        <v>6410</v>
      </c>
      <c r="Q333" s="771">
        <v>1</v>
      </c>
    </row>
    <row r="334" spans="2:17">
      <c r="B334" s="771" t="s">
        <v>6411</v>
      </c>
      <c r="C334" s="771">
        <v>8</v>
      </c>
      <c r="D334" s="466"/>
      <c r="H334" s="771" t="s">
        <v>6412</v>
      </c>
      <c r="I334" s="771">
        <v>1</v>
      </c>
      <c r="K334" s="771" t="s">
        <v>6340</v>
      </c>
      <c r="L334" s="771">
        <v>2</v>
      </c>
      <c r="P334" s="771" t="s">
        <v>6198</v>
      </c>
      <c r="Q334" s="771">
        <v>1</v>
      </c>
    </row>
    <row r="335" spans="2:17">
      <c r="B335" s="771" t="s">
        <v>6413</v>
      </c>
      <c r="C335" s="771">
        <v>10</v>
      </c>
      <c r="D335" s="466"/>
      <c r="H335" s="771" t="s">
        <v>6414</v>
      </c>
      <c r="I335" s="771">
        <v>1</v>
      </c>
      <c r="K335" s="771" t="s">
        <v>6343</v>
      </c>
      <c r="L335" s="771">
        <v>2</v>
      </c>
      <c r="P335" s="771" t="s">
        <v>6165</v>
      </c>
      <c r="Q335" s="771">
        <v>2</v>
      </c>
    </row>
    <row r="336" spans="2:17">
      <c r="B336" s="771" t="s">
        <v>6218</v>
      </c>
      <c r="C336" s="771">
        <v>8</v>
      </c>
      <c r="D336" s="466"/>
      <c r="H336" s="771" t="s">
        <v>6415</v>
      </c>
      <c r="I336" s="771">
        <v>3</v>
      </c>
      <c r="K336" s="771" t="s">
        <v>6345</v>
      </c>
      <c r="L336" s="771">
        <v>4</v>
      </c>
      <c r="P336" s="771" t="s">
        <v>6169</v>
      </c>
      <c r="Q336" s="771">
        <v>2</v>
      </c>
    </row>
    <row r="337" spans="2:17">
      <c r="B337" s="771" t="s">
        <v>6416</v>
      </c>
      <c r="C337" s="771">
        <v>8</v>
      </c>
      <c r="D337" s="466"/>
      <c r="H337" s="771" t="s">
        <v>6417</v>
      </c>
      <c r="I337" s="771">
        <v>3</v>
      </c>
      <c r="K337" s="771" t="s">
        <v>6418</v>
      </c>
      <c r="L337" s="771">
        <v>1</v>
      </c>
      <c r="P337" s="771" t="s">
        <v>6171</v>
      </c>
      <c r="Q337" s="771">
        <v>1</v>
      </c>
    </row>
    <row r="338" spans="2:17">
      <c r="B338" s="771" t="s">
        <v>6419</v>
      </c>
      <c r="C338" s="771">
        <v>8</v>
      </c>
      <c r="D338" s="466"/>
      <c r="H338" s="771" t="s">
        <v>6420</v>
      </c>
      <c r="I338" s="771">
        <v>1</v>
      </c>
      <c r="K338" s="771" t="s">
        <v>6421</v>
      </c>
      <c r="L338" s="771">
        <v>4</v>
      </c>
      <c r="P338" s="771" t="s">
        <v>6204</v>
      </c>
      <c r="Q338" s="771">
        <v>1</v>
      </c>
    </row>
    <row r="339" spans="2:17">
      <c r="B339" s="771" t="s">
        <v>6225</v>
      </c>
      <c r="C339" s="771">
        <v>10</v>
      </c>
      <c r="D339" s="466"/>
      <c r="H339" s="771" t="s">
        <v>6422</v>
      </c>
      <c r="I339" s="771">
        <v>3</v>
      </c>
      <c r="K339" s="771" t="s">
        <v>6423</v>
      </c>
      <c r="L339" s="771">
        <v>2</v>
      </c>
      <c r="P339" s="771" t="s">
        <v>6064</v>
      </c>
      <c r="Q339" s="771">
        <v>4</v>
      </c>
    </row>
    <row r="340" spans="2:17">
      <c r="B340" s="771" t="s">
        <v>6227</v>
      </c>
      <c r="C340" s="771">
        <v>10</v>
      </c>
      <c r="D340" s="466"/>
      <c r="H340" s="771" t="s">
        <v>6424</v>
      </c>
      <c r="I340" s="771">
        <v>5</v>
      </c>
      <c r="K340" s="771" t="s">
        <v>6425</v>
      </c>
      <c r="L340" s="771">
        <v>2</v>
      </c>
      <c r="P340" s="771" t="s">
        <v>6174</v>
      </c>
      <c r="Q340" s="771">
        <v>2</v>
      </c>
    </row>
    <row r="341" spans="2:17">
      <c r="B341" s="771" t="s">
        <v>6426</v>
      </c>
      <c r="C341" s="771">
        <v>8</v>
      </c>
      <c r="D341" s="466"/>
      <c r="H341" s="771" t="s">
        <v>6427</v>
      </c>
      <c r="I341" s="771">
        <v>5</v>
      </c>
      <c r="K341" s="771" t="s">
        <v>6188</v>
      </c>
      <c r="L341" s="771">
        <v>4</v>
      </c>
      <c r="P341" s="771" t="s">
        <v>6428</v>
      </c>
      <c r="Q341" s="771">
        <v>2</v>
      </c>
    </row>
    <row r="342" spans="2:17">
      <c r="B342" s="771" t="s">
        <v>6229</v>
      </c>
      <c r="C342" s="771">
        <v>8</v>
      </c>
      <c r="D342" s="466"/>
      <c r="H342" s="771" t="s">
        <v>6429</v>
      </c>
      <c r="I342" s="771">
        <v>3</v>
      </c>
      <c r="K342" s="771" t="s">
        <v>6189</v>
      </c>
      <c r="L342" s="771">
        <v>2</v>
      </c>
      <c r="P342" s="771" t="s">
        <v>6208</v>
      </c>
      <c r="Q342" s="771">
        <v>2</v>
      </c>
    </row>
    <row r="343" spans="2:17">
      <c r="B343" s="771" t="s">
        <v>6231</v>
      </c>
      <c r="C343" s="771">
        <v>10</v>
      </c>
      <c r="D343" s="466"/>
      <c r="H343" s="771" t="s">
        <v>6430</v>
      </c>
      <c r="I343" s="771">
        <v>5</v>
      </c>
      <c r="K343" s="771" t="s">
        <v>6191</v>
      </c>
      <c r="L343" s="771">
        <v>1</v>
      </c>
      <c r="P343" s="771" t="s">
        <v>6431</v>
      </c>
      <c r="Q343" s="771">
        <v>4</v>
      </c>
    </row>
    <row r="344" spans="2:17">
      <c r="B344" s="771" t="s">
        <v>6233</v>
      </c>
      <c r="C344" s="771">
        <v>10</v>
      </c>
      <c r="D344" s="466"/>
      <c r="H344" s="771" t="s">
        <v>6432</v>
      </c>
      <c r="I344" s="771">
        <v>3</v>
      </c>
      <c r="K344" s="771" t="s">
        <v>6433</v>
      </c>
      <c r="L344" s="771">
        <v>2</v>
      </c>
      <c r="P344" s="771" t="s">
        <v>6182</v>
      </c>
      <c r="Q344" s="771">
        <v>1</v>
      </c>
    </row>
    <row r="345" spans="2:17">
      <c r="B345" s="771" t="s">
        <v>6434</v>
      </c>
      <c r="C345" s="771">
        <v>8</v>
      </c>
      <c r="D345" s="466"/>
      <c r="H345" s="771" t="s">
        <v>6435</v>
      </c>
      <c r="I345" s="771">
        <v>5</v>
      </c>
      <c r="K345" s="771" t="s">
        <v>6363</v>
      </c>
      <c r="L345" s="771">
        <v>3</v>
      </c>
      <c r="P345" s="771" t="s">
        <v>6436</v>
      </c>
      <c r="Q345" s="771">
        <v>4</v>
      </c>
    </row>
    <row r="346" spans="2:17">
      <c r="B346" s="771" t="s">
        <v>6234</v>
      </c>
      <c r="C346" s="771">
        <v>10</v>
      </c>
      <c r="D346" s="466"/>
      <c r="H346" s="771" t="s">
        <v>6437</v>
      </c>
      <c r="I346" s="771">
        <v>5</v>
      </c>
      <c r="K346" s="771" t="s">
        <v>6366</v>
      </c>
      <c r="L346" s="771">
        <v>4</v>
      </c>
      <c r="P346" s="771" t="s">
        <v>6067</v>
      </c>
      <c r="Q346" s="771">
        <v>4</v>
      </c>
    </row>
    <row r="347" spans="2:17">
      <c r="B347" s="771" t="s">
        <v>6438</v>
      </c>
      <c r="C347" s="771">
        <v>10</v>
      </c>
      <c r="D347" s="466"/>
      <c r="H347" s="771" t="s">
        <v>6439</v>
      </c>
      <c r="I347" s="771">
        <v>5</v>
      </c>
      <c r="K347" s="771" t="s">
        <v>6370</v>
      </c>
      <c r="L347" s="771">
        <v>2</v>
      </c>
      <c r="P347" s="771" t="s">
        <v>6216</v>
      </c>
      <c r="Q347" s="771">
        <v>3</v>
      </c>
    </row>
    <row r="348" spans="2:17">
      <c r="B348" s="771" t="s">
        <v>6440</v>
      </c>
      <c r="C348" s="771">
        <v>8</v>
      </c>
      <c r="D348" s="466"/>
      <c r="H348" s="771" t="s">
        <v>6441</v>
      </c>
      <c r="I348" s="771">
        <v>5</v>
      </c>
      <c r="K348" s="771" t="s">
        <v>6373</v>
      </c>
      <c r="L348" s="771">
        <v>2</v>
      </c>
      <c r="P348" s="771" t="s">
        <v>6187</v>
      </c>
      <c r="Q348" s="771">
        <v>2</v>
      </c>
    </row>
    <row r="349" spans="2:17">
      <c r="B349" s="771" t="s">
        <v>6238</v>
      </c>
      <c r="C349" s="771">
        <v>8</v>
      </c>
      <c r="D349" s="466"/>
      <c r="H349" s="771" t="s">
        <v>6442</v>
      </c>
      <c r="I349" s="771">
        <v>5</v>
      </c>
      <c r="K349" s="771" t="s">
        <v>6443</v>
      </c>
      <c r="L349" s="771">
        <v>2</v>
      </c>
      <c r="P349" s="771" t="s">
        <v>6069</v>
      </c>
      <c r="Q349" s="771">
        <v>2</v>
      </c>
    </row>
    <row r="350" spans="2:17">
      <c r="B350" s="771" t="s">
        <v>6444</v>
      </c>
      <c r="C350" s="771">
        <v>10</v>
      </c>
      <c r="D350" s="466"/>
      <c r="H350" s="771" t="s">
        <v>6445</v>
      </c>
      <c r="I350" s="771">
        <v>3</v>
      </c>
      <c r="K350" s="771" t="s">
        <v>6377</v>
      </c>
      <c r="L350" s="771">
        <v>2</v>
      </c>
      <c r="P350" s="771" t="s">
        <v>6071</v>
      </c>
      <c r="Q350" s="771">
        <v>4</v>
      </c>
    </row>
    <row r="351" spans="2:17">
      <c r="B351" s="771" t="s">
        <v>6245</v>
      </c>
      <c r="C351" s="771">
        <v>8</v>
      </c>
      <c r="D351" s="466"/>
      <c r="H351" s="771" t="s">
        <v>6446</v>
      </c>
      <c r="I351" s="771">
        <v>1</v>
      </c>
      <c r="K351" s="771" t="s">
        <v>6447</v>
      </c>
      <c r="L351" s="771">
        <v>2</v>
      </c>
      <c r="P351" s="771" t="s">
        <v>6073</v>
      </c>
      <c r="Q351" s="771">
        <v>4</v>
      </c>
    </row>
    <row r="352" spans="2:17">
      <c r="B352" s="771" t="s">
        <v>6249</v>
      </c>
      <c r="C352" s="771">
        <v>8</v>
      </c>
      <c r="D352" s="466"/>
      <c r="H352" s="771" t="s">
        <v>6448</v>
      </c>
      <c r="I352" s="771">
        <v>3</v>
      </c>
      <c r="K352" s="771" t="s">
        <v>6449</v>
      </c>
      <c r="L352" s="771">
        <v>3</v>
      </c>
      <c r="P352" s="771" t="s">
        <v>6199</v>
      </c>
      <c r="Q352" s="771">
        <v>2</v>
      </c>
    </row>
    <row r="353" spans="2:17">
      <c r="B353" s="771" t="s">
        <v>6251</v>
      </c>
      <c r="C353" s="771">
        <v>10</v>
      </c>
      <c r="D353" s="466"/>
      <c r="H353" s="771" t="s">
        <v>6450</v>
      </c>
      <c r="I353" s="771">
        <v>3</v>
      </c>
      <c r="K353" s="771" t="s">
        <v>6382</v>
      </c>
      <c r="L353" s="771">
        <v>4</v>
      </c>
      <c r="P353" s="771" t="s">
        <v>6202</v>
      </c>
      <c r="Q353" s="771">
        <v>1</v>
      </c>
    </row>
    <row r="354" spans="2:17">
      <c r="B354" s="771" t="s">
        <v>6451</v>
      </c>
      <c r="C354" s="771">
        <v>8</v>
      </c>
      <c r="D354" s="466"/>
      <c r="H354" s="771" t="s">
        <v>6452</v>
      </c>
      <c r="I354" s="771">
        <v>5</v>
      </c>
      <c r="K354" s="771" t="s">
        <v>6200</v>
      </c>
      <c r="L354" s="771">
        <v>2</v>
      </c>
      <c r="P354" s="771" t="s">
        <v>6076</v>
      </c>
      <c r="Q354" s="771">
        <v>2</v>
      </c>
    </row>
    <row r="355" spans="2:17">
      <c r="B355" s="771" t="s">
        <v>6453</v>
      </c>
      <c r="C355" s="771">
        <v>8</v>
      </c>
      <c r="D355" s="466"/>
      <c r="H355" s="771" t="s">
        <v>6454</v>
      </c>
      <c r="I355" s="771">
        <v>5</v>
      </c>
      <c r="K355" s="771" t="s">
        <v>6203</v>
      </c>
      <c r="L355" s="771">
        <v>2</v>
      </c>
      <c r="P355" s="771" t="s">
        <v>6077</v>
      </c>
      <c r="Q355" s="771">
        <v>4</v>
      </c>
    </row>
    <row r="356" spans="2:17">
      <c r="B356" s="771" t="s">
        <v>6254</v>
      </c>
      <c r="C356" s="771">
        <v>10</v>
      </c>
      <c r="D356" s="466"/>
      <c r="H356" s="771" t="s">
        <v>6455</v>
      </c>
      <c r="I356" s="771">
        <v>3</v>
      </c>
      <c r="K356" s="771" t="s">
        <v>6456</v>
      </c>
      <c r="L356" s="771">
        <v>4</v>
      </c>
      <c r="P356" s="771" t="s">
        <v>6211</v>
      </c>
      <c r="Q356" s="771">
        <v>4</v>
      </c>
    </row>
    <row r="357" spans="2:17">
      <c r="B357" s="771" t="s">
        <v>6457</v>
      </c>
      <c r="C357" s="771">
        <v>10</v>
      </c>
      <c r="D357" s="466"/>
      <c r="H357" s="771" t="s">
        <v>6458</v>
      </c>
      <c r="I357" s="771">
        <v>5</v>
      </c>
      <c r="K357" s="771" t="s">
        <v>6206</v>
      </c>
      <c r="L357" s="771">
        <v>3</v>
      </c>
      <c r="P357" s="771" t="s">
        <v>6081</v>
      </c>
      <c r="Q357" s="771">
        <v>4</v>
      </c>
    </row>
    <row r="358" spans="2:17">
      <c r="B358" s="771" t="s">
        <v>6459</v>
      </c>
      <c r="C358" s="771">
        <v>10</v>
      </c>
      <c r="D358" s="466"/>
      <c r="H358" s="771" t="s">
        <v>6460</v>
      </c>
      <c r="I358" s="771">
        <v>5</v>
      </c>
      <c r="K358" s="771" t="s">
        <v>6461</v>
      </c>
      <c r="L358" s="771">
        <v>4</v>
      </c>
      <c r="P358" s="771" t="s">
        <v>6242</v>
      </c>
      <c r="Q358" s="771">
        <v>4</v>
      </c>
    </row>
    <row r="359" spans="2:17">
      <c r="B359" s="771" t="s">
        <v>6260</v>
      </c>
      <c r="C359" s="771">
        <v>10</v>
      </c>
      <c r="D359" s="466"/>
      <c r="H359" s="771" t="s">
        <v>6462</v>
      </c>
      <c r="I359" s="771">
        <v>5</v>
      </c>
      <c r="K359" s="771" t="s">
        <v>6463</v>
      </c>
      <c r="L359" s="771">
        <v>2</v>
      </c>
      <c r="P359" s="771" t="s">
        <v>6244</v>
      </c>
      <c r="Q359" s="771">
        <v>4</v>
      </c>
    </row>
    <row r="360" spans="2:17">
      <c r="B360" s="771" t="s">
        <v>6262</v>
      </c>
      <c r="C360" s="771">
        <v>8</v>
      </c>
      <c r="D360" s="466"/>
      <c r="H360" s="771" t="s">
        <v>6464</v>
      </c>
      <c r="I360" s="771">
        <v>3</v>
      </c>
      <c r="K360" s="771" t="s">
        <v>6465</v>
      </c>
      <c r="L360" s="771">
        <v>1</v>
      </c>
      <c r="P360" s="771" t="s">
        <v>6083</v>
      </c>
      <c r="Q360" s="771">
        <v>2</v>
      </c>
    </row>
    <row r="361" spans="2:17">
      <c r="B361" s="771" t="s">
        <v>6264</v>
      </c>
      <c r="C361" s="771">
        <v>8</v>
      </c>
      <c r="D361" s="466"/>
      <c r="H361" s="771" t="s">
        <v>6466</v>
      </c>
      <c r="I361" s="771">
        <v>3</v>
      </c>
      <c r="K361" s="771" t="s">
        <v>6387</v>
      </c>
      <c r="L361" s="771">
        <v>2</v>
      </c>
      <c r="P361" s="771" t="s">
        <v>6214</v>
      </c>
      <c r="Q361" s="771">
        <v>2</v>
      </c>
    </row>
    <row r="362" spans="2:17">
      <c r="B362" s="771" t="s">
        <v>6467</v>
      </c>
      <c r="C362" s="771">
        <v>8</v>
      </c>
      <c r="D362" s="466"/>
      <c r="H362" s="771" t="s">
        <v>6468</v>
      </c>
      <c r="I362" s="771">
        <v>5</v>
      </c>
      <c r="K362" s="771" t="s">
        <v>6389</v>
      </c>
      <c r="L362" s="771">
        <v>2</v>
      </c>
      <c r="P362" s="771" t="s">
        <v>6250</v>
      </c>
      <c r="Q362" s="771">
        <v>1</v>
      </c>
    </row>
    <row r="363" spans="2:17">
      <c r="B363" s="771" t="s">
        <v>6267</v>
      </c>
      <c r="C363" s="771">
        <v>10</v>
      </c>
      <c r="D363" s="466"/>
      <c r="H363" s="771" t="s">
        <v>6469</v>
      </c>
      <c r="I363" s="771">
        <v>5</v>
      </c>
      <c r="K363" s="771" t="s">
        <v>6391</v>
      </c>
      <c r="L363" s="771">
        <v>3</v>
      </c>
      <c r="P363" s="771" t="s">
        <v>6470</v>
      </c>
      <c r="Q363" s="771">
        <v>4</v>
      </c>
    </row>
    <row r="364" spans="2:17">
      <c r="B364" s="771" t="s">
        <v>6269</v>
      </c>
      <c r="C364" s="771">
        <v>10</v>
      </c>
      <c r="D364" s="466"/>
      <c r="H364" s="771" t="s">
        <v>6471</v>
      </c>
      <c r="I364" s="771">
        <v>5</v>
      </c>
      <c r="K364" s="771" t="s">
        <v>6399</v>
      </c>
      <c r="L364" s="771">
        <v>2</v>
      </c>
      <c r="P364" s="771" t="s">
        <v>6472</v>
      </c>
      <c r="Q364" s="771">
        <v>4</v>
      </c>
    </row>
    <row r="365" spans="2:17">
      <c r="B365" s="771" t="s">
        <v>6277</v>
      </c>
      <c r="C365" s="771">
        <v>10</v>
      </c>
      <c r="D365" s="466"/>
      <c r="H365" s="771" t="s">
        <v>6473</v>
      </c>
      <c r="I365" s="771">
        <v>5</v>
      </c>
      <c r="K365" s="771" t="s">
        <v>6474</v>
      </c>
      <c r="L365" s="771">
        <v>2</v>
      </c>
      <c r="P365" s="771" t="s">
        <v>6255</v>
      </c>
      <c r="Q365" s="771">
        <v>2</v>
      </c>
    </row>
    <row r="366" spans="2:17">
      <c r="B366" s="771" t="s">
        <v>6279</v>
      </c>
      <c r="C366" s="771">
        <v>10</v>
      </c>
      <c r="D366" s="466"/>
      <c r="H366" s="771" t="s">
        <v>6475</v>
      </c>
      <c r="I366" s="771">
        <v>1</v>
      </c>
      <c r="K366" s="771" t="s">
        <v>6476</v>
      </c>
      <c r="L366" s="771">
        <v>4</v>
      </c>
      <c r="P366" s="771" t="s">
        <v>6263</v>
      </c>
      <c r="Q366" s="771">
        <v>4</v>
      </c>
    </row>
    <row r="367" spans="2:17">
      <c r="B367" s="771" t="s">
        <v>6281</v>
      </c>
      <c r="C367" s="771">
        <v>10</v>
      </c>
      <c r="D367" s="466"/>
      <c r="H367" s="771" t="s">
        <v>6477</v>
      </c>
      <c r="I367" s="771">
        <v>1</v>
      </c>
      <c r="K367" s="771" t="s">
        <v>6411</v>
      </c>
      <c r="L367" s="771">
        <v>1</v>
      </c>
      <c r="P367" s="771" t="s">
        <v>6091</v>
      </c>
      <c r="Q367" s="771">
        <v>1</v>
      </c>
    </row>
    <row r="368" spans="2:17">
      <c r="B368" s="771" t="s">
        <v>6284</v>
      </c>
      <c r="C368" s="771">
        <v>8</v>
      </c>
      <c r="D368" s="466"/>
      <c r="H368" s="771" t="s">
        <v>6478</v>
      </c>
      <c r="I368" s="771">
        <v>5</v>
      </c>
      <c r="K368" s="771" t="s">
        <v>6479</v>
      </c>
      <c r="L368" s="771">
        <v>3</v>
      </c>
      <c r="P368" s="771" t="s">
        <v>6092</v>
      </c>
      <c r="Q368" s="771">
        <v>2</v>
      </c>
    </row>
    <row r="369" spans="2:17">
      <c r="B369" s="771" t="s">
        <v>6286</v>
      </c>
      <c r="C369" s="771">
        <v>8</v>
      </c>
      <c r="D369" s="466"/>
      <c r="H369" s="771" t="s">
        <v>6480</v>
      </c>
      <c r="I369" s="771">
        <v>3</v>
      </c>
      <c r="K369" s="771" t="s">
        <v>6413</v>
      </c>
      <c r="L369" s="771">
        <v>4</v>
      </c>
      <c r="P369" s="771" t="s">
        <v>6093</v>
      </c>
      <c r="Q369" s="771">
        <v>2</v>
      </c>
    </row>
    <row r="370" spans="2:17">
      <c r="B370" s="771" t="s">
        <v>6289</v>
      </c>
      <c r="C370" s="771">
        <v>10</v>
      </c>
      <c r="D370" s="466"/>
      <c r="H370" s="771" t="s">
        <v>6481</v>
      </c>
      <c r="I370" s="771">
        <v>3</v>
      </c>
      <c r="K370" s="771" t="s">
        <v>6482</v>
      </c>
      <c r="L370" s="771">
        <v>2</v>
      </c>
      <c r="P370" s="771" t="s">
        <v>6228</v>
      </c>
      <c r="Q370" s="771">
        <v>1</v>
      </c>
    </row>
    <row r="371" spans="2:17">
      <c r="B371" s="771" t="s">
        <v>6291</v>
      </c>
      <c r="C371" s="771">
        <v>10</v>
      </c>
      <c r="D371" s="466"/>
      <c r="H371" s="771" t="s">
        <v>6483</v>
      </c>
      <c r="I371" s="771">
        <v>5</v>
      </c>
      <c r="K371" s="771" t="s">
        <v>6213</v>
      </c>
      <c r="L371" s="771">
        <v>2</v>
      </c>
      <c r="P371" s="771" t="s">
        <v>6230</v>
      </c>
      <c r="Q371" s="771">
        <v>1</v>
      </c>
    </row>
    <row r="372" spans="2:17">
      <c r="B372" s="771" t="s">
        <v>6293</v>
      </c>
      <c r="C372" s="771">
        <v>10</v>
      </c>
      <c r="D372" s="466"/>
      <c r="H372" s="771" t="s">
        <v>6484</v>
      </c>
      <c r="I372" s="771">
        <v>5</v>
      </c>
      <c r="K372" s="771" t="s">
        <v>6218</v>
      </c>
      <c r="L372" s="771">
        <v>2</v>
      </c>
      <c r="P372" s="771" t="s">
        <v>6099</v>
      </c>
      <c r="Q372" s="771">
        <v>2</v>
      </c>
    </row>
    <row r="373" spans="2:17">
      <c r="B373" s="771" t="s">
        <v>6296</v>
      </c>
      <c r="C373" s="771">
        <v>10</v>
      </c>
      <c r="D373" s="466"/>
      <c r="H373" s="771" t="s">
        <v>6485</v>
      </c>
      <c r="I373" s="771">
        <v>5</v>
      </c>
      <c r="K373" s="771" t="s">
        <v>6220</v>
      </c>
      <c r="L373" s="771">
        <v>4</v>
      </c>
      <c r="P373" s="771" t="s">
        <v>6101</v>
      </c>
      <c r="Q373" s="771">
        <v>1</v>
      </c>
    </row>
    <row r="374" spans="2:17">
      <c r="B374" s="771" t="s">
        <v>6486</v>
      </c>
      <c r="C374" s="771">
        <v>10</v>
      </c>
      <c r="D374" s="466"/>
      <c r="H374" s="771" t="s">
        <v>6487</v>
      </c>
      <c r="I374" s="771">
        <v>5</v>
      </c>
      <c r="K374" s="771" t="s">
        <v>6225</v>
      </c>
      <c r="L374" s="771">
        <v>2</v>
      </c>
      <c r="P374" s="771" t="s">
        <v>6103</v>
      </c>
      <c r="Q374" s="771">
        <v>1</v>
      </c>
    </row>
    <row r="375" spans="2:17">
      <c r="B375" s="771" t="s">
        <v>6488</v>
      </c>
      <c r="C375" s="771">
        <v>8</v>
      </c>
      <c r="D375" s="466"/>
      <c r="H375" s="771" t="s">
        <v>6489</v>
      </c>
      <c r="I375" s="771">
        <v>5</v>
      </c>
      <c r="K375" s="771" t="s">
        <v>6426</v>
      </c>
      <c r="L375" s="771">
        <v>2</v>
      </c>
      <c r="P375" s="771" t="s">
        <v>6278</v>
      </c>
      <c r="Q375" s="771">
        <v>1</v>
      </c>
    </row>
    <row r="376" spans="2:17">
      <c r="B376" s="771" t="s">
        <v>6300</v>
      </c>
      <c r="C376" s="771">
        <v>10</v>
      </c>
      <c r="D376" s="466"/>
      <c r="H376" s="771" t="s">
        <v>6490</v>
      </c>
      <c r="I376" s="771">
        <v>1</v>
      </c>
      <c r="K376" s="771" t="s">
        <v>6229</v>
      </c>
      <c r="L376" s="771">
        <v>4</v>
      </c>
      <c r="P376" s="771" t="s">
        <v>6235</v>
      </c>
      <c r="Q376" s="771">
        <v>3</v>
      </c>
    </row>
    <row r="377" spans="2:17">
      <c r="B377" s="771" t="s">
        <v>6302</v>
      </c>
      <c r="C377" s="771">
        <v>10</v>
      </c>
      <c r="D377" s="466"/>
      <c r="H377" s="771" t="s">
        <v>6491</v>
      </c>
      <c r="I377" s="771">
        <v>5</v>
      </c>
      <c r="K377" s="771" t="s">
        <v>6438</v>
      </c>
      <c r="L377" s="771">
        <v>3</v>
      </c>
      <c r="P377" s="771" t="s">
        <v>6237</v>
      </c>
      <c r="Q377" s="771">
        <v>2</v>
      </c>
    </row>
    <row r="378" spans="2:17">
      <c r="B378" s="771" t="s">
        <v>6492</v>
      </c>
      <c r="C378" s="771">
        <v>10</v>
      </c>
      <c r="D378" s="466"/>
      <c r="H378" s="771" t="s">
        <v>6493</v>
      </c>
      <c r="I378" s="771">
        <v>5</v>
      </c>
      <c r="K378" s="771" t="s">
        <v>6238</v>
      </c>
      <c r="L378" s="771">
        <v>4</v>
      </c>
      <c r="P378" s="771" t="s">
        <v>6239</v>
      </c>
      <c r="Q378" s="771">
        <v>2</v>
      </c>
    </row>
    <row r="379" spans="2:17">
      <c r="B379" s="771" t="s">
        <v>6494</v>
      </c>
      <c r="C379" s="771">
        <v>10</v>
      </c>
      <c r="D379" s="466"/>
      <c r="H379" s="771" t="s">
        <v>6495</v>
      </c>
      <c r="I379" s="771">
        <v>3</v>
      </c>
      <c r="K379" s="771" t="s">
        <v>6240</v>
      </c>
      <c r="L379" s="771">
        <v>1</v>
      </c>
      <c r="P379" s="771" t="s">
        <v>6105</v>
      </c>
      <c r="Q379" s="771">
        <v>4</v>
      </c>
    </row>
    <row r="380" spans="2:17">
      <c r="B380" s="771" t="s">
        <v>6496</v>
      </c>
      <c r="C380" s="771">
        <v>10</v>
      </c>
      <c r="D380" s="466"/>
      <c r="H380" s="771" t="s">
        <v>6497</v>
      </c>
      <c r="I380" s="771">
        <v>1</v>
      </c>
      <c r="K380" s="771" t="s">
        <v>6498</v>
      </c>
      <c r="L380" s="771">
        <v>3</v>
      </c>
      <c r="P380" s="771" t="s">
        <v>6107</v>
      </c>
      <c r="Q380" s="771">
        <v>4</v>
      </c>
    </row>
    <row r="381" spans="2:17">
      <c r="B381" s="771" t="s">
        <v>6499</v>
      </c>
      <c r="C381" s="771">
        <v>10</v>
      </c>
      <c r="D381" s="466"/>
      <c r="H381" s="771" t="s">
        <v>6500</v>
      </c>
      <c r="I381" s="771">
        <v>5</v>
      </c>
      <c r="K381" s="771" t="s">
        <v>6501</v>
      </c>
      <c r="L381" s="771">
        <v>2</v>
      </c>
      <c r="P381" s="771" t="s">
        <v>6108</v>
      </c>
      <c r="Q381" s="771">
        <v>4</v>
      </c>
    </row>
    <row r="382" spans="2:17">
      <c r="B382" s="771" t="s">
        <v>6502</v>
      </c>
      <c r="C382" s="771">
        <v>10</v>
      </c>
      <c r="D382" s="466"/>
      <c r="H382" s="771" t="s">
        <v>6503</v>
      </c>
      <c r="I382" s="771">
        <v>3</v>
      </c>
      <c r="K382" s="771" t="s">
        <v>6243</v>
      </c>
      <c r="L382" s="771">
        <v>3</v>
      </c>
      <c r="P382" s="771" t="s">
        <v>6248</v>
      </c>
      <c r="Q382" s="771">
        <v>4</v>
      </c>
    </row>
    <row r="383" spans="2:17">
      <c r="B383" s="771" t="s">
        <v>6316</v>
      </c>
      <c r="C383" s="771">
        <v>8</v>
      </c>
      <c r="D383" s="466"/>
      <c r="H383" s="771" t="s">
        <v>6504</v>
      </c>
      <c r="I383" s="771">
        <v>1</v>
      </c>
      <c r="K383" s="771" t="s">
        <v>6247</v>
      </c>
      <c r="L383" s="771">
        <v>3</v>
      </c>
      <c r="P383" s="771" t="s">
        <v>6110</v>
      </c>
      <c r="Q383" s="771">
        <v>1</v>
      </c>
    </row>
    <row r="384" spans="2:17">
      <c r="B384" s="771" t="s">
        <v>6318</v>
      </c>
      <c r="C384" s="771">
        <v>10</v>
      </c>
      <c r="D384" s="466"/>
      <c r="H384" s="771" t="s">
        <v>6505</v>
      </c>
      <c r="I384" s="771">
        <v>3</v>
      </c>
      <c r="K384" s="771" t="s">
        <v>6251</v>
      </c>
      <c r="L384" s="771">
        <v>2</v>
      </c>
      <c r="P384" s="771" t="s">
        <v>6252</v>
      </c>
      <c r="Q384" s="771">
        <v>2</v>
      </c>
    </row>
    <row r="385" spans="2:17">
      <c r="B385" s="771" t="s">
        <v>6506</v>
      </c>
      <c r="C385" s="771">
        <v>10</v>
      </c>
      <c r="D385" s="466"/>
      <c r="H385" s="771" t="s">
        <v>6507</v>
      </c>
      <c r="I385" s="771">
        <v>3</v>
      </c>
      <c r="K385" s="771" t="s">
        <v>6253</v>
      </c>
      <c r="L385" s="771">
        <v>4</v>
      </c>
      <c r="P385" s="771" t="s">
        <v>6113</v>
      </c>
      <c r="Q385" s="771">
        <v>1</v>
      </c>
    </row>
    <row r="386" spans="2:17">
      <c r="B386" s="771" t="s">
        <v>6320</v>
      </c>
      <c r="C386" s="771">
        <v>8</v>
      </c>
      <c r="D386" s="466"/>
      <c r="H386" s="771" t="s">
        <v>6508</v>
      </c>
      <c r="I386" s="771">
        <v>1</v>
      </c>
      <c r="K386" s="771" t="s">
        <v>6451</v>
      </c>
      <c r="L386" s="771">
        <v>2</v>
      </c>
      <c r="P386" s="771" t="s">
        <v>6116</v>
      </c>
      <c r="Q386" s="771">
        <v>3</v>
      </c>
    </row>
    <row r="387" spans="2:17">
      <c r="B387" s="771" t="s">
        <v>6325</v>
      </c>
      <c r="C387" s="771">
        <v>10</v>
      </c>
      <c r="D387" s="466"/>
      <c r="H387" s="771" t="s">
        <v>6509</v>
      </c>
      <c r="I387" s="771">
        <v>3</v>
      </c>
      <c r="K387" s="771" t="s">
        <v>6453</v>
      </c>
      <c r="L387" s="771">
        <v>2</v>
      </c>
      <c r="P387" s="771" t="s">
        <v>6257</v>
      </c>
      <c r="Q387" s="771">
        <v>1</v>
      </c>
    </row>
    <row r="388" spans="2:17">
      <c r="B388" s="771" t="s">
        <v>6510</v>
      </c>
      <c r="C388" s="771">
        <v>8</v>
      </c>
      <c r="D388" s="466"/>
      <c r="H388" s="771" t="s">
        <v>6511</v>
      </c>
      <c r="I388" s="771">
        <v>5</v>
      </c>
      <c r="K388" s="771" t="s">
        <v>6258</v>
      </c>
      <c r="L388" s="771">
        <v>2</v>
      </c>
      <c r="P388" s="771" t="s">
        <v>6121</v>
      </c>
      <c r="Q388" s="771">
        <v>2</v>
      </c>
    </row>
    <row r="389" spans="2:17">
      <c r="B389" s="771" t="s">
        <v>6328</v>
      </c>
      <c r="C389" s="771">
        <v>8</v>
      </c>
      <c r="D389" s="466"/>
      <c r="H389" s="771" t="s">
        <v>6512</v>
      </c>
      <c r="I389" s="771">
        <v>5</v>
      </c>
      <c r="K389" s="771" t="s">
        <v>6262</v>
      </c>
      <c r="L389" s="771">
        <v>4</v>
      </c>
      <c r="P389" s="771" t="s">
        <v>6123</v>
      </c>
      <c r="Q389" s="771">
        <v>1</v>
      </c>
    </row>
    <row r="390" spans="2:17">
      <c r="B390" s="771" t="s">
        <v>6513</v>
      </c>
      <c r="C390" s="771">
        <v>10</v>
      </c>
      <c r="D390" s="466"/>
      <c r="H390" s="771" t="s">
        <v>6514</v>
      </c>
      <c r="I390" s="771">
        <v>5</v>
      </c>
      <c r="K390" s="771" t="s">
        <v>6515</v>
      </c>
      <c r="L390" s="771">
        <v>1</v>
      </c>
      <c r="P390" s="771" t="s">
        <v>6125</v>
      </c>
      <c r="Q390" s="771">
        <v>1</v>
      </c>
    </row>
    <row r="391" spans="2:17">
      <c r="B391" s="771" t="s">
        <v>6516</v>
      </c>
      <c r="C391" s="771">
        <v>10</v>
      </c>
      <c r="D391" s="466"/>
      <c r="H391" s="771" t="s">
        <v>6517</v>
      </c>
      <c r="I391" s="771">
        <v>5</v>
      </c>
      <c r="K391" s="771" t="s">
        <v>6267</v>
      </c>
      <c r="L391" s="771">
        <v>3</v>
      </c>
      <c r="P391" s="771" t="s">
        <v>6129</v>
      </c>
      <c r="Q391" s="771">
        <v>1</v>
      </c>
    </row>
    <row r="392" spans="2:17">
      <c r="B392" s="771" t="s">
        <v>6335</v>
      </c>
      <c r="C392" s="771">
        <v>8</v>
      </c>
      <c r="D392" s="466"/>
      <c r="H392" s="771" t="s">
        <v>6518</v>
      </c>
      <c r="I392" s="771">
        <v>3</v>
      </c>
      <c r="K392" s="771" t="s">
        <v>6269</v>
      </c>
      <c r="L392" s="771">
        <v>4</v>
      </c>
      <c r="P392" s="771" t="s">
        <v>6132</v>
      </c>
      <c r="Q392" s="771">
        <v>4</v>
      </c>
    </row>
    <row r="393" spans="2:17">
      <c r="B393" s="771" t="s">
        <v>6337</v>
      </c>
      <c r="C393" s="771">
        <v>8</v>
      </c>
      <c r="D393" s="466"/>
      <c r="H393" s="771" t="s">
        <v>6519</v>
      </c>
      <c r="I393" s="771">
        <v>3</v>
      </c>
      <c r="K393" s="771" t="s">
        <v>6271</v>
      </c>
      <c r="L393" s="771">
        <v>4</v>
      </c>
      <c r="P393" s="771" t="s">
        <v>6134</v>
      </c>
      <c r="Q393" s="771">
        <v>2</v>
      </c>
    </row>
    <row r="394" spans="2:17">
      <c r="B394" s="771" t="s">
        <v>6339</v>
      </c>
      <c r="C394" s="771">
        <v>8</v>
      </c>
      <c r="D394" s="466"/>
      <c r="H394" s="771" t="s">
        <v>6520</v>
      </c>
      <c r="I394" s="771">
        <v>5</v>
      </c>
      <c r="K394" s="771" t="s">
        <v>6274</v>
      </c>
      <c r="L394" s="771">
        <v>4</v>
      </c>
      <c r="P394" s="771" t="s">
        <v>6139</v>
      </c>
      <c r="Q394" s="771">
        <v>4</v>
      </c>
    </row>
    <row r="395" spans="2:17">
      <c r="B395" s="771" t="s">
        <v>6341</v>
      </c>
      <c r="C395" s="771">
        <v>8</v>
      </c>
      <c r="D395" s="466"/>
      <c r="H395" s="771" t="s">
        <v>6521</v>
      </c>
      <c r="I395" s="771">
        <v>5</v>
      </c>
      <c r="K395" s="771" t="s">
        <v>6276</v>
      </c>
      <c r="L395" s="771">
        <v>2</v>
      </c>
      <c r="P395" s="771" t="s">
        <v>6522</v>
      </c>
      <c r="Q395" s="771">
        <v>2</v>
      </c>
    </row>
    <row r="396" spans="2:17">
      <c r="B396" s="771" t="s">
        <v>6523</v>
      </c>
      <c r="C396" s="771">
        <v>10</v>
      </c>
      <c r="D396" s="466"/>
      <c r="H396" s="771" t="s">
        <v>6524</v>
      </c>
      <c r="I396" s="771">
        <v>5</v>
      </c>
      <c r="K396" s="771" t="s">
        <v>6277</v>
      </c>
      <c r="L396" s="771">
        <v>2</v>
      </c>
      <c r="P396" s="771" t="s">
        <v>6326</v>
      </c>
      <c r="Q396" s="771">
        <v>2</v>
      </c>
    </row>
    <row r="397" spans="2:17">
      <c r="B397" s="771" t="s">
        <v>6525</v>
      </c>
      <c r="C397" s="771">
        <v>10</v>
      </c>
      <c r="D397" s="466"/>
      <c r="H397" s="771" t="s">
        <v>6526</v>
      </c>
      <c r="I397" s="771">
        <v>5</v>
      </c>
      <c r="K397" s="771" t="s">
        <v>6281</v>
      </c>
      <c r="L397" s="771">
        <v>2</v>
      </c>
      <c r="P397" s="771" t="s">
        <v>6268</v>
      </c>
      <c r="Q397" s="771">
        <v>2</v>
      </c>
    </row>
    <row r="398" spans="2:17">
      <c r="B398" s="771" t="s">
        <v>6344</v>
      </c>
      <c r="C398" s="771">
        <v>10</v>
      </c>
      <c r="D398" s="466"/>
      <c r="H398" s="771" t="s">
        <v>6527</v>
      </c>
      <c r="I398" s="771">
        <v>5</v>
      </c>
      <c r="K398" s="771" t="s">
        <v>6283</v>
      </c>
      <c r="L398" s="771">
        <v>2</v>
      </c>
      <c r="P398" s="771" t="s">
        <v>6270</v>
      </c>
      <c r="Q398" s="771">
        <v>3</v>
      </c>
    </row>
    <row r="399" spans="2:17">
      <c r="B399" s="771" t="s">
        <v>6528</v>
      </c>
      <c r="C399" s="771">
        <v>10</v>
      </c>
      <c r="D399" s="466"/>
      <c r="H399" s="771" t="s">
        <v>6529</v>
      </c>
      <c r="I399" s="771">
        <v>5</v>
      </c>
      <c r="K399" s="771" t="s">
        <v>6530</v>
      </c>
      <c r="L399" s="771">
        <v>4</v>
      </c>
      <c r="P399" s="771" t="s">
        <v>6147</v>
      </c>
      <c r="Q399" s="771">
        <v>4</v>
      </c>
    </row>
    <row r="400" spans="2:17">
      <c r="B400" s="771" t="s">
        <v>6346</v>
      </c>
      <c r="C400" s="771">
        <v>8</v>
      </c>
      <c r="D400" s="466"/>
      <c r="H400" s="771" t="s">
        <v>6531</v>
      </c>
      <c r="I400" s="771">
        <v>5</v>
      </c>
      <c r="K400" s="771" t="s">
        <v>6289</v>
      </c>
      <c r="L400" s="771">
        <v>2</v>
      </c>
      <c r="P400" s="771" t="s">
        <v>6149</v>
      </c>
      <c r="Q400" s="771">
        <v>1</v>
      </c>
    </row>
    <row r="401" spans="2:17">
      <c r="B401" s="771" t="s">
        <v>6350</v>
      </c>
      <c r="C401" s="771">
        <v>8</v>
      </c>
      <c r="D401" s="466"/>
      <c r="H401" s="771" t="s">
        <v>6532</v>
      </c>
      <c r="I401" s="771">
        <v>5</v>
      </c>
      <c r="K401" s="771" t="s">
        <v>6291</v>
      </c>
      <c r="L401" s="771">
        <v>1</v>
      </c>
      <c r="P401" s="771" t="s">
        <v>6273</v>
      </c>
      <c r="Q401" s="771">
        <v>1</v>
      </c>
    </row>
    <row r="402" spans="2:17">
      <c r="B402" s="771" t="s">
        <v>6357</v>
      </c>
      <c r="C402" s="771">
        <v>10</v>
      </c>
      <c r="D402" s="466"/>
      <c r="H402" s="771" t="s">
        <v>6533</v>
      </c>
      <c r="I402" s="771">
        <v>1</v>
      </c>
      <c r="K402" s="771" t="s">
        <v>6293</v>
      </c>
      <c r="L402" s="771">
        <v>4</v>
      </c>
      <c r="P402" s="771" t="s">
        <v>6275</v>
      </c>
      <c r="Q402" s="771">
        <v>4</v>
      </c>
    </row>
    <row r="403" spans="2:17">
      <c r="B403" s="771" t="s">
        <v>6364</v>
      </c>
      <c r="C403" s="771">
        <v>10</v>
      </c>
      <c r="D403" s="466"/>
      <c r="H403" s="771" t="s">
        <v>6534</v>
      </c>
      <c r="I403" s="771">
        <v>1</v>
      </c>
      <c r="K403" s="771" t="s">
        <v>6296</v>
      </c>
      <c r="L403" s="771">
        <v>4</v>
      </c>
      <c r="P403" s="771" t="s">
        <v>6152</v>
      </c>
      <c r="Q403" s="771">
        <v>2</v>
      </c>
    </row>
    <row r="404" spans="2:17">
      <c r="B404" s="771" t="s">
        <v>6367</v>
      </c>
      <c r="C404" s="771">
        <v>8</v>
      </c>
      <c r="D404" s="466"/>
      <c r="H404" s="771" t="s">
        <v>6535</v>
      </c>
      <c r="I404" s="771">
        <v>3</v>
      </c>
      <c r="K404" s="771" t="s">
        <v>6536</v>
      </c>
      <c r="L404" s="771">
        <v>4</v>
      </c>
      <c r="P404" s="771" t="s">
        <v>6154</v>
      </c>
      <c r="Q404" s="771">
        <v>1</v>
      </c>
    </row>
    <row r="405" spans="2:17">
      <c r="B405" s="771" t="s">
        <v>6371</v>
      </c>
      <c r="C405" s="771">
        <v>10</v>
      </c>
      <c r="D405" s="466"/>
      <c r="H405" s="771" t="s">
        <v>6537</v>
      </c>
      <c r="I405" s="771">
        <v>5</v>
      </c>
      <c r="K405" s="771" t="s">
        <v>6297</v>
      </c>
      <c r="L405" s="771">
        <v>3</v>
      </c>
      <c r="P405" s="771" t="s">
        <v>6156</v>
      </c>
      <c r="Q405" s="771">
        <v>2</v>
      </c>
    </row>
    <row r="406" spans="2:17">
      <c r="B406" s="771" t="s">
        <v>6374</v>
      </c>
      <c r="C406" s="771">
        <v>10</v>
      </c>
      <c r="D406" s="466"/>
      <c r="H406" s="771" t="s">
        <v>6538</v>
      </c>
      <c r="I406" s="771">
        <v>3</v>
      </c>
      <c r="K406" s="771" t="s">
        <v>6486</v>
      </c>
      <c r="L406" s="771">
        <v>2</v>
      </c>
      <c r="P406" s="771" t="s">
        <v>6282</v>
      </c>
      <c r="Q406" s="771">
        <v>1</v>
      </c>
    </row>
    <row r="407" spans="2:17">
      <c r="B407" s="771" t="s">
        <v>6376</v>
      </c>
      <c r="C407" s="771">
        <v>10</v>
      </c>
      <c r="D407" s="466"/>
      <c r="H407" s="771" t="s">
        <v>6539</v>
      </c>
      <c r="I407" s="771">
        <v>3</v>
      </c>
      <c r="K407" s="771" t="s">
        <v>6300</v>
      </c>
      <c r="L407" s="771">
        <v>4</v>
      </c>
      <c r="P407" s="771" t="s">
        <v>6342</v>
      </c>
      <c r="Q407" s="771">
        <v>3</v>
      </c>
    </row>
    <row r="408" spans="2:17">
      <c r="B408" s="771" t="s">
        <v>6383</v>
      </c>
      <c r="C408" s="771">
        <v>10</v>
      </c>
      <c r="D408" s="466"/>
      <c r="H408" s="771" t="s">
        <v>6540</v>
      </c>
      <c r="I408" s="771">
        <v>1</v>
      </c>
      <c r="K408" s="771" t="s">
        <v>6302</v>
      </c>
      <c r="L408" s="771">
        <v>2</v>
      </c>
      <c r="P408" s="771" t="s">
        <v>6159</v>
      </c>
      <c r="Q408" s="771">
        <v>4</v>
      </c>
    </row>
    <row r="409" spans="2:17">
      <c r="B409" s="771" t="s">
        <v>6388</v>
      </c>
      <c r="C409" s="771">
        <v>8</v>
      </c>
      <c r="D409" s="466"/>
      <c r="H409" s="771" t="s">
        <v>6541</v>
      </c>
      <c r="I409" s="771">
        <v>3</v>
      </c>
      <c r="K409" s="771" t="s">
        <v>6492</v>
      </c>
      <c r="L409" s="771">
        <v>3</v>
      </c>
      <c r="P409" s="771" t="s">
        <v>6285</v>
      </c>
      <c r="Q409" s="771">
        <v>3</v>
      </c>
    </row>
    <row r="410" spans="2:17">
      <c r="B410" s="771" t="s">
        <v>6542</v>
      </c>
      <c r="C410" s="771">
        <v>10</v>
      </c>
      <c r="D410" s="466"/>
      <c r="H410" s="771" t="s">
        <v>6543</v>
      </c>
      <c r="I410" s="771">
        <v>5</v>
      </c>
      <c r="K410" s="771" t="s">
        <v>6494</v>
      </c>
      <c r="L410" s="771">
        <v>4</v>
      </c>
      <c r="P410" s="771" t="s">
        <v>6162</v>
      </c>
      <c r="Q410" s="771">
        <v>2</v>
      </c>
    </row>
    <row r="411" spans="2:17">
      <c r="B411" s="771" t="s">
        <v>6390</v>
      </c>
      <c r="C411" s="771">
        <v>8</v>
      </c>
      <c r="D411" s="466"/>
      <c r="H411" s="771" t="s">
        <v>6544</v>
      </c>
      <c r="I411" s="771">
        <v>1</v>
      </c>
      <c r="K411" s="771" t="s">
        <v>6496</v>
      </c>
      <c r="L411" s="771">
        <v>4</v>
      </c>
      <c r="P411" s="771" t="s">
        <v>6545</v>
      </c>
      <c r="Q411" s="771">
        <v>4</v>
      </c>
    </row>
    <row r="412" spans="2:17">
      <c r="B412" s="771" t="s">
        <v>6392</v>
      </c>
      <c r="C412" s="771">
        <v>10</v>
      </c>
      <c r="D412" s="466"/>
      <c r="H412" s="771" t="s">
        <v>6546</v>
      </c>
      <c r="I412" s="771">
        <v>3</v>
      </c>
      <c r="K412" s="771" t="s">
        <v>6499</v>
      </c>
      <c r="L412" s="771">
        <v>4</v>
      </c>
      <c r="P412" s="771" t="s">
        <v>6290</v>
      </c>
      <c r="Q412" s="771">
        <v>2</v>
      </c>
    </row>
    <row r="413" spans="2:17">
      <c r="B413" s="771" t="s">
        <v>6547</v>
      </c>
      <c r="C413" s="771">
        <v>8</v>
      </c>
      <c r="D413" s="466"/>
      <c r="H413" s="771" t="s">
        <v>6548</v>
      </c>
      <c r="I413" s="771">
        <v>5</v>
      </c>
      <c r="K413" s="771" t="s">
        <v>6549</v>
      </c>
      <c r="L413" s="771">
        <v>2</v>
      </c>
      <c r="P413" s="771" t="s">
        <v>6164</v>
      </c>
      <c r="Q413" s="771">
        <v>3</v>
      </c>
    </row>
    <row r="414" spans="2:17">
      <c r="B414" s="771" t="s">
        <v>6394</v>
      </c>
      <c r="C414" s="771">
        <v>10</v>
      </c>
      <c r="D414" s="466"/>
      <c r="H414" s="771" t="s">
        <v>6550</v>
      </c>
      <c r="I414" s="771">
        <v>5</v>
      </c>
      <c r="K414" s="771" t="s">
        <v>6304</v>
      </c>
      <c r="L414" s="771">
        <v>2</v>
      </c>
      <c r="P414" s="771" t="s">
        <v>6351</v>
      </c>
      <c r="Q414" s="771">
        <v>4</v>
      </c>
    </row>
    <row r="415" spans="2:17">
      <c r="B415" s="771" t="s">
        <v>6397</v>
      </c>
      <c r="C415" s="771">
        <v>10</v>
      </c>
      <c r="D415" s="466"/>
      <c r="H415" s="771" t="s">
        <v>6551</v>
      </c>
      <c r="I415" s="771">
        <v>5</v>
      </c>
      <c r="K415" s="771" t="s">
        <v>6552</v>
      </c>
      <c r="L415" s="771">
        <v>4</v>
      </c>
      <c r="P415" s="771" t="s">
        <v>6295</v>
      </c>
      <c r="Q415" s="771">
        <v>2</v>
      </c>
    </row>
    <row r="416" spans="2:17">
      <c r="B416" s="771" t="s">
        <v>6553</v>
      </c>
      <c r="C416" s="771">
        <v>10</v>
      </c>
      <c r="D416" s="466"/>
      <c r="H416" s="771" t="s">
        <v>6554</v>
      </c>
      <c r="I416" s="771">
        <v>3</v>
      </c>
      <c r="K416" s="771" t="s">
        <v>6307</v>
      </c>
      <c r="L416" s="771">
        <v>4</v>
      </c>
      <c r="P416" s="771" t="s">
        <v>6555</v>
      </c>
      <c r="Q416" s="771">
        <v>4</v>
      </c>
    </row>
    <row r="417" spans="2:17">
      <c r="B417" s="771" t="s">
        <v>6403</v>
      </c>
      <c r="C417" s="771">
        <v>10</v>
      </c>
      <c r="D417" s="466"/>
      <c r="H417" s="771" t="s">
        <v>6556</v>
      </c>
      <c r="I417" s="771">
        <v>5</v>
      </c>
      <c r="K417" s="771" t="s">
        <v>6557</v>
      </c>
      <c r="L417" s="771">
        <v>4</v>
      </c>
      <c r="P417" s="771" t="s">
        <v>6355</v>
      </c>
      <c r="Q417" s="771">
        <v>4</v>
      </c>
    </row>
    <row r="418" spans="2:17">
      <c r="B418" s="771" t="s">
        <v>6414</v>
      </c>
      <c r="C418" s="771">
        <v>10</v>
      </c>
      <c r="D418" s="466"/>
      <c r="H418" s="771" t="s">
        <v>6558</v>
      </c>
      <c r="I418" s="771">
        <v>5</v>
      </c>
      <c r="K418" s="771" t="s">
        <v>6311</v>
      </c>
      <c r="L418" s="771">
        <v>2</v>
      </c>
      <c r="P418" s="771" t="s">
        <v>6166</v>
      </c>
      <c r="Q418" s="771">
        <v>4</v>
      </c>
    </row>
    <row r="419" spans="2:17">
      <c r="B419" s="771" t="s">
        <v>6417</v>
      </c>
      <c r="C419" s="771">
        <v>10</v>
      </c>
      <c r="D419" s="466"/>
      <c r="H419" s="771" t="s">
        <v>6559</v>
      </c>
      <c r="I419" s="771">
        <v>5</v>
      </c>
      <c r="K419" s="771" t="s">
        <v>6502</v>
      </c>
      <c r="L419" s="771">
        <v>2</v>
      </c>
      <c r="P419" s="771" t="s">
        <v>6168</v>
      </c>
      <c r="Q419" s="771">
        <v>1</v>
      </c>
    </row>
    <row r="420" spans="2:17">
      <c r="B420" s="771" t="s">
        <v>6420</v>
      </c>
      <c r="C420" s="771">
        <v>8</v>
      </c>
      <c r="D420" s="466"/>
      <c r="H420" s="771" t="s">
        <v>6560</v>
      </c>
      <c r="I420" s="771">
        <v>5</v>
      </c>
      <c r="K420" s="771" t="s">
        <v>6318</v>
      </c>
      <c r="L420" s="771">
        <v>2</v>
      </c>
      <c r="P420" s="771" t="s">
        <v>6170</v>
      </c>
      <c r="Q420" s="771">
        <v>3</v>
      </c>
    </row>
    <row r="421" spans="2:17">
      <c r="B421" s="771" t="s">
        <v>6561</v>
      </c>
      <c r="C421" s="771">
        <v>10</v>
      </c>
      <c r="D421" s="466"/>
      <c r="H421" s="771" t="s">
        <v>6562</v>
      </c>
      <c r="I421" s="771">
        <v>3</v>
      </c>
      <c r="K421" s="771" t="s">
        <v>6322</v>
      </c>
      <c r="L421" s="771">
        <v>2</v>
      </c>
      <c r="P421" s="771" t="s">
        <v>6175</v>
      </c>
      <c r="Q421" s="771">
        <v>1</v>
      </c>
    </row>
    <row r="422" spans="2:17">
      <c r="B422" s="771" t="s">
        <v>6563</v>
      </c>
      <c r="C422" s="771">
        <v>10</v>
      </c>
      <c r="D422" s="466"/>
      <c r="H422" s="771" t="s">
        <v>6564</v>
      </c>
      <c r="I422" s="771">
        <v>3</v>
      </c>
      <c r="K422" s="771" t="s">
        <v>6510</v>
      </c>
      <c r="L422" s="771">
        <v>4</v>
      </c>
      <c r="P422" s="771" t="s">
        <v>6177</v>
      </c>
      <c r="Q422" s="771">
        <v>1</v>
      </c>
    </row>
    <row r="423" spans="2:17">
      <c r="B423" s="771" t="s">
        <v>6565</v>
      </c>
      <c r="C423" s="771">
        <v>8</v>
      </c>
      <c r="D423" s="466"/>
      <c r="H423" s="771" t="s">
        <v>6566</v>
      </c>
      <c r="I423" s="771">
        <v>5</v>
      </c>
      <c r="K423" s="771" t="s">
        <v>6328</v>
      </c>
      <c r="L423" s="771">
        <v>2</v>
      </c>
      <c r="P423" s="771" t="s">
        <v>6179</v>
      </c>
      <c r="Q423" s="771">
        <v>4</v>
      </c>
    </row>
    <row r="424" spans="2:17">
      <c r="B424" s="771" t="s">
        <v>6422</v>
      </c>
      <c r="C424" s="771">
        <v>10</v>
      </c>
      <c r="D424" s="466"/>
      <c r="H424" s="771" t="s">
        <v>6567</v>
      </c>
      <c r="I424" s="771">
        <v>1</v>
      </c>
      <c r="K424" s="771" t="s">
        <v>6330</v>
      </c>
      <c r="L424" s="771">
        <v>3</v>
      </c>
      <c r="P424" s="771" t="s">
        <v>6365</v>
      </c>
      <c r="Q424" s="771">
        <v>1</v>
      </c>
    </row>
    <row r="425" spans="2:17">
      <c r="B425" s="771" t="s">
        <v>6568</v>
      </c>
      <c r="C425" s="771">
        <v>8</v>
      </c>
      <c r="D425" s="466"/>
      <c r="H425" s="771" t="s">
        <v>6569</v>
      </c>
      <c r="I425" s="771">
        <v>5</v>
      </c>
      <c r="K425" s="771" t="s">
        <v>6570</v>
      </c>
      <c r="L425" s="771">
        <v>2</v>
      </c>
      <c r="P425" s="771" t="s">
        <v>6368</v>
      </c>
      <c r="Q425" s="771">
        <v>2</v>
      </c>
    </row>
    <row r="426" spans="2:17">
      <c r="B426" s="771" t="s">
        <v>6571</v>
      </c>
      <c r="C426" s="771">
        <v>10</v>
      </c>
      <c r="D426" s="466"/>
      <c r="H426" s="771" t="s">
        <v>6572</v>
      </c>
      <c r="I426" s="771">
        <v>5</v>
      </c>
      <c r="K426" s="771" t="s">
        <v>6332</v>
      </c>
      <c r="L426" s="771">
        <v>4</v>
      </c>
      <c r="P426" s="771" t="s">
        <v>6301</v>
      </c>
      <c r="Q426" s="771">
        <v>2</v>
      </c>
    </row>
    <row r="427" spans="2:17">
      <c r="B427" s="771" t="s">
        <v>6446</v>
      </c>
      <c r="C427" s="771">
        <v>10</v>
      </c>
      <c r="D427" s="466"/>
      <c r="H427" s="771" t="s">
        <v>6573</v>
      </c>
      <c r="I427" s="771">
        <v>1</v>
      </c>
      <c r="K427" s="771" t="s">
        <v>6513</v>
      </c>
      <c r="L427" s="771">
        <v>3</v>
      </c>
      <c r="P427" s="771" t="s">
        <v>6372</v>
      </c>
      <c r="Q427" s="771">
        <v>1</v>
      </c>
    </row>
    <row r="428" spans="2:17">
      <c r="B428" s="771" t="s">
        <v>6450</v>
      </c>
      <c r="C428" s="771">
        <v>8</v>
      </c>
      <c r="D428" s="466"/>
      <c r="H428" s="771" t="s">
        <v>6574</v>
      </c>
      <c r="I428" s="771">
        <v>1</v>
      </c>
      <c r="K428" s="771" t="s">
        <v>6575</v>
      </c>
      <c r="L428" s="771">
        <v>2</v>
      </c>
      <c r="P428" s="771" t="s">
        <v>6303</v>
      </c>
      <c r="Q428" s="771">
        <v>2</v>
      </c>
    </row>
    <row r="429" spans="2:17">
      <c r="B429" s="771" t="s">
        <v>6452</v>
      </c>
      <c r="C429" s="771">
        <v>10</v>
      </c>
      <c r="D429" s="466"/>
      <c r="H429" s="771" t="s">
        <v>6576</v>
      </c>
      <c r="I429" s="771">
        <v>5</v>
      </c>
      <c r="K429" s="771" t="s">
        <v>6516</v>
      </c>
      <c r="L429" s="771">
        <v>4</v>
      </c>
      <c r="P429" s="771" t="s">
        <v>6308</v>
      </c>
      <c r="Q429" s="771">
        <v>1</v>
      </c>
    </row>
    <row r="430" spans="2:17">
      <c r="B430" s="771" t="s">
        <v>6455</v>
      </c>
      <c r="C430" s="771">
        <v>10</v>
      </c>
      <c r="D430" s="466"/>
      <c r="H430" s="771" t="s">
        <v>6577</v>
      </c>
      <c r="I430" s="771">
        <v>5</v>
      </c>
      <c r="K430" s="771" t="s">
        <v>6337</v>
      </c>
      <c r="L430" s="771">
        <v>1</v>
      </c>
      <c r="P430" s="771" t="s">
        <v>6310</v>
      </c>
      <c r="Q430" s="771">
        <v>1</v>
      </c>
    </row>
    <row r="431" spans="2:17">
      <c r="B431" s="771" t="s">
        <v>6578</v>
      </c>
      <c r="C431" s="771">
        <v>10</v>
      </c>
      <c r="D431" s="466"/>
      <c r="H431" s="771" t="s">
        <v>6579</v>
      </c>
      <c r="I431" s="771">
        <v>5</v>
      </c>
      <c r="K431" s="771" t="s">
        <v>6580</v>
      </c>
      <c r="L431" s="771">
        <v>2</v>
      </c>
      <c r="P431" s="771" t="s">
        <v>6386</v>
      </c>
      <c r="Q431" s="771">
        <v>4</v>
      </c>
    </row>
    <row r="432" spans="2:17">
      <c r="B432" s="771" t="s">
        <v>6581</v>
      </c>
      <c r="C432" s="771">
        <v>10</v>
      </c>
      <c r="D432" s="466"/>
      <c r="H432" s="771" t="s">
        <v>6582</v>
      </c>
      <c r="I432" s="771">
        <v>1</v>
      </c>
      <c r="K432" s="771" t="s">
        <v>6341</v>
      </c>
      <c r="L432" s="771">
        <v>2</v>
      </c>
      <c r="P432" s="771" t="s">
        <v>6583</v>
      </c>
      <c r="Q432" s="771">
        <v>4</v>
      </c>
    </row>
    <row r="433" spans="2:17">
      <c r="B433" s="771" t="s">
        <v>6477</v>
      </c>
      <c r="C433" s="771">
        <v>10</v>
      </c>
      <c r="D433" s="466"/>
      <c r="H433" s="771" t="s">
        <v>6584</v>
      </c>
      <c r="I433" s="771">
        <v>3</v>
      </c>
      <c r="K433" s="771" t="s">
        <v>6523</v>
      </c>
      <c r="L433" s="771">
        <v>4</v>
      </c>
      <c r="P433" s="771" t="s">
        <v>6585</v>
      </c>
      <c r="Q433" s="771">
        <v>3</v>
      </c>
    </row>
    <row r="434" spans="2:17">
      <c r="B434" s="771" t="s">
        <v>6490</v>
      </c>
      <c r="C434" s="771">
        <v>8</v>
      </c>
      <c r="D434" s="466"/>
      <c r="H434" s="771" t="s">
        <v>6586</v>
      </c>
      <c r="I434" s="771">
        <v>3</v>
      </c>
      <c r="K434" s="771" t="s">
        <v>6344</v>
      </c>
      <c r="L434" s="771">
        <v>3</v>
      </c>
      <c r="P434" s="771" t="s">
        <v>6315</v>
      </c>
      <c r="Q434" s="771">
        <v>1</v>
      </c>
    </row>
    <row r="435" spans="2:17">
      <c r="B435" s="771" t="s">
        <v>6495</v>
      </c>
      <c r="C435" s="771">
        <v>10</v>
      </c>
      <c r="D435" s="466"/>
      <c r="H435" s="771" t="s">
        <v>6587</v>
      </c>
      <c r="I435" s="771">
        <v>3</v>
      </c>
      <c r="K435" s="771" t="s">
        <v>6528</v>
      </c>
      <c r="L435" s="771">
        <v>1</v>
      </c>
      <c r="P435" s="771" t="s">
        <v>6321</v>
      </c>
      <c r="Q435" s="771">
        <v>1</v>
      </c>
    </row>
    <row r="436" spans="2:17">
      <c r="B436" s="771" t="s">
        <v>6497</v>
      </c>
      <c r="C436" s="771">
        <v>10</v>
      </c>
      <c r="D436" s="466"/>
      <c r="H436" s="771" t="s">
        <v>6588</v>
      </c>
      <c r="I436" s="771">
        <v>3</v>
      </c>
      <c r="K436" s="771" t="s">
        <v>6346</v>
      </c>
      <c r="L436" s="771">
        <v>2</v>
      </c>
      <c r="P436" s="771" t="s">
        <v>6324</v>
      </c>
      <c r="Q436" s="771">
        <v>2</v>
      </c>
    </row>
    <row r="437" spans="2:17">
      <c r="B437" s="771" t="s">
        <v>6500</v>
      </c>
      <c r="C437" s="771">
        <v>10</v>
      </c>
      <c r="D437" s="466"/>
      <c r="H437" s="771" t="s">
        <v>6589</v>
      </c>
      <c r="I437" s="771">
        <v>3</v>
      </c>
      <c r="K437" s="771" t="s">
        <v>6348</v>
      </c>
      <c r="L437" s="771">
        <v>4</v>
      </c>
      <c r="P437" s="771" t="s">
        <v>6395</v>
      </c>
      <c r="Q437" s="771">
        <v>1</v>
      </c>
    </row>
    <row r="438" spans="2:17">
      <c r="B438" s="771" t="s">
        <v>6503</v>
      </c>
      <c r="C438" s="771">
        <v>8</v>
      </c>
      <c r="D438" s="466"/>
      <c r="H438" s="771" t="s">
        <v>6590</v>
      </c>
      <c r="I438" s="771">
        <v>1</v>
      </c>
      <c r="K438" s="771" t="s">
        <v>6591</v>
      </c>
      <c r="L438" s="771">
        <v>2</v>
      </c>
      <c r="P438" s="771" t="s">
        <v>6398</v>
      </c>
      <c r="Q438" s="771">
        <v>2</v>
      </c>
    </row>
    <row r="439" spans="2:17">
      <c r="B439" s="771" t="s">
        <v>6504</v>
      </c>
      <c r="C439" s="771">
        <v>8</v>
      </c>
      <c r="D439" s="466"/>
      <c r="H439" s="771" t="s">
        <v>6592</v>
      </c>
      <c r="I439" s="771">
        <v>1</v>
      </c>
      <c r="K439" s="771" t="s">
        <v>6352</v>
      </c>
      <c r="L439" s="771">
        <v>2</v>
      </c>
      <c r="P439" s="771" t="s">
        <v>6401</v>
      </c>
      <c r="Q439" s="771">
        <v>4</v>
      </c>
    </row>
    <row r="440" spans="2:17">
      <c r="B440" s="771" t="s">
        <v>6505</v>
      </c>
      <c r="C440" s="771">
        <v>8</v>
      </c>
      <c r="D440" s="466"/>
      <c r="H440" s="771" t="s">
        <v>6593</v>
      </c>
      <c r="I440" s="771">
        <v>5</v>
      </c>
      <c r="K440" s="771" t="s">
        <v>6354</v>
      </c>
      <c r="L440" s="771">
        <v>4</v>
      </c>
      <c r="P440" s="771" t="s">
        <v>6404</v>
      </c>
      <c r="Q440" s="771">
        <v>3</v>
      </c>
    </row>
    <row r="441" spans="2:17">
      <c r="B441" s="771" t="s">
        <v>6507</v>
      </c>
      <c r="C441" s="771">
        <v>10</v>
      </c>
      <c r="D441" s="466"/>
      <c r="H441" s="771" t="s">
        <v>6594</v>
      </c>
      <c r="I441" s="771">
        <v>5</v>
      </c>
      <c r="K441" s="771" t="s">
        <v>6595</v>
      </c>
      <c r="L441" s="771">
        <v>2</v>
      </c>
      <c r="P441" s="771" t="s">
        <v>6327</v>
      </c>
      <c r="Q441" s="771">
        <v>2</v>
      </c>
    </row>
    <row r="442" spans="2:17">
      <c r="B442" s="771" t="s">
        <v>6596</v>
      </c>
      <c r="C442" s="771">
        <v>10</v>
      </c>
      <c r="D442" s="466"/>
      <c r="H442" s="771" t="s">
        <v>6597</v>
      </c>
      <c r="I442" s="771">
        <v>3</v>
      </c>
      <c r="K442" s="771" t="s">
        <v>6598</v>
      </c>
      <c r="L442" s="771">
        <v>4</v>
      </c>
      <c r="P442" s="771" t="s">
        <v>6329</v>
      </c>
      <c r="Q442" s="771">
        <v>1</v>
      </c>
    </row>
    <row r="443" spans="2:17">
      <c r="B443" s="771" t="s">
        <v>6599</v>
      </c>
      <c r="C443" s="771">
        <v>10</v>
      </c>
      <c r="D443" s="466"/>
      <c r="H443" s="771" t="s">
        <v>6600</v>
      </c>
      <c r="I443" s="771">
        <v>5</v>
      </c>
      <c r="K443" s="771" t="s">
        <v>6601</v>
      </c>
      <c r="L443" s="771">
        <v>1</v>
      </c>
      <c r="P443" s="771" t="s">
        <v>6331</v>
      </c>
      <c r="Q443" s="771">
        <v>1</v>
      </c>
    </row>
    <row r="444" spans="2:17">
      <c r="B444" s="771" t="s">
        <v>6508</v>
      </c>
      <c r="C444" s="771">
        <v>8</v>
      </c>
      <c r="D444" s="466"/>
      <c r="H444" s="771" t="s">
        <v>6602</v>
      </c>
      <c r="I444" s="771">
        <v>3</v>
      </c>
      <c r="K444" s="771" t="s">
        <v>6603</v>
      </c>
      <c r="L444" s="771">
        <v>4</v>
      </c>
      <c r="P444" s="771" t="s">
        <v>6334</v>
      </c>
      <c r="Q444" s="771">
        <v>2</v>
      </c>
    </row>
    <row r="445" spans="2:17">
      <c r="B445" s="771" t="s">
        <v>6514</v>
      </c>
      <c r="C445" s="771">
        <v>10</v>
      </c>
      <c r="D445" s="466"/>
      <c r="H445" s="771" t="s">
        <v>6604</v>
      </c>
      <c r="I445" s="771">
        <v>1</v>
      </c>
      <c r="K445" s="771" t="s">
        <v>6605</v>
      </c>
      <c r="L445" s="771">
        <v>4</v>
      </c>
      <c r="P445" s="771" t="s">
        <v>6336</v>
      </c>
      <c r="Q445" s="771">
        <v>2</v>
      </c>
    </row>
    <row r="446" spans="2:17">
      <c r="B446" s="771" t="s">
        <v>6606</v>
      </c>
      <c r="C446" s="771">
        <v>10</v>
      </c>
      <c r="D446" s="466"/>
      <c r="H446" s="771" t="s">
        <v>6607</v>
      </c>
      <c r="I446" s="771">
        <v>5</v>
      </c>
      <c r="K446" s="771" t="s">
        <v>6360</v>
      </c>
      <c r="L446" s="771">
        <v>2</v>
      </c>
      <c r="P446" s="771" t="s">
        <v>6338</v>
      </c>
      <c r="Q446" s="771">
        <v>2</v>
      </c>
    </row>
    <row r="447" spans="2:17">
      <c r="B447" s="771" t="s">
        <v>6517</v>
      </c>
      <c r="C447" s="771">
        <v>8</v>
      </c>
      <c r="D447" s="466"/>
      <c r="H447" s="771" t="s">
        <v>6608</v>
      </c>
      <c r="I447" s="771">
        <v>1</v>
      </c>
      <c r="K447" s="771" t="s">
        <v>6361</v>
      </c>
      <c r="L447" s="771">
        <v>3</v>
      </c>
      <c r="P447" s="771" t="s">
        <v>6340</v>
      </c>
      <c r="Q447" s="771">
        <v>3</v>
      </c>
    </row>
    <row r="448" spans="2:17">
      <c r="B448" s="771" t="s">
        <v>6532</v>
      </c>
      <c r="C448" s="771">
        <v>10</v>
      </c>
      <c r="D448" s="466"/>
      <c r="H448" s="771" t="s">
        <v>6609</v>
      </c>
      <c r="I448" s="771">
        <v>1</v>
      </c>
      <c r="K448" s="771" t="s">
        <v>6610</v>
      </c>
      <c r="L448" s="771">
        <v>2</v>
      </c>
      <c r="P448" s="771" t="s">
        <v>6611</v>
      </c>
      <c r="Q448" s="771">
        <v>2</v>
      </c>
    </row>
    <row r="449" spans="2:17">
      <c r="B449" s="771" t="s">
        <v>6612</v>
      </c>
      <c r="C449" s="771">
        <v>10</v>
      </c>
      <c r="D449" s="466"/>
      <c r="H449" s="771" t="s">
        <v>6613</v>
      </c>
      <c r="I449" s="771">
        <v>5</v>
      </c>
      <c r="K449" s="771" t="s">
        <v>6367</v>
      </c>
      <c r="L449" s="771">
        <v>2</v>
      </c>
      <c r="P449" s="771" t="s">
        <v>6343</v>
      </c>
      <c r="Q449" s="771">
        <v>1</v>
      </c>
    </row>
    <row r="450" spans="2:17">
      <c r="B450" s="771" t="s">
        <v>6533</v>
      </c>
      <c r="C450" s="771">
        <v>10</v>
      </c>
      <c r="D450" s="466"/>
      <c r="H450" s="771" t="s">
        <v>6614</v>
      </c>
      <c r="I450" s="771">
        <v>1</v>
      </c>
      <c r="K450" s="771" t="s">
        <v>6615</v>
      </c>
      <c r="L450" s="771">
        <v>1</v>
      </c>
      <c r="P450" s="771" t="s">
        <v>6616</v>
      </c>
      <c r="Q450" s="771">
        <v>4</v>
      </c>
    </row>
    <row r="451" spans="2:17">
      <c r="B451" s="771" t="s">
        <v>6538</v>
      </c>
      <c r="C451" s="771">
        <v>10</v>
      </c>
      <c r="D451" s="466"/>
      <c r="H451" s="771" t="s">
        <v>6617</v>
      </c>
      <c r="I451" s="771">
        <v>3</v>
      </c>
      <c r="K451" s="771" t="s">
        <v>6385</v>
      </c>
      <c r="L451" s="771">
        <v>2</v>
      </c>
      <c r="P451" s="771" t="s">
        <v>6618</v>
      </c>
      <c r="Q451" s="771">
        <v>3</v>
      </c>
    </row>
    <row r="452" spans="2:17">
      <c r="B452" s="771" t="s">
        <v>6539</v>
      </c>
      <c r="C452" s="771">
        <v>10</v>
      </c>
      <c r="D452" s="466"/>
      <c r="H452" s="771" t="s">
        <v>6619</v>
      </c>
      <c r="I452" s="771">
        <v>3</v>
      </c>
      <c r="K452" s="771" t="s">
        <v>6388</v>
      </c>
      <c r="L452" s="771">
        <v>2</v>
      </c>
      <c r="P452" s="771" t="s">
        <v>6620</v>
      </c>
      <c r="Q452" s="771">
        <v>2</v>
      </c>
    </row>
    <row r="453" spans="2:17">
      <c r="B453" s="771" t="s">
        <v>6621</v>
      </c>
      <c r="C453" s="771">
        <v>8</v>
      </c>
      <c r="D453" s="466"/>
      <c r="H453" s="771" t="s">
        <v>6622</v>
      </c>
      <c r="I453" s="771">
        <v>1</v>
      </c>
      <c r="K453" s="771" t="s">
        <v>6542</v>
      </c>
      <c r="L453" s="771">
        <v>4</v>
      </c>
      <c r="P453" s="771" t="s">
        <v>6418</v>
      </c>
      <c r="Q453" s="771">
        <v>1</v>
      </c>
    </row>
    <row r="454" spans="2:17">
      <c r="B454" s="771" t="s">
        <v>6623</v>
      </c>
      <c r="C454" s="771">
        <v>8</v>
      </c>
      <c r="D454" s="466"/>
      <c r="H454" s="771" t="s">
        <v>6624</v>
      </c>
      <c r="I454" s="771">
        <v>3</v>
      </c>
      <c r="K454" s="771" t="s">
        <v>6390</v>
      </c>
      <c r="L454" s="771">
        <v>4</v>
      </c>
      <c r="P454" s="771" t="s">
        <v>6421</v>
      </c>
      <c r="Q454" s="771">
        <v>2</v>
      </c>
    </row>
    <row r="455" spans="2:17">
      <c r="B455" s="771" t="s">
        <v>6625</v>
      </c>
      <c r="C455" s="771">
        <v>10</v>
      </c>
      <c r="D455" s="466"/>
      <c r="H455" s="771" t="s">
        <v>6626</v>
      </c>
      <c r="I455" s="771">
        <v>3</v>
      </c>
      <c r="K455" s="771" t="s">
        <v>6392</v>
      </c>
      <c r="L455" s="771">
        <v>4</v>
      </c>
      <c r="P455" s="771" t="s">
        <v>6423</v>
      </c>
      <c r="Q455" s="771">
        <v>4</v>
      </c>
    </row>
    <row r="456" spans="2:17">
      <c r="B456" s="771" t="s">
        <v>6546</v>
      </c>
      <c r="C456" s="771">
        <v>10</v>
      </c>
      <c r="D456" s="466"/>
      <c r="H456" s="771" t="s">
        <v>6627</v>
      </c>
      <c r="I456" s="771">
        <v>1</v>
      </c>
      <c r="K456" s="771" t="s">
        <v>6547</v>
      </c>
      <c r="L456" s="771">
        <v>2</v>
      </c>
      <c r="P456" s="771" t="s">
        <v>6628</v>
      </c>
      <c r="Q456" s="771">
        <v>2</v>
      </c>
    </row>
    <row r="457" spans="2:17">
      <c r="B457" s="771" t="s">
        <v>6629</v>
      </c>
      <c r="C457" s="771">
        <v>10</v>
      </c>
      <c r="D457" s="466"/>
      <c r="H457" s="771" t="s">
        <v>6630</v>
      </c>
      <c r="I457" s="771">
        <v>5</v>
      </c>
      <c r="K457" s="771" t="s">
        <v>6394</v>
      </c>
      <c r="L457" s="771">
        <v>4</v>
      </c>
      <c r="P457" s="771" t="s">
        <v>6425</v>
      </c>
      <c r="Q457" s="771">
        <v>4</v>
      </c>
    </row>
    <row r="458" spans="2:17">
      <c r="B458" s="771" t="s">
        <v>6560</v>
      </c>
      <c r="C458" s="771">
        <v>10</v>
      </c>
      <c r="D458" s="466"/>
      <c r="H458" s="771" t="s">
        <v>6631</v>
      </c>
      <c r="I458" s="771">
        <v>3</v>
      </c>
      <c r="K458" s="771" t="s">
        <v>6553</v>
      </c>
      <c r="L458" s="771">
        <v>3</v>
      </c>
      <c r="P458" s="771" t="s">
        <v>6632</v>
      </c>
      <c r="Q458" s="771">
        <v>4</v>
      </c>
    </row>
    <row r="459" spans="2:17">
      <c r="B459" s="771" t="s">
        <v>6562</v>
      </c>
      <c r="C459" s="771">
        <v>10</v>
      </c>
      <c r="D459" s="466"/>
      <c r="H459" s="771" t="s">
        <v>6633</v>
      </c>
      <c r="I459" s="771">
        <v>5</v>
      </c>
      <c r="K459" s="771" t="s">
        <v>6407</v>
      </c>
      <c r="L459" s="771">
        <v>4</v>
      </c>
      <c r="P459" s="771" t="s">
        <v>6347</v>
      </c>
      <c r="Q459" s="771">
        <v>3</v>
      </c>
    </row>
    <row r="460" spans="2:17">
      <c r="B460" s="771" t="s">
        <v>6564</v>
      </c>
      <c r="C460" s="771">
        <v>10</v>
      </c>
      <c r="D460" s="466"/>
      <c r="H460" s="771" t="s">
        <v>6634</v>
      </c>
      <c r="I460" s="771">
        <v>1</v>
      </c>
      <c r="K460" s="771" t="s">
        <v>6409</v>
      </c>
      <c r="L460" s="771">
        <v>2</v>
      </c>
      <c r="P460" s="771" t="s">
        <v>6181</v>
      </c>
      <c r="Q460" s="771">
        <v>4</v>
      </c>
    </row>
    <row r="461" spans="2:17">
      <c r="B461" s="771" t="s">
        <v>6566</v>
      </c>
      <c r="C461" s="771">
        <v>10</v>
      </c>
      <c r="D461" s="466"/>
      <c r="H461" s="771" t="s">
        <v>6635</v>
      </c>
      <c r="I461" s="771">
        <v>5</v>
      </c>
      <c r="K461" s="771" t="s">
        <v>6412</v>
      </c>
      <c r="L461" s="771">
        <v>3</v>
      </c>
      <c r="P461" s="771" t="s">
        <v>6636</v>
      </c>
      <c r="Q461" s="771">
        <v>4</v>
      </c>
    </row>
    <row r="462" spans="2:17">
      <c r="B462" s="771" t="s">
        <v>6567</v>
      </c>
      <c r="C462" s="771">
        <v>10</v>
      </c>
      <c r="D462" s="466"/>
      <c r="H462" s="771" t="s">
        <v>6637</v>
      </c>
      <c r="I462" s="771">
        <v>3</v>
      </c>
      <c r="K462" s="771" t="s">
        <v>6414</v>
      </c>
      <c r="L462" s="771">
        <v>4</v>
      </c>
      <c r="P462" s="771" t="s">
        <v>6183</v>
      </c>
      <c r="Q462" s="771">
        <v>4</v>
      </c>
    </row>
    <row r="463" spans="2:17">
      <c r="B463" s="771" t="s">
        <v>6569</v>
      </c>
      <c r="C463" s="771">
        <v>10</v>
      </c>
      <c r="D463" s="466"/>
      <c r="H463" s="771" t="s">
        <v>6638</v>
      </c>
      <c r="I463" s="771">
        <v>1</v>
      </c>
      <c r="K463" s="771" t="s">
        <v>6639</v>
      </c>
      <c r="L463" s="771">
        <v>4</v>
      </c>
      <c r="P463" s="771" t="s">
        <v>6353</v>
      </c>
      <c r="Q463" s="771">
        <v>2</v>
      </c>
    </row>
    <row r="464" spans="2:17">
      <c r="B464" s="771" t="s">
        <v>6640</v>
      </c>
      <c r="C464" s="771">
        <v>10</v>
      </c>
      <c r="D464" s="466"/>
      <c r="H464" s="771" t="s">
        <v>6641</v>
      </c>
      <c r="I464" s="771">
        <v>3</v>
      </c>
      <c r="K464" s="771" t="s">
        <v>6417</v>
      </c>
      <c r="L464" s="771">
        <v>4</v>
      </c>
      <c r="P464" s="771" t="s">
        <v>6188</v>
      </c>
      <c r="Q464" s="771">
        <v>4</v>
      </c>
    </row>
    <row r="465" spans="2:17">
      <c r="B465" s="771" t="s">
        <v>6573</v>
      </c>
      <c r="C465" s="771">
        <v>10</v>
      </c>
      <c r="D465" s="466"/>
      <c r="H465" s="771" t="s">
        <v>6642</v>
      </c>
      <c r="I465" s="771">
        <v>5</v>
      </c>
      <c r="K465" s="771" t="s">
        <v>6565</v>
      </c>
      <c r="L465" s="771">
        <v>2</v>
      </c>
      <c r="P465" s="771" t="s">
        <v>6189</v>
      </c>
      <c r="Q465" s="771">
        <v>4</v>
      </c>
    </row>
    <row r="466" spans="2:17">
      <c r="B466" s="771" t="s">
        <v>6643</v>
      </c>
      <c r="C466" s="771">
        <v>10</v>
      </c>
      <c r="D466" s="466"/>
      <c r="H466" s="771" t="s">
        <v>6644</v>
      </c>
      <c r="I466" s="771">
        <v>3</v>
      </c>
      <c r="K466" s="771" t="s">
        <v>6422</v>
      </c>
      <c r="L466" s="771">
        <v>4</v>
      </c>
      <c r="P466" s="771" t="s">
        <v>6191</v>
      </c>
      <c r="Q466" s="771">
        <v>3</v>
      </c>
    </row>
    <row r="467" spans="2:17">
      <c r="B467" s="771" t="s">
        <v>6574</v>
      </c>
      <c r="C467" s="771">
        <v>8</v>
      </c>
      <c r="D467" s="466"/>
      <c r="H467" s="771" t="s">
        <v>6645</v>
      </c>
      <c r="I467" s="771">
        <v>3</v>
      </c>
      <c r="K467" s="771" t="s">
        <v>6646</v>
      </c>
      <c r="L467" s="771">
        <v>2</v>
      </c>
      <c r="P467" s="771" t="s">
        <v>6433</v>
      </c>
      <c r="Q467" s="771">
        <v>4</v>
      </c>
    </row>
    <row r="468" spans="2:17">
      <c r="B468" s="771" t="s">
        <v>6576</v>
      </c>
      <c r="C468" s="771">
        <v>10</v>
      </c>
      <c r="D468" s="466"/>
      <c r="H468" s="771" t="s">
        <v>6647</v>
      </c>
      <c r="I468" s="771">
        <v>3</v>
      </c>
      <c r="K468" s="771" t="s">
        <v>6424</v>
      </c>
      <c r="L468" s="771">
        <v>3</v>
      </c>
      <c r="P468" s="771" t="s">
        <v>6363</v>
      </c>
      <c r="Q468" s="771">
        <v>2</v>
      </c>
    </row>
    <row r="469" spans="2:17">
      <c r="B469" s="771" t="s">
        <v>6648</v>
      </c>
      <c r="C469" s="771">
        <v>10</v>
      </c>
      <c r="D469" s="466"/>
      <c r="H469" s="771" t="s">
        <v>6649</v>
      </c>
      <c r="I469" s="771">
        <v>3</v>
      </c>
      <c r="K469" s="771" t="s">
        <v>6427</v>
      </c>
      <c r="L469" s="771">
        <v>4</v>
      </c>
      <c r="P469" s="771" t="s">
        <v>6366</v>
      </c>
      <c r="Q469" s="771">
        <v>1</v>
      </c>
    </row>
    <row r="470" spans="2:17">
      <c r="B470" s="771" t="s">
        <v>6579</v>
      </c>
      <c r="C470" s="771">
        <v>10</v>
      </c>
      <c r="D470" s="466"/>
      <c r="H470" s="771" t="s">
        <v>6650</v>
      </c>
      <c r="I470" s="771">
        <v>1</v>
      </c>
      <c r="K470" s="771" t="s">
        <v>6568</v>
      </c>
      <c r="L470" s="771">
        <v>3</v>
      </c>
      <c r="P470" s="771" t="s">
        <v>6370</v>
      </c>
      <c r="Q470" s="771">
        <v>1</v>
      </c>
    </row>
    <row r="471" spans="2:17">
      <c r="B471" s="771" t="s">
        <v>6582</v>
      </c>
      <c r="C471" s="771">
        <v>10</v>
      </c>
      <c r="D471" s="466"/>
      <c r="H471" s="771" t="s">
        <v>6651</v>
      </c>
      <c r="I471" s="771">
        <v>1</v>
      </c>
      <c r="K471" s="771" t="s">
        <v>6430</v>
      </c>
      <c r="L471" s="771">
        <v>4</v>
      </c>
      <c r="P471" s="771" t="s">
        <v>6373</v>
      </c>
      <c r="Q471" s="771">
        <v>4</v>
      </c>
    </row>
    <row r="472" spans="2:17">
      <c r="B472" s="771" t="s">
        <v>6584</v>
      </c>
      <c r="C472" s="771">
        <v>10</v>
      </c>
      <c r="D472" s="466"/>
      <c r="H472" s="771" t="s">
        <v>6652</v>
      </c>
      <c r="I472" s="771">
        <v>3</v>
      </c>
      <c r="K472" s="771" t="s">
        <v>6432</v>
      </c>
      <c r="L472" s="771">
        <v>2</v>
      </c>
      <c r="P472" s="771" t="s">
        <v>6443</v>
      </c>
      <c r="Q472" s="771">
        <v>2</v>
      </c>
    </row>
    <row r="473" spans="2:17">
      <c r="B473" s="771" t="s">
        <v>6653</v>
      </c>
      <c r="C473" s="771">
        <v>10</v>
      </c>
      <c r="D473" s="466"/>
      <c r="H473" s="771" t="s">
        <v>6654</v>
      </c>
      <c r="I473" s="771">
        <v>3</v>
      </c>
      <c r="K473" s="771" t="s">
        <v>6439</v>
      </c>
      <c r="L473" s="771">
        <v>4</v>
      </c>
      <c r="P473" s="771" t="s">
        <v>6377</v>
      </c>
      <c r="Q473" s="771">
        <v>2</v>
      </c>
    </row>
    <row r="474" spans="2:17">
      <c r="B474" s="771" t="s">
        <v>6588</v>
      </c>
      <c r="C474" s="771">
        <v>10</v>
      </c>
      <c r="D474" s="466"/>
      <c r="H474" s="771" t="s">
        <v>6655</v>
      </c>
      <c r="I474" s="771">
        <v>1</v>
      </c>
      <c r="K474" s="771" t="s">
        <v>6441</v>
      </c>
      <c r="L474" s="771">
        <v>2</v>
      </c>
      <c r="P474" s="771" t="s">
        <v>6194</v>
      </c>
      <c r="Q474" s="771">
        <v>2</v>
      </c>
    </row>
    <row r="475" spans="2:17">
      <c r="B475" s="771" t="s">
        <v>6589</v>
      </c>
      <c r="C475" s="771">
        <v>8</v>
      </c>
      <c r="D475" s="466"/>
      <c r="H475" s="771" t="s">
        <v>6656</v>
      </c>
      <c r="I475" s="771">
        <v>1</v>
      </c>
      <c r="K475" s="771" t="s">
        <v>6445</v>
      </c>
      <c r="L475" s="771">
        <v>4</v>
      </c>
      <c r="P475" s="771" t="s">
        <v>6447</v>
      </c>
      <c r="Q475" s="771">
        <v>4</v>
      </c>
    </row>
    <row r="476" spans="2:17">
      <c r="B476" s="771" t="s">
        <v>6657</v>
      </c>
      <c r="C476" s="771">
        <v>8</v>
      </c>
      <c r="D476" s="466"/>
      <c r="H476" s="771" t="s">
        <v>6658</v>
      </c>
      <c r="I476" s="771">
        <v>1</v>
      </c>
      <c r="K476" s="771" t="s">
        <v>6448</v>
      </c>
      <c r="L476" s="771">
        <v>4</v>
      </c>
      <c r="P476" s="771" t="s">
        <v>6449</v>
      </c>
      <c r="Q476" s="771">
        <v>1</v>
      </c>
    </row>
    <row r="477" spans="2:17">
      <c r="B477" s="771" t="s">
        <v>6659</v>
      </c>
      <c r="C477" s="771">
        <v>8</v>
      </c>
      <c r="D477" s="466"/>
      <c r="H477" s="771" t="s">
        <v>6660</v>
      </c>
      <c r="I477" s="771">
        <v>1</v>
      </c>
      <c r="K477" s="771" t="s">
        <v>6450</v>
      </c>
      <c r="L477" s="771">
        <v>4</v>
      </c>
      <c r="P477" s="771" t="s">
        <v>6197</v>
      </c>
      <c r="Q477" s="771">
        <v>2</v>
      </c>
    </row>
    <row r="478" spans="2:17">
      <c r="B478" s="771" t="s">
        <v>6661</v>
      </c>
      <c r="C478" s="771">
        <v>8</v>
      </c>
      <c r="D478" s="466"/>
      <c r="H478" s="771" t="s">
        <v>6662</v>
      </c>
      <c r="I478" s="771">
        <v>1</v>
      </c>
      <c r="K478" s="771" t="s">
        <v>6452</v>
      </c>
      <c r="L478" s="771">
        <v>2</v>
      </c>
      <c r="P478" s="771" t="s">
        <v>6663</v>
      </c>
      <c r="Q478" s="771">
        <v>4</v>
      </c>
    </row>
    <row r="479" spans="2:17">
      <c r="B479" s="771" t="s">
        <v>6664</v>
      </c>
      <c r="C479" s="771">
        <v>8</v>
      </c>
      <c r="D479" s="466"/>
      <c r="H479" s="771" t="s">
        <v>6665</v>
      </c>
      <c r="I479" s="771">
        <v>5</v>
      </c>
      <c r="K479" s="771" t="s">
        <v>6460</v>
      </c>
      <c r="L479" s="771">
        <v>2</v>
      </c>
      <c r="P479" s="771" t="s">
        <v>6200</v>
      </c>
      <c r="Q479" s="771">
        <v>2</v>
      </c>
    </row>
    <row r="480" spans="2:17">
      <c r="B480" s="771" t="s">
        <v>6666</v>
      </c>
      <c r="C480" s="771">
        <v>8</v>
      </c>
      <c r="D480" s="466"/>
      <c r="H480" s="771" t="s">
        <v>6667</v>
      </c>
      <c r="I480" s="771">
        <v>5</v>
      </c>
      <c r="K480" s="771" t="s">
        <v>6464</v>
      </c>
      <c r="L480" s="771">
        <v>3</v>
      </c>
      <c r="P480" s="771" t="s">
        <v>6203</v>
      </c>
      <c r="Q480" s="771">
        <v>4</v>
      </c>
    </row>
    <row r="481" spans="2:17">
      <c r="B481" s="771" t="s">
        <v>6668</v>
      </c>
      <c r="C481" s="771">
        <v>8</v>
      </c>
      <c r="D481" s="466"/>
      <c r="H481" s="771" t="s">
        <v>6669</v>
      </c>
      <c r="I481" s="771">
        <v>3</v>
      </c>
      <c r="K481" s="771" t="s">
        <v>6466</v>
      </c>
      <c r="L481" s="771">
        <v>1</v>
      </c>
      <c r="P481" s="771" t="s">
        <v>6670</v>
      </c>
      <c r="Q481" s="771">
        <v>2</v>
      </c>
    </row>
    <row r="482" spans="2:17">
      <c r="B482" s="771" t="s">
        <v>6592</v>
      </c>
      <c r="C482" s="771">
        <v>10</v>
      </c>
      <c r="D482" s="466"/>
      <c r="H482" s="771" t="s">
        <v>6671</v>
      </c>
      <c r="I482" s="771">
        <v>5</v>
      </c>
      <c r="K482" s="771" t="s">
        <v>6578</v>
      </c>
      <c r="L482" s="771">
        <v>2</v>
      </c>
      <c r="P482" s="771" t="s">
        <v>6456</v>
      </c>
      <c r="Q482" s="771">
        <v>3</v>
      </c>
    </row>
    <row r="483" spans="2:17">
      <c r="B483" s="771" t="s">
        <v>6672</v>
      </c>
      <c r="C483" s="771">
        <v>10</v>
      </c>
      <c r="D483" s="466"/>
      <c r="H483" s="771" t="s">
        <v>6673</v>
      </c>
      <c r="I483" s="771">
        <v>5</v>
      </c>
      <c r="K483" s="771" t="s">
        <v>6468</v>
      </c>
      <c r="L483" s="771">
        <v>2</v>
      </c>
      <c r="P483" s="771" t="s">
        <v>6206</v>
      </c>
      <c r="Q483" s="771">
        <v>2</v>
      </c>
    </row>
    <row r="484" spans="2:17">
      <c r="B484" s="771" t="s">
        <v>6674</v>
      </c>
      <c r="C484" s="771">
        <v>10</v>
      </c>
      <c r="D484" s="466"/>
      <c r="H484" s="771" t="s">
        <v>6675</v>
      </c>
      <c r="I484" s="771">
        <v>5</v>
      </c>
      <c r="K484" s="771" t="s">
        <v>6469</v>
      </c>
      <c r="L484" s="771">
        <v>4</v>
      </c>
      <c r="P484" s="771" t="s">
        <v>6207</v>
      </c>
      <c r="Q484" s="771">
        <v>4</v>
      </c>
    </row>
    <row r="485" spans="2:17">
      <c r="B485" s="771" t="s">
        <v>6676</v>
      </c>
      <c r="C485" s="771">
        <v>8</v>
      </c>
      <c r="D485" s="466"/>
      <c r="H485" s="771" t="s">
        <v>6677</v>
      </c>
      <c r="I485" s="771">
        <v>3</v>
      </c>
      <c r="K485" s="771" t="s">
        <v>6471</v>
      </c>
      <c r="L485" s="771">
        <v>2</v>
      </c>
      <c r="P485" s="771" t="s">
        <v>6461</v>
      </c>
      <c r="Q485" s="771">
        <v>1</v>
      </c>
    </row>
    <row r="486" spans="2:17">
      <c r="B486" s="771" t="s">
        <v>6678</v>
      </c>
      <c r="C486" s="771">
        <v>8</v>
      </c>
      <c r="D486" s="466"/>
      <c r="H486" s="771" t="s">
        <v>6679</v>
      </c>
      <c r="I486" s="771">
        <v>3</v>
      </c>
      <c r="K486" s="771" t="s">
        <v>6473</v>
      </c>
      <c r="L486" s="771">
        <v>4</v>
      </c>
      <c r="P486" s="771" t="s">
        <v>6463</v>
      </c>
      <c r="Q486" s="771">
        <v>1</v>
      </c>
    </row>
    <row r="487" spans="2:17">
      <c r="B487" s="771" t="s">
        <v>6680</v>
      </c>
      <c r="C487" s="771">
        <v>10</v>
      </c>
      <c r="D487" s="466"/>
      <c r="H487" s="771" t="s">
        <v>6681</v>
      </c>
      <c r="I487" s="771">
        <v>3</v>
      </c>
      <c r="K487" s="771" t="s">
        <v>6475</v>
      </c>
      <c r="L487" s="771">
        <v>2</v>
      </c>
      <c r="P487" s="771" t="s">
        <v>6682</v>
      </c>
      <c r="Q487" s="771">
        <v>1</v>
      </c>
    </row>
    <row r="488" spans="2:17">
      <c r="B488" s="771" t="s">
        <v>6683</v>
      </c>
      <c r="C488" s="771">
        <v>8</v>
      </c>
      <c r="D488" s="466"/>
      <c r="H488" s="771" t="s">
        <v>6684</v>
      </c>
      <c r="I488" s="771">
        <v>1</v>
      </c>
      <c r="K488" s="771" t="s">
        <v>6480</v>
      </c>
      <c r="L488" s="771">
        <v>2</v>
      </c>
      <c r="P488" s="771" t="s">
        <v>6387</v>
      </c>
      <c r="Q488" s="771">
        <v>2</v>
      </c>
    </row>
    <row r="489" spans="2:17">
      <c r="B489" s="771" t="s">
        <v>6685</v>
      </c>
      <c r="C489" s="771">
        <v>8</v>
      </c>
      <c r="D489" s="466"/>
      <c r="H489" s="771" t="s">
        <v>6686</v>
      </c>
      <c r="I489" s="771">
        <v>3</v>
      </c>
      <c r="K489" s="771" t="s">
        <v>6481</v>
      </c>
      <c r="L489" s="771">
        <v>4</v>
      </c>
      <c r="P489" s="771" t="s">
        <v>6391</v>
      </c>
      <c r="Q489" s="771">
        <v>1</v>
      </c>
    </row>
    <row r="490" spans="2:17">
      <c r="B490" s="771" t="s">
        <v>6687</v>
      </c>
      <c r="C490" s="771">
        <v>8</v>
      </c>
      <c r="D490" s="466"/>
      <c r="H490" s="771" t="s">
        <v>6688</v>
      </c>
      <c r="I490" s="771">
        <v>1</v>
      </c>
      <c r="K490" s="771" t="s">
        <v>6483</v>
      </c>
      <c r="L490" s="771">
        <v>2</v>
      </c>
      <c r="P490" s="771" t="s">
        <v>6393</v>
      </c>
      <c r="Q490" s="771">
        <v>3</v>
      </c>
    </row>
    <row r="491" spans="2:17">
      <c r="B491" s="771" t="s">
        <v>6689</v>
      </c>
      <c r="C491" s="771">
        <v>10</v>
      </c>
      <c r="D491" s="466"/>
      <c r="H491" s="771" t="s">
        <v>6690</v>
      </c>
      <c r="I491" s="771">
        <v>5</v>
      </c>
      <c r="K491" s="771" t="s">
        <v>6485</v>
      </c>
      <c r="L491" s="771">
        <v>4</v>
      </c>
      <c r="P491" s="771" t="s">
        <v>6399</v>
      </c>
      <c r="Q491" s="771">
        <v>4</v>
      </c>
    </row>
    <row r="492" spans="2:17">
      <c r="B492" s="771" t="s">
        <v>6593</v>
      </c>
      <c r="C492" s="771">
        <v>8</v>
      </c>
      <c r="D492" s="466"/>
      <c r="H492" s="771" t="s">
        <v>6691</v>
      </c>
      <c r="I492" s="771">
        <v>1</v>
      </c>
      <c r="K492" s="771" t="s">
        <v>6487</v>
      </c>
      <c r="L492" s="771">
        <v>4</v>
      </c>
      <c r="P492" s="771" t="s">
        <v>6474</v>
      </c>
      <c r="Q492" s="771">
        <v>4</v>
      </c>
    </row>
    <row r="493" spans="2:17">
      <c r="B493" s="771" t="s">
        <v>6594</v>
      </c>
      <c r="C493" s="771">
        <v>8</v>
      </c>
      <c r="D493" s="466"/>
      <c r="H493" s="771" t="s">
        <v>6692</v>
      </c>
      <c r="I493" s="771">
        <v>1</v>
      </c>
      <c r="K493" s="771" t="s">
        <v>6489</v>
      </c>
      <c r="L493" s="771">
        <v>2</v>
      </c>
      <c r="P493" s="771" t="s">
        <v>6402</v>
      </c>
      <c r="Q493" s="771">
        <v>4</v>
      </c>
    </row>
    <row r="494" spans="2:17">
      <c r="B494" s="771" t="s">
        <v>6602</v>
      </c>
      <c r="C494" s="771">
        <v>8</v>
      </c>
      <c r="D494" s="466"/>
      <c r="H494" s="771" t="s">
        <v>6693</v>
      </c>
      <c r="I494" s="771">
        <v>1</v>
      </c>
      <c r="K494" s="771" t="s">
        <v>6493</v>
      </c>
      <c r="L494" s="771">
        <v>2</v>
      </c>
      <c r="P494" s="771" t="s">
        <v>6406</v>
      </c>
      <c r="Q494" s="771">
        <v>2</v>
      </c>
    </row>
    <row r="495" spans="2:17">
      <c r="B495" s="771" t="s">
        <v>6694</v>
      </c>
      <c r="C495" s="771">
        <v>10</v>
      </c>
      <c r="D495" s="466"/>
      <c r="H495" s="771" t="s">
        <v>6695</v>
      </c>
      <c r="I495" s="771">
        <v>3</v>
      </c>
      <c r="K495" s="771" t="s">
        <v>6495</v>
      </c>
      <c r="L495" s="771">
        <v>3</v>
      </c>
      <c r="P495" s="771" t="s">
        <v>6411</v>
      </c>
      <c r="Q495" s="771">
        <v>2</v>
      </c>
    </row>
    <row r="496" spans="2:17">
      <c r="B496" s="771" t="s">
        <v>6696</v>
      </c>
      <c r="C496" s="771">
        <v>8</v>
      </c>
      <c r="D496" s="466"/>
      <c r="H496" s="771" t="s">
        <v>6697</v>
      </c>
      <c r="I496" s="771">
        <v>5</v>
      </c>
      <c r="K496" s="771" t="s">
        <v>6497</v>
      </c>
      <c r="L496" s="771">
        <v>3</v>
      </c>
      <c r="P496" s="771" t="s">
        <v>6479</v>
      </c>
      <c r="Q496" s="771">
        <v>1</v>
      </c>
    </row>
    <row r="497" spans="2:17">
      <c r="B497" s="771" t="s">
        <v>6613</v>
      </c>
      <c r="C497" s="771">
        <v>8</v>
      </c>
      <c r="D497" s="466"/>
      <c r="H497" s="771" t="s">
        <v>6698</v>
      </c>
      <c r="I497" s="771">
        <v>1</v>
      </c>
      <c r="K497" s="771" t="s">
        <v>6500</v>
      </c>
      <c r="L497" s="771">
        <v>4</v>
      </c>
      <c r="P497" s="771" t="s">
        <v>6699</v>
      </c>
      <c r="Q497" s="771">
        <v>1</v>
      </c>
    </row>
    <row r="498" spans="2:17">
      <c r="B498" s="771" t="s">
        <v>6700</v>
      </c>
      <c r="C498" s="771">
        <v>10</v>
      </c>
      <c r="D498" s="466"/>
      <c r="H498" s="771" t="s">
        <v>6701</v>
      </c>
      <c r="I498" s="771">
        <v>5</v>
      </c>
      <c r="K498" s="771" t="s">
        <v>6702</v>
      </c>
      <c r="L498" s="771">
        <v>3</v>
      </c>
      <c r="P498" s="771" t="s">
        <v>6482</v>
      </c>
      <c r="Q498" s="771">
        <v>2</v>
      </c>
    </row>
    <row r="499" spans="2:17">
      <c r="B499" s="771" t="s">
        <v>6703</v>
      </c>
      <c r="C499" s="771">
        <v>10</v>
      </c>
      <c r="D499" s="466"/>
      <c r="H499" s="771" t="s">
        <v>6704</v>
      </c>
      <c r="I499" s="771">
        <v>3</v>
      </c>
      <c r="K499" s="771" t="s">
        <v>6504</v>
      </c>
      <c r="L499" s="771">
        <v>4</v>
      </c>
      <c r="P499" s="771" t="s">
        <v>6212</v>
      </c>
      <c r="Q499" s="771">
        <v>4</v>
      </c>
    </row>
    <row r="500" spans="2:17">
      <c r="B500" s="771" t="s">
        <v>6705</v>
      </c>
      <c r="C500" s="771">
        <v>8</v>
      </c>
      <c r="D500" s="466"/>
      <c r="H500" s="771" t="s">
        <v>6706</v>
      </c>
      <c r="I500" s="771">
        <v>1</v>
      </c>
      <c r="K500" s="771" t="s">
        <v>6505</v>
      </c>
      <c r="L500" s="771">
        <v>4</v>
      </c>
      <c r="P500" s="771" t="s">
        <v>6213</v>
      </c>
      <c r="Q500" s="771">
        <v>2</v>
      </c>
    </row>
    <row r="501" spans="2:17">
      <c r="B501" s="771" t="s">
        <v>6707</v>
      </c>
      <c r="C501" s="771">
        <v>10</v>
      </c>
      <c r="D501" s="466"/>
      <c r="H501" s="771" t="s">
        <v>6708</v>
      </c>
      <c r="I501" s="771">
        <v>1</v>
      </c>
      <c r="K501" s="771" t="s">
        <v>6596</v>
      </c>
      <c r="L501" s="771">
        <v>4</v>
      </c>
      <c r="P501" s="771" t="s">
        <v>6215</v>
      </c>
      <c r="Q501" s="771">
        <v>1</v>
      </c>
    </row>
    <row r="502" spans="2:17">
      <c r="B502" s="771" t="s">
        <v>6709</v>
      </c>
      <c r="C502" s="771">
        <v>10</v>
      </c>
      <c r="D502" s="466"/>
      <c r="H502" s="771" t="s">
        <v>6710</v>
      </c>
      <c r="I502" s="771">
        <v>1</v>
      </c>
      <c r="K502" s="771" t="s">
        <v>6599</v>
      </c>
      <c r="L502" s="771">
        <v>3</v>
      </c>
      <c r="P502" s="771" t="s">
        <v>6218</v>
      </c>
      <c r="Q502" s="771">
        <v>4</v>
      </c>
    </row>
    <row r="503" spans="2:17">
      <c r="B503" s="771" t="s">
        <v>6617</v>
      </c>
      <c r="C503" s="771">
        <v>8</v>
      </c>
      <c r="D503" s="466"/>
      <c r="H503" s="771" t="s">
        <v>6711</v>
      </c>
      <c r="I503" s="771">
        <v>3</v>
      </c>
      <c r="K503" s="771" t="s">
        <v>6508</v>
      </c>
      <c r="L503" s="771">
        <v>3</v>
      </c>
      <c r="P503" s="771" t="s">
        <v>6220</v>
      </c>
      <c r="Q503" s="771">
        <v>3</v>
      </c>
    </row>
    <row r="504" spans="2:17">
      <c r="B504" s="771" t="s">
        <v>6712</v>
      </c>
      <c r="C504" s="771">
        <v>8</v>
      </c>
      <c r="D504" s="466"/>
      <c r="H504" s="771" t="s">
        <v>6713</v>
      </c>
      <c r="I504" s="771">
        <v>5</v>
      </c>
      <c r="K504" s="771" t="s">
        <v>6509</v>
      </c>
      <c r="L504" s="771">
        <v>4</v>
      </c>
      <c r="P504" s="771" t="s">
        <v>6223</v>
      </c>
      <c r="Q504" s="771">
        <v>2</v>
      </c>
    </row>
    <row r="505" spans="2:17">
      <c r="B505" s="771" t="s">
        <v>6619</v>
      </c>
      <c r="C505" s="771">
        <v>10</v>
      </c>
      <c r="D505" s="466"/>
      <c r="H505" s="771" t="s">
        <v>6714</v>
      </c>
      <c r="I505" s="771">
        <v>3</v>
      </c>
      <c r="K505" s="771" t="s">
        <v>6511</v>
      </c>
      <c r="L505" s="771">
        <v>1</v>
      </c>
      <c r="P505" s="771" t="s">
        <v>6416</v>
      </c>
      <c r="Q505" s="771">
        <v>1</v>
      </c>
    </row>
    <row r="506" spans="2:17">
      <c r="B506" s="771" t="s">
        <v>6715</v>
      </c>
      <c r="C506" s="771">
        <v>10</v>
      </c>
      <c r="D506" s="466"/>
      <c r="H506" s="771" t="s">
        <v>6716</v>
      </c>
      <c r="I506" s="771">
        <v>3</v>
      </c>
      <c r="K506" s="771" t="s">
        <v>6512</v>
      </c>
      <c r="L506" s="771">
        <v>3</v>
      </c>
      <c r="P506" s="771" t="s">
        <v>6225</v>
      </c>
      <c r="Q506" s="771">
        <v>1</v>
      </c>
    </row>
    <row r="507" spans="2:17">
      <c r="B507" s="771" t="s">
        <v>6717</v>
      </c>
      <c r="C507" s="771">
        <v>10</v>
      </c>
      <c r="D507" s="466"/>
      <c r="H507" s="771" t="s">
        <v>6718</v>
      </c>
      <c r="I507" s="771">
        <v>1</v>
      </c>
      <c r="K507" s="771" t="s">
        <v>6521</v>
      </c>
      <c r="L507" s="771">
        <v>4</v>
      </c>
      <c r="P507" s="771" t="s">
        <v>6227</v>
      </c>
      <c r="Q507" s="771">
        <v>4</v>
      </c>
    </row>
    <row r="508" spans="2:17">
      <c r="B508" s="771" t="s">
        <v>6719</v>
      </c>
      <c r="C508" s="771">
        <v>10</v>
      </c>
      <c r="D508" s="466"/>
      <c r="H508" s="771" t="s">
        <v>6720</v>
      </c>
      <c r="I508" s="771">
        <v>5</v>
      </c>
      <c r="K508" s="771" t="s">
        <v>6526</v>
      </c>
      <c r="L508" s="771">
        <v>4</v>
      </c>
      <c r="P508" s="771" t="s">
        <v>6426</v>
      </c>
      <c r="Q508" s="771">
        <v>4</v>
      </c>
    </row>
    <row r="509" spans="2:17">
      <c r="B509" s="771" t="s">
        <v>6721</v>
      </c>
      <c r="C509" s="771">
        <v>8</v>
      </c>
      <c r="D509" s="466"/>
      <c r="H509" s="771" t="s">
        <v>6722</v>
      </c>
      <c r="I509" s="771">
        <v>3</v>
      </c>
      <c r="K509" s="771" t="s">
        <v>6723</v>
      </c>
      <c r="L509" s="771">
        <v>4</v>
      </c>
      <c r="P509" s="771" t="s">
        <v>6229</v>
      </c>
      <c r="Q509" s="771">
        <v>4</v>
      </c>
    </row>
    <row r="510" spans="2:17">
      <c r="B510" s="771" t="s">
        <v>6633</v>
      </c>
      <c r="C510" s="771">
        <v>8</v>
      </c>
      <c r="D510" s="466"/>
      <c r="H510" s="771" t="s">
        <v>6724</v>
      </c>
      <c r="I510" s="771">
        <v>5</v>
      </c>
      <c r="K510" s="771" t="s">
        <v>6527</v>
      </c>
      <c r="L510" s="771">
        <v>2</v>
      </c>
      <c r="P510" s="771" t="s">
        <v>6725</v>
      </c>
      <c r="Q510" s="771">
        <v>4</v>
      </c>
    </row>
    <row r="511" spans="2:17">
      <c r="B511" s="771" t="s">
        <v>6635</v>
      </c>
      <c r="C511" s="771">
        <v>10</v>
      </c>
      <c r="D511" s="466"/>
      <c r="H511" s="771" t="s">
        <v>6726</v>
      </c>
      <c r="I511" s="771">
        <v>1</v>
      </c>
      <c r="K511" s="771" t="s">
        <v>6531</v>
      </c>
      <c r="L511" s="771">
        <v>3</v>
      </c>
      <c r="P511" s="771" t="s">
        <v>6231</v>
      </c>
      <c r="Q511" s="771">
        <v>1</v>
      </c>
    </row>
    <row r="512" spans="2:17">
      <c r="B512" s="771" t="s">
        <v>6727</v>
      </c>
      <c r="C512" s="771">
        <v>10</v>
      </c>
      <c r="D512" s="466"/>
      <c r="H512" s="771" t="s">
        <v>6728</v>
      </c>
      <c r="I512" s="771">
        <v>1</v>
      </c>
      <c r="K512" s="771" t="s">
        <v>6612</v>
      </c>
      <c r="L512" s="771">
        <v>2</v>
      </c>
      <c r="P512" s="771" t="s">
        <v>6233</v>
      </c>
      <c r="Q512" s="771">
        <v>4</v>
      </c>
    </row>
    <row r="513" spans="2:17">
      <c r="B513" s="771" t="s">
        <v>6638</v>
      </c>
      <c r="C513" s="771">
        <v>10</v>
      </c>
      <c r="D513" s="466"/>
      <c r="H513" s="771" t="s">
        <v>6729</v>
      </c>
      <c r="I513" s="771">
        <v>5</v>
      </c>
      <c r="K513" s="771" t="s">
        <v>6533</v>
      </c>
      <c r="L513" s="771">
        <v>4</v>
      </c>
      <c r="P513" s="771" t="s">
        <v>6434</v>
      </c>
      <c r="Q513" s="771">
        <v>1</v>
      </c>
    </row>
    <row r="514" spans="2:17">
      <c r="B514" s="771" t="s">
        <v>6641</v>
      </c>
      <c r="C514" s="771">
        <v>10</v>
      </c>
      <c r="D514" s="466"/>
      <c r="H514" s="771" t="s">
        <v>6730</v>
      </c>
      <c r="I514" s="771">
        <v>3</v>
      </c>
      <c r="K514" s="771" t="s">
        <v>6540</v>
      </c>
      <c r="L514" s="771">
        <v>2</v>
      </c>
      <c r="P514" s="771" t="s">
        <v>6731</v>
      </c>
      <c r="Q514" s="771">
        <v>1</v>
      </c>
    </row>
    <row r="515" spans="2:17">
      <c r="B515" s="771" t="s">
        <v>6642</v>
      </c>
      <c r="C515" s="771">
        <v>10</v>
      </c>
      <c r="D515" s="466"/>
      <c r="H515" s="771" t="s">
        <v>6732</v>
      </c>
      <c r="I515" s="771">
        <v>5</v>
      </c>
      <c r="K515" s="771" t="s">
        <v>6621</v>
      </c>
      <c r="L515" s="771">
        <v>2</v>
      </c>
      <c r="P515" s="771" t="s">
        <v>6234</v>
      </c>
      <c r="Q515" s="771">
        <v>1</v>
      </c>
    </row>
    <row r="516" spans="2:17">
      <c r="B516" s="771" t="s">
        <v>6644</v>
      </c>
      <c r="C516" s="771">
        <v>10</v>
      </c>
      <c r="D516" s="466"/>
      <c r="H516" s="771" t="s">
        <v>6733</v>
      </c>
      <c r="I516" s="771">
        <v>1</v>
      </c>
      <c r="K516" s="771" t="s">
        <v>6623</v>
      </c>
      <c r="L516" s="771">
        <v>2</v>
      </c>
      <c r="P516" s="771" t="s">
        <v>6240</v>
      </c>
      <c r="Q516" s="771">
        <v>2</v>
      </c>
    </row>
    <row r="517" spans="2:17">
      <c r="B517" s="771" t="s">
        <v>6734</v>
      </c>
      <c r="C517" s="771">
        <v>8</v>
      </c>
      <c r="D517" s="466"/>
      <c r="H517" s="771" t="s">
        <v>6735</v>
      </c>
      <c r="I517" s="771">
        <v>3</v>
      </c>
      <c r="K517" s="771" t="s">
        <v>6625</v>
      </c>
      <c r="L517" s="771">
        <v>4</v>
      </c>
      <c r="P517" s="771" t="s">
        <v>6736</v>
      </c>
      <c r="Q517" s="771">
        <v>1</v>
      </c>
    </row>
    <row r="518" spans="2:17">
      <c r="B518" s="771" t="s">
        <v>6645</v>
      </c>
      <c r="C518" s="771">
        <v>8</v>
      </c>
      <c r="D518" s="466"/>
      <c r="H518" s="771" t="s">
        <v>6737</v>
      </c>
      <c r="I518" s="771">
        <v>3</v>
      </c>
      <c r="K518" s="771" t="s">
        <v>6546</v>
      </c>
      <c r="L518" s="771">
        <v>4</v>
      </c>
      <c r="P518" s="771" t="s">
        <v>6498</v>
      </c>
      <c r="Q518" s="771">
        <v>1</v>
      </c>
    </row>
    <row r="519" spans="2:17">
      <c r="B519" s="771" t="s">
        <v>6649</v>
      </c>
      <c r="C519" s="771">
        <v>8</v>
      </c>
      <c r="D519" s="466"/>
      <c r="H519" s="771" t="s">
        <v>6738</v>
      </c>
      <c r="I519" s="771">
        <v>5</v>
      </c>
      <c r="K519" s="771" t="s">
        <v>6551</v>
      </c>
      <c r="L519" s="771">
        <v>4</v>
      </c>
      <c r="P519" s="771" t="s">
        <v>6501</v>
      </c>
      <c r="Q519" s="771">
        <v>4</v>
      </c>
    </row>
    <row r="520" spans="2:17">
      <c r="B520" s="771" t="s">
        <v>6739</v>
      </c>
      <c r="C520" s="771">
        <v>10</v>
      </c>
      <c r="D520" s="466"/>
      <c r="H520" s="771" t="s">
        <v>6740</v>
      </c>
      <c r="I520" s="771">
        <v>1</v>
      </c>
      <c r="K520" s="771" t="s">
        <v>6554</v>
      </c>
      <c r="L520" s="771">
        <v>4</v>
      </c>
      <c r="P520" s="771" t="s">
        <v>6444</v>
      </c>
      <c r="Q520" s="771">
        <v>3</v>
      </c>
    </row>
    <row r="521" spans="2:17">
      <c r="B521" s="771" t="s">
        <v>6741</v>
      </c>
      <c r="C521" s="771">
        <v>8</v>
      </c>
      <c r="D521" s="466"/>
      <c r="H521" s="771" t="s">
        <v>6742</v>
      </c>
      <c r="I521" s="771">
        <v>5</v>
      </c>
      <c r="K521" s="771" t="s">
        <v>6743</v>
      </c>
      <c r="L521" s="771">
        <v>4</v>
      </c>
      <c r="P521" s="771" t="s">
        <v>6245</v>
      </c>
      <c r="Q521" s="771">
        <v>4</v>
      </c>
    </row>
    <row r="522" spans="2:17">
      <c r="B522" s="771" t="s">
        <v>6744</v>
      </c>
      <c r="C522" s="771">
        <v>8</v>
      </c>
      <c r="D522" s="466"/>
      <c r="H522" s="771" t="s">
        <v>6745</v>
      </c>
      <c r="I522" s="771">
        <v>1</v>
      </c>
      <c r="K522" s="771" t="s">
        <v>6556</v>
      </c>
      <c r="L522" s="771">
        <v>2</v>
      </c>
      <c r="P522" s="771" t="s">
        <v>6247</v>
      </c>
      <c r="Q522" s="771">
        <v>2</v>
      </c>
    </row>
    <row r="523" spans="2:17">
      <c r="B523" s="771" t="s">
        <v>6652</v>
      </c>
      <c r="C523" s="771">
        <v>8</v>
      </c>
      <c r="D523" s="466"/>
      <c r="H523" s="771" t="s">
        <v>6746</v>
      </c>
      <c r="I523" s="771">
        <v>5</v>
      </c>
      <c r="K523" s="771" t="s">
        <v>6558</v>
      </c>
      <c r="L523" s="771">
        <v>4</v>
      </c>
      <c r="P523" s="771" t="s">
        <v>6249</v>
      </c>
      <c r="Q523" s="771">
        <v>2</v>
      </c>
    </row>
    <row r="524" spans="2:17">
      <c r="B524" s="771" t="s">
        <v>6654</v>
      </c>
      <c r="C524" s="771">
        <v>10</v>
      </c>
      <c r="D524" s="466"/>
      <c r="H524" s="771" t="s">
        <v>6747</v>
      </c>
      <c r="I524" s="771">
        <v>5</v>
      </c>
      <c r="K524" s="771" t="s">
        <v>6748</v>
      </c>
      <c r="L524" s="771">
        <v>1</v>
      </c>
      <c r="P524" s="771" t="s">
        <v>6251</v>
      </c>
      <c r="Q524" s="771">
        <v>3</v>
      </c>
    </row>
    <row r="525" spans="2:17">
      <c r="B525" s="771" t="s">
        <v>6749</v>
      </c>
      <c r="C525" s="771">
        <v>10</v>
      </c>
      <c r="D525" s="466"/>
      <c r="H525" s="771" t="s">
        <v>6750</v>
      </c>
      <c r="I525" s="771">
        <v>1</v>
      </c>
      <c r="K525" s="771" t="s">
        <v>6559</v>
      </c>
      <c r="L525" s="771">
        <v>3</v>
      </c>
      <c r="P525" s="771" t="s">
        <v>6253</v>
      </c>
      <c r="Q525" s="771">
        <v>1</v>
      </c>
    </row>
    <row r="526" spans="2:17">
      <c r="B526" s="771" t="s">
        <v>6655</v>
      </c>
      <c r="C526" s="771">
        <v>8</v>
      </c>
      <c r="D526" s="466"/>
      <c r="H526" s="771" t="s">
        <v>6751</v>
      </c>
      <c r="I526" s="771">
        <v>3</v>
      </c>
      <c r="K526" s="771" t="s">
        <v>6560</v>
      </c>
      <c r="L526" s="771">
        <v>2</v>
      </c>
      <c r="P526" s="771" t="s">
        <v>6451</v>
      </c>
      <c r="Q526" s="771">
        <v>2</v>
      </c>
    </row>
    <row r="527" spans="2:17">
      <c r="B527" s="771" t="s">
        <v>6752</v>
      </c>
      <c r="C527" s="771">
        <v>8</v>
      </c>
      <c r="D527" s="466"/>
      <c r="H527" s="771" t="s">
        <v>6753</v>
      </c>
      <c r="I527" s="771">
        <v>5</v>
      </c>
      <c r="K527" s="771" t="s">
        <v>6562</v>
      </c>
      <c r="L527" s="771">
        <v>4</v>
      </c>
      <c r="P527" s="771" t="s">
        <v>6453</v>
      </c>
      <c r="Q527" s="771">
        <v>4</v>
      </c>
    </row>
    <row r="528" spans="2:17">
      <c r="B528" s="771" t="s">
        <v>6754</v>
      </c>
      <c r="C528" s="771">
        <v>8</v>
      </c>
      <c r="D528" s="466"/>
      <c r="H528" s="771" t="s">
        <v>6755</v>
      </c>
      <c r="I528" s="771">
        <v>1</v>
      </c>
      <c r="K528" s="771" t="s">
        <v>6564</v>
      </c>
      <c r="L528" s="771">
        <v>1</v>
      </c>
      <c r="P528" s="771" t="s">
        <v>6256</v>
      </c>
      <c r="Q528" s="771">
        <v>2</v>
      </c>
    </row>
    <row r="529" spans="2:17">
      <c r="B529" s="771" t="s">
        <v>6756</v>
      </c>
      <c r="C529" s="771">
        <v>8</v>
      </c>
      <c r="D529" s="466"/>
      <c r="H529" s="771" t="s">
        <v>6757</v>
      </c>
      <c r="I529" s="771">
        <v>3</v>
      </c>
      <c r="K529" s="771" t="s">
        <v>6566</v>
      </c>
      <c r="L529" s="771">
        <v>2</v>
      </c>
      <c r="P529" s="771" t="s">
        <v>6457</v>
      </c>
      <c r="Q529" s="771">
        <v>1</v>
      </c>
    </row>
    <row r="530" spans="2:17">
      <c r="B530" s="771" t="s">
        <v>6656</v>
      </c>
      <c r="C530" s="771">
        <v>10</v>
      </c>
      <c r="D530" s="466"/>
      <c r="H530" s="771" t="s">
        <v>6758</v>
      </c>
      <c r="I530" s="771">
        <v>3</v>
      </c>
      <c r="K530" s="771" t="s">
        <v>6569</v>
      </c>
      <c r="L530" s="771">
        <v>2</v>
      </c>
      <c r="P530" s="771" t="s">
        <v>6459</v>
      </c>
      <c r="Q530" s="771">
        <v>2</v>
      </c>
    </row>
    <row r="531" spans="2:17">
      <c r="B531" s="771" t="s">
        <v>6759</v>
      </c>
      <c r="C531" s="771">
        <v>8</v>
      </c>
      <c r="D531" s="466"/>
      <c r="H531" s="771" t="s">
        <v>6760</v>
      </c>
      <c r="I531" s="771">
        <v>1</v>
      </c>
      <c r="K531" s="771" t="s">
        <v>6640</v>
      </c>
      <c r="L531" s="771">
        <v>2</v>
      </c>
      <c r="P531" s="771" t="s">
        <v>6761</v>
      </c>
      <c r="Q531" s="771">
        <v>4</v>
      </c>
    </row>
    <row r="532" spans="2:17">
      <c r="B532" s="771" t="s">
        <v>6762</v>
      </c>
      <c r="C532" s="771">
        <v>8</v>
      </c>
      <c r="D532" s="466"/>
      <c r="H532" s="771" t="s">
        <v>6763</v>
      </c>
      <c r="I532" s="771">
        <v>1</v>
      </c>
      <c r="K532" s="771" t="s">
        <v>6573</v>
      </c>
      <c r="L532" s="771">
        <v>2</v>
      </c>
      <c r="P532" s="771" t="s">
        <v>6258</v>
      </c>
      <c r="Q532" s="771">
        <v>4</v>
      </c>
    </row>
    <row r="533" spans="2:17">
      <c r="B533" s="771" t="s">
        <v>6658</v>
      </c>
      <c r="C533" s="771">
        <v>8</v>
      </c>
      <c r="D533" s="466"/>
      <c r="H533" s="771" t="s">
        <v>6764</v>
      </c>
      <c r="I533" s="771">
        <v>1</v>
      </c>
      <c r="K533" s="771" t="s">
        <v>6576</v>
      </c>
      <c r="L533" s="771">
        <v>4</v>
      </c>
      <c r="P533" s="771" t="s">
        <v>6260</v>
      </c>
      <c r="Q533" s="771">
        <v>1</v>
      </c>
    </row>
    <row r="534" spans="2:17">
      <c r="B534" s="771" t="s">
        <v>6765</v>
      </c>
      <c r="C534" s="771">
        <v>8</v>
      </c>
      <c r="D534" s="466"/>
      <c r="H534" s="771" t="s">
        <v>6766</v>
      </c>
      <c r="I534" s="771">
        <v>1</v>
      </c>
      <c r="K534" s="771" t="s">
        <v>6648</v>
      </c>
      <c r="L534" s="771">
        <v>2</v>
      </c>
      <c r="P534" s="771" t="s">
        <v>6262</v>
      </c>
      <c r="Q534" s="771">
        <v>1</v>
      </c>
    </row>
    <row r="535" spans="2:17">
      <c r="B535" s="771" t="s">
        <v>6660</v>
      </c>
      <c r="C535" s="771">
        <v>8</v>
      </c>
      <c r="D535" s="466"/>
      <c r="H535" s="771" t="s">
        <v>6767</v>
      </c>
      <c r="I535" s="771">
        <v>1</v>
      </c>
      <c r="K535" s="771" t="s">
        <v>6582</v>
      </c>
      <c r="L535" s="771">
        <v>2</v>
      </c>
      <c r="P535" s="771" t="s">
        <v>6515</v>
      </c>
      <c r="Q535" s="771">
        <v>1</v>
      </c>
    </row>
    <row r="536" spans="2:17">
      <c r="B536" s="771" t="s">
        <v>6768</v>
      </c>
      <c r="C536" s="771">
        <v>8</v>
      </c>
      <c r="D536" s="466"/>
      <c r="H536" s="771" t="s">
        <v>6769</v>
      </c>
      <c r="I536" s="771">
        <v>1</v>
      </c>
      <c r="K536" s="771" t="s">
        <v>6584</v>
      </c>
      <c r="L536" s="771">
        <v>4</v>
      </c>
      <c r="P536" s="771" t="s">
        <v>6264</v>
      </c>
      <c r="Q536" s="771">
        <v>4</v>
      </c>
    </row>
    <row r="537" spans="2:17">
      <c r="B537" s="771" t="s">
        <v>6770</v>
      </c>
      <c r="C537" s="771">
        <v>8</v>
      </c>
      <c r="D537" s="466"/>
      <c r="H537" s="771" t="s">
        <v>6771</v>
      </c>
      <c r="I537" s="771">
        <v>1</v>
      </c>
      <c r="K537" s="771" t="s">
        <v>6772</v>
      </c>
      <c r="L537" s="771">
        <v>4</v>
      </c>
      <c r="P537" s="771" t="s">
        <v>6265</v>
      </c>
      <c r="Q537" s="771">
        <v>2</v>
      </c>
    </row>
    <row r="538" spans="2:17">
      <c r="B538" s="771" t="s">
        <v>6773</v>
      </c>
      <c r="C538" s="771">
        <v>8</v>
      </c>
      <c r="D538" s="466"/>
      <c r="H538" s="771" t="s">
        <v>6774</v>
      </c>
      <c r="I538" s="771">
        <v>5</v>
      </c>
      <c r="K538" s="771" t="s">
        <v>6775</v>
      </c>
      <c r="L538" s="771">
        <v>2</v>
      </c>
      <c r="P538" s="771" t="s">
        <v>6266</v>
      </c>
      <c r="Q538" s="771">
        <v>1</v>
      </c>
    </row>
    <row r="539" spans="2:17">
      <c r="B539" s="771" t="s">
        <v>6776</v>
      </c>
      <c r="C539" s="771">
        <v>8</v>
      </c>
      <c r="D539" s="466"/>
      <c r="H539" s="771" t="s">
        <v>6777</v>
      </c>
      <c r="I539" s="771">
        <v>3</v>
      </c>
      <c r="K539" s="771" t="s">
        <v>6590</v>
      </c>
      <c r="L539" s="771">
        <v>4</v>
      </c>
      <c r="P539" s="771" t="s">
        <v>6267</v>
      </c>
      <c r="Q539" s="771">
        <v>4</v>
      </c>
    </row>
    <row r="540" spans="2:17">
      <c r="B540" s="771" t="s">
        <v>6778</v>
      </c>
      <c r="C540" s="771">
        <v>8</v>
      </c>
      <c r="D540" s="466"/>
      <c r="H540" s="771" t="s">
        <v>6779</v>
      </c>
      <c r="I540" s="771">
        <v>5</v>
      </c>
      <c r="K540" s="771" t="s">
        <v>6661</v>
      </c>
      <c r="L540" s="771">
        <v>3</v>
      </c>
      <c r="P540" s="771" t="s">
        <v>6269</v>
      </c>
      <c r="Q540" s="771">
        <v>2</v>
      </c>
    </row>
    <row r="541" spans="2:17">
      <c r="B541" s="771" t="s">
        <v>6780</v>
      </c>
      <c r="C541" s="771">
        <v>8</v>
      </c>
      <c r="D541" s="466"/>
      <c r="H541" s="771" t="s">
        <v>6781</v>
      </c>
      <c r="I541" s="771">
        <v>3</v>
      </c>
      <c r="K541" s="771" t="s">
        <v>6782</v>
      </c>
      <c r="L541" s="771">
        <v>2</v>
      </c>
      <c r="P541" s="771" t="s">
        <v>6271</v>
      </c>
      <c r="Q541" s="771">
        <v>1</v>
      </c>
    </row>
    <row r="542" spans="2:17">
      <c r="B542" s="771" t="s">
        <v>6675</v>
      </c>
      <c r="C542" s="771">
        <v>10</v>
      </c>
      <c r="D542" s="466"/>
      <c r="H542" s="771" t="s">
        <v>6783</v>
      </c>
      <c r="I542" s="771">
        <v>3</v>
      </c>
      <c r="K542" s="771" t="s">
        <v>6784</v>
      </c>
      <c r="L542" s="771">
        <v>4</v>
      </c>
      <c r="P542" s="771" t="s">
        <v>6274</v>
      </c>
      <c r="Q542" s="771">
        <v>2</v>
      </c>
    </row>
    <row r="543" spans="2:17">
      <c r="B543" s="771" t="s">
        <v>6677</v>
      </c>
      <c r="C543" s="771">
        <v>8</v>
      </c>
      <c r="D543" s="466"/>
      <c r="H543" s="771" t="s">
        <v>6785</v>
      </c>
      <c r="I543" s="771">
        <v>1</v>
      </c>
      <c r="K543" s="771" t="s">
        <v>6786</v>
      </c>
      <c r="L543" s="771">
        <v>4</v>
      </c>
      <c r="P543" s="771" t="s">
        <v>6787</v>
      </c>
      <c r="Q543" s="771">
        <v>1</v>
      </c>
    </row>
    <row r="544" spans="2:17">
      <c r="B544" s="771" t="s">
        <v>6788</v>
      </c>
      <c r="C544" s="771">
        <v>10</v>
      </c>
      <c r="D544" s="466"/>
      <c r="H544" s="771" t="s">
        <v>6789</v>
      </c>
      <c r="I544" s="771">
        <v>1</v>
      </c>
      <c r="K544" s="771" t="s">
        <v>6790</v>
      </c>
      <c r="L544" s="771">
        <v>2</v>
      </c>
      <c r="P544" s="771" t="s">
        <v>6279</v>
      </c>
      <c r="Q544" s="771">
        <v>4</v>
      </c>
    </row>
    <row r="545" spans="2:17">
      <c r="B545" s="771" t="s">
        <v>6791</v>
      </c>
      <c r="C545" s="771">
        <v>10</v>
      </c>
      <c r="D545" s="466"/>
      <c r="H545" s="771" t="s">
        <v>6792</v>
      </c>
      <c r="I545" s="771">
        <v>5</v>
      </c>
      <c r="K545" s="771" t="s">
        <v>6664</v>
      </c>
      <c r="L545" s="771">
        <v>2</v>
      </c>
      <c r="P545" s="771" t="s">
        <v>6281</v>
      </c>
      <c r="Q545" s="771">
        <v>1</v>
      </c>
    </row>
    <row r="546" spans="2:17">
      <c r="B546" s="771" t="s">
        <v>6681</v>
      </c>
      <c r="C546" s="771">
        <v>10</v>
      </c>
      <c r="D546" s="466"/>
      <c r="H546" s="771" t="s">
        <v>6793</v>
      </c>
      <c r="I546" s="771">
        <v>1</v>
      </c>
      <c r="K546" s="771" t="s">
        <v>6794</v>
      </c>
      <c r="L546" s="771">
        <v>2</v>
      </c>
      <c r="P546" s="771" t="s">
        <v>6283</v>
      </c>
      <c r="Q546" s="771">
        <v>2</v>
      </c>
    </row>
    <row r="547" spans="2:17">
      <c r="B547" s="771" t="s">
        <v>6684</v>
      </c>
      <c r="C547" s="771">
        <v>8</v>
      </c>
      <c r="D547" s="466"/>
      <c r="H547" s="771" t="s">
        <v>6795</v>
      </c>
      <c r="I547" s="771">
        <v>1</v>
      </c>
      <c r="K547" s="771" t="s">
        <v>6592</v>
      </c>
      <c r="L547" s="771">
        <v>4</v>
      </c>
      <c r="P547" s="771" t="s">
        <v>6284</v>
      </c>
      <c r="Q547" s="771">
        <v>4</v>
      </c>
    </row>
    <row r="548" spans="2:17">
      <c r="B548" s="771" t="s">
        <v>6686</v>
      </c>
      <c r="C548" s="771">
        <v>10</v>
      </c>
      <c r="D548" s="466"/>
      <c r="H548" s="771" t="s">
        <v>6796</v>
      </c>
      <c r="I548" s="771">
        <v>1</v>
      </c>
      <c r="K548" s="771" t="s">
        <v>6672</v>
      </c>
      <c r="L548" s="771">
        <v>2</v>
      </c>
      <c r="P548" s="771" t="s">
        <v>6286</v>
      </c>
      <c r="Q548" s="771">
        <v>4</v>
      </c>
    </row>
    <row r="549" spans="2:17">
      <c r="B549" s="771" t="s">
        <v>6797</v>
      </c>
      <c r="C549" s="771">
        <v>10</v>
      </c>
      <c r="D549" s="466"/>
      <c r="H549" s="771" t="s">
        <v>6798</v>
      </c>
      <c r="I549" s="771">
        <v>1</v>
      </c>
      <c r="K549" s="771" t="s">
        <v>6674</v>
      </c>
      <c r="L549" s="771">
        <v>2</v>
      </c>
      <c r="P549" s="771" t="s">
        <v>6530</v>
      </c>
      <c r="Q549" s="771">
        <v>1</v>
      </c>
    </row>
    <row r="550" spans="2:17">
      <c r="B550" s="771" t="s">
        <v>6688</v>
      </c>
      <c r="C550" s="771">
        <v>8</v>
      </c>
      <c r="D550" s="466"/>
      <c r="H550" s="771" t="s">
        <v>6799</v>
      </c>
      <c r="I550" s="771">
        <v>3</v>
      </c>
      <c r="K550" s="771" t="s">
        <v>6676</v>
      </c>
      <c r="L550" s="771">
        <v>2</v>
      </c>
      <c r="P550" s="771" t="s">
        <v>6800</v>
      </c>
      <c r="Q550" s="771">
        <v>4</v>
      </c>
    </row>
    <row r="551" spans="2:17">
      <c r="B551" s="771" t="s">
        <v>6801</v>
      </c>
      <c r="C551" s="771">
        <v>10</v>
      </c>
      <c r="D551" s="466"/>
      <c r="H551" s="771" t="s">
        <v>6802</v>
      </c>
      <c r="I551" s="771">
        <v>1</v>
      </c>
      <c r="K551" s="771" t="s">
        <v>6680</v>
      </c>
      <c r="L551" s="771">
        <v>2</v>
      </c>
      <c r="P551" s="771" t="s">
        <v>6803</v>
      </c>
      <c r="Q551" s="771">
        <v>1</v>
      </c>
    </row>
    <row r="552" spans="2:17">
      <c r="B552" s="771" t="s">
        <v>6804</v>
      </c>
      <c r="C552" s="771">
        <v>10</v>
      </c>
      <c r="D552" s="466"/>
      <c r="H552" s="771" t="s">
        <v>6805</v>
      </c>
      <c r="I552" s="771">
        <v>1</v>
      </c>
      <c r="K552" s="771" t="s">
        <v>6685</v>
      </c>
      <c r="L552" s="771">
        <v>2</v>
      </c>
      <c r="P552" s="771" t="s">
        <v>6287</v>
      </c>
      <c r="Q552" s="771">
        <v>1</v>
      </c>
    </row>
    <row r="553" spans="2:17">
      <c r="B553" s="771" t="s">
        <v>6806</v>
      </c>
      <c r="C553" s="771">
        <v>10</v>
      </c>
      <c r="D553" s="466"/>
      <c r="H553" s="771" t="s">
        <v>6807</v>
      </c>
      <c r="I553" s="771">
        <v>1</v>
      </c>
      <c r="K553" s="771" t="s">
        <v>6808</v>
      </c>
      <c r="L553" s="771">
        <v>2</v>
      </c>
      <c r="P553" s="771" t="s">
        <v>6289</v>
      </c>
      <c r="Q553" s="771">
        <v>4</v>
      </c>
    </row>
    <row r="554" spans="2:17">
      <c r="B554" s="771" t="s">
        <v>6809</v>
      </c>
      <c r="C554" s="771">
        <v>10</v>
      </c>
      <c r="D554" s="466"/>
      <c r="H554" s="771" t="s">
        <v>6810</v>
      </c>
      <c r="I554" s="771">
        <v>5</v>
      </c>
      <c r="K554" s="771" t="s">
        <v>6687</v>
      </c>
      <c r="L554" s="771">
        <v>2</v>
      </c>
      <c r="P554" s="771" t="s">
        <v>6291</v>
      </c>
      <c r="Q554" s="771">
        <v>2</v>
      </c>
    </row>
    <row r="555" spans="2:17">
      <c r="B555" s="771" t="s">
        <v>6691</v>
      </c>
      <c r="C555" s="771">
        <v>10</v>
      </c>
      <c r="D555" s="466"/>
      <c r="H555" s="771" t="s">
        <v>6811</v>
      </c>
      <c r="I555" s="771">
        <v>5</v>
      </c>
      <c r="K555" s="771" t="s">
        <v>6812</v>
      </c>
      <c r="L555" s="771">
        <v>3</v>
      </c>
      <c r="P555" s="771" t="s">
        <v>6293</v>
      </c>
      <c r="Q555" s="771">
        <v>2</v>
      </c>
    </row>
    <row r="556" spans="2:17">
      <c r="B556" s="771" t="s">
        <v>6692</v>
      </c>
      <c r="C556" s="771">
        <v>10</v>
      </c>
      <c r="D556" s="466"/>
      <c r="H556" s="771" t="s">
        <v>6813</v>
      </c>
      <c r="I556" s="771">
        <v>3</v>
      </c>
      <c r="K556" s="771" t="s">
        <v>6814</v>
      </c>
      <c r="L556" s="771">
        <v>3</v>
      </c>
      <c r="P556" s="771" t="s">
        <v>6296</v>
      </c>
      <c r="Q556" s="771">
        <v>2</v>
      </c>
    </row>
    <row r="557" spans="2:17">
      <c r="B557" s="771" t="s">
        <v>6815</v>
      </c>
      <c r="C557" s="771">
        <v>10</v>
      </c>
      <c r="D557" s="466"/>
      <c r="H557" s="771" t="s">
        <v>6816</v>
      </c>
      <c r="I557" s="771">
        <v>3</v>
      </c>
      <c r="K557" s="771" t="s">
        <v>6817</v>
      </c>
      <c r="L557" s="771">
        <v>2</v>
      </c>
      <c r="P557" s="771" t="s">
        <v>6536</v>
      </c>
      <c r="Q557" s="771">
        <v>3</v>
      </c>
    </row>
    <row r="558" spans="2:17">
      <c r="B558" s="771" t="s">
        <v>6818</v>
      </c>
      <c r="C558" s="771">
        <v>8</v>
      </c>
      <c r="D558" s="466"/>
      <c r="H558" s="771" t="s">
        <v>6819</v>
      </c>
      <c r="I558" s="771">
        <v>1</v>
      </c>
      <c r="K558" s="771" t="s">
        <v>6820</v>
      </c>
      <c r="L558" s="771">
        <v>3</v>
      </c>
      <c r="P558" s="771" t="s">
        <v>6298</v>
      </c>
      <c r="Q558" s="771">
        <v>1</v>
      </c>
    </row>
    <row r="559" spans="2:17">
      <c r="B559" s="771" t="s">
        <v>6821</v>
      </c>
      <c r="C559" s="771">
        <v>10</v>
      </c>
      <c r="D559" s="466"/>
      <c r="H559" s="771" t="s">
        <v>6822</v>
      </c>
      <c r="I559" s="771">
        <v>1</v>
      </c>
      <c r="K559" s="771" t="s">
        <v>6823</v>
      </c>
      <c r="L559" s="771">
        <v>1</v>
      </c>
      <c r="P559" s="771" t="s">
        <v>6486</v>
      </c>
      <c r="Q559" s="771">
        <v>1</v>
      </c>
    </row>
    <row r="560" spans="2:17">
      <c r="B560" s="771" t="s">
        <v>6693</v>
      </c>
      <c r="C560" s="771">
        <v>8</v>
      </c>
      <c r="D560" s="466"/>
      <c r="H560" s="771" t="s">
        <v>6824</v>
      </c>
      <c r="I560" s="771">
        <v>5</v>
      </c>
      <c r="K560" s="771" t="s">
        <v>6825</v>
      </c>
      <c r="L560" s="771">
        <v>2</v>
      </c>
      <c r="P560" s="771" t="s">
        <v>6488</v>
      </c>
      <c r="Q560" s="771">
        <v>4</v>
      </c>
    </row>
    <row r="561" spans="2:17">
      <c r="B561" s="771" t="s">
        <v>6695</v>
      </c>
      <c r="C561" s="771">
        <v>8</v>
      </c>
      <c r="D561" s="466"/>
      <c r="H561" s="771" t="s">
        <v>6826</v>
      </c>
      <c r="I561" s="771">
        <v>3</v>
      </c>
      <c r="K561" s="771" t="s">
        <v>6594</v>
      </c>
      <c r="L561" s="771">
        <v>4</v>
      </c>
      <c r="P561" s="771" t="s">
        <v>6300</v>
      </c>
      <c r="Q561" s="771">
        <v>2</v>
      </c>
    </row>
    <row r="562" spans="2:17">
      <c r="B562" s="771" t="s">
        <v>6827</v>
      </c>
      <c r="C562" s="771">
        <v>10</v>
      </c>
      <c r="D562" s="466"/>
      <c r="H562" s="771" t="s">
        <v>6828</v>
      </c>
      <c r="I562" s="771">
        <v>1</v>
      </c>
      <c r="K562" s="771" t="s">
        <v>6597</v>
      </c>
      <c r="L562" s="771">
        <v>4</v>
      </c>
      <c r="P562" s="771" t="s">
        <v>6302</v>
      </c>
      <c r="Q562" s="771">
        <v>4</v>
      </c>
    </row>
    <row r="563" spans="2:17">
      <c r="B563" s="771" t="s">
        <v>6829</v>
      </c>
      <c r="C563" s="771">
        <v>8</v>
      </c>
      <c r="D563" s="466"/>
      <c r="H563" s="771" t="s">
        <v>6830</v>
      </c>
      <c r="I563" s="771">
        <v>1</v>
      </c>
      <c r="K563" s="771" t="s">
        <v>6600</v>
      </c>
      <c r="L563" s="771">
        <v>4</v>
      </c>
      <c r="P563" s="771" t="s">
        <v>6492</v>
      </c>
      <c r="Q563" s="771">
        <v>2</v>
      </c>
    </row>
    <row r="564" spans="2:17">
      <c r="B564" s="771" t="s">
        <v>6831</v>
      </c>
      <c r="C564" s="771">
        <v>10</v>
      </c>
      <c r="D564" s="466"/>
      <c r="H564" s="771" t="s">
        <v>6832</v>
      </c>
      <c r="I564" s="771">
        <v>1</v>
      </c>
      <c r="K564" s="771" t="s">
        <v>6602</v>
      </c>
      <c r="L564" s="771">
        <v>3</v>
      </c>
      <c r="P564" s="771" t="s">
        <v>6494</v>
      </c>
      <c r="Q564" s="771">
        <v>1</v>
      </c>
    </row>
    <row r="565" spans="2:17">
      <c r="B565" s="771" t="s">
        <v>6833</v>
      </c>
      <c r="C565" s="771">
        <v>8</v>
      </c>
      <c r="D565" s="466"/>
      <c r="H565" s="771" t="s">
        <v>6834</v>
      </c>
      <c r="I565" s="771">
        <v>1</v>
      </c>
      <c r="K565" s="771" t="s">
        <v>6835</v>
      </c>
      <c r="L565" s="771">
        <v>4</v>
      </c>
      <c r="P565" s="771" t="s">
        <v>6496</v>
      </c>
      <c r="Q565" s="771">
        <v>1</v>
      </c>
    </row>
    <row r="566" spans="2:17">
      <c r="B566" s="771" t="s">
        <v>6836</v>
      </c>
      <c r="C566" s="771">
        <v>8</v>
      </c>
      <c r="D566" s="466"/>
      <c r="H566" s="771" t="s">
        <v>6837</v>
      </c>
      <c r="I566" s="771">
        <v>1</v>
      </c>
      <c r="K566" s="771" t="s">
        <v>6838</v>
      </c>
      <c r="L566" s="771">
        <v>2</v>
      </c>
      <c r="P566" s="771" t="s">
        <v>6499</v>
      </c>
      <c r="Q566" s="771">
        <v>4</v>
      </c>
    </row>
    <row r="567" spans="2:17">
      <c r="B567" s="771" t="s">
        <v>6839</v>
      </c>
      <c r="C567" s="771">
        <v>8</v>
      </c>
      <c r="D567" s="466"/>
      <c r="H567" s="771" t="s">
        <v>6840</v>
      </c>
      <c r="I567" s="771">
        <v>5</v>
      </c>
      <c r="K567" s="771" t="s">
        <v>6607</v>
      </c>
      <c r="L567" s="771">
        <v>2</v>
      </c>
      <c r="P567" s="771" t="s">
        <v>6549</v>
      </c>
      <c r="Q567" s="771">
        <v>1</v>
      </c>
    </row>
    <row r="568" spans="2:17">
      <c r="B568" s="771" t="s">
        <v>6841</v>
      </c>
      <c r="C568" s="771">
        <v>8</v>
      </c>
      <c r="D568" s="466"/>
      <c r="H568" s="771" t="s">
        <v>6842</v>
      </c>
      <c r="I568" s="771">
        <v>3</v>
      </c>
      <c r="K568" s="771" t="s">
        <v>6843</v>
      </c>
      <c r="L568" s="771">
        <v>1</v>
      </c>
      <c r="P568" s="771" t="s">
        <v>6304</v>
      </c>
      <c r="Q568" s="771">
        <v>1</v>
      </c>
    </row>
    <row r="569" spans="2:17">
      <c r="B569" s="771" t="s">
        <v>6844</v>
      </c>
      <c r="C569" s="771">
        <v>10</v>
      </c>
      <c r="D569" s="466"/>
      <c r="H569" s="771" t="s">
        <v>6845</v>
      </c>
      <c r="I569" s="771">
        <v>3</v>
      </c>
      <c r="K569" s="771" t="s">
        <v>6846</v>
      </c>
      <c r="L569" s="771">
        <v>2</v>
      </c>
      <c r="P569" s="771" t="s">
        <v>6847</v>
      </c>
      <c r="Q569" s="771">
        <v>4</v>
      </c>
    </row>
    <row r="570" spans="2:17">
      <c r="B570" s="771" t="s">
        <v>6848</v>
      </c>
      <c r="C570" s="771">
        <v>8</v>
      </c>
      <c r="D570" s="466"/>
      <c r="H570" s="771" t="s">
        <v>6849</v>
      </c>
      <c r="I570" s="771">
        <v>3</v>
      </c>
      <c r="K570" s="771" t="s">
        <v>6850</v>
      </c>
      <c r="L570" s="771">
        <v>2</v>
      </c>
      <c r="P570" s="771" t="s">
        <v>6309</v>
      </c>
      <c r="Q570" s="771">
        <v>1</v>
      </c>
    </row>
    <row r="571" spans="2:17">
      <c r="B571" s="771" t="s">
        <v>6710</v>
      </c>
      <c r="C571" s="771">
        <v>8</v>
      </c>
      <c r="D571" s="466"/>
      <c r="H571" s="771" t="s">
        <v>6851</v>
      </c>
      <c r="I571" s="771">
        <v>3</v>
      </c>
      <c r="K571" s="771" t="s">
        <v>6609</v>
      </c>
      <c r="L571" s="771">
        <v>1</v>
      </c>
      <c r="P571" s="771" t="s">
        <v>6557</v>
      </c>
      <c r="Q571" s="771">
        <v>4</v>
      </c>
    </row>
    <row r="572" spans="2:17">
      <c r="B572" s="771" t="s">
        <v>6852</v>
      </c>
      <c r="C572" s="771">
        <v>10</v>
      </c>
      <c r="D572" s="466"/>
      <c r="H572" s="771" t="s">
        <v>6853</v>
      </c>
      <c r="I572" s="771">
        <v>1</v>
      </c>
      <c r="K572" s="771" t="s">
        <v>6854</v>
      </c>
      <c r="L572" s="771">
        <v>2</v>
      </c>
      <c r="P572" s="771" t="s">
        <v>6855</v>
      </c>
      <c r="Q572" s="771">
        <v>1</v>
      </c>
    </row>
    <row r="573" spans="2:17">
      <c r="B573" s="771" t="s">
        <v>6711</v>
      </c>
      <c r="C573" s="771">
        <v>10</v>
      </c>
      <c r="D573" s="466"/>
      <c r="H573" s="771" t="s">
        <v>6856</v>
      </c>
      <c r="I573" s="771">
        <v>1</v>
      </c>
      <c r="K573" s="771" t="s">
        <v>6696</v>
      </c>
      <c r="L573" s="771">
        <v>3</v>
      </c>
      <c r="P573" s="771" t="s">
        <v>6316</v>
      </c>
      <c r="Q573" s="771">
        <v>1</v>
      </c>
    </row>
    <row r="574" spans="2:17">
      <c r="B574" s="771" t="s">
        <v>6718</v>
      </c>
      <c r="C574" s="771">
        <v>8</v>
      </c>
      <c r="D574" s="466"/>
      <c r="H574" s="771" t="s">
        <v>6857</v>
      </c>
      <c r="I574" s="771">
        <v>3</v>
      </c>
      <c r="K574" s="771" t="s">
        <v>6858</v>
      </c>
      <c r="L574" s="771">
        <v>1</v>
      </c>
      <c r="P574" s="771" t="s">
        <v>6320</v>
      </c>
      <c r="Q574" s="771">
        <v>1</v>
      </c>
    </row>
    <row r="575" spans="2:17">
      <c r="B575" s="771" t="s">
        <v>6722</v>
      </c>
      <c r="C575" s="771">
        <v>10</v>
      </c>
      <c r="D575" s="466"/>
      <c r="H575" s="771" t="s">
        <v>6859</v>
      </c>
      <c r="I575" s="771">
        <v>5</v>
      </c>
      <c r="K575" s="771" t="s">
        <v>6860</v>
      </c>
      <c r="L575" s="771">
        <v>2</v>
      </c>
      <c r="P575" s="771" t="s">
        <v>6322</v>
      </c>
      <c r="Q575" s="771">
        <v>2</v>
      </c>
    </row>
    <row r="576" spans="2:17">
      <c r="B576" s="771" t="s">
        <v>6726</v>
      </c>
      <c r="C576" s="771">
        <v>8</v>
      </c>
      <c r="D576" s="466"/>
      <c r="H576" s="771" t="s">
        <v>6861</v>
      </c>
      <c r="I576" s="771">
        <v>3</v>
      </c>
      <c r="K576" s="771" t="s">
        <v>6700</v>
      </c>
      <c r="L576" s="771">
        <v>4</v>
      </c>
      <c r="P576" s="771" t="s">
        <v>6510</v>
      </c>
      <c r="Q576" s="771">
        <v>4</v>
      </c>
    </row>
    <row r="577" spans="2:17">
      <c r="B577" s="771" t="s">
        <v>6728</v>
      </c>
      <c r="C577" s="771">
        <v>8</v>
      </c>
      <c r="D577" s="466"/>
      <c r="H577" s="771" t="s">
        <v>6862</v>
      </c>
      <c r="I577" s="771">
        <v>1</v>
      </c>
      <c r="K577" s="771" t="s">
        <v>6707</v>
      </c>
      <c r="L577" s="771">
        <v>2</v>
      </c>
      <c r="P577" s="771" t="s">
        <v>6863</v>
      </c>
      <c r="Q577" s="771">
        <v>1</v>
      </c>
    </row>
    <row r="578" spans="2:17">
      <c r="B578" s="771" t="s">
        <v>6729</v>
      </c>
      <c r="C578" s="771">
        <v>8</v>
      </c>
      <c r="D578" s="466"/>
      <c r="H578" s="771" t="s">
        <v>6864</v>
      </c>
      <c r="I578" s="771">
        <v>1</v>
      </c>
      <c r="K578" s="771" t="s">
        <v>6709</v>
      </c>
      <c r="L578" s="771">
        <v>4</v>
      </c>
      <c r="P578" s="771" t="s">
        <v>6513</v>
      </c>
      <c r="Q578" s="771">
        <v>2</v>
      </c>
    </row>
    <row r="579" spans="2:17">
      <c r="B579" s="771" t="s">
        <v>6730</v>
      </c>
      <c r="C579" s="771">
        <v>8</v>
      </c>
      <c r="D579" s="466"/>
      <c r="H579" s="771" t="s">
        <v>6865</v>
      </c>
      <c r="I579" s="771">
        <v>5</v>
      </c>
      <c r="K579" s="771" t="s">
        <v>6866</v>
      </c>
      <c r="L579" s="771">
        <v>2</v>
      </c>
      <c r="P579" s="771" t="s">
        <v>6516</v>
      </c>
      <c r="Q579" s="771">
        <v>2</v>
      </c>
    </row>
    <row r="580" spans="2:17">
      <c r="B580" s="771" t="s">
        <v>6867</v>
      </c>
      <c r="C580" s="771">
        <v>10</v>
      </c>
      <c r="D580" s="466"/>
      <c r="H580" s="771" t="s">
        <v>6868</v>
      </c>
      <c r="I580" s="771">
        <v>1</v>
      </c>
      <c r="K580" s="771" t="s">
        <v>6712</v>
      </c>
      <c r="L580" s="771">
        <v>2</v>
      </c>
      <c r="P580" s="771" t="s">
        <v>6337</v>
      </c>
      <c r="Q580" s="771">
        <v>1</v>
      </c>
    </row>
    <row r="581" spans="2:17">
      <c r="B581" s="771" t="s">
        <v>6869</v>
      </c>
      <c r="C581" s="771">
        <v>8</v>
      </c>
      <c r="D581" s="466"/>
      <c r="H581" s="771" t="s">
        <v>6870</v>
      </c>
      <c r="I581" s="771">
        <v>1</v>
      </c>
      <c r="K581" s="771" t="s">
        <v>6619</v>
      </c>
      <c r="L581" s="771">
        <v>2</v>
      </c>
      <c r="P581" s="771" t="s">
        <v>6339</v>
      </c>
      <c r="Q581" s="771">
        <v>4</v>
      </c>
    </row>
    <row r="582" spans="2:17">
      <c r="B582" s="771" t="s">
        <v>6871</v>
      </c>
      <c r="C582" s="771">
        <v>8</v>
      </c>
      <c r="D582" s="466"/>
      <c r="H582" s="771" t="s">
        <v>6872</v>
      </c>
      <c r="I582" s="771">
        <v>5</v>
      </c>
      <c r="K582" s="771" t="s">
        <v>6715</v>
      </c>
      <c r="L582" s="771">
        <v>1</v>
      </c>
      <c r="P582" s="771" t="s">
        <v>6580</v>
      </c>
      <c r="Q582" s="771">
        <v>1</v>
      </c>
    </row>
    <row r="583" spans="2:17">
      <c r="B583" s="771" t="s">
        <v>6873</v>
      </c>
      <c r="C583" s="771">
        <v>8</v>
      </c>
      <c r="D583" s="466"/>
      <c r="H583" s="771" t="s">
        <v>6874</v>
      </c>
      <c r="I583" s="771">
        <v>3</v>
      </c>
      <c r="K583" s="771" t="s">
        <v>6717</v>
      </c>
      <c r="L583" s="771">
        <v>2</v>
      </c>
      <c r="P583" s="771" t="s">
        <v>6341</v>
      </c>
      <c r="Q583" s="771">
        <v>2</v>
      </c>
    </row>
    <row r="584" spans="2:17">
      <c r="B584" s="771" t="s">
        <v>6875</v>
      </c>
      <c r="C584" s="771">
        <v>8</v>
      </c>
      <c r="D584" s="466"/>
      <c r="H584" s="771" t="s">
        <v>6876</v>
      </c>
      <c r="I584" s="771">
        <v>1</v>
      </c>
      <c r="K584" s="771" t="s">
        <v>6719</v>
      </c>
      <c r="L584" s="771">
        <v>2</v>
      </c>
      <c r="P584" s="771" t="s">
        <v>6528</v>
      </c>
      <c r="Q584" s="771">
        <v>1</v>
      </c>
    </row>
    <row r="585" spans="2:17">
      <c r="B585" s="771" t="s">
        <v>6732</v>
      </c>
      <c r="C585" s="771">
        <v>10</v>
      </c>
      <c r="D585" s="466"/>
      <c r="H585" s="771" t="s">
        <v>6877</v>
      </c>
      <c r="I585" s="771">
        <v>5</v>
      </c>
      <c r="K585" s="771" t="s">
        <v>6878</v>
      </c>
      <c r="L585" s="771">
        <v>4</v>
      </c>
      <c r="P585" s="771" t="s">
        <v>6346</v>
      </c>
      <c r="Q585" s="771">
        <v>3</v>
      </c>
    </row>
    <row r="586" spans="2:17">
      <c r="B586" s="771" t="s">
        <v>6879</v>
      </c>
      <c r="C586" s="771">
        <v>8</v>
      </c>
      <c r="D586" s="466"/>
      <c r="H586" s="771" t="s">
        <v>6880</v>
      </c>
      <c r="I586" s="771">
        <v>3</v>
      </c>
      <c r="K586" s="771" t="s">
        <v>6622</v>
      </c>
      <c r="L586" s="771">
        <v>4</v>
      </c>
      <c r="P586" s="771" t="s">
        <v>6348</v>
      </c>
      <c r="Q586" s="771">
        <v>1</v>
      </c>
    </row>
    <row r="587" spans="2:17">
      <c r="B587" s="771" t="s">
        <v>6881</v>
      </c>
      <c r="C587" s="771">
        <v>8</v>
      </c>
      <c r="D587" s="466"/>
      <c r="H587" s="771" t="s">
        <v>6882</v>
      </c>
      <c r="I587" s="771">
        <v>5</v>
      </c>
      <c r="K587" s="771" t="s">
        <v>6624</v>
      </c>
      <c r="L587" s="771">
        <v>3</v>
      </c>
      <c r="P587" s="771" t="s">
        <v>6591</v>
      </c>
      <c r="Q587" s="771">
        <v>2</v>
      </c>
    </row>
    <row r="588" spans="2:17">
      <c r="B588" s="771" t="s">
        <v>6733</v>
      </c>
      <c r="C588" s="771">
        <v>8</v>
      </c>
      <c r="D588" s="466"/>
      <c r="H588" s="771" t="s">
        <v>6883</v>
      </c>
      <c r="I588" s="771">
        <v>1</v>
      </c>
      <c r="K588" s="771" t="s">
        <v>6627</v>
      </c>
      <c r="L588" s="771">
        <v>2</v>
      </c>
      <c r="P588" s="771" t="s">
        <v>6350</v>
      </c>
      <c r="Q588" s="771">
        <v>4</v>
      </c>
    </row>
    <row r="589" spans="2:17">
      <c r="B589" s="771" t="s">
        <v>6884</v>
      </c>
      <c r="C589" s="771">
        <v>8</v>
      </c>
      <c r="D589" s="466"/>
      <c r="H589" s="771" t="s">
        <v>6885</v>
      </c>
      <c r="I589" s="771">
        <v>1</v>
      </c>
      <c r="K589" s="771" t="s">
        <v>6886</v>
      </c>
      <c r="L589" s="771">
        <v>4</v>
      </c>
      <c r="P589" s="771" t="s">
        <v>6352</v>
      </c>
      <c r="Q589" s="771">
        <v>1</v>
      </c>
    </row>
    <row r="590" spans="2:17">
      <c r="B590" s="771" t="s">
        <v>6742</v>
      </c>
      <c r="C590" s="771">
        <v>8</v>
      </c>
      <c r="D590" s="466"/>
      <c r="H590" s="771" t="s">
        <v>6887</v>
      </c>
      <c r="I590" s="771">
        <v>1</v>
      </c>
      <c r="K590" s="771" t="s">
        <v>6721</v>
      </c>
      <c r="L590" s="771">
        <v>2</v>
      </c>
      <c r="P590" s="771" t="s">
        <v>6888</v>
      </c>
      <c r="Q590" s="771">
        <v>1</v>
      </c>
    </row>
    <row r="591" spans="2:17">
      <c r="B591" s="771" t="s">
        <v>6889</v>
      </c>
      <c r="C591" s="771">
        <v>8</v>
      </c>
      <c r="D591" s="466"/>
      <c r="H591" s="771" t="s">
        <v>6890</v>
      </c>
      <c r="I591" s="771">
        <v>5</v>
      </c>
      <c r="K591" s="771" t="s">
        <v>6631</v>
      </c>
      <c r="L591" s="771">
        <v>4</v>
      </c>
      <c r="P591" s="771" t="s">
        <v>6601</v>
      </c>
      <c r="Q591" s="771">
        <v>1</v>
      </c>
    </row>
    <row r="592" spans="2:17">
      <c r="B592" s="771" t="s">
        <v>6891</v>
      </c>
      <c r="C592" s="771">
        <v>8</v>
      </c>
      <c r="D592" s="466"/>
      <c r="H592" s="771" t="s">
        <v>6892</v>
      </c>
      <c r="I592" s="771">
        <v>1</v>
      </c>
      <c r="K592" s="771" t="s">
        <v>6893</v>
      </c>
      <c r="L592" s="771">
        <v>2</v>
      </c>
      <c r="P592" s="771" t="s">
        <v>6605</v>
      </c>
      <c r="Q592" s="771">
        <v>1</v>
      </c>
    </row>
    <row r="593" spans="2:17">
      <c r="B593" s="771" t="s">
        <v>6894</v>
      </c>
      <c r="C593" s="771">
        <v>8</v>
      </c>
      <c r="D593" s="466"/>
      <c r="H593" s="771" t="s">
        <v>6895</v>
      </c>
      <c r="I593" s="771">
        <v>3</v>
      </c>
      <c r="K593" s="771" t="s">
        <v>6633</v>
      </c>
      <c r="L593" s="771">
        <v>2</v>
      </c>
      <c r="P593" s="771" t="s">
        <v>6357</v>
      </c>
      <c r="Q593" s="771">
        <v>4</v>
      </c>
    </row>
    <row r="594" spans="2:17">
      <c r="B594" s="771" t="s">
        <v>6896</v>
      </c>
      <c r="C594" s="771">
        <v>8</v>
      </c>
      <c r="D594" s="466"/>
      <c r="H594" s="771" t="s">
        <v>6897</v>
      </c>
      <c r="I594" s="771">
        <v>5</v>
      </c>
      <c r="K594" s="771" t="s">
        <v>6635</v>
      </c>
      <c r="L594" s="771">
        <v>4</v>
      </c>
      <c r="P594" s="771" t="s">
        <v>6359</v>
      </c>
      <c r="Q594" s="771">
        <v>4</v>
      </c>
    </row>
    <row r="595" spans="2:17">
      <c r="B595" s="771" t="s">
        <v>6745</v>
      </c>
      <c r="C595" s="771">
        <v>8</v>
      </c>
      <c r="D595" s="466"/>
      <c r="H595" s="771" t="s">
        <v>6898</v>
      </c>
      <c r="I595" s="771">
        <v>3</v>
      </c>
      <c r="K595" s="771" t="s">
        <v>6637</v>
      </c>
      <c r="L595" s="771">
        <v>2</v>
      </c>
      <c r="P595" s="771" t="s">
        <v>6360</v>
      </c>
      <c r="Q595" s="771">
        <v>4</v>
      </c>
    </row>
    <row r="596" spans="2:17">
      <c r="B596" s="771" t="s">
        <v>6899</v>
      </c>
      <c r="C596" s="771">
        <v>8</v>
      </c>
      <c r="D596" s="466"/>
      <c r="H596" s="771" t="s">
        <v>6900</v>
      </c>
      <c r="I596" s="771">
        <v>3</v>
      </c>
      <c r="K596" s="771" t="s">
        <v>6727</v>
      </c>
      <c r="L596" s="771">
        <v>2</v>
      </c>
      <c r="P596" s="771" t="s">
        <v>6361</v>
      </c>
      <c r="Q596" s="771">
        <v>1</v>
      </c>
    </row>
    <row r="597" spans="2:17">
      <c r="B597" s="771" t="s">
        <v>6901</v>
      </c>
      <c r="C597" s="771">
        <v>8</v>
      </c>
      <c r="D597" s="466"/>
      <c r="H597" s="771" t="s">
        <v>6902</v>
      </c>
      <c r="I597" s="771">
        <v>1</v>
      </c>
      <c r="K597" s="771" t="s">
        <v>6638</v>
      </c>
      <c r="L597" s="771">
        <v>1</v>
      </c>
      <c r="P597" s="771" t="s">
        <v>6903</v>
      </c>
      <c r="Q597" s="771">
        <v>4</v>
      </c>
    </row>
    <row r="598" spans="2:17">
      <c r="B598" s="771" t="s">
        <v>6904</v>
      </c>
      <c r="C598" s="771">
        <v>10</v>
      </c>
      <c r="D598" s="466"/>
      <c r="H598" s="771" t="s">
        <v>6905</v>
      </c>
      <c r="I598" s="771">
        <v>1</v>
      </c>
      <c r="K598" s="771" t="s">
        <v>6641</v>
      </c>
      <c r="L598" s="771">
        <v>2</v>
      </c>
      <c r="P598" s="771" t="s">
        <v>6364</v>
      </c>
      <c r="Q598" s="771">
        <v>1</v>
      </c>
    </row>
    <row r="599" spans="2:17">
      <c r="B599" s="771" t="s">
        <v>6906</v>
      </c>
      <c r="C599" s="771">
        <v>8</v>
      </c>
      <c r="D599" s="466"/>
      <c r="H599" s="771" t="s">
        <v>6907</v>
      </c>
      <c r="I599" s="771">
        <v>5</v>
      </c>
      <c r="K599" s="771" t="s">
        <v>6642</v>
      </c>
      <c r="L599" s="771">
        <v>2</v>
      </c>
      <c r="P599" s="771" t="s">
        <v>6367</v>
      </c>
      <c r="Q599" s="771">
        <v>1</v>
      </c>
    </row>
    <row r="600" spans="2:17">
      <c r="B600" s="771" t="s">
        <v>6908</v>
      </c>
      <c r="C600" s="771">
        <v>8</v>
      </c>
      <c r="D600" s="466"/>
      <c r="H600" s="771" t="s">
        <v>6909</v>
      </c>
      <c r="I600" s="771">
        <v>5</v>
      </c>
      <c r="K600" s="771" t="s">
        <v>6644</v>
      </c>
      <c r="L600" s="771">
        <v>2</v>
      </c>
      <c r="P600" s="771" t="s">
        <v>6371</v>
      </c>
      <c r="Q600" s="771">
        <v>4</v>
      </c>
    </row>
    <row r="601" spans="2:17">
      <c r="B601" s="771" t="s">
        <v>6910</v>
      </c>
      <c r="C601" s="771">
        <v>8</v>
      </c>
      <c r="D601" s="466"/>
      <c r="H601" s="771" t="s">
        <v>6911</v>
      </c>
      <c r="I601" s="771">
        <v>5</v>
      </c>
      <c r="K601" s="771" t="s">
        <v>6912</v>
      </c>
      <c r="L601" s="771">
        <v>1</v>
      </c>
      <c r="P601" s="771" t="s">
        <v>6376</v>
      </c>
      <c r="Q601" s="771">
        <v>4</v>
      </c>
    </row>
    <row r="602" spans="2:17">
      <c r="B602" s="771" t="s">
        <v>6753</v>
      </c>
      <c r="C602" s="771">
        <v>8</v>
      </c>
      <c r="D602" s="466"/>
      <c r="H602" s="771" t="s">
        <v>6913</v>
      </c>
      <c r="I602" s="771">
        <v>5</v>
      </c>
      <c r="K602" s="771" t="s">
        <v>6914</v>
      </c>
      <c r="L602" s="771">
        <v>2</v>
      </c>
      <c r="P602" s="771" t="s">
        <v>6615</v>
      </c>
      <c r="Q602" s="771">
        <v>2</v>
      </c>
    </row>
    <row r="603" spans="2:17">
      <c r="B603" s="771" t="s">
        <v>6755</v>
      </c>
      <c r="C603" s="771">
        <v>8</v>
      </c>
      <c r="D603" s="466"/>
      <c r="H603" s="771" t="s">
        <v>6915</v>
      </c>
      <c r="I603" s="771">
        <v>3</v>
      </c>
      <c r="K603" s="771" t="s">
        <v>6645</v>
      </c>
      <c r="L603" s="771">
        <v>4</v>
      </c>
      <c r="P603" s="771" t="s">
        <v>6383</v>
      </c>
      <c r="Q603" s="771">
        <v>1</v>
      </c>
    </row>
    <row r="604" spans="2:17">
      <c r="B604" s="771" t="s">
        <v>6916</v>
      </c>
      <c r="C604" s="771">
        <v>10</v>
      </c>
      <c r="D604" s="466"/>
      <c r="H604" s="771" t="s">
        <v>6917</v>
      </c>
      <c r="I604" s="771">
        <v>5</v>
      </c>
      <c r="K604" s="771" t="s">
        <v>6918</v>
      </c>
      <c r="L604" s="771">
        <v>1</v>
      </c>
      <c r="P604" s="771" t="s">
        <v>6385</v>
      </c>
      <c r="Q604" s="771">
        <v>2</v>
      </c>
    </row>
    <row r="605" spans="2:17">
      <c r="B605" s="771" t="s">
        <v>6919</v>
      </c>
      <c r="C605" s="771">
        <v>8</v>
      </c>
      <c r="D605" s="466"/>
      <c r="H605" s="771" t="s">
        <v>6920</v>
      </c>
      <c r="I605" s="771">
        <v>5</v>
      </c>
      <c r="K605" s="771" t="s">
        <v>6649</v>
      </c>
      <c r="L605" s="771">
        <v>3</v>
      </c>
      <c r="P605" s="771" t="s">
        <v>6397</v>
      </c>
      <c r="Q605" s="771">
        <v>1</v>
      </c>
    </row>
    <row r="606" spans="2:17">
      <c r="B606" s="771" t="s">
        <v>6757</v>
      </c>
      <c r="C606" s="771">
        <v>8</v>
      </c>
      <c r="D606" s="466"/>
      <c r="H606" s="771" t="s">
        <v>6921</v>
      </c>
      <c r="I606" s="771">
        <v>5</v>
      </c>
      <c r="K606" s="771" t="s">
        <v>6739</v>
      </c>
      <c r="L606" s="771">
        <v>4</v>
      </c>
      <c r="P606" s="771" t="s">
        <v>6553</v>
      </c>
      <c r="Q606" s="771">
        <v>1</v>
      </c>
    </row>
    <row r="607" spans="2:17">
      <c r="B607" s="771" t="s">
        <v>6758</v>
      </c>
      <c r="C607" s="771">
        <v>8</v>
      </c>
      <c r="D607" s="466"/>
      <c r="H607" s="771" t="s">
        <v>6922</v>
      </c>
      <c r="I607" s="771">
        <v>5</v>
      </c>
      <c r="K607" s="771" t="s">
        <v>6650</v>
      </c>
      <c r="L607" s="771">
        <v>2</v>
      </c>
      <c r="P607" s="771" t="s">
        <v>6400</v>
      </c>
      <c r="Q607" s="771">
        <v>3</v>
      </c>
    </row>
    <row r="608" spans="2:17">
      <c r="B608" s="771" t="s">
        <v>6760</v>
      </c>
      <c r="C608" s="771">
        <v>8</v>
      </c>
      <c r="D608" s="466"/>
      <c r="H608" s="771" t="s">
        <v>6923</v>
      </c>
      <c r="I608" s="771">
        <v>5</v>
      </c>
      <c r="K608" s="771" t="s">
        <v>6924</v>
      </c>
      <c r="L608" s="771">
        <v>2</v>
      </c>
      <c r="P608" s="771" t="s">
        <v>6403</v>
      </c>
      <c r="Q608" s="771">
        <v>4</v>
      </c>
    </row>
    <row r="609" spans="2:17">
      <c r="B609" s="771" t="s">
        <v>6925</v>
      </c>
      <c r="C609" s="771">
        <v>8</v>
      </c>
      <c r="D609" s="466"/>
      <c r="H609" s="771" t="s">
        <v>6926</v>
      </c>
      <c r="I609" s="771">
        <v>5</v>
      </c>
      <c r="K609" s="771" t="s">
        <v>6741</v>
      </c>
      <c r="L609" s="771">
        <v>4</v>
      </c>
      <c r="P609" s="771" t="s">
        <v>6409</v>
      </c>
      <c r="Q609" s="771">
        <v>4</v>
      </c>
    </row>
    <row r="610" spans="2:17">
      <c r="B610" s="771" t="s">
        <v>6927</v>
      </c>
      <c r="C610" s="771">
        <v>8</v>
      </c>
      <c r="D610" s="466"/>
      <c r="H610" s="771" t="s">
        <v>6928</v>
      </c>
      <c r="I610" s="771">
        <v>5</v>
      </c>
      <c r="K610" s="771" t="s">
        <v>6929</v>
      </c>
      <c r="L610" s="771">
        <v>4</v>
      </c>
      <c r="P610" s="771" t="s">
        <v>6930</v>
      </c>
      <c r="Q610" s="771">
        <v>4</v>
      </c>
    </row>
    <row r="611" spans="2:17">
      <c r="B611" s="771" t="s">
        <v>6931</v>
      </c>
      <c r="C611" s="771">
        <v>10</v>
      </c>
      <c r="D611" s="466"/>
      <c r="H611" s="771" t="s">
        <v>6932</v>
      </c>
      <c r="I611" s="771">
        <v>1</v>
      </c>
      <c r="K611" s="771" t="s">
        <v>6933</v>
      </c>
      <c r="L611" s="771">
        <v>2</v>
      </c>
      <c r="P611" s="771" t="s">
        <v>6412</v>
      </c>
      <c r="Q611" s="771">
        <v>1</v>
      </c>
    </row>
    <row r="612" spans="2:17">
      <c r="B612" s="771" t="s">
        <v>6934</v>
      </c>
      <c r="C612" s="771">
        <v>8</v>
      </c>
      <c r="D612" s="466"/>
      <c r="H612" s="771" t="s">
        <v>6935</v>
      </c>
      <c r="I612" s="771">
        <v>1</v>
      </c>
      <c r="K612" s="771" t="s">
        <v>6744</v>
      </c>
      <c r="L612" s="771">
        <v>2</v>
      </c>
      <c r="P612" s="771" t="s">
        <v>6417</v>
      </c>
      <c r="Q612" s="771">
        <v>1</v>
      </c>
    </row>
    <row r="613" spans="2:17">
      <c r="B613" s="771" t="s">
        <v>6936</v>
      </c>
      <c r="C613" s="771">
        <v>10</v>
      </c>
      <c r="D613" s="466"/>
      <c r="H613" s="771" t="s">
        <v>6937</v>
      </c>
      <c r="I613" s="771">
        <v>5</v>
      </c>
      <c r="K613" s="771" t="s">
        <v>6651</v>
      </c>
      <c r="L613" s="771">
        <v>2</v>
      </c>
      <c r="P613" s="771" t="s">
        <v>6938</v>
      </c>
      <c r="Q613" s="771">
        <v>1</v>
      </c>
    </row>
    <row r="614" spans="2:17">
      <c r="B614" s="771" t="s">
        <v>6939</v>
      </c>
      <c r="C614" s="771">
        <v>8</v>
      </c>
      <c r="D614" s="466"/>
      <c r="H614" s="771" t="s">
        <v>6940</v>
      </c>
      <c r="I614" s="771">
        <v>1</v>
      </c>
      <c r="K614" s="771" t="s">
        <v>6654</v>
      </c>
      <c r="L614" s="771">
        <v>4</v>
      </c>
      <c r="P614" s="771" t="s">
        <v>6646</v>
      </c>
      <c r="Q614" s="771">
        <v>2</v>
      </c>
    </row>
    <row r="615" spans="2:17">
      <c r="B615" s="771" t="s">
        <v>6941</v>
      </c>
      <c r="C615" s="771">
        <v>8</v>
      </c>
      <c r="D615" s="466"/>
      <c r="H615" s="771" t="s">
        <v>6942</v>
      </c>
      <c r="I615" s="771">
        <v>5</v>
      </c>
      <c r="K615" s="771" t="s">
        <v>6749</v>
      </c>
      <c r="L615" s="771">
        <v>2</v>
      </c>
      <c r="P615" s="771" t="s">
        <v>6427</v>
      </c>
      <c r="Q615" s="771">
        <v>1</v>
      </c>
    </row>
    <row r="616" spans="2:17">
      <c r="B616" s="771" t="s">
        <v>6764</v>
      </c>
      <c r="C616" s="771">
        <v>8</v>
      </c>
      <c r="D616" s="466"/>
      <c r="H616" s="771" t="s">
        <v>6943</v>
      </c>
      <c r="I616" s="771">
        <v>5</v>
      </c>
      <c r="K616" s="771" t="s">
        <v>6756</v>
      </c>
      <c r="L616" s="771">
        <v>1</v>
      </c>
      <c r="P616" s="771" t="s">
        <v>6568</v>
      </c>
      <c r="Q616" s="771">
        <v>1</v>
      </c>
    </row>
    <row r="617" spans="2:17">
      <c r="B617" s="771" t="s">
        <v>6944</v>
      </c>
      <c r="C617" s="771">
        <v>8</v>
      </c>
      <c r="D617" s="466"/>
      <c r="H617" s="771" t="s">
        <v>6945</v>
      </c>
      <c r="I617" s="771">
        <v>3</v>
      </c>
      <c r="K617" s="771" t="s">
        <v>6946</v>
      </c>
      <c r="L617" s="771">
        <v>1</v>
      </c>
      <c r="P617" s="771" t="s">
        <v>6429</v>
      </c>
      <c r="Q617" s="771">
        <v>4</v>
      </c>
    </row>
    <row r="618" spans="2:17">
      <c r="B618" s="771" t="s">
        <v>6947</v>
      </c>
      <c r="C618" s="771">
        <v>10</v>
      </c>
      <c r="D618" s="466"/>
      <c r="H618" s="771" t="s">
        <v>6948</v>
      </c>
      <c r="I618" s="771">
        <v>5</v>
      </c>
      <c r="K618" s="771" t="s">
        <v>6656</v>
      </c>
      <c r="L618" s="771">
        <v>2</v>
      </c>
      <c r="P618" s="771" t="s">
        <v>6571</v>
      </c>
      <c r="Q618" s="771">
        <v>4</v>
      </c>
    </row>
    <row r="619" spans="2:17">
      <c r="B619" s="771" t="s">
        <v>6766</v>
      </c>
      <c r="C619" s="771">
        <v>8</v>
      </c>
      <c r="D619" s="466"/>
      <c r="H619" s="771" t="s">
        <v>6949</v>
      </c>
      <c r="I619" s="771">
        <v>3</v>
      </c>
      <c r="K619" s="771" t="s">
        <v>6658</v>
      </c>
      <c r="L619" s="771">
        <v>2</v>
      </c>
      <c r="P619" s="771" t="s">
        <v>6430</v>
      </c>
      <c r="Q619" s="771">
        <v>1</v>
      </c>
    </row>
    <row r="620" spans="2:17">
      <c r="B620" s="771" t="s">
        <v>6950</v>
      </c>
      <c r="C620" s="771">
        <v>10</v>
      </c>
      <c r="D620" s="466"/>
      <c r="H620" s="771" t="s">
        <v>6951</v>
      </c>
      <c r="I620" s="771">
        <v>5</v>
      </c>
      <c r="K620" s="771" t="s">
        <v>6765</v>
      </c>
      <c r="L620" s="771">
        <v>2</v>
      </c>
      <c r="P620" s="771" t="s">
        <v>6432</v>
      </c>
      <c r="Q620" s="771">
        <v>1</v>
      </c>
    </row>
    <row r="621" spans="2:17">
      <c r="B621" s="771" t="s">
        <v>6952</v>
      </c>
      <c r="C621" s="771">
        <v>8</v>
      </c>
      <c r="D621" s="466"/>
      <c r="H621" s="771" t="s">
        <v>6953</v>
      </c>
      <c r="I621" s="771">
        <v>5</v>
      </c>
      <c r="K621" s="771" t="s">
        <v>6954</v>
      </c>
      <c r="L621" s="771">
        <v>2</v>
      </c>
      <c r="P621" s="771" t="s">
        <v>6455</v>
      </c>
      <c r="Q621" s="771">
        <v>2</v>
      </c>
    </row>
    <row r="622" spans="2:17">
      <c r="B622" s="771" t="s">
        <v>6955</v>
      </c>
      <c r="C622" s="771">
        <v>10</v>
      </c>
      <c r="D622" s="466"/>
      <c r="H622" s="771" t="s">
        <v>6956</v>
      </c>
      <c r="I622" s="771">
        <v>1</v>
      </c>
      <c r="K622" s="771" t="s">
        <v>6957</v>
      </c>
      <c r="L622" s="771">
        <v>2</v>
      </c>
      <c r="P622" s="771" t="s">
        <v>6462</v>
      </c>
      <c r="Q622" s="771">
        <v>1</v>
      </c>
    </row>
    <row r="623" spans="2:17">
      <c r="B623" s="771" t="s">
        <v>6958</v>
      </c>
      <c r="C623" s="771">
        <v>8</v>
      </c>
      <c r="D623" s="466"/>
      <c r="H623" s="771" t="s">
        <v>6959</v>
      </c>
      <c r="I623" s="771">
        <v>3</v>
      </c>
      <c r="K623" s="771" t="s">
        <v>6662</v>
      </c>
      <c r="L623" s="771">
        <v>2</v>
      </c>
      <c r="P623" s="771" t="s">
        <v>6464</v>
      </c>
      <c r="Q623" s="771">
        <v>2</v>
      </c>
    </row>
    <row r="624" spans="2:17">
      <c r="B624" s="771" t="s">
        <v>6767</v>
      </c>
      <c r="C624" s="771">
        <v>10</v>
      </c>
      <c r="D624" s="466"/>
      <c r="H624" s="771" t="s">
        <v>6960</v>
      </c>
      <c r="I624" s="771">
        <v>1</v>
      </c>
      <c r="K624" s="771" t="s">
        <v>6961</v>
      </c>
      <c r="L624" s="771">
        <v>2</v>
      </c>
      <c r="P624" s="771" t="s">
        <v>6466</v>
      </c>
      <c r="Q624" s="771">
        <v>1</v>
      </c>
    </row>
    <row r="625" spans="2:17">
      <c r="B625" s="771" t="s">
        <v>6962</v>
      </c>
      <c r="C625" s="771">
        <v>10</v>
      </c>
      <c r="D625" s="466"/>
      <c r="H625" s="771" t="s">
        <v>6963</v>
      </c>
      <c r="I625" s="771">
        <v>5</v>
      </c>
      <c r="K625" s="771" t="s">
        <v>6768</v>
      </c>
      <c r="L625" s="771">
        <v>2</v>
      </c>
      <c r="P625" s="771" t="s">
        <v>6581</v>
      </c>
      <c r="Q625" s="771">
        <v>2</v>
      </c>
    </row>
    <row r="626" spans="2:17">
      <c r="B626" s="771" t="s">
        <v>6769</v>
      </c>
      <c r="C626" s="771">
        <v>10</v>
      </c>
      <c r="D626" s="466"/>
      <c r="H626" s="771" t="s">
        <v>6964</v>
      </c>
      <c r="I626" s="771">
        <v>3</v>
      </c>
      <c r="K626" s="771" t="s">
        <v>6770</v>
      </c>
      <c r="L626" s="771">
        <v>4</v>
      </c>
      <c r="P626" s="771" t="s">
        <v>6468</v>
      </c>
      <c r="Q626" s="771">
        <v>2</v>
      </c>
    </row>
    <row r="627" spans="2:17">
      <c r="B627" s="771" t="s">
        <v>6965</v>
      </c>
      <c r="C627" s="771">
        <v>10</v>
      </c>
      <c r="D627" s="466"/>
      <c r="H627" s="771" t="s">
        <v>6966</v>
      </c>
      <c r="I627" s="771">
        <v>3</v>
      </c>
      <c r="K627" s="771" t="s">
        <v>6773</v>
      </c>
      <c r="L627" s="771">
        <v>4</v>
      </c>
      <c r="P627" s="771" t="s">
        <v>6475</v>
      </c>
      <c r="Q627" s="771">
        <v>2</v>
      </c>
    </row>
    <row r="628" spans="2:17">
      <c r="B628" s="771" t="s">
        <v>6967</v>
      </c>
      <c r="C628" s="771">
        <v>10</v>
      </c>
      <c r="D628" s="466"/>
      <c r="H628" s="771" t="s">
        <v>6968</v>
      </c>
      <c r="I628" s="771">
        <v>3</v>
      </c>
      <c r="K628" s="771" t="s">
        <v>6776</v>
      </c>
      <c r="L628" s="771">
        <v>2</v>
      </c>
      <c r="P628" s="771" t="s">
        <v>6477</v>
      </c>
      <c r="Q628" s="771">
        <v>1</v>
      </c>
    </row>
    <row r="629" spans="2:17">
      <c r="B629" s="771" t="s">
        <v>6969</v>
      </c>
      <c r="C629" s="771">
        <v>10</v>
      </c>
      <c r="D629" s="466"/>
      <c r="H629" s="771" t="s">
        <v>6970</v>
      </c>
      <c r="I629" s="771">
        <v>5</v>
      </c>
      <c r="K629" s="771" t="s">
        <v>6971</v>
      </c>
      <c r="L629" s="771">
        <v>4</v>
      </c>
      <c r="P629" s="771" t="s">
        <v>6478</v>
      </c>
      <c r="Q629" s="771">
        <v>2</v>
      </c>
    </row>
    <row r="630" spans="2:17">
      <c r="B630" s="771" t="s">
        <v>6972</v>
      </c>
      <c r="C630" s="771">
        <v>8</v>
      </c>
      <c r="D630" s="466"/>
      <c r="H630" s="771" t="s">
        <v>6973</v>
      </c>
      <c r="I630" s="771">
        <v>3</v>
      </c>
      <c r="K630" s="771" t="s">
        <v>6974</v>
      </c>
      <c r="L630" s="771">
        <v>4</v>
      </c>
      <c r="P630" s="771" t="s">
        <v>6481</v>
      </c>
      <c r="Q630" s="771">
        <v>2</v>
      </c>
    </row>
    <row r="631" spans="2:17">
      <c r="B631" s="771" t="s">
        <v>6771</v>
      </c>
      <c r="C631" s="771">
        <v>8</v>
      </c>
      <c r="D631" s="466"/>
      <c r="H631" s="771" t="s">
        <v>6975</v>
      </c>
      <c r="I631" s="771">
        <v>5</v>
      </c>
      <c r="K631" s="771" t="s">
        <v>6667</v>
      </c>
      <c r="L631" s="771">
        <v>2</v>
      </c>
      <c r="P631" s="771" t="s">
        <v>6483</v>
      </c>
      <c r="Q631" s="771">
        <v>4</v>
      </c>
    </row>
    <row r="632" spans="2:17">
      <c r="B632" s="771" t="s">
        <v>6976</v>
      </c>
      <c r="C632" s="771">
        <v>10</v>
      </c>
      <c r="D632" s="466"/>
      <c r="H632" s="771" t="s">
        <v>6977</v>
      </c>
      <c r="I632" s="771">
        <v>1</v>
      </c>
      <c r="K632" s="771" t="s">
        <v>6671</v>
      </c>
      <c r="L632" s="771">
        <v>3</v>
      </c>
      <c r="P632" s="771" t="s">
        <v>6487</v>
      </c>
      <c r="Q632" s="771">
        <v>1</v>
      </c>
    </row>
    <row r="633" spans="2:17">
      <c r="B633" s="771" t="s">
        <v>6978</v>
      </c>
      <c r="C633" s="771">
        <v>8</v>
      </c>
      <c r="D633" s="466"/>
      <c r="H633" s="771" t="s">
        <v>6979</v>
      </c>
      <c r="I633" s="771">
        <v>5</v>
      </c>
      <c r="K633" s="771" t="s">
        <v>6980</v>
      </c>
      <c r="L633" s="771">
        <v>2</v>
      </c>
      <c r="P633" s="771" t="s">
        <v>6489</v>
      </c>
      <c r="Q633" s="771">
        <v>2</v>
      </c>
    </row>
    <row r="634" spans="2:17">
      <c r="B634" s="771" t="s">
        <v>6777</v>
      </c>
      <c r="C634" s="771">
        <v>10</v>
      </c>
      <c r="D634" s="466"/>
      <c r="H634" s="771" t="s">
        <v>6981</v>
      </c>
      <c r="I634" s="771">
        <v>5</v>
      </c>
      <c r="K634" s="771" t="s">
        <v>6673</v>
      </c>
      <c r="L634" s="771">
        <v>2</v>
      </c>
      <c r="P634" s="771" t="s">
        <v>6490</v>
      </c>
      <c r="Q634" s="771">
        <v>4</v>
      </c>
    </row>
    <row r="635" spans="2:17">
      <c r="B635" s="771" t="s">
        <v>6779</v>
      </c>
      <c r="C635" s="771">
        <v>10</v>
      </c>
      <c r="D635" s="466"/>
      <c r="H635" s="771" t="s">
        <v>6982</v>
      </c>
      <c r="I635" s="771">
        <v>5</v>
      </c>
      <c r="K635" s="771" t="s">
        <v>6780</v>
      </c>
      <c r="L635" s="771">
        <v>2</v>
      </c>
      <c r="P635" s="771" t="s">
        <v>6491</v>
      </c>
      <c r="Q635" s="771">
        <v>2</v>
      </c>
    </row>
    <row r="636" spans="2:17">
      <c r="B636" s="771" t="s">
        <v>6781</v>
      </c>
      <c r="C636" s="771">
        <v>8</v>
      </c>
      <c r="D636" s="466"/>
      <c r="H636" s="771" t="s">
        <v>6983</v>
      </c>
      <c r="I636" s="771">
        <v>5</v>
      </c>
      <c r="K636" s="771" t="s">
        <v>6677</v>
      </c>
      <c r="L636" s="771">
        <v>2</v>
      </c>
      <c r="P636" s="771" t="s">
        <v>6495</v>
      </c>
      <c r="Q636" s="771">
        <v>3</v>
      </c>
    </row>
    <row r="637" spans="2:17">
      <c r="B637" s="771" t="s">
        <v>6984</v>
      </c>
      <c r="C637" s="771">
        <v>10</v>
      </c>
      <c r="D637" s="466"/>
      <c r="H637" s="771" t="s">
        <v>6985</v>
      </c>
      <c r="I637" s="771">
        <v>3</v>
      </c>
      <c r="K637" s="771" t="s">
        <v>6788</v>
      </c>
      <c r="L637" s="771">
        <v>3</v>
      </c>
      <c r="P637" s="771" t="s">
        <v>6497</v>
      </c>
      <c r="Q637" s="771">
        <v>4</v>
      </c>
    </row>
    <row r="638" spans="2:17">
      <c r="B638" s="771" t="s">
        <v>6986</v>
      </c>
      <c r="C638" s="771">
        <v>10</v>
      </c>
      <c r="D638" s="466"/>
      <c r="H638" s="771" t="s">
        <v>6987</v>
      </c>
      <c r="I638" s="771">
        <v>3</v>
      </c>
      <c r="K638" s="771" t="s">
        <v>6988</v>
      </c>
      <c r="L638" s="771">
        <v>1</v>
      </c>
      <c r="P638" s="771" t="s">
        <v>6702</v>
      </c>
      <c r="Q638" s="771">
        <v>1</v>
      </c>
    </row>
    <row r="639" spans="2:17">
      <c r="B639" s="771" t="s">
        <v>6789</v>
      </c>
      <c r="C639" s="771">
        <v>10</v>
      </c>
      <c r="D639" s="466"/>
      <c r="H639" s="771" t="s">
        <v>6989</v>
      </c>
      <c r="I639" s="771">
        <v>5</v>
      </c>
      <c r="K639" s="771" t="s">
        <v>6686</v>
      </c>
      <c r="L639" s="771">
        <v>2</v>
      </c>
      <c r="P639" s="771" t="s">
        <v>6503</v>
      </c>
      <c r="Q639" s="771">
        <v>1</v>
      </c>
    </row>
    <row r="640" spans="2:17">
      <c r="B640" s="771" t="s">
        <v>6990</v>
      </c>
      <c r="C640" s="771">
        <v>10</v>
      </c>
      <c r="D640" s="466"/>
      <c r="H640" s="771" t="s">
        <v>6991</v>
      </c>
      <c r="I640" s="771">
        <v>5</v>
      </c>
      <c r="K640" s="771" t="s">
        <v>6797</v>
      </c>
      <c r="L640" s="771">
        <v>2</v>
      </c>
      <c r="P640" s="771" t="s">
        <v>6504</v>
      </c>
      <c r="Q640" s="771">
        <v>1</v>
      </c>
    </row>
    <row r="641" spans="2:17">
      <c r="B641" s="771" t="s">
        <v>6793</v>
      </c>
      <c r="C641" s="771">
        <v>8</v>
      </c>
      <c r="D641" s="466"/>
      <c r="H641" s="771" t="s">
        <v>6992</v>
      </c>
      <c r="I641" s="771">
        <v>3</v>
      </c>
      <c r="K641" s="771" t="s">
        <v>6688</v>
      </c>
      <c r="L641" s="771">
        <v>2</v>
      </c>
      <c r="P641" s="771" t="s">
        <v>6505</v>
      </c>
      <c r="Q641" s="771">
        <v>1</v>
      </c>
    </row>
    <row r="642" spans="2:17">
      <c r="B642" s="771" t="s">
        <v>6993</v>
      </c>
      <c r="C642" s="771">
        <v>8</v>
      </c>
      <c r="D642" s="466"/>
      <c r="H642" s="771" t="s">
        <v>6994</v>
      </c>
      <c r="I642" s="771">
        <v>3</v>
      </c>
      <c r="K642" s="771" t="s">
        <v>6804</v>
      </c>
      <c r="L642" s="771">
        <v>2</v>
      </c>
      <c r="P642" s="771" t="s">
        <v>6596</v>
      </c>
      <c r="Q642" s="771">
        <v>1</v>
      </c>
    </row>
    <row r="643" spans="2:17">
      <c r="B643" s="771" t="s">
        <v>6995</v>
      </c>
      <c r="C643" s="771">
        <v>8</v>
      </c>
      <c r="D643" s="466"/>
      <c r="H643" s="771" t="s">
        <v>6996</v>
      </c>
      <c r="I643" s="771">
        <v>3</v>
      </c>
      <c r="K643" s="771" t="s">
        <v>6690</v>
      </c>
      <c r="L643" s="771">
        <v>4</v>
      </c>
      <c r="P643" s="771" t="s">
        <v>6509</v>
      </c>
      <c r="Q643" s="771">
        <v>1</v>
      </c>
    </row>
    <row r="644" spans="2:17">
      <c r="B644" s="771" t="s">
        <v>6997</v>
      </c>
      <c r="C644" s="771">
        <v>8</v>
      </c>
      <c r="D644" s="466"/>
      <c r="H644" s="771" t="s">
        <v>6998</v>
      </c>
      <c r="I644" s="771">
        <v>5</v>
      </c>
      <c r="K644" s="771" t="s">
        <v>6809</v>
      </c>
      <c r="L644" s="771">
        <v>2</v>
      </c>
      <c r="P644" s="771" t="s">
        <v>6511</v>
      </c>
      <c r="Q644" s="771">
        <v>4</v>
      </c>
    </row>
    <row r="645" spans="2:17">
      <c r="B645" s="771" t="s">
        <v>6999</v>
      </c>
      <c r="C645" s="771">
        <v>8</v>
      </c>
      <c r="D645" s="466"/>
      <c r="H645" s="771" t="s">
        <v>7000</v>
      </c>
      <c r="I645" s="771">
        <v>1</v>
      </c>
      <c r="K645" s="771" t="s">
        <v>6691</v>
      </c>
      <c r="L645" s="771">
        <v>4</v>
      </c>
      <c r="P645" s="771" t="s">
        <v>6514</v>
      </c>
      <c r="Q645" s="771">
        <v>4</v>
      </c>
    </row>
    <row r="646" spans="2:17">
      <c r="B646" s="771" t="s">
        <v>7001</v>
      </c>
      <c r="C646" s="771">
        <v>8</v>
      </c>
      <c r="D646" s="466"/>
      <c r="H646" s="771" t="s">
        <v>7002</v>
      </c>
      <c r="I646" s="771">
        <v>5</v>
      </c>
      <c r="K646" s="771" t="s">
        <v>6815</v>
      </c>
      <c r="L646" s="771">
        <v>2</v>
      </c>
      <c r="P646" s="771" t="s">
        <v>6606</v>
      </c>
      <c r="Q646" s="771">
        <v>2</v>
      </c>
    </row>
    <row r="647" spans="2:17">
      <c r="B647" s="771" t="s">
        <v>7003</v>
      </c>
      <c r="C647" s="771">
        <v>8</v>
      </c>
      <c r="D647" s="466"/>
      <c r="H647" s="771" t="s">
        <v>7004</v>
      </c>
      <c r="I647" s="771">
        <v>3</v>
      </c>
      <c r="K647" s="771" t="s">
        <v>6818</v>
      </c>
      <c r="L647" s="771">
        <v>3</v>
      </c>
      <c r="P647" s="771" t="s">
        <v>6517</v>
      </c>
      <c r="Q647" s="771">
        <v>4</v>
      </c>
    </row>
    <row r="648" spans="2:17">
      <c r="B648" s="771" t="s">
        <v>7005</v>
      </c>
      <c r="C648" s="771">
        <v>8</v>
      </c>
      <c r="D648" s="466"/>
      <c r="H648" s="771" t="s">
        <v>7006</v>
      </c>
      <c r="I648" s="771">
        <v>1</v>
      </c>
      <c r="K648" s="771" t="s">
        <v>6821</v>
      </c>
      <c r="L648" s="771">
        <v>1</v>
      </c>
      <c r="P648" s="771" t="s">
        <v>7007</v>
      </c>
      <c r="Q648" s="771">
        <v>1</v>
      </c>
    </row>
    <row r="649" spans="2:17">
      <c r="B649" s="771" t="s">
        <v>6796</v>
      </c>
      <c r="C649" s="771">
        <v>8</v>
      </c>
      <c r="D649" s="466"/>
      <c r="H649" s="771" t="s">
        <v>7008</v>
      </c>
      <c r="I649" s="771">
        <v>1</v>
      </c>
      <c r="K649" s="771" t="s">
        <v>6695</v>
      </c>
      <c r="L649" s="771">
        <v>2</v>
      </c>
      <c r="P649" s="771" t="s">
        <v>6529</v>
      </c>
      <c r="Q649" s="771">
        <v>3</v>
      </c>
    </row>
    <row r="650" spans="2:17">
      <c r="B650" s="771" t="s">
        <v>6798</v>
      </c>
      <c r="C650" s="771">
        <v>8</v>
      </c>
      <c r="D650" s="466"/>
      <c r="H650" s="771" t="s">
        <v>7009</v>
      </c>
      <c r="I650" s="771">
        <v>3</v>
      </c>
      <c r="K650" s="771" t="s">
        <v>6827</v>
      </c>
      <c r="L650" s="771">
        <v>4</v>
      </c>
      <c r="P650" s="771" t="s">
        <v>6532</v>
      </c>
      <c r="Q650" s="771">
        <v>2</v>
      </c>
    </row>
    <row r="651" spans="2:17">
      <c r="B651" s="771" t="s">
        <v>6799</v>
      </c>
      <c r="C651" s="771">
        <v>8</v>
      </c>
      <c r="D651" s="466"/>
      <c r="H651" s="771" t="s">
        <v>7010</v>
      </c>
      <c r="I651" s="771">
        <v>5</v>
      </c>
      <c r="K651" s="771" t="s">
        <v>7011</v>
      </c>
      <c r="L651" s="771">
        <v>4</v>
      </c>
      <c r="P651" s="771" t="s">
        <v>6612</v>
      </c>
      <c r="Q651" s="771">
        <v>1</v>
      </c>
    </row>
    <row r="652" spans="2:17">
      <c r="B652" s="771" t="s">
        <v>7012</v>
      </c>
      <c r="C652" s="771">
        <v>8</v>
      </c>
      <c r="D652" s="466"/>
      <c r="H652" s="771" t="s">
        <v>7013</v>
      </c>
      <c r="I652" s="771">
        <v>3</v>
      </c>
      <c r="K652" s="771" t="s">
        <v>6829</v>
      </c>
      <c r="L652" s="771">
        <v>4</v>
      </c>
      <c r="P652" s="771" t="s">
        <v>6534</v>
      </c>
      <c r="Q652" s="771">
        <v>1</v>
      </c>
    </row>
    <row r="653" spans="2:17">
      <c r="B653" s="771" t="s">
        <v>6802</v>
      </c>
      <c r="C653" s="771">
        <v>10</v>
      </c>
      <c r="D653" s="466"/>
      <c r="H653" s="771" t="s">
        <v>7014</v>
      </c>
      <c r="I653" s="771">
        <v>3</v>
      </c>
      <c r="K653" s="771" t="s">
        <v>6831</v>
      </c>
      <c r="L653" s="771">
        <v>1</v>
      </c>
      <c r="P653" s="771" t="s">
        <v>6537</v>
      </c>
      <c r="Q653" s="771">
        <v>1</v>
      </c>
    </row>
    <row r="654" spans="2:17">
      <c r="B654" s="771" t="s">
        <v>7015</v>
      </c>
      <c r="C654" s="771">
        <v>8</v>
      </c>
      <c r="D654" s="466"/>
      <c r="H654" s="771" t="s">
        <v>7016</v>
      </c>
      <c r="I654" s="771">
        <v>1</v>
      </c>
      <c r="K654" s="771" t="s">
        <v>7017</v>
      </c>
      <c r="L654" s="771">
        <v>4</v>
      </c>
      <c r="P654" s="771" t="s">
        <v>6538</v>
      </c>
      <c r="Q654" s="771">
        <v>4</v>
      </c>
    </row>
    <row r="655" spans="2:17">
      <c r="B655" s="771" t="s">
        <v>7018</v>
      </c>
      <c r="C655" s="771">
        <v>8</v>
      </c>
      <c r="D655" s="466"/>
      <c r="H655" s="771" t="s">
        <v>7019</v>
      </c>
      <c r="I655" s="771">
        <v>3</v>
      </c>
      <c r="K655" s="771" t="s">
        <v>6836</v>
      </c>
      <c r="L655" s="771">
        <v>2</v>
      </c>
      <c r="P655" s="771" t="s">
        <v>6540</v>
      </c>
      <c r="Q655" s="771">
        <v>4</v>
      </c>
    </row>
    <row r="656" spans="2:17">
      <c r="B656" s="771" t="s">
        <v>7020</v>
      </c>
      <c r="C656" s="771">
        <v>8</v>
      </c>
      <c r="D656" s="466"/>
      <c r="K656" s="771" t="s">
        <v>6839</v>
      </c>
      <c r="L656" s="771">
        <v>2</v>
      </c>
      <c r="P656" s="771" t="s">
        <v>6541</v>
      </c>
      <c r="Q656" s="771">
        <v>2</v>
      </c>
    </row>
    <row r="657" spans="2:17">
      <c r="B657" s="771" t="s">
        <v>7021</v>
      </c>
      <c r="C657" s="771">
        <v>8</v>
      </c>
      <c r="D657" s="466"/>
      <c r="K657" s="771" t="s">
        <v>7022</v>
      </c>
      <c r="L657" s="771">
        <v>2</v>
      </c>
      <c r="P657" s="771" t="s">
        <v>6623</v>
      </c>
      <c r="Q657" s="771">
        <v>1</v>
      </c>
    </row>
    <row r="658" spans="2:17">
      <c r="B658" s="771" t="s">
        <v>6805</v>
      </c>
      <c r="C658" s="771">
        <v>8</v>
      </c>
      <c r="D658" s="466"/>
      <c r="K658" s="771" t="s">
        <v>6708</v>
      </c>
      <c r="L658" s="771">
        <v>1</v>
      </c>
      <c r="P658" s="771" t="s">
        <v>6546</v>
      </c>
      <c r="Q658" s="771">
        <v>2</v>
      </c>
    </row>
    <row r="659" spans="2:17">
      <c r="B659" s="771" t="s">
        <v>7023</v>
      </c>
      <c r="C659" s="771">
        <v>8</v>
      </c>
      <c r="D659" s="466"/>
      <c r="K659" s="771" t="s">
        <v>7024</v>
      </c>
      <c r="L659" s="771">
        <v>2</v>
      </c>
      <c r="P659" s="771" t="s">
        <v>6548</v>
      </c>
      <c r="Q659" s="771">
        <v>1</v>
      </c>
    </row>
    <row r="660" spans="2:17">
      <c r="B660" s="771" t="s">
        <v>7025</v>
      </c>
      <c r="C660" s="771">
        <v>10</v>
      </c>
      <c r="D660" s="466"/>
      <c r="K660" s="771" t="s">
        <v>6852</v>
      </c>
      <c r="L660" s="771">
        <v>3</v>
      </c>
      <c r="P660" s="771" t="s">
        <v>6748</v>
      </c>
      <c r="Q660" s="771">
        <v>2</v>
      </c>
    </row>
    <row r="661" spans="2:17">
      <c r="B661" s="771" t="s">
        <v>7026</v>
      </c>
      <c r="C661" s="771">
        <v>10</v>
      </c>
      <c r="D661" s="466"/>
      <c r="K661" s="771" t="s">
        <v>6711</v>
      </c>
      <c r="L661" s="771">
        <v>4</v>
      </c>
      <c r="P661" s="771" t="s">
        <v>6560</v>
      </c>
      <c r="Q661" s="771">
        <v>3</v>
      </c>
    </row>
    <row r="662" spans="2:17">
      <c r="B662" s="771" t="s">
        <v>7027</v>
      </c>
      <c r="C662" s="771">
        <v>8</v>
      </c>
      <c r="D662" s="466"/>
      <c r="K662" s="771" t="s">
        <v>7028</v>
      </c>
      <c r="L662" s="771">
        <v>1</v>
      </c>
      <c r="P662" s="771" t="s">
        <v>6562</v>
      </c>
      <c r="Q662" s="771">
        <v>4</v>
      </c>
    </row>
    <row r="663" spans="2:17">
      <c r="B663" s="771" t="s">
        <v>6807</v>
      </c>
      <c r="C663" s="771">
        <v>10</v>
      </c>
      <c r="D663" s="466"/>
      <c r="K663" s="771" t="s">
        <v>6716</v>
      </c>
      <c r="L663" s="771">
        <v>2</v>
      </c>
      <c r="P663" s="771" t="s">
        <v>6564</v>
      </c>
      <c r="Q663" s="771">
        <v>4</v>
      </c>
    </row>
    <row r="664" spans="2:17">
      <c r="B664" s="771" t="s">
        <v>6810</v>
      </c>
      <c r="C664" s="771">
        <v>8</v>
      </c>
      <c r="D664" s="466"/>
      <c r="K664" s="771" t="s">
        <v>7029</v>
      </c>
      <c r="L664" s="771">
        <v>2</v>
      </c>
      <c r="P664" s="771" t="s">
        <v>6566</v>
      </c>
      <c r="Q664" s="771">
        <v>4</v>
      </c>
    </row>
    <row r="665" spans="2:17">
      <c r="B665" s="771" t="s">
        <v>7030</v>
      </c>
      <c r="C665" s="771">
        <v>10</v>
      </c>
      <c r="D665" s="466"/>
      <c r="K665" s="771" t="s">
        <v>6722</v>
      </c>
      <c r="L665" s="771">
        <v>2</v>
      </c>
      <c r="P665" s="771" t="s">
        <v>6640</v>
      </c>
      <c r="Q665" s="771">
        <v>2</v>
      </c>
    </row>
    <row r="666" spans="2:17">
      <c r="B666" s="771" t="s">
        <v>6813</v>
      </c>
      <c r="C666" s="771">
        <v>10</v>
      </c>
      <c r="D666" s="466"/>
      <c r="K666" s="771" t="s">
        <v>6724</v>
      </c>
      <c r="L666" s="771">
        <v>4</v>
      </c>
      <c r="P666" s="771" t="s">
        <v>6573</v>
      </c>
      <c r="Q666" s="771">
        <v>1</v>
      </c>
    </row>
    <row r="667" spans="2:17">
      <c r="B667" s="771" t="s">
        <v>7031</v>
      </c>
      <c r="C667" s="771">
        <v>8</v>
      </c>
      <c r="D667" s="466"/>
      <c r="K667" s="771" t="s">
        <v>6730</v>
      </c>
      <c r="L667" s="771">
        <v>2</v>
      </c>
      <c r="P667" s="771" t="s">
        <v>6574</v>
      </c>
      <c r="Q667" s="771">
        <v>4</v>
      </c>
    </row>
    <row r="668" spans="2:17">
      <c r="B668" s="771" t="s">
        <v>6819</v>
      </c>
      <c r="C668" s="771">
        <v>8</v>
      </c>
      <c r="D668" s="466"/>
      <c r="K668" s="771" t="s">
        <v>6867</v>
      </c>
      <c r="L668" s="771">
        <v>3</v>
      </c>
      <c r="P668" s="771" t="s">
        <v>6576</v>
      </c>
      <c r="Q668" s="771">
        <v>1</v>
      </c>
    </row>
    <row r="669" spans="2:17">
      <c r="B669" s="771" t="s">
        <v>7032</v>
      </c>
      <c r="C669" s="771">
        <v>10</v>
      </c>
      <c r="D669" s="466"/>
      <c r="K669" s="771" t="s">
        <v>6869</v>
      </c>
      <c r="L669" s="771">
        <v>2</v>
      </c>
      <c r="P669" s="771" t="s">
        <v>6653</v>
      </c>
      <c r="Q669" s="771">
        <v>2</v>
      </c>
    </row>
    <row r="670" spans="2:17">
      <c r="B670" s="771" t="s">
        <v>6822</v>
      </c>
      <c r="C670" s="771">
        <v>10</v>
      </c>
      <c r="D670" s="466"/>
      <c r="K670" s="771" t="s">
        <v>6873</v>
      </c>
      <c r="L670" s="771">
        <v>2</v>
      </c>
      <c r="P670" s="771" t="s">
        <v>6588</v>
      </c>
      <c r="Q670" s="771">
        <v>1</v>
      </c>
    </row>
    <row r="671" spans="2:17">
      <c r="B671" s="771" t="s">
        <v>7033</v>
      </c>
      <c r="C671" s="771">
        <v>8</v>
      </c>
      <c r="D671" s="466"/>
      <c r="K671" s="771" t="s">
        <v>6875</v>
      </c>
      <c r="L671" s="771">
        <v>3</v>
      </c>
      <c r="P671" s="771" t="s">
        <v>6775</v>
      </c>
      <c r="Q671" s="771">
        <v>4</v>
      </c>
    </row>
    <row r="672" spans="2:17">
      <c r="B672" s="771" t="s">
        <v>7034</v>
      </c>
      <c r="C672" s="771">
        <v>10</v>
      </c>
      <c r="D672" s="466"/>
      <c r="K672" s="771" t="s">
        <v>6732</v>
      </c>
      <c r="L672" s="771">
        <v>2</v>
      </c>
      <c r="P672" s="771" t="s">
        <v>7035</v>
      </c>
      <c r="Q672" s="771">
        <v>3</v>
      </c>
    </row>
    <row r="673" spans="2:17">
      <c r="B673" s="771" t="s">
        <v>6824</v>
      </c>
      <c r="C673" s="771">
        <v>8</v>
      </c>
      <c r="D673" s="466"/>
      <c r="K673" s="771" t="s">
        <v>6879</v>
      </c>
      <c r="L673" s="771">
        <v>2</v>
      </c>
      <c r="P673" s="771" t="s">
        <v>6589</v>
      </c>
      <c r="Q673" s="771">
        <v>2</v>
      </c>
    </row>
    <row r="674" spans="2:17">
      <c r="B674" s="771" t="s">
        <v>6832</v>
      </c>
      <c r="C674" s="771">
        <v>8</v>
      </c>
      <c r="D674" s="466"/>
      <c r="K674" s="771" t="s">
        <v>6881</v>
      </c>
      <c r="L674" s="771">
        <v>4</v>
      </c>
      <c r="P674" s="771" t="s">
        <v>6590</v>
      </c>
      <c r="Q674" s="771">
        <v>4</v>
      </c>
    </row>
    <row r="675" spans="2:17">
      <c r="B675" s="771" t="s">
        <v>7036</v>
      </c>
      <c r="C675" s="771">
        <v>8</v>
      </c>
      <c r="D675" s="466"/>
      <c r="K675" s="771" t="s">
        <v>6735</v>
      </c>
      <c r="L675" s="771">
        <v>2</v>
      </c>
      <c r="P675" s="771" t="s">
        <v>6657</v>
      </c>
      <c r="Q675" s="771">
        <v>1</v>
      </c>
    </row>
    <row r="676" spans="2:17">
      <c r="B676" s="771" t="s">
        <v>7037</v>
      </c>
      <c r="C676" s="771">
        <v>8</v>
      </c>
      <c r="D676" s="466"/>
      <c r="K676" s="771" t="s">
        <v>6889</v>
      </c>
      <c r="L676" s="771">
        <v>1</v>
      </c>
      <c r="P676" s="771" t="s">
        <v>6659</v>
      </c>
      <c r="Q676" s="771">
        <v>2</v>
      </c>
    </row>
    <row r="677" spans="2:17">
      <c r="B677" s="771" t="s">
        <v>7038</v>
      </c>
      <c r="C677" s="771">
        <v>8</v>
      </c>
      <c r="D677" s="466"/>
      <c r="K677" s="771" t="s">
        <v>6891</v>
      </c>
      <c r="L677" s="771">
        <v>4</v>
      </c>
      <c r="P677" s="771" t="s">
        <v>6661</v>
      </c>
      <c r="Q677" s="771">
        <v>2</v>
      </c>
    </row>
    <row r="678" spans="2:17">
      <c r="B678" s="771" t="s">
        <v>7039</v>
      </c>
      <c r="C678" s="771">
        <v>8</v>
      </c>
      <c r="D678" s="466"/>
      <c r="K678" s="771" t="s">
        <v>6894</v>
      </c>
      <c r="L678" s="771">
        <v>4</v>
      </c>
      <c r="P678" s="771" t="s">
        <v>6782</v>
      </c>
      <c r="Q678" s="771">
        <v>1</v>
      </c>
    </row>
    <row r="679" spans="2:17">
      <c r="B679" s="771" t="s">
        <v>7040</v>
      </c>
      <c r="C679" s="771">
        <v>8</v>
      </c>
      <c r="D679" s="466"/>
      <c r="K679" s="771" t="s">
        <v>7041</v>
      </c>
      <c r="L679" s="771">
        <v>2</v>
      </c>
      <c r="P679" s="771" t="s">
        <v>6786</v>
      </c>
      <c r="Q679" s="771">
        <v>1</v>
      </c>
    </row>
    <row r="680" spans="2:17">
      <c r="B680" s="771" t="s">
        <v>7042</v>
      </c>
      <c r="C680" s="771">
        <v>8</v>
      </c>
      <c r="D680" s="466"/>
      <c r="K680" s="771" t="s">
        <v>6896</v>
      </c>
      <c r="L680" s="771">
        <v>4</v>
      </c>
      <c r="P680" s="771" t="s">
        <v>6790</v>
      </c>
      <c r="Q680" s="771">
        <v>1</v>
      </c>
    </row>
    <row r="681" spans="2:17">
      <c r="B681" s="771" t="s">
        <v>7043</v>
      </c>
      <c r="C681" s="771">
        <v>8</v>
      </c>
      <c r="D681" s="466"/>
      <c r="K681" s="771" t="s">
        <v>7044</v>
      </c>
      <c r="L681" s="771">
        <v>2</v>
      </c>
      <c r="P681" s="771" t="s">
        <v>6664</v>
      </c>
      <c r="Q681" s="771">
        <v>2</v>
      </c>
    </row>
    <row r="682" spans="2:17">
      <c r="B682" s="771" t="s">
        <v>6851</v>
      </c>
      <c r="C682" s="771">
        <v>10</v>
      </c>
      <c r="D682" s="466"/>
      <c r="K682" s="771" t="s">
        <v>6745</v>
      </c>
      <c r="L682" s="771">
        <v>4</v>
      </c>
      <c r="P682" s="771" t="s">
        <v>6794</v>
      </c>
      <c r="Q682" s="771">
        <v>1</v>
      </c>
    </row>
    <row r="683" spans="2:17">
      <c r="B683" s="771" t="s">
        <v>6856</v>
      </c>
      <c r="C683" s="771">
        <v>8</v>
      </c>
      <c r="D683" s="466"/>
      <c r="K683" s="771" t="s">
        <v>6746</v>
      </c>
      <c r="L683" s="771">
        <v>3</v>
      </c>
      <c r="P683" s="771" t="s">
        <v>6666</v>
      </c>
      <c r="Q683" s="771">
        <v>2</v>
      </c>
    </row>
    <row r="684" spans="2:17">
      <c r="B684" s="771" t="s">
        <v>7045</v>
      </c>
      <c r="C684" s="771">
        <v>8</v>
      </c>
      <c r="D684" s="466"/>
      <c r="K684" s="771" t="s">
        <v>6750</v>
      </c>
      <c r="L684" s="771">
        <v>3</v>
      </c>
      <c r="P684" s="771" t="s">
        <v>6668</v>
      </c>
      <c r="Q684" s="771">
        <v>1</v>
      </c>
    </row>
    <row r="685" spans="2:17">
      <c r="B685" s="771" t="s">
        <v>7046</v>
      </c>
      <c r="C685" s="771">
        <v>8</v>
      </c>
      <c r="D685" s="466"/>
      <c r="K685" s="771" t="s">
        <v>6910</v>
      </c>
      <c r="L685" s="771">
        <v>3</v>
      </c>
      <c r="P685" s="771" t="s">
        <v>7047</v>
      </c>
      <c r="Q685" s="771">
        <v>2</v>
      </c>
    </row>
    <row r="686" spans="2:17">
      <c r="B686" s="771" t="s">
        <v>6862</v>
      </c>
      <c r="C686" s="771">
        <v>8</v>
      </c>
      <c r="D686" s="466"/>
      <c r="K686" s="771" t="s">
        <v>6753</v>
      </c>
      <c r="L686" s="771">
        <v>2</v>
      </c>
      <c r="P686" s="771" t="s">
        <v>6676</v>
      </c>
      <c r="Q686" s="771">
        <v>1</v>
      </c>
    </row>
    <row r="687" spans="2:17">
      <c r="B687" s="771" t="s">
        <v>7048</v>
      </c>
      <c r="C687" s="771">
        <v>8</v>
      </c>
      <c r="D687" s="466"/>
      <c r="K687" s="771" t="s">
        <v>6755</v>
      </c>
      <c r="L687" s="771">
        <v>4</v>
      </c>
      <c r="P687" s="771" t="s">
        <v>6678</v>
      </c>
      <c r="Q687" s="771">
        <v>2</v>
      </c>
    </row>
    <row r="688" spans="2:17">
      <c r="B688" s="771" t="s">
        <v>6864</v>
      </c>
      <c r="C688" s="771">
        <v>8</v>
      </c>
      <c r="D688" s="466"/>
      <c r="K688" s="771" t="s">
        <v>6757</v>
      </c>
      <c r="L688" s="771">
        <v>4</v>
      </c>
      <c r="P688" s="771" t="s">
        <v>6680</v>
      </c>
      <c r="Q688" s="771">
        <v>1</v>
      </c>
    </row>
    <row r="689" spans="2:17">
      <c r="B689" s="771" t="s">
        <v>7049</v>
      </c>
      <c r="C689" s="771">
        <v>8</v>
      </c>
      <c r="D689" s="466"/>
      <c r="K689" s="771" t="s">
        <v>6763</v>
      </c>
      <c r="L689" s="771">
        <v>1</v>
      </c>
      <c r="P689" s="771" t="s">
        <v>6808</v>
      </c>
      <c r="Q689" s="771">
        <v>2</v>
      </c>
    </row>
    <row r="690" spans="2:17">
      <c r="B690" s="771" t="s">
        <v>6865</v>
      </c>
      <c r="C690" s="771">
        <v>8</v>
      </c>
      <c r="D690" s="466"/>
      <c r="K690" s="771" t="s">
        <v>6925</v>
      </c>
      <c r="L690" s="771">
        <v>2</v>
      </c>
      <c r="P690" s="771" t="s">
        <v>6814</v>
      </c>
      <c r="Q690" s="771">
        <v>1</v>
      </c>
    </row>
    <row r="691" spans="2:17">
      <c r="B691" s="771" t="s">
        <v>7050</v>
      </c>
      <c r="C691" s="771">
        <v>10</v>
      </c>
      <c r="D691" s="466"/>
      <c r="K691" s="771" t="s">
        <v>6927</v>
      </c>
      <c r="L691" s="771">
        <v>4</v>
      </c>
      <c r="P691" s="771" t="s">
        <v>6593</v>
      </c>
      <c r="Q691" s="771">
        <v>2</v>
      </c>
    </row>
    <row r="692" spans="2:17">
      <c r="B692" s="771" t="s">
        <v>7051</v>
      </c>
      <c r="C692" s="771">
        <v>10</v>
      </c>
      <c r="D692" s="466"/>
      <c r="K692" s="771" t="s">
        <v>7052</v>
      </c>
      <c r="L692" s="771">
        <v>2</v>
      </c>
      <c r="P692" s="771" t="s">
        <v>6817</v>
      </c>
      <c r="Q692" s="771">
        <v>4</v>
      </c>
    </row>
    <row r="693" spans="2:17">
      <c r="B693" s="771" t="s">
        <v>7053</v>
      </c>
      <c r="C693" s="771">
        <v>8</v>
      </c>
      <c r="D693" s="466"/>
      <c r="K693" s="771" t="s">
        <v>7054</v>
      </c>
      <c r="L693" s="771">
        <v>3</v>
      </c>
      <c r="P693" s="771" t="s">
        <v>6820</v>
      </c>
      <c r="Q693" s="771">
        <v>4</v>
      </c>
    </row>
    <row r="694" spans="2:17">
      <c r="B694" s="771" t="s">
        <v>6868</v>
      </c>
      <c r="C694" s="771">
        <v>10</v>
      </c>
      <c r="D694" s="466"/>
      <c r="K694" s="771" t="s">
        <v>7055</v>
      </c>
      <c r="L694" s="771">
        <v>3</v>
      </c>
      <c r="P694" s="771" t="s">
        <v>7056</v>
      </c>
      <c r="Q694" s="771">
        <v>4</v>
      </c>
    </row>
    <row r="695" spans="2:17">
      <c r="B695" s="771" t="s">
        <v>6872</v>
      </c>
      <c r="C695" s="771">
        <v>10</v>
      </c>
      <c r="D695" s="466"/>
      <c r="K695" s="771" t="s">
        <v>7057</v>
      </c>
      <c r="L695" s="771">
        <v>4</v>
      </c>
      <c r="P695" s="771" t="s">
        <v>7058</v>
      </c>
      <c r="Q695" s="771">
        <v>1</v>
      </c>
    </row>
    <row r="696" spans="2:17">
      <c r="B696" s="771" t="s">
        <v>7059</v>
      </c>
      <c r="C696" s="771">
        <v>8</v>
      </c>
      <c r="D696" s="466"/>
      <c r="K696" s="771" t="s">
        <v>6939</v>
      </c>
      <c r="L696" s="771">
        <v>3</v>
      </c>
      <c r="P696" s="771" t="s">
        <v>7060</v>
      </c>
      <c r="Q696" s="771">
        <v>1</v>
      </c>
    </row>
    <row r="697" spans="2:17">
      <c r="B697" s="771" t="s">
        <v>7061</v>
      </c>
      <c r="C697" s="771">
        <v>8</v>
      </c>
      <c r="D697" s="466"/>
      <c r="K697" s="771" t="s">
        <v>6941</v>
      </c>
      <c r="L697" s="771">
        <v>2</v>
      </c>
      <c r="P697" s="771" t="s">
        <v>6825</v>
      </c>
      <c r="Q697" s="771">
        <v>2</v>
      </c>
    </row>
    <row r="698" spans="2:17">
      <c r="B698" s="771" t="s">
        <v>6880</v>
      </c>
      <c r="C698" s="771">
        <v>10</v>
      </c>
      <c r="D698" s="466"/>
      <c r="K698" s="771" t="s">
        <v>7062</v>
      </c>
      <c r="L698" s="771">
        <v>4</v>
      </c>
      <c r="P698" s="771" t="s">
        <v>6594</v>
      </c>
      <c r="Q698" s="771">
        <v>1</v>
      </c>
    </row>
    <row r="699" spans="2:17">
      <c r="B699" s="771" t="s">
        <v>6882</v>
      </c>
      <c r="C699" s="771">
        <v>10</v>
      </c>
      <c r="D699" s="466"/>
      <c r="K699" s="771" t="s">
        <v>6944</v>
      </c>
      <c r="L699" s="771">
        <v>2</v>
      </c>
      <c r="P699" s="771" t="s">
        <v>6597</v>
      </c>
      <c r="Q699" s="771">
        <v>4</v>
      </c>
    </row>
    <row r="700" spans="2:17">
      <c r="B700" s="771" t="s">
        <v>6885</v>
      </c>
      <c r="C700" s="771">
        <v>8</v>
      </c>
      <c r="D700" s="466"/>
      <c r="K700" s="771" t="s">
        <v>6947</v>
      </c>
      <c r="L700" s="771">
        <v>2</v>
      </c>
      <c r="P700" s="771" t="s">
        <v>6835</v>
      </c>
      <c r="Q700" s="771">
        <v>4</v>
      </c>
    </row>
    <row r="701" spans="2:17">
      <c r="B701" s="771" t="s">
        <v>7063</v>
      </c>
      <c r="C701" s="771">
        <v>10</v>
      </c>
      <c r="D701" s="466"/>
      <c r="K701" s="771" t="s">
        <v>6766</v>
      </c>
      <c r="L701" s="771">
        <v>2</v>
      </c>
      <c r="P701" s="771" t="s">
        <v>7064</v>
      </c>
      <c r="Q701" s="771">
        <v>3</v>
      </c>
    </row>
    <row r="702" spans="2:17">
      <c r="B702" s="771" t="s">
        <v>6887</v>
      </c>
      <c r="C702" s="771">
        <v>10</v>
      </c>
      <c r="D702" s="466"/>
      <c r="K702" s="771" t="s">
        <v>6950</v>
      </c>
      <c r="L702" s="771">
        <v>4</v>
      </c>
      <c r="P702" s="771" t="s">
        <v>7065</v>
      </c>
      <c r="Q702" s="771">
        <v>2</v>
      </c>
    </row>
    <row r="703" spans="2:17">
      <c r="B703" s="771" t="s">
        <v>6892</v>
      </c>
      <c r="C703" s="771">
        <v>8</v>
      </c>
      <c r="D703" s="466"/>
      <c r="K703" s="771" t="s">
        <v>6952</v>
      </c>
      <c r="L703" s="771">
        <v>2</v>
      </c>
      <c r="P703" s="771" t="s">
        <v>6694</v>
      </c>
      <c r="Q703" s="771">
        <v>1</v>
      </c>
    </row>
    <row r="704" spans="2:17">
      <c r="B704" s="771" t="s">
        <v>7066</v>
      </c>
      <c r="C704" s="771">
        <v>10</v>
      </c>
      <c r="D704" s="466"/>
      <c r="K704" s="771" t="s">
        <v>7067</v>
      </c>
      <c r="L704" s="771">
        <v>2</v>
      </c>
      <c r="P704" s="771" t="s">
        <v>6604</v>
      </c>
      <c r="Q704" s="771">
        <v>4</v>
      </c>
    </row>
    <row r="705" spans="2:17">
      <c r="B705" s="771" t="s">
        <v>7068</v>
      </c>
      <c r="C705" s="771">
        <v>8</v>
      </c>
      <c r="D705" s="466"/>
      <c r="K705" s="771" t="s">
        <v>6767</v>
      </c>
      <c r="L705" s="771">
        <v>1</v>
      </c>
      <c r="P705" s="771" t="s">
        <v>6838</v>
      </c>
      <c r="Q705" s="771">
        <v>1</v>
      </c>
    </row>
    <row r="706" spans="2:17">
      <c r="B706" s="771" t="s">
        <v>7069</v>
      </c>
      <c r="C706" s="771">
        <v>10</v>
      </c>
      <c r="D706" s="466"/>
      <c r="K706" s="771" t="s">
        <v>7070</v>
      </c>
      <c r="L706" s="771">
        <v>4</v>
      </c>
      <c r="P706" s="771" t="s">
        <v>7071</v>
      </c>
      <c r="Q706" s="771">
        <v>1</v>
      </c>
    </row>
    <row r="707" spans="2:17">
      <c r="B707" s="771" t="s">
        <v>7072</v>
      </c>
      <c r="C707" s="771">
        <v>8</v>
      </c>
      <c r="D707" s="466"/>
      <c r="K707" s="771" t="s">
        <v>6769</v>
      </c>
      <c r="L707" s="771">
        <v>4</v>
      </c>
      <c r="P707" s="771" t="s">
        <v>6607</v>
      </c>
      <c r="Q707" s="771">
        <v>3</v>
      </c>
    </row>
    <row r="708" spans="2:17">
      <c r="B708" s="771" t="s">
        <v>6895</v>
      </c>
      <c r="C708" s="771">
        <v>8</v>
      </c>
      <c r="D708" s="466"/>
      <c r="K708" s="771" t="s">
        <v>6965</v>
      </c>
      <c r="L708" s="771">
        <v>3</v>
      </c>
      <c r="P708" s="771" t="s">
        <v>6608</v>
      </c>
      <c r="Q708" s="771">
        <v>4</v>
      </c>
    </row>
    <row r="709" spans="2:17">
      <c r="B709" s="771" t="s">
        <v>6897</v>
      </c>
      <c r="C709" s="771">
        <v>8</v>
      </c>
      <c r="D709" s="466"/>
      <c r="K709" s="771" t="s">
        <v>7073</v>
      </c>
      <c r="L709" s="771">
        <v>3</v>
      </c>
      <c r="P709" s="771" t="s">
        <v>6843</v>
      </c>
      <c r="Q709" s="771">
        <v>4</v>
      </c>
    </row>
    <row r="710" spans="2:17">
      <c r="B710" s="771" t="s">
        <v>6900</v>
      </c>
      <c r="C710" s="771">
        <v>10</v>
      </c>
      <c r="D710" s="466"/>
      <c r="K710" s="771" t="s">
        <v>6967</v>
      </c>
      <c r="L710" s="771">
        <v>2</v>
      </c>
      <c r="P710" s="771" t="s">
        <v>6846</v>
      </c>
      <c r="Q710" s="771">
        <v>4</v>
      </c>
    </row>
    <row r="711" spans="2:17">
      <c r="B711" s="771" t="s">
        <v>7074</v>
      </c>
      <c r="C711" s="771">
        <v>8</v>
      </c>
      <c r="D711" s="466"/>
      <c r="K711" s="771" t="s">
        <v>6969</v>
      </c>
      <c r="L711" s="771">
        <v>3</v>
      </c>
      <c r="P711" s="771" t="s">
        <v>6850</v>
      </c>
      <c r="Q711" s="771">
        <v>2</v>
      </c>
    </row>
    <row r="712" spans="2:17">
      <c r="B712" s="771" t="s">
        <v>7075</v>
      </c>
      <c r="C712" s="771">
        <v>8</v>
      </c>
      <c r="D712" s="466"/>
      <c r="K712" s="771" t="s">
        <v>6976</v>
      </c>
      <c r="L712" s="771">
        <v>3</v>
      </c>
      <c r="P712" s="771" t="s">
        <v>6609</v>
      </c>
      <c r="Q712" s="771">
        <v>2</v>
      </c>
    </row>
    <row r="713" spans="2:17">
      <c r="B713" s="771" t="s">
        <v>6909</v>
      </c>
      <c r="C713" s="771">
        <v>8</v>
      </c>
      <c r="D713" s="466"/>
      <c r="K713" s="771" t="s">
        <v>7076</v>
      </c>
      <c r="L713" s="771">
        <v>2</v>
      </c>
      <c r="P713" s="771" t="s">
        <v>6854</v>
      </c>
      <c r="Q713" s="771">
        <v>4</v>
      </c>
    </row>
    <row r="714" spans="2:17">
      <c r="B714" s="771" t="s">
        <v>7077</v>
      </c>
      <c r="C714" s="771">
        <v>8</v>
      </c>
      <c r="D714" s="466"/>
      <c r="K714" s="771" t="s">
        <v>7078</v>
      </c>
      <c r="L714" s="771">
        <v>2</v>
      </c>
      <c r="P714" s="771" t="s">
        <v>6696</v>
      </c>
      <c r="Q714" s="771">
        <v>2</v>
      </c>
    </row>
    <row r="715" spans="2:17">
      <c r="B715" s="771" t="s">
        <v>7079</v>
      </c>
      <c r="C715" s="771">
        <v>8</v>
      </c>
      <c r="D715" s="466"/>
      <c r="K715" s="771" t="s">
        <v>7080</v>
      </c>
      <c r="L715" s="771">
        <v>1</v>
      </c>
      <c r="P715" s="771" t="s">
        <v>6613</v>
      </c>
      <c r="Q715" s="771">
        <v>2</v>
      </c>
    </row>
    <row r="716" spans="2:17">
      <c r="B716" s="771" t="s">
        <v>6913</v>
      </c>
      <c r="C716" s="771">
        <v>8</v>
      </c>
      <c r="D716" s="466"/>
      <c r="K716" s="771" t="s">
        <v>6774</v>
      </c>
      <c r="L716" s="771">
        <v>4</v>
      </c>
      <c r="P716" s="771" t="s">
        <v>6858</v>
      </c>
      <c r="Q716" s="771">
        <v>1</v>
      </c>
    </row>
    <row r="717" spans="2:17">
      <c r="B717" s="771" t="s">
        <v>7081</v>
      </c>
      <c r="C717" s="771">
        <v>8</v>
      </c>
      <c r="D717" s="466"/>
      <c r="K717" s="771" t="s">
        <v>6978</v>
      </c>
      <c r="L717" s="771">
        <v>3</v>
      </c>
      <c r="P717" s="771" t="s">
        <v>6860</v>
      </c>
      <c r="Q717" s="771">
        <v>2</v>
      </c>
    </row>
    <row r="718" spans="2:17">
      <c r="B718" s="771" t="s">
        <v>7082</v>
      </c>
      <c r="C718" s="771">
        <v>8</v>
      </c>
      <c r="D718" s="466"/>
      <c r="K718" s="771" t="s">
        <v>6777</v>
      </c>
      <c r="L718" s="771">
        <v>2</v>
      </c>
      <c r="P718" s="771" t="s">
        <v>7083</v>
      </c>
      <c r="Q718" s="771">
        <v>4</v>
      </c>
    </row>
    <row r="719" spans="2:17">
      <c r="B719" s="771" t="s">
        <v>7084</v>
      </c>
      <c r="C719" s="771">
        <v>10</v>
      </c>
      <c r="D719" s="466"/>
      <c r="K719" s="771" t="s">
        <v>6781</v>
      </c>
      <c r="L719" s="771">
        <v>4</v>
      </c>
      <c r="P719" s="771" t="s">
        <v>6700</v>
      </c>
      <c r="Q719" s="771">
        <v>1</v>
      </c>
    </row>
    <row r="720" spans="2:17">
      <c r="B720" s="771" t="s">
        <v>7085</v>
      </c>
      <c r="C720" s="771">
        <v>8</v>
      </c>
      <c r="D720" s="466"/>
      <c r="K720" s="771" t="s">
        <v>6984</v>
      </c>
      <c r="L720" s="771">
        <v>3</v>
      </c>
      <c r="P720" s="771" t="s">
        <v>6703</v>
      </c>
      <c r="Q720" s="771">
        <v>4</v>
      </c>
    </row>
    <row r="721" spans="2:17">
      <c r="B721" s="771" t="s">
        <v>6917</v>
      </c>
      <c r="C721" s="771">
        <v>10</v>
      </c>
      <c r="D721" s="466"/>
      <c r="K721" s="771" t="s">
        <v>7086</v>
      </c>
      <c r="L721" s="771">
        <v>1</v>
      </c>
      <c r="P721" s="771" t="s">
        <v>6705</v>
      </c>
      <c r="Q721" s="771">
        <v>3</v>
      </c>
    </row>
    <row r="722" spans="2:17">
      <c r="B722" s="771" t="s">
        <v>7087</v>
      </c>
      <c r="C722" s="771">
        <v>10</v>
      </c>
      <c r="D722" s="466"/>
      <c r="K722" s="771" t="s">
        <v>7088</v>
      </c>
      <c r="L722" s="771">
        <v>2</v>
      </c>
      <c r="P722" s="771" t="s">
        <v>6614</v>
      </c>
      <c r="Q722" s="771">
        <v>4</v>
      </c>
    </row>
    <row r="723" spans="2:17">
      <c r="B723" s="771" t="s">
        <v>7089</v>
      </c>
      <c r="C723" s="771">
        <v>8</v>
      </c>
      <c r="D723" s="466"/>
      <c r="K723" s="771" t="s">
        <v>6986</v>
      </c>
      <c r="L723" s="771">
        <v>4</v>
      </c>
      <c r="P723" s="771" t="s">
        <v>6707</v>
      </c>
      <c r="Q723" s="771">
        <v>1</v>
      </c>
    </row>
    <row r="724" spans="2:17">
      <c r="B724" s="771" t="s">
        <v>7090</v>
      </c>
      <c r="C724" s="771">
        <v>8</v>
      </c>
      <c r="D724" s="466"/>
      <c r="K724" s="771" t="s">
        <v>6783</v>
      </c>
      <c r="L724" s="771">
        <v>2</v>
      </c>
      <c r="P724" s="771" t="s">
        <v>6709</v>
      </c>
      <c r="Q724" s="771">
        <v>1</v>
      </c>
    </row>
    <row r="725" spans="2:17">
      <c r="B725" s="771" t="s">
        <v>6920</v>
      </c>
      <c r="C725" s="771">
        <v>10</v>
      </c>
      <c r="D725" s="466"/>
      <c r="K725" s="771" t="s">
        <v>6785</v>
      </c>
      <c r="L725" s="771">
        <v>2</v>
      </c>
      <c r="P725" s="771" t="s">
        <v>6617</v>
      </c>
      <c r="Q725" s="771">
        <v>4</v>
      </c>
    </row>
    <row r="726" spans="2:17">
      <c r="B726" s="771" t="s">
        <v>6949</v>
      </c>
      <c r="C726" s="771">
        <v>10</v>
      </c>
      <c r="D726" s="466"/>
      <c r="K726" s="771" t="s">
        <v>6789</v>
      </c>
      <c r="L726" s="771">
        <v>4</v>
      </c>
      <c r="P726" s="771" t="s">
        <v>6866</v>
      </c>
      <c r="Q726" s="771">
        <v>4</v>
      </c>
    </row>
    <row r="727" spans="2:17">
      <c r="B727" s="771" t="s">
        <v>6953</v>
      </c>
      <c r="C727" s="771">
        <v>8</v>
      </c>
      <c r="D727" s="466"/>
      <c r="K727" s="771" t="s">
        <v>6990</v>
      </c>
      <c r="L727" s="771">
        <v>2</v>
      </c>
      <c r="P727" s="771" t="s">
        <v>6712</v>
      </c>
      <c r="Q727" s="771">
        <v>1</v>
      </c>
    </row>
    <row r="728" spans="2:17">
      <c r="B728" s="771" t="s">
        <v>7091</v>
      </c>
      <c r="C728" s="771">
        <v>8</v>
      </c>
      <c r="K728" s="771" t="s">
        <v>6793</v>
      </c>
      <c r="L728" s="771">
        <v>4</v>
      </c>
      <c r="P728" s="771" t="s">
        <v>6715</v>
      </c>
      <c r="Q728" s="771">
        <v>2</v>
      </c>
    </row>
    <row r="729" spans="2:17">
      <c r="B729" s="771" t="s">
        <v>7092</v>
      </c>
      <c r="C729" s="771">
        <v>10</v>
      </c>
      <c r="K729" s="771" t="s">
        <v>6993</v>
      </c>
      <c r="L729" s="771">
        <v>2</v>
      </c>
      <c r="P729" s="771" t="s">
        <v>7093</v>
      </c>
      <c r="Q729" s="771">
        <v>3</v>
      </c>
    </row>
    <row r="730" spans="2:17">
      <c r="B730" s="771" t="s">
        <v>7094</v>
      </c>
      <c r="C730" s="771">
        <v>10</v>
      </c>
      <c r="K730" s="771" t="s">
        <v>6995</v>
      </c>
      <c r="L730" s="771">
        <v>2</v>
      </c>
      <c r="P730" s="771" t="s">
        <v>7095</v>
      </c>
      <c r="Q730" s="771">
        <v>1</v>
      </c>
    </row>
    <row r="731" spans="2:17">
      <c r="B731" s="771" t="s">
        <v>7096</v>
      </c>
      <c r="C731" s="771">
        <v>8</v>
      </c>
      <c r="K731" s="771" t="s">
        <v>6997</v>
      </c>
      <c r="L731" s="771">
        <v>4</v>
      </c>
      <c r="P731" s="771" t="s">
        <v>6719</v>
      </c>
      <c r="Q731" s="771">
        <v>4</v>
      </c>
    </row>
    <row r="732" spans="2:17">
      <c r="B732" s="771" t="s">
        <v>6963</v>
      </c>
      <c r="C732" s="771">
        <v>10</v>
      </c>
      <c r="K732" s="771" t="s">
        <v>6999</v>
      </c>
      <c r="L732" s="771">
        <v>3</v>
      </c>
      <c r="P732" s="771" t="s">
        <v>7097</v>
      </c>
      <c r="Q732" s="771">
        <v>1</v>
      </c>
    </row>
    <row r="733" spans="2:17">
      <c r="B733" s="771" t="s">
        <v>6968</v>
      </c>
      <c r="C733" s="771">
        <v>10</v>
      </c>
      <c r="K733" s="771" t="s">
        <v>7003</v>
      </c>
      <c r="L733" s="771">
        <v>4</v>
      </c>
      <c r="P733" s="771" t="s">
        <v>6878</v>
      </c>
      <c r="Q733" s="771">
        <v>2</v>
      </c>
    </row>
    <row r="734" spans="2:17">
      <c r="B734" s="771" t="s">
        <v>7098</v>
      </c>
      <c r="C734" s="771">
        <v>10</v>
      </c>
      <c r="K734" s="771" t="s">
        <v>7099</v>
      </c>
      <c r="L734" s="771">
        <v>2</v>
      </c>
      <c r="P734" s="771" t="s">
        <v>6622</v>
      </c>
      <c r="Q734" s="771">
        <v>1</v>
      </c>
    </row>
    <row r="735" spans="2:17">
      <c r="B735" s="771" t="s">
        <v>6970</v>
      </c>
      <c r="C735" s="771">
        <v>8</v>
      </c>
      <c r="K735" s="771" t="s">
        <v>7005</v>
      </c>
      <c r="L735" s="771">
        <v>1</v>
      </c>
      <c r="P735" s="771" t="s">
        <v>7100</v>
      </c>
      <c r="Q735" s="771">
        <v>4</v>
      </c>
    </row>
    <row r="736" spans="2:17">
      <c r="B736" s="771" t="s">
        <v>7101</v>
      </c>
      <c r="C736" s="771">
        <v>10</v>
      </c>
      <c r="K736" s="771" t="s">
        <v>6796</v>
      </c>
      <c r="L736" s="771">
        <v>4</v>
      </c>
      <c r="P736" s="771" t="s">
        <v>6624</v>
      </c>
      <c r="Q736" s="771">
        <v>4</v>
      </c>
    </row>
    <row r="737" spans="2:17">
      <c r="B737" s="771" t="s">
        <v>7102</v>
      </c>
      <c r="C737" s="771">
        <v>10</v>
      </c>
      <c r="K737" s="771" t="s">
        <v>6799</v>
      </c>
      <c r="L737" s="771">
        <v>4</v>
      </c>
      <c r="P737" s="771" t="s">
        <v>6626</v>
      </c>
      <c r="Q737" s="771">
        <v>2</v>
      </c>
    </row>
    <row r="738" spans="2:17">
      <c r="B738" s="771" t="s">
        <v>6973</v>
      </c>
      <c r="C738" s="771">
        <v>8</v>
      </c>
      <c r="K738" s="771" t="s">
        <v>6802</v>
      </c>
      <c r="L738" s="771">
        <v>3</v>
      </c>
      <c r="P738" s="771" t="s">
        <v>6627</v>
      </c>
      <c r="Q738" s="771">
        <v>2</v>
      </c>
    </row>
    <row r="739" spans="2:17">
      <c r="B739" s="771" t="s">
        <v>7103</v>
      </c>
      <c r="C739" s="771">
        <v>8</v>
      </c>
      <c r="K739" s="771" t="s">
        <v>7104</v>
      </c>
      <c r="L739" s="771">
        <v>2</v>
      </c>
      <c r="P739" s="771" t="s">
        <v>6630</v>
      </c>
      <c r="Q739" s="771">
        <v>4</v>
      </c>
    </row>
    <row r="740" spans="2:17">
      <c r="B740" s="771" t="s">
        <v>6975</v>
      </c>
      <c r="C740" s="771">
        <v>8</v>
      </c>
      <c r="K740" s="771" t="s">
        <v>7105</v>
      </c>
      <c r="L740" s="771">
        <v>3</v>
      </c>
      <c r="P740" s="771" t="s">
        <v>7106</v>
      </c>
      <c r="Q740" s="771">
        <v>1</v>
      </c>
    </row>
    <row r="741" spans="2:17">
      <c r="B741" s="771" t="s">
        <v>7107</v>
      </c>
      <c r="C741" s="771">
        <v>8</v>
      </c>
      <c r="K741" s="771" t="s">
        <v>7021</v>
      </c>
      <c r="L741" s="771">
        <v>2</v>
      </c>
      <c r="P741" s="771" t="s">
        <v>6721</v>
      </c>
      <c r="Q741" s="771">
        <v>4</v>
      </c>
    </row>
    <row r="742" spans="2:17">
      <c r="B742" s="771" t="s">
        <v>6979</v>
      </c>
      <c r="C742" s="771">
        <v>10</v>
      </c>
      <c r="K742" s="771" t="s">
        <v>7023</v>
      </c>
      <c r="L742" s="771">
        <v>3</v>
      </c>
      <c r="P742" s="771" t="s">
        <v>6631</v>
      </c>
      <c r="Q742" s="771">
        <v>2</v>
      </c>
    </row>
    <row r="743" spans="2:17">
      <c r="B743" s="771" t="s">
        <v>7108</v>
      </c>
      <c r="C743" s="771">
        <v>8</v>
      </c>
      <c r="K743" s="771" t="s">
        <v>7025</v>
      </c>
      <c r="L743" s="771">
        <v>2</v>
      </c>
      <c r="P743" s="771" t="s">
        <v>6893</v>
      </c>
      <c r="Q743" s="771">
        <v>1</v>
      </c>
    </row>
    <row r="744" spans="2:17">
      <c r="B744" s="771" t="s">
        <v>6981</v>
      </c>
      <c r="C744" s="771">
        <v>10</v>
      </c>
      <c r="K744" s="771" t="s">
        <v>7027</v>
      </c>
      <c r="L744" s="771">
        <v>2</v>
      </c>
      <c r="P744" s="771" t="s">
        <v>6633</v>
      </c>
      <c r="Q744" s="771">
        <v>1</v>
      </c>
    </row>
    <row r="745" spans="2:17">
      <c r="B745" s="771" t="s">
        <v>6983</v>
      </c>
      <c r="C745" s="771">
        <v>10</v>
      </c>
      <c r="K745" s="771" t="s">
        <v>6807</v>
      </c>
      <c r="L745" s="771">
        <v>4</v>
      </c>
      <c r="P745" s="771" t="s">
        <v>6634</v>
      </c>
      <c r="Q745" s="771">
        <v>3</v>
      </c>
    </row>
    <row r="746" spans="2:17">
      <c r="B746" s="771" t="s">
        <v>6985</v>
      </c>
      <c r="C746" s="771">
        <v>8</v>
      </c>
      <c r="K746" s="771" t="s">
        <v>7109</v>
      </c>
      <c r="L746" s="771">
        <v>3</v>
      </c>
      <c r="P746" s="771" t="s">
        <v>6635</v>
      </c>
      <c r="Q746" s="771">
        <v>1</v>
      </c>
    </row>
    <row r="747" spans="2:17">
      <c r="B747" s="771" t="s">
        <v>6989</v>
      </c>
      <c r="C747" s="771">
        <v>8</v>
      </c>
      <c r="K747" s="771" t="s">
        <v>6810</v>
      </c>
      <c r="L747" s="771">
        <v>4</v>
      </c>
      <c r="P747" s="771" t="s">
        <v>6637</v>
      </c>
      <c r="Q747" s="771">
        <v>1</v>
      </c>
    </row>
    <row r="748" spans="2:17">
      <c r="B748" s="771" t="s">
        <v>7110</v>
      </c>
      <c r="C748" s="771">
        <v>8</v>
      </c>
      <c r="K748" s="771" t="s">
        <v>7111</v>
      </c>
      <c r="L748" s="771">
        <v>2</v>
      </c>
      <c r="P748" s="771" t="s">
        <v>6727</v>
      </c>
      <c r="Q748" s="771">
        <v>1</v>
      </c>
    </row>
    <row r="749" spans="2:17">
      <c r="B749" s="771" t="s">
        <v>7112</v>
      </c>
      <c r="C749" s="771">
        <v>10</v>
      </c>
      <c r="K749" s="771" t="s">
        <v>6811</v>
      </c>
      <c r="L749" s="771">
        <v>3</v>
      </c>
      <c r="P749" s="771" t="s">
        <v>6638</v>
      </c>
      <c r="Q749" s="771">
        <v>4</v>
      </c>
    </row>
    <row r="750" spans="2:17">
      <c r="B750" s="771" t="s">
        <v>7113</v>
      </c>
      <c r="C750" s="771">
        <v>8</v>
      </c>
      <c r="K750" s="771" t="s">
        <v>7030</v>
      </c>
      <c r="L750" s="771">
        <v>2</v>
      </c>
      <c r="P750" s="771" t="s">
        <v>6641</v>
      </c>
      <c r="Q750" s="771">
        <v>4</v>
      </c>
    </row>
    <row r="751" spans="2:17">
      <c r="B751" s="771" t="s">
        <v>6991</v>
      </c>
      <c r="C751" s="771">
        <v>8</v>
      </c>
      <c r="K751" s="771" t="s">
        <v>6816</v>
      </c>
      <c r="L751" s="771">
        <v>2</v>
      </c>
      <c r="P751" s="771" t="s">
        <v>6642</v>
      </c>
      <c r="Q751" s="771">
        <v>4</v>
      </c>
    </row>
    <row r="752" spans="2:17">
      <c r="B752" s="771" t="s">
        <v>7114</v>
      </c>
      <c r="C752" s="771">
        <v>8</v>
      </c>
      <c r="K752" s="771" t="s">
        <v>7031</v>
      </c>
      <c r="L752" s="771">
        <v>4</v>
      </c>
      <c r="P752" s="771" t="s">
        <v>6912</v>
      </c>
      <c r="Q752" s="771">
        <v>2</v>
      </c>
    </row>
    <row r="753" spans="2:17">
      <c r="B753" s="771" t="s">
        <v>7115</v>
      </c>
      <c r="C753" s="771">
        <v>8</v>
      </c>
      <c r="K753" s="771" t="s">
        <v>6819</v>
      </c>
      <c r="L753" s="771">
        <v>2</v>
      </c>
      <c r="P753" s="771" t="s">
        <v>6734</v>
      </c>
      <c r="Q753" s="771">
        <v>1</v>
      </c>
    </row>
    <row r="754" spans="2:17">
      <c r="B754" s="771" t="s">
        <v>7116</v>
      </c>
      <c r="C754" s="771">
        <v>8</v>
      </c>
      <c r="K754" s="771" t="s">
        <v>7032</v>
      </c>
      <c r="L754" s="771">
        <v>1</v>
      </c>
      <c r="P754" s="771" t="s">
        <v>6914</v>
      </c>
      <c r="Q754" s="771">
        <v>1</v>
      </c>
    </row>
    <row r="755" spans="2:17">
      <c r="B755" s="771" t="s">
        <v>7117</v>
      </c>
      <c r="C755" s="771">
        <v>10</v>
      </c>
      <c r="K755" s="771" t="s">
        <v>6822</v>
      </c>
      <c r="L755" s="771">
        <v>4</v>
      </c>
      <c r="P755" s="771" t="s">
        <v>6645</v>
      </c>
      <c r="Q755" s="771">
        <v>1</v>
      </c>
    </row>
    <row r="756" spans="2:17">
      <c r="B756" s="771" t="s">
        <v>7118</v>
      </c>
      <c r="C756" s="771">
        <v>8</v>
      </c>
      <c r="K756" s="771" t="s">
        <v>7034</v>
      </c>
      <c r="L756" s="771">
        <v>4</v>
      </c>
      <c r="P756" s="771" t="s">
        <v>6647</v>
      </c>
      <c r="Q756" s="771">
        <v>2</v>
      </c>
    </row>
    <row r="757" spans="2:17">
      <c r="B757" s="771" t="s">
        <v>7119</v>
      </c>
      <c r="C757" s="771">
        <v>8</v>
      </c>
      <c r="K757" s="771" t="s">
        <v>6824</v>
      </c>
      <c r="L757" s="771">
        <v>4</v>
      </c>
      <c r="P757" s="771" t="s">
        <v>6918</v>
      </c>
      <c r="Q757" s="771">
        <v>1</v>
      </c>
    </row>
    <row r="758" spans="2:17">
      <c r="B758" s="771" t="s">
        <v>7120</v>
      </c>
      <c r="C758" s="771">
        <v>8</v>
      </c>
      <c r="K758" s="771" t="s">
        <v>7121</v>
      </c>
      <c r="L758" s="771">
        <v>2</v>
      </c>
      <c r="P758" s="771" t="s">
        <v>6649</v>
      </c>
      <c r="Q758" s="771">
        <v>3</v>
      </c>
    </row>
    <row r="759" spans="2:17">
      <c r="B759" s="771" t="s">
        <v>7122</v>
      </c>
      <c r="C759" s="771">
        <v>8</v>
      </c>
      <c r="K759" s="771" t="s">
        <v>7123</v>
      </c>
      <c r="L759" s="771">
        <v>4</v>
      </c>
      <c r="P759" s="771" t="s">
        <v>6739</v>
      </c>
      <c r="Q759" s="771">
        <v>1</v>
      </c>
    </row>
    <row r="760" spans="2:17">
      <c r="B760" s="771" t="s">
        <v>7124</v>
      </c>
      <c r="C760" s="771">
        <v>8</v>
      </c>
      <c r="K760" s="771" t="s">
        <v>6828</v>
      </c>
      <c r="L760" s="771">
        <v>2</v>
      </c>
      <c r="P760" s="771" t="s">
        <v>6650</v>
      </c>
      <c r="Q760" s="771">
        <v>3</v>
      </c>
    </row>
    <row r="761" spans="2:17">
      <c r="B761" s="771" t="s">
        <v>6994</v>
      </c>
      <c r="C761" s="771">
        <v>8</v>
      </c>
      <c r="K761" s="771" t="s">
        <v>7125</v>
      </c>
      <c r="L761" s="771">
        <v>4</v>
      </c>
      <c r="P761" s="771" t="s">
        <v>7126</v>
      </c>
      <c r="Q761" s="771">
        <v>1</v>
      </c>
    </row>
    <row r="762" spans="2:17">
      <c r="B762" s="771" t="s">
        <v>7127</v>
      </c>
      <c r="C762" s="771">
        <v>8</v>
      </c>
      <c r="K762" s="771" t="s">
        <v>6830</v>
      </c>
      <c r="L762" s="771">
        <v>3</v>
      </c>
      <c r="P762" s="771" t="s">
        <v>6924</v>
      </c>
      <c r="Q762" s="771">
        <v>2</v>
      </c>
    </row>
    <row r="763" spans="2:17">
      <c r="B763" s="771" t="s">
        <v>7128</v>
      </c>
      <c r="C763" s="771">
        <v>8</v>
      </c>
      <c r="K763" s="771" t="s">
        <v>7129</v>
      </c>
      <c r="L763" s="771">
        <v>2</v>
      </c>
      <c r="P763" s="771" t="s">
        <v>7130</v>
      </c>
      <c r="Q763" s="771">
        <v>1</v>
      </c>
    </row>
    <row r="764" spans="2:17">
      <c r="B764" s="771" t="s">
        <v>7131</v>
      </c>
      <c r="C764" s="771">
        <v>8</v>
      </c>
      <c r="K764" s="771" t="s">
        <v>6832</v>
      </c>
      <c r="L764" s="771">
        <v>3</v>
      </c>
      <c r="P764" s="771" t="s">
        <v>6929</v>
      </c>
      <c r="Q764" s="771">
        <v>1</v>
      </c>
    </row>
    <row r="765" spans="2:17">
      <c r="B765" s="771" t="s">
        <v>7132</v>
      </c>
      <c r="C765" s="771">
        <v>8</v>
      </c>
      <c r="K765" s="771" t="s">
        <v>6834</v>
      </c>
      <c r="L765" s="771">
        <v>2</v>
      </c>
      <c r="P765" s="771" t="s">
        <v>7133</v>
      </c>
      <c r="Q765" s="771">
        <v>1</v>
      </c>
    </row>
    <row r="766" spans="2:17">
      <c r="B766" s="771" t="s">
        <v>6998</v>
      </c>
      <c r="C766" s="771">
        <v>8</v>
      </c>
      <c r="K766" s="771" t="s">
        <v>7036</v>
      </c>
      <c r="L766" s="771">
        <v>3</v>
      </c>
      <c r="P766" s="771" t="s">
        <v>7134</v>
      </c>
      <c r="Q766" s="771">
        <v>4</v>
      </c>
    </row>
    <row r="767" spans="2:17">
      <c r="B767" s="771" t="s">
        <v>7135</v>
      </c>
      <c r="C767" s="771">
        <v>10</v>
      </c>
      <c r="K767" s="771" t="s">
        <v>7037</v>
      </c>
      <c r="L767" s="771">
        <v>4</v>
      </c>
      <c r="P767" s="771" t="s">
        <v>6651</v>
      </c>
      <c r="Q767" s="771">
        <v>2</v>
      </c>
    </row>
    <row r="768" spans="2:17">
      <c r="B768" s="771" t="s">
        <v>7002</v>
      </c>
      <c r="C768" s="771">
        <v>10</v>
      </c>
      <c r="K768" s="771" t="s">
        <v>7136</v>
      </c>
      <c r="L768" s="771">
        <v>2</v>
      </c>
      <c r="P768" s="771" t="s">
        <v>6652</v>
      </c>
      <c r="Q768" s="771">
        <v>4</v>
      </c>
    </row>
    <row r="769" spans="2:17">
      <c r="B769" s="771" t="s">
        <v>7004</v>
      </c>
      <c r="C769" s="771">
        <v>8</v>
      </c>
      <c r="K769" s="771" t="s">
        <v>7038</v>
      </c>
      <c r="L769" s="771">
        <v>2</v>
      </c>
      <c r="P769" s="771" t="s">
        <v>6655</v>
      </c>
      <c r="Q769" s="771">
        <v>4</v>
      </c>
    </row>
    <row r="770" spans="2:17">
      <c r="B770" s="771" t="s">
        <v>7006</v>
      </c>
      <c r="C770" s="771">
        <v>8</v>
      </c>
      <c r="K770" s="771" t="s">
        <v>7039</v>
      </c>
      <c r="L770" s="771">
        <v>2</v>
      </c>
      <c r="P770" s="771" t="s">
        <v>6752</v>
      </c>
      <c r="Q770" s="771">
        <v>2</v>
      </c>
    </row>
    <row r="771" spans="2:17">
      <c r="B771" s="771" t="s">
        <v>7137</v>
      </c>
      <c r="C771" s="771">
        <v>10</v>
      </c>
      <c r="K771" s="771" t="s">
        <v>7040</v>
      </c>
      <c r="L771" s="771">
        <v>3</v>
      </c>
      <c r="P771" s="771" t="s">
        <v>6946</v>
      </c>
      <c r="Q771" s="771">
        <v>2</v>
      </c>
    </row>
    <row r="772" spans="2:17">
      <c r="B772" s="771" t="s">
        <v>7138</v>
      </c>
      <c r="C772" s="771">
        <v>8</v>
      </c>
      <c r="K772" s="771" t="s">
        <v>7042</v>
      </c>
      <c r="L772" s="771">
        <v>2</v>
      </c>
      <c r="P772" s="771" t="s">
        <v>7139</v>
      </c>
      <c r="Q772" s="771">
        <v>4</v>
      </c>
    </row>
    <row r="773" spans="2:17">
      <c r="B773" s="771" t="s">
        <v>7140</v>
      </c>
      <c r="C773" s="771">
        <v>10</v>
      </c>
      <c r="K773" s="771" t="s">
        <v>7043</v>
      </c>
      <c r="L773" s="771">
        <v>2</v>
      </c>
      <c r="P773" s="771" t="s">
        <v>6656</v>
      </c>
      <c r="Q773" s="771">
        <v>4</v>
      </c>
    </row>
    <row r="774" spans="2:17">
      <c r="B774" s="771" t="s">
        <v>7141</v>
      </c>
      <c r="C774" s="771">
        <v>10</v>
      </c>
      <c r="K774" s="771" t="s">
        <v>6840</v>
      </c>
      <c r="L774" s="771">
        <v>3</v>
      </c>
      <c r="P774" s="771" t="s">
        <v>6759</v>
      </c>
      <c r="Q774" s="771">
        <v>2</v>
      </c>
    </row>
    <row r="775" spans="2:17">
      <c r="B775" s="771" t="s">
        <v>7142</v>
      </c>
      <c r="C775" s="771">
        <v>10</v>
      </c>
      <c r="K775" s="771" t="s">
        <v>6842</v>
      </c>
      <c r="L775" s="771">
        <v>3</v>
      </c>
      <c r="P775" s="771" t="s">
        <v>6762</v>
      </c>
      <c r="Q775" s="771">
        <v>4</v>
      </c>
    </row>
    <row r="776" spans="2:17">
      <c r="B776" s="771" t="s">
        <v>7143</v>
      </c>
      <c r="C776" s="771">
        <v>8</v>
      </c>
      <c r="K776" s="771" t="s">
        <v>6845</v>
      </c>
      <c r="L776" s="771">
        <v>3</v>
      </c>
      <c r="P776" s="771" t="s">
        <v>6658</v>
      </c>
      <c r="Q776" s="771">
        <v>4</v>
      </c>
    </row>
    <row r="777" spans="2:17">
      <c r="B777" s="771" t="s">
        <v>7144</v>
      </c>
      <c r="C777" s="771">
        <v>10</v>
      </c>
      <c r="K777" s="771" t="s">
        <v>6849</v>
      </c>
      <c r="L777" s="771">
        <v>2</v>
      </c>
      <c r="P777" s="771" t="s">
        <v>6765</v>
      </c>
      <c r="Q777" s="771">
        <v>4</v>
      </c>
    </row>
    <row r="778" spans="2:17">
      <c r="B778" s="771" t="s">
        <v>7145</v>
      </c>
      <c r="C778" s="771">
        <v>8</v>
      </c>
      <c r="K778" s="771" t="s">
        <v>6851</v>
      </c>
      <c r="L778" s="771">
        <v>2</v>
      </c>
      <c r="P778" s="771" t="s">
        <v>6954</v>
      </c>
      <c r="Q778" s="771">
        <v>1</v>
      </c>
    </row>
    <row r="779" spans="2:17">
      <c r="B779" s="771" t="s">
        <v>7146</v>
      </c>
      <c r="C779" s="771">
        <v>8</v>
      </c>
      <c r="K779" s="771" t="s">
        <v>7147</v>
      </c>
      <c r="L779" s="771">
        <v>2</v>
      </c>
      <c r="P779" s="771" t="s">
        <v>6957</v>
      </c>
      <c r="Q779" s="771">
        <v>4</v>
      </c>
    </row>
    <row r="780" spans="2:17">
      <c r="B780" s="771" t="s">
        <v>7148</v>
      </c>
      <c r="C780" s="771">
        <v>8</v>
      </c>
      <c r="K780" s="771" t="s">
        <v>7149</v>
      </c>
      <c r="L780" s="771">
        <v>1</v>
      </c>
      <c r="P780" s="771" t="s">
        <v>6660</v>
      </c>
      <c r="Q780" s="771">
        <v>2</v>
      </c>
    </row>
    <row r="781" spans="2:17">
      <c r="B781" s="771" t="s">
        <v>7150</v>
      </c>
      <c r="C781" s="771">
        <v>10</v>
      </c>
      <c r="K781" s="771" t="s">
        <v>7151</v>
      </c>
      <c r="L781" s="771">
        <v>4</v>
      </c>
      <c r="P781" s="771" t="s">
        <v>6662</v>
      </c>
      <c r="Q781" s="771">
        <v>2</v>
      </c>
    </row>
    <row r="782" spans="2:17">
      <c r="B782" s="771" t="s">
        <v>7152</v>
      </c>
      <c r="C782" s="771">
        <v>10</v>
      </c>
      <c r="K782" s="771" t="s">
        <v>7045</v>
      </c>
      <c r="L782" s="771">
        <v>4</v>
      </c>
      <c r="P782" s="771" t="s">
        <v>6961</v>
      </c>
      <c r="Q782" s="771">
        <v>2</v>
      </c>
    </row>
    <row r="783" spans="2:17">
      <c r="B783" s="771" t="s">
        <v>7009</v>
      </c>
      <c r="C783" s="771">
        <v>10</v>
      </c>
      <c r="K783" s="771" t="s">
        <v>7046</v>
      </c>
      <c r="L783" s="771">
        <v>4</v>
      </c>
      <c r="P783" s="771" t="s">
        <v>6768</v>
      </c>
      <c r="Q783" s="771">
        <v>1</v>
      </c>
    </row>
    <row r="784" spans="2:17">
      <c r="B784" s="771" t="s">
        <v>7010</v>
      </c>
      <c r="C784" s="771">
        <v>10</v>
      </c>
      <c r="K784" s="771" t="s">
        <v>6864</v>
      </c>
      <c r="L784" s="771">
        <v>2</v>
      </c>
      <c r="P784" s="771" t="s">
        <v>6770</v>
      </c>
      <c r="Q784" s="771">
        <v>1</v>
      </c>
    </row>
    <row r="785" spans="2:17">
      <c r="B785" s="771" t="s">
        <v>7153</v>
      </c>
      <c r="C785" s="771">
        <v>10</v>
      </c>
      <c r="K785" s="771" t="s">
        <v>7053</v>
      </c>
      <c r="L785" s="771">
        <v>2</v>
      </c>
      <c r="P785" s="771" t="s">
        <v>7154</v>
      </c>
      <c r="Q785" s="771">
        <v>2</v>
      </c>
    </row>
    <row r="786" spans="2:17">
      <c r="B786" s="771" t="s">
        <v>7155</v>
      </c>
      <c r="C786" s="771">
        <v>8</v>
      </c>
      <c r="K786" s="771" t="s">
        <v>6868</v>
      </c>
      <c r="L786" s="771">
        <v>4</v>
      </c>
      <c r="P786" s="771" t="s">
        <v>7156</v>
      </c>
      <c r="Q786" s="771">
        <v>2</v>
      </c>
    </row>
    <row r="787" spans="2:17">
      <c r="B787" s="771" t="s">
        <v>7157</v>
      </c>
      <c r="C787" s="771">
        <v>8</v>
      </c>
      <c r="K787" s="771" t="s">
        <v>6870</v>
      </c>
      <c r="L787" s="771">
        <v>2</v>
      </c>
      <c r="P787" s="771" t="s">
        <v>7158</v>
      </c>
      <c r="Q787" s="771">
        <v>1</v>
      </c>
    </row>
    <row r="788" spans="2:17">
      <c r="B788" s="771" t="s">
        <v>7159</v>
      </c>
      <c r="C788" s="771">
        <v>8</v>
      </c>
      <c r="K788" s="771" t="s">
        <v>6872</v>
      </c>
      <c r="L788" s="771">
        <v>2</v>
      </c>
      <c r="P788" s="771" t="s">
        <v>7160</v>
      </c>
      <c r="Q788" s="771">
        <v>2</v>
      </c>
    </row>
    <row r="789" spans="2:17">
      <c r="B789" s="771" t="s">
        <v>7016</v>
      </c>
      <c r="C789" s="771">
        <v>10</v>
      </c>
      <c r="K789" s="771" t="s">
        <v>7059</v>
      </c>
      <c r="L789" s="771">
        <v>4</v>
      </c>
      <c r="P789" s="771" t="s">
        <v>6665</v>
      </c>
      <c r="Q789" s="771">
        <v>1</v>
      </c>
    </row>
    <row r="790" spans="2:17">
      <c r="B790" s="771" t="s">
        <v>7161</v>
      </c>
      <c r="C790" s="771">
        <v>8</v>
      </c>
      <c r="K790" s="771" t="s">
        <v>6874</v>
      </c>
      <c r="L790" s="771">
        <v>2</v>
      </c>
      <c r="P790" s="771" t="s">
        <v>6778</v>
      </c>
      <c r="Q790" s="771">
        <v>3</v>
      </c>
    </row>
    <row r="791" spans="2:17">
      <c r="B791" s="771" t="s">
        <v>7162</v>
      </c>
      <c r="C791" s="771">
        <v>8</v>
      </c>
      <c r="K791" s="771" t="s">
        <v>6877</v>
      </c>
      <c r="L791" s="771">
        <v>2</v>
      </c>
      <c r="P791" s="771" t="s">
        <v>6667</v>
      </c>
      <c r="Q791" s="771">
        <v>3</v>
      </c>
    </row>
    <row r="792" spans="2:17">
      <c r="B792" s="771" t="s">
        <v>7163</v>
      </c>
      <c r="C792" s="771">
        <v>10</v>
      </c>
      <c r="K792" s="771" t="s">
        <v>6885</v>
      </c>
      <c r="L792" s="771">
        <v>2</v>
      </c>
      <c r="P792" s="771" t="s">
        <v>6669</v>
      </c>
      <c r="Q792" s="771">
        <v>2</v>
      </c>
    </row>
    <row r="793" spans="2:17">
      <c r="B793" s="771" t="s">
        <v>7164</v>
      </c>
      <c r="C793" s="771">
        <v>8</v>
      </c>
      <c r="K793" s="771" t="s">
        <v>6887</v>
      </c>
      <c r="L793" s="771">
        <v>4</v>
      </c>
      <c r="P793" s="771" t="s">
        <v>6671</v>
      </c>
      <c r="Q793" s="771">
        <v>1</v>
      </c>
    </row>
    <row r="794" spans="2:17">
      <c r="B794" s="771"/>
      <c r="C794" s="771"/>
      <c r="K794" s="771" t="s">
        <v>6890</v>
      </c>
      <c r="L794" s="771">
        <v>3</v>
      </c>
      <c r="P794" s="771" t="s">
        <v>6980</v>
      </c>
      <c r="Q794" s="771">
        <v>1</v>
      </c>
    </row>
    <row r="795" spans="2:17">
      <c r="B795" s="771"/>
      <c r="C795" s="771"/>
      <c r="K795" s="771" t="s">
        <v>6892</v>
      </c>
      <c r="L795" s="771">
        <v>2</v>
      </c>
      <c r="P795" s="771" t="s">
        <v>6675</v>
      </c>
      <c r="Q795" s="771">
        <v>1</v>
      </c>
    </row>
    <row r="796" spans="2:17">
      <c r="B796" s="771"/>
      <c r="C796" s="771"/>
      <c r="K796" s="771" t="s">
        <v>6895</v>
      </c>
      <c r="L796" s="771">
        <v>2</v>
      </c>
      <c r="P796" s="771" t="s">
        <v>6788</v>
      </c>
      <c r="Q796" s="771">
        <v>2</v>
      </c>
    </row>
    <row r="797" spans="2:17">
      <c r="B797" s="771"/>
      <c r="C797" s="771"/>
      <c r="K797" s="771" t="s">
        <v>7165</v>
      </c>
      <c r="L797" s="771">
        <v>1</v>
      </c>
      <c r="P797" s="771" t="s">
        <v>6791</v>
      </c>
      <c r="Q797" s="771">
        <v>3</v>
      </c>
    </row>
    <row r="798" spans="2:17">
      <c r="B798" s="771"/>
      <c r="C798" s="771"/>
      <c r="K798" s="771" t="s">
        <v>6898</v>
      </c>
      <c r="L798" s="771">
        <v>3</v>
      </c>
      <c r="P798" s="771" t="s">
        <v>6988</v>
      </c>
      <c r="Q798" s="771">
        <v>4</v>
      </c>
    </row>
    <row r="799" spans="2:17">
      <c r="B799" s="771"/>
      <c r="C799" s="771"/>
      <c r="K799" s="771" t="s">
        <v>6900</v>
      </c>
      <c r="L799" s="771">
        <v>2</v>
      </c>
      <c r="P799" s="771" t="s">
        <v>6684</v>
      </c>
      <c r="Q799" s="771">
        <v>4</v>
      </c>
    </row>
    <row r="800" spans="2:17">
      <c r="B800" s="771"/>
      <c r="C800" s="771"/>
      <c r="K800" s="771" t="s">
        <v>6905</v>
      </c>
      <c r="L800" s="771">
        <v>2</v>
      </c>
      <c r="P800" s="771" t="s">
        <v>6686</v>
      </c>
      <c r="Q800" s="771">
        <v>4</v>
      </c>
    </row>
    <row r="801" spans="2:17">
      <c r="B801" s="771"/>
      <c r="C801" s="771"/>
      <c r="K801" s="771" t="s">
        <v>7074</v>
      </c>
      <c r="L801" s="771">
        <v>1</v>
      </c>
      <c r="P801" s="771" t="s">
        <v>6688</v>
      </c>
      <c r="Q801" s="771">
        <v>4</v>
      </c>
    </row>
    <row r="802" spans="2:17">
      <c r="B802" s="771"/>
      <c r="C802" s="771"/>
      <c r="K802" s="771" t="s">
        <v>6909</v>
      </c>
      <c r="L802" s="771">
        <v>2</v>
      </c>
      <c r="P802" s="771" t="s">
        <v>6801</v>
      </c>
      <c r="Q802" s="771">
        <v>3</v>
      </c>
    </row>
    <row r="803" spans="2:17">
      <c r="B803" s="771"/>
      <c r="C803" s="771"/>
      <c r="K803" s="771" t="s">
        <v>7077</v>
      </c>
      <c r="L803" s="771">
        <v>4</v>
      </c>
      <c r="P803" s="771" t="s">
        <v>6804</v>
      </c>
      <c r="Q803" s="771">
        <v>4</v>
      </c>
    </row>
    <row r="804" spans="2:17">
      <c r="B804" s="771"/>
      <c r="C804" s="771"/>
      <c r="K804" s="771" t="s">
        <v>7079</v>
      </c>
      <c r="L804" s="771">
        <v>4</v>
      </c>
      <c r="P804" s="771" t="s">
        <v>6806</v>
      </c>
      <c r="Q804" s="771">
        <v>2</v>
      </c>
    </row>
    <row r="805" spans="2:17">
      <c r="B805" s="771"/>
      <c r="C805" s="771"/>
      <c r="K805" s="771" t="s">
        <v>6913</v>
      </c>
      <c r="L805" s="771">
        <v>4</v>
      </c>
      <c r="P805" s="771" t="s">
        <v>6690</v>
      </c>
      <c r="Q805" s="771">
        <v>3</v>
      </c>
    </row>
    <row r="806" spans="2:17">
      <c r="B806" s="771"/>
      <c r="C806" s="771"/>
      <c r="K806" s="771" t="s">
        <v>6915</v>
      </c>
      <c r="L806" s="771">
        <v>4</v>
      </c>
      <c r="P806" s="771" t="s">
        <v>6691</v>
      </c>
      <c r="Q806" s="771">
        <v>1</v>
      </c>
    </row>
    <row r="807" spans="2:17">
      <c r="B807" s="771"/>
      <c r="C807" s="771"/>
      <c r="K807" s="771" t="s">
        <v>7082</v>
      </c>
      <c r="L807" s="771">
        <v>2</v>
      </c>
      <c r="P807" s="771" t="s">
        <v>6692</v>
      </c>
      <c r="Q807" s="771">
        <v>1</v>
      </c>
    </row>
    <row r="808" spans="2:17">
      <c r="B808" s="771"/>
      <c r="C808" s="771"/>
      <c r="K808" s="771" t="s">
        <v>7084</v>
      </c>
      <c r="L808" s="771">
        <v>4</v>
      </c>
      <c r="P808" s="771" t="s">
        <v>6815</v>
      </c>
      <c r="Q808" s="771">
        <v>4</v>
      </c>
    </row>
    <row r="809" spans="2:17">
      <c r="B809" s="771"/>
      <c r="C809" s="771"/>
      <c r="K809" s="771" t="s">
        <v>7085</v>
      </c>
      <c r="L809" s="771">
        <v>4</v>
      </c>
      <c r="P809" s="771" t="s">
        <v>6818</v>
      </c>
      <c r="Q809" s="771">
        <v>4</v>
      </c>
    </row>
    <row r="810" spans="2:17">
      <c r="B810" s="771"/>
      <c r="C810" s="771"/>
      <c r="K810" s="771" t="s">
        <v>6917</v>
      </c>
      <c r="L810" s="771">
        <v>4</v>
      </c>
      <c r="P810" s="771" t="s">
        <v>6821</v>
      </c>
      <c r="Q810" s="771">
        <v>4</v>
      </c>
    </row>
    <row r="811" spans="2:17">
      <c r="B811" s="771"/>
      <c r="C811" s="771"/>
      <c r="K811" s="771" t="s">
        <v>7087</v>
      </c>
      <c r="L811" s="771">
        <v>3</v>
      </c>
      <c r="P811" s="771" t="s">
        <v>6693</v>
      </c>
      <c r="Q811" s="771">
        <v>1</v>
      </c>
    </row>
    <row r="812" spans="2:17">
      <c r="B812" s="771"/>
      <c r="C812" s="771"/>
      <c r="K812" s="771" t="s">
        <v>7089</v>
      </c>
      <c r="L812" s="771">
        <v>4</v>
      </c>
      <c r="P812" s="771" t="s">
        <v>6695</v>
      </c>
      <c r="Q812" s="771">
        <v>3</v>
      </c>
    </row>
    <row r="813" spans="2:17">
      <c r="B813" s="771"/>
      <c r="C813" s="771"/>
      <c r="K813" s="771" t="s">
        <v>7090</v>
      </c>
      <c r="L813" s="771">
        <v>4</v>
      </c>
      <c r="P813" s="771" t="s">
        <v>6827</v>
      </c>
      <c r="Q813" s="771">
        <v>1</v>
      </c>
    </row>
    <row r="814" spans="2:17">
      <c r="B814" s="771"/>
      <c r="C814" s="771"/>
      <c r="K814" s="771" t="s">
        <v>6920</v>
      </c>
      <c r="L814" s="771">
        <v>1</v>
      </c>
      <c r="P814" s="771" t="s">
        <v>6697</v>
      </c>
      <c r="Q814" s="771">
        <v>4</v>
      </c>
    </row>
    <row r="815" spans="2:17">
      <c r="B815" s="771"/>
      <c r="C815" s="771"/>
      <c r="K815" s="771" t="s">
        <v>7166</v>
      </c>
      <c r="L815" s="771">
        <v>2</v>
      </c>
      <c r="P815" s="771" t="s">
        <v>7167</v>
      </c>
      <c r="Q815" s="771">
        <v>2</v>
      </c>
    </row>
    <row r="816" spans="2:17">
      <c r="B816" s="771"/>
      <c r="C816" s="771"/>
      <c r="K816" s="771" t="s">
        <v>7168</v>
      </c>
      <c r="L816" s="771">
        <v>2</v>
      </c>
      <c r="P816" s="771" t="s">
        <v>7011</v>
      </c>
      <c r="Q816" s="771">
        <v>1</v>
      </c>
    </row>
    <row r="817" spans="2:17">
      <c r="B817" s="771"/>
      <c r="C817" s="771"/>
      <c r="K817" s="771" t="s">
        <v>6926</v>
      </c>
      <c r="L817" s="771">
        <v>2</v>
      </c>
      <c r="P817" s="771" t="s">
        <v>6698</v>
      </c>
      <c r="Q817" s="771">
        <v>1</v>
      </c>
    </row>
    <row r="818" spans="2:17">
      <c r="B818" s="771"/>
      <c r="C818" s="771"/>
      <c r="K818" s="771" t="s">
        <v>7169</v>
      </c>
      <c r="L818" s="771">
        <v>3</v>
      </c>
      <c r="P818" s="771" t="s">
        <v>6701</v>
      </c>
      <c r="Q818" s="771">
        <v>2</v>
      </c>
    </row>
    <row r="819" spans="2:17">
      <c r="B819" s="771"/>
      <c r="C819" s="771"/>
      <c r="K819" s="771" t="s">
        <v>6928</v>
      </c>
      <c r="L819" s="771">
        <v>2</v>
      </c>
      <c r="P819" s="771" t="s">
        <v>6829</v>
      </c>
      <c r="Q819" s="771">
        <v>2</v>
      </c>
    </row>
    <row r="820" spans="2:17">
      <c r="B820" s="771"/>
      <c r="C820" s="771"/>
      <c r="K820" s="771" t="s">
        <v>6937</v>
      </c>
      <c r="L820" s="771">
        <v>3</v>
      </c>
      <c r="P820" s="771" t="s">
        <v>6704</v>
      </c>
      <c r="Q820" s="771">
        <v>4</v>
      </c>
    </row>
    <row r="821" spans="2:17">
      <c r="B821" s="771"/>
      <c r="C821" s="771"/>
      <c r="K821" s="771" t="s">
        <v>7170</v>
      </c>
      <c r="L821" s="771">
        <v>2</v>
      </c>
      <c r="P821" s="771" t="s">
        <v>6831</v>
      </c>
      <c r="Q821" s="771">
        <v>1</v>
      </c>
    </row>
    <row r="822" spans="2:17">
      <c r="B822" s="771"/>
      <c r="C822" s="771"/>
      <c r="K822" s="771" t="s">
        <v>6940</v>
      </c>
      <c r="L822" s="771">
        <v>4</v>
      </c>
      <c r="P822" s="771" t="s">
        <v>6706</v>
      </c>
      <c r="Q822" s="771">
        <v>1</v>
      </c>
    </row>
    <row r="823" spans="2:17">
      <c r="B823" s="771"/>
      <c r="C823" s="771"/>
      <c r="K823" s="771" t="s">
        <v>6942</v>
      </c>
      <c r="L823" s="771">
        <v>3</v>
      </c>
      <c r="P823" s="771" t="s">
        <v>6833</v>
      </c>
      <c r="Q823" s="771">
        <v>1</v>
      </c>
    </row>
    <row r="824" spans="2:17">
      <c r="B824" s="771"/>
      <c r="C824" s="771"/>
      <c r="K824" s="771" t="s">
        <v>6943</v>
      </c>
      <c r="L824" s="771">
        <v>4</v>
      </c>
      <c r="P824" s="771" t="s">
        <v>7017</v>
      </c>
      <c r="Q824" s="771">
        <v>1</v>
      </c>
    </row>
    <row r="825" spans="2:17">
      <c r="B825" s="771"/>
      <c r="C825" s="771"/>
      <c r="K825" s="771" t="s">
        <v>6949</v>
      </c>
      <c r="L825" s="771">
        <v>4</v>
      </c>
      <c r="P825" s="771" t="s">
        <v>6836</v>
      </c>
      <c r="Q825" s="771">
        <v>1</v>
      </c>
    </row>
    <row r="826" spans="2:17">
      <c r="B826" s="771"/>
      <c r="C826" s="771"/>
      <c r="K826" s="771" t="s">
        <v>6953</v>
      </c>
      <c r="L826" s="771">
        <v>2</v>
      </c>
      <c r="P826" s="771" t="s">
        <v>6839</v>
      </c>
      <c r="Q826" s="771">
        <v>1</v>
      </c>
    </row>
    <row r="827" spans="2:17">
      <c r="B827" s="771"/>
      <c r="C827" s="771"/>
      <c r="K827" s="771" t="s">
        <v>7171</v>
      </c>
      <c r="L827" s="771">
        <v>2</v>
      </c>
      <c r="P827" s="771" t="s">
        <v>7172</v>
      </c>
      <c r="Q827" s="771">
        <v>4</v>
      </c>
    </row>
    <row r="828" spans="2:17">
      <c r="B828" s="771"/>
      <c r="C828" s="771"/>
      <c r="K828" s="771" t="s">
        <v>6956</v>
      </c>
      <c r="L828" s="771">
        <v>2</v>
      </c>
      <c r="P828" s="771" t="s">
        <v>6841</v>
      </c>
      <c r="Q828" s="771">
        <v>1</v>
      </c>
    </row>
    <row r="829" spans="2:17">
      <c r="B829" s="771"/>
      <c r="C829" s="771"/>
      <c r="K829" s="771" t="s">
        <v>6959</v>
      </c>
      <c r="L829" s="771">
        <v>4</v>
      </c>
      <c r="P829" s="771" t="s">
        <v>7022</v>
      </c>
      <c r="Q829" s="771">
        <v>4</v>
      </c>
    </row>
    <row r="830" spans="2:17">
      <c r="B830" s="771"/>
      <c r="C830" s="771"/>
      <c r="K830" s="771" t="s">
        <v>7091</v>
      </c>
      <c r="L830" s="771">
        <v>3</v>
      </c>
      <c r="P830" s="771" t="s">
        <v>6708</v>
      </c>
      <c r="Q830" s="771">
        <v>2</v>
      </c>
    </row>
    <row r="831" spans="2:17">
      <c r="B831" s="771"/>
      <c r="C831" s="771"/>
      <c r="K831" s="771" t="s">
        <v>6960</v>
      </c>
      <c r="L831" s="771">
        <v>2</v>
      </c>
      <c r="P831" s="771" t="s">
        <v>7024</v>
      </c>
      <c r="Q831" s="771">
        <v>1</v>
      </c>
    </row>
    <row r="832" spans="2:17">
      <c r="B832" s="771"/>
      <c r="C832" s="771"/>
      <c r="K832" s="771" t="s">
        <v>7092</v>
      </c>
      <c r="L832" s="771">
        <v>4</v>
      </c>
      <c r="P832" s="771" t="s">
        <v>6844</v>
      </c>
      <c r="Q832" s="771">
        <v>1</v>
      </c>
    </row>
    <row r="833" spans="2:17">
      <c r="B833" s="771"/>
      <c r="C833" s="771"/>
      <c r="K833" s="771" t="s">
        <v>7094</v>
      </c>
      <c r="L833" s="771">
        <v>2</v>
      </c>
      <c r="P833" s="771" t="s">
        <v>6848</v>
      </c>
      <c r="Q833" s="771">
        <v>4</v>
      </c>
    </row>
    <row r="834" spans="2:17">
      <c r="B834" s="771"/>
      <c r="C834" s="771"/>
      <c r="K834" s="771" t="s">
        <v>7096</v>
      </c>
      <c r="L834" s="771">
        <v>2</v>
      </c>
      <c r="P834" s="771" t="s">
        <v>6710</v>
      </c>
      <c r="Q834" s="771">
        <v>4</v>
      </c>
    </row>
    <row r="835" spans="2:17">
      <c r="B835" s="771"/>
      <c r="C835" s="771"/>
      <c r="K835" s="771" t="s">
        <v>6963</v>
      </c>
      <c r="L835" s="771">
        <v>4</v>
      </c>
      <c r="P835" s="771" t="s">
        <v>6852</v>
      </c>
      <c r="Q835" s="771">
        <v>3</v>
      </c>
    </row>
    <row r="836" spans="2:17">
      <c r="B836" s="771"/>
      <c r="C836" s="771"/>
      <c r="K836" s="771" t="s">
        <v>6966</v>
      </c>
      <c r="L836" s="771">
        <v>3</v>
      </c>
      <c r="P836" s="771" t="s">
        <v>6711</v>
      </c>
      <c r="Q836" s="771">
        <v>2</v>
      </c>
    </row>
    <row r="837" spans="2:17">
      <c r="B837" s="771"/>
      <c r="C837" s="771"/>
      <c r="K837" s="771" t="s">
        <v>6968</v>
      </c>
      <c r="L837" s="771">
        <v>2</v>
      </c>
      <c r="P837" s="771" t="s">
        <v>6713</v>
      </c>
      <c r="Q837" s="771">
        <v>1</v>
      </c>
    </row>
    <row r="838" spans="2:17">
      <c r="B838" s="771"/>
      <c r="C838" s="771"/>
      <c r="K838" s="771" t="s">
        <v>6970</v>
      </c>
      <c r="L838" s="771">
        <v>2</v>
      </c>
      <c r="P838" s="771" t="s">
        <v>7173</v>
      </c>
      <c r="Q838" s="771">
        <v>4</v>
      </c>
    </row>
    <row r="839" spans="2:17">
      <c r="B839" s="771"/>
      <c r="C839" s="771"/>
      <c r="K839" s="771" t="s">
        <v>7101</v>
      </c>
      <c r="L839" s="771">
        <v>4</v>
      </c>
      <c r="P839" s="771" t="s">
        <v>7028</v>
      </c>
      <c r="Q839" s="771">
        <v>4</v>
      </c>
    </row>
    <row r="840" spans="2:17">
      <c r="B840" s="771"/>
      <c r="C840" s="771"/>
      <c r="K840" s="771" t="s">
        <v>7102</v>
      </c>
      <c r="L840" s="771">
        <v>4</v>
      </c>
      <c r="P840" s="771" t="s">
        <v>6714</v>
      </c>
      <c r="Q840" s="771">
        <v>1</v>
      </c>
    </row>
    <row r="841" spans="2:17">
      <c r="B841" s="771"/>
      <c r="C841" s="771"/>
      <c r="K841" s="771" t="s">
        <v>6973</v>
      </c>
      <c r="L841" s="771">
        <v>4</v>
      </c>
      <c r="P841" s="771" t="s">
        <v>6716</v>
      </c>
      <c r="Q841" s="771">
        <v>3</v>
      </c>
    </row>
    <row r="842" spans="2:17">
      <c r="B842" s="771"/>
      <c r="C842" s="771"/>
      <c r="K842" s="771" t="s">
        <v>7103</v>
      </c>
      <c r="L842" s="771">
        <v>4</v>
      </c>
      <c r="P842" s="771" t="s">
        <v>7029</v>
      </c>
      <c r="Q842" s="771">
        <v>2</v>
      </c>
    </row>
    <row r="843" spans="2:17">
      <c r="B843" s="771"/>
      <c r="C843" s="771"/>
      <c r="K843" s="771" t="s">
        <v>6975</v>
      </c>
      <c r="L843" s="771">
        <v>4</v>
      </c>
      <c r="P843" s="771" t="s">
        <v>6720</v>
      </c>
      <c r="Q843" s="771">
        <v>1</v>
      </c>
    </row>
    <row r="844" spans="2:17">
      <c r="B844" s="771"/>
      <c r="C844" s="771"/>
      <c r="K844" s="771" t="s">
        <v>6977</v>
      </c>
      <c r="L844" s="771">
        <v>4</v>
      </c>
      <c r="P844" s="771" t="s">
        <v>6726</v>
      </c>
      <c r="Q844" s="771">
        <v>2</v>
      </c>
    </row>
    <row r="845" spans="2:17">
      <c r="B845" s="771"/>
      <c r="C845" s="771"/>
      <c r="K845" s="771" t="s">
        <v>7107</v>
      </c>
      <c r="L845" s="771">
        <v>4</v>
      </c>
      <c r="P845" s="771" t="s">
        <v>6728</v>
      </c>
      <c r="Q845" s="771">
        <v>1</v>
      </c>
    </row>
    <row r="846" spans="2:17">
      <c r="B846" s="771"/>
      <c r="C846" s="771"/>
      <c r="K846" s="771" t="s">
        <v>6981</v>
      </c>
      <c r="L846" s="771">
        <v>3</v>
      </c>
      <c r="P846" s="771" t="s">
        <v>6729</v>
      </c>
      <c r="Q846" s="771">
        <v>3</v>
      </c>
    </row>
    <row r="847" spans="2:17">
      <c r="B847" s="771"/>
      <c r="C847" s="771"/>
      <c r="K847" s="771" t="s">
        <v>6982</v>
      </c>
      <c r="L847" s="771">
        <v>2</v>
      </c>
      <c r="P847" s="771" t="s">
        <v>6730</v>
      </c>
      <c r="Q847" s="771">
        <v>4</v>
      </c>
    </row>
    <row r="848" spans="2:17">
      <c r="B848" s="771"/>
      <c r="C848" s="771"/>
      <c r="K848" s="771" t="s">
        <v>6985</v>
      </c>
      <c r="L848" s="771">
        <v>2</v>
      </c>
      <c r="P848" s="771" t="s">
        <v>6869</v>
      </c>
      <c r="Q848" s="771">
        <v>1</v>
      </c>
    </row>
    <row r="849" spans="2:17">
      <c r="B849" s="771"/>
      <c r="C849" s="771"/>
      <c r="K849" s="771" t="s">
        <v>6987</v>
      </c>
      <c r="L849" s="771">
        <v>4</v>
      </c>
      <c r="P849" s="771" t="s">
        <v>6871</v>
      </c>
      <c r="Q849" s="771">
        <v>2</v>
      </c>
    </row>
    <row r="850" spans="2:17">
      <c r="B850" s="771"/>
      <c r="C850" s="771"/>
      <c r="K850" s="771" t="s">
        <v>6989</v>
      </c>
      <c r="L850" s="771">
        <v>3</v>
      </c>
      <c r="P850" s="771" t="s">
        <v>6873</v>
      </c>
      <c r="Q850" s="771">
        <v>1</v>
      </c>
    </row>
    <row r="851" spans="2:17">
      <c r="B851" s="771"/>
      <c r="C851" s="771"/>
      <c r="K851" s="771" t="s">
        <v>7110</v>
      </c>
      <c r="L851" s="771">
        <v>4</v>
      </c>
      <c r="P851" s="771" t="s">
        <v>7174</v>
      </c>
      <c r="Q851" s="771">
        <v>1</v>
      </c>
    </row>
    <row r="852" spans="2:17">
      <c r="B852" s="771"/>
      <c r="C852" s="771"/>
      <c r="K852" s="771" t="s">
        <v>7112</v>
      </c>
      <c r="L852" s="771">
        <v>4</v>
      </c>
      <c r="P852" s="771" t="s">
        <v>6875</v>
      </c>
      <c r="Q852" s="771">
        <v>2</v>
      </c>
    </row>
    <row r="853" spans="2:17">
      <c r="B853" s="771"/>
      <c r="C853" s="771"/>
      <c r="K853" s="771" t="s">
        <v>7175</v>
      </c>
      <c r="L853" s="771">
        <v>2</v>
      </c>
      <c r="P853" s="771" t="s">
        <v>6732</v>
      </c>
      <c r="Q853" s="771">
        <v>1</v>
      </c>
    </row>
    <row r="854" spans="2:17">
      <c r="B854" s="771"/>
      <c r="C854" s="771"/>
      <c r="K854" s="771" t="s">
        <v>6991</v>
      </c>
      <c r="L854" s="771">
        <v>4</v>
      </c>
      <c r="P854" s="771" t="s">
        <v>6879</v>
      </c>
      <c r="Q854" s="771">
        <v>1</v>
      </c>
    </row>
    <row r="855" spans="2:17">
      <c r="B855" s="771"/>
      <c r="C855" s="771"/>
      <c r="K855" s="771" t="s">
        <v>7176</v>
      </c>
      <c r="L855" s="771">
        <v>2</v>
      </c>
      <c r="P855" s="771" t="s">
        <v>6881</v>
      </c>
      <c r="Q855" s="771">
        <v>3</v>
      </c>
    </row>
    <row r="856" spans="2:17">
      <c r="B856" s="771"/>
      <c r="C856" s="771"/>
      <c r="K856" s="771" t="s">
        <v>7116</v>
      </c>
      <c r="L856" s="771">
        <v>1</v>
      </c>
      <c r="P856" s="771" t="s">
        <v>6884</v>
      </c>
      <c r="Q856" s="771">
        <v>2</v>
      </c>
    </row>
    <row r="857" spans="2:17">
      <c r="B857" s="771"/>
      <c r="C857" s="771"/>
      <c r="K857" s="771" t="s">
        <v>7117</v>
      </c>
      <c r="L857" s="771">
        <v>2</v>
      </c>
      <c r="P857" s="771" t="s">
        <v>6735</v>
      </c>
      <c r="Q857" s="771">
        <v>2</v>
      </c>
    </row>
    <row r="858" spans="2:17">
      <c r="B858" s="771"/>
      <c r="C858" s="771"/>
      <c r="K858" s="771" t="s">
        <v>6992</v>
      </c>
      <c r="L858" s="771">
        <v>2</v>
      </c>
      <c r="P858" s="771" t="s">
        <v>6737</v>
      </c>
      <c r="Q858" s="771">
        <v>4</v>
      </c>
    </row>
    <row r="859" spans="2:17">
      <c r="B859" s="771"/>
      <c r="C859" s="771"/>
      <c r="K859" s="771" t="s">
        <v>7177</v>
      </c>
      <c r="L859" s="771">
        <v>2</v>
      </c>
      <c r="P859" s="771" t="s">
        <v>6738</v>
      </c>
      <c r="Q859" s="771">
        <v>1</v>
      </c>
    </row>
    <row r="860" spans="2:17">
      <c r="B860" s="771"/>
      <c r="C860" s="771"/>
      <c r="K860" s="771" t="s">
        <v>7118</v>
      </c>
      <c r="L860" s="771">
        <v>2</v>
      </c>
      <c r="P860" s="771" t="s">
        <v>6740</v>
      </c>
      <c r="Q860" s="771">
        <v>4</v>
      </c>
    </row>
    <row r="861" spans="2:17">
      <c r="B861" s="771"/>
      <c r="C861" s="771"/>
      <c r="K861" s="771" t="s">
        <v>7120</v>
      </c>
      <c r="L861" s="771">
        <v>4</v>
      </c>
      <c r="P861" s="771" t="s">
        <v>6891</v>
      </c>
      <c r="Q861" s="771">
        <v>1</v>
      </c>
    </row>
    <row r="862" spans="2:17">
      <c r="B862" s="771"/>
      <c r="C862" s="771"/>
      <c r="K862" s="771" t="s">
        <v>7122</v>
      </c>
      <c r="L862" s="771">
        <v>4</v>
      </c>
      <c r="P862" s="771" t="s">
        <v>7041</v>
      </c>
      <c r="Q862" s="771">
        <v>1</v>
      </c>
    </row>
    <row r="863" spans="2:17">
      <c r="B863" s="771"/>
      <c r="C863" s="771"/>
      <c r="K863" s="771" t="s">
        <v>7178</v>
      </c>
      <c r="L863" s="771">
        <v>2</v>
      </c>
      <c r="P863" s="771" t="s">
        <v>7044</v>
      </c>
      <c r="Q863" s="771">
        <v>4</v>
      </c>
    </row>
    <row r="864" spans="2:17">
      <c r="B864" s="771"/>
      <c r="C864" s="771"/>
      <c r="K864" s="771" t="s">
        <v>7124</v>
      </c>
      <c r="L864" s="771">
        <v>3</v>
      </c>
      <c r="P864" s="771" t="s">
        <v>7179</v>
      </c>
      <c r="Q864" s="771">
        <v>4</v>
      </c>
    </row>
    <row r="865" spans="2:17">
      <c r="B865" s="771"/>
      <c r="C865" s="771"/>
      <c r="K865" s="771" t="s">
        <v>7180</v>
      </c>
      <c r="L865" s="771">
        <v>1</v>
      </c>
      <c r="P865" s="771" t="s">
        <v>6899</v>
      </c>
      <c r="Q865" s="771">
        <v>2</v>
      </c>
    </row>
    <row r="866" spans="2:17">
      <c r="B866" s="771"/>
      <c r="C866" s="771"/>
      <c r="K866" s="771" t="s">
        <v>7181</v>
      </c>
      <c r="L866" s="771">
        <v>3</v>
      </c>
      <c r="P866" s="771" t="s">
        <v>6746</v>
      </c>
      <c r="Q866" s="771">
        <v>4</v>
      </c>
    </row>
    <row r="867" spans="2:17">
      <c r="B867" s="771"/>
      <c r="C867" s="771"/>
      <c r="K867" s="771" t="s">
        <v>7182</v>
      </c>
      <c r="L867" s="771">
        <v>4</v>
      </c>
      <c r="P867" s="771" t="s">
        <v>6747</v>
      </c>
      <c r="Q867" s="771">
        <v>4</v>
      </c>
    </row>
    <row r="868" spans="2:17">
      <c r="B868" s="771"/>
      <c r="C868" s="771"/>
      <c r="K868" s="771" t="s">
        <v>7128</v>
      </c>
      <c r="L868" s="771">
        <v>2</v>
      </c>
      <c r="P868" s="771" t="s">
        <v>7183</v>
      </c>
      <c r="Q868" s="771">
        <v>3</v>
      </c>
    </row>
    <row r="869" spans="2:17">
      <c r="B869" s="771"/>
      <c r="C869" s="771"/>
      <c r="K869" s="771" t="s">
        <v>7131</v>
      </c>
      <c r="L869" s="771">
        <v>4</v>
      </c>
      <c r="P869" s="771" t="s">
        <v>6906</v>
      </c>
      <c r="Q869" s="771">
        <v>1</v>
      </c>
    </row>
    <row r="870" spans="2:17">
      <c r="B870" s="771"/>
      <c r="C870" s="771"/>
      <c r="K870" s="771" t="s">
        <v>6998</v>
      </c>
      <c r="L870" s="771">
        <v>2</v>
      </c>
      <c r="P870" s="771" t="s">
        <v>6908</v>
      </c>
      <c r="Q870" s="771">
        <v>1</v>
      </c>
    </row>
    <row r="871" spans="2:17">
      <c r="B871" s="771"/>
      <c r="C871" s="771"/>
      <c r="K871" s="771" t="s">
        <v>7000</v>
      </c>
      <c r="L871" s="771">
        <v>3</v>
      </c>
      <c r="P871" s="771" t="s">
        <v>6750</v>
      </c>
      <c r="Q871" s="771">
        <v>2</v>
      </c>
    </row>
    <row r="872" spans="2:17">
      <c r="B872" s="771"/>
      <c r="C872" s="771"/>
      <c r="K872" s="771" t="s">
        <v>7004</v>
      </c>
      <c r="L872" s="771">
        <v>2</v>
      </c>
      <c r="P872" s="771" t="s">
        <v>6751</v>
      </c>
      <c r="Q872" s="771">
        <v>4</v>
      </c>
    </row>
    <row r="873" spans="2:17">
      <c r="B873" s="771"/>
      <c r="C873" s="771"/>
      <c r="K873" s="771" t="s">
        <v>7138</v>
      </c>
      <c r="L873" s="771">
        <v>4</v>
      </c>
      <c r="P873" s="771" t="s">
        <v>6753</v>
      </c>
      <c r="Q873" s="771">
        <v>3</v>
      </c>
    </row>
    <row r="874" spans="2:17">
      <c r="B874" s="771"/>
      <c r="C874" s="771"/>
      <c r="K874" s="771" t="s">
        <v>7140</v>
      </c>
      <c r="L874" s="771">
        <v>3</v>
      </c>
      <c r="P874" s="771" t="s">
        <v>7184</v>
      </c>
      <c r="Q874" s="771">
        <v>3</v>
      </c>
    </row>
    <row r="875" spans="2:17">
      <c r="B875" s="771"/>
      <c r="C875" s="771"/>
      <c r="K875" s="771" t="s">
        <v>7141</v>
      </c>
      <c r="L875" s="771">
        <v>2</v>
      </c>
      <c r="P875" s="771" t="s">
        <v>6919</v>
      </c>
      <c r="Q875" s="771">
        <v>1</v>
      </c>
    </row>
    <row r="876" spans="2:17">
      <c r="B876" s="771"/>
      <c r="C876" s="771"/>
      <c r="K876" s="771" t="s">
        <v>7143</v>
      </c>
      <c r="L876" s="771">
        <v>1</v>
      </c>
      <c r="P876" s="771" t="s">
        <v>6757</v>
      </c>
      <c r="Q876" s="771">
        <v>4</v>
      </c>
    </row>
    <row r="877" spans="2:17">
      <c r="B877" s="771"/>
      <c r="C877" s="771"/>
      <c r="K877" s="771" t="s">
        <v>7144</v>
      </c>
      <c r="L877" s="771">
        <v>2</v>
      </c>
      <c r="P877" s="771" t="s">
        <v>6758</v>
      </c>
      <c r="Q877" s="771">
        <v>4</v>
      </c>
    </row>
    <row r="878" spans="2:17">
      <c r="B878" s="771"/>
      <c r="C878" s="771"/>
      <c r="K878" s="771" t="s">
        <v>7185</v>
      </c>
      <c r="L878" s="771">
        <v>3</v>
      </c>
      <c r="P878" s="771" t="s">
        <v>6760</v>
      </c>
      <c r="Q878" s="771">
        <v>4</v>
      </c>
    </row>
    <row r="879" spans="2:17">
      <c r="B879" s="771"/>
      <c r="C879" s="771"/>
      <c r="K879" s="771" t="s">
        <v>7186</v>
      </c>
      <c r="L879" s="771">
        <v>2</v>
      </c>
      <c r="P879" s="771" t="s">
        <v>7052</v>
      </c>
      <c r="Q879" s="771">
        <v>4</v>
      </c>
    </row>
    <row r="880" spans="2:17">
      <c r="B880" s="771"/>
      <c r="C880" s="771"/>
      <c r="K880" s="771" t="s">
        <v>7187</v>
      </c>
      <c r="L880" s="771">
        <v>4</v>
      </c>
      <c r="P880" s="771" t="s">
        <v>6936</v>
      </c>
      <c r="Q880" s="771">
        <v>1</v>
      </c>
    </row>
    <row r="881" spans="2:17">
      <c r="B881" s="771"/>
      <c r="C881" s="771"/>
      <c r="K881" s="771" t="s">
        <v>7188</v>
      </c>
      <c r="L881" s="771">
        <v>4</v>
      </c>
      <c r="P881" s="771" t="s">
        <v>7189</v>
      </c>
      <c r="Q881" s="771">
        <v>2</v>
      </c>
    </row>
    <row r="882" spans="2:17">
      <c r="B882" s="771"/>
      <c r="C882" s="771"/>
      <c r="K882" s="771" t="s">
        <v>7146</v>
      </c>
      <c r="L882" s="771">
        <v>2</v>
      </c>
      <c r="P882" s="771" t="s">
        <v>6941</v>
      </c>
      <c r="Q882" s="771">
        <v>1</v>
      </c>
    </row>
    <row r="883" spans="2:17">
      <c r="B883" s="771"/>
      <c r="C883" s="771"/>
      <c r="K883" s="771" t="s">
        <v>7148</v>
      </c>
      <c r="L883" s="771">
        <v>2</v>
      </c>
      <c r="P883" s="771" t="s">
        <v>7190</v>
      </c>
      <c r="Q883" s="771">
        <v>3</v>
      </c>
    </row>
    <row r="884" spans="2:17">
      <c r="B884" s="771"/>
      <c r="C884" s="771"/>
      <c r="K884" s="771" t="s">
        <v>7152</v>
      </c>
      <c r="L884" s="771">
        <v>3</v>
      </c>
      <c r="P884" s="771" t="s">
        <v>7191</v>
      </c>
      <c r="Q884" s="771">
        <v>4</v>
      </c>
    </row>
    <row r="885" spans="2:17">
      <c r="B885" s="771"/>
      <c r="C885" s="771"/>
      <c r="K885" s="771" t="s">
        <v>7192</v>
      </c>
      <c r="L885" s="771">
        <v>1</v>
      </c>
      <c r="P885" s="771" t="s">
        <v>7193</v>
      </c>
      <c r="Q885" s="771">
        <v>2</v>
      </c>
    </row>
    <row r="886" spans="2:17">
      <c r="B886" s="771"/>
      <c r="C886" s="771"/>
      <c r="K886" s="771" t="s">
        <v>7009</v>
      </c>
      <c r="L886" s="771">
        <v>1</v>
      </c>
      <c r="P886" s="771" t="s">
        <v>7062</v>
      </c>
      <c r="Q886" s="771">
        <v>1</v>
      </c>
    </row>
    <row r="887" spans="2:17">
      <c r="B887" s="771"/>
      <c r="C887" s="771"/>
      <c r="K887" s="771" t="s">
        <v>7153</v>
      </c>
      <c r="L887" s="771">
        <v>1</v>
      </c>
      <c r="P887" s="771" t="s">
        <v>7194</v>
      </c>
      <c r="Q887" s="771">
        <v>2</v>
      </c>
    </row>
    <row r="888" spans="2:17">
      <c r="B888" s="771"/>
      <c r="C888" s="771"/>
      <c r="K888" s="771" t="s">
        <v>7155</v>
      </c>
      <c r="L888" s="771">
        <v>2</v>
      </c>
      <c r="P888" s="771" t="s">
        <v>6944</v>
      </c>
      <c r="Q888" s="771">
        <v>2</v>
      </c>
    </row>
    <row r="889" spans="2:17">
      <c r="B889" s="771"/>
      <c r="C889" s="771"/>
      <c r="K889" s="771" t="s">
        <v>7195</v>
      </c>
      <c r="L889" s="771">
        <v>2</v>
      </c>
      <c r="P889" s="771" t="s">
        <v>6947</v>
      </c>
      <c r="Q889" s="771">
        <v>1</v>
      </c>
    </row>
    <row r="890" spans="2:17">
      <c r="B890" s="771"/>
      <c r="C890" s="771"/>
      <c r="K890" s="771" t="s">
        <v>7196</v>
      </c>
      <c r="L890" s="771">
        <v>2</v>
      </c>
      <c r="P890" s="771" t="s">
        <v>6766</v>
      </c>
      <c r="Q890" s="771">
        <v>2</v>
      </c>
    </row>
    <row r="891" spans="2:17">
      <c r="B891" s="771"/>
      <c r="C891" s="771"/>
      <c r="K891" s="771" t="s">
        <v>7016</v>
      </c>
      <c r="L891" s="771">
        <v>4</v>
      </c>
      <c r="P891" s="771" t="s">
        <v>7197</v>
      </c>
      <c r="Q891" s="771">
        <v>1</v>
      </c>
    </row>
    <row r="892" spans="2:17">
      <c r="B892" s="771"/>
      <c r="C892" s="771"/>
      <c r="K892" s="771" t="s">
        <v>7163</v>
      </c>
      <c r="L892" s="771">
        <v>2</v>
      </c>
      <c r="P892" s="771" t="s">
        <v>6950</v>
      </c>
      <c r="Q892" s="771">
        <v>1</v>
      </c>
    </row>
    <row r="893" spans="2:17">
      <c r="B893" s="771"/>
      <c r="C893" s="771"/>
      <c r="K893" s="771" t="s">
        <v>7164</v>
      </c>
      <c r="L893" s="771">
        <v>4</v>
      </c>
      <c r="P893" s="771" t="s">
        <v>6952</v>
      </c>
      <c r="Q893" s="771">
        <v>2</v>
      </c>
    </row>
    <row r="894" spans="2:17">
      <c r="B894" s="771"/>
      <c r="C894" s="771"/>
      <c r="K894" s="771" t="s">
        <v>7198</v>
      </c>
      <c r="L894" s="771">
        <v>3</v>
      </c>
      <c r="P894" s="771" t="s">
        <v>6955</v>
      </c>
      <c r="Q894" s="771">
        <v>2</v>
      </c>
    </row>
    <row r="895" spans="2:17">
      <c r="B895" s="771"/>
      <c r="C895" s="771"/>
      <c r="P895" s="771" t="s">
        <v>6958</v>
      </c>
      <c r="Q895" s="771">
        <v>1</v>
      </c>
    </row>
    <row r="896" spans="2:17">
      <c r="B896" s="771"/>
      <c r="C896" s="771"/>
      <c r="P896" s="771" t="s">
        <v>7067</v>
      </c>
      <c r="Q896" s="771">
        <v>4</v>
      </c>
    </row>
    <row r="897" spans="2:17">
      <c r="B897" s="771"/>
      <c r="C897" s="771"/>
      <c r="P897" s="771" t="s">
        <v>7199</v>
      </c>
      <c r="Q897" s="771">
        <v>3</v>
      </c>
    </row>
    <row r="898" spans="2:17">
      <c r="B898" s="771"/>
      <c r="C898" s="771"/>
      <c r="P898" s="771" t="s">
        <v>6767</v>
      </c>
      <c r="Q898" s="771">
        <v>2</v>
      </c>
    </row>
    <row r="899" spans="2:17">
      <c r="B899" s="771"/>
      <c r="C899" s="771"/>
      <c r="P899" s="771" t="s">
        <v>7200</v>
      </c>
      <c r="Q899" s="771">
        <v>4</v>
      </c>
    </row>
    <row r="900" spans="2:17">
      <c r="B900" s="771"/>
      <c r="C900" s="771"/>
      <c r="P900" s="771" t="s">
        <v>7070</v>
      </c>
      <c r="Q900" s="771">
        <v>4</v>
      </c>
    </row>
    <row r="901" spans="2:17">
      <c r="B901" s="771"/>
      <c r="C901" s="771"/>
      <c r="P901" s="771" t="s">
        <v>6962</v>
      </c>
      <c r="Q901" s="771">
        <v>4</v>
      </c>
    </row>
    <row r="902" spans="2:17">
      <c r="B902" s="771"/>
      <c r="C902" s="771"/>
      <c r="P902" s="771" t="s">
        <v>6769</v>
      </c>
      <c r="Q902" s="771">
        <v>2</v>
      </c>
    </row>
    <row r="903" spans="2:17">
      <c r="B903" s="771"/>
      <c r="C903" s="771"/>
      <c r="P903" s="771" t="s">
        <v>6965</v>
      </c>
      <c r="Q903" s="771">
        <v>1</v>
      </c>
    </row>
    <row r="904" spans="2:17">
      <c r="B904" s="771"/>
      <c r="C904" s="771"/>
      <c r="P904" s="771" t="s">
        <v>6972</v>
      </c>
      <c r="Q904" s="771">
        <v>2</v>
      </c>
    </row>
    <row r="905" spans="2:17">
      <c r="B905" s="771"/>
      <c r="C905" s="771"/>
      <c r="P905" s="771" t="s">
        <v>6771</v>
      </c>
      <c r="Q905" s="771">
        <v>2</v>
      </c>
    </row>
    <row r="906" spans="2:17">
      <c r="B906" s="771"/>
      <c r="C906" s="771"/>
      <c r="P906" s="771" t="s">
        <v>6976</v>
      </c>
      <c r="Q906" s="771">
        <v>1</v>
      </c>
    </row>
    <row r="907" spans="2:17">
      <c r="B907" s="771"/>
      <c r="C907" s="771"/>
      <c r="P907" s="771" t="s">
        <v>7076</v>
      </c>
      <c r="Q907" s="771">
        <v>4</v>
      </c>
    </row>
    <row r="908" spans="2:17">
      <c r="B908" s="771"/>
      <c r="C908" s="771"/>
      <c r="P908" s="771" t="s">
        <v>7078</v>
      </c>
      <c r="Q908" s="771">
        <v>1</v>
      </c>
    </row>
    <row r="909" spans="2:17">
      <c r="B909" s="771"/>
      <c r="C909" s="771"/>
      <c r="P909" s="771" t="s">
        <v>7201</v>
      </c>
      <c r="Q909" s="771">
        <v>2</v>
      </c>
    </row>
    <row r="910" spans="2:17">
      <c r="B910" s="771"/>
      <c r="C910" s="771"/>
      <c r="P910" s="771" t="s">
        <v>7080</v>
      </c>
      <c r="Q910" s="771">
        <v>4</v>
      </c>
    </row>
    <row r="911" spans="2:17">
      <c r="B911" s="771"/>
      <c r="C911" s="771"/>
      <c r="P911" s="771" t="s">
        <v>7202</v>
      </c>
      <c r="Q911" s="771">
        <v>1</v>
      </c>
    </row>
    <row r="912" spans="2:17">
      <c r="B912" s="771"/>
      <c r="C912" s="771"/>
      <c r="P912" s="771" t="s">
        <v>7203</v>
      </c>
      <c r="Q912" s="771">
        <v>3</v>
      </c>
    </row>
    <row r="913" spans="2:17">
      <c r="B913" s="771"/>
      <c r="C913" s="771"/>
      <c r="P913" s="771" t="s">
        <v>7204</v>
      </c>
      <c r="Q913" s="771">
        <v>4</v>
      </c>
    </row>
    <row r="914" spans="2:17">
      <c r="B914" s="771"/>
      <c r="C914" s="771"/>
      <c r="P914" s="771" t="s">
        <v>6774</v>
      </c>
      <c r="Q914" s="771">
        <v>3</v>
      </c>
    </row>
    <row r="915" spans="2:17">
      <c r="B915" s="771"/>
      <c r="C915" s="771"/>
      <c r="P915" s="771" t="s">
        <v>6978</v>
      </c>
      <c r="Q915" s="771">
        <v>4</v>
      </c>
    </row>
    <row r="916" spans="2:17">
      <c r="B916" s="771"/>
      <c r="C916" s="771"/>
      <c r="P916" s="771" t="s">
        <v>6777</v>
      </c>
      <c r="Q916" s="771">
        <v>3</v>
      </c>
    </row>
    <row r="917" spans="2:17">
      <c r="B917" s="771"/>
      <c r="C917" s="771"/>
      <c r="P917" s="771" t="s">
        <v>6781</v>
      </c>
      <c r="Q917" s="771">
        <v>4</v>
      </c>
    </row>
    <row r="918" spans="2:17">
      <c r="B918" s="771"/>
      <c r="C918" s="771"/>
      <c r="P918" s="771" t="s">
        <v>6984</v>
      </c>
      <c r="Q918" s="771">
        <v>1</v>
      </c>
    </row>
    <row r="919" spans="2:17">
      <c r="B919" s="771"/>
      <c r="C919" s="771"/>
      <c r="P919" s="771" t="s">
        <v>7086</v>
      </c>
      <c r="Q919" s="771">
        <v>4</v>
      </c>
    </row>
    <row r="920" spans="2:17">
      <c r="B920" s="771"/>
      <c r="C920" s="771"/>
      <c r="P920" s="771" t="s">
        <v>7088</v>
      </c>
      <c r="Q920" s="771">
        <v>4</v>
      </c>
    </row>
    <row r="921" spans="2:17">
      <c r="B921" s="771"/>
      <c r="C921" s="771"/>
      <c r="P921" s="771" t="s">
        <v>7205</v>
      </c>
      <c r="Q921" s="771">
        <v>1</v>
      </c>
    </row>
    <row r="922" spans="2:17">
      <c r="B922" s="771"/>
      <c r="C922" s="771"/>
      <c r="P922" s="771" t="s">
        <v>6783</v>
      </c>
      <c r="Q922" s="771">
        <v>2</v>
      </c>
    </row>
    <row r="923" spans="2:17">
      <c r="B923" s="771"/>
      <c r="C923" s="771"/>
      <c r="P923" s="771" t="s">
        <v>7206</v>
      </c>
      <c r="Q923" s="771">
        <v>4</v>
      </c>
    </row>
    <row r="924" spans="2:17">
      <c r="B924" s="771"/>
      <c r="C924" s="771"/>
      <c r="P924" s="771" t="s">
        <v>6785</v>
      </c>
      <c r="Q924" s="771">
        <v>4</v>
      </c>
    </row>
    <row r="925" spans="2:17">
      <c r="B925" s="771"/>
      <c r="C925" s="771"/>
      <c r="P925" s="771" t="s">
        <v>6789</v>
      </c>
      <c r="Q925" s="771">
        <v>1</v>
      </c>
    </row>
    <row r="926" spans="2:17">
      <c r="B926" s="771"/>
      <c r="C926" s="771"/>
      <c r="P926" s="771" t="s">
        <v>6792</v>
      </c>
      <c r="Q926" s="771">
        <v>4</v>
      </c>
    </row>
    <row r="927" spans="2:17">
      <c r="B927" s="771"/>
      <c r="C927" s="771"/>
      <c r="P927" s="771" t="s">
        <v>6793</v>
      </c>
      <c r="Q927" s="771">
        <v>3</v>
      </c>
    </row>
    <row r="928" spans="2:17">
      <c r="B928" s="771"/>
      <c r="C928" s="771"/>
      <c r="P928" s="771" t="s">
        <v>6993</v>
      </c>
      <c r="Q928" s="771">
        <v>1</v>
      </c>
    </row>
    <row r="929" spans="2:17">
      <c r="B929" s="771"/>
      <c r="C929" s="771"/>
      <c r="P929" s="771" t="s">
        <v>6997</v>
      </c>
      <c r="Q929" s="771">
        <v>1</v>
      </c>
    </row>
    <row r="930" spans="2:17">
      <c r="B930" s="771"/>
      <c r="C930" s="771"/>
      <c r="P930" s="771" t="s">
        <v>6999</v>
      </c>
      <c r="Q930" s="771">
        <v>3</v>
      </c>
    </row>
    <row r="931" spans="2:17">
      <c r="B931" s="771"/>
      <c r="C931" s="771"/>
      <c r="P931" s="771" t="s">
        <v>7207</v>
      </c>
      <c r="Q931" s="771">
        <v>4</v>
      </c>
    </row>
    <row r="932" spans="2:17">
      <c r="B932" s="771"/>
      <c r="C932" s="771"/>
      <c r="P932" s="771" t="s">
        <v>7208</v>
      </c>
      <c r="Q932" s="771">
        <v>2</v>
      </c>
    </row>
    <row r="933" spans="2:17">
      <c r="B933" s="771"/>
      <c r="C933" s="771"/>
      <c r="P933" s="771" t="s">
        <v>7003</v>
      </c>
      <c r="Q933" s="771">
        <v>1</v>
      </c>
    </row>
    <row r="934" spans="2:17">
      <c r="B934" s="771"/>
      <c r="C934" s="771"/>
      <c r="P934" s="771" t="s">
        <v>7099</v>
      </c>
      <c r="Q934" s="771">
        <v>4</v>
      </c>
    </row>
    <row r="935" spans="2:17">
      <c r="B935" s="771"/>
      <c r="C935" s="771"/>
      <c r="P935" s="771" t="s">
        <v>7005</v>
      </c>
      <c r="Q935" s="771">
        <v>1</v>
      </c>
    </row>
    <row r="936" spans="2:17">
      <c r="B936" s="771"/>
      <c r="C936" s="771"/>
      <c r="P936" s="771" t="s">
        <v>6795</v>
      </c>
      <c r="Q936" s="771">
        <v>2</v>
      </c>
    </row>
    <row r="937" spans="2:17">
      <c r="B937" s="771"/>
      <c r="C937" s="771"/>
      <c r="P937" s="771" t="s">
        <v>6796</v>
      </c>
      <c r="Q937" s="771">
        <v>1</v>
      </c>
    </row>
    <row r="938" spans="2:17">
      <c r="B938" s="771"/>
      <c r="C938" s="771"/>
      <c r="P938" s="771" t="s">
        <v>6798</v>
      </c>
      <c r="Q938" s="771">
        <v>1</v>
      </c>
    </row>
    <row r="939" spans="2:17">
      <c r="B939" s="771"/>
      <c r="C939" s="771"/>
      <c r="P939" s="771" t="s">
        <v>7209</v>
      </c>
      <c r="Q939" s="771">
        <v>2</v>
      </c>
    </row>
    <row r="940" spans="2:17">
      <c r="B940" s="771"/>
      <c r="C940" s="771"/>
      <c r="P940" s="771" t="s">
        <v>7210</v>
      </c>
      <c r="Q940" s="771">
        <v>1</v>
      </c>
    </row>
    <row r="941" spans="2:17">
      <c r="B941" s="771"/>
      <c r="C941" s="771"/>
      <c r="P941" s="771" t="s">
        <v>6799</v>
      </c>
      <c r="Q941" s="771">
        <v>2</v>
      </c>
    </row>
    <row r="942" spans="2:17">
      <c r="B942" s="771"/>
      <c r="C942" s="771"/>
      <c r="P942" s="771" t="s">
        <v>7211</v>
      </c>
      <c r="Q942" s="771">
        <v>4</v>
      </c>
    </row>
    <row r="943" spans="2:17">
      <c r="B943" s="771"/>
      <c r="C943" s="771"/>
      <c r="P943" s="771" t="s">
        <v>6802</v>
      </c>
      <c r="Q943" s="771">
        <v>1</v>
      </c>
    </row>
    <row r="944" spans="2:17">
      <c r="B944" s="771"/>
      <c r="C944" s="771"/>
      <c r="P944" s="771" t="s">
        <v>7104</v>
      </c>
      <c r="Q944" s="771">
        <v>2</v>
      </c>
    </row>
    <row r="945" spans="2:17">
      <c r="B945" s="771"/>
      <c r="C945" s="771"/>
      <c r="P945" s="771" t="s">
        <v>7212</v>
      </c>
      <c r="Q945" s="771">
        <v>1</v>
      </c>
    </row>
    <row r="946" spans="2:17">
      <c r="B946" s="771"/>
      <c r="C946" s="771"/>
      <c r="P946" s="771" t="s">
        <v>7105</v>
      </c>
      <c r="Q946" s="771">
        <v>2</v>
      </c>
    </row>
    <row r="947" spans="2:17">
      <c r="B947" s="771"/>
      <c r="C947" s="771"/>
      <c r="P947" s="771" t="s">
        <v>7020</v>
      </c>
      <c r="Q947" s="771">
        <v>2</v>
      </c>
    </row>
    <row r="948" spans="2:17">
      <c r="B948" s="771"/>
      <c r="C948" s="771"/>
      <c r="P948" s="771" t="s">
        <v>7021</v>
      </c>
      <c r="Q948" s="771">
        <v>1</v>
      </c>
    </row>
    <row r="949" spans="2:17">
      <c r="B949" s="771"/>
      <c r="C949" s="771"/>
      <c r="P949" s="771" t="s">
        <v>7023</v>
      </c>
      <c r="Q949" s="771">
        <v>2</v>
      </c>
    </row>
    <row r="950" spans="2:17">
      <c r="B950" s="771"/>
      <c r="C950" s="771"/>
      <c r="P950" s="771" t="s">
        <v>7213</v>
      </c>
      <c r="Q950" s="771">
        <v>2</v>
      </c>
    </row>
    <row r="951" spans="2:17">
      <c r="B951" s="771"/>
      <c r="C951" s="771"/>
      <c r="P951" s="771" t="s">
        <v>7027</v>
      </c>
      <c r="Q951" s="771">
        <v>4</v>
      </c>
    </row>
    <row r="952" spans="2:17">
      <c r="B952" s="771"/>
      <c r="C952" s="771"/>
      <c r="P952" s="771" t="s">
        <v>7109</v>
      </c>
      <c r="Q952" s="771">
        <v>4</v>
      </c>
    </row>
    <row r="953" spans="2:17">
      <c r="B953" s="771"/>
      <c r="C953" s="771"/>
      <c r="P953" s="771" t="s">
        <v>6810</v>
      </c>
      <c r="Q953" s="771">
        <v>1</v>
      </c>
    </row>
    <row r="954" spans="2:17">
      <c r="B954" s="771"/>
      <c r="C954" s="771"/>
      <c r="P954" s="771" t="s">
        <v>7111</v>
      </c>
      <c r="Q954" s="771">
        <v>2</v>
      </c>
    </row>
    <row r="955" spans="2:17">
      <c r="B955" s="771"/>
      <c r="C955" s="771"/>
      <c r="P955" s="771" t="s">
        <v>6811</v>
      </c>
      <c r="Q955" s="771">
        <v>4</v>
      </c>
    </row>
    <row r="956" spans="2:17">
      <c r="B956" s="771"/>
      <c r="C956" s="771"/>
      <c r="P956" s="771" t="s">
        <v>7030</v>
      </c>
      <c r="Q956" s="771">
        <v>1</v>
      </c>
    </row>
    <row r="957" spans="2:17">
      <c r="B957" s="771"/>
      <c r="C957" s="771"/>
      <c r="P957" s="771" t="s">
        <v>6813</v>
      </c>
      <c r="Q957" s="771">
        <v>1</v>
      </c>
    </row>
    <row r="958" spans="2:17">
      <c r="B958" s="771"/>
      <c r="C958" s="771"/>
      <c r="P958" s="771" t="s">
        <v>6816</v>
      </c>
      <c r="Q958" s="771">
        <v>4</v>
      </c>
    </row>
    <row r="959" spans="2:17">
      <c r="B959" s="771"/>
      <c r="C959" s="771"/>
      <c r="P959" s="771" t="s">
        <v>6819</v>
      </c>
      <c r="Q959" s="771">
        <v>2</v>
      </c>
    </row>
    <row r="960" spans="2:17">
      <c r="B960" s="771"/>
      <c r="C960" s="771"/>
      <c r="P960" s="771" t="s">
        <v>7032</v>
      </c>
      <c r="Q960" s="771">
        <v>1</v>
      </c>
    </row>
    <row r="961" spans="2:17">
      <c r="B961" s="771"/>
      <c r="C961" s="771"/>
      <c r="P961" s="771" t="s">
        <v>6824</v>
      </c>
      <c r="Q961" s="771">
        <v>1</v>
      </c>
    </row>
    <row r="962" spans="2:17">
      <c r="B962" s="771"/>
      <c r="C962" s="771"/>
      <c r="P962" s="771" t="s">
        <v>6826</v>
      </c>
      <c r="Q962" s="771">
        <v>4</v>
      </c>
    </row>
    <row r="963" spans="2:17">
      <c r="B963" s="771"/>
      <c r="C963" s="771"/>
      <c r="P963" s="771" t="s">
        <v>7214</v>
      </c>
      <c r="Q963" s="771">
        <v>3</v>
      </c>
    </row>
    <row r="964" spans="2:17">
      <c r="B964" s="771"/>
      <c r="C964" s="771"/>
      <c r="P964" s="771" t="s">
        <v>7121</v>
      </c>
      <c r="Q964" s="771">
        <v>1</v>
      </c>
    </row>
    <row r="965" spans="2:17">
      <c r="B965" s="771"/>
      <c r="C965" s="771"/>
      <c r="P965" s="771" t="s">
        <v>7123</v>
      </c>
      <c r="Q965" s="771">
        <v>4</v>
      </c>
    </row>
    <row r="966" spans="2:17">
      <c r="B966" s="771"/>
      <c r="C966" s="771"/>
      <c r="P966" s="771" t="s">
        <v>6828</v>
      </c>
      <c r="Q966" s="771">
        <v>1</v>
      </c>
    </row>
    <row r="967" spans="2:17">
      <c r="B967" s="771"/>
      <c r="C967" s="771"/>
      <c r="P967" s="771" t="s">
        <v>7125</v>
      </c>
      <c r="Q967" s="771">
        <v>3</v>
      </c>
    </row>
    <row r="968" spans="2:17">
      <c r="B968" s="771"/>
      <c r="C968" s="771"/>
      <c r="P968" s="771" t="s">
        <v>6830</v>
      </c>
      <c r="Q968" s="771">
        <v>4</v>
      </c>
    </row>
    <row r="969" spans="2:17">
      <c r="B969" s="771"/>
      <c r="C969" s="771"/>
      <c r="P969" s="771" t="s">
        <v>7129</v>
      </c>
      <c r="Q969" s="771">
        <v>2</v>
      </c>
    </row>
    <row r="970" spans="2:17">
      <c r="B970" s="771"/>
      <c r="C970" s="771"/>
      <c r="P970" s="771" t="s">
        <v>6832</v>
      </c>
      <c r="Q970" s="771">
        <v>3</v>
      </c>
    </row>
    <row r="971" spans="2:17">
      <c r="B971" s="771"/>
      <c r="C971" s="771"/>
      <c r="P971" s="771" t="s">
        <v>6834</v>
      </c>
      <c r="Q971" s="771">
        <v>2</v>
      </c>
    </row>
    <row r="972" spans="2:17">
      <c r="B972" s="771"/>
      <c r="C972" s="771"/>
      <c r="P972" s="771" t="s">
        <v>7215</v>
      </c>
      <c r="Q972" s="771">
        <v>1</v>
      </c>
    </row>
    <row r="973" spans="2:17">
      <c r="B973" s="771"/>
      <c r="C973" s="771"/>
      <c r="P973" s="771" t="s">
        <v>7037</v>
      </c>
      <c r="Q973" s="771">
        <v>1</v>
      </c>
    </row>
    <row r="974" spans="2:17">
      <c r="B974" s="771"/>
      <c r="C974" s="771"/>
      <c r="P974" s="771" t="s">
        <v>7136</v>
      </c>
      <c r="Q974" s="771">
        <v>2</v>
      </c>
    </row>
    <row r="975" spans="2:17">
      <c r="B975" s="771"/>
      <c r="C975" s="771"/>
      <c r="P975" s="771" t="s">
        <v>7038</v>
      </c>
      <c r="Q975" s="771">
        <v>2</v>
      </c>
    </row>
    <row r="976" spans="2:17">
      <c r="B976" s="771"/>
      <c r="C976" s="771"/>
      <c r="P976" s="771" t="s">
        <v>7039</v>
      </c>
      <c r="Q976" s="771">
        <v>1</v>
      </c>
    </row>
    <row r="977" spans="2:17">
      <c r="B977" s="771"/>
      <c r="C977" s="771"/>
      <c r="P977" s="771" t="s">
        <v>7040</v>
      </c>
      <c r="Q977" s="771">
        <v>1</v>
      </c>
    </row>
    <row r="978" spans="2:17">
      <c r="B978" s="771"/>
      <c r="C978" s="771"/>
      <c r="P978" s="771" t="s">
        <v>6837</v>
      </c>
      <c r="Q978" s="771">
        <v>2</v>
      </c>
    </row>
    <row r="979" spans="2:17">
      <c r="B979" s="771"/>
      <c r="C979" s="771"/>
      <c r="P979" s="771" t="s">
        <v>7043</v>
      </c>
      <c r="Q979" s="771">
        <v>2</v>
      </c>
    </row>
    <row r="980" spans="2:17">
      <c r="B980" s="771"/>
      <c r="C980" s="771"/>
      <c r="P980" s="771" t="s">
        <v>6840</v>
      </c>
      <c r="Q980" s="771">
        <v>2</v>
      </c>
    </row>
    <row r="981" spans="2:17">
      <c r="B981" s="771"/>
      <c r="C981" s="771"/>
      <c r="P981" s="771" t="s">
        <v>6842</v>
      </c>
      <c r="Q981" s="771">
        <v>3</v>
      </c>
    </row>
    <row r="982" spans="2:17">
      <c r="B982" s="771"/>
      <c r="C982" s="771"/>
      <c r="P982" s="771" t="s">
        <v>6849</v>
      </c>
      <c r="Q982" s="771">
        <v>4</v>
      </c>
    </row>
    <row r="983" spans="2:17">
      <c r="B983" s="771"/>
      <c r="C983" s="771"/>
      <c r="P983" s="771" t="s">
        <v>6851</v>
      </c>
      <c r="Q983" s="771">
        <v>1</v>
      </c>
    </row>
    <row r="984" spans="2:17">
      <c r="B984" s="771"/>
      <c r="C984" s="771"/>
      <c r="P984" s="771" t="s">
        <v>7147</v>
      </c>
      <c r="Q984" s="771">
        <v>4</v>
      </c>
    </row>
    <row r="985" spans="2:17">
      <c r="B985" s="771"/>
      <c r="C985" s="771"/>
      <c r="P985" s="771" t="s">
        <v>7149</v>
      </c>
      <c r="Q985" s="771">
        <v>3</v>
      </c>
    </row>
    <row r="986" spans="2:17">
      <c r="B986" s="771"/>
      <c r="C986" s="771"/>
      <c r="P986" s="771" t="s">
        <v>6853</v>
      </c>
      <c r="Q986" s="771">
        <v>3</v>
      </c>
    </row>
    <row r="987" spans="2:17">
      <c r="B987" s="771"/>
      <c r="C987" s="771"/>
      <c r="P987" s="771" t="s">
        <v>7151</v>
      </c>
      <c r="Q987" s="771">
        <v>1</v>
      </c>
    </row>
    <row r="988" spans="2:17">
      <c r="B988" s="771"/>
      <c r="C988" s="771"/>
      <c r="P988" s="771" t="s">
        <v>6856</v>
      </c>
      <c r="Q988" s="771">
        <v>3</v>
      </c>
    </row>
    <row r="989" spans="2:17">
      <c r="B989" s="771"/>
      <c r="C989" s="771"/>
      <c r="P989" s="771" t="s">
        <v>6857</v>
      </c>
      <c r="Q989" s="771">
        <v>4</v>
      </c>
    </row>
    <row r="990" spans="2:17">
      <c r="B990" s="771"/>
      <c r="C990" s="771"/>
      <c r="P990" s="771" t="s">
        <v>6859</v>
      </c>
      <c r="Q990" s="771">
        <v>2</v>
      </c>
    </row>
    <row r="991" spans="2:17">
      <c r="B991" s="771"/>
      <c r="C991" s="771"/>
      <c r="P991" s="771" t="s">
        <v>7045</v>
      </c>
      <c r="Q991" s="771">
        <v>1</v>
      </c>
    </row>
    <row r="992" spans="2:17">
      <c r="B992" s="771"/>
      <c r="C992" s="771"/>
      <c r="P992" s="771" t="s">
        <v>6861</v>
      </c>
      <c r="Q992" s="771">
        <v>2</v>
      </c>
    </row>
    <row r="993" spans="2:17">
      <c r="B993" s="771"/>
      <c r="C993" s="771"/>
      <c r="P993" s="771" t="s">
        <v>6862</v>
      </c>
      <c r="Q993" s="771">
        <v>4</v>
      </c>
    </row>
    <row r="994" spans="2:17">
      <c r="B994" s="771"/>
      <c r="C994" s="771"/>
      <c r="P994" s="771" t="s">
        <v>7048</v>
      </c>
      <c r="Q994" s="771">
        <v>1</v>
      </c>
    </row>
    <row r="995" spans="2:17">
      <c r="B995" s="771"/>
      <c r="C995" s="771"/>
      <c r="P995" s="771" t="s">
        <v>6864</v>
      </c>
      <c r="Q995" s="771">
        <v>4</v>
      </c>
    </row>
    <row r="996" spans="2:17">
      <c r="B996" s="771"/>
      <c r="C996" s="771"/>
      <c r="P996" s="771" t="s">
        <v>7049</v>
      </c>
      <c r="Q996" s="771">
        <v>3</v>
      </c>
    </row>
    <row r="997" spans="2:17">
      <c r="B997" s="771"/>
      <c r="C997" s="771"/>
      <c r="P997" s="771" t="s">
        <v>7050</v>
      </c>
      <c r="Q997" s="771">
        <v>2</v>
      </c>
    </row>
    <row r="998" spans="2:17">
      <c r="B998" s="771"/>
      <c r="C998" s="771"/>
      <c r="P998" s="771" t="s">
        <v>7051</v>
      </c>
      <c r="Q998" s="771">
        <v>2</v>
      </c>
    </row>
    <row r="999" spans="2:17">
      <c r="B999" s="771"/>
      <c r="C999" s="771"/>
      <c r="P999" s="771" t="s">
        <v>7053</v>
      </c>
      <c r="Q999" s="771">
        <v>4</v>
      </c>
    </row>
    <row r="1000" spans="2:17">
      <c r="B1000" s="771"/>
      <c r="C1000" s="771"/>
      <c r="P1000" s="771" t="s">
        <v>6868</v>
      </c>
      <c r="Q1000" s="771">
        <v>1</v>
      </c>
    </row>
    <row r="1001" spans="2:17">
      <c r="B1001" s="771"/>
      <c r="C1001" s="771"/>
      <c r="P1001" s="771" t="s">
        <v>6870</v>
      </c>
      <c r="Q1001" s="771">
        <v>3</v>
      </c>
    </row>
    <row r="1002" spans="2:17">
      <c r="B1002" s="771"/>
      <c r="C1002" s="771"/>
      <c r="P1002" s="771" t="s">
        <v>6872</v>
      </c>
      <c r="Q1002" s="771">
        <v>4</v>
      </c>
    </row>
    <row r="1003" spans="2:17">
      <c r="B1003" s="771"/>
      <c r="C1003" s="771"/>
      <c r="P1003" s="771" t="s">
        <v>7059</v>
      </c>
      <c r="Q1003" s="771">
        <v>4</v>
      </c>
    </row>
    <row r="1004" spans="2:17">
      <c r="B1004" s="771"/>
      <c r="C1004" s="771"/>
      <c r="P1004" s="771" t="s">
        <v>6874</v>
      </c>
      <c r="Q1004" s="771">
        <v>4</v>
      </c>
    </row>
    <row r="1005" spans="2:17">
      <c r="B1005" s="771"/>
      <c r="C1005" s="771"/>
      <c r="P1005" s="771" t="s">
        <v>6876</v>
      </c>
      <c r="Q1005" s="771">
        <v>4</v>
      </c>
    </row>
    <row r="1006" spans="2:17">
      <c r="B1006" s="771"/>
      <c r="C1006" s="771"/>
      <c r="P1006" s="771" t="s">
        <v>6877</v>
      </c>
      <c r="Q1006" s="771">
        <v>3</v>
      </c>
    </row>
    <row r="1007" spans="2:17">
      <c r="B1007" s="771"/>
      <c r="C1007" s="771"/>
      <c r="P1007" s="771" t="s">
        <v>7216</v>
      </c>
      <c r="Q1007" s="771">
        <v>4</v>
      </c>
    </row>
    <row r="1008" spans="2:17">
      <c r="B1008" s="771"/>
      <c r="C1008" s="771"/>
      <c r="P1008" s="771" t="s">
        <v>7061</v>
      </c>
      <c r="Q1008" s="771">
        <v>2</v>
      </c>
    </row>
    <row r="1009" spans="2:17">
      <c r="B1009" s="771"/>
      <c r="C1009" s="771"/>
      <c r="P1009" s="771" t="s">
        <v>6880</v>
      </c>
      <c r="Q1009" s="771">
        <v>4</v>
      </c>
    </row>
    <row r="1010" spans="2:17">
      <c r="B1010" s="771"/>
      <c r="C1010" s="771"/>
      <c r="P1010" s="771" t="s">
        <v>6882</v>
      </c>
      <c r="Q1010" s="771">
        <v>4</v>
      </c>
    </row>
    <row r="1011" spans="2:17">
      <c r="B1011" s="771"/>
      <c r="C1011" s="771"/>
      <c r="P1011" s="771" t="s">
        <v>6883</v>
      </c>
      <c r="Q1011" s="771">
        <v>4</v>
      </c>
    </row>
    <row r="1012" spans="2:17">
      <c r="B1012" s="771"/>
      <c r="C1012" s="771"/>
      <c r="P1012" s="771" t="s">
        <v>6885</v>
      </c>
      <c r="Q1012" s="771">
        <v>4</v>
      </c>
    </row>
    <row r="1013" spans="2:17">
      <c r="B1013" s="771"/>
      <c r="C1013" s="771"/>
      <c r="P1013" s="771" t="s">
        <v>7063</v>
      </c>
      <c r="Q1013" s="771">
        <v>4</v>
      </c>
    </row>
    <row r="1014" spans="2:17">
      <c r="B1014" s="771"/>
      <c r="C1014" s="771"/>
      <c r="P1014" s="771" t="s">
        <v>6887</v>
      </c>
      <c r="Q1014" s="771">
        <v>2</v>
      </c>
    </row>
    <row r="1015" spans="2:17">
      <c r="B1015" s="771"/>
      <c r="C1015" s="771"/>
      <c r="P1015" s="771" t="s">
        <v>6890</v>
      </c>
      <c r="Q1015" s="771">
        <v>2</v>
      </c>
    </row>
    <row r="1016" spans="2:17">
      <c r="B1016" s="771"/>
      <c r="C1016" s="771"/>
      <c r="P1016" s="771" t="s">
        <v>6892</v>
      </c>
      <c r="Q1016" s="771">
        <v>4</v>
      </c>
    </row>
    <row r="1017" spans="2:17">
      <c r="B1017" s="771"/>
      <c r="C1017" s="771"/>
      <c r="P1017" s="771" t="s">
        <v>7066</v>
      </c>
      <c r="Q1017" s="771">
        <v>1</v>
      </c>
    </row>
    <row r="1018" spans="2:17">
      <c r="B1018" s="771"/>
      <c r="C1018" s="771"/>
      <c r="P1018" s="771" t="s">
        <v>7068</v>
      </c>
      <c r="Q1018" s="771">
        <v>4</v>
      </c>
    </row>
    <row r="1019" spans="2:17">
      <c r="B1019" s="771"/>
      <c r="C1019" s="771"/>
      <c r="P1019" s="771" t="s">
        <v>7069</v>
      </c>
      <c r="Q1019" s="771">
        <v>1</v>
      </c>
    </row>
    <row r="1020" spans="2:17">
      <c r="B1020" s="771"/>
      <c r="C1020" s="771"/>
      <c r="P1020" s="771" t="s">
        <v>7072</v>
      </c>
      <c r="Q1020" s="771">
        <v>4</v>
      </c>
    </row>
    <row r="1021" spans="2:17">
      <c r="B1021" s="771"/>
      <c r="C1021" s="771"/>
      <c r="P1021" s="771" t="s">
        <v>6895</v>
      </c>
      <c r="Q1021" s="771">
        <v>4</v>
      </c>
    </row>
    <row r="1022" spans="2:17">
      <c r="B1022" s="771"/>
      <c r="C1022" s="771"/>
      <c r="P1022" s="771" t="s">
        <v>7165</v>
      </c>
      <c r="Q1022" s="771">
        <v>4</v>
      </c>
    </row>
    <row r="1023" spans="2:17">
      <c r="B1023" s="771"/>
      <c r="C1023" s="771"/>
      <c r="P1023" s="771" t="s">
        <v>6897</v>
      </c>
      <c r="Q1023" s="771">
        <v>4</v>
      </c>
    </row>
    <row r="1024" spans="2:17">
      <c r="B1024" s="771"/>
      <c r="C1024" s="771"/>
      <c r="P1024" s="771" t="s">
        <v>6898</v>
      </c>
      <c r="Q1024" s="771">
        <v>4</v>
      </c>
    </row>
    <row r="1025" spans="2:17">
      <c r="B1025" s="771"/>
      <c r="C1025" s="771"/>
      <c r="P1025" s="771" t="s">
        <v>6900</v>
      </c>
      <c r="Q1025" s="771">
        <v>3</v>
      </c>
    </row>
    <row r="1026" spans="2:17">
      <c r="B1026" s="771"/>
      <c r="C1026" s="771"/>
      <c r="P1026" s="771" t="s">
        <v>7217</v>
      </c>
      <c r="Q1026" s="771">
        <v>4</v>
      </c>
    </row>
    <row r="1027" spans="2:17">
      <c r="B1027" s="771"/>
      <c r="C1027" s="771"/>
      <c r="P1027" s="771" t="s">
        <v>6902</v>
      </c>
      <c r="Q1027" s="771">
        <v>1</v>
      </c>
    </row>
    <row r="1028" spans="2:17">
      <c r="B1028" s="771"/>
      <c r="C1028" s="771"/>
      <c r="P1028" s="771" t="s">
        <v>6905</v>
      </c>
      <c r="Q1028" s="771">
        <v>4</v>
      </c>
    </row>
    <row r="1029" spans="2:17">
      <c r="B1029" s="771"/>
      <c r="C1029" s="771"/>
      <c r="P1029" s="771" t="s">
        <v>6907</v>
      </c>
      <c r="Q1029" s="771">
        <v>4</v>
      </c>
    </row>
    <row r="1030" spans="2:17">
      <c r="B1030" s="771"/>
      <c r="C1030" s="771"/>
      <c r="P1030" s="771" t="s">
        <v>7074</v>
      </c>
      <c r="Q1030" s="771">
        <v>1</v>
      </c>
    </row>
    <row r="1031" spans="2:17">
      <c r="B1031" s="771"/>
      <c r="C1031" s="771"/>
      <c r="P1031" s="771" t="s">
        <v>7075</v>
      </c>
      <c r="Q1031" s="771">
        <v>4</v>
      </c>
    </row>
    <row r="1032" spans="2:17">
      <c r="B1032" s="771"/>
      <c r="C1032" s="771"/>
      <c r="P1032" s="771" t="s">
        <v>6909</v>
      </c>
      <c r="Q1032" s="771">
        <v>4</v>
      </c>
    </row>
    <row r="1033" spans="2:17">
      <c r="B1033" s="771"/>
      <c r="C1033" s="771"/>
      <c r="P1033" s="771" t="s">
        <v>7079</v>
      </c>
      <c r="Q1033" s="771">
        <v>1</v>
      </c>
    </row>
    <row r="1034" spans="2:17">
      <c r="B1034" s="771"/>
      <c r="C1034" s="771"/>
      <c r="P1034" s="771" t="s">
        <v>6913</v>
      </c>
      <c r="Q1034" s="771">
        <v>1</v>
      </c>
    </row>
    <row r="1035" spans="2:17">
      <c r="B1035" s="771"/>
      <c r="C1035" s="771"/>
      <c r="P1035" s="771" t="s">
        <v>6915</v>
      </c>
      <c r="Q1035" s="771">
        <v>2</v>
      </c>
    </row>
    <row r="1036" spans="2:17">
      <c r="B1036" s="771"/>
      <c r="C1036" s="771"/>
      <c r="P1036" s="771" t="s">
        <v>7081</v>
      </c>
      <c r="Q1036" s="771">
        <v>4</v>
      </c>
    </row>
    <row r="1037" spans="2:17">
      <c r="B1037" s="771"/>
      <c r="C1037" s="771"/>
      <c r="P1037" s="771" t="s">
        <v>7082</v>
      </c>
      <c r="Q1037" s="771">
        <v>2</v>
      </c>
    </row>
    <row r="1038" spans="2:17">
      <c r="B1038" s="771"/>
      <c r="C1038" s="771"/>
      <c r="P1038" s="771" t="s">
        <v>7084</v>
      </c>
      <c r="Q1038" s="771">
        <v>2</v>
      </c>
    </row>
    <row r="1039" spans="2:17">
      <c r="B1039" s="771"/>
      <c r="C1039" s="771"/>
      <c r="P1039" s="771" t="s">
        <v>7085</v>
      </c>
      <c r="Q1039" s="771">
        <v>2</v>
      </c>
    </row>
    <row r="1040" spans="2:17">
      <c r="B1040" s="771"/>
      <c r="C1040" s="771"/>
      <c r="P1040" s="771" t="s">
        <v>6917</v>
      </c>
      <c r="Q1040" s="771">
        <v>1</v>
      </c>
    </row>
    <row r="1041" spans="2:17">
      <c r="B1041" s="771"/>
      <c r="C1041" s="771"/>
      <c r="P1041" s="771" t="s">
        <v>6920</v>
      </c>
      <c r="Q1041" s="771">
        <v>2</v>
      </c>
    </row>
    <row r="1042" spans="2:17">
      <c r="B1042" s="771"/>
      <c r="C1042" s="771"/>
      <c r="P1042" s="771" t="s">
        <v>6921</v>
      </c>
      <c r="Q1042" s="771">
        <v>1</v>
      </c>
    </row>
    <row r="1043" spans="2:17">
      <c r="B1043" s="771"/>
      <c r="C1043" s="771"/>
      <c r="P1043" s="771" t="s">
        <v>6922</v>
      </c>
      <c r="Q1043" s="771">
        <v>4</v>
      </c>
    </row>
    <row r="1044" spans="2:17">
      <c r="B1044" s="771"/>
      <c r="C1044" s="771"/>
      <c r="P1044" s="771" t="s">
        <v>6923</v>
      </c>
      <c r="Q1044" s="771">
        <v>4</v>
      </c>
    </row>
    <row r="1045" spans="2:17">
      <c r="B1045" s="771"/>
      <c r="C1045" s="771"/>
      <c r="P1045" s="771" t="s">
        <v>7166</v>
      </c>
      <c r="Q1045" s="771">
        <v>4</v>
      </c>
    </row>
    <row r="1046" spans="2:17">
      <c r="B1046" s="771"/>
      <c r="C1046" s="771"/>
      <c r="P1046" s="771" t="s">
        <v>6926</v>
      </c>
      <c r="Q1046" s="771">
        <v>1</v>
      </c>
    </row>
    <row r="1047" spans="2:17">
      <c r="B1047" s="771"/>
      <c r="C1047" s="771"/>
      <c r="P1047" s="771" t="s">
        <v>7218</v>
      </c>
      <c r="Q1047" s="771">
        <v>3</v>
      </c>
    </row>
    <row r="1048" spans="2:17">
      <c r="B1048" s="771"/>
      <c r="C1048" s="771"/>
      <c r="P1048" s="771" t="s">
        <v>7169</v>
      </c>
      <c r="Q1048" s="771">
        <v>3</v>
      </c>
    </row>
    <row r="1049" spans="2:17">
      <c r="B1049" s="771"/>
      <c r="C1049" s="771"/>
      <c r="P1049" s="771" t="s">
        <v>6928</v>
      </c>
      <c r="Q1049" s="771">
        <v>4</v>
      </c>
    </row>
    <row r="1050" spans="2:17">
      <c r="B1050" s="771"/>
      <c r="C1050" s="771"/>
      <c r="P1050" s="771" t="s">
        <v>6932</v>
      </c>
      <c r="Q1050" s="771">
        <v>4</v>
      </c>
    </row>
    <row r="1051" spans="2:17">
      <c r="B1051" s="771"/>
      <c r="C1051" s="771"/>
      <c r="P1051" s="771" t="s">
        <v>6935</v>
      </c>
      <c r="Q1051" s="771">
        <v>4</v>
      </c>
    </row>
    <row r="1052" spans="2:17">
      <c r="B1052" s="771"/>
      <c r="C1052" s="771"/>
      <c r="P1052" s="771" t="s">
        <v>6937</v>
      </c>
      <c r="Q1052" s="771">
        <v>4</v>
      </c>
    </row>
    <row r="1053" spans="2:17">
      <c r="B1053" s="771"/>
      <c r="C1053" s="771"/>
      <c r="P1053" s="771" t="s">
        <v>7170</v>
      </c>
      <c r="Q1053" s="771">
        <v>4</v>
      </c>
    </row>
    <row r="1054" spans="2:17">
      <c r="B1054" s="771"/>
      <c r="C1054" s="771"/>
      <c r="P1054" s="771" t="s">
        <v>6940</v>
      </c>
      <c r="Q1054" s="771">
        <v>1</v>
      </c>
    </row>
    <row r="1055" spans="2:17">
      <c r="B1055" s="771"/>
      <c r="C1055" s="771"/>
      <c r="P1055" s="771" t="s">
        <v>6942</v>
      </c>
      <c r="Q1055" s="771">
        <v>2</v>
      </c>
    </row>
    <row r="1056" spans="2:17">
      <c r="B1056" s="771"/>
      <c r="C1056" s="771"/>
      <c r="P1056" s="771" t="s">
        <v>6943</v>
      </c>
      <c r="Q1056" s="771">
        <v>1</v>
      </c>
    </row>
    <row r="1057" spans="2:17">
      <c r="B1057" s="771"/>
      <c r="C1057" s="771"/>
      <c r="P1057" s="771" t="s">
        <v>6948</v>
      </c>
      <c r="Q1057" s="771">
        <v>1</v>
      </c>
    </row>
    <row r="1058" spans="2:17">
      <c r="B1058" s="771"/>
      <c r="C1058" s="771"/>
      <c r="P1058" s="771" t="s">
        <v>6949</v>
      </c>
      <c r="Q1058" s="771">
        <v>1</v>
      </c>
    </row>
    <row r="1059" spans="2:17">
      <c r="B1059" s="771"/>
      <c r="C1059" s="771"/>
      <c r="P1059" s="771" t="s">
        <v>6951</v>
      </c>
      <c r="Q1059" s="771">
        <v>1</v>
      </c>
    </row>
    <row r="1060" spans="2:17">
      <c r="B1060" s="771"/>
      <c r="C1060" s="771"/>
      <c r="P1060" s="771" t="s">
        <v>6953</v>
      </c>
      <c r="Q1060" s="771">
        <v>4</v>
      </c>
    </row>
    <row r="1061" spans="2:17">
      <c r="B1061" s="771"/>
      <c r="C1061" s="771"/>
      <c r="P1061" s="771" t="s">
        <v>7219</v>
      </c>
      <c r="Q1061" s="771">
        <v>4</v>
      </c>
    </row>
    <row r="1062" spans="2:17">
      <c r="B1062" s="771"/>
      <c r="C1062" s="771"/>
      <c r="P1062" s="771" t="s">
        <v>7171</v>
      </c>
      <c r="Q1062" s="771">
        <v>4</v>
      </c>
    </row>
    <row r="1063" spans="2:17">
      <c r="B1063" s="771"/>
      <c r="C1063" s="771"/>
      <c r="P1063" s="771" t="s">
        <v>6956</v>
      </c>
      <c r="Q1063" s="771">
        <v>4</v>
      </c>
    </row>
    <row r="1064" spans="2:17">
      <c r="B1064" s="771"/>
      <c r="C1064" s="771"/>
      <c r="P1064" s="771" t="s">
        <v>6959</v>
      </c>
      <c r="Q1064" s="771">
        <v>4</v>
      </c>
    </row>
    <row r="1065" spans="2:17">
      <c r="B1065" s="771"/>
      <c r="C1065" s="771"/>
      <c r="P1065" s="771" t="s">
        <v>6960</v>
      </c>
      <c r="Q1065" s="771">
        <v>4</v>
      </c>
    </row>
    <row r="1066" spans="2:17">
      <c r="B1066" s="771"/>
      <c r="C1066" s="771"/>
      <c r="P1066" s="771" t="s">
        <v>7092</v>
      </c>
      <c r="Q1066" s="771">
        <v>1</v>
      </c>
    </row>
    <row r="1067" spans="2:17">
      <c r="B1067" s="771"/>
      <c r="C1067" s="771"/>
      <c r="P1067" s="771" t="s">
        <v>7094</v>
      </c>
      <c r="Q1067" s="771">
        <v>1</v>
      </c>
    </row>
    <row r="1068" spans="2:17">
      <c r="B1068" s="771"/>
      <c r="C1068" s="771"/>
      <c r="P1068" s="771" t="s">
        <v>7096</v>
      </c>
      <c r="Q1068" s="771">
        <v>1</v>
      </c>
    </row>
    <row r="1069" spans="2:17">
      <c r="B1069" s="771"/>
      <c r="C1069" s="771"/>
      <c r="P1069" s="771" t="s">
        <v>6963</v>
      </c>
      <c r="Q1069" s="771">
        <v>1</v>
      </c>
    </row>
    <row r="1070" spans="2:17">
      <c r="B1070" s="771"/>
      <c r="C1070" s="771"/>
      <c r="P1070" s="771" t="s">
        <v>6964</v>
      </c>
      <c r="Q1070" s="771">
        <v>4</v>
      </c>
    </row>
    <row r="1071" spans="2:17">
      <c r="B1071" s="771"/>
      <c r="C1071" s="771"/>
      <c r="P1071" s="771" t="s">
        <v>6966</v>
      </c>
      <c r="Q1071" s="771">
        <v>2</v>
      </c>
    </row>
    <row r="1072" spans="2:17">
      <c r="B1072" s="771"/>
      <c r="C1072" s="771"/>
      <c r="P1072" s="771" t="s">
        <v>6968</v>
      </c>
      <c r="Q1072" s="771">
        <v>4</v>
      </c>
    </row>
    <row r="1073" spans="2:17">
      <c r="B1073" s="771"/>
      <c r="C1073" s="771"/>
      <c r="P1073" s="771" t="s">
        <v>7098</v>
      </c>
      <c r="Q1073" s="771">
        <v>1</v>
      </c>
    </row>
    <row r="1074" spans="2:17">
      <c r="B1074" s="771"/>
      <c r="C1074" s="771"/>
      <c r="P1074" s="771" t="s">
        <v>6970</v>
      </c>
      <c r="Q1074" s="771">
        <v>4</v>
      </c>
    </row>
    <row r="1075" spans="2:17">
      <c r="B1075" s="771"/>
      <c r="C1075" s="771"/>
      <c r="P1075" s="771" t="s">
        <v>7102</v>
      </c>
      <c r="Q1075" s="771">
        <v>1</v>
      </c>
    </row>
    <row r="1076" spans="2:17">
      <c r="B1076" s="771"/>
      <c r="C1076" s="771"/>
      <c r="P1076" s="771" t="s">
        <v>6973</v>
      </c>
      <c r="Q1076" s="771">
        <v>1</v>
      </c>
    </row>
    <row r="1077" spans="2:17">
      <c r="B1077" s="771"/>
      <c r="C1077" s="771"/>
      <c r="P1077" s="771" t="s">
        <v>7103</v>
      </c>
      <c r="Q1077" s="771">
        <v>2</v>
      </c>
    </row>
    <row r="1078" spans="2:17">
      <c r="B1078" s="771"/>
      <c r="C1078" s="771"/>
      <c r="P1078" s="771" t="s">
        <v>6975</v>
      </c>
      <c r="Q1078" s="771">
        <v>3</v>
      </c>
    </row>
    <row r="1079" spans="2:17">
      <c r="B1079" s="771"/>
      <c r="C1079" s="771"/>
      <c r="P1079" s="771" t="s">
        <v>6977</v>
      </c>
      <c r="Q1079" s="771">
        <v>4</v>
      </c>
    </row>
    <row r="1080" spans="2:17">
      <c r="B1080" s="771"/>
      <c r="C1080" s="771"/>
      <c r="P1080" s="771" t="s">
        <v>7107</v>
      </c>
      <c r="Q1080" s="771">
        <v>2</v>
      </c>
    </row>
    <row r="1081" spans="2:17">
      <c r="B1081" s="771"/>
      <c r="C1081" s="771"/>
      <c r="P1081" s="771" t="s">
        <v>6979</v>
      </c>
      <c r="Q1081" s="771">
        <v>1</v>
      </c>
    </row>
    <row r="1082" spans="2:17">
      <c r="B1082" s="771"/>
      <c r="C1082" s="771"/>
      <c r="P1082" s="771" t="s">
        <v>7108</v>
      </c>
      <c r="Q1082" s="771">
        <v>1</v>
      </c>
    </row>
    <row r="1083" spans="2:17">
      <c r="B1083" s="771"/>
      <c r="C1083" s="771"/>
      <c r="P1083" s="771" t="s">
        <v>6981</v>
      </c>
      <c r="Q1083" s="771">
        <v>4</v>
      </c>
    </row>
    <row r="1084" spans="2:17">
      <c r="B1084" s="771"/>
      <c r="C1084" s="771"/>
      <c r="P1084" s="771" t="s">
        <v>6982</v>
      </c>
      <c r="Q1084" s="771">
        <v>2</v>
      </c>
    </row>
    <row r="1085" spans="2:17">
      <c r="B1085" s="771"/>
      <c r="C1085" s="771"/>
      <c r="P1085" s="771" t="s">
        <v>6983</v>
      </c>
      <c r="Q1085" s="771">
        <v>2</v>
      </c>
    </row>
    <row r="1086" spans="2:17">
      <c r="B1086" s="771"/>
      <c r="C1086" s="771"/>
      <c r="P1086" s="771" t="s">
        <v>6985</v>
      </c>
      <c r="Q1086" s="771">
        <v>4</v>
      </c>
    </row>
    <row r="1087" spans="2:17">
      <c r="B1087" s="771"/>
      <c r="C1087" s="771"/>
      <c r="P1087" s="771" t="s">
        <v>6987</v>
      </c>
      <c r="Q1087" s="771">
        <v>4</v>
      </c>
    </row>
    <row r="1088" spans="2:17">
      <c r="B1088" s="771"/>
      <c r="C1088" s="771"/>
      <c r="P1088" s="771" t="s">
        <v>7112</v>
      </c>
      <c r="Q1088" s="771">
        <v>1</v>
      </c>
    </row>
    <row r="1089" spans="2:17">
      <c r="B1089" s="771"/>
      <c r="C1089" s="771"/>
      <c r="P1089" s="771" t="s">
        <v>7175</v>
      </c>
      <c r="Q1089" s="771">
        <v>2</v>
      </c>
    </row>
    <row r="1090" spans="2:17">
      <c r="B1090" s="771"/>
      <c r="C1090" s="771"/>
      <c r="P1090" s="771" t="s">
        <v>7176</v>
      </c>
      <c r="Q1090" s="771">
        <v>1</v>
      </c>
    </row>
    <row r="1091" spans="2:17">
      <c r="B1091" s="771"/>
      <c r="C1091" s="771"/>
      <c r="P1091" s="771" t="s">
        <v>7114</v>
      </c>
      <c r="Q1091" s="771">
        <v>2</v>
      </c>
    </row>
    <row r="1092" spans="2:17">
      <c r="B1092" s="771"/>
      <c r="C1092" s="771"/>
      <c r="P1092" s="771" t="s">
        <v>7115</v>
      </c>
      <c r="Q1092" s="771">
        <v>2</v>
      </c>
    </row>
    <row r="1093" spans="2:17">
      <c r="B1093" s="771"/>
      <c r="C1093" s="771"/>
      <c r="P1093" s="771" t="s">
        <v>7116</v>
      </c>
      <c r="Q1093" s="771">
        <v>1</v>
      </c>
    </row>
    <row r="1094" spans="2:17">
      <c r="B1094" s="771"/>
      <c r="C1094" s="771"/>
      <c r="P1094" s="771" t="s">
        <v>7220</v>
      </c>
      <c r="Q1094" s="771">
        <v>4</v>
      </c>
    </row>
    <row r="1095" spans="2:17">
      <c r="B1095" s="771"/>
      <c r="C1095" s="771"/>
      <c r="P1095" s="771" t="s">
        <v>7117</v>
      </c>
      <c r="Q1095" s="771">
        <v>1</v>
      </c>
    </row>
    <row r="1096" spans="2:17">
      <c r="B1096" s="771"/>
      <c r="C1096" s="771"/>
      <c r="P1096" s="771" t="s">
        <v>6992</v>
      </c>
      <c r="Q1096" s="771">
        <v>3</v>
      </c>
    </row>
    <row r="1097" spans="2:17">
      <c r="B1097" s="771"/>
      <c r="C1097" s="771"/>
      <c r="P1097" s="771" t="s">
        <v>7177</v>
      </c>
      <c r="Q1097" s="771">
        <v>4</v>
      </c>
    </row>
    <row r="1098" spans="2:17">
      <c r="B1098" s="771"/>
      <c r="C1098" s="771"/>
      <c r="P1098" s="771" t="s">
        <v>7221</v>
      </c>
      <c r="Q1098" s="771">
        <v>4</v>
      </c>
    </row>
    <row r="1099" spans="2:17">
      <c r="B1099" s="771"/>
      <c r="C1099" s="771"/>
      <c r="P1099" s="771" t="s">
        <v>7178</v>
      </c>
      <c r="Q1099" s="771">
        <v>1</v>
      </c>
    </row>
    <row r="1100" spans="2:17">
      <c r="B1100" s="771"/>
      <c r="C1100" s="771"/>
      <c r="P1100" s="771" t="s">
        <v>7127</v>
      </c>
      <c r="Q1100" s="771">
        <v>1</v>
      </c>
    </row>
    <row r="1101" spans="2:17">
      <c r="B1101" s="771"/>
      <c r="C1101" s="771"/>
      <c r="P1101" s="771" t="s">
        <v>7180</v>
      </c>
      <c r="Q1101" s="771">
        <v>4</v>
      </c>
    </row>
    <row r="1102" spans="2:17">
      <c r="B1102" s="771"/>
      <c r="C1102" s="771"/>
      <c r="P1102" s="771" t="s">
        <v>7182</v>
      </c>
      <c r="Q1102" s="771">
        <v>3</v>
      </c>
    </row>
    <row r="1103" spans="2:17">
      <c r="B1103" s="771"/>
      <c r="C1103" s="771"/>
      <c r="P1103" s="771" t="s">
        <v>6996</v>
      </c>
      <c r="Q1103" s="771">
        <v>1</v>
      </c>
    </row>
    <row r="1104" spans="2:17">
      <c r="B1104" s="771"/>
      <c r="C1104" s="771"/>
      <c r="P1104" s="771" t="s">
        <v>7128</v>
      </c>
      <c r="Q1104" s="771">
        <v>4</v>
      </c>
    </row>
    <row r="1105" spans="2:17">
      <c r="B1105" s="771"/>
      <c r="C1105" s="771"/>
      <c r="P1105" s="771" t="s">
        <v>7222</v>
      </c>
      <c r="Q1105" s="771">
        <v>2</v>
      </c>
    </row>
    <row r="1106" spans="2:17">
      <c r="B1106" s="771"/>
      <c r="C1106" s="771"/>
      <c r="P1106" s="771" t="s">
        <v>7131</v>
      </c>
      <c r="Q1106" s="771">
        <v>4</v>
      </c>
    </row>
    <row r="1107" spans="2:17">
      <c r="B1107" s="771"/>
      <c r="C1107" s="771"/>
      <c r="P1107" s="771" t="s">
        <v>7132</v>
      </c>
      <c r="Q1107" s="771">
        <v>4</v>
      </c>
    </row>
    <row r="1108" spans="2:17">
      <c r="B1108" s="771"/>
      <c r="C1108" s="771"/>
      <c r="P1108" s="771" t="s">
        <v>6998</v>
      </c>
      <c r="Q1108" s="771">
        <v>4</v>
      </c>
    </row>
    <row r="1109" spans="2:17">
      <c r="B1109" s="771"/>
      <c r="C1109" s="771"/>
      <c r="P1109" s="771" t="s">
        <v>7135</v>
      </c>
      <c r="Q1109" s="771">
        <v>4</v>
      </c>
    </row>
    <row r="1110" spans="2:17">
      <c r="B1110" s="771"/>
      <c r="C1110" s="771"/>
      <c r="P1110" s="771" t="s">
        <v>7000</v>
      </c>
      <c r="Q1110" s="771">
        <v>4</v>
      </c>
    </row>
    <row r="1111" spans="2:17">
      <c r="B1111" s="771"/>
      <c r="C1111" s="771"/>
      <c r="P1111" s="771" t="s">
        <v>7002</v>
      </c>
      <c r="Q1111" s="771">
        <v>1</v>
      </c>
    </row>
    <row r="1112" spans="2:17">
      <c r="B1112" s="771"/>
      <c r="C1112" s="771"/>
      <c r="P1112" s="771" t="s">
        <v>7004</v>
      </c>
      <c r="Q1112" s="771">
        <v>3</v>
      </c>
    </row>
    <row r="1113" spans="2:17">
      <c r="B1113" s="771"/>
      <c r="C1113" s="771"/>
      <c r="P1113" s="771" t="s">
        <v>7137</v>
      </c>
      <c r="Q1113" s="771">
        <v>1</v>
      </c>
    </row>
    <row r="1114" spans="2:17">
      <c r="B1114" s="771"/>
      <c r="C1114" s="771"/>
      <c r="P1114" s="771" t="s">
        <v>7140</v>
      </c>
      <c r="Q1114" s="771">
        <v>2</v>
      </c>
    </row>
    <row r="1115" spans="2:17">
      <c r="B1115" s="771"/>
      <c r="C1115" s="771"/>
      <c r="P1115" s="771" t="s">
        <v>7142</v>
      </c>
      <c r="Q1115" s="771">
        <v>4</v>
      </c>
    </row>
    <row r="1116" spans="2:17">
      <c r="B1116" s="771"/>
      <c r="C1116" s="771"/>
      <c r="P1116" s="771" t="s">
        <v>7143</v>
      </c>
      <c r="Q1116" s="771">
        <v>4</v>
      </c>
    </row>
    <row r="1117" spans="2:17">
      <c r="B1117" s="771"/>
      <c r="C1117" s="771"/>
      <c r="P1117" s="771" t="s">
        <v>7144</v>
      </c>
      <c r="Q1117" s="771">
        <v>4</v>
      </c>
    </row>
    <row r="1118" spans="2:17">
      <c r="B1118" s="771"/>
      <c r="C1118" s="771"/>
      <c r="P1118" s="771" t="s">
        <v>7223</v>
      </c>
      <c r="Q1118" s="771">
        <v>4</v>
      </c>
    </row>
    <row r="1119" spans="2:17">
      <c r="B1119" s="771"/>
      <c r="C1119" s="771"/>
      <c r="P1119" s="771" t="s">
        <v>7185</v>
      </c>
      <c r="Q1119" s="771">
        <v>4</v>
      </c>
    </row>
    <row r="1120" spans="2:17">
      <c r="B1120" s="771"/>
      <c r="C1120" s="771"/>
      <c r="P1120" s="771" t="s">
        <v>7186</v>
      </c>
      <c r="Q1120" s="771">
        <v>2</v>
      </c>
    </row>
    <row r="1121" spans="2:17">
      <c r="B1121" s="771"/>
      <c r="C1121" s="771"/>
      <c r="P1121" s="771" t="s">
        <v>7187</v>
      </c>
      <c r="Q1121" s="771">
        <v>1</v>
      </c>
    </row>
    <row r="1122" spans="2:17">
      <c r="B1122" s="771"/>
      <c r="C1122" s="771"/>
      <c r="P1122" s="771" t="s">
        <v>7188</v>
      </c>
      <c r="Q1122" s="771">
        <v>4</v>
      </c>
    </row>
    <row r="1123" spans="2:17">
      <c r="B1123" s="771"/>
      <c r="C1123" s="771"/>
      <c r="P1123" s="771" t="s">
        <v>7146</v>
      </c>
      <c r="Q1123" s="771">
        <v>1</v>
      </c>
    </row>
    <row r="1124" spans="2:17">
      <c r="B1124" s="771"/>
      <c r="C1124" s="771"/>
      <c r="P1124" s="771" t="s">
        <v>7148</v>
      </c>
      <c r="Q1124" s="771">
        <v>4</v>
      </c>
    </row>
    <row r="1125" spans="2:17">
      <c r="B1125" s="771"/>
      <c r="C1125" s="771"/>
      <c r="P1125" s="771" t="s">
        <v>7224</v>
      </c>
      <c r="Q1125" s="771">
        <v>4</v>
      </c>
    </row>
    <row r="1126" spans="2:17">
      <c r="B1126" s="771"/>
      <c r="C1126" s="771"/>
      <c r="P1126" s="771" t="s">
        <v>7008</v>
      </c>
      <c r="Q1126" s="771">
        <v>4</v>
      </c>
    </row>
    <row r="1127" spans="2:17">
      <c r="B1127" s="771"/>
      <c r="C1127" s="771"/>
      <c r="P1127" s="771" t="s">
        <v>7225</v>
      </c>
      <c r="Q1127" s="771">
        <v>4</v>
      </c>
    </row>
    <row r="1128" spans="2:17">
      <c r="B1128" s="771"/>
      <c r="C1128" s="771"/>
      <c r="P1128" s="771" t="s">
        <v>7152</v>
      </c>
      <c r="Q1128" s="771">
        <v>1</v>
      </c>
    </row>
    <row r="1129" spans="2:17">
      <c r="B1129" s="771"/>
      <c r="C1129" s="771"/>
      <c r="P1129" s="771" t="s">
        <v>7192</v>
      </c>
      <c r="Q1129" s="771">
        <v>2</v>
      </c>
    </row>
    <row r="1130" spans="2:17">
      <c r="B1130" s="771"/>
      <c r="C1130" s="771"/>
      <c r="P1130" s="771" t="s">
        <v>7009</v>
      </c>
      <c r="Q1130" s="771">
        <v>4</v>
      </c>
    </row>
    <row r="1131" spans="2:17">
      <c r="B1131" s="771"/>
      <c r="C1131" s="771"/>
      <c r="P1131" s="771" t="s">
        <v>7010</v>
      </c>
      <c r="Q1131" s="771">
        <v>4</v>
      </c>
    </row>
    <row r="1132" spans="2:17">
      <c r="B1132" s="771"/>
      <c r="C1132" s="771"/>
      <c r="P1132" s="771" t="s">
        <v>7013</v>
      </c>
      <c r="Q1132" s="771">
        <v>3</v>
      </c>
    </row>
    <row r="1133" spans="2:17">
      <c r="B1133" s="771"/>
      <c r="C1133" s="771"/>
      <c r="P1133" s="771" t="s">
        <v>7226</v>
      </c>
      <c r="Q1133" s="771">
        <v>4</v>
      </c>
    </row>
    <row r="1134" spans="2:17">
      <c r="B1134" s="771"/>
      <c r="C1134" s="771"/>
      <c r="P1134" s="771" t="s">
        <v>7227</v>
      </c>
      <c r="Q1134" s="771">
        <v>2</v>
      </c>
    </row>
    <row r="1135" spans="2:17">
      <c r="B1135" s="771"/>
      <c r="C1135" s="771"/>
      <c r="P1135" s="771" t="s">
        <v>7228</v>
      </c>
      <c r="Q1135" s="771">
        <v>1</v>
      </c>
    </row>
    <row r="1136" spans="2:17">
      <c r="B1136" s="771"/>
      <c r="C1136" s="771"/>
      <c r="P1136" s="771" t="s">
        <v>7153</v>
      </c>
      <c r="Q1136" s="771">
        <v>2</v>
      </c>
    </row>
    <row r="1137" spans="2:17">
      <c r="B1137" s="771"/>
      <c r="C1137" s="771"/>
      <c r="P1137" s="771" t="s">
        <v>7155</v>
      </c>
      <c r="Q1137" s="771">
        <v>2</v>
      </c>
    </row>
    <row r="1138" spans="2:17">
      <c r="B1138" s="771"/>
      <c r="C1138" s="771"/>
      <c r="P1138" s="771" t="s">
        <v>7195</v>
      </c>
      <c r="Q1138" s="771">
        <v>2</v>
      </c>
    </row>
    <row r="1139" spans="2:17">
      <c r="B1139" s="771"/>
      <c r="C1139" s="771"/>
      <c r="P1139" s="771" t="s">
        <v>7157</v>
      </c>
      <c r="Q1139" s="771">
        <v>4</v>
      </c>
    </row>
    <row r="1140" spans="2:17">
      <c r="B1140" s="771"/>
      <c r="C1140" s="771"/>
      <c r="P1140" s="771" t="s">
        <v>7159</v>
      </c>
      <c r="Q1140" s="771">
        <v>1</v>
      </c>
    </row>
    <row r="1141" spans="2:17">
      <c r="B1141" s="771"/>
      <c r="C1141" s="771"/>
      <c r="P1141" s="771" t="s">
        <v>7196</v>
      </c>
      <c r="Q1141" s="771">
        <v>4</v>
      </c>
    </row>
    <row r="1142" spans="2:17">
      <c r="B1142" s="771"/>
      <c r="C1142" s="771"/>
      <c r="P1142" s="771" t="s">
        <v>7016</v>
      </c>
      <c r="Q1142" s="771">
        <v>1</v>
      </c>
    </row>
    <row r="1143" spans="2:17">
      <c r="B1143" s="771"/>
      <c r="C1143" s="771"/>
      <c r="P1143" s="771" t="s">
        <v>7161</v>
      </c>
      <c r="Q1143" s="771">
        <v>1</v>
      </c>
    </row>
    <row r="1144" spans="2:17">
      <c r="B1144" s="771"/>
      <c r="C1144" s="771"/>
      <c r="P1144" s="771" t="s">
        <v>7162</v>
      </c>
      <c r="Q1144" s="771">
        <v>1</v>
      </c>
    </row>
    <row r="1145" spans="2:17">
      <c r="B1145" s="771"/>
      <c r="C1145" s="771"/>
      <c r="P1145" s="771" t="s">
        <v>7229</v>
      </c>
      <c r="Q1145" s="771">
        <v>4</v>
      </c>
    </row>
    <row r="1146" spans="2:17">
      <c r="B1146" s="771"/>
      <c r="C1146" s="771"/>
      <c r="P1146" s="771" t="s">
        <v>7230</v>
      </c>
      <c r="Q1146" s="771">
        <v>4</v>
      </c>
    </row>
    <row r="1147" spans="2:17">
      <c r="B1147" s="771"/>
      <c r="C1147" s="771"/>
      <c r="P1147" s="771" t="s">
        <v>7231</v>
      </c>
      <c r="Q1147" s="771">
        <v>1</v>
      </c>
    </row>
    <row r="1148" spans="2:17">
      <c r="B1148" s="771"/>
      <c r="C1148" s="771"/>
      <c r="P1148" s="771" t="s">
        <v>7232</v>
      </c>
      <c r="Q1148" s="771">
        <v>4</v>
      </c>
    </row>
    <row r="1149" spans="2:17">
      <c r="B1149" s="771"/>
      <c r="C1149" s="771"/>
      <c r="P1149" s="771" t="s">
        <v>7019</v>
      </c>
      <c r="Q1149" s="771">
        <v>4</v>
      </c>
    </row>
    <row r="1150" spans="2:17">
      <c r="B1150" s="771"/>
      <c r="C1150" s="771"/>
      <c r="P1150" s="771" t="s">
        <v>7163</v>
      </c>
      <c r="Q1150" s="771">
        <v>1</v>
      </c>
    </row>
    <row r="1151" spans="2:17">
      <c r="B1151" s="771"/>
      <c r="C1151" s="771"/>
      <c r="P1151" s="771" t="s">
        <v>7198</v>
      </c>
      <c r="Q1151" s="771">
        <v>2</v>
      </c>
    </row>
    <row r="1152" spans="2:17">
      <c r="B1152" s="771"/>
      <c r="C1152" s="771"/>
    </row>
    <row r="1153" spans="2:3">
      <c r="B1153" s="771"/>
      <c r="C1153" s="771"/>
    </row>
    <row r="1154" spans="2:3">
      <c r="B1154" s="771"/>
      <c r="C1154" s="771"/>
    </row>
    <row r="1155" spans="2:3">
      <c r="B1155" s="771"/>
      <c r="C1155" s="771"/>
    </row>
    <row r="1156" spans="2:3">
      <c r="B1156" s="771"/>
      <c r="C1156" s="771"/>
    </row>
    <row r="1157" spans="2:3">
      <c r="B1157" s="771"/>
      <c r="C1157" s="771"/>
    </row>
    <row r="1158" spans="2:3">
      <c r="B1158" s="771"/>
      <c r="C1158" s="771"/>
    </row>
    <row r="1159" spans="2:3">
      <c r="B1159" s="771"/>
      <c r="C1159" s="771"/>
    </row>
    <row r="1160" spans="2:3">
      <c r="B1160" s="771"/>
      <c r="C1160" s="771"/>
    </row>
    <row r="1161" spans="2:3">
      <c r="B1161" s="771"/>
      <c r="C1161" s="771"/>
    </row>
    <row r="1162" spans="2:3">
      <c r="B1162" s="771"/>
      <c r="C1162" s="771"/>
    </row>
    <row r="1163" spans="2:3">
      <c r="B1163" s="771"/>
      <c r="C1163" s="771"/>
    </row>
    <row r="1164" spans="2:3">
      <c r="B1164" s="771"/>
      <c r="C1164" s="771"/>
    </row>
    <row r="1165" spans="2:3">
      <c r="B1165" s="771"/>
      <c r="C1165" s="771"/>
    </row>
    <row r="1166" spans="2:3">
      <c r="B1166" s="771"/>
      <c r="C1166" s="771"/>
    </row>
    <row r="1167" spans="2:3">
      <c r="B1167" s="771"/>
      <c r="C1167" s="771"/>
    </row>
    <row r="1168" spans="2:3">
      <c r="B1168" s="771"/>
      <c r="C1168" s="771"/>
    </row>
    <row r="1169" spans="2:3">
      <c r="B1169" s="771"/>
      <c r="C1169" s="771"/>
    </row>
    <row r="1170" spans="2:3">
      <c r="B1170" s="771"/>
      <c r="C1170" s="771"/>
    </row>
    <row r="1171" spans="2:3">
      <c r="B1171" s="771"/>
      <c r="C1171" s="771"/>
    </row>
    <row r="1172" spans="2:3">
      <c r="B1172" s="771"/>
      <c r="C1172" s="771"/>
    </row>
    <row r="1173" spans="2:3">
      <c r="B1173" s="771"/>
      <c r="C1173" s="771"/>
    </row>
    <row r="1174" spans="2:3">
      <c r="B1174" s="771"/>
      <c r="C1174" s="771"/>
    </row>
    <row r="1175" spans="2:3">
      <c r="B1175" s="771"/>
      <c r="C1175" s="771"/>
    </row>
    <row r="1176" spans="2:3">
      <c r="B1176" s="771"/>
      <c r="C1176" s="771"/>
    </row>
    <row r="1177" spans="2:3">
      <c r="B1177" s="771"/>
      <c r="C1177" s="771"/>
    </row>
    <row r="1178" spans="2:3">
      <c r="B1178" s="771"/>
      <c r="C1178" s="771"/>
    </row>
    <row r="1179" spans="2:3">
      <c r="B1179" s="771"/>
      <c r="C1179" s="771"/>
    </row>
    <row r="1180" spans="2:3">
      <c r="B1180" s="771"/>
      <c r="C1180" s="771"/>
    </row>
    <row r="1181" spans="2:3">
      <c r="B1181" s="771"/>
      <c r="C1181" s="771"/>
    </row>
    <row r="1182" spans="2:3">
      <c r="B1182" s="771"/>
      <c r="C1182" s="771"/>
    </row>
    <row r="1183" spans="2:3">
      <c r="B1183" s="771"/>
      <c r="C1183" s="771"/>
    </row>
    <row r="1184" spans="2:3">
      <c r="B1184" s="771"/>
      <c r="C1184" s="771"/>
    </row>
    <row r="1185" spans="2:3">
      <c r="B1185" s="771"/>
      <c r="C1185" s="771"/>
    </row>
    <row r="1186" spans="2:3">
      <c r="B1186" s="771"/>
      <c r="C1186" s="771"/>
    </row>
    <row r="1187" spans="2:3">
      <c r="B1187" s="771"/>
      <c r="C1187" s="771"/>
    </row>
    <row r="1188" spans="2:3">
      <c r="B1188" s="771"/>
      <c r="C1188" s="771"/>
    </row>
    <row r="1189" spans="2:3">
      <c r="B1189" s="771"/>
      <c r="C1189" s="771"/>
    </row>
    <row r="1190" spans="2:3">
      <c r="B1190" s="771"/>
      <c r="C1190" s="771"/>
    </row>
    <row r="1191" spans="2:3">
      <c r="B1191" s="771"/>
      <c r="C1191" s="771"/>
    </row>
    <row r="1192" spans="2:3">
      <c r="B1192" s="771"/>
      <c r="C1192" s="771"/>
    </row>
    <row r="1193" spans="2:3">
      <c r="B1193" s="771"/>
      <c r="C1193" s="771"/>
    </row>
    <row r="1194" spans="2:3">
      <c r="B1194" s="771"/>
      <c r="C1194" s="771"/>
    </row>
    <row r="1195" spans="2:3">
      <c r="B1195" s="771"/>
      <c r="C1195" s="771"/>
    </row>
    <row r="1196" spans="2:3">
      <c r="B1196" s="771"/>
      <c r="C1196" s="771"/>
    </row>
    <row r="1197" spans="2:3">
      <c r="B1197" s="771"/>
      <c r="C1197" s="771"/>
    </row>
    <row r="1198" spans="2:3">
      <c r="B1198" s="771"/>
      <c r="C1198" s="771"/>
    </row>
    <row r="1199" spans="2:3">
      <c r="B1199" s="771"/>
      <c r="C1199" s="771"/>
    </row>
    <row r="1200" spans="2:3">
      <c r="B1200" s="771"/>
      <c r="C1200" s="771"/>
    </row>
    <row r="1201" spans="2:3">
      <c r="B1201" s="771"/>
      <c r="C1201" s="771"/>
    </row>
    <row r="1202" spans="2:3">
      <c r="B1202" s="771"/>
      <c r="C1202" s="771"/>
    </row>
    <row r="1203" spans="2:3">
      <c r="B1203" s="771"/>
      <c r="C1203" s="771"/>
    </row>
    <row r="1204" spans="2:3">
      <c r="B1204" s="771"/>
      <c r="C1204" s="771"/>
    </row>
    <row r="1205" spans="2:3">
      <c r="B1205" s="771"/>
      <c r="C1205" s="771"/>
    </row>
    <row r="1206" spans="2:3">
      <c r="B1206" s="771"/>
      <c r="C1206" s="771"/>
    </row>
    <row r="1207" spans="2:3">
      <c r="B1207" s="771"/>
      <c r="C1207" s="771"/>
    </row>
    <row r="1208" spans="2:3">
      <c r="B1208" s="771"/>
      <c r="C1208" s="771"/>
    </row>
    <row r="1209" spans="2:3">
      <c r="B1209" s="771"/>
      <c r="C1209" s="771"/>
    </row>
    <row r="1210" spans="2:3">
      <c r="B1210" s="771"/>
      <c r="C1210" s="771"/>
    </row>
    <row r="1211" spans="2:3">
      <c r="B1211" s="771"/>
      <c r="C1211" s="771"/>
    </row>
    <row r="1212" spans="2:3">
      <c r="B1212" s="771"/>
      <c r="C1212" s="771"/>
    </row>
    <row r="1213" spans="2:3">
      <c r="B1213" s="771"/>
      <c r="C1213" s="771"/>
    </row>
    <row r="1214" spans="2:3">
      <c r="B1214" s="771"/>
      <c r="C1214" s="771"/>
    </row>
    <row r="1215" spans="2:3">
      <c r="B1215" s="771"/>
      <c r="C1215" s="771"/>
    </row>
    <row r="1216" spans="2:3">
      <c r="B1216" s="771"/>
      <c r="C1216" s="771"/>
    </row>
    <row r="1217" spans="2:3">
      <c r="B1217" s="771"/>
      <c r="C1217" s="771"/>
    </row>
    <row r="1218" spans="2:3">
      <c r="B1218" s="771"/>
      <c r="C1218" s="771"/>
    </row>
    <row r="1219" spans="2:3">
      <c r="B1219" s="771"/>
      <c r="C1219" s="771"/>
    </row>
    <row r="1220" spans="2:3">
      <c r="B1220" s="771"/>
      <c r="C1220" s="771"/>
    </row>
    <row r="1221" spans="2:3">
      <c r="B1221" s="771"/>
      <c r="C1221" s="771"/>
    </row>
    <row r="1222" spans="2:3">
      <c r="B1222" s="771"/>
      <c r="C1222" s="771"/>
    </row>
    <row r="1223" spans="2:3">
      <c r="B1223" s="771"/>
      <c r="C1223" s="771"/>
    </row>
    <row r="1224" spans="2:3">
      <c r="B1224" s="771"/>
      <c r="C1224" s="771"/>
    </row>
    <row r="1225" spans="2:3">
      <c r="B1225" s="771"/>
      <c r="C1225" s="771"/>
    </row>
    <row r="1226" spans="2:3">
      <c r="B1226" s="771"/>
      <c r="C1226" s="771"/>
    </row>
    <row r="1227" spans="2:3">
      <c r="B1227" s="771"/>
      <c r="C1227" s="771"/>
    </row>
    <row r="1228" spans="2:3">
      <c r="B1228" s="771"/>
      <c r="C1228" s="771"/>
    </row>
    <row r="1229" spans="2:3">
      <c r="B1229" s="771"/>
      <c r="C1229" s="771"/>
    </row>
    <row r="1230" spans="2:3">
      <c r="B1230" s="771"/>
      <c r="C1230" s="771"/>
    </row>
    <row r="1231" spans="2:3">
      <c r="B1231" s="771"/>
      <c r="C1231" s="771"/>
    </row>
    <row r="1232" spans="2:3">
      <c r="B1232" s="771"/>
      <c r="C1232" s="771"/>
    </row>
    <row r="1233" spans="2:3">
      <c r="B1233" s="771"/>
      <c r="C1233" s="771"/>
    </row>
    <row r="1234" spans="2:3">
      <c r="B1234" s="771"/>
      <c r="C1234" s="771"/>
    </row>
    <row r="1235" spans="2:3">
      <c r="B1235" s="771"/>
      <c r="C1235" s="771"/>
    </row>
    <row r="1236" spans="2:3">
      <c r="B1236" s="771"/>
      <c r="C1236" s="771"/>
    </row>
    <row r="1237" spans="2:3">
      <c r="B1237" s="771"/>
      <c r="C1237" s="771"/>
    </row>
    <row r="1238" spans="2:3">
      <c r="B1238" s="771"/>
      <c r="C1238" s="771"/>
    </row>
    <row r="1239" spans="2:3">
      <c r="B1239" s="771"/>
      <c r="C1239" s="771"/>
    </row>
    <row r="1240" spans="2:3">
      <c r="B1240" s="771"/>
      <c r="C1240" s="771"/>
    </row>
    <row r="1241" spans="2:3">
      <c r="B1241" s="771"/>
      <c r="C1241" s="771"/>
    </row>
    <row r="1242" spans="2:3">
      <c r="B1242" s="771"/>
      <c r="C1242" s="771"/>
    </row>
    <row r="1243" spans="2:3">
      <c r="B1243" s="771"/>
      <c r="C1243" s="771"/>
    </row>
    <row r="1244" spans="2:3">
      <c r="B1244" s="771"/>
      <c r="C1244" s="771"/>
    </row>
    <row r="1245" spans="2:3">
      <c r="B1245" s="771"/>
      <c r="C1245" s="771"/>
    </row>
    <row r="1246" spans="2:3">
      <c r="B1246" s="771"/>
      <c r="C1246" s="771"/>
    </row>
    <row r="1247" spans="2:3">
      <c r="B1247" s="771"/>
      <c r="C1247" s="771"/>
    </row>
    <row r="1248" spans="2:3">
      <c r="B1248" s="771"/>
      <c r="C1248" s="771"/>
    </row>
    <row r="1249" spans="2:3">
      <c r="B1249" s="771"/>
      <c r="C1249" s="771"/>
    </row>
    <row r="1250" spans="2:3">
      <c r="B1250" s="771"/>
      <c r="C1250" s="771"/>
    </row>
    <row r="1251" spans="2:3">
      <c r="B1251" s="771"/>
      <c r="C1251" s="771"/>
    </row>
    <row r="1252" spans="2:3">
      <c r="B1252" s="771"/>
      <c r="C1252" s="771"/>
    </row>
    <row r="1253" spans="2:3">
      <c r="B1253" s="771"/>
      <c r="C1253" s="771"/>
    </row>
    <row r="1254" spans="2:3">
      <c r="B1254" s="771"/>
      <c r="C1254" s="771"/>
    </row>
    <row r="1255" spans="2:3">
      <c r="B1255" s="771"/>
      <c r="C1255" s="771"/>
    </row>
    <row r="1256" spans="2:3">
      <c r="B1256" s="771"/>
      <c r="C1256" s="771"/>
    </row>
    <row r="1257" spans="2:3">
      <c r="B1257" s="771"/>
      <c r="C1257" s="771"/>
    </row>
    <row r="1258" spans="2:3">
      <c r="B1258" s="771"/>
      <c r="C1258" s="771"/>
    </row>
    <row r="1259" spans="2:3">
      <c r="B1259" s="771"/>
      <c r="C1259" s="771"/>
    </row>
    <row r="1260" spans="2:3">
      <c r="B1260" s="771"/>
      <c r="C1260" s="771"/>
    </row>
    <row r="1261" spans="2:3">
      <c r="B1261" s="771"/>
      <c r="C1261" s="771"/>
    </row>
    <row r="1262" spans="2:3">
      <c r="B1262" s="771"/>
      <c r="C1262" s="771"/>
    </row>
    <row r="1263" spans="2:3">
      <c r="B1263" s="771"/>
      <c r="C1263" s="771"/>
    </row>
    <row r="1264" spans="2:3">
      <c r="B1264" s="771"/>
      <c r="C1264" s="771"/>
    </row>
    <row r="1265" spans="2:3">
      <c r="B1265" s="771"/>
      <c r="C1265" s="771"/>
    </row>
    <row r="1266" spans="2:3">
      <c r="B1266" s="771"/>
      <c r="C1266" s="771"/>
    </row>
    <row r="1267" spans="2:3">
      <c r="B1267" s="771"/>
      <c r="C1267" s="771"/>
    </row>
    <row r="1268" spans="2:3">
      <c r="B1268" s="771"/>
      <c r="C1268" s="771"/>
    </row>
    <row r="1269" spans="2:3">
      <c r="B1269" s="771"/>
      <c r="C1269" s="771"/>
    </row>
    <row r="1270" spans="2:3">
      <c r="B1270" s="771"/>
      <c r="C1270" s="771"/>
    </row>
    <row r="1271" spans="2:3">
      <c r="B1271" s="771"/>
      <c r="C1271" s="771"/>
    </row>
    <row r="1272" spans="2:3">
      <c r="B1272" s="771"/>
      <c r="C1272" s="771"/>
    </row>
    <row r="1273" spans="2:3">
      <c r="B1273" s="771"/>
      <c r="C1273" s="771"/>
    </row>
    <row r="1274" spans="2:3">
      <c r="B1274" s="771"/>
      <c r="C1274" s="771"/>
    </row>
    <row r="1275" spans="2:3">
      <c r="B1275" s="771"/>
      <c r="C1275" s="771"/>
    </row>
    <row r="1276" spans="2:3">
      <c r="B1276" s="771"/>
      <c r="C1276" s="771"/>
    </row>
    <row r="1277" spans="2:3">
      <c r="B1277" s="771"/>
      <c r="C1277" s="771"/>
    </row>
    <row r="1278" spans="2:3">
      <c r="B1278" s="771"/>
      <c r="C1278" s="771"/>
    </row>
    <row r="1279" spans="2:3">
      <c r="B1279" s="771"/>
      <c r="C1279" s="771"/>
    </row>
    <row r="1280" spans="2:3">
      <c r="B1280" s="771"/>
      <c r="C1280" s="771"/>
    </row>
    <row r="1281" spans="2:3">
      <c r="B1281" s="771"/>
      <c r="C1281" s="771"/>
    </row>
    <row r="1282" spans="2:3">
      <c r="B1282" s="771"/>
      <c r="C1282" s="771"/>
    </row>
    <row r="1283" spans="2:3">
      <c r="B1283" s="771"/>
      <c r="C1283" s="771"/>
    </row>
    <row r="1284" spans="2:3">
      <c r="B1284" s="771"/>
      <c r="C1284" s="771"/>
    </row>
    <row r="1285" spans="2:3">
      <c r="B1285" s="771"/>
      <c r="C1285" s="771"/>
    </row>
    <row r="1286" spans="2:3">
      <c r="B1286" s="771"/>
      <c r="C1286" s="771"/>
    </row>
    <row r="1287" spans="2:3">
      <c r="B1287" s="771"/>
      <c r="C1287" s="771"/>
    </row>
    <row r="1288" spans="2:3">
      <c r="B1288" s="771"/>
      <c r="C1288" s="771"/>
    </row>
    <row r="1289" spans="2:3">
      <c r="B1289" s="771"/>
      <c r="C1289" s="771"/>
    </row>
    <row r="1290" spans="2:3">
      <c r="B1290" s="771"/>
      <c r="C1290" s="771"/>
    </row>
    <row r="1291" spans="2:3">
      <c r="B1291" s="771"/>
      <c r="C1291" s="771"/>
    </row>
    <row r="1292" spans="2:3">
      <c r="B1292" s="771"/>
      <c r="C1292" s="771"/>
    </row>
    <row r="1293" spans="2:3">
      <c r="B1293" s="771"/>
      <c r="C1293" s="771"/>
    </row>
    <row r="1294" spans="2:3">
      <c r="B1294" s="771"/>
      <c r="C1294" s="771"/>
    </row>
    <row r="1295" spans="2:3">
      <c r="B1295" s="771"/>
      <c r="C1295" s="771"/>
    </row>
    <row r="1296" spans="2:3">
      <c r="B1296" s="771"/>
      <c r="C1296" s="771"/>
    </row>
    <row r="1297" spans="2:3">
      <c r="B1297" s="771"/>
      <c r="C1297" s="771"/>
    </row>
    <row r="1298" spans="2:3">
      <c r="B1298" s="771"/>
      <c r="C1298" s="771"/>
    </row>
    <row r="1299" spans="2:3">
      <c r="B1299" s="771"/>
      <c r="C1299" s="771"/>
    </row>
    <row r="1300" spans="2:3">
      <c r="B1300" s="771"/>
      <c r="C1300" s="771"/>
    </row>
    <row r="1301" spans="2:3">
      <c r="B1301" s="771"/>
      <c r="C1301" s="771"/>
    </row>
    <row r="1302" spans="2:3">
      <c r="B1302" s="771"/>
      <c r="C1302" s="771"/>
    </row>
    <row r="1303" spans="2:3">
      <c r="B1303" s="771"/>
      <c r="C1303" s="771"/>
    </row>
    <row r="1304" spans="2:3">
      <c r="B1304" s="771"/>
      <c r="C1304" s="771"/>
    </row>
    <row r="1305" spans="2:3">
      <c r="B1305" s="771"/>
      <c r="C1305" s="771"/>
    </row>
    <row r="1306" spans="2:3">
      <c r="B1306" s="771"/>
      <c r="C1306" s="771"/>
    </row>
    <row r="1307" spans="2:3">
      <c r="B1307" s="771"/>
      <c r="C1307" s="771"/>
    </row>
    <row r="1308" spans="2:3">
      <c r="B1308" s="771"/>
      <c r="C1308" s="771"/>
    </row>
    <row r="1309" spans="2:3">
      <c r="B1309" s="771"/>
      <c r="C1309" s="771"/>
    </row>
    <row r="1310" spans="2:3">
      <c r="B1310" s="771"/>
      <c r="C1310" s="771"/>
    </row>
    <row r="1311" spans="2:3">
      <c r="B1311" s="771"/>
      <c r="C1311" s="771"/>
    </row>
    <row r="1312" spans="2:3">
      <c r="B1312" s="771"/>
      <c r="C1312" s="771"/>
    </row>
    <row r="1313" spans="2:3">
      <c r="B1313" s="771"/>
      <c r="C1313" s="771"/>
    </row>
    <row r="1314" spans="2:3">
      <c r="B1314" s="771"/>
      <c r="C1314" s="771"/>
    </row>
    <row r="1315" spans="2:3">
      <c r="B1315" s="771"/>
      <c r="C1315" s="771"/>
    </row>
    <row r="1316" spans="2:3">
      <c r="B1316" s="771"/>
      <c r="C1316" s="771"/>
    </row>
    <row r="1317" spans="2:3">
      <c r="B1317" s="771"/>
      <c r="C1317" s="771"/>
    </row>
    <row r="1318" spans="2:3">
      <c r="B1318" s="771"/>
      <c r="C1318" s="771"/>
    </row>
    <row r="1319" spans="2:3">
      <c r="B1319" s="771"/>
      <c r="C1319" s="771"/>
    </row>
    <row r="1320" spans="2:3">
      <c r="B1320" s="771"/>
      <c r="C1320" s="771"/>
    </row>
    <row r="1321" spans="2:3">
      <c r="B1321" s="771"/>
      <c r="C1321" s="771"/>
    </row>
    <row r="1322" spans="2:3">
      <c r="B1322" s="771"/>
      <c r="C1322" s="771"/>
    </row>
    <row r="1323" spans="2:3">
      <c r="B1323" s="771"/>
      <c r="C1323" s="771"/>
    </row>
    <row r="1324" spans="2:3">
      <c r="B1324" s="771"/>
      <c r="C1324" s="771"/>
    </row>
    <row r="1325" spans="2:3">
      <c r="B1325" s="771"/>
      <c r="C1325" s="771"/>
    </row>
    <row r="1326" spans="2:3">
      <c r="B1326" s="771"/>
      <c r="C1326" s="771"/>
    </row>
    <row r="1327" spans="2:3">
      <c r="B1327" s="771"/>
      <c r="C1327" s="771"/>
    </row>
    <row r="1328" spans="2:3">
      <c r="B1328" s="771"/>
      <c r="C1328" s="771"/>
    </row>
    <row r="1329" spans="2:3">
      <c r="B1329" s="771"/>
      <c r="C1329" s="771"/>
    </row>
    <row r="1330" spans="2:3">
      <c r="B1330" s="771"/>
      <c r="C1330" s="771"/>
    </row>
    <row r="1331" spans="2:3">
      <c r="B1331" s="771"/>
      <c r="C1331" s="771"/>
    </row>
    <row r="1332" spans="2:3">
      <c r="B1332" s="771"/>
      <c r="C1332" s="771"/>
    </row>
    <row r="1333" spans="2:3">
      <c r="B1333" s="771"/>
      <c r="C1333" s="771"/>
    </row>
    <row r="1334" spans="2:3">
      <c r="B1334" s="771"/>
      <c r="C1334" s="771"/>
    </row>
    <row r="1335" spans="2:3">
      <c r="B1335" s="771"/>
      <c r="C1335" s="771"/>
    </row>
    <row r="1336" spans="2:3">
      <c r="B1336" s="771"/>
      <c r="C1336" s="771"/>
    </row>
    <row r="1337" spans="2:3">
      <c r="B1337" s="771"/>
      <c r="C1337" s="771"/>
    </row>
    <row r="1338" spans="2:3">
      <c r="B1338" s="771"/>
      <c r="C1338" s="771"/>
    </row>
    <row r="1339" spans="2:3">
      <c r="B1339" s="771"/>
      <c r="C1339" s="771"/>
    </row>
    <row r="1340" spans="2:3">
      <c r="B1340" s="771"/>
      <c r="C1340" s="771"/>
    </row>
    <row r="1341" spans="2:3">
      <c r="B1341" s="771"/>
      <c r="C1341" s="771"/>
    </row>
    <row r="1342" spans="2:3">
      <c r="B1342" s="771"/>
      <c r="C1342" s="771"/>
    </row>
    <row r="1343" spans="2:3">
      <c r="B1343" s="771"/>
      <c r="C1343" s="771"/>
    </row>
    <row r="1344" spans="2:3">
      <c r="B1344" s="771"/>
      <c r="C1344" s="771"/>
    </row>
    <row r="1345" spans="2:3">
      <c r="B1345" s="771"/>
      <c r="C1345" s="771"/>
    </row>
    <row r="1346" spans="2:3">
      <c r="B1346" s="771"/>
      <c r="C1346" s="771"/>
    </row>
    <row r="1347" spans="2:3">
      <c r="B1347" s="771"/>
      <c r="C1347" s="771"/>
    </row>
    <row r="1348" spans="2:3">
      <c r="B1348" s="771"/>
      <c r="C1348" s="771"/>
    </row>
    <row r="1349" spans="2:3">
      <c r="B1349" s="771"/>
      <c r="C1349" s="771"/>
    </row>
    <row r="1350" spans="2:3">
      <c r="B1350" s="771"/>
      <c r="C1350" s="771"/>
    </row>
    <row r="1351" spans="2:3">
      <c r="B1351" s="771"/>
      <c r="C1351" s="771"/>
    </row>
    <row r="1352" spans="2:3">
      <c r="B1352" s="771"/>
      <c r="C1352" s="771"/>
    </row>
    <row r="1353" spans="2:3">
      <c r="B1353" s="771"/>
      <c r="C1353" s="771"/>
    </row>
    <row r="1354" spans="2:3">
      <c r="B1354" s="771"/>
      <c r="C1354" s="771"/>
    </row>
    <row r="1355" spans="2:3">
      <c r="B1355" s="771"/>
      <c r="C1355" s="771"/>
    </row>
    <row r="1356" spans="2:3">
      <c r="B1356" s="771"/>
      <c r="C1356" s="771"/>
    </row>
    <row r="1357" spans="2:3">
      <c r="B1357" s="771"/>
      <c r="C1357" s="771"/>
    </row>
    <row r="1358" spans="2:3">
      <c r="B1358" s="771"/>
      <c r="C1358" s="771"/>
    </row>
    <row r="1359" spans="2:3">
      <c r="B1359" s="771"/>
      <c r="C1359" s="771"/>
    </row>
    <row r="1360" spans="2:3">
      <c r="B1360" s="771"/>
      <c r="C1360" s="771"/>
    </row>
    <row r="1361" spans="2:3">
      <c r="B1361" s="771"/>
      <c r="C1361" s="771"/>
    </row>
    <row r="1362" spans="2:3">
      <c r="B1362" s="771"/>
      <c r="C1362" s="771"/>
    </row>
    <row r="1363" spans="2:3">
      <c r="B1363" s="771"/>
      <c r="C1363" s="771"/>
    </row>
    <row r="1364" spans="2:3">
      <c r="B1364" s="771"/>
      <c r="C1364" s="771"/>
    </row>
    <row r="1365" spans="2:3">
      <c r="B1365" s="771"/>
      <c r="C1365" s="771"/>
    </row>
    <row r="1366" spans="2:3">
      <c r="B1366" s="771"/>
      <c r="C1366" s="771"/>
    </row>
    <row r="1367" spans="2:3">
      <c r="B1367" s="771"/>
      <c r="C1367" s="771"/>
    </row>
    <row r="1368" spans="2:3">
      <c r="B1368" s="771"/>
      <c r="C1368" s="771"/>
    </row>
    <row r="1369" spans="2:3">
      <c r="B1369" s="771"/>
      <c r="C1369" s="771"/>
    </row>
    <row r="1370" spans="2:3">
      <c r="B1370" s="771"/>
      <c r="C1370" s="771"/>
    </row>
    <row r="1371" spans="2:3">
      <c r="B1371" s="771"/>
      <c r="C1371" s="771"/>
    </row>
    <row r="1372" spans="2:3">
      <c r="B1372" s="771"/>
      <c r="C1372" s="771"/>
    </row>
    <row r="1373" spans="2:3">
      <c r="B1373" s="771"/>
      <c r="C1373" s="771"/>
    </row>
    <row r="1374" spans="2:3">
      <c r="B1374" s="771"/>
      <c r="C1374" s="771"/>
    </row>
    <row r="1375" spans="2:3">
      <c r="B1375" s="771"/>
      <c r="C1375" s="771"/>
    </row>
    <row r="1376" spans="2:3">
      <c r="B1376" s="771"/>
      <c r="C1376" s="771"/>
    </row>
    <row r="1377" spans="2:3">
      <c r="B1377" s="771"/>
      <c r="C1377" s="771"/>
    </row>
    <row r="1378" spans="2:3">
      <c r="B1378" s="771"/>
      <c r="C1378" s="771"/>
    </row>
    <row r="1379" spans="2:3">
      <c r="B1379" s="771"/>
      <c r="C1379" s="771"/>
    </row>
    <row r="1380" spans="2:3">
      <c r="B1380" s="771"/>
      <c r="C1380" s="771"/>
    </row>
    <row r="1381" spans="2:3">
      <c r="B1381" s="771"/>
      <c r="C1381" s="771"/>
    </row>
    <row r="1382" spans="2:3">
      <c r="B1382" s="771"/>
      <c r="C1382" s="771"/>
    </row>
    <row r="1383" spans="2:3">
      <c r="B1383" s="771"/>
      <c r="C1383" s="771"/>
    </row>
    <row r="1384" spans="2:3">
      <c r="B1384" s="771"/>
      <c r="C1384" s="771"/>
    </row>
    <row r="1385" spans="2:3">
      <c r="B1385" s="771"/>
      <c r="C1385" s="771"/>
    </row>
    <row r="1386" spans="2:3">
      <c r="B1386" s="771"/>
      <c r="C1386" s="771"/>
    </row>
    <row r="1387" spans="2:3">
      <c r="B1387" s="771"/>
      <c r="C1387" s="771"/>
    </row>
    <row r="1388" spans="2:3">
      <c r="B1388" s="771"/>
      <c r="C1388" s="771"/>
    </row>
    <row r="1389" spans="2:3">
      <c r="B1389" s="771"/>
      <c r="C1389" s="771"/>
    </row>
    <row r="1390" spans="2:3">
      <c r="B1390" s="771"/>
      <c r="C1390" s="771"/>
    </row>
    <row r="1391" spans="2:3">
      <c r="B1391" s="771"/>
      <c r="C1391" s="771"/>
    </row>
    <row r="1392" spans="2:3">
      <c r="B1392" s="771"/>
      <c r="C1392" s="771"/>
    </row>
    <row r="1393" spans="2:3">
      <c r="B1393" s="771"/>
      <c r="C1393" s="771"/>
    </row>
    <row r="1394" spans="2:3">
      <c r="B1394" s="771"/>
      <c r="C1394" s="771"/>
    </row>
    <row r="1395" spans="2:3">
      <c r="B1395" s="771"/>
      <c r="C1395" s="771"/>
    </row>
    <row r="1396" spans="2:3">
      <c r="B1396" s="771"/>
      <c r="C1396" s="771"/>
    </row>
    <row r="1397" spans="2:3">
      <c r="B1397" s="771"/>
      <c r="C1397" s="771"/>
    </row>
    <row r="1398" spans="2:3">
      <c r="B1398" s="771"/>
      <c r="C1398" s="771"/>
    </row>
    <row r="1399" spans="2:3">
      <c r="B1399" s="771"/>
      <c r="C1399" s="771"/>
    </row>
    <row r="1400" spans="2:3">
      <c r="B1400" s="771"/>
      <c r="C1400" s="771"/>
    </row>
    <row r="1401" spans="2:3">
      <c r="B1401" s="771"/>
      <c r="C1401" s="771"/>
    </row>
    <row r="1402" spans="2:3">
      <c r="B1402" s="771"/>
      <c r="C1402" s="771"/>
    </row>
    <row r="1403" spans="2:3">
      <c r="B1403" s="771"/>
      <c r="C1403" s="771"/>
    </row>
    <row r="1404" spans="2:3">
      <c r="B1404" s="771"/>
      <c r="C1404" s="771"/>
    </row>
    <row r="1405" spans="2:3">
      <c r="B1405" s="771"/>
      <c r="C1405" s="771"/>
    </row>
    <row r="1406" spans="2:3">
      <c r="B1406" s="771"/>
      <c r="C1406" s="771"/>
    </row>
    <row r="1407" spans="2:3">
      <c r="B1407" s="771"/>
      <c r="C1407" s="771"/>
    </row>
    <row r="1408" spans="2:3">
      <c r="B1408" s="771"/>
      <c r="C1408" s="771"/>
    </row>
    <row r="1409" spans="2:3">
      <c r="B1409" s="771"/>
      <c r="C1409" s="771"/>
    </row>
    <row r="1410" spans="2:3">
      <c r="B1410" s="771"/>
      <c r="C1410" s="771"/>
    </row>
    <row r="1411" spans="2:3">
      <c r="B1411" s="771"/>
      <c r="C1411" s="771"/>
    </row>
    <row r="1412" spans="2:3">
      <c r="B1412" s="771"/>
      <c r="C1412" s="771"/>
    </row>
    <row r="1413" spans="2:3">
      <c r="B1413" s="771"/>
      <c r="C1413" s="771"/>
    </row>
    <row r="1414" spans="2:3">
      <c r="B1414" s="771"/>
      <c r="C1414" s="771"/>
    </row>
    <row r="1415" spans="2:3">
      <c r="B1415" s="771"/>
      <c r="C1415" s="771"/>
    </row>
    <row r="1416" spans="2:3">
      <c r="B1416" s="771"/>
      <c r="C1416" s="771"/>
    </row>
    <row r="1417" spans="2:3">
      <c r="B1417" s="771"/>
      <c r="C1417" s="771"/>
    </row>
    <row r="1418" spans="2:3">
      <c r="B1418" s="771"/>
      <c r="C1418" s="771"/>
    </row>
    <row r="1419" spans="2:3">
      <c r="B1419" s="771"/>
      <c r="C1419" s="771"/>
    </row>
    <row r="1420" spans="2:3">
      <c r="B1420" s="771"/>
      <c r="C1420" s="771"/>
    </row>
    <row r="1421" spans="2:3">
      <c r="B1421" s="771"/>
      <c r="C1421" s="771"/>
    </row>
    <row r="1422" spans="2:3">
      <c r="B1422" s="771"/>
      <c r="C1422" s="771"/>
    </row>
    <row r="1423" spans="2:3">
      <c r="B1423" s="771"/>
      <c r="C1423" s="771"/>
    </row>
    <row r="1424" spans="2:3">
      <c r="B1424" s="771"/>
      <c r="C1424" s="771"/>
    </row>
    <row r="1425" spans="2:3">
      <c r="B1425" s="771"/>
      <c r="C1425" s="771"/>
    </row>
    <row r="1426" spans="2:3">
      <c r="B1426" s="771"/>
      <c r="C1426" s="771"/>
    </row>
    <row r="1427" spans="2:3">
      <c r="B1427" s="771"/>
      <c r="C1427" s="771"/>
    </row>
    <row r="1428" spans="2:3">
      <c r="B1428" s="771"/>
      <c r="C1428" s="771"/>
    </row>
    <row r="1429" spans="2:3">
      <c r="B1429" s="771"/>
      <c r="C1429" s="771"/>
    </row>
    <row r="1430" spans="2:3">
      <c r="B1430" s="771"/>
      <c r="C1430" s="771"/>
    </row>
    <row r="1431" spans="2:3">
      <c r="B1431" s="771"/>
      <c r="C1431" s="771"/>
    </row>
    <row r="1432" spans="2:3">
      <c r="B1432" s="771"/>
      <c r="C1432" s="771"/>
    </row>
    <row r="1433" spans="2:3">
      <c r="B1433" s="771"/>
      <c r="C1433" s="771"/>
    </row>
    <row r="1434" spans="2:3">
      <c r="B1434" s="771"/>
      <c r="C1434" s="771"/>
    </row>
    <row r="1435" spans="2:3">
      <c r="B1435" s="771"/>
      <c r="C1435" s="771"/>
    </row>
    <row r="1436" spans="2:3">
      <c r="B1436" s="771"/>
      <c r="C1436" s="771"/>
    </row>
    <row r="1437" spans="2:3">
      <c r="B1437" s="771"/>
      <c r="C1437" s="771"/>
    </row>
    <row r="1438" spans="2:3">
      <c r="B1438" s="771"/>
      <c r="C1438" s="771"/>
    </row>
    <row r="1439" spans="2:3">
      <c r="B1439" s="771"/>
      <c r="C1439" s="771"/>
    </row>
    <row r="1440" spans="2:3">
      <c r="B1440" s="771"/>
      <c r="C1440" s="771"/>
    </row>
    <row r="1441" spans="2:3">
      <c r="B1441" s="771"/>
      <c r="C1441" s="771"/>
    </row>
    <row r="1442" spans="2:3">
      <c r="B1442" s="771"/>
      <c r="C1442" s="771"/>
    </row>
    <row r="1443" spans="2:3">
      <c r="B1443" s="771"/>
      <c r="C1443" s="771"/>
    </row>
    <row r="1444" spans="2:3">
      <c r="B1444" s="771"/>
      <c r="C1444" s="771"/>
    </row>
    <row r="1445" spans="2:3">
      <c r="B1445" s="771"/>
      <c r="C1445" s="771"/>
    </row>
    <row r="1446" spans="2:3">
      <c r="B1446" s="771"/>
      <c r="C1446" s="771"/>
    </row>
    <row r="1447" spans="2:3">
      <c r="B1447" s="771"/>
      <c r="C1447" s="771"/>
    </row>
    <row r="1448" spans="2:3">
      <c r="B1448" s="771"/>
      <c r="C1448" s="771"/>
    </row>
    <row r="1449" spans="2:3">
      <c r="B1449" s="771"/>
      <c r="C1449" s="771"/>
    </row>
    <row r="1450" spans="2:3">
      <c r="B1450" s="771"/>
      <c r="C1450" s="771"/>
    </row>
    <row r="1451" spans="2:3">
      <c r="B1451" s="771"/>
      <c r="C1451" s="771"/>
    </row>
    <row r="1452" spans="2:3">
      <c r="B1452" s="771"/>
      <c r="C1452" s="771"/>
    </row>
    <row r="1453" spans="2:3">
      <c r="B1453" s="771"/>
      <c r="C1453" s="771"/>
    </row>
    <row r="1454" spans="2:3">
      <c r="B1454" s="771"/>
      <c r="C1454" s="771"/>
    </row>
    <row r="1455" spans="2:3">
      <c r="B1455" s="771"/>
      <c r="C1455" s="771"/>
    </row>
    <row r="1456" spans="2:3">
      <c r="B1456" s="771"/>
      <c r="C1456" s="771"/>
    </row>
    <row r="1457" spans="2:3">
      <c r="B1457" s="771"/>
      <c r="C1457" s="771"/>
    </row>
    <row r="1458" spans="2:3">
      <c r="B1458" s="771"/>
      <c r="C1458" s="771"/>
    </row>
    <row r="1459" spans="2:3">
      <c r="B1459" s="771"/>
      <c r="C1459" s="771"/>
    </row>
    <row r="1460" spans="2:3">
      <c r="B1460" s="771"/>
      <c r="C1460" s="771"/>
    </row>
    <row r="1461" spans="2:3">
      <c r="B1461" s="771"/>
      <c r="C1461" s="771"/>
    </row>
    <row r="1462" spans="2:3">
      <c r="B1462" s="771"/>
      <c r="C1462" s="771"/>
    </row>
    <row r="1463" spans="2:3">
      <c r="B1463" s="771"/>
      <c r="C1463" s="771"/>
    </row>
    <row r="1464" spans="2:3">
      <c r="B1464" s="771"/>
      <c r="C1464" s="771"/>
    </row>
    <row r="1465" spans="2:3">
      <c r="B1465" s="771"/>
      <c r="C1465" s="771"/>
    </row>
    <row r="1466" spans="2:3">
      <c r="B1466" s="771"/>
      <c r="C1466" s="771"/>
    </row>
    <row r="1467" spans="2:3">
      <c r="B1467" s="771"/>
      <c r="C1467" s="771"/>
    </row>
    <row r="1468" spans="2:3">
      <c r="B1468" s="771"/>
      <c r="C1468" s="771"/>
    </row>
    <row r="1469" spans="2:3">
      <c r="B1469" s="771"/>
      <c r="C1469" s="771"/>
    </row>
    <row r="1470" spans="2:3">
      <c r="B1470" s="771"/>
      <c r="C1470" s="771"/>
    </row>
    <row r="1471" spans="2:3">
      <c r="B1471" s="771"/>
      <c r="C1471" s="771"/>
    </row>
    <row r="1472" spans="2:3">
      <c r="B1472" s="771"/>
      <c r="C1472" s="771"/>
    </row>
    <row r="1473" spans="2:3">
      <c r="B1473" s="771"/>
      <c r="C1473" s="771"/>
    </row>
    <row r="1474" spans="2:3">
      <c r="B1474" s="771"/>
      <c r="C1474" s="771"/>
    </row>
    <row r="1475" spans="2:3">
      <c r="B1475" s="771"/>
      <c r="C1475" s="771"/>
    </row>
    <row r="1476" spans="2:3">
      <c r="B1476" s="771"/>
      <c r="C1476" s="771"/>
    </row>
    <row r="1477" spans="2:3">
      <c r="B1477" s="771"/>
      <c r="C1477" s="771"/>
    </row>
    <row r="1478" spans="2:3">
      <c r="B1478" s="771"/>
      <c r="C1478" s="771"/>
    </row>
    <row r="1479" spans="2:3">
      <c r="B1479" s="771"/>
      <c r="C1479" s="771"/>
    </row>
    <row r="1480" spans="2:3">
      <c r="B1480" s="771"/>
      <c r="C1480" s="771"/>
    </row>
    <row r="1481" spans="2:3">
      <c r="B1481" s="771"/>
      <c r="C1481" s="771"/>
    </row>
    <row r="1482" spans="2:3">
      <c r="B1482" s="771"/>
      <c r="C1482" s="771"/>
    </row>
    <row r="1483" spans="2:3">
      <c r="B1483" s="771"/>
      <c r="C1483" s="771"/>
    </row>
    <row r="1484" spans="2:3">
      <c r="B1484" s="771"/>
      <c r="C1484" s="771"/>
    </row>
    <row r="1485" spans="2:3">
      <c r="B1485" s="771"/>
      <c r="C1485" s="771"/>
    </row>
    <row r="1486" spans="2:3">
      <c r="B1486" s="771"/>
      <c r="C1486" s="771"/>
    </row>
    <row r="1487" spans="2:3">
      <c r="B1487" s="771"/>
      <c r="C1487" s="771"/>
    </row>
    <row r="1488" spans="2:3">
      <c r="B1488" s="771"/>
      <c r="C1488" s="771"/>
    </row>
    <row r="1489" spans="2:3">
      <c r="B1489" s="771"/>
      <c r="C1489" s="771"/>
    </row>
    <row r="1490" spans="2:3">
      <c r="B1490" s="771"/>
      <c r="C1490" s="771"/>
    </row>
    <row r="1491" spans="2:3">
      <c r="B1491" s="771"/>
      <c r="C1491" s="771"/>
    </row>
    <row r="1492" spans="2:3">
      <c r="B1492" s="771"/>
      <c r="C1492" s="771"/>
    </row>
    <row r="1493" spans="2:3">
      <c r="B1493" s="771"/>
      <c r="C1493" s="771"/>
    </row>
    <row r="1494" spans="2:3">
      <c r="B1494" s="771"/>
      <c r="C1494" s="771"/>
    </row>
    <row r="1495" spans="2:3">
      <c r="B1495" s="771"/>
      <c r="C1495" s="771"/>
    </row>
    <row r="1496" spans="2:3">
      <c r="B1496" s="771"/>
      <c r="C1496" s="771"/>
    </row>
    <row r="1497" spans="2:3">
      <c r="B1497" s="771"/>
      <c r="C1497" s="771"/>
    </row>
    <row r="1498" spans="2:3">
      <c r="B1498" s="771"/>
      <c r="C1498" s="771"/>
    </row>
    <row r="1499" spans="2:3">
      <c r="B1499" s="771"/>
      <c r="C1499" s="771"/>
    </row>
    <row r="1500" spans="2:3">
      <c r="B1500" s="771"/>
      <c r="C1500" s="771"/>
    </row>
    <row r="1501" spans="2:3">
      <c r="B1501" s="771"/>
      <c r="C1501" s="771"/>
    </row>
    <row r="1502" spans="2:3">
      <c r="B1502" s="771"/>
      <c r="C1502" s="771"/>
    </row>
    <row r="1503" spans="2:3">
      <c r="B1503" s="771"/>
      <c r="C1503" s="771"/>
    </row>
    <row r="1504" spans="2:3">
      <c r="B1504" s="771"/>
      <c r="C1504" s="771"/>
    </row>
    <row r="1505" spans="2:3">
      <c r="B1505" s="771"/>
      <c r="C1505" s="771"/>
    </row>
    <row r="1506" spans="2:3">
      <c r="B1506" s="771"/>
      <c r="C1506" s="771"/>
    </row>
    <row r="1507" spans="2:3">
      <c r="B1507" s="771"/>
      <c r="C1507" s="771"/>
    </row>
    <row r="1508" spans="2:3">
      <c r="B1508" s="771"/>
      <c r="C1508" s="771"/>
    </row>
    <row r="1509" spans="2:3">
      <c r="B1509" s="771"/>
      <c r="C1509" s="771"/>
    </row>
    <row r="1510" spans="2:3">
      <c r="B1510" s="771"/>
      <c r="C1510" s="771"/>
    </row>
    <row r="1511" spans="2:3">
      <c r="B1511" s="771"/>
      <c r="C1511" s="771"/>
    </row>
    <row r="1512" spans="2:3">
      <c r="B1512" s="771"/>
      <c r="C1512" s="771"/>
    </row>
    <row r="1513" spans="2:3">
      <c r="B1513" s="771"/>
      <c r="C1513" s="771"/>
    </row>
    <row r="1514" spans="2:3">
      <c r="B1514" s="771"/>
      <c r="C1514" s="771"/>
    </row>
    <row r="1515" spans="2:3">
      <c r="B1515" s="771"/>
      <c r="C1515" s="771"/>
    </row>
    <row r="1516" spans="2:3">
      <c r="B1516" s="771"/>
      <c r="C1516" s="771"/>
    </row>
    <row r="1517" spans="2:3">
      <c r="B1517" s="771"/>
      <c r="C1517" s="771"/>
    </row>
    <row r="1518" spans="2:3">
      <c r="B1518" s="771"/>
      <c r="C1518" s="771"/>
    </row>
    <row r="1519" spans="2:3">
      <c r="B1519" s="771"/>
      <c r="C1519" s="771"/>
    </row>
    <row r="1520" spans="2:3">
      <c r="B1520" s="771"/>
      <c r="C1520" s="771"/>
    </row>
    <row r="1521" spans="2:3">
      <c r="B1521" s="771"/>
      <c r="C1521" s="771"/>
    </row>
    <row r="1522" spans="2:3">
      <c r="B1522" s="771"/>
      <c r="C1522" s="771"/>
    </row>
    <row r="1523" spans="2:3">
      <c r="B1523" s="771"/>
      <c r="C1523" s="771"/>
    </row>
    <row r="1524" spans="2:3">
      <c r="B1524" s="771"/>
      <c r="C1524" s="771"/>
    </row>
    <row r="1525" spans="2:3">
      <c r="B1525" s="771"/>
      <c r="C1525" s="771"/>
    </row>
    <row r="1526" spans="2:3">
      <c r="B1526" s="771"/>
      <c r="C1526" s="771"/>
    </row>
    <row r="1527" spans="2:3">
      <c r="B1527" s="771"/>
      <c r="C1527" s="771"/>
    </row>
    <row r="1528" spans="2:3">
      <c r="B1528" s="771"/>
      <c r="C1528" s="771"/>
    </row>
    <row r="1529" spans="2:3">
      <c r="B1529" s="771"/>
      <c r="C1529" s="771"/>
    </row>
    <row r="1530" spans="2:3">
      <c r="B1530" s="771"/>
      <c r="C1530" s="771"/>
    </row>
    <row r="1531" spans="2:3">
      <c r="B1531" s="771"/>
      <c r="C1531" s="771"/>
    </row>
    <row r="1532" spans="2:3">
      <c r="B1532" s="771"/>
      <c r="C1532" s="771"/>
    </row>
    <row r="1533" spans="2:3">
      <c r="B1533" s="771"/>
      <c r="C1533" s="771"/>
    </row>
  </sheetData>
  <sheetProtection algorithmName="SHA-512" hashValue="Rg5PXOLdgGaFbaW8nFUJB05R2xoN9xxq/6XKjq1HGf2Y6Pt1sxwRFw9p5Lmxd+kqKjHckTJRt/QWWwA8M1sA4g==" saltValue="Nnuj9+1vJRNn4pecj0SlkA==" spinCount="100000" sheet="1" objects="1" scenarios="1" selectLockedCells="1"/>
  <mergeCells count="9">
    <mergeCell ref="B3:C3"/>
    <mergeCell ref="E3:F3"/>
    <mergeCell ref="B4:C4"/>
    <mergeCell ref="E4:F4"/>
    <mergeCell ref="P3:S3"/>
    <mergeCell ref="P4:S4"/>
    <mergeCell ref="K3:N3"/>
    <mergeCell ref="K4:N4"/>
    <mergeCell ref="H4:I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109DC-06F0-44CC-9525-524D313E84FF}">
  <sheetPr codeName="Sheet54"/>
  <dimension ref="C2:CZ73"/>
  <sheetViews>
    <sheetView workbookViewId="0"/>
  </sheetViews>
  <sheetFormatPr defaultRowHeight="15"/>
  <sheetData>
    <row r="2" spans="3:104">
      <c r="C2" s="52" t="s">
        <v>301</v>
      </c>
      <c r="D2">
        <v>1</v>
      </c>
      <c r="E2" s="52" t="s">
        <v>7233</v>
      </c>
      <c r="F2">
        <v>1</v>
      </c>
      <c r="G2" s="52" t="s">
        <v>660</v>
      </c>
      <c r="H2">
        <v>20</v>
      </c>
      <c r="I2" s="52" t="s">
        <v>7234</v>
      </c>
      <c r="J2">
        <v>9</v>
      </c>
      <c r="K2" s="52" t="s">
        <v>372</v>
      </c>
      <c r="L2">
        <v>25</v>
      </c>
      <c r="M2" s="52" t="s">
        <v>2830</v>
      </c>
      <c r="N2">
        <v>41</v>
      </c>
      <c r="O2" s="52" t="s">
        <v>19</v>
      </c>
      <c r="P2">
        <v>1</v>
      </c>
      <c r="Q2" s="52" t="s">
        <v>19</v>
      </c>
      <c r="R2">
        <v>3</v>
      </c>
      <c r="S2" s="52" t="s">
        <v>19</v>
      </c>
      <c r="T2">
        <v>38</v>
      </c>
      <c r="U2" s="52" t="s">
        <v>19</v>
      </c>
      <c r="V2">
        <v>40</v>
      </c>
      <c r="W2" s="52" t="s">
        <v>19</v>
      </c>
      <c r="X2">
        <v>42</v>
      </c>
      <c r="Y2" s="52" t="s">
        <v>19</v>
      </c>
      <c r="Z2">
        <v>44</v>
      </c>
      <c r="AA2" s="52" t="s">
        <v>19</v>
      </c>
      <c r="AB2">
        <v>46</v>
      </c>
      <c r="AC2" s="52" t="s">
        <v>19</v>
      </c>
      <c r="AD2">
        <v>48</v>
      </c>
      <c r="AE2" s="52" t="s">
        <v>19</v>
      </c>
      <c r="AF2">
        <v>50</v>
      </c>
      <c r="AG2" s="52" t="s">
        <v>19</v>
      </c>
      <c r="AH2">
        <v>52</v>
      </c>
      <c r="AI2" s="52" t="s">
        <v>19</v>
      </c>
      <c r="AJ2">
        <v>54</v>
      </c>
      <c r="AK2" s="52" t="s">
        <v>19</v>
      </c>
      <c r="AL2">
        <v>56</v>
      </c>
      <c r="AM2" s="52" t="s">
        <v>19</v>
      </c>
      <c r="AN2">
        <v>58</v>
      </c>
      <c r="AO2" s="52" t="s">
        <v>2852</v>
      </c>
      <c r="AP2">
        <v>1</v>
      </c>
      <c r="AQ2" s="52" t="s">
        <v>7235</v>
      </c>
      <c r="AR2">
        <v>-1</v>
      </c>
      <c r="AS2" s="52" t="s">
        <v>275</v>
      </c>
      <c r="AT2">
        <v>1</v>
      </c>
      <c r="AU2" s="52" t="s">
        <v>286</v>
      </c>
      <c r="AV2">
        <v>1</v>
      </c>
      <c r="AW2" s="52" t="s">
        <v>287</v>
      </c>
      <c r="AX2">
        <v>1</v>
      </c>
      <c r="AY2" s="52" t="s">
        <v>287</v>
      </c>
      <c r="AZ2">
        <v>1</v>
      </c>
      <c r="BA2" s="52" t="s">
        <v>1605</v>
      </c>
      <c r="BB2">
        <v>2</v>
      </c>
      <c r="BC2" s="52" t="s">
        <v>7236</v>
      </c>
      <c r="BD2">
        <v>11</v>
      </c>
      <c r="BE2" s="52" t="s">
        <v>2830</v>
      </c>
      <c r="BF2">
        <v>48</v>
      </c>
      <c r="BG2" s="52" t="s">
        <v>7237</v>
      </c>
      <c r="BH2">
        <v>39</v>
      </c>
      <c r="BI2" s="52" t="s">
        <v>7238</v>
      </c>
      <c r="BJ2">
        <v>9</v>
      </c>
      <c r="BK2" s="52" t="s">
        <v>2830</v>
      </c>
      <c r="BL2">
        <v>41</v>
      </c>
      <c r="BM2" s="52" t="s">
        <v>583</v>
      </c>
      <c r="BN2">
        <v>11</v>
      </c>
      <c r="BO2" s="52" t="s">
        <v>7236</v>
      </c>
      <c r="BP2">
        <v>7</v>
      </c>
      <c r="BQ2" s="52" t="s">
        <v>7239</v>
      </c>
      <c r="BR2">
        <v>1</v>
      </c>
      <c r="BS2" s="52" t="s">
        <v>7240</v>
      </c>
      <c r="BT2">
        <v>-1</v>
      </c>
      <c r="BU2" s="52" t="s">
        <v>19</v>
      </c>
      <c r="BV2">
        <v>5</v>
      </c>
      <c r="BW2" s="52" t="s">
        <v>19</v>
      </c>
      <c r="BX2">
        <v>7</v>
      </c>
      <c r="BY2" s="52" t="s">
        <v>17</v>
      </c>
      <c r="BZ2">
        <v>9</v>
      </c>
      <c r="CA2" s="52" t="s">
        <v>7241</v>
      </c>
      <c r="CB2">
        <v>15</v>
      </c>
      <c r="CC2" s="52" t="s">
        <v>19</v>
      </c>
      <c r="CD2">
        <v>20</v>
      </c>
      <c r="CE2" s="52" t="s">
        <v>19</v>
      </c>
      <c r="CF2">
        <v>22</v>
      </c>
      <c r="CG2" s="52" t="s">
        <v>19</v>
      </c>
      <c r="CH2">
        <v>24</v>
      </c>
      <c r="CI2" s="52" t="s">
        <v>19</v>
      </c>
      <c r="CJ2">
        <v>26</v>
      </c>
      <c r="CK2" s="52" t="s">
        <v>19</v>
      </c>
      <c r="CL2">
        <v>28</v>
      </c>
      <c r="CM2" s="52" t="s">
        <v>19</v>
      </c>
      <c r="CN2">
        <v>30</v>
      </c>
      <c r="CO2" s="52" t="s">
        <v>19</v>
      </c>
      <c r="CP2">
        <v>32</v>
      </c>
      <c r="CQ2" s="52" t="s">
        <v>19</v>
      </c>
      <c r="CR2">
        <v>34</v>
      </c>
      <c r="CS2" s="52" t="s">
        <v>19</v>
      </c>
      <c r="CT2">
        <v>36</v>
      </c>
      <c r="CU2" s="52" t="s">
        <v>19</v>
      </c>
      <c r="CV2">
        <v>60</v>
      </c>
      <c r="CW2" s="52" t="s">
        <v>19</v>
      </c>
      <c r="CX2">
        <v>62</v>
      </c>
      <c r="CY2" s="52" t="s">
        <v>19</v>
      </c>
      <c r="CZ2">
        <v>64</v>
      </c>
    </row>
    <row r="3" spans="3:104">
      <c r="C3" s="52" t="s">
        <v>325</v>
      </c>
      <c r="D3">
        <v>2</v>
      </c>
      <c r="E3" s="52" t="s">
        <v>7242</v>
      </c>
      <c r="F3">
        <v>2</v>
      </c>
      <c r="G3" s="52" t="s">
        <v>648</v>
      </c>
      <c r="H3">
        <v>16</v>
      </c>
      <c r="I3" s="52" t="s">
        <v>7243</v>
      </c>
      <c r="J3">
        <v>10</v>
      </c>
      <c r="K3" s="52" t="s">
        <v>289</v>
      </c>
      <c r="L3">
        <v>20</v>
      </c>
      <c r="M3" s="52" t="s">
        <v>2832</v>
      </c>
      <c r="N3">
        <v>42</v>
      </c>
      <c r="O3" s="52" t="s">
        <v>13</v>
      </c>
      <c r="P3">
        <v>2</v>
      </c>
      <c r="Q3" s="52" t="s">
        <v>13</v>
      </c>
      <c r="R3">
        <v>4</v>
      </c>
      <c r="S3" s="52" t="s">
        <v>13</v>
      </c>
      <c r="T3">
        <v>39</v>
      </c>
      <c r="U3" s="52" t="s">
        <v>13</v>
      </c>
      <c r="V3">
        <v>41</v>
      </c>
      <c r="W3" s="52" t="s">
        <v>13</v>
      </c>
      <c r="X3">
        <v>43</v>
      </c>
      <c r="Y3" s="52" t="s">
        <v>13</v>
      </c>
      <c r="Z3">
        <v>45</v>
      </c>
      <c r="AA3" s="52" t="s">
        <v>13</v>
      </c>
      <c r="AB3">
        <v>47</v>
      </c>
      <c r="AC3" s="52" t="s">
        <v>13</v>
      </c>
      <c r="AD3">
        <v>49</v>
      </c>
      <c r="AE3" s="52" t="s">
        <v>13</v>
      </c>
      <c r="AF3">
        <v>51</v>
      </c>
      <c r="AG3" s="52" t="s">
        <v>13</v>
      </c>
      <c r="AH3">
        <v>53</v>
      </c>
      <c r="AI3" s="52" t="s">
        <v>13</v>
      </c>
      <c r="AJ3">
        <v>55</v>
      </c>
      <c r="AK3" s="52" t="s">
        <v>13</v>
      </c>
      <c r="AL3">
        <v>57</v>
      </c>
      <c r="AM3" s="52" t="s">
        <v>13</v>
      </c>
      <c r="AN3">
        <v>59</v>
      </c>
      <c r="AO3" s="52" t="s">
        <v>2945</v>
      </c>
      <c r="AP3">
        <v>2</v>
      </c>
      <c r="AQ3" s="52" t="s">
        <v>575</v>
      </c>
      <c r="AR3">
        <v>-2</v>
      </c>
      <c r="AS3" s="52" t="s">
        <v>300</v>
      </c>
      <c r="AT3">
        <v>2</v>
      </c>
      <c r="AU3" s="52" t="s">
        <v>312</v>
      </c>
      <c r="AV3">
        <v>2</v>
      </c>
      <c r="AW3" s="52" t="s">
        <v>274</v>
      </c>
      <c r="AX3">
        <v>2</v>
      </c>
      <c r="AY3" s="52" t="s">
        <v>274</v>
      </c>
      <c r="AZ3">
        <v>2</v>
      </c>
      <c r="BA3" s="52" t="s">
        <v>293</v>
      </c>
      <c r="BB3">
        <v>7</v>
      </c>
      <c r="BC3" s="52" t="s">
        <v>7244</v>
      </c>
      <c r="BD3">
        <v>12</v>
      </c>
      <c r="BE3" s="52" t="s">
        <v>2832</v>
      </c>
      <c r="BF3">
        <v>49</v>
      </c>
      <c r="BG3" s="52" t="s">
        <v>7245</v>
      </c>
      <c r="BH3">
        <v>37</v>
      </c>
      <c r="BI3" s="52" t="s">
        <v>7246</v>
      </c>
      <c r="BJ3">
        <v>11</v>
      </c>
      <c r="BK3" s="52" t="s">
        <v>2832</v>
      </c>
      <c r="BL3">
        <v>42</v>
      </c>
      <c r="BM3" s="52" t="s">
        <v>267</v>
      </c>
      <c r="BN3">
        <v>7</v>
      </c>
      <c r="BO3" s="52" t="s">
        <v>7244</v>
      </c>
      <c r="BP3">
        <v>8</v>
      </c>
      <c r="BQ3" s="52" t="s">
        <v>7247</v>
      </c>
      <c r="BR3">
        <v>2</v>
      </c>
      <c r="BS3" s="52" t="s">
        <v>735</v>
      </c>
      <c r="BT3">
        <v>1</v>
      </c>
      <c r="BU3" s="52" t="s">
        <v>13</v>
      </c>
      <c r="BV3">
        <v>6</v>
      </c>
      <c r="BW3" s="52" t="s">
        <v>13</v>
      </c>
      <c r="BX3">
        <v>8</v>
      </c>
      <c r="BY3" s="52" t="s">
        <v>265</v>
      </c>
      <c r="BZ3">
        <v>10</v>
      </c>
      <c r="CA3" s="52" t="s">
        <v>7248</v>
      </c>
      <c r="CB3">
        <v>16</v>
      </c>
      <c r="CC3" s="52" t="s">
        <v>13</v>
      </c>
      <c r="CD3">
        <v>21</v>
      </c>
      <c r="CE3" s="52" t="s">
        <v>13</v>
      </c>
      <c r="CF3">
        <v>23</v>
      </c>
      <c r="CG3" s="52" t="s">
        <v>13</v>
      </c>
      <c r="CH3">
        <v>25</v>
      </c>
      <c r="CI3" s="52" t="s">
        <v>13</v>
      </c>
      <c r="CJ3">
        <v>27</v>
      </c>
      <c r="CK3" s="52" t="s">
        <v>13</v>
      </c>
      <c r="CL3">
        <v>29</v>
      </c>
      <c r="CM3" s="52" t="s">
        <v>13</v>
      </c>
      <c r="CN3">
        <v>31</v>
      </c>
      <c r="CO3" s="52" t="s">
        <v>13</v>
      </c>
      <c r="CP3">
        <v>33</v>
      </c>
      <c r="CQ3" s="52" t="s">
        <v>13</v>
      </c>
      <c r="CR3">
        <v>35</v>
      </c>
      <c r="CS3" s="52" t="s">
        <v>13</v>
      </c>
      <c r="CT3">
        <v>37</v>
      </c>
      <c r="CU3" s="52" t="s">
        <v>13</v>
      </c>
      <c r="CV3">
        <v>61</v>
      </c>
      <c r="CW3" s="52" t="s">
        <v>13</v>
      </c>
      <c r="CX3">
        <v>63</v>
      </c>
      <c r="CY3" s="52" t="s">
        <v>13</v>
      </c>
      <c r="CZ3">
        <v>65</v>
      </c>
    </row>
    <row r="4" spans="3:104">
      <c r="C4" s="52" t="s">
        <v>343</v>
      </c>
      <c r="D4">
        <v>3</v>
      </c>
      <c r="E4" s="52" t="s">
        <v>7249</v>
      </c>
      <c r="F4">
        <v>3</v>
      </c>
      <c r="G4" s="52" t="s">
        <v>280</v>
      </c>
      <c r="H4">
        <v>15</v>
      </c>
      <c r="I4" s="52" t="s">
        <v>7250</v>
      </c>
      <c r="J4">
        <v>11</v>
      </c>
      <c r="K4" s="52" t="s">
        <v>314</v>
      </c>
      <c r="L4">
        <v>21</v>
      </c>
      <c r="M4" s="52" t="s">
        <v>2834</v>
      </c>
      <c r="N4">
        <v>43</v>
      </c>
      <c r="AO4" s="52" t="s">
        <v>421</v>
      </c>
      <c r="AP4">
        <v>3</v>
      </c>
      <c r="AS4" s="52" t="s">
        <v>354</v>
      </c>
      <c r="AT4">
        <v>3</v>
      </c>
      <c r="AU4" s="52" t="s">
        <v>333</v>
      </c>
      <c r="AV4">
        <v>3</v>
      </c>
      <c r="AW4" s="52" t="s">
        <v>335</v>
      </c>
      <c r="AX4">
        <v>3</v>
      </c>
      <c r="AY4" s="52" t="s">
        <v>334</v>
      </c>
      <c r="AZ4">
        <v>3</v>
      </c>
      <c r="BA4" s="52" t="s">
        <v>1608</v>
      </c>
      <c r="BB4">
        <v>8</v>
      </c>
      <c r="BC4" s="52" t="s">
        <v>7251</v>
      </c>
      <c r="BD4">
        <v>13</v>
      </c>
      <c r="BE4" s="52" t="s">
        <v>2834</v>
      </c>
      <c r="BF4">
        <v>50</v>
      </c>
      <c r="BG4" s="52" t="s">
        <v>7252</v>
      </c>
      <c r="BH4">
        <v>38</v>
      </c>
      <c r="BI4" s="52" t="s">
        <v>7253</v>
      </c>
      <c r="BJ4">
        <v>10</v>
      </c>
      <c r="BK4" s="52" t="s">
        <v>2834</v>
      </c>
      <c r="BL4">
        <v>43</v>
      </c>
      <c r="BM4" s="52" t="s">
        <v>293</v>
      </c>
      <c r="BN4">
        <v>8</v>
      </c>
      <c r="BO4" s="52" t="s">
        <v>7251</v>
      </c>
      <c r="BP4">
        <v>9</v>
      </c>
      <c r="BS4" s="52" t="s">
        <v>3496</v>
      </c>
      <c r="BT4">
        <v>14</v>
      </c>
      <c r="BY4" s="52" t="s">
        <v>7254</v>
      </c>
      <c r="BZ4">
        <v>69</v>
      </c>
      <c r="CA4" s="52" t="s">
        <v>315</v>
      </c>
      <c r="CB4">
        <v>66</v>
      </c>
    </row>
    <row r="5" spans="3:104">
      <c r="C5" s="52" t="s">
        <v>355</v>
      </c>
      <c r="D5">
        <v>4</v>
      </c>
      <c r="E5" s="52" t="s">
        <v>7255</v>
      </c>
      <c r="F5">
        <v>4</v>
      </c>
      <c r="G5" s="52" t="s">
        <v>651</v>
      </c>
      <c r="H5">
        <v>17</v>
      </c>
      <c r="I5" s="52" t="s">
        <v>7256</v>
      </c>
      <c r="J5">
        <v>12</v>
      </c>
      <c r="K5" s="52" t="s">
        <v>337</v>
      </c>
      <c r="L5">
        <v>22</v>
      </c>
      <c r="M5" s="52" t="s">
        <v>2836</v>
      </c>
      <c r="N5">
        <v>44</v>
      </c>
      <c r="AS5" s="52" t="s">
        <v>342</v>
      </c>
      <c r="AT5">
        <v>4</v>
      </c>
      <c r="AU5" s="52" t="s">
        <v>350</v>
      </c>
      <c r="AV5">
        <v>4</v>
      </c>
      <c r="AW5" s="52" t="s">
        <v>365</v>
      </c>
      <c r="AX5">
        <v>4</v>
      </c>
      <c r="AY5" s="52" t="s">
        <v>365</v>
      </c>
      <c r="AZ5">
        <v>4</v>
      </c>
      <c r="BA5" s="52" t="s">
        <v>1607</v>
      </c>
      <c r="BB5">
        <v>1</v>
      </c>
      <c r="BC5" s="52" t="s">
        <v>7257</v>
      </c>
      <c r="BD5">
        <v>14</v>
      </c>
      <c r="BE5" s="52" t="s">
        <v>2836</v>
      </c>
      <c r="BF5">
        <v>51</v>
      </c>
      <c r="BG5" s="52" t="s">
        <v>7258</v>
      </c>
      <c r="BH5">
        <v>11</v>
      </c>
      <c r="BI5" s="52" t="s">
        <v>7259</v>
      </c>
      <c r="BJ5">
        <v>12</v>
      </c>
      <c r="BK5" s="52" t="s">
        <v>2836</v>
      </c>
      <c r="BL5">
        <v>44</v>
      </c>
      <c r="BM5" s="52" t="s">
        <v>577</v>
      </c>
      <c r="BN5">
        <v>12</v>
      </c>
      <c r="BO5" s="52" t="s">
        <v>7257</v>
      </c>
      <c r="BP5">
        <v>10</v>
      </c>
      <c r="BS5" s="52" t="s">
        <v>283</v>
      </c>
      <c r="BT5">
        <v>16</v>
      </c>
      <c r="BY5" s="52" t="s">
        <v>7260</v>
      </c>
      <c r="BZ5">
        <v>11</v>
      </c>
    </row>
    <row r="6" spans="3:104">
      <c r="C6" s="52" t="s">
        <v>367</v>
      </c>
      <c r="D6">
        <v>5</v>
      </c>
      <c r="E6" s="52" t="s">
        <v>7261</v>
      </c>
      <c r="F6">
        <v>5</v>
      </c>
      <c r="G6" s="52" t="s">
        <v>662</v>
      </c>
      <c r="H6">
        <v>21</v>
      </c>
      <c r="I6" s="52" t="s">
        <v>7262</v>
      </c>
      <c r="J6">
        <v>13</v>
      </c>
      <c r="K6" s="52" t="s">
        <v>7263</v>
      </c>
      <c r="L6">
        <v>23</v>
      </c>
      <c r="M6" s="52" t="s">
        <v>2838</v>
      </c>
      <c r="N6">
        <v>45</v>
      </c>
      <c r="AS6" s="52" t="s">
        <v>366</v>
      </c>
      <c r="AT6">
        <v>5</v>
      </c>
      <c r="AU6" s="52" t="s">
        <v>365</v>
      </c>
      <c r="AV6">
        <v>6</v>
      </c>
      <c r="BA6" s="52" t="s">
        <v>658</v>
      </c>
      <c r="BB6">
        <v>9</v>
      </c>
      <c r="BC6" s="52" t="s">
        <v>7264</v>
      </c>
      <c r="BD6">
        <v>15</v>
      </c>
      <c r="BE6" s="52" t="s">
        <v>2838</v>
      </c>
      <c r="BF6">
        <v>52</v>
      </c>
      <c r="BG6" s="52" t="s">
        <v>7265</v>
      </c>
      <c r="BH6">
        <v>12</v>
      </c>
      <c r="BI6" s="52" t="s">
        <v>7266</v>
      </c>
      <c r="BJ6">
        <v>1</v>
      </c>
      <c r="BK6" s="52" t="s">
        <v>2838</v>
      </c>
      <c r="BL6">
        <v>45</v>
      </c>
      <c r="BM6" s="52" t="s">
        <v>7267</v>
      </c>
      <c r="BN6">
        <v>13</v>
      </c>
      <c r="BO6" s="52" t="s">
        <v>7264</v>
      </c>
      <c r="BP6">
        <v>11</v>
      </c>
      <c r="BS6" s="52" t="s">
        <v>1841</v>
      </c>
      <c r="BT6">
        <v>4</v>
      </c>
      <c r="BY6" s="52" t="s">
        <v>7268</v>
      </c>
      <c r="BZ6">
        <v>14</v>
      </c>
    </row>
    <row r="7" spans="3:104">
      <c r="C7" s="52" t="s">
        <v>374</v>
      </c>
      <c r="D7">
        <v>6</v>
      </c>
      <c r="E7" s="52" t="s">
        <v>7269</v>
      </c>
      <c r="F7">
        <v>6</v>
      </c>
      <c r="G7" s="52" t="s">
        <v>658</v>
      </c>
      <c r="H7">
        <v>19</v>
      </c>
      <c r="I7" s="52" t="s">
        <v>7270</v>
      </c>
      <c r="J7">
        <v>8</v>
      </c>
      <c r="K7" s="52" t="s">
        <v>263</v>
      </c>
      <c r="L7">
        <v>19</v>
      </c>
      <c r="M7" s="52" t="s">
        <v>2839</v>
      </c>
      <c r="N7">
        <v>46</v>
      </c>
      <c r="AS7" s="52" t="s">
        <v>373</v>
      </c>
      <c r="AT7">
        <v>6</v>
      </c>
      <c r="BA7" s="52" t="s">
        <v>1606</v>
      </c>
      <c r="BB7">
        <v>6</v>
      </c>
      <c r="BC7" s="52" t="s">
        <v>7271</v>
      </c>
      <c r="BD7">
        <v>16</v>
      </c>
      <c r="BE7" s="52" t="s">
        <v>2839</v>
      </c>
      <c r="BF7">
        <v>53</v>
      </c>
      <c r="BG7" s="52" t="s">
        <v>305</v>
      </c>
      <c r="BH7">
        <v>13</v>
      </c>
      <c r="BI7" s="52" t="s">
        <v>7272</v>
      </c>
      <c r="BJ7">
        <v>2</v>
      </c>
      <c r="BK7" s="52" t="s">
        <v>2839</v>
      </c>
      <c r="BL7">
        <v>46</v>
      </c>
      <c r="BM7" s="52" t="s">
        <v>318</v>
      </c>
      <c r="BN7">
        <v>9</v>
      </c>
      <c r="BO7" s="52" t="s">
        <v>7271</v>
      </c>
      <c r="BP7">
        <v>12</v>
      </c>
      <c r="BS7" s="52" t="s">
        <v>1839</v>
      </c>
      <c r="BT7">
        <v>5</v>
      </c>
      <c r="BY7" s="52" t="s">
        <v>291</v>
      </c>
      <c r="BZ7">
        <v>12</v>
      </c>
    </row>
    <row r="8" spans="3:104">
      <c r="C8" s="52" t="s">
        <v>379</v>
      </c>
      <c r="D8">
        <v>7</v>
      </c>
      <c r="E8" s="52" t="s">
        <v>7273</v>
      </c>
      <c r="F8">
        <v>7</v>
      </c>
      <c r="G8" s="52" t="s">
        <v>654</v>
      </c>
      <c r="H8">
        <v>18</v>
      </c>
      <c r="I8" s="52" t="s">
        <v>7274</v>
      </c>
      <c r="J8">
        <v>14</v>
      </c>
      <c r="K8" s="52" t="s">
        <v>7275</v>
      </c>
      <c r="L8">
        <v>24</v>
      </c>
      <c r="AS8" s="52" t="s">
        <v>378</v>
      </c>
      <c r="AT8">
        <v>7</v>
      </c>
      <c r="BC8" s="52" t="s">
        <v>7276</v>
      </c>
      <c r="BD8">
        <v>17</v>
      </c>
      <c r="BG8" s="52" t="s">
        <v>375</v>
      </c>
      <c r="BH8">
        <v>14</v>
      </c>
      <c r="BI8" s="52" t="s">
        <v>7277</v>
      </c>
      <c r="BJ8">
        <v>3</v>
      </c>
      <c r="BM8" s="52" t="s">
        <v>338</v>
      </c>
      <c r="BN8">
        <v>10</v>
      </c>
      <c r="BO8" s="52" t="s">
        <v>7276</v>
      </c>
      <c r="BP8">
        <v>13</v>
      </c>
      <c r="BS8" s="52" t="s">
        <v>7278</v>
      </c>
      <c r="BT8">
        <v>12</v>
      </c>
      <c r="BY8" s="52" t="s">
        <v>316</v>
      </c>
      <c r="BZ8">
        <v>68</v>
      </c>
    </row>
    <row r="9" spans="3:104">
      <c r="C9" s="52" t="s">
        <v>383</v>
      </c>
      <c r="D9">
        <v>8</v>
      </c>
      <c r="E9" s="52" t="s">
        <v>7279</v>
      </c>
      <c r="F9">
        <v>8</v>
      </c>
      <c r="I9" s="52" t="s">
        <v>7280</v>
      </c>
      <c r="J9">
        <v>6</v>
      </c>
      <c r="AS9" s="52" t="s">
        <v>365</v>
      </c>
      <c r="AT9">
        <v>8</v>
      </c>
      <c r="BG9" s="52" t="s">
        <v>7281</v>
      </c>
      <c r="BH9">
        <v>15</v>
      </c>
      <c r="BI9" s="52" t="s">
        <v>7282</v>
      </c>
      <c r="BJ9">
        <v>4</v>
      </c>
      <c r="BO9" s="52" t="s">
        <v>7283</v>
      </c>
      <c r="BP9">
        <v>14</v>
      </c>
      <c r="BS9" s="52" t="s">
        <v>7284</v>
      </c>
      <c r="BT9">
        <v>13</v>
      </c>
      <c r="BY9" s="52" t="s">
        <v>7285</v>
      </c>
      <c r="BZ9">
        <v>13</v>
      </c>
    </row>
    <row r="10" spans="3:104">
      <c r="C10" s="52" t="s">
        <v>388</v>
      </c>
      <c r="D10">
        <v>9</v>
      </c>
      <c r="E10" s="52" t="s">
        <v>7286</v>
      </c>
      <c r="F10">
        <v>9</v>
      </c>
      <c r="I10" s="52" t="s">
        <v>7287</v>
      </c>
      <c r="J10">
        <v>7</v>
      </c>
      <c r="BI10" s="52" t="s">
        <v>7288</v>
      </c>
      <c r="BJ10">
        <v>5</v>
      </c>
      <c r="BO10" s="52" t="s">
        <v>7289</v>
      </c>
      <c r="BP10">
        <v>15</v>
      </c>
      <c r="BS10" s="52" t="s">
        <v>7290</v>
      </c>
      <c r="BT10">
        <v>2</v>
      </c>
    </row>
    <row r="11" spans="3:104">
      <c r="C11" s="52" t="s">
        <v>392</v>
      </c>
      <c r="D11">
        <v>10</v>
      </c>
      <c r="E11" s="52" t="s">
        <v>7291</v>
      </c>
      <c r="F11">
        <v>10</v>
      </c>
      <c r="I11" s="52" t="s">
        <v>3458</v>
      </c>
      <c r="J11">
        <v>1</v>
      </c>
      <c r="BI11" s="52" t="s">
        <v>7292</v>
      </c>
      <c r="BJ11">
        <v>6</v>
      </c>
      <c r="BS11" s="52" t="s">
        <v>7293</v>
      </c>
      <c r="BT11">
        <v>18</v>
      </c>
    </row>
    <row r="12" spans="3:104">
      <c r="C12" s="52" t="s">
        <v>396</v>
      </c>
      <c r="D12">
        <v>11</v>
      </c>
      <c r="E12" s="52" t="s">
        <v>7294</v>
      </c>
      <c r="F12">
        <v>11</v>
      </c>
      <c r="I12" s="52" t="s">
        <v>7295</v>
      </c>
      <c r="J12">
        <v>2</v>
      </c>
      <c r="BI12" s="52" t="s">
        <v>294</v>
      </c>
      <c r="BJ12">
        <v>7</v>
      </c>
      <c r="BS12" s="52" t="s">
        <v>3848</v>
      </c>
      <c r="BT12">
        <v>11</v>
      </c>
    </row>
    <row r="13" spans="3:104">
      <c r="C13" s="52" t="s">
        <v>398</v>
      </c>
      <c r="D13">
        <v>12</v>
      </c>
      <c r="E13" s="52" t="s">
        <v>7296</v>
      </c>
      <c r="F13">
        <v>12</v>
      </c>
      <c r="I13" s="52" t="s">
        <v>7297</v>
      </c>
      <c r="J13">
        <v>3</v>
      </c>
      <c r="BI13" s="52" t="s">
        <v>2852</v>
      </c>
      <c r="BJ13">
        <v>8</v>
      </c>
      <c r="BS13" s="52" t="s">
        <v>3494</v>
      </c>
      <c r="BT13">
        <v>29</v>
      </c>
    </row>
    <row r="14" spans="3:104">
      <c r="C14" s="52" t="s">
        <v>401</v>
      </c>
      <c r="D14">
        <v>13</v>
      </c>
      <c r="E14" s="52" t="s">
        <v>7298</v>
      </c>
      <c r="F14">
        <v>13</v>
      </c>
      <c r="I14" s="52" t="s">
        <v>7299</v>
      </c>
      <c r="J14">
        <v>4</v>
      </c>
      <c r="BS14" s="52" t="s">
        <v>7300</v>
      </c>
      <c r="BT14">
        <v>6</v>
      </c>
    </row>
    <row r="15" spans="3:104">
      <c r="C15" s="52" t="s">
        <v>404</v>
      </c>
      <c r="D15">
        <v>14</v>
      </c>
      <c r="E15" s="52" t="s">
        <v>7301</v>
      </c>
      <c r="F15">
        <v>14</v>
      </c>
      <c r="I15" s="52" t="s">
        <v>7302</v>
      </c>
      <c r="J15">
        <v>5</v>
      </c>
      <c r="BS15" s="52" t="s">
        <v>3843</v>
      </c>
      <c r="BT15">
        <v>7</v>
      </c>
    </row>
    <row r="16" spans="3:104">
      <c r="C16" s="52" t="s">
        <v>406</v>
      </c>
      <c r="D16">
        <v>15</v>
      </c>
      <c r="E16" s="52" t="s">
        <v>7303</v>
      </c>
      <c r="F16">
        <v>15</v>
      </c>
      <c r="BS16" s="52" t="s">
        <v>3495</v>
      </c>
      <c r="BT16">
        <v>9</v>
      </c>
    </row>
    <row r="17" spans="3:72">
      <c r="C17" s="52" t="s">
        <v>409</v>
      </c>
      <c r="D17">
        <v>16</v>
      </c>
      <c r="E17" s="52" t="s">
        <v>7304</v>
      </c>
      <c r="F17">
        <v>16</v>
      </c>
      <c r="BS17" s="52" t="s">
        <v>7305</v>
      </c>
      <c r="BT17">
        <v>25</v>
      </c>
    </row>
    <row r="18" spans="3:72">
      <c r="C18" s="52" t="s">
        <v>411</v>
      </c>
      <c r="D18">
        <v>17</v>
      </c>
      <c r="E18" s="52" t="s">
        <v>7306</v>
      </c>
      <c r="F18">
        <v>17</v>
      </c>
      <c r="BS18" s="52" t="s">
        <v>7307</v>
      </c>
      <c r="BT18">
        <v>28</v>
      </c>
    </row>
    <row r="19" spans="3:72">
      <c r="C19" s="52" t="s">
        <v>414</v>
      </c>
      <c r="D19">
        <v>18</v>
      </c>
      <c r="E19" s="52" t="s">
        <v>7308</v>
      </c>
      <c r="F19">
        <v>18</v>
      </c>
      <c r="BS19" s="52" t="s">
        <v>3846</v>
      </c>
      <c r="BT19">
        <v>8</v>
      </c>
    </row>
    <row r="20" spans="3:72">
      <c r="C20" s="52" t="s">
        <v>416</v>
      </c>
      <c r="D20">
        <v>19</v>
      </c>
      <c r="E20" s="52" t="s">
        <v>7309</v>
      </c>
      <c r="F20">
        <v>19</v>
      </c>
      <c r="BS20" s="52" t="s">
        <v>7310</v>
      </c>
      <c r="BT20">
        <v>24</v>
      </c>
    </row>
    <row r="21" spans="3:72">
      <c r="C21" s="52" t="s">
        <v>419</v>
      </c>
      <c r="D21">
        <v>20</v>
      </c>
      <c r="E21" s="52" t="s">
        <v>7311</v>
      </c>
      <c r="F21">
        <v>20</v>
      </c>
      <c r="BS21" s="52" t="s">
        <v>7312</v>
      </c>
      <c r="BT21">
        <v>23</v>
      </c>
    </row>
    <row r="22" spans="3:72">
      <c r="C22" s="52" t="s">
        <v>422</v>
      </c>
      <c r="D22">
        <v>21</v>
      </c>
      <c r="E22" s="52" t="s">
        <v>7313</v>
      </c>
      <c r="F22">
        <v>21</v>
      </c>
    </row>
    <row r="23" spans="3:72">
      <c r="C23" s="52" t="s">
        <v>424</v>
      </c>
      <c r="D23">
        <v>22</v>
      </c>
      <c r="E23" s="52" t="s">
        <v>7314</v>
      </c>
      <c r="F23">
        <v>22</v>
      </c>
    </row>
    <row r="24" spans="3:72">
      <c r="C24" s="52" t="s">
        <v>427</v>
      </c>
      <c r="D24">
        <v>23</v>
      </c>
      <c r="E24" s="52" t="s">
        <v>7315</v>
      </c>
      <c r="F24">
        <v>23</v>
      </c>
    </row>
    <row r="25" spans="3:72">
      <c r="C25" s="52" t="s">
        <v>429</v>
      </c>
      <c r="D25">
        <v>24</v>
      </c>
      <c r="E25" s="52" t="s">
        <v>7316</v>
      </c>
      <c r="F25">
        <v>24</v>
      </c>
    </row>
    <row r="26" spans="3:72">
      <c r="C26" s="52" t="s">
        <v>432</v>
      </c>
      <c r="D26">
        <v>25</v>
      </c>
      <c r="E26" s="52" t="s">
        <v>7317</v>
      </c>
      <c r="F26">
        <v>25</v>
      </c>
    </row>
    <row r="27" spans="3:72">
      <c r="C27" s="52" t="s">
        <v>434</v>
      </c>
      <c r="D27">
        <v>26</v>
      </c>
      <c r="E27" s="52" t="s">
        <v>7318</v>
      </c>
      <c r="F27">
        <v>26</v>
      </c>
    </row>
    <row r="28" spans="3:72">
      <c r="C28" s="52" t="s">
        <v>436</v>
      </c>
      <c r="D28">
        <v>27</v>
      </c>
      <c r="E28" s="52" t="s">
        <v>7319</v>
      </c>
      <c r="F28">
        <v>27</v>
      </c>
    </row>
    <row r="29" spans="3:72">
      <c r="C29" s="52" t="s">
        <v>438</v>
      </c>
      <c r="D29">
        <v>28</v>
      </c>
      <c r="E29" s="52" t="s">
        <v>7320</v>
      </c>
      <c r="F29">
        <v>28</v>
      </c>
    </row>
    <row r="30" spans="3:72">
      <c r="C30" s="52" t="s">
        <v>439</v>
      </c>
      <c r="D30">
        <v>29</v>
      </c>
      <c r="E30" s="52" t="s">
        <v>7321</v>
      </c>
      <c r="F30">
        <v>29</v>
      </c>
    </row>
    <row r="31" spans="3:72">
      <c r="C31" s="52" t="s">
        <v>441</v>
      </c>
      <c r="D31">
        <v>30</v>
      </c>
      <c r="E31" s="52" t="s">
        <v>7322</v>
      </c>
      <c r="F31">
        <v>30</v>
      </c>
    </row>
    <row r="32" spans="3:72">
      <c r="C32" s="52" t="s">
        <v>442</v>
      </c>
      <c r="D32">
        <v>31</v>
      </c>
      <c r="E32" s="52" t="s">
        <v>7323</v>
      </c>
      <c r="F32">
        <v>31</v>
      </c>
    </row>
    <row r="33" spans="3:6">
      <c r="C33" s="52" t="s">
        <v>444</v>
      </c>
      <c r="D33">
        <v>32</v>
      </c>
      <c r="E33" s="52" t="s">
        <v>7324</v>
      </c>
      <c r="F33">
        <v>32</v>
      </c>
    </row>
    <row r="34" spans="3:6">
      <c r="C34" s="52" t="s">
        <v>446</v>
      </c>
      <c r="D34">
        <v>33</v>
      </c>
      <c r="E34" s="52" t="s">
        <v>7325</v>
      </c>
      <c r="F34">
        <v>33</v>
      </c>
    </row>
    <row r="35" spans="3:6">
      <c r="C35" s="52" t="s">
        <v>448</v>
      </c>
      <c r="D35">
        <v>34</v>
      </c>
      <c r="E35" s="52" t="s">
        <v>7326</v>
      </c>
      <c r="F35">
        <v>34</v>
      </c>
    </row>
    <row r="36" spans="3:6">
      <c r="C36" s="52" t="s">
        <v>450</v>
      </c>
      <c r="D36">
        <v>35</v>
      </c>
      <c r="E36" s="52" t="s">
        <v>7327</v>
      </c>
      <c r="F36">
        <v>35</v>
      </c>
    </row>
    <row r="37" spans="3:6">
      <c r="C37" s="52" t="s">
        <v>451</v>
      </c>
      <c r="D37">
        <v>36</v>
      </c>
      <c r="E37" s="52" t="s">
        <v>7328</v>
      </c>
      <c r="F37">
        <v>36</v>
      </c>
    </row>
    <row r="38" spans="3:6">
      <c r="C38" s="52" t="s">
        <v>453</v>
      </c>
      <c r="D38">
        <v>37</v>
      </c>
      <c r="E38" s="52" t="s">
        <v>7329</v>
      </c>
      <c r="F38">
        <v>37</v>
      </c>
    </row>
    <row r="39" spans="3:6">
      <c r="C39" s="52" t="s">
        <v>455</v>
      </c>
      <c r="D39">
        <v>38</v>
      </c>
      <c r="E39" s="52" t="s">
        <v>7330</v>
      </c>
      <c r="F39">
        <v>38</v>
      </c>
    </row>
    <row r="40" spans="3:6">
      <c r="C40" s="52" t="s">
        <v>457</v>
      </c>
      <c r="D40">
        <v>39</v>
      </c>
      <c r="E40" s="52" t="s">
        <v>7331</v>
      </c>
      <c r="F40">
        <v>39</v>
      </c>
    </row>
    <row r="41" spans="3:6">
      <c r="C41" s="52" t="s">
        <v>458</v>
      </c>
      <c r="D41">
        <v>40</v>
      </c>
      <c r="E41" s="52" t="s">
        <v>7332</v>
      </c>
      <c r="F41">
        <v>40</v>
      </c>
    </row>
    <row r="42" spans="3:6">
      <c r="C42" s="52" t="s">
        <v>460</v>
      </c>
      <c r="D42">
        <v>41</v>
      </c>
      <c r="E42" s="52" t="s">
        <v>7333</v>
      </c>
      <c r="F42">
        <v>41</v>
      </c>
    </row>
    <row r="43" spans="3:6">
      <c r="C43" s="52" t="s">
        <v>461</v>
      </c>
      <c r="D43">
        <v>42</v>
      </c>
      <c r="E43" s="52" t="s">
        <v>7334</v>
      </c>
      <c r="F43">
        <v>42</v>
      </c>
    </row>
    <row r="44" spans="3:6">
      <c r="C44" s="52" t="s">
        <v>463</v>
      </c>
      <c r="D44">
        <v>43</v>
      </c>
      <c r="E44" s="52" t="s">
        <v>7335</v>
      </c>
      <c r="F44">
        <v>43</v>
      </c>
    </row>
    <row r="45" spans="3:6">
      <c r="C45" s="52" t="s">
        <v>464</v>
      </c>
      <c r="D45">
        <v>44</v>
      </c>
      <c r="E45" s="52" t="s">
        <v>7336</v>
      </c>
      <c r="F45">
        <v>44</v>
      </c>
    </row>
    <row r="46" spans="3:6">
      <c r="C46" s="52" t="s">
        <v>465</v>
      </c>
      <c r="D46">
        <v>45</v>
      </c>
      <c r="E46" s="52" t="s">
        <v>7337</v>
      </c>
      <c r="F46">
        <v>45</v>
      </c>
    </row>
    <row r="47" spans="3:6">
      <c r="C47" s="52" t="s">
        <v>467</v>
      </c>
      <c r="D47">
        <v>46</v>
      </c>
      <c r="E47" s="52" t="s">
        <v>7338</v>
      </c>
      <c r="F47">
        <v>46</v>
      </c>
    </row>
    <row r="48" spans="3:6">
      <c r="C48" s="52" t="s">
        <v>468</v>
      </c>
      <c r="D48">
        <v>47</v>
      </c>
      <c r="E48" s="52" t="s">
        <v>7339</v>
      </c>
      <c r="F48">
        <v>47</v>
      </c>
    </row>
    <row r="49" spans="3:6">
      <c r="C49" s="52" t="s">
        <v>470</v>
      </c>
      <c r="D49">
        <v>48</v>
      </c>
      <c r="E49" s="52" t="s">
        <v>7340</v>
      </c>
      <c r="F49">
        <v>48</v>
      </c>
    </row>
    <row r="50" spans="3:6">
      <c r="C50" s="52" t="s">
        <v>472</v>
      </c>
      <c r="D50">
        <v>49</v>
      </c>
      <c r="E50" s="52" t="s">
        <v>7341</v>
      </c>
      <c r="F50">
        <v>49</v>
      </c>
    </row>
    <row r="51" spans="3:6">
      <c r="C51" s="52" t="s">
        <v>474</v>
      </c>
      <c r="D51">
        <v>50</v>
      </c>
      <c r="E51" s="52" t="s">
        <v>7342</v>
      </c>
      <c r="F51">
        <v>50</v>
      </c>
    </row>
    <row r="52" spans="3:6">
      <c r="C52" s="52" t="s">
        <v>475</v>
      </c>
      <c r="D52">
        <v>51</v>
      </c>
      <c r="E52" s="52" t="s">
        <v>7343</v>
      </c>
      <c r="F52">
        <v>51</v>
      </c>
    </row>
    <row r="53" spans="3:6">
      <c r="E53" s="52" t="s">
        <v>7344</v>
      </c>
      <c r="F53">
        <v>52</v>
      </c>
    </row>
    <row r="54" spans="3:6">
      <c r="E54" s="52" t="s">
        <v>7345</v>
      </c>
      <c r="F54">
        <v>53</v>
      </c>
    </row>
    <row r="55" spans="3:6">
      <c r="E55" s="52" t="s">
        <v>7346</v>
      </c>
      <c r="F55">
        <v>54</v>
      </c>
    </row>
    <row r="56" spans="3:6">
      <c r="E56" s="52" t="s">
        <v>7347</v>
      </c>
      <c r="F56">
        <v>55</v>
      </c>
    </row>
    <row r="57" spans="3:6">
      <c r="E57" s="52" t="s">
        <v>7348</v>
      </c>
      <c r="F57">
        <v>56</v>
      </c>
    </row>
    <row r="58" spans="3:6">
      <c r="E58" s="52" t="s">
        <v>7349</v>
      </c>
      <c r="F58">
        <v>57</v>
      </c>
    </row>
    <row r="59" spans="3:6">
      <c r="E59" s="52" t="s">
        <v>7350</v>
      </c>
      <c r="F59">
        <v>58</v>
      </c>
    </row>
    <row r="60" spans="3:6">
      <c r="E60" s="52" t="s">
        <v>7351</v>
      </c>
      <c r="F60">
        <v>59</v>
      </c>
    </row>
    <row r="61" spans="3:6">
      <c r="E61" s="52" t="s">
        <v>7352</v>
      </c>
      <c r="F61">
        <v>60</v>
      </c>
    </row>
    <row r="62" spans="3:6">
      <c r="E62" s="52" t="s">
        <v>7353</v>
      </c>
      <c r="F62">
        <v>61</v>
      </c>
    </row>
    <row r="63" spans="3:6">
      <c r="E63" s="52" t="s">
        <v>7354</v>
      </c>
      <c r="F63">
        <v>62</v>
      </c>
    </row>
    <row r="64" spans="3:6">
      <c r="E64" s="52" t="s">
        <v>7355</v>
      </c>
      <c r="F64">
        <v>63</v>
      </c>
    </row>
    <row r="65" spans="5:6">
      <c r="E65" s="52" t="s">
        <v>7356</v>
      </c>
      <c r="F65">
        <v>64</v>
      </c>
    </row>
    <row r="66" spans="5:6">
      <c r="E66" s="52" t="s">
        <v>7357</v>
      </c>
      <c r="F66">
        <v>65</v>
      </c>
    </row>
    <row r="67" spans="5:6">
      <c r="E67" s="52" t="s">
        <v>7358</v>
      </c>
      <c r="F67">
        <v>66</v>
      </c>
    </row>
    <row r="68" spans="5:6">
      <c r="E68" s="52" t="s">
        <v>7359</v>
      </c>
      <c r="F68">
        <v>67</v>
      </c>
    </row>
    <row r="69" spans="5:6">
      <c r="E69" s="52" t="s">
        <v>7360</v>
      </c>
      <c r="F69">
        <v>68</v>
      </c>
    </row>
    <row r="70" spans="5:6">
      <c r="E70" s="52" t="s">
        <v>7361</v>
      </c>
      <c r="F70">
        <v>69</v>
      </c>
    </row>
    <row r="71" spans="5:6">
      <c r="E71" s="52" t="s">
        <v>7362</v>
      </c>
      <c r="F71">
        <v>70</v>
      </c>
    </row>
    <row r="72" spans="5:6">
      <c r="E72" s="52" t="s">
        <v>7363</v>
      </c>
      <c r="F72">
        <v>71</v>
      </c>
    </row>
    <row r="73" spans="5:6">
      <c r="E73" s="52" t="s">
        <v>7364</v>
      </c>
      <c r="F73">
        <v>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996A-5E26-428E-81F0-E1FA0309A3F7}">
  <sheetPr codeName="Sheet41">
    <pageSetUpPr fitToPage="1"/>
  </sheetPr>
  <dimension ref="A1:AQ85"/>
  <sheetViews>
    <sheetView workbookViewId="0"/>
  </sheetViews>
  <sheetFormatPr defaultColWidth="8.85546875" defaultRowHeight="15"/>
  <cols>
    <col min="1" max="1" width="28.28515625" customWidth="1"/>
    <col min="2" max="2" width="8.5703125" bestFit="1" customWidth="1"/>
    <col min="3" max="7" width="10.42578125" bestFit="1" customWidth="1"/>
    <col min="8" max="8" width="7" bestFit="1" customWidth="1"/>
    <col min="9" max="13" width="10.42578125" bestFit="1" customWidth="1"/>
    <col min="14" max="14" width="6.5703125" bestFit="1" customWidth="1"/>
    <col min="15" max="19" width="10.42578125" bestFit="1" customWidth="1"/>
    <col min="20" max="20" width="8.5703125" bestFit="1" customWidth="1"/>
    <col min="21" max="25" width="10.42578125" bestFit="1" customWidth="1"/>
    <col min="26" max="26" width="7" bestFit="1" customWidth="1"/>
    <col min="27" max="31" width="10.42578125" bestFit="1" customWidth="1"/>
    <col min="32" max="32" width="8" bestFit="1" customWidth="1"/>
    <col min="33" max="37" width="10.42578125" bestFit="1" customWidth="1"/>
    <col min="38" max="38" width="8" bestFit="1" customWidth="1"/>
    <col min="39" max="43" width="10.42578125" bestFit="1" customWidth="1"/>
  </cols>
  <sheetData>
    <row r="1" spans="1:43">
      <c r="A1" s="839" t="s">
        <v>7365</v>
      </c>
      <c r="B1" s="70">
        <v>0.2</v>
      </c>
      <c r="C1" s="71">
        <v>0.2</v>
      </c>
      <c r="D1" s="71">
        <v>0.2</v>
      </c>
      <c r="E1" s="71">
        <v>0.2</v>
      </c>
      <c r="F1" s="71">
        <v>0.2</v>
      </c>
      <c r="G1" s="72">
        <v>0.2</v>
      </c>
      <c r="H1" s="70">
        <v>0.3</v>
      </c>
      <c r="I1" s="71">
        <v>0.3</v>
      </c>
      <c r="J1" s="71">
        <v>0.3</v>
      </c>
      <c r="K1" s="71">
        <v>0.3</v>
      </c>
      <c r="L1" s="71">
        <v>0.3</v>
      </c>
      <c r="M1" s="73">
        <v>0.3</v>
      </c>
      <c r="N1" s="74">
        <v>0.4</v>
      </c>
      <c r="O1" s="71">
        <v>0.4</v>
      </c>
      <c r="P1" s="71">
        <v>0.4</v>
      </c>
      <c r="Q1" s="71">
        <v>0.4</v>
      </c>
      <c r="R1" s="71">
        <v>0.4</v>
      </c>
      <c r="S1" s="72">
        <v>0.4</v>
      </c>
      <c r="T1" s="70">
        <v>0.5</v>
      </c>
      <c r="U1" s="71">
        <v>0.5</v>
      </c>
      <c r="V1" s="71">
        <v>0.5</v>
      </c>
      <c r="W1" s="71">
        <v>0.5</v>
      </c>
      <c r="X1" s="71">
        <v>0.5</v>
      </c>
      <c r="Y1" s="72">
        <v>0.5</v>
      </c>
      <c r="Z1" s="1676">
        <v>0.6</v>
      </c>
      <c r="AA1" s="1677">
        <v>0.6</v>
      </c>
      <c r="AB1" s="1677">
        <v>0.6</v>
      </c>
      <c r="AC1" s="1677">
        <v>0.6</v>
      </c>
      <c r="AD1" s="1677">
        <v>0.6</v>
      </c>
      <c r="AE1" s="1678">
        <v>0.6</v>
      </c>
      <c r="AF1" s="74">
        <v>0.7</v>
      </c>
      <c r="AG1" s="71">
        <v>0.7</v>
      </c>
      <c r="AH1" s="71">
        <v>0.7</v>
      </c>
      <c r="AI1" s="71">
        <v>0.7</v>
      </c>
      <c r="AJ1" s="71">
        <v>0.7</v>
      </c>
      <c r="AK1" s="73">
        <v>0.7</v>
      </c>
      <c r="AL1" s="74">
        <v>0.8</v>
      </c>
      <c r="AM1" s="71">
        <v>0.8</v>
      </c>
      <c r="AN1" s="71">
        <v>0.8</v>
      </c>
      <c r="AO1" s="71">
        <v>0.8</v>
      </c>
      <c r="AP1" s="71">
        <v>0.8</v>
      </c>
      <c r="AQ1" s="73">
        <v>0.8</v>
      </c>
    </row>
    <row r="2" spans="1:43">
      <c r="A2" s="959" t="s">
        <v>7366</v>
      </c>
      <c r="B2" s="65" t="s">
        <v>7367</v>
      </c>
      <c r="C2" s="1009" t="s">
        <v>2832</v>
      </c>
      <c r="D2" s="1009" t="s">
        <v>2834</v>
      </c>
      <c r="E2" s="1009" t="s">
        <v>2836</v>
      </c>
      <c r="F2" s="1009" t="s">
        <v>2838</v>
      </c>
      <c r="G2" s="66" t="s">
        <v>2839</v>
      </c>
      <c r="H2" s="75" t="s">
        <v>7367</v>
      </c>
      <c r="I2" s="1009" t="s">
        <v>2832</v>
      </c>
      <c r="J2" s="1009" t="s">
        <v>2834</v>
      </c>
      <c r="K2" s="1009" t="s">
        <v>2836</v>
      </c>
      <c r="L2" s="1009" t="s">
        <v>2838</v>
      </c>
      <c r="M2" s="76" t="s">
        <v>2839</v>
      </c>
      <c r="N2" s="65" t="s">
        <v>7367</v>
      </c>
      <c r="O2" s="1009" t="s">
        <v>2832</v>
      </c>
      <c r="P2" s="1009" t="s">
        <v>2834</v>
      </c>
      <c r="Q2" s="1009" t="s">
        <v>2836</v>
      </c>
      <c r="R2" s="1009" t="s">
        <v>2838</v>
      </c>
      <c r="S2" s="66" t="s">
        <v>2839</v>
      </c>
      <c r="T2" s="75" t="s">
        <v>7367</v>
      </c>
      <c r="U2" s="1009" t="s">
        <v>2832</v>
      </c>
      <c r="V2" s="1009" t="s">
        <v>2834</v>
      </c>
      <c r="W2" s="1009" t="s">
        <v>2836</v>
      </c>
      <c r="X2" s="1009" t="s">
        <v>2838</v>
      </c>
      <c r="Y2" s="66" t="s">
        <v>2839</v>
      </c>
      <c r="Z2" s="1679" t="s">
        <v>7367</v>
      </c>
      <c r="AA2" s="1009" t="s">
        <v>2832</v>
      </c>
      <c r="AB2" s="1009" t="s">
        <v>2834</v>
      </c>
      <c r="AC2" s="1009" t="s">
        <v>2836</v>
      </c>
      <c r="AD2" s="1009" t="s">
        <v>2838</v>
      </c>
      <c r="AE2" s="1680" t="s">
        <v>2839</v>
      </c>
      <c r="AF2" s="65" t="s">
        <v>7367</v>
      </c>
      <c r="AG2" s="1009" t="s">
        <v>2832</v>
      </c>
      <c r="AH2" s="1009" t="s">
        <v>2834</v>
      </c>
      <c r="AI2" s="1009" t="s">
        <v>2836</v>
      </c>
      <c r="AJ2" s="1009" t="s">
        <v>2838</v>
      </c>
      <c r="AK2" s="76" t="s">
        <v>2839</v>
      </c>
      <c r="AL2" s="65" t="s">
        <v>7367</v>
      </c>
      <c r="AM2" s="1009" t="s">
        <v>2832</v>
      </c>
      <c r="AN2" s="1009" t="s">
        <v>2834</v>
      </c>
      <c r="AO2" s="1009" t="s">
        <v>2836</v>
      </c>
      <c r="AP2" s="1009" t="s">
        <v>2838</v>
      </c>
      <c r="AQ2" s="76" t="s">
        <v>2839</v>
      </c>
    </row>
    <row r="3" spans="1:43">
      <c r="A3" s="960" t="s">
        <v>7368</v>
      </c>
      <c r="B3" s="65" t="s">
        <v>7369</v>
      </c>
      <c r="C3" s="1009" t="s">
        <v>7370</v>
      </c>
      <c r="D3" s="1009" t="s">
        <v>7371</v>
      </c>
      <c r="E3" s="1009" t="s">
        <v>7372</v>
      </c>
      <c r="F3" s="1009" t="s">
        <v>7373</v>
      </c>
      <c r="G3" s="66" t="s">
        <v>7374</v>
      </c>
      <c r="H3" s="75" t="s">
        <v>7369</v>
      </c>
      <c r="I3" s="1009" t="s">
        <v>7370</v>
      </c>
      <c r="J3" s="1009" t="s">
        <v>7371</v>
      </c>
      <c r="K3" s="1009" t="s">
        <v>7372</v>
      </c>
      <c r="L3" s="1009" t="s">
        <v>7373</v>
      </c>
      <c r="M3" s="76" t="s">
        <v>7374</v>
      </c>
      <c r="N3" s="65" t="s">
        <v>7369</v>
      </c>
      <c r="O3" s="1009" t="s">
        <v>7370</v>
      </c>
      <c r="P3" s="1009" t="s">
        <v>7371</v>
      </c>
      <c r="Q3" s="1009" t="s">
        <v>7372</v>
      </c>
      <c r="R3" s="1009" t="s">
        <v>7373</v>
      </c>
      <c r="S3" s="66" t="s">
        <v>7374</v>
      </c>
      <c r="T3" s="75" t="s">
        <v>7369</v>
      </c>
      <c r="U3" s="1009" t="s">
        <v>7370</v>
      </c>
      <c r="V3" s="1009" t="s">
        <v>7371</v>
      </c>
      <c r="W3" s="1009" t="s">
        <v>7372</v>
      </c>
      <c r="X3" s="1009" t="s">
        <v>7373</v>
      </c>
      <c r="Y3" s="66" t="s">
        <v>7374</v>
      </c>
      <c r="Z3" s="1679" t="s">
        <v>7369</v>
      </c>
      <c r="AA3" s="1009" t="s">
        <v>7370</v>
      </c>
      <c r="AB3" s="1009" t="s">
        <v>7371</v>
      </c>
      <c r="AC3" s="1009" t="s">
        <v>7372</v>
      </c>
      <c r="AD3" s="1009" t="s">
        <v>7373</v>
      </c>
      <c r="AE3" s="1680" t="s">
        <v>7374</v>
      </c>
      <c r="AF3" s="65" t="s">
        <v>7369</v>
      </c>
      <c r="AG3" s="1009" t="s">
        <v>7370</v>
      </c>
      <c r="AH3" s="1009" t="s">
        <v>7371</v>
      </c>
      <c r="AI3" s="1009" t="s">
        <v>7372</v>
      </c>
      <c r="AJ3" s="1009" t="s">
        <v>7373</v>
      </c>
      <c r="AK3" s="66" t="s">
        <v>7374</v>
      </c>
      <c r="AL3" s="75" t="s">
        <v>7369</v>
      </c>
      <c r="AM3" s="1009" t="s">
        <v>7370</v>
      </c>
      <c r="AN3" s="1009" t="s">
        <v>7371</v>
      </c>
      <c r="AO3" s="1009" t="s">
        <v>7372</v>
      </c>
      <c r="AP3" s="1009" t="s">
        <v>7373</v>
      </c>
      <c r="AQ3" s="66" t="s">
        <v>7374</v>
      </c>
    </row>
    <row r="4" spans="1:43">
      <c r="A4" s="77" t="s">
        <v>7375</v>
      </c>
      <c r="B4" s="75"/>
      <c r="C4" s="1009"/>
      <c r="D4" s="1009"/>
      <c r="E4" s="1009"/>
      <c r="F4" s="1009"/>
      <c r="G4" s="66"/>
      <c r="H4" s="75"/>
      <c r="I4" s="1009"/>
      <c r="J4" s="1009"/>
      <c r="K4" s="1009"/>
      <c r="L4" s="1009"/>
      <c r="M4" s="76"/>
      <c r="N4" s="65"/>
      <c r="O4" s="1009"/>
      <c r="P4" s="1009"/>
      <c r="Q4" s="1009"/>
      <c r="R4" s="1009"/>
      <c r="S4" s="66"/>
      <c r="T4" s="75"/>
      <c r="U4" s="1009"/>
      <c r="V4" s="1009"/>
      <c r="W4" s="1009"/>
      <c r="X4" s="1009"/>
      <c r="Y4" s="66"/>
      <c r="Z4" s="1679"/>
      <c r="AA4" s="1009"/>
      <c r="AB4" s="1009"/>
      <c r="AC4" s="1009"/>
      <c r="AD4" s="1009"/>
      <c r="AE4" s="1680"/>
      <c r="AF4" s="65"/>
      <c r="AG4" s="1009"/>
      <c r="AH4" s="1009"/>
      <c r="AI4" s="1009"/>
      <c r="AJ4" s="1009"/>
      <c r="AK4" s="76"/>
      <c r="AL4" s="65"/>
      <c r="AM4" s="1009"/>
      <c r="AN4" s="1009"/>
      <c r="AO4" s="1009"/>
      <c r="AP4" s="1009"/>
      <c r="AQ4" s="76"/>
    </row>
    <row r="5" spans="1:43">
      <c r="A5" s="77" t="s">
        <v>262</v>
      </c>
      <c r="B5" s="75">
        <f>ROUNDDOWN(IncomeLimits!B3*0.3/12, 0)</f>
        <v>325</v>
      </c>
      <c r="C5" s="1009">
        <f>ROUNDDOWN(AVERAGE(IncomeLimits!B3:C3)*0.3/12, 0)</f>
        <v>348</v>
      </c>
      <c r="D5" s="1009">
        <f>ROUNDDOWN(IncomeLimits!D3*0.3/12, 0)</f>
        <v>418</v>
      </c>
      <c r="E5" s="1009">
        <f>ROUNDDOWN(AVERAGE(IncomeLimits!E3:'IncomeLimits'!F3)*0.3/12,0)</f>
        <v>482</v>
      </c>
      <c r="F5" s="1009">
        <f>ROUNDDOWN(IncomeLimits!G3*0.3/12,0)</f>
        <v>538</v>
      </c>
      <c r="G5" s="66">
        <f>ROUNDDOWN(AVERAGE(IncomeLimits!H3:'IncomeLimits'!I3)*0.3/12,0)</f>
        <v>594</v>
      </c>
      <c r="H5" s="75">
        <f>ROUNDDOWN(IncomeLimits!K3*0.3/12, 0)</f>
        <v>487</v>
      </c>
      <c r="I5" s="1009">
        <f>ROUNDDOWN(AVERAGE(IncomeLimits!K3:'IncomeLimits'!L3)*0.3/12, 0)</f>
        <v>522</v>
      </c>
      <c r="J5" s="1009">
        <f>ROUNDDOWN(IncomeLimits!M3*0.3/12, 0)</f>
        <v>627</v>
      </c>
      <c r="K5" s="1009">
        <f>ROUNDDOWN(AVERAGE(IncomeLimits!N3:'IncomeLimits'!O3)*0.3/12,0)</f>
        <v>724</v>
      </c>
      <c r="L5" s="1009">
        <f>ROUNDDOWN(IncomeLimits!P3*0.3/12,0)</f>
        <v>807</v>
      </c>
      <c r="M5" s="76">
        <f>ROUNDDOWN(AVERAGE(IncomeLimits!Q3:'IncomeLimits'!R3)*0.3/12,0)</f>
        <v>891</v>
      </c>
      <c r="N5" s="65">
        <f>ROUNDDOWN(IncomeLimits!T3*0.3/12, 0)</f>
        <v>650</v>
      </c>
      <c r="O5" s="1009">
        <f>ROUNDDOWN(AVERAGE(IncomeLimits!T3:'IncomeLimits'!U3)*0.3/12, 0)</f>
        <v>696</v>
      </c>
      <c r="P5" s="1009">
        <f>ROUNDDOWN(IncomeLimits!V3*0.3/12, 0)</f>
        <v>836</v>
      </c>
      <c r="Q5" s="1009">
        <f>ROUNDDOWN(AVERAGE(IncomeLimits!W3:'IncomeLimits'!X3)*0.3/12,0)</f>
        <v>965</v>
      </c>
      <c r="R5" s="1009">
        <f>ROUNDDOWN(IncomeLimits!Y3*0.3/12,0)</f>
        <v>1077</v>
      </c>
      <c r="S5" s="66">
        <f>ROUNDDOWN(AVERAGE(IncomeLimits!Z3:'IncomeLimits'!AA3)*0.3/12,0)</f>
        <v>1188</v>
      </c>
      <c r="T5" s="66">
        <f>ROUNDDOWN(IncomeLimits!AC3*0.3/12, 0)</f>
        <v>812</v>
      </c>
      <c r="U5" s="66">
        <f>ROUNDDOWN(AVERAGE(IncomeLimits!AC3:'IncomeLimits'!AD3)*0.3/12,0)</f>
        <v>870</v>
      </c>
      <c r="V5" s="66">
        <f>ROUNDDOWN(IncomeLimits!AE3*0.3/12, 0)</f>
        <v>1045</v>
      </c>
      <c r="W5" s="66">
        <f>ROUNDDOWN(AVERAGE(IncomeLimits!AF3:'IncomeLimits'!AG3)*0.3/12,0)</f>
        <v>1206</v>
      </c>
      <c r="X5" s="66">
        <f>ROUNDDOWN(IncomeLimits!AH3*0.3/12,0)</f>
        <v>1346</v>
      </c>
      <c r="Y5" s="66">
        <f>ROUNDDOWN(AVERAGE(IncomeLimits!AI3:'IncomeLimits'!AJ3)*0.3/12,0)</f>
        <v>1485</v>
      </c>
      <c r="Z5" s="1679">
        <f>ROUNDDOWN(IncomeLimits!AL3*0.3/12, 0)</f>
        <v>975</v>
      </c>
      <c r="AA5" s="1009">
        <f>ROUNDDOWN(AVERAGE(IncomeLimits!AL3:'IncomeLimits'!AM3)*0.3/12, 0)</f>
        <v>1044</v>
      </c>
      <c r="AB5" s="1009">
        <f>ROUNDDOWN(IncomeLimits!AN3*0.3/12, 0)</f>
        <v>1254</v>
      </c>
      <c r="AC5" s="1009">
        <f>ROUNDDOWN(AVERAGE(IncomeLimits!AO3:'IncomeLimits'!AP3)*0.3/12,0)</f>
        <v>1448</v>
      </c>
      <c r="AD5" s="1009">
        <f>ROUNDDOWN(IncomeLimits!AQ3*0.3/12,0)</f>
        <v>1615</v>
      </c>
      <c r="AE5" s="1680">
        <f>ROUNDDOWN(AVERAGE(IncomeLimits!AR3:'IncomeLimits'!AS3)*0.3/12,0)</f>
        <v>1782</v>
      </c>
      <c r="AF5" s="65">
        <f>ROUNDDOWN(IncomeLimits!AU3*0.3/12, 0)</f>
        <v>1137</v>
      </c>
      <c r="AG5" s="1009">
        <f>ROUNDDOWN(AVERAGE(IncomeLimits!AU3:'IncomeLimits'!AV3)*0.3/12, 0)</f>
        <v>1218</v>
      </c>
      <c r="AH5" s="1009">
        <f>ROUNDDOWN(IncomeLimits!AW3*0.3/12, 0)</f>
        <v>1463</v>
      </c>
      <c r="AI5" s="1009">
        <f>ROUNDDOWN(AVERAGE(IncomeLimits!AX3:'IncomeLimits'!AY3)*0.3/12,0)</f>
        <v>1689</v>
      </c>
      <c r="AJ5" s="1009">
        <f>ROUNDDOWN(IncomeLimits!AZ3*0.3/12,0)</f>
        <v>1884</v>
      </c>
      <c r="AK5" s="76">
        <f>ROUNDDOWN(AVERAGE(IncomeLimits!BA3:'IncomeLimits'!BB3)*0.3/12,0)</f>
        <v>2079</v>
      </c>
      <c r="AL5" s="65">
        <f>ROUNDDOWN(IncomeLimits!BD3*0.3/12, 0)</f>
        <v>1300</v>
      </c>
      <c r="AM5" s="1009">
        <f>ROUNDDOWN(AVERAGE(IncomeLimits!BD3:'IncomeLimits'!BE3)*0.3/12, 0)</f>
        <v>1393</v>
      </c>
      <c r="AN5" s="1009">
        <f>ROUNDDOWN(IncomeLimits!BF3*0.3/12, 0)</f>
        <v>1672</v>
      </c>
      <c r="AO5" s="1009">
        <f>ROUNDDOWN(AVERAGE(IncomeLimits!BG3:'IncomeLimits'!BH3)*0.3/12,0)</f>
        <v>1931</v>
      </c>
      <c r="AP5" s="1009">
        <f>ROUNDDOWN(IncomeLimits!BI3*0.3/12,0)</f>
        <v>2154</v>
      </c>
      <c r="AQ5" s="76">
        <f>ROUNDDOWN(AVERAGE(IncomeLimits!BJ3:'IncomeLimits'!BK3)*0.3/12,0)</f>
        <v>2376</v>
      </c>
    </row>
    <row r="6" spans="1:43">
      <c r="A6" s="77" t="s">
        <v>288</v>
      </c>
      <c r="B6" s="75">
        <f>ROUNDDOWN(IncomeLimits!B4*0.3/12, 0)</f>
        <v>325</v>
      </c>
      <c r="C6" s="1009">
        <f>ROUNDDOWN(AVERAGE(IncomeLimits!B4:C4)*0.3/12, 0)</f>
        <v>348</v>
      </c>
      <c r="D6" s="1009">
        <f>ROUNDDOWN(IncomeLimits!D4*0.3/12, 0)</f>
        <v>418</v>
      </c>
      <c r="E6" s="1009">
        <f>ROUNDDOWN(AVERAGE(IncomeLimits!E4:'IncomeLimits'!F4)*0.3/12,0)</f>
        <v>482</v>
      </c>
      <c r="F6" s="1009">
        <f>ROUNDDOWN(IncomeLimits!G4*0.3/12,0)</f>
        <v>538</v>
      </c>
      <c r="G6" s="66">
        <f>ROUNDDOWN(AVERAGE(IncomeLimits!H4:'IncomeLimits'!I4)*0.3/12,0)</f>
        <v>594</v>
      </c>
      <c r="H6" s="75">
        <f>ROUNDDOWN(IncomeLimits!K4*0.3/12, 0)</f>
        <v>487</v>
      </c>
      <c r="I6" s="1009">
        <f>ROUNDDOWN(AVERAGE(IncomeLimits!K4:'IncomeLimits'!L4)*0.3/12, 0)</f>
        <v>522</v>
      </c>
      <c r="J6" s="1009">
        <f>ROUNDDOWN(IncomeLimits!M4*0.3/12, 0)</f>
        <v>627</v>
      </c>
      <c r="K6" s="1009">
        <f>ROUNDDOWN(AVERAGE(IncomeLimits!N4:'IncomeLimits'!O4)*0.3/12,0)</f>
        <v>724</v>
      </c>
      <c r="L6" s="1009">
        <f>ROUNDDOWN(IncomeLimits!P4*0.3/12,0)</f>
        <v>807</v>
      </c>
      <c r="M6" s="76">
        <f>ROUNDDOWN(AVERAGE(IncomeLimits!Q4:'IncomeLimits'!R4)*0.3/12,0)</f>
        <v>891</v>
      </c>
      <c r="N6" s="65">
        <f>ROUNDDOWN(IncomeLimits!T4*0.3/12, 0)</f>
        <v>650</v>
      </c>
      <c r="O6" s="1009">
        <f>ROUNDDOWN(AVERAGE(IncomeLimits!T4:'IncomeLimits'!U4)*0.3/12, 0)</f>
        <v>696</v>
      </c>
      <c r="P6" s="1009">
        <f>ROUNDDOWN(IncomeLimits!V4*0.3/12, 0)</f>
        <v>836</v>
      </c>
      <c r="Q6" s="1009">
        <f>ROUNDDOWN(AVERAGE(IncomeLimits!W4:'IncomeLimits'!X4)*0.3/12,0)</f>
        <v>965</v>
      </c>
      <c r="R6" s="1009">
        <f>ROUNDDOWN(IncomeLimits!Y4*0.3/12,0)</f>
        <v>1077</v>
      </c>
      <c r="S6" s="66">
        <f>ROUNDDOWN(AVERAGE(IncomeLimits!Z4:'IncomeLimits'!AA4)*0.3/12,0)</f>
        <v>1188</v>
      </c>
      <c r="T6" s="66">
        <f>ROUNDDOWN(IncomeLimits!AC4*0.3/12, 0)</f>
        <v>812</v>
      </c>
      <c r="U6" s="66">
        <f>ROUNDDOWN(AVERAGE(IncomeLimits!AC4:'IncomeLimits'!AD4)*0.3/12,0)</f>
        <v>870</v>
      </c>
      <c r="V6" s="66">
        <f>ROUNDDOWN(IncomeLimits!AE4*0.3/12, 0)</f>
        <v>1045</v>
      </c>
      <c r="W6" s="66">
        <f>ROUNDDOWN(AVERAGE(IncomeLimits!AF4:'IncomeLimits'!AG4)*0.3/12,0)</f>
        <v>1206</v>
      </c>
      <c r="X6" s="66">
        <f>ROUNDDOWN(IncomeLimits!AH4*0.3/12,0)</f>
        <v>1346</v>
      </c>
      <c r="Y6" s="66">
        <f>ROUNDDOWN(AVERAGE(IncomeLimits!AI4:'IncomeLimits'!AJ4)*0.3/12,0)</f>
        <v>1485</v>
      </c>
      <c r="Z6" s="1679">
        <f>ROUNDDOWN(IncomeLimits!AL4*0.3/12, 0)</f>
        <v>975</v>
      </c>
      <c r="AA6" s="1009">
        <f>ROUNDDOWN(AVERAGE(IncomeLimits!AL4:'IncomeLimits'!AM4)*0.3/12, 0)</f>
        <v>1044</v>
      </c>
      <c r="AB6" s="1009">
        <f>ROUNDDOWN(IncomeLimits!AN4*0.3/12, 0)</f>
        <v>1254</v>
      </c>
      <c r="AC6" s="1009">
        <f>ROUNDDOWN(AVERAGE(IncomeLimits!AO4:'IncomeLimits'!AP4)*0.3/12,0)</f>
        <v>1448</v>
      </c>
      <c r="AD6" s="1009">
        <f>ROUNDDOWN(IncomeLimits!AQ4*0.3/12,0)</f>
        <v>1615</v>
      </c>
      <c r="AE6" s="1680">
        <f>ROUNDDOWN(AVERAGE(IncomeLimits!AR4:'IncomeLimits'!AS4)*0.3/12,0)</f>
        <v>1782</v>
      </c>
      <c r="AF6" s="65">
        <f>ROUNDDOWN(IncomeLimits!AU4*0.3/12, 0)</f>
        <v>1137</v>
      </c>
      <c r="AG6" s="1009">
        <f>ROUNDDOWN(AVERAGE(IncomeLimits!AU4:'IncomeLimits'!AV4)*0.3/12, 0)</f>
        <v>1218</v>
      </c>
      <c r="AH6" s="1009">
        <f>ROUNDDOWN(IncomeLimits!AW4*0.3/12, 0)</f>
        <v>1463</v>
      </c>
      <c r="AI6" s="1009">
        <f>ROUNDDOWN(AVERAGE(IncomeLimits!AX4:'IncomeLimits'!AY4)*0.3/12,0)</f>
        <v>1689</v>
      </c>
      <c r="AJ6" s="1009">
        <f>ROUNDDOWN(IncomeLimits!AZ4*0.3/12,0)</f>
        <v>1884</v>
      </c>
      <c r="AK6" s="76">
        <f>ROUNDDOWN(AVERAGE(IncomeLimits!BA4:'IncomeLimits'!BB4)*0.3/12,0)</f>
        <v>2079</v>
      </c>
      <c r="AL6" s="65">
        <f>ROUNDDOWN(IncomeLimits!BD4*0.3/12, 0)</f>
        <v>1300</v>
      </c>
      <c r="AM6" s="1009">
        <f>ROUNDDOWN(AVERAGE(IncomeLimits!BD4:'IncomeLimits'!BE4)*0.3/12, 0)</f>
        <v>1393</v>
      </c>
      <c r="AN6" s="1009">
        <f>ROUNDDOWN(IncomeLimits!BF4*0.3/12, 0)</f>
        <v>1672</v>
      </c>
      <c r="AO6" s="1009">
        <f>ROUNDDOWN(AVERAGE(IncomeLimits!BG4:'IncomeLimits'!BH4)*0.3/12,0)</f>
        <v>1931</v>
      </c>
      <c r="AP6" s="1009">
        <f>ROUNDDOWN(IncomeLimits!BI4*0.3/12,0)</f>
        <v>2154</v>
      </c>
      <c r="AQ6" s="76">
        <f>ROUNDDOWN(AVERAGE(IncomeLimits!BJ4:'IncomeLimits'!BK4)*0.3/12,0)</f>
        <v>2376</v>
      </c>
    </row>
    <row r="7" spans="1:43">
      <c r="A7" s="77" t="s">
        <v>313</v>
      </c>
      <c r="B7" s="75">
        <f>ROUNDDOWN(IncomeLimits!B5*0.3/12, 0)</f>
        <v>325</v>
      </c>
      <c r="C7" s="1009">
        <f>ROUNDDOWN(AVERAGE(IncomeLimits!B5:C5)*0.3/12, 0)</f>
        <v>348</v>
      </c>
      <c r="D7" s="1009">
        <f>ROUNDDOWN(IncomeLimits!D5*0.3/12, 0)</f>
        <v>418</v>
      </c>
      <c r="E7" s="1009">
        <f>ROUNDDOWN(AVERAGE(IncomeLimits!E5:'IncomeLimits'!F5)*0.3/12,0)</f>
        <v>482</v>
      </c>
      <c r="F7" s="1009">
        <f>ROUNDDOWN(IncomeLimits!G5*0.3/12,0)</f>
        <v>538</v>
      </c>
      <c r="G7" s="66">
        <f>ROUNDDOWN(AVERAGE(IncomeLimits!H5:'IncomeLimits'!I5)*0.3/12,0)</f>
        <v>594</v>
      </c>
      <c r="H7" s="75">
        <f>ROUNDDOWN(IncomeLimits!K5*0.3/12, 0)</f>
        <v>487</v>
      </c>
      <c r="I7" s="1009">
        <f>ROUNDDOWN(AVERAGE(IncomeLimits!K5:'IncomeLimits'!L5)*0.3/12, 0)</f>
        <v>522</v>
      </c>
      <c r="J7" s="1009">
        <f>ROUNDDOWN(IncomeLimits!M5*0.3/12, 0)</f>
        <v>627</v>
      </c>
      <c r="K7" s="1009">
        <f>ROUNDDOWN(AVERAGE(IncomeLimits!N5:'IncomeLimits'!O5)*0.3/12,0)</f>
        <v>724</v>
      </c>
      <c r="L7" s="1009">
        <f>ROUNDDOWN(IncomeLimits!P5*0.3/12,0)</f>
        <v>807</v>
      </c>
      <c r="M7" s="76">
        <f>ROUNDDOWN(AVERAGE(IncomeLimits!Q5:'IncomeLimits'!R5)*0.3/12,0)</f>
        <v>891</v>
      </c>
      <c r="N7" s="65">
        <f>ROUNDDOWN(IncomeLimits!T5*0.3/12, 0)</f>
        <v>650</v>
      </c>
      <c r="O7" s="1009">
        <f>ROUNDDOWN(AVERAGE(IncomeLimits!T5:'IncomeLimits'!U5)*0.3/12, 0)</f>
        <v>696</v>
      </c>
      <c r="P7" s="1009">
        <f>ROUNDDOWN(IncomeLimits!V5*0.3/12, 0)</f>
        <v>836</v>
      </c>
      <c r="Q7" s="1009">
        <f>ROUNDDOWN(AVERAGE(IncomeLimits!W5:'IncomeLimits'!X5)*0.3/12,0)</f>
        <v>965</v>
      </c>
      <c r="R7" s="1009">
        <f>ROUNDDOWN(IncomeLimits!Y5*0.3/12,0)</f>
        <v>1077</v>
      </c>
      <c r="S7" s="66">
        <f>ROUNDDOWN(AVERAGE(IncomeLimits!Z5:'IncomeLimits'!AA5)*0.3/12,0)</f>
        <v>1188</v>
      </c>
      <c r="T7" s="66">
        <f>ROUNDDOWN(IncomeLimits!AC5*0.3/12, 0)</f>
        <v>812</v>
      </c>
      <c r="U7" s="66">
        <f>ROUNDDOWN(AVERAGE(IncomeLimits!AC5:'IncomeLimits'!AD5)*0.3/12,0)</f>
        <v>870</v>
      </c>
      <c r="V7" s="66">
        <f>ROUNDDOWN(IncomeLimits!AE5*0.3/12, 0)</f>
        <v>1045</v>
      </c>
      <c r="W7" s="66">
        <f>ROUNDDOWN(AVERAGE(IncomeLimits!AF5:'IncomeLimits'!AG5)*0.3/12,0)</f>
        <v>1206</v>
      </c>
      <c r="X7" s="66">
        <f>ROUNDDOWN(IncomeLimits!AH5*0.3/12,0)</f>
        <v>1346</v>
      </c>
      <c r="Y7" s="66">
        <f>ROUNDDOWN(AVERAGE(IncomeLimits!AI5:'IncomeLimits'!AJ5)*0.3/12,0)</f>
        <v>1485</v>
      </c>
      <c r="Z7" s="1679">
        <f>ROUNDDOWN(IncomeLimits!AL5*0.3/12, 0)</f>
        <v>975</v>
      </c>
      <c r="AA7" s="1009">
        <f>ROUNDDOWN(AVERAGE(IncomeLimits!AL5:'IncomeLimits'!AM5)*0.3/12, 0)</f>
        <v>1044</v>
      </c>
      <c r="AB7" s="1009">
        <f>ROUNDDOWN(IncomeLimits!AN5*0.3/12, 0)</f>
        <v>1254</v>
      </c>
      <c r="AC7" s="1009">
        <f>ROUNDDOWN(AVERAGE(IncomeLimits!AO5:'IncomeLimits'!AP5)*0.3/12,0)</f>
        <v>1448</v>
      </c>
      <c r="AD7" s="1009">
        <f>ROUNDDOWN(IncomeLimits!AQ5*0.3/12,0)</f>
        <v>1615</v>
      </c>
      <c r="AE7" s="1680">
        <f>ROUNDDOWN(AVERAGE(IncomeLimits!AR5:'IncomeLimits'!AS5)*0.3/12,0)</f>
        <v>1782</v>
      </c>
      <c r="AF7" s="65">
        <f>ROUNDDOWN(IncomeLimits!AU5*0.3/12, 0)</f>
        <v>1137</v>
      </c>
      <c r="AG7" s="1009">
        <f>ROUNDDOWN(AVERAGE(IncomeLimits!AU5:'IncomeLimits'!AV5)*0.3/12, 0)</f>
        <v>1218</v>
      </c>
      <c r="AH7" s="1009">
        <f>ROUNDDOWN(IncomeLimits!AW5*0.3/12, 0)</f>
        <v>1463</v>
      </c>
      <c r="AI7" s="1009">
        <f>ROUNDDOWN(AVERAGE(IncomeLimits!AX5:'IncomeLimits'!AY5)*0.3/12,0)</f>
        <v>1689</v>
      </c>
      <c r="AJ7" s="1009">
        <f>ROUNDDOWN(IncomeLimits!AZ5*0.3/12,0)</f>
        <v>1884</v>
      </c>
      <c r="AK7" s="76">
        <f>ROUNDDOWN(AVERAGE(IncomeLimits!BA5:'IncomeLimits'!BB5)*0.3/12,0)</f>
        <v>2079</v>
      </c>
      <c r="AL7" s="65">
        <f>ROUNDDOWN(IncomeLimits!BD5*0.3/12, 0)</f>
        <v>1300</v>
      </c>
      <c r="AM7" s="1009">
        <f>ROUNDDOWN(AVERAGE(IncomeLimits!BD5:'IncomeLimits'!BE5)*0.3/12, 0)</f>
        <v>1393</v>
      </c>
      <c r="AN7" s="1009">
        <f>ROUNDDOWN(IncomeLimits!BF5*0.3/12, 0)</f>
        <v>1672</v>
      </c>
      <c r="AO7" s="1009">
        <f>ROUNDDOWN(AVERAGE(IncomeLimits!BG5:'IncomeLimits'!BH5)*0.3/12,0)</f>
        <v>1931</v>
      </c>
      <c r="AP7" s="1009">
        <f>ROUNDDOWN(IncomeLimits!BI5*0.3/12,0)</f>
        <v>2154</v>
      </c>
      <c r="AQ7" s="76">
        <f>ROUNDDOWN(AVERAGE(IncomeLimits!BJ5:'IncomeLimits'!BK5)*0.3/12,0)</f>
        <v>2376</v>
      </c>
    </row>
    <row r="8" spans="1:43">
      <c r="A8" s="77" t="s">
        <v>336</v>
      </c>
      <c r="B8" s="75">
        <f>ROUNDDOWN(IncomeLimits!B6*0.3/12, 0)</f>
        <v>325</v>
      </c>
      <c r="C8" s="1009">
        <f>ROUNDDOWN(AVERAGE(IncomeLimits!B6:C6)*0.3/12, 0)</f>
        <v>348</v>
      </c>
      <c r="D8" s="1009">
        <f>ROUNDDOWN(IncomeLimits!D6*0.3/12, 0)</f>
        <v>418</v>
      </c>
      <c r="E8" s="1009">
        <f>ROUNDDOWN(AVERAGE(IncomeLimits!E6:'IncomeLimits'!F6)*0.3/12,0)</f>
        <v>482</v>
      </c>
      <c r="F8" s="1009">
        <f>ROUNDDOWN(IncomeLimits!G6*0.3/12,0)</f>
        <v>538</v>
      </c>
      <c r="G8" s="66">
        <f>ROUNDDOWN(AVERAGE(IncomeLimits!H6:'IncomeLimits'!I6)*0.3/12,0)</f>
        <v>594</v>
      </c>
      <c r="H8" s="75">
        <f>ROUNDDOWN(IncomeLimits!K6*0.3/12, 0)</f>
        <v>487</v>
      </c>
      <c r="I8" s="1009">
        <f>ROUNDDOWN(AVERAGE(IncomeLimits!K6:'IncomeLimits'!L6)*0.3/12, 0)</f>
        <v>522</v>
      </c>
      <c r="J8" s="1009">
        <f>ROUNDDOWN(IncomeLimits!M6*0.3/12, 0)</f>
        <v>627</v>
      </c>
      <c r="K8" s="1009">
        <f>ROUNDDOWN(AVERAGE(IncomeLimits!N6:'IncomeLimits'!O6)*0.3/12,0)</f>
        <v>724</v>
      </c>
      <c r="L8" s="1009">
        <f>ROUNDDOWN(IncomeLimits!P6*0.3/12,0)</f>
        <v>807</v>
      </c>
      <c r="M8" s="76">
        <f>ROUNDDOWN(AVERAGE(IncomeLimits!Q6:'IncomeLimits'!R6)*0.3/12,0)</f>
        <v>891</v>
      </c>
      <c r="N8" s="65">
        <f>ROUNDDOWN(IncomeLimits!T6*0.3/12, 0)</f>
        <v>650</v>
      </c>
      <c r="O8" s="1009">
        <f>ROUNDDOWN(AVERAGE(IncomeLimits!T6:'IncomeLimits'!U6)*0.3/12, 0)</f>
        <v>696</v>
      </c>
      <c r="P8" s="1009">
        <f>ROUNDDOWN(IncomeLimits!V6*0.3/12, 0)</f>
        <v>836</v>
      </c>
      <c r="Q8" s="1009">
        <f>ROUNDDOWN(AVERAGE(IncomeLimits!W6:'IncomeLimits'!X6)*0.3/12,0)</f>
        <v>965</v>
      </c>
      <c r="R8" s="1009">
        <f>ROUNDDOWN(IncomeLimits!Y6*0.3/12,0)</f>
        <v>1077</v>
      </c>
      <c r="S8" s="66">
        <f>ROUNDDOWN(AVERAGE(IncomeLimits!Z6:'IncomeLimits'!AA6)*0.3/12,0)</f>
        <v>1188</v>
      </c>
      <c r="T8" s="66">
        <f>ROUNDDOWN(IncomeLimits!AC6*0.3/12, 0)</f>
        <v>812</v>
      </c>
      <c r="U8" s="66">
        <f>ROUNDDOWN(AVERAGE(IncomeLimits!AC6:'IncomeLimits'!AD6)*0.3/12,0)</f>
        <v>870</v>
      </c>
      <c r="V8" s="66">
        <f>ROUNDDOWN(IncomeLimits!AE6*0.3/12, 0)</f>
        <v>1045</v>
      </c>
      <c r="W8" s="66">
        <f>ROUNDDOWN(AVERAGE(IncomeLimits!AF6:'IncomeLimits'!AG6)*0.3/12,0)</f>
        <v>1206</v>
      </c>
      <c r="X8" s="66">
        <f>ROUNDDOWN(IncomeLimits!AH6*0.3/12,0)</f>
        <v>1346</v>
      </c>
      <c r="Y8" s="66">
        <f>ROUNDDOWN(AVERAGE(IncomeLimits!AI6:'IncomeLimits'!AJ6)*0.3/12,0)</f>
        <v>1485</v>
      </c>
      <c r="Z8" s="1679">
        <f>ROUNDDOWN(IncomeLimits!AL6*0.3/12, 0)</f>
        <v>975</v>
      </c>
      <c r="AA8" s="1009">
        <f>ROUNDDOWN(AVERAGE(IncomeLimits!AL6:'IncomeLimits'!AM6)*0.3/12, 0)</f>
        <v>1044</v>
      </c>
      <c r="AB8" s="1009">
        <f>ROUNDDOWN(IncomeLimits!AN6*0.3/12, 0)</f>
        <v>1254</v>
      </c>
      <c r="AC8" s="1009">
        <f>ROUNDDOWN(AVERAGE(IncomeLimits!AO6:'IncomeLimits'!AP6)*0.3/12,0)</f>
        <v>1448</v>
      </c>
      <c r="AD8" s="1009">
        <f>ROUNDDOWN(IncomeLimits!AQ6*0.3/12,0)</f>
        <v>1615</v>
      </c>
      <c r="AE8" s="1680">
        <f>ROUNDDOWN(AVERAGE(IncomeLimits!AR6:'IncomeLimits'!AS6)*0.3/12,0)</f>
        <v>1782</v>
      </c>
      <c r="AF8" s="65">
        <f>ROUNDDOWN(IncomeLimits!AU6*0.3/12, 0)</f>
        <v>1137</v>
      </c>
      <c r="AG8" s="1009">
        <f>ROUNDDOWN(AVERAGE(IncomeLimits!AU6:'IncomeLimits'!AV6)*0.3/12, 0)</f>
        <v>1218</v>
      </c>
      <c r="AH8" s="1009">
        <f>ROUNDDOWN(IncomeLimits!AW6*0.3/12, 0)</f>
        <v>1463</v>
      </c>
      <c r="AI8" s="1009">
        <f>ROUNDDOWN(AVERAGE(IncomeLimits!AX6:'IncomeLimits'!AY6)*0.3/12,0)</f>
        <v>1689</v>
      </c>
      <c r="AJ8" s="1009">
        <f>ROUNDDOWN(IncomeLimits!AZ6*0.3/12,0)</f>
        <v>1884</v>
      </c>
      <c r="AK8" s="76">
        <f>ROUNDDOWN(AVERAGE(IncomeLimits!BA6:'IncomeLimits'!BB6)*0.3/12,0)</f>
        <v>2079</v>
      </c>
      <c r="AL8" s="65">
        <f>ROUNDDOWN(IncomeLimits!BD6*0.3/12, 0)</f>
        <v>1300</v>
      </c>
      <c r="AM8" s="1009">
        <f>ROUNDDOWN(AVERAGE(IncomeLimits!BD6:'IncomeLimits'!BE6)*0.3/12, 0)</f>
        <v>1393</v>
      </c>
      <c r="AN8" s="1009">
        <f>ROUNDDOWN(IncomeLimits!BF6*0.3/12, 0)</f>
        <v>1672</v>
      </c>
      <c r="AO8" s="1009">
        <f>ROUNDDOWN(AVERAGE(IncomeLimits!BG6:'IncomeLimits'!BH6)*0.3/12,0)</f>
        <v>1931</v>
      </c>
      <c r="AP8" s="1009">
        <f>ROUNDDOWN(IncomeLimits!BI6*0.3/12,0)</f>
        <v>2154</v>
      </c>
      <c r="AQ8" s="76">
        <f>ROUNDDOWN(AVERAGE(IncomeLimits!BJ6:'IncomeLimits'!BK6)*0.3/12,0)</f>
        <v>2376</v>
      </c>
    </row>
    <row r="9" spans="1:43">
      <c r="A9" s="77" t="s">
        <v>281</v>
      </c>
      <c r="B9" s="75">
        <f>ROUNDDOWN(IncomeLimits!B7*0.3/12, 0)</f>
        <v>374</v>
      </c>
      <c r="C9" s="1009">
        <f>ROUNDDOWN(AVERAGE(IncomeLimits!B7:C7)*0.3/12, 0)</f>
        <v>401</v>
      </c>
      <c r="D9" s="1009">
        <f>ROUNDDOWN(IncomeLimits!D7*0.3/12, 0)</f>
        <v>481</v>
      </c>
      <c r="E9" s="1009">
        <f>ROUNDDOWN(AVERAGE(IncomeLimits!E7:'IncomeLimits'!F7)*0.3/12,0)</f>
        <v>556</v>
      </c>
      <c r="F9" s="1009">
        <f>ROUNDDOWN(IncomeLimits!G7*0.3/12,0)</f>
        <v>620</v>
      </c>
      <c r="G9" s="66">
        <f>ROUNDDOWN(AVERAGE(IncomeLimits!H7:'IncomeLimits'!I7)*0.3/12,0)</f>
        <v>685</v>
      </c>
      <c r="H9" s="75">
        <f>ROUNDDOWN(IncomeLimits!K7*0.3/12, 0)</f>
        <v>561</v>
      </c>
      <c r="I9" s="1009">
        <f>ROUNDDOWN(AVERAGE(IncomeLimits!K7:'IncomeLimits'!L7)*0.3/12, 0)</f>
        <v>601</v>
      </c>
      <c r="J9" s="1009">
        <f>ROUNDDOWN(IncomeLimits!M7*0.3/12, 0)</f>
        <v>722</v>
      </c>
      <c r="K9" s="1009">
        <f>ROUNDDOWN(AVERAGE(IncomeLimits!N7:'IncomeLimits'!O7)*0.3/12,0)</f>
        <v>834</v>
      </c>
      <c r="L9" s="1009">
        <f>ROUNDDOWN(IncomeLimits!P7*0.3/12,0)</f>
        <v>930</v>
      </c>
      <c r="M9" s="76">
        <f>ROUNDDOWN(AVERAGE(IncomeLimits!Q7:'IncomeLimits'!R7)*0.3/12,0)</f>
        <v>1027</v>
      </c>
      <c r="N9" s="65">
        <f>ROUNDDOWN(IncomeLimits!T7*0.3/12, 0)</f>
        <v>749</v>
      </c>
      <c r="O9" s="1009">
        <f>ROUNDDOWN(AVERAGE(IncomeLimits!T7:'IncomeLimits'!U7)*0.3/12, 0)</f>
        <v>802</v>
      </c>
      <c r="P9" s="1009">
        <f>ROUNDDOWN(IncomeLimits!V7*0.3/12, 0)</f>
        <v>963</v>
      </c>
      <c r="Q9" s="1009">
        <f>ROUNDDOWN(AVERAGE(IncomeLimits!W7:'IncomeLimits'!X7)*0.3/12,0)</f>
        <v>1113</v>
      </c>
      <c r="R9" s="1009">
        <f>ROUNDDOWN(IncomeLimits!Y7*0.3/12,0)</f>
        <v>1241</v>
      </c>
      <c r="S9" s="66">
        <f>ROUNDDOWN(AVERAGE(IncomeLimits!Z7:'IncomeLimits'!AA7)*0.3/12,0)</f>
        <v>1370</v>
      </c>
      <c r="T9" s="66">
        <f>ROUNDDOWN(IncomeLimits!AC7*0.3/12, 0)</f>
        <v>936</v>
      </c>
      <c r="U9" s="66">
        <f>ROUNDDOWN(AVERAGE(IncomeLimits!AC7:'IncomeLimits'!AD7)*0.3/12,0)</f>
        <v>1003</v>
      </c>
      <c r="V9" s="66">
        <f>ROUNDDOWN(IncomeLimits!AE7*0.3/12, 0)</f>
        <v>1203</v>
      </c>
      <c r="W9" s="66">
        <f>ROUNDDOWN(AVERAGE(IncomeLimits!AF7:'IncomeLimits'!AG7)*0.3/12,0)</f>
        <v>1391</v>
      </c>
      <c r="X9" s="66">
        <f>ROUNDDOWN(IncomeLimits!AH7*0.3/12,0)</f>
        <v>1551</v>
      </c>
      <c r="Y9" s="66">
        <f>ROUNDDOWN(AVERAGE(IncomeLimits!AI7:'IncomeLimits'!AJ7)*0.3/12,0)</f>
        <v>1712</v>
      </c>
      <c r="Z9" s="1679">
        <f>ROUNDDOWN(IncomeLimits!AL7*0.3/12, 0)</f>
        <v>1123</v>
      </c>
      <c r="AA9" s="1009">
        <f>ROUNDDOWN(AVERAGE(IncomeLimits!AL7:'IncomeLimits'!AM7)*0.3/12, 0)</f>
        <v>1203</v>
      </c>
      <c r="AB9" s="1009">
        <f>ROUNDDOWN(IncomeLimits!AN7*0.3/12, 0)</f>
        <v>1444</v>
      </c>
      <c r="AC9" s="1009">
        <f>ROUNDDOWN(AVERAGE(IncomeLimits!AO7:'IncomeLimits'!AP7)*0.3/12,0)</f>
        <v>1669</v>
      </c>
      <c r="AD9" s="1009">
        <f>ROUNDDOWN(IncomeLimits!AQ7*0.3/12,0)</f>
        <v>1861</v>
      </c>
      <c r="AE9" s="1680">
        <f>ROUNDDOWN(AVERAGE(IncomeLimits!AR7:'IncomeLimits'!AS7)*0.3/12,0)</f>
        <v>2055</v>
      </c>
      <c r="AF9" s="65">
        <f>ROUNDDOWN(IncomeLimits!AU7*0.3/12, 0)</f>
        <v>1310</v>
      </c>
      <c r="AG9" s="1009">
        <f>ROUNDDOWN(AVERAGE(IncomeLimits!AU7:'IncomeLimits'!AV7)*0.3/12, 0)</f>
        <v>1404</v>
      </c>
      <c r="AH9" s="1009">
        <f>ROUNDDOWN(IncomeLimits!AW7*0.3/12, 0)</f>
        <v>1685</v>
      </c>
      <c r="AI9" s="1009">
        <f>ROUNDDOWN(AVERAGE(IncomeLimits!AX7:'IncomeLimits'!AY7)*0.3/12,0)</f>
        <v>1947</v>
      </c>
      <c r="AJ9" s="1009">
        <f>ROUNDDOWN(IncomeLimits!AZ7*0.3/12,0)</f>
        <v>2171</v>
      </c>
      <c r="AK9" s="76">
        <f>ROUNDDOWN(AVERAGE(IncomeLimits!BA7:'IncomeLimits'!BB7)*0.3/12,0)</f>
        <v>2397</v>
      </c>
      <c r="AL9" s="65">
        <f>ROUNDDOWN(IncomeLimits!BD7*0.3/12, 0)</f>
        <v>1498</v>
      </c>
      <c r="AM9" s="1009">
        <f>ROUNDDOWN(AVERAGE(IncomeLimits!BD7:'IncomeLimits'!BE7)*0.3/12, 0)</f>
        <v>1605</v>
      </c>
      <c r="AN9" s="1009">
        <f>ROUNDDOWN(IncomeLimits!BF7*0.3/12, 0)</f>
        <v>1926</v>
      </c>
      <c r="AO9" s="1009">
        <f>ROUNDDOWN(AVERAGE(IncomeLimits!BG7:'IncomeLimits'!BH7)*0.3/12,0)</f>
        <v>2226</v>
      </c>
      <c r="AP9" s="1009">
        <f>ROUNDDOWN(IncomeLimits!BI7*0.3/12,0)</f>
        <v>2482</v>
      </c>
      <c r="AQ9" s="76">
        <f>ROUNDDOWN(AVERAGE(IncomeLimits!BJ7:'IncomeLimits'!BK7)*0.3/12,0)</f>
        <v>2740</v>
      </c>
    </row>
    <row r="10" spans="1:43">
      <c r="A10" s="77" t="s">
        <v>362</v>
      </c>
      <c r="B10" s="75">
        <f>ROUNDDOWN(IncomeLimits!B8*0.3/12, 0)</f>
        <v>325</v>
      </c>
      <c r="C10" s="1009">
        <f>ROUNDDOWN(AVERAGE(IncomeLimits!B8:C8)*0.3/12, 0)</f>
        <v>348</v>
      </c>
      <c r="D10" s="1009">
        <f>ROUNDDOWN(IncomeLimits!D8*0.3/12, 0)</f>
        <v>418</v>
      </c>
      <c r="E10" s="1009">
        <f>ROUNDDOWN(AVERAGE(IncomeLimits!E8:'IncomeLimits'!F8)*0.3/12,0)</f>
        <v>482</v>
      </c>
      <c r="F10" s="1009">
        <f>ROUNDDOWN(IncomeLimits!G8*0.3/12,0)</f>
        <v>538</v>
      </c>
      <c r="G10" s="66">
        <f>ROUNDDOWN(AVERAGE(IncomeLimits!H8:'IncomeLimits'!I8)*0.3/12,0)</f>
        <v>594</v>
      </c>
      <c r="H10" s="75">
        <f>ROUNDDOWN(IncomeLimits!K8*0.3/12, 0)</f>
        <v>487</v>
      </c>
      <c r="I10" s="1009">
        <f>ROUNDDOWN(AVERAGE(IncomeLimits!K8:'IncomeLimits'!L8)*0.3/12, 0)</f>
        <v>522</v>
      </c>
      <c r="J10" s="1009">
        <f>ROUNDDOWN(IncomeLimits!M8*0.3/12, 0)</f>
        <v>627</v>
      </c>
      <c r="K10" s="1009">
        <f>ROUNDDOWN(AVERAGE(IncomeLimits!N8:'IncomeLimits'!O8)*0.3/12,0)</f>
        <v>724</v>
      </c>
      <c r="L10" s="1009">
        <f>ROUNDDOWN(IncomeLimits!P8*0.3/12,0)</f>
        <v>807</v>
      </c>
      <c r="M10" s="76">
        <f>ROUNDDOWN(AVERAGE(IncomeLimits!Q8:'IncomeLimits'!R8)*0.3/12,0)</f>
        <v>891</v>
      </c>
      <c r="N10" s="65">
        <f>ROUNDDOWN(IncomeLimits!T8*0.3/12, 0)</f>
        <v>650</v>
      </c>
      <c r="O10" s="1009">
        <f>ROUNDDOWN(AVERAGE(IncomeLimits!T8:'IncomeLimits'!U8)*0.3/12, 0)</f>
        <v>696</v>
      </c>
      <c r="P10" s="1009">
        <f>ROUNDDOWN(IncomeLimits!V8*0.3/12, 0)</f>
        <v>836</v>
      </c>
      <c r="Q10" s="1009">
        <f>ROUNDDOWN(AVERAGE(IncomeLimits!W8:'IncomeLimits'!X8)*0.3/12,0)</f>
        <v>965</v>
      </c>
      <c r="R10" s="1009">
        <f>ROUNDDOWN(IncomeLimits!Y8*0.3/12,0)</f>
        <v>1077</v>
      </c>
      <c r="S10" s="66">
        <f>ROUNDDOWN(AVERAGE(IncomeLimits!Z8:'IncomeLimits'!AA8)*0.3/12,0)</f>
        <v>1188</v>
      </c>
      <c r="T10" s="66">
        <f>ROUNDDOWN(IncomeLimits!AC8*0.3/12, 0)</f>
        <v>812</v>
      </c>
      <c r="U10" s="66">
        <f>ROUNDDOWN(AVERAGE(IncomeLimits!AC8:'IncomeLimits'!AD8)*0.3/12,0)</f>
        <v>870</v>
      </c>
      <c r="V10" s="66">
        <f>ROUNDDOWN(IncomeLimits!AE8*0.3/12, 0)</f>
        <v>1045</v>
      </c>
      <c r="W10" s="66">
        <f>ROUNDDOWN(AVERAGE(IncomeLimits!AF8:'IncomeLimits'!AG8)*0.3/12,0)</f>
        <v>1206</v>
      </c>
      <c r="X10" s="66">
        <f>ROUNDDOWN(IncomeLimits!AH8*0.3/12,0)</f>
        <v>1346</v>
      </c>
      <c r="Y10" s="66">
        <f>ROUNDDOWN(AVERAGE(IncomeLimits!AI8:'IncomeLimits'!AJ8)*0.3/12,0)</f>
        <v>1485</v>
      </c>
      <c r="Z10" s="1679">
        <f>ROUNDDOWN(IncomeLimits!AL8*0.3/12, 0)</f>
        <v>975</v>
      </c>
      <c r="AA10" s="1009">
        <f>ROUNDDOWN(AVERAGE(IncomeLimits!AL8:'IncomeLimits'!AM8)*0.3/12, 0)</f>
        <v>1044</v>
      </c>
      <c r="AB10" s="1009">
        <f>ROUNDDOWN(IncomeLimits!AN8*0.3/12, 0)</f>
        <v>1254</v>
      </c>
      <c r="AC10" s="1009">
        <f>ROUNDDOWN(AVERAGE(IncomeLimits!AO8:'IncomeLimits'!AP8)*0.3/12,0)</f>
        <v>1448</v>
      </c>
      <c r="AD10" s="1009">
        <f>ROUNDDOWN(IncomeLimits!AQ8*0.3/12,0)</f>
        <v>1615</v>
      </c>
      <c r="AE10" s="1680">
        <f>ROUNDDOWN(AVERAGE(IncomeLimits!AR8:'IncomeLimits'!AS8)*0.3/12,0)</f>
        <v>1782</v>
      </c>
      <c r="AF10" s="65">
        <f>ROUNDDOWN(IncomeLimits!AU8*0.3/12, 0)</f>
        <v>1137</v>
      </c>
      <c r="AG10" s="1009">
        <f>ROUNDDOWN(AVERAGE(IncomeLimits!AU8:'IncomeLimits'!AV8)*0.3/12, 0)</f>
        <v>1218</v>
      </c>
      <c r="AH10" s="1009">
        <f>ROUNDDOWN(IncomeLimits!AW8*0.3/12, 0)</f>
        <v>1463</v>
      </c>
      <c r="AI10" s="1009">
        <f>ROUNDDOWN(AVERAGE(IncomeLimits!AX8:'IncomeLimits'!AY8)*0.3/12,0)</f>
        <v>1689</v>
      </c>
      <c r="AJ10" s="1009">
        <f>ROUNDDOWN(IncomeLimits!AZ8*0.3/12,0)</f>
        <v>1884</v>
      </c>
      <c r="AK10" s="76">
        <f>ROUNDDOWN(AVERAGE(IncomeLimits!BA8:'IncomeLimits'!BB8)*0.3/12,0)</f>
        <v>2079</v>
      </c>
      <c r="AL10" s="65">
        <f>ROUNDDOWN(IncomeLimits!BD8*0.3/12, 0)</f>
        <v>1300</v>
      </c>
      <c r="AM10" s="1009">
        <f>ROUNDDOWN(AVERAGE(IncomeLimits!BD8:'IncomeLimits'!BE8)*0.3/12, 0)</f>
        <v>1393</v>
      </c>
      <c r="AN10" s="1009">
        <f>ROUNDDOWN(IncomeLimits!BF8*0.3/12, 0)</f>
        <v>1672</v>
      </c>
      <c r="AO10" s="1009">
        <f>ROUNDDOWN(AVERAGE(IncomeLimits!BG8:'IncomeLimits'!BH8)*0.3/12,0)</f>
        <v>1931</v>
      </c>
      <c r="AP10" s="1009">
        <f>ROUNDDOWN(IncomeLimits!BI8*0.3/12,0)</f>
        <v>2154</v>
      </c>
      <c r="AQ10" s="76">
        <f>ROUNDDOWN(AVERAGE(IncomeLimits!BJ8:'IncomeLimits'!BK8)*0.3/12,0)</f>
        <v>2376</v>
      </c>
    </row>
    <row r="11" spans="1:43">
      <c r="A11" s="77" t="s">
        <v>371</v>
      </c>
      <c r="B11" s="75">
        <f>ROUNDDOWN(IncomeLimits!B9*0.3/12, 0)</f>
        <v>325</v>
      </c>
      <c r="C11" s="1009">
        <f>ROUNDDOWN(AVERAGE(IncomeLimits!B9:C9)*0.3/12, 0)</f>
        <v>348</v>
      </c>
      <c r="D11" s="1009">
        <f>ROUNDDOWN(IncomeLimits!D9*0.3/12, 0)</f>
        <v>418</v>
      </c>
      <c r="E11" s="1009">
        <f>ROUNDDOWN(AVERAGE(IncomeLimits!E9:'IncomeLimits'!F9)*0.3/12,0)</f>
        <v>482</v>
      </c>
      <c r="F11" s="1009">
        <f>ROUNDDOWN(IncomeLimits!G9*0.3/12,0)</f>
        <v>538</v>
      </c>
      <c r="G11" s="66">
        <f>ROUNDDOWN(AVERAGE(IncomeLimits!H9:'IncomeLimits'!I9)*0.3/12,0)</f>
        <v>594</v>
      </c>
      <c r="H11" s="75">
        <f>ROUNDDOWN(IncomeLimits!K9*0.3/12, 0)</f>
        <v>487</v>
      </c>
      <c r="I11" s="1009">
        <f>ROUNDDOWN(AVERAGE(IncomeLimits!K9:'IncomeLimits'!L9)*0.3/12, 0)</f>
        <v>522</v>
      </c>
      <c r="J11" s="1009">
        <f>ROUNDDOWN(IncomeLimits!M9*0.3/12, 0)</f>
        <v>627</v>
      </c>
      <c r="K11" s="1009">
        <f>ROUNDDOWN(AVERAGE(IncomeLimits!N9:'IncomeLimits'!O9)*0.3/12,0)</f>
        <v>724</v>
      </c>
      <c r="L11" s="1009">
        <f>ROUNDDOWN(IncomeLimits!P9*0.3/12,0)</f>
        <v>807</v>
      </c>
      <c r="M11" s="76">
        <f>ROUNDDOWN(AVERAGE(IncomeLimits!Q9:'IncomeLimits'!R9)*0.3/12,0)</f>
        <v>891</v>
      </c>
      <c r="N11" s="65">
        <f>ROUNDDOWN(IncomeLimits!T9*0.3/12, 0)</f>
        <v>650</v>
      </c>
      <c r="O11" s="1009">
        <f>ROUNDDOWN(AVERAGE(IncomeLimits!T9:'IncomeLimits'!U9)*0.3/12, 0)</f>
        <v>696</v>
      </c>
      <c r="P11" s="1009">
        <f>ROUNDDOWN(IncomeLimits!V9*0.3/12, 0)</f>
        <v>836</v>
      </c>
      <c r="Q11" s="1009">
        <f>ROUNDDOWN(AVERAGE(IncomeLimits!W9:'IncomeLimits'!X9)*0.3/12,0)</f>
        <v>965</v>
      </c>
      <c r="R11" s="1009">
        <f>ROUNDDOWN(IncomeLimits!Y9*0.3/12,0)</f>
        <v>1077</v>
      </c>
      <c r="S11" s="66">
        <f>ROUNDDOWN(AVERAGE(IncomeLimits!Z9:'IncomeLimits'!AA9)*0.3/12,0)</f>
        <v>1188</v>
      </c>
      <c r="T11" s="66">
        <f>ROUNDDOWN(IncomeLimits!AC9*0.3/12, 0)</f>
        <v>812</v>
      </c>
      <c r="U11" s="66">
        <f>ROUNDDOWN(AVERAGE(IncomeLimits!AC9:'IncomeLimits'!AD9)*0.3/12,0)</f>
        <v>870</v>
      </c>
      <c r="V11" s="66">
        <f>ROUNDDOWN(IncomeLimits!AE9*0.3/12, 0)</f>
        <v>1045</v>
      </c>
      <c r="W11" s="66">
        <f>ROUNDDOWN(AVERAGE(IncomeLimits!AF9:'IncomeLimits'!AG9)*0.3/12,0)</f>
        <v>1206</v>
      </c>
      <c r="X11" s="66">
        <f>ROUNDDOWN(IncomeLimits!AH9*0.3/12,0)</f>
        <v>1346</v>
      </c>
      <c r="Y11" s="66">
        <f>ROUNDDOWN(AVERAGE(IncomeLimits!AI9:'IncomeLimits'!AJ9)*0.3/12,0)</f>
        <v>1485</v>
      </c>
      <c r="Z11" s="1679">
        <f>ROUNDDOWN(IncomeLimits!AL9*0.3/12, 0)</f>
        <v>975</v>
      </c>
      <c r="AA11" s="1009">
        <f>ROUNDDOWN(AVERAGE(IncomeLimits!AL9:'IncomeLimits'!AM9)*0.3/12, 0)</f>
        <v>1044</v>
      </c>
      <c r="AB11" s="1009">
        <f>ROUNDDOWN(IncomeLimits!AN9*0.3/12, 0)</f>
        <v>1254</v>
      </c>
      <c r="AC11" s="1009">
        <f>ROUNDDOWN(AVERAGE(IncomeLimits!AO9:'IncomeLimits'!AP9)*0.3/12,0)</f>
        <v>1448</v>
      </c>
      <c r="AD11" s="1009">
        <f>ROUNDDOWN(IncomeLimits!AQ9*0.3/12,0)</f>
        <v>1615</v>
      </c>
      <c r="AE11" s="1680">
        <f>ROUNDDOWN(AVERAGE(IncomeLimits!AR9:'IncomeLimits'!AS9)*0.3/12,0)</f>
        <v>1782</v>
      </c>
      <c r="AF11" s="65">
        <f>ROUNDDOWN(IncomeLimits!AU9*0.3/12, 0)</f>
        <v>1137</v>
      </c>
      <c r="AG11" s="1009">
        <f>ROUNDDOWN(AVERAGE(IncomeLimits!AU9:'IncomeLimits'!AV9)*0.3/12, 0)</f>
        <v>1218</v>
      </c>
      <c r="AH11" s="1009">
        <f>ROUNDDOWN(IncomeLimits!AW9*0.3/12, 0)</f>
        <v>1463</v>
      </c>
      <c r="AI11" s="1009">
        <f>ROUNDDOWN(AVERAGE(IncomeLimits!AX9:'IncomeLimits'!AY9)*0.3/12,0)</f>
        <v>1689</v>
      </c>
      <c r="AJ11" s="1009">
        <f>ROUNDDOWN(IncomeLimits!AZ9*0.3/12,0)</f>
        <v>1884</v>
      </c>
      <c r="AK11" s="76">
        <f>ROUNDDOWN(AVERAGE(IncomeLimits!BA9:'IncomeLimits'!BB9)*0.3/12,0)</f>
        <v>2079</v>
      </c>
      <c r="AL11" s="65">
        <f>ROUNDDOWN(IncomeLimits!BD9*0.3/12, 0)</f>
        <v>1300</v>
      </c>
      <c r="AM11" s="1009">
        <f>ROUNDDOWN(AVERAGE(IncomeLimits!BD9:'IncomeLimits'!BE9)*0.3/12, 0)</f>
        <v>1393</v>
      </c>
      <c r="AN11" s="1009">
        <f>ROUNDDOWN(IncomeLimits!BF9*0.3/12, 0)</f>
        <v>1672</v>
      </c>
      <c r="AO11" s="1009">
        <f>ROUNDDOWN(AVERAGE(IncomeLimits!BG9:'IncomeLimits'!BH9)*0.3/12,0)</f>
        <v>1931</v>
      </c>
      <c r="AP11" s="1009">
        <f>ROUNDDOWN(IncomeLimits!BI9*0.3/12,0)</f>
        <v>2154</v>
      </c>
      <c r="AQ11" s="76">
        <f>ROUNDDOWN(AVERAGE(IncomeLimits!BJ9:'IncomeLimits'!BK9)*0.3/12,0)</f>
        <v>2376</v>
      </c>
    </row>
    <row r="12" spans="1:43">
      <c r="A12" s="77" t="s">
        <v>307</v>
      </c>
      <c r="B12" s="75">
        <f>ROUNDDOWN(IncomeLimits!B10*0.3/12, 0)</f>
        <v>390</v>
      </c>
      <c r="C12" s="1009">
        <f>ROUNDDOWN(AVERAGE(IncomeLimits!B10:C10)*0.3/12, 0)</f>
        <v>418</v>
      </c>
      <c r="D12" s="1009">
        <f>ROUNDDOWN(IncomeLimits!D10*0.3/12, 0)</f>
        <v>502</v>
      </c>
      <c r="E12" s="1009">
        <f>ROUNDDOWN(AVERAGE(IncomeLimits!E10:'IncomeLimits'!F10)*0.3/12,0)</f>
        <v>580</v>
      </c>
      <c r="F12" s="1009">
        <f>ROUNDDOWN(IncomeLimits!G10*0.3/12,0)</f>
        <v>647</v>
      </c>
      <c r="G12" s="66">
        <f>ROUNDDOWN(AVERAGE(IncomeLimits!H10:'IncomeLimits'!I10)*0.3/12,0)</f>
        <v>713</v>
      </c>
      <c r="H12" s="75">
        <f>ROUNDDOWN(IncomeLimits!K10*0.3/12, 0)</f>
        <v>585</v>
      </c>
      <c r="I12" s="1009">
        <f>ROUNDDOWN(AVERAGE(IncomeLimits!K10:'IncomeLimits'!L10)*0.3/12, 0)</f>
        <v>627</v>
      </c>
      <c r="J12" s="1009">
        <f>ROUNDDOWN(IncomeLimits!M10*0.3/12, 0)</f>
        <v>753</v>
      </c>
      <c r="K12" s="1009">
        <f>ROUNDDOWN(AVERAGE(IncomeLimits!N10:'IncomeLimits'!O10)*0.3/12,0)</f>
        <v>870</v>
      </c>
      <c r="L12" s="1009">
        <f>ROUNDDOWN(IncomeLimits!P10*0.3/12,0)</f>
        <v>970</v>
      </c>
      <c r="M12" s="76">
        <f>ROUNDDOWN(AVERAGE(IncomeLimits!Q10:'IncomeLimits'!R10)*0.3/12,0)</f>
        <v>1070</v>
      </c>
      <c r="N12" s="65">
        <f>ROUNDDOWN(IncomeLimits!T10*0.3/12, 0)</f>
        <v>781</v>
      </c>
      <c r="O12" s="1009">
        <f>ROUNDDOWN(AVERAGE(IncomeLimits!T10:'IncomeLimits'!U10)*0.3/12, 0)</f>
        <v>836</v>
      </c>
      <c r="P12" s="1009">
        <f>ROUNDDOWN(IncomeLimits!V10*0.3/12, 0)</f>
        <v>1004</v>
      </c>
      <c r="Q12" s="1009">
        <f>ROUNDDOWN(AVERAGE(IncomeLimits!W10:'IncomeLimits'!X10)*0.3/12,0)</f>
        <v>1160</v>
      </c>
      <c r="R12" s="1009">
        <f>ROUNDDOWN(IncomeLimits!Y10*0.3/12,0)</f>
        <v>1294</v>
      </c>
      <c r="S12" s="66">
        <f>ROUNDDOWN(AVERAGE(IncomeLimits!Z10:'IncomeLimits'!AA10)*0.3/12,0)</f>
        <v>1427</v>
      </c>
      <c r="T12" s="66">
        <f>ROUNDDOWN(IncomeLimits!AC10*0.3/12, 0)</f>
        <v>976</v>
      </c>
      <c r="U12" s="66">
        <f>ROUNDDOWN(AVERAGE(IncomeLimits!AC10:'IncomeLimits'!AD10)*0.3/12,0)</f>
        <v>1045</v>
      </c>
      <c r="V12" s="66">
        <f>ROUNDDOWN(IncomeLimits!AE10*0.3/12, 0)</f>
        <v>1255</v>
      </c>
      <c r="W12" s="66">
        <f>ROUNDDOWN(AVERAGE(IncomeLimits!AF10:'IncomeLimits'!AG10)*0.3/12,0)</f>
        <v>1450</v>
      </c>
      <c r="X12" s="66">
        <f>ROUNDDOWN(IncomeLimits!AH10*0.3/12,0)</f>
        <v>1617</v>
      </c>
      <c r="Y12" s="66">
        <f>ROUNDDOWN(AVERAGE(IncomeLimits!AI10:'IncomeLimits'!AJ10)*0.3/12,0)</f>
        <v>1784</v>
      </c>
      <c r="Z12" s="1679">
        <f>ROUNDDOWN(IncomeLimits!AL10*0.3/12, 0)</f>
        <v>1171</v>
      </c>
      <c r="AA12" s="1009">
        <f>ROUNDDOWN(AVERAGE(IncomeLimits!AL10:'IncomeLimits'!AM10)*0.3/12, 0)</f>
        <v>1254</v>
      </c>
      <c r="AB12" s="1009">
        <f>ROUNDDOWN(IncomeLimits!AN10*0.3/12, 0)</f>
        <v>1506</v>
      </c>
      <c r="AC12" s="1009">
        <f>ROUNDDOWN(AVERAGE(IncomeLimits!AO10:'IncomeLimits'!AP10)*0.3/12,0)</f>
        <v>1740</v>
      </c>
      <c r="AD12" s="1009">
        <f>ROUNDDOWN(IncomeLimits!AQ10*0.3/12,0)</f>
        <v>1941</v>
      </c>
      <c r="AE12" s="1680">
        <f>ROUNDDOWN(AVERAGE(IncomeLimits!AR10:'IncomeLimits'!AS10)*0.3/12,0)</f>
        <v>2141</v>
      </c>
      <c r="AF12" s="65">
        <f>ROUNDDOWN(IncomeLimits!AU10*0.3/12, 0)</f>
        <v>1366</v>
      </c>
      <c r="AG12" s="1009">
        <f>ROUNDDOWN(AVERAGE(IncomeLimits!AU10:'IncomeLimits'!AV10)*0.3/12, 0)</f>
        <v>1463</v>
      </c>
      <c r="AH12" s="1009">
        <f>ROUNDDOWN(IncomeLimits!AW10*0.3/12, 0)</f>
        <v>1757</v>
      </c>
      <c r="AI12" s="1009">
        <f>ROUNDDOWN(AVERAGE(IncomeLimits!AX10:'IncomeLimits'!AY10)*0.3/12,0)</f>
        <v>2030</v>
      </c>
      <c r="AJ12" s="1009">
        <f>ROUNDDOWN(IncomeLimits!AZ10*0.3/12,0)</f>
        <v>2264</v>
      </c>
      <c r="AK12" s="76">
        <f>ROUNDDOWN(AVERAGE(IncomeLimits!BA10:'IncomeLimits'!BB10)*0.3/12,0)</f>
        <v>2498</v>
      </c>
      <c r="AL12" s="65">
        <f>ROUNDDOWN(IncomeLimits!BD10*0.3/12, 0)</f>
        <v>1562</v>
      </c>
      <c r="AM12" s="1009">
        <f>ROUNDDOWN(AVERAGE(IncomeLimits!BD10:'IncomeLimits'!BE10)*0.3/12, 0)</f>
        <v>1673</v>
      </c>
      <c r="AN12" s="1009">
        <f>ROUNDDOWN(IncomeLimits!BF10*0.3/12, 0)</f>
        <v>2008</v>
      </c>
      <c r="AO12" s="1009">
        <f>ROUNDDOWN(AVERAGE(IncomeLimits!BG10:'IncomeLimits'!BH10)*0.3/12,0)</f>
        <v>2320</v>
      </c>
      <c r="AP12" s="1009">
        <f>ROUNDDOWN(IncomeLimits!BI10*0.3/12,0)</f>
        <v>2588</v>
      </c>
      <c r="AQ12" s="76">
        <f>ROUNDDOWN(AVERAGE(IncomeLimits!BJ10:'IncomeLimits'!BK10)*0.3/12,0)</f>
        <v>2855</v>
      </c>
    </row>
    <row r="13" spans="1:43">
      <c r="A13" s="77" t="s">
        <v>329</v>
      </c>
      <c r="B13" s="75">
        <f>ROUNDDOWN(IncomeLimits!B11*0.3/12, 0)</f>
        <v>361</v>
      </c>
      <c r="C13" s="1009">
        <f>ROUNDDOWN(AVERAGE(IncomeLimits!B11:C11)*0.3/12, 0)</f>
        <v>387</v>
      </c>
      <c r="D13" s="1009">
        <f>ROUNDDOWN(IncomeLimits!D11*0.3/12, 0)</f>
        <v>464</v>
      </c>
      <c r="E13" s="1009">
        <f>ROUNDDOWN(AVERAGE(IncomeLimits!E11:'IncomeLimits'!F11)*0.3/12,0)</f>
        <v>536</v>
      </c>
      <c r="F13" s="1009">
        <f>ROUNDDOWN(IncomeLimits!G11*0.3/12,0)</f>
        <v>599</v>
      </c>
      <c r="G13" s="66">
        <f>ROUNDDOWN(AVERAGE(IncomeLimits!H11:'IncomeLimits'!I11)*0.3/12,0)</f>
        <v>660</v>
      </c>
      <c r="H13" s="75">
        <f>ROUNDDOWN(IncomeLimits!K11*0.3/12, 0)</f>
        <v>542</v>
      </c>
      <c r="I13" s="1009">
        <f>ROUNDDOWN(AVERAGE(IncomeLimits!K11:'IncomeLimits'!L11)*0.3/12, 0)</f>
        <v>580</v>
      </c>
      <c r="J13" s="1009">
        <f>ROUNDDOWN(IncomeLimits!M11*0.3/12, 0)</f>
        <v>696</v>
      </c>
      <c r="K13" s="1009">
        <f>ROUNDDOWN(AVERAGE(IncomeLimits!N11:'IncomeLimits'!O11)*0.3/12,0)</f>
        <v>805</v>
      </c>
      <c r="L13" s="1009">
        <f>ROUNDDOWN(IncomeLimits!P11*0.3/12,0)</f>
        <v>898</v>
      </c>
      <c r="M13" s="76">
        <f>ROUNDDOWN(AVERAGE(IncomeLimits!Q11:'IncomeLimits'!R11)*0.3/12,0)</f>
        <v>991</v>
      </c>
      <c r="N13" s="65">
        <f>ROUNDDOWN(IncomeLimits!T11*0.3/12, 0)</f>
        <v>723</v>
      </c>
      <c r="O13" s="1009">
        <f>ROUNDDOWN(AVERAGE(IncomeLimits!T11:'IncomeLimits'!U11)*0.3/12, 0)</f>
        <v>774</v>
      </c>
      <c r="P13" s="1009">
        <f>ROUNDDOWN(IncomeLimits!V11*0.3/12, 0)</f>
        <v>929</v>
      </c>
      <c r="Q13" s="1009">
        <f>ROUNDDOWN(AVERAGE(IncomeLimits!W11:'IncomeLimits'!X11)*0.3/12,0)</f>
        <v>1073</v>
      </c>
      <c r="R13" s="1009">
        <f>ROUNDDOWN(IncomeLimits!Y11*0.3/12,0)</f>
        <v>1198</v>
      </c>
      <c r="S13" s="66">
        <f>ROUNDDOWN(AVERAGE(IncomeLimits!Z11:'IncomeLimits'!AA11)*0.3/12,0)</f>
        <v>1321</v>
      </c>
      <c r="T13" s="66">
        <f>ROUNDDOWN(IncomeLimits!AC11*0.3/12, 0)</f>
        <v>903</v>
      </c>
      <c r="U13" s="66">
        <f>ROUNDDOWN(AVERAGE(IncomeLimits!AC11:'IncomeLimits'!AD11)*0.3/12,0)</f>
        <v>968</v>
      </c>
      <c r="V13" s="66">
        <f>ROUNDDOWN(IncomeLimits!AE11*0.3/12, 0)</f>
        <v>1161</v>
      </c>
      <c r="W13" s="66">
        <f>ROUNDDOWN(AVERAGE(IncomeLimits!AF11:'IncomeLimits'!AG11)*0.3/12,0)</f>
        <v>1341</v>
      </c>
      <c r="X13" s="66">
        <f>ROUNDDOWN(IncomeLimits!AH11*0.3/12,0)</f>
        <v>1497</v>
      </c>
      <c r="Y13" s="66">
        <f>ROUNDDOWN(AVERAGE(IncomeLimits!AI11:'IncomeLimits'!AJ11)*0.3/12,0)</f>
        <v>1651</v>
      </c>
      <c r="Z13" s="1679">
        <f>ROUNDDOWN(IncomeLimits!AL11*0.3/12, 0)</f>
        <v>1084</v>
      </c>
      <c r="AA13" s="1009">
        <f>ROUNDDOWN(AVERAGE(IncomeLimits!AL11:'IncomeLimits'!AM11)*0.3/12, 0)</f>
        <v>1161</v>
      </c>
      <c r="AB13" s="1009">
        <f>ROUNDDOWN(IncomeLimits!AN11*0.3/12, 0)</f>
        <v>1393</v>
      </c>
      <c r="AC13" s="1009">
        <f>ROUNDDOWN(AVERAGE(IncomeLimits!AO11:'IncomeLimits'!AP11)*0.3/12,0)</f>
        <v>1610</v>
      </c>
      <c r="AD13" s="1009">
        <f>ROUNDDOWN(IncomeLimits!AQ11*0.3/12,0)</f>
        <v>1797</v>
      </c>
      <c r="AE13" s="1680">
        <f>ROUNDDOWN(AVERAGE(IncomeLimits!AR11:'IncomeLimits'!AS11)*0.3/12,0)</f>
        <v>1982</v>
      </c>
      <c r="AF13" s="65">
        <f>ROUNDDOWN(IncomeLimits!AU11*0.3/12, 0)</f>
        <v>1265</v>
      </c>
      <c r="AG13" s="1009">
        <f>ROUNDDOWN(AVERAGE(IncomeLimits!AU11:'IncomeLimits'!AV11)*0.3/12, 0)</f>
        <v>1355</v>
      </c>
      <c r="AH13" s="1009">
        <f>ROUNDDOWN(IncomeLimits!AW11*0.3/12, 0)</f>
        <v>1625</v>
      </c>
      <c r="AI13" s="1009">
        <f>ROUNDDOWN(AVERAGE(IncomeLimits!AX11:'IncomeLimits'!AY11)*0.3/12,0)</f>
        <v>1878</v>
      </c>
      <c r="AJ13" s="1009">
        <f>ROUNDDOWN(IncomeLimits!AZ11*0.3/12,0)</f>
        <v>2096</v>
      </c>
      <c r="AK13" s="76">
        <f>ROUNDDOWN(AVERAGE(IncomeLimits!BA11:'IncomeLimits'!BB11)*0.3/12,0)</f>
        <v>2312</v>
      </c>
      <c r="AL13" s="65">
        <f>ROUNDDOWN(IncomeLimits!BD11*0.3/12, 0)</f>
        <v>1446</v>
      </c>
      <c r="AM13" s="1009">
        <f>ROUNDDOWN(AVERAGE(IncomeLimits!BD11:'IncomeLimits'!BE11)*0.3/12, 0)</f>
        <v>1549</v>
      </c>
      <c r="AN13" s="1009">
        <f>ROUNDDOWN(IncomeLimits!BF11*0.3/12, 0)</f>
        <v>1858</v>
      </c>
      <c r="AO13" s="1009">
        <f>ROUNDDOWN(AVERAGE(IncomeLimits!BG11:'IncomeLimits'!BH11)*0.3/12,0)</f>
        <v>2147</v>
      </c>
      <c r="AP13" s="1009">
        <f>ROUNDDOWN(IncomeLimits!BI11*0.3/12,0)</f>
        <v>2396</v>
      </c>
      <c r="AQ13" s="76">
        <f>ROUNDDOWN(AVERAGE(IncomeLimits!BJ11:'IncomeLimits'!BK11)*0.3/12,0)</f>
        <v>2643</v>
      </c>
    </row>
    <row r="14" spans="1:43">
      <c r="A14" s="77" t="s">
        <v>387</v>
      </c>
      <c r="B14" s="75">
        <f>ROUNDDOWN(IncomeLimits!B12*0.3/12, 0)</f>
        <v>325</v>
      </c>
      <c r="C14" s="1009">
        <f>ROUNDDOWN(AVERAGE(IncomeLimits!B12:C12)*0.3/12, 0)</f>
        <v>348</v>
      </c>
      <c r="D14" s="1009">
        <f>ROUNDDOWN(IncomeLimits!D12*0.3/12, 0)</f>
        <v>418</v>
      </c>
      <c r="E14" s="1009">
        <f>ROUNDDOWN(AVERAGE(IncomeLimits!E12:'IncomeLimits'!F12)*0.3/12,0)</f>
        <v>482</v>
      </c>
      <c r="F14" s="1009">
        <f>ROUNDDOWN(IncomeLimits!G12*0.3/12,0)</f>
        <v>538</v>
      </c>
      <c r="G14" s="66">
        <f>ROUNDDOWN(AVERAGE(IncomeLimits!H12:'IncomeLimits'!I12)*0.3/12,0)</f>
        <v>594</v>
      </c>
      <c r="H14" s="75">
        <f>ROUNDDOWN(IncomeLimits!K12*0.3/12, 0)</f>
        <v>487</v>
      </c>
      <c r="I14" s="1009">
        <f>ROUNDDOWN(AVERAGE(IncomeLimits!K12:'IncomeLimits'!L12)*0.3/12, 0)</f>
        <v>522</v>
      </c>
      <c r="J14" s="1009">
        <f>ROUNDDOWN(IncomeLimits!M12*0.3/12, 0)</f>
        <v>627</v>
      </c>
      <c r="K14" s="1009">
        <f>ROUNDDOWN(AVERAGE(IncomeLimits!N12:'IncomeLimits'!O12)*0.3/12,0)</f>
        <v>724</v>
      </c>
      <c r="L14" s="1009">
        <f>ROUNDDOWN(IncomeLimits!P12*0.3/12,0)</f>
        <v>807</v>
      </c>
      <c r="M14" s="76">
        <f>ROUNDDOWN(AVERAGE(IncomeLimits!Q12:'IncomeLimits'!R12)*0.3/12,0)</f>
        <v>891</v>
      </c>
      <c r="N14" s="65">
        <f>ROUNDDOWN(IncomeLimits!T12*0.3/12, 0)</f>
        <v>650</v>
      </c>
      <c r="O14" s="1009">
        <f>ROUNDDOWN(AVERAGE(IncomeLimits!T12:'IncomeLimits'!U12)*0.3/12, 0)</f>
        <v>696</v>
      </c>
      <c r="P14" s="1009">
        <f>ROUNDDOWN(IncomeLimits!V12*0.3/12, 0)</f>
        <v>836</v>
      </c>
      <c r="Q14" s="1009">
        <f>ROUNDDOWN(AVERAGE(IncomeLimits!W12:'IncomeLimits'!X12)*0.3/12,0)</f>
        <v>965</v>
      </c>
      <c r="R14" s="1009">
        <f>ROUNDDOWN(IncomeLimits!Y12*0.3/12,0)</f>
        <v>1077</v>
      </c>
      <c r="S14" s="66">
        <f>ROUNDDOWN(AVERAGE(IncomeLimits!Z12:'IncomeLimits'!AA12)*0.3/12,0)</f>
        <v>1188</v>
      </c>
      <c r="T14" s="66">
        <f>ROUNDDOWN(IncomeLimits!AC12*0.3/12, 0)</f>
        <v>812</v>
      </c>
      <c r="U14" s="66">
        <f>ROUNDDOWN(AVERAGE(IncomeLimits!AC12:'IncomeLimits'!AD12)*0.3/12,0)</f>
        <v>870</v>
      </c>
      <c r="V14" s="66">
        <f>ROUNDDOWN(IncomeLimits!AE12*0.3/12, 0)</f>
        <v>1045</v>
      </c>
      <c r="W14" s="66">
        <f>ROUNDDOWN(AVERAGE(IncomeLimits!AF12:'IncomeLimits'!AG12)*0.3/12,0)</f>
        <v>1206</v>
      </c>
      <c r="X14" s="66">
        <f>ROUNDDOWN(IncomeLimits!AH12*0.3/12,0)</f>
        <v>1346</v>
      </c>
      <c r="Y14" s="66">
        <f>ROUNDDOWN(AVERAGE(IncomeLimits!AI12:'IncomeLimits'!AJ12)*0.3/12,0)</f>
        <v>1485</v>
      </c>
      <c r="Z14" s="1679">
        <f>ROUNDDOWN(IncomeLimits!AL12*0.3/12, 0)</f>
        <v>975</v>
      </c>
      <c r="AA14" s="1009">
        <f>ROUNDDOWN(AVERAGE(IncomeLimits!AL12:'IncomeLimits'!AM12)*0.3/12, 0)</f>
        <v>1044</v>
      </c>
      <c r="AB14" s="1009">
        <f>ROUNDDOWN(IncomeLimits!AN12*0.3/12, 0)</f>
        <v>1254</v>
      </c>
      <c r="AC14" s="1009">
        <f>ROUNDDOWN(AVERAGE(IncomeLimits!AO12:'IncomeLimits'!AP12)*0.3/12,0)</f>
        <v>1448</v>
      </c>
      <c r="AD14" s="1009">
        <f>ROUNDDOWN(IncomeLimits!AQ12*0.3/12,0)</f>
        <v>1615</v>
      </c>
      <c r="AE14" s="1680">
        <f>ROUNDDOWN(AVERAGE(IncomeLimits!AR12:'IncomeLimits'!AS12)*0.3/12,0)</f>
        <v>1782</v>
      </c>
      <c r="AF14" s="65">
        <f>ROUNDDOWN(IncomeLimits!AU12*0.3/12, 0)</f>
        <v>1137</v>
      </c>
      <c r="AG14" s="1009">
        <f>ROUNDDOWN(AVERAGE(IncomeLimits!AU12:'IncomeLimits'!AV12)*0.3/12, 0)</f>
        <v>1218</v>
      </c>
      <c r="AH14" s="1009">
        <f>ROUNDDOWN(IncomeLimits!AW12*0.3/12, 0)</f>
        <v>1463</v>
      </c>
      <c r="AI14" s="1009">
        <f>ROUNDDOWN(AVERAGE(IncomeLimits!AX12:'IncomeLimits'!AY12)*0.3/12,0)</f>
        <v>1689</v>
      </c>
      <c r="AJ14" s="1009">
        <f>ROUNDDOWN(IncomeLimits!AZ12*0.3/12,0)</f>
        <v>1884</v>
      </c>
      <c r="AK14" s="76">
        <f>ROUNDDOWN(AVERAGE(IncomeLimits!BA12:'IncomeLimits'!BB12)*0.3/12,0)</f>
        <v>2079</v>
      </c>
      <c r="AL14" s="65">
        <f>ROUNDDOWN(IncomeLimits!BD12*0.3/12, 0)</f>
        <v>1300</v>
      </c>
      <c r="AM14" s="1009">
        <f>ROUNDDOWN(AVERAGE(IncomeLimits!BD12:'IncomeLimits'!BE12)*0.3/12, 0)</f>
        <v>1393</v>
      </c>
      <c r="AN14" s="1009">
        <f>ROUNDDOWN(IncomeLimits!BF12*0.3/12, 0)</f>
        <v>1672</v>
      </c>
      <c r="AO14" s="1009">
        <f>ROUNDDOWN(AVERAGE(IncomeLimits!BG12:'IncomeLimits'!BH12)*0.3/12,0)</f>
        <v>1931</v>
      </c>
      <c r="AP14" s="1009">
        <f>ROUNDDOWN(IncomeLimits!BI12*0.3/12,0)</f>
        <v>2154</v>
      </c>
      <c r="AQ14" s="76">
        <f>ROUNDDOWN(AVERAGE(IncomeLimits!BJ12:'IncomeLimits'!BK12)*0.3/12,0)</f>
        <v>2376</v>
      </c>
    </row>
    <row r="15" spans="1:43">
      <c r="A15" s="77" t="s">
        <v>346</v>
      </c>
      <c r="B15" s="75">
        <f>ROUNDDOWN(IncomeLimits!B13*0.3/12, 0)</f>
        <v>371</v>
      </c>
      <c r="C15" s="1009">
        <f>ROUNDDOWN(AVERAGE(IncomeLimits!B13:C13)*0.3/12, 0)</f>
        <v>398</v>
      </c>
      <c r="D15" s="1009">
        <f>ROUNDDOWN(IncomeLimits!D13*0.3/12, 0)</f>
        <v>477</v>
      </c>
      <c r="E15" s="1009">
        <f>ROUNDDOWN(AVERAGE(IncomeLimits!E13:'IncomeLimits'!F13)*0.3/12,0)</f>
        <v>551</v>
      </c>
      <c r="F15" s="1009">
        <f>ROUNDDOWN(IncomeLimits!G13*0.3/12,0)</f>
        <v>615</v>
      </c>
      <c r="G15" s="66">
        <f>ROUNDDOWN(AVERAGE(IncomeLimits!H13:'IncomeLimits'!I13)*0.3/12,0)</f>
        <v>679</v>
      </c>
      <c r="H15" s="75">
        <f>ROUNDDOWN(IncomeLimits!K13*0.3/12, 0)</f>
        <v>557</v>
      </c>
      <c r="I15" s="1009">
        <f>ROUNDDOWN(AVERAGE(IncomeLimits!K13:'IncomeLimits'!L13)*0.3/12, 0)</f>
        <v>597</v>
      </c>
      <c r="J15" s="1009">
        <f>ROUNDDOWN(IncomeLimits!M13*0.3/12, 0)</f>
        <v>716</v>
      </c>
      <c r="K15" s="1009">
        <f>ROUNDDOWN(AVERAGE(IncomeLimits!N13:'IncomeLimits'!O13)*0.3/12,0)</f>
        <v>827</v>
      </c>
      <c r="L15" s="1009">
        <f>ROUNDDOWN(IncomeLimits!P13*0.3/12,0)</f>
        <v>923</v>
      </c>
      <c r="M15" s="76">
        <f>ROUNDDOWN(AVERAGE(IncomeLimits!Q13:'IncomeLimits'!R13)*0.3/12,0)</f>
        <v>1018</v>
      </c>
      <c r="N15" s="65">
        <f>ROUNDDOWN(IncomeLimits!T13*0.3/12, 0)</f>
        <v>743</v>
      </c>
      <c r="O15" s="1009">
        <f>ROUNDDOWN(AVERAGE(IncomeLimits!T13:'IncomeLimits'!U13)*0.3/12, 0)</f>
        <v>796</v>
      </c>
      <c r="P15" s="1009">
        <f>ROUNDDOWN(IncomeLimits!V13*0.3/12, 0)</f>
        <v>955</v>
      </c>
      <c r="Q15" s="1009">
        <f>ROUNDDOWN(AVERAGE(IncomeLimits!W13:'IncomeLimits'!X13)*0.3/12,0)</f>
        <v>1103</v>
      </c>
      <c r="R15" s="1009">
        <f>ROUNDDOWN(IncomeLimits!Y13*0.3/12,0)</f>
        <v>1231</v>
      </c>
      <c r="S15" s="66">
        <f>ROUNDDOWN(AVERAGE(IncomeLimits!Z13:'IncomeLimits'!AA13)*0.3/12,0)</f>
        <v>1358</v>
      </c>
      <c r="T15" s="66">
        <f>ROUNDDOWN(IncomeLimits!AC13*0.3/12, 0)</f>
        <v>928</v>
      </c>
      <c r="U15" s="66">
        <f>ROUNDDOWN(AVERAGE(IncomeLimits!AC13:'IncomeLimits'!AD13)*0.3/12,0)</f>
        <v>995</v>
      </c>
      <c r="V15" s="66">
        <f>ROUNDDOWN(IncomeLimits!AE13*0.3/12, 0)</f>
        <v>1193</v>
      </c>
      <c r="W15" s="66">
        <f>ROUNDDOWN(AVERAGE(IncomeLimits!AF13:'IncomeLimits'!AG13)*0.3/12,0)</f>
        <v>1379</v>
      </c>
      <c r="X15" s="66">
        <f>ROUNDDOWN(IncomeLimits!AH13*0.3/12,0)</f>
        <v>1538</v>
      </c>
      <c r="Y15" s="66">
        <f>ROUNDDOWN(AVERAGE(IncomeLimits!AI13:'IncomeLimits'!AJ13)*0.3/12,0)</f>
        <v>1698</v>
      </c>
      <c r="Z15" s="1679">
        <f>ROUNDDOWN(IncomeLimits!AL13*0.3/12, 0)</f>
        <v>1114</v>
      </c>
      <c r="AA15" s="1009">
        <f>ROUNDDOWN(AVERAGE(IncomeLimits!AL13:'IncomeLimits'!AM13)*0.3/12, 0)</f>
        <v>1194</v>
      </c>
      <c r="AB15" s="1009">
        <f>ROUNDDOWN(IncomeLimits!AN13*0.3/12, 0)</f>
        <v>1432</v>
      </c>
      <c r="AC15" s="1009">
        <f>ROUNDDOWN(AVERAGE(IncomeLimits!AO13:'IncomeLimits'!AP13)*0.3/12,0)</f>
        <v>1655</v>
      </c>
      <c r="AD15" s="1009">
        <f>ROUNDDOWN(IncomeLimits!AQ13*0.3/12,0)</f>
        <v>1846</v>
      </c>
      <c r="AE15" s="1680">
        <f>ROUNDDOWN(AVERAGE(IncomeLimits!AR13:'IncomeLimits'!AS13)*0.3/12,0)</f>
        <v>2037</v>
      </c>
      <c r="AF15" s="65">
        <f>ROUNDDOWN(IncomeLimits!AU13*0.3/12, 0)</f>
        <v>1300</v>
      </c>
      <c r="AG15" s="1009">
        <f>ROUNDDOWN(AVERAGE(IncomeLimits!AU13:'IncomeLimits'!AV13)*0.3/12, 0)</f>
        <v>1393</v>
      </c>
      <c r="AH15" s="1009">
        <f>ROUNDDOWN(IncomeLimits!AW13*0.3/12, 0)</f>
        <v>1671</v>
      </c>
      <c r="AI15" s="1009">
        <f>ROUNDDOWN(AVERAGE(IncomeLimits!AX13:'IncomeLimits'!AY13)*0.3/12,0)</f>
        <v>1931</v>
      </c>
      <c r="AJ15" s="1009">
        <f>ROUNDDOWN(IncomeLimits!AZ13*0.3/12,0)</f>
        <v>2154</v>
      </c>
      <c r="AK15" s="76">
        <f>ROUNDDOWN(AVERAGE(IncomeLimits!BA13:'IncomeLimits'!BB13)*0.3/12,0)</f>
        <v>2377</v>
      </c>
      <c r="AL15" s="65">
        <f>ROUNDDOWN(IncomeLimits!BD13*0.3/12, 0)</f>
        <v>1486</v>
      </c>
      <c r="AM15" s="1009">
        <f>ROUNDDOWN(AVERAGE(IncomeLimits!BD13:'IncomeLimits'!BE13)*0.3/12, 0)</f>
        <v>1592</v>
      </c>
      <c r="AN15" s="1009">
        <f>ROUNDDOWN(IncomeLimits!BF13*0.3/12, 0)</f>
        <v>1910</v>
      </c>
      <c r="AO15" s="1009">
        <f>ROUNDDOWN(AVERAGE(IncomeLimits!BG13:'IncomeLimits'!BH13)*0.3/12,0)</f>
        <v>2207</v>
      </c>
      <c r="AP15" s="1009">
        <f>ROUNDDOWN(IncomeLimits!BI13*0.3/12,0)</f>
        <v>2462</v>
      </c>
      <c r="AQ15" s="76">
        <f>ROUNDDOWN(AVERAGE(IncomeLimits!BJ13:'IncomeLimits'!BK13)*0.3/12,0)</f>
        <v>2717</v>
      </c>
    </row>
    <row r="16" spans="1:43">
      <c r="A16" s="77" t="s">
        <v>395</v>
      </c>
      <c r="B16" s="75">
        <f>ROUNDDOWN(IncomeLimits!B14*0.3/12, 0)</f>
        <v>325</v>
      </c>
      <c r="C16" s="1009">
        <f>ROUNDDOWN(AVERAGE(IncomeLimits!B14:C14)*0.3/12, 0)</f>
        <v>348</v>
      </c>
      <c r="D16" s="1009">
        <f>ROUNDDOWN(IncomeLimits!D14*0.3/12, 0)</f>
        <v>418</v>
      </c>
      <c r="E16" s="1009">
        <f>ROUNDDOWN(AVERAGE(IncomeLimits!E14:'IncomeLimits'!F14)*0.3/12,0)</f>
        <v>482</v>
      </c>
      <c r="F16" s="1009">
        <f>ROUNDDOWN(IncomeLimits!G14*0.3/12,0)</f>
        <v>538</v>
      </c>
      <c r="G16" s="66">
        <f>ROUNDDOWN(AVERAGE(IncomeLimits!H14:'IncomeLimits'!I14)*0.3/12,0)</f>
        <v>594</v>
      </c>
      <c r="H16" s="75">
        <f>ROUNDDOWN(IncomeLimits!K14*0.3/12, 0)</f>
        <v>487</v>
      </c>
      <c r="I16" s="1009">
        <f>ROUNDDOWN(AVERAGE(IncomeLimits!K14:'IncomeLimits'!L14)*0.3/12, 0)</f>
        <v>522</v>
      </c>
      <c r="J16" s="1009">
        <f>ROUNDDOWN(IncomeLimits!M14*0.3/12, 0)</f>
        <v>627</v>
      </c>
      <c r="K16" s="1009">
        <f>ROUNDDOWN(AVERAGE(IncomeLimits!N14:'IncomeLimits'!O14)*0.3/12,0)</f>
        <v>724</v>
      </c>
      <c r="L16" s="1009">
        <f>ROUNDDOWN(IncomeLimits!P14*0.3/12,0)</f>
        <v>807</v>
      </c>
      <c r="M16" s="76">
        <f>ROUNDDOWN(AVERAGE(IncomeLimits!Q14:'IncomeLimits'!R14)*0.3/12,0)</f>
        <v>891</v>
      </c>
      <c r="N16" s="65">
        <f>ROUNDDOWN(IncomeLimits!T14*0.3/12, 0)</f>
        <v>650</v>
      </c>
      <c r="O16" s="1009">
        <f>ROUNDDOWN(AVERAGE(IncomeLimits!T14:'IncomeLimits'!U14)*0.3/12, 0)</f>
        <v>696</v>
      </c>
      <c r="P16" s="1009">
        <f>ROUNDDOWN(IncomeLimits!V14*0.3/12, 0)</f>
        <v>836</v>
      </c>
      <c r="Q16" s="1009">
        <f>ROUNDDOWN(AVERAGE(IncomeLimits!W14:'IncomeLimits'!X14)*0.3/12,0)</f>
        <v>965</v>
      </c>
      <c r="R16" s="1009">
        <f>ROUNDDOWN(IncomeLimits!Y14*0.3/12,0)</f>
        <v>1077</v>
      </c>
      <c r="S16" s="66">
        <f>ROUNDDOWN(AVERAGE(IncomeLimits!Z14:'IncomeLimits'!AA14)*0.3/12,0)</f>
        <v>1188</v>
      </c>
      <c r="T16" s="66">
        <f>ROUNDDOWN(IncomeLimits!AC14*0.3/12, 0)</f>
        <v>812</v>
      </c>
      <c r="U16" s="66">
        <f>ROUNDDOWN(AVERAGE(IncomeLimits!AC14:'IncomeLimits'!AD14)*0.3/12,0)</f>
        <v>870</v>
      </c>
      <c r="V16" s="66">
        <f>ROUNDDOWN(IncomeLimits!AE14*0.3/12, 0)</f>
        <v>1045</v>
      </c>
      <c r="W16" s="66">
        <f>ROUNDDOWN(AVERAGE(IncomeLimits!AF14:'IncomeLimits'!AG14)*0.3/12,0)</f>
        <v>1206</v>
      </c>
      <c r="X16" s="66">
        <f>ROUNDDOWN(IncomeLimits!AH14*0.3/12,0)</f>
        <v>1346</v>
      </c>
      <c r="Y16" s="66">
        <f>ROUNDDOWN(AVERAGE(IncomeLimits!AI14:'IncomeLimits'!AJ14)*0.3/12,0)</f>
        <v>1485</v>
      </c>
      <c r="Z16" s="1679">
        <f>ROUNDDOWN(IncomeLimits!AL14*0.3/12, 0)</f>
        <v>975</v>
      </c>
      <c r="AA16" s="1009">
        <f>ROUNDDOWN(AVERAGE(IncomeLimits!AL14:'IncomeLimits'!AM14)*0.3/12, 0)</f>
        <v>1044</v>
      </c>
      <c r="AB16" s="1009">
        <f>ROUNDDOWN(IncomeLimits!AN14*0.3/12, 0)</f>
        <v>1254</v>
      </c>
      <c r="AC16" s="1009">
        <f>ROUNDDOWN(AVERAGE(IncomeLimits!AO14:'IncomeLimits'!AP14)*0.3/12,0)</f>
        <v>1448</v>
      </c>
      <c r="AD16" s="1009">
        <f>ROUNDDOWN(IncomeLimits!AQ14*0.3/12,0)</f>
        <v>1615</v>
      </c>
      <c r="AE16" s="1680">
        <f>ROUNDDOWN(AVERAGE(IncomeLimits!AR14:'IncomeLimits'!AS14)*0.3/12,0)</f>
        <v>1782</v>
      </c>
      <c r="AF16" s="65">
        <f>ROUNDDOWN(IncomeLimits!AU14*0.3/12, 0)</f>
        <v>1137</v>
      </c>
      <c r="AG16" s="1009">
        <f>ROUNDDOWN(AVERAGE(IncomeLimits!AU14:'IncomeLimits'!AV14)*0.3/12, 0)</f>
        <v>1218</v>
      </c>
      <c r="AH16" s="1009">
        <f>ROUNDDOWN(IncomeLimits!AW14*0.3/12, 0)</f>
        <v>1463</v>
      </c>
      <c r="AI16" s="1009">
        <f>ROUNDDOWN(AVERAGE(IncomeLimits!AX14:'IncomeLimits'!AY14)*0.3/12,0)</f>
        <v>1689</v>
      </c>
      <c r="AJ16" s="1009">
        <f>ROUNDDOWN(IncomeLimits!AZ14*0.3/12,0)</f>
        <v>1884</v>
      </c>
      <c r="AK16" s="76">
        <f>ROUNDDOWN(AVERAGE(IncomeLimits!BA14:'IncomeLimits'!BB14)*0.3/12,0)</f>
        <v>2079</v>
      </c>
      <c r="AL16" s="65">
        <f>ROUNDDOWN(IncomeLimits!BD14*0.3/12, 0)</f>
        <v>1300</v>
      </c>
      <c r="AM16" s="1009">
        <f>ROUNDDOWN(AVERAGE(IncomeLimits!BD14:'IncomeLimits'!BE14)*0.3/12, 0)</f>
        <v>1393</v>
      </c>
      <c r="AN16" s="1009">
        <f>ROUNDDOWN(IncomeLimits!BF14*0.3/12, 0)</f>
        <v>1672</v>
      </c>
      <c r="AO16" s="1009">
        <f>ROUNDDOWN(AVERAGE(IncomeLimits!BG14:'IncomeLimits'!BH14)*0.3/12,0)</f>
        <v>1931</v>
      </c>
      <c r="AP16" s="1009">
        <f>ROUNDDOWN(IncomeLimits!BI14*0.3/12,0)</f>
        <v>2154</v>
      </c>
      <c r="AQ16" s="76">
        <f>ROUNDDOWN(AVERAGE(IncomeLimits!BJ14:'IncomeLimits'!BK14)*0.3/12,0)</f>
        <v>2376</v>
      </c>
    </row>
    <row r="17" spans="1:43">
      <c r="A17" s="77" t="s">
        <v>358</v>
      </c>
      <c r="B17" s="75">
        <f>ROUNDDOWN(IncomeLimits!B15*0.3/12, 0)</f>
        <v>454</v>
      </c>
      <c r="C17" s="1009">
        <f>ROUNDDOWN(AVERAGE(IncomeLimits!B15:C15)*0.3/12, 0)</f>
        <v>487</v>
      </c>
      <c r="D17" s="1009">
        <f>ROUNDDOWN(IncomeLimits!D15*0.3/12, 0)</f>
        <v>584</v>
      </c>
      <c r="E17" s="1009">
        <f>ROUNDDOWN(AVERAGE(IncomeLimits!E15:'IncomeLimits'!F15)*0.3/12,0)</f>
        <v>675</v>
      </c>
      <c r="F17" s="1009">
        <f>ROUNDDOWN(IncomeLimits!G15*0.3/12,0)</f>
        <v>753</v>
      </c>
      <c r="G17" s="66">
        <f>ROUNDDOWN(AVERAGE(IncomeLimits!H15:'IncomeLimits'!I15)*0.3/12,0)</f>
        <v>831</v>
      </c>
      <c r="H17" s="75">
        <f>ROUNDDOWN(IncomeLimits!K15*0.3/12, 0)</f>
        <v>681</v>
      </c>
      <c r="I17" s="1009">
        <f>ROUNDDOWN(AVERAGE(IncomeLimits!K15:'IncomeLimits'!L15)*0.3/12, 0)</f>
        <v>730</v>
      </c>
      <c r="J17" s="1009">
        <f>ROUNDDOWN(IncomeLimits!M15*0.3/12, 0)</f>
        <v>876</v>
      </c>
      <c r="K17" s="1009">
        <f>ROUNDDOWN(AVERAGE(IncomeLimits!N15:'IncomeLimits'!O15)*0.3/12,0)</f>
        <v>1012</v>
      </c>
      <c r="L17" s="1009">
        <f>ROUNDDOWN(IncomeLimits!P15*0.3/12,0)</f>
        <v>1129</v>
      </c>
      <c r="M17" s="76">
        <f>ROUNDDOWN(AVERAGE(IncomeLimits!Q15:'IncomeLimits'!R15)*0.3/12,0)</f>
        <v>1246</v>
      </c>
      <c r="N17" s="65">
        <f>ROUNDDOWN(IncomeLimits!T15*0.3/12, 0)</f>
        <v>909</v>
      </c>
      <c r="O17" s="1009">
        <f>ROUNDDOWN(AVERAGE(IncomeLimits!T15:'IncomeLimits'!U15)*0.3/12, 0)</f>
        <v>974</v>
      </c>
      <c r="P17" s="1009">
        <f>ROUNDDOWN(IncomeLimits!V15*0.3/12, 0)</f>
        <v>1169</v>
      </c>
      <c r="Q17" s="1009">
        <f>ROUNDDOWN(AVERAGE(IncomeLimits!W15:'IncomeLimits'!X15)*0.3/12,0)</f>
        <v>1350</v>
      </c>
      <c r="R17" s="1009">
        <f>ROUNDDOWN(IncomeLimits!Y15*0.3/12,0)</f>
        <v>1506</v>
      </c>
      <c r="S17" s="66">
        <f>ROUNDDOWN(AVERAGE(IncomeLimits!Z15:'IncomeLimits'!AA15)*0.3/12,0)</f>
        <v>1662</v>
      </c>
      <c r="T17" s="66">
        <f>ROUNDDOWN(IncomeLimits!AC15*0.3/12, 0)</f>
        <v>1136</v>
      </c>
      <c r="U17" s="66">
        <f>ROUNDDOWN(AVERAGE(IncomeLimits!AC15:'IncomeLimits'!AD15)*0.3/12,0)</f>
        <v>1217</v>
      </c>
      <c r="V17" s="66">
        <f>ROUNDDOWN(IncomeLimits!AE15*0.3/12, 0)</f>
        <v>1461</v>
      </c>
      <c r="W17" s="66">
        <f>ROUNDDOWN(AVERAGE(IncomeLimits!AF15:'IncomeLimits'!AG15)*0.3/12,0)</f>
        <v>1687</v>
      </c>
      <c r="X17" s="66">
        <f>ROUNDDOWN(IncomeLimits!AH15*0.3/12,0)</f>
        <v>1882</v>
      </c>
      <c r="Y17" s="66">
        <f>ROUNDDOWN(AVERAGE(IncomeLimits!AI15:'IncomeLimits'!AJ15)*0.3/12,0)</f>
        <v>2077</v>
      </c>
      <c r="Z17" s="1679">
        <f>ROUNDDOWN(IncomeLimits!AL15*0.3/12, 0)</f>
        <v>1363</v>
      </c>
      <c r="AA17" s="1009">
        <f>ROUNDDOWN(AVERAGE(IncomeLimits!AL15:'IncomeLimits'!AM15)*0.3/12, 0)</f>
        <v>1461</v>
      </c>
      <c r="AB17" s="1009">
        <f>ROUNDDOWN(IncomeLimits!AN15*0.3/12, 0)</f>
        <v>1753</v>
      </c>
      <c r="AC17" s="1009">
        <f>ROUNDDOWN(AVERAGE(IncomeLimits!AO15:'IncomeLimits'!AP15)*0.3/12,0)</f>
        <v>2025</v>
      </c>
      <c r="AD17" s="1009">
        <f>ROUNDDOWN(IncomeLimits!AQ15*0.3/12,0)</f>
        <v>2259</v>
      </c>
      <c r="AE17" s="1680">
        <f>ROUNDDOWN(AVERAGE(IncomeLimits!AR15:'IncomeLimits'!AS15)*0.3/12,0)</f>
        <v>2493</v>
      </c>
      <c r="AF17" s="65">
        <f>ROUNDDOWN(IncomeLimits!AU15*0.3/12, 0)</f>
        <v>1590</v>
      </c>
      <c r="AG17" s="1009">
        <f>ROUNDDOWN(AVERAGE(IncomeLimits!AU15:'IncomeLimits'!AV15)*0.3/12, 0)</f>
        <v>1704</v>
      </c>
      <c r="AH17" s="1009">
        <f>ROUNDDOWN(IncomeLimits!AW15*0.3/12, 0)</f>
        <v>2045</v>
      </c>
      <c r="AI17" s="1009">
        <f>ROUNDDOWN(AVERAGE(IncomeLimits!AX15:'IncomeLimits'!AY15)*0.3/12,0)</f>
        <v>2362</v>
      </c>
      <c r="AJ17" s="1009">
        <f>ROUNDDOWN(IncomeLimits!AZ15*0.3/12,0)</f>
        <v>2635</v>
      </c>
      <c r="AK17" s="76">
        <f>ROUNDDOWN(AVERAGE(IncomeLimits!BA15:'IncomeLimits'!BB15)*0.3/12,0)</f>
        <v>2908</v>
      </c>
      <c r="AL17" s="65">
        <f>ROUNDDOWN(IncomeLimits!BD15*0.3/12, 0)</f>
        <v>1818</v>
      </c>
      <c r="AM17" s="1009">
        <f>ROUNDDOWN(AVERAGE(IncomeLimits!BD15:'IncomeLimits'!BE15)*0.3/12, 0)</f>
        <v>1948</v>
      </c>
      <c r="AN17" s="1009">
        <f>ROUNDDOWN(IncomeLimits!BF15*0.3/12, 0)</f>
        <v>2338</v>
      </c>
      <c r="AO17" s="1009">
        <f>ROUNDDOWN(AVERAGE(IncomeLimits!BG15:'IncomeLimits'!BH15)*0.3/12,0)</f>
        <v>2700</v>
      </c>
      <c r="AP17" s="1009">
        <f>ROUNDDOWN(IncomeLimits!BI15*0.3/12,0)</f>
        <v>3012</v>
      </c>
      <c r="AQ17" s="76">
        <f>ROUNDDOWN(AVERAGE(IncomeLimits!BJ15:'IncomeLimits'!BK15)*0.3/12,0)</f>
        <v>3324</v>
      </c>
    </row>
    <row r="18" spans="1:43">
      <c r="A18" s="77" t="s">
        <v>400</v>
      </c>
      <c r="B18" s="75">
        <f>ROUNDDOWN(IncomeLimits!B16*0.3/12, 0)</f>
        <v>345</v>
      </c>
      <c r="C18" s="1009">
        <f>ROUNDDOWN(AVERAGE(IncomeLimits!B16:C16)*0.3/12, 0)</f>
        <v>369</v>
      </c>
      <c r="D18" s="1009">
        <f>ROUNDDOWN(IncomeLimits!D16*0.3/12, 0)</f>
        <v>443</v>
      </c>
      <c r="E18" s="1009">
        <f>ROUNDDOWN(AVERAGE(IncomeLimits!E16:'IncomeLimits'!F16)*0.3/12,0)</f>
        <v>512</v>
      </c>
      <c r="F18" s="1009">
        <f>ROUNDDOWN(IncomeLimits!G16*0.3/12,0)</f>
        <v>571</v>
      </c>
      <c r="G18" s="66">
        <f>ROUNDDOWN(AVERAGE(IncomeLimits!H16:'IncomeLimits'!I16)*0.3/12,0)</f>
        <v>630</v>
      </c>
      <c r="H18" s="75">
        <f>ROUNDDOWN(IncomeLimits!K16*0.3/12, 0)</f>
        <v>517</v>
      </c>
      <c r="I18" s="1009">
        <f>ROUNDDOWN(AVERAGE(IncomeLimits!K16:'IncomeLimits'!L16)*0.3/12, 0)</f>
        <v>554</v>
      </c>
      <c r="J18" s="1009">
        <f>ROUNDDOWN(IncomeLimits!M16*0.3/12, 0)</f>
        <v>665</v>
      </c>
      <c r="K18" s="1009">
        <f>ROUNDDOWN(AVERAGE(IncomeLimits!N16:'IncomeLimits'!O16)*0.3/12,0)</f>
        <v>768</v>
      </c>
      <c r="L18" s="1009">
        <f>ROUNDDOWN(IncomeLimits!P16*0.3/12,0)</f>
        <v>857</v>
      </c>
      <c r="M18" s="76">
        <f>ROUNDDOWN(AVERAGE(IncomeLimits!Q16:'IncomeLimits'!R16)*0.3/12,0)</f>
        <v>946</v>
      </c>
      <c r="N18" s="65">
        <f>ROUNDDOWN(IncomeLimits!T16*0.3/12, 0)</f>
        <v>690</v>
      </c>
      <c r="O18" s="1009">
        <f>ROUNDDOWN(AVERAGE(IncomeLimits!T16:'IncomeLimits'!U16)*0.3/12, 0)</f>
        <v>739</v>
      </c>
      <c r="P18" s="1009">
        <f>ROUNDDOWN(IncomeLimits!V16*0.3/12, 0)</f>
        <v>887</v>
      </c>
      <c r="Q18" s="1009">
        <f>ROUNDDOWN(AVERAGE(IncomeLimits!W16:'IncomeLimits'!X16)*0.3/12,0)</f>
        <v>1024</v>
      </c>
      <c r="R18" s="1009">
        <f>ROUNDDOWN(IncomeLimits!Y16*0.3/12,0)</f>
        <v>1143</v>
      </c>
      <c r="S18" s="66">
        <f>ROUNDDOWN(AVERAGE(IncomeLimits!Z16:'IncomeLimits'!AA16)*0.3/12,0)</f>
        <v>1261</v>
      </c>
      <c r="T18" s="66">
        <f>ROUNDDOWN(IncomeLimits!AC16*0.3/12, 0)</f>
        <v>862</v>
      </c>
      <c r="U18" s="66">
        <f>ROUNDDOWN(AVERAGE(IncomeLimits!AC16:'IncomeLimits'!AD16)*0.3/12,0)</f>
        <v>923</v>
      </c>
      <c r="V18" s="66">
        <f>ROUNDDOWN(IncomeLimits!AE16*0.3/12, 0)</f>
        <v>1108</v>
      </c>
      <c r="W18" s="66">
        <f>ROUNDDOWN(AVERAGE(IncomeLimits!AF16:'IncomeLimits'!AG16)*0.3/12,0)</f>
        <v>1280</v>
      </c>
      <c r="X18" s="66">
        <f>ROUNDDOWN(IncomeLimits!AH16*0.3/12,0)</f>
        <v>1428</v>
      </c>
      <c r="Y18" s="66">
        <f>ROUNDDOWN(AVERAGE(IncomeLimits!AI16:'IncomeLimits'!AJ16)*0.3/12,0)</f>
        <v>1576</v>
      </c>
      <c r="Z18" s="1679">
        <f>ROUNDDOWN(IncomeLimits!AL16*0.3/12, 0)</f>
        <v>1035</v>
      </c>
      <c r="AA18" s="1009">
        <f>ROUNDDOWN(AVERAGE(IncomeLimits!AL16:'IncomeLimits'!AM16)*0.3/12, 0)</f>
        <v>1108</v>
      </c>
      <c r="AB18" s="1009">
        <f>ROUNDDOWN(IncomeLimits!AN16*0.3/12, 0)</f>
        <v>1330</v>
      </c>
      <c r="AC18" s="1009">
        <f>ROUNDDOWN(AVERAGE(IncomeLimits!AO16:'IncomeLimits'!AP16)*0.3/12,0)</f>
        <v>1536</v>
      </c>
      <c r="AD18" s="1009">
        <f>ROUNDDOWN(IncomeLimits!AQ16*0.3/12,0)</f>
        <v>1714</v>
      </c>
      <c r="AE18" s="1680">
        <f>ROUNDDOWN(AVERAGE(IncomeLimits!AR16:'IncomeLimits'!AS16)*0.3/12,0)</f>
        <v>1892</v>
      </c>
      <c r="AF18" s="65">
        <f>ROUNDDOWN(IncomeLimits!AU16*0.3/12, 0)</f>
        <v>1207</v>
      </c>
      <c r="AG18" s="1009">
        <f>ROUNDDOWN(AVERAGE(IncomeLimits!AU16:'IncomeLimits'!AV16)*0.3/12, 0)</f>
        <v>1293</v>
      </c>
      <c r="AH18" s="1009">
        <f>ROUNDDOWN(IncomeLimits!AW16*0.3/12, 0)</f>
        <v>1552</v>
      </c>
      <c r="AI18" s="1009">
        <f>ROUNDDOWN(AVERAGE(IncomeLimits!AX16:'IncomeLimits'!AY16)*0.3/12,0)</f>
        <v>1792</v>
      </c>
      <c r="AJ18" s="1009">
        <f>ROUNDDOWN(IncomeLimits!AZ16*0.3/12,0)</f>
        <v>2000</v>
      </c>
      <c r="AK18" s="76">
        <f>ROUNDDOWN(AVERAGE(IncomeLimits!BA16:'IncomeLimits'!BB16)*0.3/12,0)</f>
        <v>2207</v>
      </c>
      <c r="AL18" s="65">
        <f>ROUNDDOWN(IncomeLimits!BD16*0.3/12, 0)</f>
        <v>1380</v>
      </c>
      <c r="AM18" s="1009">
        <f>ROUNDDOWN(AVERAGE(IncomeLimits!BD16:'IncomeLimits'!BE16)*0.3/12, 0)</f>
        <v>1478</v>
      </c>
      <c r="AN18" s="1009">
        <f>ROUNDDOWN(IncomeLimits!BF16*0.3/12, 0)</f>
        <v>1774</v>
      </c>
      <c r="AO18" s="1009">
        <f>ROUNDDOWN(AVERAGE(IncomeLimits!BG16:'IncomeLimits'!BH16)*0.3/12,0)</f>
        <v>2049</v>
      </c>
      <c r="AP18" s="1009">
        <f>ROUNDDOWN(IncomeLimits!BI16*0.3/12,0)</f>
        <v>2286</v>
      </c>
      <c r="AQ18" s="76">
        <f>ROUNDDOWN(AVERAGE(IncomeLimits!BJ16:'IncomeLimits'!BK16)*0.3/12,0)</f>
        <v>2523</v>
      </c>
    </row>
    <row r="19" spans="1:43">
      <c r="A19" s="77" t="s">
        <v>403</v>
      </c>
      <c r="B19" s="75">
        <f>ROUNDDOWN(IncomeLimits!B17*0.3/12, 0)</f>
        <v>353</v>
      </c>
      <c r="C19" s="1009">
        <f>ROUNDDOWN(AVERAGE(IncomeLimits!B17:C17)*0.3/12, 0)</f>
        <v>378</v>
      </c>
      <c r="D19" s="1009">
        <f>ROUNDDOWN(IncomeLimits!D17*0.3/12, 0)</f>
        <v>453</v>
      </c>
      <c r="E19" s="1009">
        <f>ROUNDDOWN(AVERAGE(IncomeLimits!E17:'IncomeLimits'!F17)*0.3/12,0)</f>
        <v>524</v>
      </c>
      <c r="F19" s="1009">
        <f>ROUNDDOWN(IncomeLimits!G17*0.3/12,0)</f>
        <v>584</v>
      </c>
      <c r="G19" s="66">
        <f>ROUNDDOWN(AVERAGE(IncomeLimits!H17:'IncomeLimits'!I17)*0.3/12,0)</f>
        <v>645</v>
      </c>
      <c r="H19" s="75">
        <f>ROUNDDOWN(IncomeLimits!K17*0.3/12, 0)</f>
        <v>529</v>
      </c>
      <c r="I19" s="1009">
        <f>ROUNDDOWN(AVERAGE(IncomeLimits!K17:'IncomeLimits'!L17)*0.3/12, 0)</f>
        <v>567</v>
      </c>
      <c r="J19" s="1009">
        <f>ROUNDDOWN(IncomeLimits!M17*0.3/12, 0)</f>
        <v>680</v>
      </c>
      <c r="K19" s="1009">
        <f>ROUNDDOWN(AVERAGE(IncomeLimits!N17:'IncomeLimits'!O17)*0.3/12,0)</f>
        <v>786</v>
      </c>
      <c r="L19" s="1009">
        <f>ROUNDDOWN(IncomeLimits!P17*0.3/12,0)</f>
        <v>876</v>
      </c>
      <c r="M19" s="76">
        <f>ROUNDDOWN(AVERAGE(IncomeLimits!Q17:'IncomeLimits'!R17)*0.3/12,0)</f>
        <v>967</v>
      </c>
      <c r="N19" s="65">
        <f>ROUNDDOWN(IncomeLimits!T17*0.3/12, 0)</f>
        <v>706</v>
      </c>
      <c r="O19" s="1009">
        <f>ROUNDDOWN(AVERAGE(IncomeLimits!T17:'IncomeLimits'!U17)*0.3/12, 0)</f>
        <v>756</v>
      </c>
      <c r="P19" s="1009">
        <f>ROUNDDOWN(IncomeLimits!V17*0.3/12, 0)</f>
        <v>907</v>
      </c>
      <c r="Q19" s="1009">
        <f>ROUNDDOWN(AVERAGE(IncomeLimits!W17:'IncomeLimits'!X17)*0.3/12,0)</f>
        <v>1048</v>
      </c>
      <c r="R19" s="1009">
        <f>ROUNDDOWN(IncomeLimits!Y17*0.3/12,0)</f>
        <v>1169</v>
      </c>
      <c r="S19" s="66">
        <f>ROUNDDOWN(AVERAGE(IncomeLimits!Z17:'IncomeLimits'!AA17)*0.3/12,0)</f>
        <v>1290</v>
      </c>
      <c r="T19" s="66">
        <f>ROUNDDOWN(IncomeLimits!AC17*0.3/12, 0)</f>
        <v>882</v>
      </c>
      <c r="U19" s="66">
        <f>ROUNDDOWN(AVERAGE(IncomeLimits!AC17:'IncomeLimits'!AD17)*0.3/12,0)</f>
        <v>945</v>
      </c>
      <c r="V19" s="66">
        <f>ROUNDDOWN(IncomeLimits!AE17*0.3/12, 0)</f>
        <v>1133</v>
      </c>
      <c r="W19" s="66">
        <f>ROUNDDOWN(AVERAGE(IncomeLimits!AF17:'IncomeLimits'!AG17)*0.3/12,0)</f>
        <v>1310</v>
      </c>
      <c r="X19" s="66">
        <f>ROUNDDOWN(IncomeLimits!AH17*0.3/12,0)</f>
        <v>1461</v>
      </c>
      <c r="Y19" s="66">
        <f>ROUNDDOWN(AVERAGE(IncomeLimits!AI17:'IncomeLimits'!AJ17)*0.3/12,0)</f>
        <v>1613</v>
      </c>
      <c r="Z19" s="1679">
        <f>ROUNDDOWN(IncomeLimits!AL17*0.3/12, 0)</f>
        <v>1059</v>
      </c>
      <c r="AA19" s="1009">
        <f>ROUNDDOWN(AVERAGE(IncomeLimits!AL17:'IncomeLimits'!AM17)*0.3/12, 0)</f>
        <v>1134</v>
      </c>
      <c r="AB19" s="1009">
        <f>ROUNDDOWN(IncomeLimits!AN17*0.3/12, 0)</f>
        <v>1360</v>
      </c>
      <c r="AC19" s="1009">
        <f>ROUNDDOWN(AVERAGE(IncomeLimits!AO17:'IncomeLimits'!AP17)*0.3/12,0)</f>
        <v>1572</v>
      </c>
      <c r="AD19" s="1009">
        <f>ROUNDDOWN(IncomeLimits!AQ17*0.3/12,0)</f>
        <v>1753</v>
      </c>
      <c r="AE19" s="1680">
        <f>ROUNDDOWN(AVERAGE(IncomeLimits!AR17:'IncomeLimits'!AS17)*0.3/12,0)</f>
        <v>1935</v>
      </c>
      <c r="AF19" s="65">
        <f>ROUNDDOWN(IncomeLimits!AU17*0.3/12, 0)</f>
        <v>1235</v>
      </c>
      <c r="AG19" s="1009">
        <f>ROUNDDOWN(AVERAGE(IncomeLimits!AU17:'IncomeLimits'!AV17)*0.3/12, 0)</f>
        <v>1323</v>
      </c>
      <c r="AH19" s="1009">
        <f>ROUNDDOWN(IncomeLimits!AW17*0.3/12, 0)</f>
        <v>1587</v>
      </c>
      <c r="AI19" s="1009">
        <f>ROUNDDOWN(AVERAGE(IncomeLimits!AX17:'IncomeLimits'!AY17)*0.3/12,0)</f>
        <v>1834</v>
      </c>
      <c r="AJ19" s="1009">
        <f>ROUNDDOWN(IncomeLimits!AZ17*0.3/12,0)</f>
        <v>2045</v>
      </c>
      <c r="AK19" s="76">
        <f>ROUNDDOWN(AVERAGE(IncomeLimits!BA17:'IncomeLimits'!BB17)*0.3/12,0)</f>
        <v>2258</v>
      </c>
      <c r="AL19" s="65">
        <f>ROUNDDOWN(IncomeLimits!BD17*0.3/12, 0)</f>
        <v>1412</v>
      </c>
      <c r="AM19" s="1009">
        <f>ROUNDDOWN(AVERAGE(IncomeLimits!BD17:'IncomeLimits'!BE17)*0.3/12, 0)</f>
        <v>1513</v>
      </c>
      <c r="AN19" s="1009">
        <f>ROUNDDOWN(IncomeLimits!BF17*0.3/12, 0)</f>
        <v>1814</v>
      </c>
      <c r="AO19" s="1009">
        <f>ROUNDDOWN(AVERAGE(IncomeLimits!BG17:'IncomeLimits'!BH17)*0.3/12,0)</f>
        <v>2097</v>
      </c>
      <c r="AP19" s="1009">
        <f>ROUNDDOWN(IncomeLimits!BI17*0.3/12,0)</f>
        <v>2338</v>
      </c>
      <c r="AQ19" s="76">
        <f>ROUNDDOWN(AVERAGE(IncomeLimits!BJ17:'IncomeLimits'!BK17)*0.3/12,0)</f>
        <v>2581</v>
      </c>
    </row>
    <row r="20" spans="1:43">
      <c r="A20" s="77" t="s">
        <v>369</v>
      </c>
      <c r="B20" s="75">
        <f>ROUNDDOWN(IncomeLimits!B18*0.3/12, 0)</f>
        <v>352</v>
      </c>
      <c r="C20" s="1009">
        <f>ROUNDDOWN(AVERAGE(IncomeLimits!B18:C18)*0.3/12, 0)</f>
        <v>377</v>
      </c>
      <c r="D20" s="1009">
        <f>ROUNDDOWN(IncomeLimits!D18*0.3/12, 0)</f>
        <v>453</v>
      </c>
      <c r="E20" s="1009">
        <f>ROUNDDOWN(AVERAGE(IncomeLimits!E18:'IncomeLimits'!F18)*0.3/12,0)</f>
        <v>523</v>
      </c>
      <c r="F20" s="1009">
        <f>ROUNDDOWN(IncomeLimits!G18*0.3/12,0)</f>
        <v>583</v>
      </c>
      <c r="G20" s="66">
        <f>ROUNDDOWN(AVERAGE(IncomeLimits!H18:'IncomeLimits'!I18)*0.3/12,0)</f>
        <v>644</v>
      </c>
      <c r="H20" s="75">
        <f>ROUNDDOWN(IncomeLimits!K18*0.3/12, 0)</f>
        <v>528</v>
      </c>
      <c r="I20" s="1009">
        <f>ROUNDDOWN(AVERAGE(IncomeLimits!K18:'IncomeLimits'!L18)*0.3/12, 0)</f>
        <v>566</v>
      </c>
      <c r="J20" s="1009">
        <f>ROUNDDOWN(IncomeLimits!M18*0.3/12, 0)</f>
        <v>679</v>
      </c>
      <c r="K20" s="1009">
        <f>ROUNDDOWN(AVERAGE(IncomeLimits!N18:'IncomeLimits'!O18)*0.3/12,0)</f>
        <v>784</v>
      </c>
      <c r="L20" s="1009">
        <f>ROUNDDOWN(IncomeLimits!P18*0.3/12,0)</f>
        <v>875</v>
      </c>
      <c r="M20" s="76">
        <f>ROUNDDOWN(AVERAGE(IncomeLimits!Q18:'IncomeLimits'!R18)*0.3/12,0)</f>
        <v>966</v>
      </c>
      <c r="N20" s="65">
        <f>ROUNDDOWN(IncomeLimits!T18*0.3/12, 0)</f>
        <v>705</v>
      </c>
      <c r="O20" s="1009">
        <f>ROUNDDOWN(AVERAGE(IncomeLimits!T18:'IncomeLimits'!U18)*0.3/12, 0)</f>
        <v>755</v>
      </c>
      <c r="P20" s="1009">
        <f>ROUNDDOWN(IncomeLimits!V18*0.3/12, 0)</f>
        <v>906</v>
      </c>
      <c r="Q20" s="1009">
        <f>ROUNDDOWN(AVERAGE(IncomeLimits!W18:'IncomeLimits'!X18)*0.3/12,0)</f>
        <v>1046</v>
      </c>
      <c r="R20" s="1009">
        <f>ROUNDDOWN(IncomeLimits!Y18*0.3/12,0)</f>
        <v>1167</v>
      </c>
      <c r="S20" s="66">
        <f>ROUNDDOWN(AVERAGE(IncomeLimits!Z18:'IncomeLimits'!AA18)*0.3/12,0)</f>
        <v>1288</v>
      </c>
      <c r="T20" s="66">
        <f>ROUNDDOWN(IncomeLimits!AC18*0.3/12, 0)</f>
        <v>881</v>
      </c>
      <c r="U20" s="66">
        <f>ROUNDDOWN(AVERAGE(IncomeLimits!AC18:'IncomeLimits'!AD18)*0.3/12,0)</f>
        <v>943</v>
      </c>
      <c r="V20" s="66">
        <f>ROUNDDOWN(IncomeLimits!AE18*0.3/12, 0)</f>
        <v>1132</v>
      </c>
      <c r="W20" s="66">
        <f>ROUNDDOWN(AVERAGE(IncomeLimits!AF18:'IncomeLimits'!AG18)*0.3/12,0)</f>
        <v>1308</v>
      </c>
      <c r="X20" s="66">
        <f>ROUNDDOWN(IncomeLimits!AH18*0.3/12,0)</f>
        <v>1458</v>
      </c>
      <c r="Y20" s="66">
        <f>ROUNDDOWN(AVERAGE(IncomeLimits!AI18:'IncomeLimits'!AJ18)*0.3/12,0)</f>
        <v>1610</v>
      </c>
      <c r="Z20" s="1679">
        <f>ROUNDDOWN(IncomeLimits!AL18*0.3/12, 0)</f>
        <v>1057</v>
      </c>
      <c r="AA20" s="1009">
        <f>ROUNDDOWN(AVERAGE(IncomeLimits!AL18:'IncomeLimits'!AM18)*0.3/12, 0)</f>
        <v>1132</v>
      </c>
      <c r="AB20" s="1009">
        <f>ROUNDDOWN(IncomeLimits!AN18*0.3/12, 0)</f>
        <v>1359</v>
      </c>
      <c r="AC20" s="1009">
        <f>ROUNDDOWN(AVERAGE(IncomeLimits!AO18:'IncomeLimits'!AP18)*0.3/12,0)</f>
        <v>1569</v>
      </c>
      <c r="AD20" s="1009">
        <f>ROUNDDOWN(IncomeLimits!AQ18*0.3/12,0)</f>
        <v>1750</v>
      </c>
      <c r="AE20" s="1680">
        <f>ROUNDDOWN(AVERAGE(IncomeLimits!AR18:'IncomeLimits'!AS18)*0.3/12,0)</f>
        <v>1932</v>
      </c>
      <c r="AF20" s="65">
        <f>ROUNDDOWN(IncomeLimits!AU18*0.3/12, 0)</f>
        <v>1233</v>
      </c>
      <c r="AG20" s="1009">
        <f>ROUNDDOWN(AVERAGE(IncomeLimits!AU18:'IncomeLimits'!AV18)*0.3/12, 0)</f>
        <v>1321</v>
      </c>
      <c r="AH20" s="1009">
        <f>ROUNDDOWN(IncomeLimits!AW18*0.3/12, 0)</f>
        <v>1585</v>
      </c>
      <c r="AI20" s="1009">
        <f>ROUNDDOWN(AVERAGE(IncomeLimits!AX18:'IncomeLimits'!AY18)*0.3/12,0)</f>
        <v>1831</v>
      </c>
      <c r="AJ20" s="1009">
        <f>ROUNDDOWN(IncomeLimits!AZ18*0.3/12,0)</f>
        <v>2042</v>
      </c>
      <c r="AK20" s="76">
        <f>ROUNDDOWN(AVERAGE(IncomeLimits!BA18:'IncomeLimits'!BB18)*0.3/12,0)</f>
        <v>2254</v>
      </c>
      <c r="AL20" s="65">
        <f>ROUNDDOWN(IncomeLimits!BD18*0.3/12, 0)</f>
        <v>1410</v>
      </c>
      <c r="AM20" s="1009">
        <f>ROUNDDOWN(AVERAGE(IncomeLimits!BD18:'IncomeLimits'!BE18)*0.3/12, 0)</f>
        <v>1510</v>
      </c>
      <c r="AN20" s="1009">
        <f>ROUNDDOWN(IncomeLimits!BF18*0.3/12, 0)</f>
        <v>1812</v>
      </c>
      <c r="AO20" s="1009">
        <f>ROUNDDOWN(AVERAGE(IncomeLimits!BG18:'IncomeLimits'!BH18)*0.3/12,0)</f>
        <v>2093</v>
      </c>
      <c r="AP20" s="1009">
        <f>ROUNDDOWN(IncomeLimits!BI18*0.3/12,0)</f>
        <v>2334</v>
      </c>
      <c r="AQ20" s="76">
        <f>ROUNDDOWN(AVERAGE(IncomeLimits!BJ18:'IncomeLimits'!BK18)*0.3/12,0)</f>
        <v>2576</v>
      </c>
    </row>
    <row r="21" spans="1:43">
      <c r="A21" s="77" t="s">
        <v>408</v>
      </c>
      <c r="B21" s="75">
        <f>ROUNDDOWN(IncomeLimits!B19*0.3/12, 0)</f>
        <v>346</v>
      </c>
      <c r="C21" s="1009">
        <f>ROUNDDOWN(AVERAGE(IncomeLimits!B19:C19)*0.3/12, 0)</f>
        <v>370</v>
      </c>
      <c r="D21" s="1009">
        <f>ROUNDDOWN(IncomeLimits!D19*0.3/12, 0)</f>
        <v>445</v>
      </c>
      <c r="E21" s="1009">
        <f>ROUNDDOWN(AVERAGE(IncomeLimits!E19:'IncomeLimits'!F19)*0.3/12,0)</f>
        <v>514</v>
      </c>
      <c r="F21" s="1009">
        <f>ROUNDDOWN(IncomeLimits!G19*0.3/12,0)</f>
        <v>573</v>
      </c>
      <c r="G21" s="66">
        <f>ROUNDDOWN(AVERAGE(IncomeLimits!H19:'IncomeLimits'!I19)*0.3/12,0)</f>
        <v>632</v>
      </c>
      <c r="H21" s="75">
        <f>ROUNDDOWN(IncomeLimits!K19*0.3/12, 0)</f>
        <v>519</v>
      </c>
      <c r="I21" s="1009">
        <f>ROUNDDOWN(AVERAGE(IncomeLimits!K19:'IncomeLimits'!L19)*0.3/12, 0)</f>
        <v>556</v>
      </c>
      <c r="J21" s="1009">
        <f>ROUNDDOWN(IncomeLimits!M19*0.3/12, 0)</f>
        <v>667</v>
      </c>
      <c r="K21" s="1009">
        <f>ROUNDDOWN(AVERAGE(IncomeLimits!N19:'IncomeLimits'!O19)*0.3/12,0)</f>
        <v>771</v>
      </c>
      <c r="L21" s="1009">
        <f>ROUNDDOWN(IncomeLimits!P19*0.3/12,0)</f>
        <v>860</v>
      </c>
      <c r="M21" s="76">
        <f>ROUNDDOWN(AVERAGE(IncomeLimits!Q19:'IncomeLimits'!R19)*0.3/12,0)</f>
        <v>949</v>
      </c>
      <c r="N21" s="65">
        <f>ROUNDDOWN(IncomeLimits!T19*0.3/12, 0)</f>
        <v>692</v>
      </c>
      <c r="O21" s="1009">
        <f>ROUNDDOWN(AVERAGE(IncomeLimits!T19:'IncomeLimits'!U19)*0.3/12, 0)</f>
        <v>741</v>
      </c>
      <c r="P21" s="1009">
        <f>ROUNDDOWN(IncomeLimits!V19*0.3/12, 0)</f>
        <v>890</v>
      </c>
      <c r="Q21" s="1009">
        <f>ROUNDDOWN(AVERAGE(IncomeLimits!W19:'IncomeLimits'!X19)*0.3/12,0)</f>
        <v>1028</v>
      </c>
      <c r="R21" s="1009">
        <f>ROUNDDOWN(IncomeLimits!Y19*0.3/12,0)</f>
        <v>1147</v>
      </c>
      <c r="S21" s="66">
        <f>ROUNDDOWN(AVERAGE(IncomeLimits!Z19:'IncomeLimits'!AA19)*0.3/12,0)</f>
        <v>1265</v>
      </c>
      <c r="T21" s="66">
        <f>ROUNDDOWN(IncomeLimits!AC19*0.3/12, 0)</f>
        <v>865</v>
      </c>
      <c r="U21" s="66">
        <f>ROUNDDOWN(AVERAGE(IncomeLimits!AC19:'IncomeLimits'!AD19)*0.3/12,0)</f>
        <v>926</v>
      </c>
      <c r="V21" s="66">
        <f>ROUNDDOWN(IncomeLimits!AE19*0.3/12, 0)</f>
        <v>1112</v>
      </c>
      <c r="W21" s="66">
        <f>ROUNDDOWN(AVERAGE(IncomeLimits!AF19:'IncomeLimits'!AG19)*0.3/12,0)</f>
        <v>1285</v>
      </c>
      <c r="X21" s="66">
        <f>ROUNDDOWN(IncomeLimits!AH19*0.3/12,0)</f>
        <v>1433</v>
      </c>
      <c r="Y21" s="66">
        <f>ROUNDDOWN(AVERAGE(IncomeLimits!AI19:'IncomeLimits'!AJ19)*0.3/12,0)</f>
        <v>1581</v>
      </c>
      <c r="Z21" s="1679">
        <f>ROUNDDOWN(IncomeLimits!AL19*0.3/12, 0)</f>
        <v>1038</v>
      </c>
      <c r="AA21" s="1009">
        <f>ROUNDDOWN(AVERAGE(IncomeLimits!AL19:'IncomeLimits'!AM19)*0.3/12, 0)</f>
        <v>1112</v>
      </c>
      <c r="AB21" s="1009">
        <f>ROUNDDOWN(IncomeLimits!AN19*0.3/12, 0)</f>
        <v>1335</v>
      </c>
      <c r="AC21" s="1009">
        <f>ROUNDDOWN(AVERAGE(IncomeLimits!AO19:'IncomeLimits'!AP19)*0.3/12,0)</f>
        <v>1542</v>
      </c>
      <c r="AD21" s="1009">
        <f>ROUNDDOWN(IncomeLimits!AQ19*0.3/12,0)</f>
        <v>1720</v>
      </c>
      <c r="AE21" s="1680">
        <f>ROUNDDOWN(AVERAGE(IncomeLimits!AR19:'IncomeLimits'!AS19)*0.3/12,0)</f>
        <v>1898</v>
      </c>
      <c r="AF21" s="65">
        <f>ROUNDDOWN(IncomeLimits!AU19*0.3/12, 0)</f>
        <v>1211</v>
      </c>
      <c r="AG21" s="1009">
        <f>ROUNDDOWN(AVERAGE(IncomeLimits!AU19:'IncomeLimits'!AV19)*0.3/12, 0)</f>
        <v>1297</v>
      </c>
      <c r="AH21" s="1009">
        <f>ROUNDDOWN(IncomeLimits!AW19*0.3/12, 0)</f>
        <v>1557</v>
      </c>
      <c r="AI21" s="1009">
        <f>ROUNDDOWN(AVERAGE(IncomeLimits!AX19:'IncomeLimits'!AY19)*0.3/12,0)</f>
        <v>1799</v>
      </c>
      <c r="AJ21" s="1009">
        <f>ROUNDDOWN(IncomeLimits!AZ19*0.3/12,0)</f>
        <v>2007</v>
      </c>
      <c r="AK21" s="76">
        <f>ROUNDDOWN(AVERAGE(IncomeLimits!BA19:'IncomeLimits'!BB19)*0.3/12,0)</f>
        <v>2214</v>
      </c>
      <c r="AL21" s="65">
        <f>ROUNDDOWN(IncomeLimits!BD19*0.3/12, 0)</f>
        <v>1384</v>
      </c>
      <c r="AM21" s="1009">
        <f>ROUNDDOWN(AVERAGE(IncomeLimits!BD19:'IncomeLimits'!BE19)*0.3/12, 0)</f>
        <v>1483</v>
      </c>
      <c r="AN21" s="1009">
        <f>ROUNDDOWN(IncomeLimits!BF19*0.3/12, 0)</f>
        <v>1780</v>
      </c>
      <c r="AO21" s="1009">
        <f>ROUNDDOWN(AVERAGE(IncomeLimits!BG19:'IncomeLimits'!BH19)*0.3/12,0)</f>
        <v>2056</v>
      </c>
      <c r="AP21" s="1009">
        <f>ROUNDDOWN(IncomeLimits!BI19*0.3/12,0)</f>
        <v>2294</v>
      </c>
      <c r="AQ21" s="76">
        <f>ROUNDDOWN(AVERAGE(IncomeLimits!BJ19:'IncomeLimits'!BK19)*0.3/12,0)</f>
        <v>2531</v>
      </c>
    </row>
    <row r="22" spans="1:43">
      <c r="A22" s="77" t="s">
        <v>376</v>
      </c>
      <c r="B22" s="75">
        <f>ROUNDDOWN(IncomeLimits!B20*0.3/12, 0)</f>
        <v>361</v>
      </c>
      <c r="C22" s="1009">
        <f>ROUNDDOWN(AVERAGE(IncomeLimits!B20:C20)*0.3/12, 0)</f>
        <v>387</v>
      </c>
      <c r="D22" s="1009">
        <f>ROUNDDOWN(IncomeLimits!D20*0.3/12, 0)</f>
        <v>464</v>
      </c>
      <c r="E22" s="1009">
        <f>ROUNDDOWN(AVERAGE(IncomeLimits!E20:'IncomeLimits'!F20)*0.3/12,0)</f>
        <v>536</v>
      </c>
      <c r="F22" s="1009">
        <f>ROUNDDOWN(IncomeLimits!G20*0.3/12,0)</f>
        <v>599</v>
      </c>
      <c r="G22" s="66">
        <f>ROUNDDOWN(AVERAGE(IncomeLimits!H20:'IncomeLimits'!I20)*0.3/12,0)</f>
        <v>660</v>
      </c>
      <c r="H22" s="75">
        <f>ROUNDDOWN(IncomeLimits!K20*0.3/12, 0)</f>
        <v>542</v>
      </c>
      <c r="I22" s="1009">
        <f>ROUNDDOWN(AVERAGE(IncomeLimits!K20:'IncomeLimits'!L20)*0.3/12, 0)</f>
        <v>580</v>
      </c>
      <c r="J22" s="1009">
        <f>ROUNDDOWN(IncomeLimits!M20*0.3/12, 0)</f>
        <v>696</v>
      </c>
      <c r="K22" s="1009">
        <f>ROUNDDOWN(AVERAGE(IncomeLimits!N20:'IncomeLimits'!O20)*0.3/12,0)</f>
        <v>805</v>
      </c>
      <c r="L22" s="1009">
        <f>ROUNDDOWN(IncomeLimits!P20*0.3/12,0)</f>
        <v>898</v>
      </c>
      <c r="M22" s="76">
        <f>ROUNDDOWN(AVERAGE(IncomeLimits!Q20:'IncomeLimits'!R20)*0.3/12,0)</f>
        <v>991</v>
      </c>
      <c r="N22" s="65">
        <f>ROUNDDOWN(IncomeLimits!T20*0.3/12, 0)</f>
        <v>723</v>
      </c>
      <c r="O22" s="1009">
        <f>ROUNDDOWN(AVERAGE(IncomeLimits!T20:'IncomeLimits'!U20)*0.3/12, 0)</f>
        <v>774</v>
      </c>
      <c r="P22" s="1009">
        <f>ROUNDDOWN(IncomeLimits!V20*0.3/12, 0)</f>
        <v>929</v>
      </c>
      <c r="Q22" s="1009">
        <f>ROUNDDOWN(AVERAGE(IncomeLimits!W20:'IncomeLimits'!X20)*0.3/12,0)</f>
        <v>1073</v>
      </c>
      <c r="R22" s="1009">
        <f>ROUNDDOWN(IncomeLimits!Y20*0.3/12,0)</f>
        <v>1198</v>
      </c>
      <c r="S22" s="66">
        <f>ROUNDDOWN(AVERAGE(IncomeLimits!Z20:'IncomeLimits'!AA20)*0.3/12,0)</f>
        <v>1321</v>
      </c>
      <c r="T22" s="66">
        <f>ROUNDDOWN(IncomeLimits!AC20*0.3/12, 0)</f>
        <v>903</v>
      </c>
      <c r="U22" s="66">
        <f>ROUNDDOWN(AVERAGE(IncomeLimits!AC20:'IncomeLimits'!AD20)*0.3/12,0)</f>
        <v>968</v>
      </c>
      <c r="V22" s="66">
        <f>ROUNDDOWN(IncomeLimits!AE20*0.3/12, 0)</f>
        <v>1161</v>
      </c>
      <c r="W22" s="66">
        <f>ROUNDDOWN(AVERAGE(IncomeLimits!AF20:'IncomeLimits'!AG20)*0.3/12,0)</f>
        <v>1341</v>
      </c>
      <c r="X22" s="66">
        <f>ROUNDDOWN(IncomeLimits!AH20*0.3/12,0)</f>
        <v>1497</v>
      </c>
      <c r="Y22" s="66">
        <f>ROUNDDOWN(AVERAGE(IncomeLimits!AI20:'IncomeLimits'!AJ20)*0.3/12,0)</f>
        <v>1651</v>
      </c>
      <c r="Z22" s="1679">
        <f>ROUNDDOWN(IncomeLimits!AL20*0.3/12, 0)</f>
        <v>1084</v>
      </c>
      <c r="AA22" s="1009">
        <f>ROUNDDOWN(AVERAGE(IncomeLimits!AL20:'IncomeLimits'!AM20)*0.3/12, 0)</f>
        <v>1161</v>
      </c>
      <c r="AB22" s="1009">
        <f>ROUNDDOWN(IncomeLimits!AN20*0.3/12, 0)</f>
        <v>1393</v>
      </c>
      <c r="AC22" s="1009">
        <f>ROUNDDOWN(AVERAGE(IncomeLimits!AO20:'IncomeLimits'!AP20)*0.3/12,0)</f>
        <v>1610</v>
      </c>
      <c r="AD22" s="1009">
        <f>ROUNDDOWN(IncomeLimits!AQ20*0.3/12,0)</f>
        <v>1797</v>
      </c>
      <c r="AE22" s="1680">
        <f>ROUNDDOWN(AVERAGE(IncomeLimits!AR20:'IncomeLimits'!AS20)*0.3/12,0)</f>
        <v>1982</v>
      </c>
      <c r="AF22" s="65">
        <f>ROUNDDOWN(IncomeLimits!AU20*0.3/12, 0)</f>
        <v>1265</v>
      </c>
      <c r="AG22" s="1009">
        <f>ROUNDDOWN(AVERAGE(IncomeLimits!AU20:'IncomeLimits'!AV20)*0.3/12, 0)</f>
        <v>1355</v>
      </c>
      <c r="AH22" s="1009">
        <f>ROUNDDOWN(IncomeLimits!AW20*0.3/12, 0)</f>
        <v>1625</v>
      </c>
      <c r="AI22" s="1009">
        <f>ROUNDDOWN(AVERAGE(IncomeLimits!AX20:'IncomeLimits'!AY20)*0.3/12,0)</f>
        <v>1878</v>
      </c>
      <c r="AJ22" s="1009">
        <f>ROUNDDOWN(IncomeLimits!AZ20*0.3/12,0)</f>
        <v>2096</v>
      </c>
      <c r="AK22" s="76">
        <f>ROUNDDOWN(AVERAGE(IncomeLimits!BA20:'IncomeLimits'!BB20)*0.3/12,0)</f>
        <v>2312</v>
      </c>
      <c r="AL22" s="65">
        <f>ROUNDDOWN(IncomeLimits!BD20*0.3/12, 0)</f>
        <v>1446</v>
      </c>
      <c r="AM22" s="1009">
        <f>ROUNDDOWN(AVERAGE(IncomeLimits!BD20:'IncomeLimits'!BE20)*0.3/12, 0)</f>
        <v>1549</v>
      </c>
      <c r="AN22" s="1009">
        <f>ROUNDDOWN(IncomeLimits!BF20*0.3/12, 0)</f>
        <v>1858</v>
      </c>
      <c r="AO22" s="1009">
        <f>ROUNDDOWN(AVERAGE(IncomeLimits!BG20:'IncomeLimits'!BH20)*0.3/12,0)</f>
        <v>2147</v>
      </c>
      <c r="AP22" s="1009">
        <f>ROUNDDOWN(IncomeLimits!BI20*0.3/12,0)</f>
        <v>2396</v>
      </c>
      <c r="AQ22" s="76">
        <f>ROUNDDOWN(AVERAGE(IncomeLimits!BJ20:'IncomeLimits'!BK20)*0.3/12,0)</f>
        <v>2643</v>
      </c>
    </row>
    <row r="23" spans="1:43">
      <c r="A23" s="77" t="s">
        <v>413</v>
      </c>
      <c r="B23" s="75">
        <f>ROUNDDOWN(IncomeLimits!B21*0.3/12, 0)</f>
        <v>325</v>
      </c>
      <c r="C23" s="1009">
        <f>ROUNDDOWN(AVERAGE(IncomeLimits!B21:C21)*0.3/12, 0)</f>
        <v>348</v>
      </c>
      <c r="D23" s="1009">
        <f>ROUNDDOWN(IncomeLimits!D21*0.3/12, 0)</f>
        <v>418</v>
      </c>
      <c r="E23" s="1009">
        <f>ROUNDDOWN(AVERAGE(IncomeLimits!E21:'IncomeLimits'!F21)*0.3/12,0)</f>
        <v>482</v>
      </c>
      <c r="F23" s="1009">
        <f>ROUNDDOWN(IncomeLimits!G21*0.3/12,0)</f>
        <v>538</v>
      </c>
      <c r="G23" s="66">
        <f>ROUNDDOWN(AVERAGE(IncomeLimits!H21:'IncomeLimits'!I21)*0.3/12,0)</f>
        <v>594</v>
      </c>
      <c r="H23" s="75">
        <f>ROUNDDOWN(IncomeLimits!K21*0.3/12, 0)</f>
        <v>487</v>
      </c>
      <c r="I23" s="1009">
        <f>ROUNDDOWN(AVERAGE(IncomeLimits!K21:'IncomeLimits'!L21)*0.3/12, 0)</f>
        <v>522</v>
      </c>
      <c r="J23" s="1009">
        <f>ROUNDDOWN(IncomeLimits!M21*0.3/12, 0)</f>
        <v>627</v>
      </c>
      <c r="K23" s="1009">
        <f>ROUNDDOWN(AVERAGE(IncomeLimits!N21:'IncomeLimits'!O21)*0.3/12,0)</f>
        <v>724</v>
      </c>
      <c r="L23" s="1009">
        <f>ROUNDDOWN(IncomeLimits!P21*0.3/12,0)</f>
        <v>807</v>
      </c>
      <c r="M23" s="76">
        <f>ROUNDDOWN(AVERAGE(IncomeLimits!Q21:'IncomeLimits'!R21)*0.3/12,0)</f>
        <v>891</v>
      </c>
      <c r="N23" s="65">
        <f>ROUNDDOWN(IncomeLimits!T21*0.3/12, 0)</f>
        <v>650</v>
      </c>
      <c r="O23" s="1009">
        <f>ROUNDDOWN(AVERAGE(IncomeLimits!T21:'IncomeLimits'!U21)*0.3/12, 0)</f>
        <v>696</v>
      </c>
      <c r="P23" s="1009">
        <f>ROUNDDOWN(IncomeLimits!V21*0.3/12, 0)</f>
        <v>836</v>
      </c>
      <c r="Q23" s="1009">
        <f>ROUNDDOWN(AVERAGE(IncomeLimits!W21:'IncomeLimits'!X21)*0.3/12,0)</f>
        <v>965</v>
      </c>
      <c r="R23" s="1009">
        <f>ROUNDDOWN(IncomeLimits!Y21*0.3/12,0)</f>
        <v>1077</v>
      </c>
      <c r="S23" s="66">
        <f>ROUNDDOWN(AVERAGE(IncomeLimits!Z21:'IncomeLimits'!AA21)*0.3/12,0)</f>
        <v>1188</v>
      </c>
      <c r="T23" s="66">
        <f>ROUNDDOWN(IncomeLimits!AC21*0.3/12, 0)</f>
        <v>812</v>
      </c>
      <c r="U23" s="66">
        <f>ROUNDDOWN(AVERAGE(IncomeLimits!AC21:'IncomeLimits'!AD21)*0.3/12,0)</f>
        <v>870</v>
      </c>
      <c r="V23" s="66">
        <f>ROUNDDOWN(IncomeLimits!AE21*0.3/12, 0)</f>
        <v>1045</v>
      </c>
      <c r="W23" s="66">
        <f>ROUNDDOWN(AVERAGE(IncomeLimits!AF21:'IncomeLimits'!AG21)*0.3/12,0)</f>
        <v>1206</v>
      </c>
      <c r="X23" s="66">
        <f>ROUNDDOWN(IncomeLimits!AH21*0.3/12,0)</f>
        <v>1346</v>
      </c>
      <c r="Y23" s="66">
        <f>ROUNDDOWN(AVERAGE(IncomeLimits!AI21:'IncomeLimits'!AJ21)*0.3/12,0)</f>
        <v>1485</v>
      </c>
      <c r="Z23" s="1679">
        <f>ROUNDDOWN(IncomeLimits!AL21*0.3/12, 0)</f>
        <v>975</v>
      </c>
      <c r="AA23" s="1009">
        <f>ROUNDDOWN(AVERAGE(IncomeLimits!AL21:'IncomeLimits'!AM21)*0.3/12, 0)</f>
        <v>1044</v>
      </c>
      <c r="AB23" s="1009">
        <f>ROUNDDOWN(IncomeLimits!AN21*0.3/12, 0)</f>
        <v>1254</v>
      </c>
      <c r="AC23" s="1009">
        <f>ROUNDDOWN(AVERAGE(IncomeLimits!AO21:'IncomeLimits'!AP21)*0.3/12,0)</f>
        <v>1448</v>
      </c>
      <c r="AD23" s="1009">
        <f>ROUNDDOWN(IncomeLimits!AQ21*0.3/12,0)</f>
        <v>1615</v>
      </c>
      <c r="AE23" s="1680">
        <f>ROUNDDOWN(AVERAGE(IncomeLimits!AR21:'IncomeLimits'!AS21)*0.3/12,0)</f>
        <v>1782</v>
      </c>
      <c r="AF23" s="65">
        <f>ROUNDDOWN(IncomeLimits!AU21*0.3/12, 0)</f>
        <v>1137</v>
      </c>
      <c r="AG23" s="1009">
        <f>ROUNDDOWN(AVERAGE(IncomeLimits!AU21:'IncomeLimits'!AV21)*0.3/12, 0)</f>
        <v>1218</v>
      </c>
      <c r="AH23" s="1009">
        <f>ROUNDDOWN(IncomeLimits!AW21*0.3/12, 0)</f>
        <v>1463</v>
      </c>
      <c r="AI23" s="1009">
        <f>ROUNDDOWN(AVERAGE(IncomeLimits!AX21:'IncomeLimits'!AY21)*0.3/12,0)</f>
        <v>1689</v>
      </c>
      <c r="AJ23" s="1009">
        <f>ROUNDDOWN(IncomeLimits!AZ21*0.3/12,0)</f>
        <v>1884</v>
      </c>
      <c r="AK23" s="76">
        <f>ROUNDDOWN(AVERAGE(IncomeLimits!BA21:'IncomeLimits'!BB21)*0.3/12,0)</f>
        <v>2079</v>
      </c>
      <c r="AL23" s="65">
        <f>ROUNDDOWN(IncomeLimits!BD21*0.3/12, 0)</f>
        <v>1300</v>
      </c>
      <c r="AM23" s="1009">
        <f>ROUNDDOWN(AVERAGE(IncomeLimits!BD21:'IncomeLimits'!BE21)*0.3/12, 0)</f>
        <v>1393</v>
      </c>
      <c r="AN23" s="1009">
        <f>ROUNDDOWN(IncomeLimits!BF21*0.3/12, 0)</f>
        <v>1672</v>
      </c>
      <c r="AO23" s="1009">
        <f>ROUNDDOWN(AVERAGE(IncomeLimits!BG21:'IncomeLimits'!BH21)*0.3/12,0)</f>
        <v>1931</v>
      </c>
      <c r="AP23" s="1009">
        <f>ROUNDDOWN(IncomeLimits!BI21*0.3/12,0)</f>
        <v>2154</v>
      </c>
      <c r="AQ23" s="76">
        <f>ROUNDDOWN(AVERAGE(IncomeLimits!BJ21:'IncomeLimits'!BK21)*0.3/12,0)</f>
        <v>2376</v>
      </c>
    </row>
    <row r="24" spans="1:43">
      <c r="A24" s="77" t="s">
        <v>381</v>
      </c>
      <c r="B24" s="75">
        <f>ROUNDDOWN(IncomeLimits!B22*0.3/12, 0)</f>
        <v>342</v>
      </c>
      <c r="C24" s="1009">
        <f>ROUNDDOWN(AVERAGE(IncomeLimits!B22:C22)*0.3/12, 0)</f>
        <v>367</v>
      </c>
      <c r="D24" s="1009">
        <f>ROUNDDOWN(IncomeLimits!D22*0.3/12, 0)</f>
        <v>440</v>
      </c>
      <c r="E24" s="1009">
        <f>ROUNDDOWN(AVERAGE(IncomeLimits!E22:'IncomeLimits'!F22)*0.3/12,0)</f>
        <v>508</v>
      </c>
      <c r="F24" s="1009">
        <f>ROUNDDOWN(IncomeLimits!G22*0.3/12,0)</f>
        <v>567</v>
      </c>
      <c r="G24" s="66">
        <f>ROUNDDOWN(AVERAGE(IncomeLimits!H22:'IncomeLimits'!I22)*0.3/12,0)</f>
        <v>626</v>
      </c>
      <c r="H24" s="75">
        <f>ROUNDDOWN(IncomeLimits!K22*0.3/12, 0)</f>
        <v>513</v>
      </c>
      <c r="I24" s="1009">
        <f>ROUNDDOWN(AVERAGE(IncomeLimits!K22:'IncomeLimits'!L22)*0.3/12, 0)</f>
        <v>550</v>
      </c>
      <c r="J24" s="1009">
        <f>ROUNDDOWN(IncomeLimits!M22*0.3/12, 0)</f>
        <v>660</v>
      </c>
      <c r="K24" s="1009">
        <f>ROUNDDOWN(AVERAGE(IncomeLimits!N22:'IncomeLimits'!O22)*0.3/12,0)</f>
        <v>763</v>
      </c>
      <c r="L24" s="1009">
        <f>ROUNDDOWN(IncomeLimits!P22*0.3/12,0)</f>
        <v>851</v>
      </c>
      <c r="M24" s="76">
        <f>ROUNDDOWN(AVERAGE(IncomeLimits!Q22:'IncomeLimits'!R22)*0.3/12,0)</f>
        <v>939</v>
      </c>
      <c r="N24" s="65">
        <f>ROUNDDOWN(IncomeLimits!T22*0.3/12, 0)</f>
        <v>685</v>
      </c>
      <c r="O24" s="1009">
        <f>ROUNDDOWN(AVERAGE(IncomeLimits!T22:'IncomeLimits'!U22)*0.3/12, 0)</f>
        <v>734</v>
      </c>
      <c r="P24" s="1009">
        <f>ROUNDDOWN(IncomeLimits!V22*0.3/12, 0)</f>
        <v>881</v>
      </c>
      <c r="Q24" s="1009">
        <f>ROUNDDOWN(AVERAGE(IncomeLimits!W22:'IncomeLimits'!X22)*0.3/12,0)</f>
        <v>1017</v>
      </c>
      <c r="R24" s="1009">
        <f>ROUNDDOWN(IncomeLimits!Y22*0.3/12,0)</f>
        <v>1135</v>
      </c>
      <c r="S24" s="66">
        <f>ROUNDDOWN(AVERAGE(IncomeLimits!Z22:'IncomeLimits'!AA22)*0.3/12,0)</f>
        <v>1252</v>
      </c>
      <c r="T24" s="66">
        <f>ROUNDDOWN(IncomeLimits!AC22*0.3/12, 0)</f>
        <v>856</v>
      </c>
      <c r="U24" s="66">
        <f>ROUNDDOWN(AVERAGE(IncomeLimits!AC22:'IncomeLimits'!AD22)*0.3/12,0)</f>
        <v>917</v>
      </c>
      <c r="V24" s="66">
        <f>ROUNDDOWN(IncomeLimits!AE22*0.3/12, 0)</f>
        <v>1101</v>
      </c>
      <c r="W24" s="66">
        <f>ROUNDDOWN(AVERAGE(IncomeLimits!AF22:'IncomeLimits'!AG22)*0.3/12,0)</f>
        <v>1271</v>
      </c>
      <c r="X24" s="66">
        <f>ROUNDDOWN(IncomeLimits!AH22*0.3/12,0)</f>
        <v>1418</v>
      </c>
      <c r="Y24" s="66">
        <f>ROUNDDOWN(AVERAGE(IncomeLimits!AI22:'IncomeLimits'!AJ22)*0.3/12,0)</f>
        <v>1565</v>
      </c>
      <c r="Z24" s="1679">
        <f>ROUNDDOWN(IncomeLimits!AL22*0.3/12, 0)</f>
        <v>1027</v>
      </c>
      <c r="AA24" s="1009">
        <f>ROUNDDOWN(AVERAGE(IncomeLimits!AL22:'IncomeLimits'!AM22)*0.3/12, 0)</f>
        <v>1101</v>
      </c>
      <c r="AB24" s="1009">
        <f>ROUNDDOWN(IncomeLimits!AN22*0.3/12, 0)</f>
        <v>1321</v>
      </c>
      <c r="AC24" s="1009">
        <f>ROUNDDOWN(AVERAGE(IncomeLimits!AO22:'IncomeLimits'!AP22)*0.3/12,0)</f>
        <v>1526</v>
      </c>
      <c r="AD24" s="1009">
        <f>ROUNDDOWN(IncomeLimits!AQ22*0.3/12,0)</f>
        <v>1702</v>
      </c>
      <c r="AE24" s="1680">
        <f>ROUNDDOWN(AVERAGE(IncomeLimits!AR22:'IncomeLimits'!AS22)*0.3/12,0)</f>
        <v>1878</v>
      </c>
      <c r="AF24" s="65">
        <f>ROUNDDOWN(IncomeLimits!AU22*0.3/12, 0)</f>
        <v>1198</v>
      </c>
      <c r="AG24" s="1009">
        <f>ROUNDDOWN(AVERAGE(IncomeLimits!AU22:'IncomeLimits'!AV22)*0.3/12, 0)</f>
        <v>1284</v>
      </c>
      <c r="AH24" s="1009">
        <f>ROUNDDOWN(IncomeLimits!AW22*0.3/12, 0)</f>
        <v>1541</v>
      </c>
      <c r="AI24" s="1009">
        <f>ROUNDDOWN(AVERAGE(IncomeLimits!AX22:'IncomeLimits'!AY22)*0.3/12,0)</f>
        <v>1780</v>
      </c>
      <c r="AJ24" s="1009">
        <f>ROUNDDOWN(IncomeLimits!AZ22*0.3/12,0)</f>
        <v>1986</v>
      </c>
      <c r="AK24" s="76">
        <f>ROUNDDOWN(AVERAGE(IncomeLimits!BA22:'IncomeLimits'!BB22)*0.3/12,0)</f>
        <v>2191</v>
      </c>
      <c r="AL24" s="65">
        <f>ROUNDDOWN(IncomeLimits!BD22*0.3/12, 0)</f>
        <v>1370</v>
      </c>
      <c r="AM24" s="1009">
        <f>ROUNDDOWN(AVERAGE(IncomeLimits!BD22:'IncomeLimits'!BE22)*0.3/12, 0)</f>
        <v>1468</v>
      </c>
      <c r="AN24" s="1009">
        <f>ROUNDDOWN(IncomeLimits!BF22*0.3/12, 0)</f>
        <v>1762</v>
      </c>
      <c r="AO24" s="1009">
        <f>ROUNDDOWN(AVERAGE(IncomeLimits!BG22:'IncomeLimits'!BH22)*0.3/12,0)</f>
        <v>2035</v>
      </c>
      <c r="AP24" s="1009">
        <f>ROUNDDOWN(IncomeLimits!BI22*0.3/12,0)</f>
        <v>2270</v>
      </c>
      <c r="AQ24" s="76">
        <f>ROUNDDOWN(AVERAGE(IncomeLimits!BJ22:'IncomeLimits'!BK22)*0.3/12,0)</f>
        <v>2504</v>
      </c>
    </row>
    <row r="25" spans="1:43">
      <c r="A25" s="77" t="s">
        <v>418</v>
      </c>
      <c r="B25" s="75">
        <f>ROUNDDOWN(IncomeLimits!B23*0.3/12, 0)</f>
        <v>325</v>
      </c>
      <c r="C25" s="1009">
        <f>ROUNDDOWN(AVERAGE(IncomeLimits!B23:C23)*0.3/12, 0)</f>
        <v>348</v>
      </c>
      <c r="D25" s="1009">
        <f>ROUNDDOWN(IncomeLimits!D23*0.3/12, 0)</f>
        <v>418</v>
      </c>
      <c r="E25" s="1009">
        <f>ROUNDDOWN(AVERAGE(IncomeLimits!E23:'IncomeLimits'!F23)*0.3/12,0)</f>
        <v>482</v>
      </c>
      <c r="F25" s="1009">
        <f>ROUNDDOWN(IncomeLimits!G23*0.3/12,0)</f>
        <v>538</v>
      </c>
      <c r="G25" s="66">
        <f>ROUNDDOWN(AVERAGE(IncomeLimits!H23:'IncomeLimits'!I23)*0.3/12,0)</f>
        <v>594</v>
      </c>
      <c r="H25" s="75">
        <f>ROUNDDOWN(IncomeLimits!K23*0.3/12, 0)</f>
        <v>487</v>
      </c>
      <c r="I25" s="1009">
        <f>ROUNDDOWN(AVERAGE(IncomeLimits!K23:'IncomeLimits'!L23)*0.3/12, 0)</f>
        <v>522</v>
      </c>
      <c r="J25" s="1009">
        <f>ROUNDDOWN(IncomeLimits!M23*0.3/12, 0)</f>
        <v>627</v>
      </c>
      <c r="K25" s="1009">
        <f>ROUNDDOWN(AVERAGE(IncomeLimits!N23:'IncomeLimits'!O23)*0.3/12,0)</f>
        <v>724</v>
      </c>
      <c r="L25" s="1009">
        <f>ROUNDDOWN(IncomeLimits!P23*0.3/12,0)</f>
        <v>807</v>
      </c>
      <c r="M25" s="76">
        <f>ROUNDDOWN(AVERAGE(IncomeLimits!Q23:'IncomeLimits'!R23)*0.3/12,0)</f>
        <v>891</v>
      </c>
      <c r="N25" s="65">
        <f>ROUNDDOWN(IncomeLimits!T23*0.3/12, 0)</f>
        <v>650</v>
      </c>
      <c r="O25" s="1009">
        <f>ROUNDDOWN(AVERAGE(IncomeLimits!T23:'IncomeLimits'!U23)*0.3/12, 0)</f>
        <v>696</v>
      </c>
      <c r="P25" s="1009">
        <f>ROUNDDOWN(IncomeLimits!V23*0.3/12, 0)</f>
        <v>836</v>
      </c>
      <c r="Q25" s="1009">
        <f>ROUNDDOWN(AVERAGE(IncomeLimits!W23:'IncomeLimits'!X23)*0.3/12,0)</f>
        <v>965</v>
      </c>
      <c r="R25" s="1009">
        <f>ROUNDDOWN(IncomeLimits!Y23*0.3/12,0)</f>
        <v>1077</v>
      </c>
      <c r="S25" s="66">
        <f>ROUNDDOWN(AVERAGE(IncomeLimits!Z23:'IncomeLimits'!AA23)*0.3/12,0)</f>
        <v>1188</v>
      </c>
      <c r="T25" s="66">
        <f>ROUNDDOWN(IncomeLimits!AC23*0.3/12, 0)</f>
        <v>812</v>
      </c>
      <c r="U25" s="66">
        <f>ROUNDDOWN(AVERAGE(IncomeLimits!AC23:'IncomeLimits'!AD23)*0.3/12,0)</f>
        <v>870</v>
      </c>
      <c r="V25" s="66">
        <f>ROUNDDOWN(IncomeLimits!AE23*0.3/12, 0)</f>
        <v>1045</v>
      </c>
      <c r="W25" s="66">
        <f>ROUNDDOWN(AVERAGE(IncomeLimits!AF23:'IncomeLimits'!AG23)*0.3/12,0)</f>
        <v>1206</v>
      </c>
      <c r="X25" s="66">
        <f>ROUNDDOWN(IncomeLimits!AH23*0.3/12,0)</f>
        <v>1346</v>
      </c>
      <c r="Y25" s="66">
        <f>ROUNDDOWN(AVERAGE(IncomeLimits!AI23:'IncomeLimits'!AJ23)*0.3/12,0)</f>
        <v>1485</v>
      </c>
      <c r="Z25" s="1679">
        <f>ROUNDDOWN(IncomeLimits!AL23*0.3/12, 0)</f>
        <v>975</v>
      </c>
      <c r="AA25" s="1009">
        <f>ROUNDDOWN(AVERAGE(IncomeLimits!AL23:'IncomeLimits'!AM23)*0.3/12, 0)</f>
        <v>1044</v>
      </c>
      <c r="AB25" s="1009">
        <f>ROUNDDOWN(IncomeLimits!AN23*0.3/12, 0)</f>
        <v>1254</v>
      </c>
      <c r="AC25" s="1009">
        <f>ROUNDDOWN(AVERAGE(IncomeLimits!AO23:'IncomeLimits'!AP23)*0.3/12,0)</f>
        <v>1448</v>
      </c>
      <c r="AD25" s="1009">
        <f>ROUNDDOWN(IncomeLimits!AQ23*0.3/12,0)</f>
        <v>1615</v>
      </c>
      <c r="AE25" s="1680">
        <f>ROUNDDOWN(AVERAGE(IncomeLimits!AR23:'IncomeLimits'!AS23)*0.3/12,0)</f>
        <v>1782</v>
      </c>
      <c r="AF25" s="65">
        <f>ROUNDDOWN(IncomeLimits!AU23*0.3/12, 0)</f>
        <v>1137</v>
      </c>
      <c r="AG25" s="1009">
        <f>ROUNDDOWN(AVERAGE(IncomeLimits!AU23:'IncomeLimits'!AV23)*0.3/12, 0)</f>
        <v>1218</v>
      </c>
      <c r="AH25" s="1009">
        <f>ROUNDDOWN(IncomeLimits!AW23*0.3/12, 0)</f>
        <v>1463</v>
      </c>
      <c r="AI25" s="1009">
        <f>ROUNDDOWN(AVERAGE(IncomeLimits!AX23:'IncomeLimits'!AY23)*0.3/12,0)</f>
        <v>1689</v>
      </c>
      <c r="AJ25" s="1009">
        <f>ROUNDDOWN(IncomeLimits!AZ23*0.3/12,0)</f>
        <v>1884</v>
      </c>
      <c r="AK25" s="76">
        <f>ROUNDDOWN(AVERAGE(IncomeLimits!BA23:'IncomeLimits'!BB23)*0.3/12,0)</f>
        <v>2079</v>
      </c>
      <c r="AL25" s="65">
        <f>ROUNDDOWN(IncomeLimits!BD23*0.3/12, 0)</f>
        <v>1300</v>
      </c>
      <c r="AM25" s="1009">
        <f>ROUNDDOWN(AVERAGE(IncomeLimits!BD23:'IncomeLimits'!BE23)*0.3/12, 0)</f>
        <v>1393</v>
      </c>
      <c r="AN25" s="1009">
        <f>ROUNDDOWN(IncomeLimits!BF23*0.3/12, 0)</f>
        <v>1672</v>
      </c>
      <c r="AO25" s="1009">
        <f>ROUNDDOWN(AVERAGE(IncomeLimits!BG23:'IncomeLimits'!BH23)*0.3/12,0)</f>
        <v>1931</v>
      </c>
      <c r="AP25" s="1009">
        <f>ROUNDDOWN(IncomeLimits!BI23*0.3/12,0)</f>
        <v>2154</v>
      </c>
      <c r="AQ25" s="76">
        <f>ROUNDDOWN(AVERAGE(IncomeLimits!BJ23:'IncomeLimits'!BK23)*0.3/12,0)</f>
        <v>2376</v>
      </c>
    </row>
    <row r="26" spans="1:43">
      <c r="A26" s="77" t="s">
        <v>421</v>
      </c>
      <c r="B26" s="75">
        <f>ROUNDDOWN(IncomeLimits!B24*0.3/12, 0)</f>
        <v>325</v>
      </c>
      <c r="C26" s="1009">
        <f>ROUNDDOWN(AVERAGE(IncomeLimits!B24:C24)*0.3/12, 0)</f>
        <v>348</v>
      </c>
      <c r="D26" s="1009">
        <f>ROUNDDOWN(IncomeLimits!D24*0.3/12, 0)</f>
        <v>418</v>
      </c>
      <c r="E26" s="1009">
        <f>ROUNDDOWN(AVERAGE(IncomeLimits!E24:'IncomeLimits'!F24)*0.3/12,0)</f>
        <v>482</v>
      </c>
      <c r="F26" s="1009">
        <f>ROUNDDOWN(IncomeLimits!G24*0.3/12,0)</f>
        <v>538</v>
      </c>
      <c r="G26" s="66">
        <f>ROUNDDOWN(AVERAGE(IncomeLimits!H24:'IncomeLimits'!I24)*0.3/12,0)</f>
        <v>594</v>
      </c>
      <c r="H26" s="75">
        <f>ROUNDDOWN(IncomeLimits!K24*0.3/12, 0)</f>
        <v>487</v>
      </c>
      <c r="I26" s="1009">
        <f>ROUNDDOWN(AVERAGE(IncomeLimits!K24:'IncomeLimits'!L24)*0.3/12, 0)</f>
        <v>522</v>
      </c>
      <c r="J26" s="1009">
        <f>ROUNDDOWN(IncomeLimits!M24*0.3/12, 0)</f>
        <v>627</v>
      </c>
      <c r="K26" s="1009">
        <f>ROUNDDOWN(AVERAGE(IncomeLimits!N24:'IncomeLimits'!O24)*0.3/12,0)</f>
        <v>724</v>
      </c>
      <c r="L26" s="1009">
        <f>ROUNDDOWN(IncomeLimits!P24*0.3/12,0)</f>
        <v>807</v>
      </c>
      <c r="M26" s="76">
        <f>ROUNDDOWN(AVERAGE(IncomeLimits!Q24:'IncomeLimits'!R24)*0.3/12,0)</f>
        <v>891</v>
      </c>
      <c r="N26" s="65">
        <f>ROUNDDOWN(IncomeLimits!T24*0.3/12, 0)</f>
        <v>650</v>
      </c>
      <c r="O26" s="1009">
        <f>ROUNDDOWN(AVERAGE(IncomeLimits!T24:'IncomeLimits'!U24)*0.3/12, 0)</f>
        <v>696</v>
      </c>
      <c r="P26" s="1009">
        <f>ROUNDDOWN(IncomeLimits!V24*0.3/12, 0)</f>
        <v>836</v>
      </c>
      <c r="Q26" s="1009">
        <f>ROUNDDOWN(AVERAGE(IncomeLimits!W24:'IncomeLimits'!X24)*0.3/12,0)</f>
        <v>965</v>
      </c>
      <c r="R26" s="1009">
        <f>ROUNDDOWN(IncomeLimits!Y24*0.3/12,0)</f>
        <v>1077</v>
      </c>
      <c r="S26" s="66">
        <f>ROUNDDOWN(AVERAGE(IncomeLimits!Z24:'IncomeLimits'!AA24)*0.3/12,0)</f>
        <v>1188</v>
      </c>
      <c r="T26" s="66">
        <f>ROUNDDOWN(IncomeLimits!AC24*0.3/12, 0)</f>
        <v>812</v>
      </c>
      <c r="U26" s="66">
        <f>ROUNDDOWN(AVERAGE(IncomeLimits!AC24:'IncomeLimits'!AD24)*0.3/12,0)</f>
        <v>870</v>
      </c>
      <c r="V26" s="66">
        <f>ROUNDDOWN(IncomeLimits!AE24*0.3/12, 0)</f>
        <v>1045</v>
      </c>
      <c r="W26" s="66">
        <f>ROUNDDOWN(AVERAGE(IncomeLimits!AF24:'IncomeLimits'!AG24)*0.3/12,0)</f>
        <v>1206</v>
      </c>
      <c r="X26" s="66">
        <f>ROUNDDOWN(IncomeLimits!AH24*0.3/12,0)</f>
        <v>1346</v>
      </c>
      <c r="Y26" s="66">
        <f>ROUNDDOWN(AVERAGE(IncomeLimits!AI24:'IncomeLimits'!AJ24)*0.3/12,0)</f>
        <v>1485</v>
      </c>
      <c r="Z26" s="1679">
        <f>ROUNDDOWN(IncomeLimits!AL24*0.3/12, 0)</f>
        <v>975</v>
      </c>
      <c r="AA26" s="1009">
        <f>ROUNDDOWN(AVERAGE(IncomeLimits!AL24:'IncomeLimits'!AM24)*0.3/12, 0)</f>
        <v>1044</v>
      </c>
      <c r="AB26" s="1009">
        <f>ROUNDDOWN(IncomeLimits!AN24*0.3/12, 0)</f>
        <v>1254</v>
      </c>
      <c r="AC26" s="1009">
        <f>ROUNDDOWN(AVERAGE(IncomeLimits!AO24:'IncomeLimits'!AP24)*0.3/12,0)</f>
        <v>1448</v>
      </c>
      <c r="AD26" s="1009">
        <f>ROUNDDOWN(IncomeLimits!AQ24*0.3/12,0)</f>
        <v>1615</v>
      </c>
      <c r="AE26" s="1680">
        <f>ROUNDDOWN(AVERAGE(IncomeLimits!AR24:'IncomeLimits'!AS24)*0.3/12,0)</f>
        <v>1782</v>
      </c>
      <c r="AF26" s="65">
        <f>ROUNDDOWN(IncomeLimits!AU24*0.3/12, 0)</f>
        <v>1137</v>
      </c>
      <c r="AG26" s="1009">
        <f>ROUNDDOWN(AVERAGE(IncomeLimits!AU24:'IncomeLimits'!AV24)*0.3/12, 0)</f>
        <v>1218</v>
      </c>
      <c r="AH26" s="1009">
        <f>ROUNDDOWN(IncomeLimits!AW24*0.3/12, 0)</f>
        <v>1463</v>
      </c>
      <c r="AI26" s="1009">
        <f>ROUNDDOWN(AVERAGE(IncomeLimits!AX24:'IncomeLimits'!AY24)*0.3/12,0)</f>
        <v>1689</v>
      </c>
      <c r="AJ26" s="1009">
        <f>ROUNDDOWN(IncomeLimits!AZ24*0.3/12,0)</f>
        <v>1884</v>
      </c>
      <c r="AK26" s="76">
        <f>ROUNDDOWN(AVERAGE(IncomeLimits!BA24:'IncomeLimits'!BB24)*0.3/12,0)</f>
        <v>2079</v>
      </c>
      <c r="AL26" s="65">
        <f>ROUNDDOWN(IncomeLimits!BD24*0.3/12, 0)</f>
        <v>1300</v>
      </c>
      <c r="AM26" s="1009">
        <f>ROUNDDOWN(AVERAGE(IncomeLimits!BD24:'IncomeLimits'!BE24)*0.3/12, 0)</f>
        <v>1393</v>
      </c>
      <c r="AN26" s="1009">
        <f>ROUNDDOWN(IncomeLimits!BF24*0.3/12, 0)</f>
        <v>1672</v>
      </c>
      <c r="AO26" s="1009">
        <f>ROUNDDOWN(AVERAGE(IncomeLimits!BG24:'IncomeLimits'!BH24)*0.3/12,0)</f>
        <v>1931</v>
      </c>
      <c r="AP26" s="1009">
        <f>ROUNDDOWN(IncomeLimits!BI24*0.3/12,0)</f>
        <v>2154</v>
      </c>
      <c r="AQ26" s="76">
        <f>ROUNDDOWN(AVERAGE(IncomeLimits!BJ24:'IncomeLimits'!BK24)*0.3/12,0)</f>
        <v>2376</v>
      </c>
    </row>
    <row r="27" spans="1:43">
      <c r="A27" s="77" t="s">
        <v>385</v>
      </c>
      <c r="B27" s="75">
        <f>ROUNDDOWN(IncomeLimits!B25*0.3/12, 0)</f>
        <v>370</v>
      </c>
      <c r="C27" s="1009">
        <f>ROUNDDOWN(AVERAGE(IncomeLimits!B25:C25)*0.3/12, 0)</f>
        <v>397</v>
      </c>
      <c r="D27" s="1009">
        <f>ROUNDDOWN(IncomeLimits!D25*0.3/12, 0)</f>
        <v>476</v>
      </c>
      <c r="E27" s="1009">
        <f>ROUNDDOWN(AVERAGE(IncomeLimits!E25:'IncomeLimits'!F25)*0.3/12,0)</f>
        <v>550</v>
      </c>
      <c r="F27" s="1009">
        <f>ROUNDDOWN(IncomeLimits!G25*0.3/12,0)</f>
        <v>614</v>
      </c>
      <c r="G27" s="66">
        <f>ROUNDDOWN(AVERAGE(IncomeLimits!H25:'IncomeLimits'!I25)*0.3/12,0)</f>
        <v>677</v>
      </c>
      <c r="H27" s="75">
        <f>ROUNDDOWN(IncomeLimits!K25*0.3/12, 0)</f>
        <v>555</v>
      </c>
      <c r="I27" s="1009">
        <f>ROUNDDOWN(AVERAGE(IncomeLimits!K25:'IncomeLimits'!L25)*0.3/12, 0)</f>
        <v>595</v>
      </c>
      <c r="J27" s="1009">
        <f>ROUNDDOWN(IncomeLimits!M25*0.3/12, 0)</f>
        <v>714</v>
      </c>
      <c r="K27" s="1009">
        <f>ROUNDDOWN(AVERAGE(IncomeLimits!N25:'IncomeLimits'!O25)*0.3/12,0)</f>
        <v>825</v>
      </c>
      <c r="L27" s="1009">
        <f>ROUNDDOWN(IncomeLimits!P25*0.3/12,0)</f>
        <v>921</v>
      </c>
      <c r="M27" s="76">
        <f>ROUNDDOWN(AVERAGE(IncomeLimits!Q25:'IncomeLimits'!R25)*0.3/12,0)</f>
        <v>1015</v>
      </c>
      <c r="N27" s="65">
        <f>ROUNDDOWN(IncomeLimits!T25*0.3/12, 0)</f>
        <v>741</v>
      </c>
      <c r="O27" s="1009">
        <f>ROUNDDOWN(AVERAGE(IncomeLimits!T25:'IncomeLimits'!U25)*0.3/12, 0)</f>
        <v>794</v>
      </c>
      <c r="P27" s="1009">
        <f>ROUNDDOWN(IncomeLimits!V25*0.3/12, 0)</f>
        <v>953</v>
      </c>
      <c r="Q27" s="1009">
        <f>ROUNDDOWN(AVERAGE(IncomeLimits!W25:'IncomeLimits'!X25)*0.3/12,0)</f>
        <v>1100</v>
      </c>
      <c r="R27" s="1009">
        <f>ROUNDDOWN(IncomeLimits!Y25*0.3/12,0)</f>
        <v>1228</v>
      </c>
      <c r="S27" s="66">
        <f>ROUNDDOWN(AVERAGE(IncomeLimits!Z25:'IncomeLimits'!AA25)*0.3/12,0)</f>
        <v>1354</v>
      </c>
      <c r="T27" s="66">
        <f>ROUNDDOWN(IncomeLimits!AC25*0.3/12, 0)</f>
        <v>926</v>
      </c>
      <c r="U27" s="66">
        <f>ROUNDDOWN(AVERAGE(IncomeLimits!AC25:'IncomeLimits'!AD25)*0.3/12,0)</f>
        <v>992</v>
      </c>
      <c r="V27" s="66">
        <f>ROUNDDOWN(IncomeLimits!AE25*0.3/12, 0)</f>
        <v>1191</v>
      </c>
      <c r="W27" s="66">
        <f>ROUNDDOWN(AVERAGE(IncomeLimits!AF25:'IncomeLimits'!AG25)*0.3/12,0)</f>
        <v>1375</v>
      </c>
      <c r="X27" s="66">
        <f>ROUNDDOWN(IncomeLimits!AH25*0.3/12,0)</f>
        <v>1535</v>
      </c>
      <c r="Y27" s="66">
        <f>ROUNDDOWN(AVERAGE(IncomeLimits!AI25:'IncomeLimits'!AJ25)*0.3/12,0)</f>
        <v>1693</v>
      </c>
      <c r="Z27" s="1679">
        <f>ROUNDDOWN(IncomeLimits!AL25*0.3/12, 0)</f>
        <v>1111</v>
      </c>
      <c r="AA27" s="1009">
        <f>ROUNDDOWN(AVERAGE(IncomeLimits!AL25:'IncomeLimits'!AM25)*0.3/12, 0)</f>
        <v>1191</v>
      </c>
      <c r="AB27" s="1009">
        <f>ROUNDDOWN(IncomeLimits!AN25*0.3/12, 0)</f>
        <v>1429</v>
      </c>
      <c r="AC27" s="1009">
        <f>ROUNDDOWN(AVERAGE(IncomeLimits!AO25:'IncomeLimits'!AP25)*0.3/12,0)</f>
        <v>1650</v>
      </c>
      <c r="AD27" s="1009">
        <f>ROUNDDOWN(IncomeLimits!AQ25*0.3/12,0)</f>
        <v>1842</v>
      </c>
      <c r="AE27" s="1680">
        <f>ROUNDDOWN(AVERAGE(IncomeLimits!AR25:'IncomeLimits'!AS25)*0.3/12,0)</f>
        <v>2031</v>
      </c>
      <c r="AF27" s="65">
        <f>ROUNDDOWN(IncomeLimits!AU25*0.3/12, 0)</f>
        <v>1296</v>
      </c>
      <c r="AG27" s="1009">
        <f>ROUNDDOWN(AVERAGE(IncomeLimits!AU25:'IncomeLimits'!AV25)*0.3/12, 0)</f>
        <v>1389</v>
      </c>
      <c r="AH27" s="1009">
        <f>ROUNDDOWN(IncomeLimits!AW25*0.3/12, 0)</f>
        <v>1667</v>
      </c>
      <c r="AI27" s="1009">
        <f>ROUNDDOWN(AVERAGE(IncomeLimits!AX25:'IncomeLimits'!AY25)*0.3/12,0)</f>
        <v>1925</v>
      </c>
      <c r="AJ27" s="1009">
        <f>ROUNDDOWN(IncomeLimits!AZ25*0.3/12,0)</f>
        <v>2149</v>
      </c>
      <c r="AK27" s="76">
        <f>ROUNDDOWN(AVERAGE(IncomeLimits!BA25:'IncomeLimits'!BB25)*0.3/12,0)</f>
        <v>2370</v>
      </c>
      <c r="AL27" s="65">
        <f>ROUNDDOWN(IncomeLimits!BD25*0.3/12, 0)</f>
        <v>1482</v>
      </c>
      <c r="AM27" s="1009">
        <f>ROUNDDOWN(AVERAGE(IncomeLimits!BD25:'IncomeLimits'!BE25)*0.3/12, 0)</f>
        <v>1588</v>
      </c>
      <c r="AN27" s="1009">
        <f>ROUNDDOWN(IncomeLimits!BF25*0.3/12, 0)</f>
        <v>1906</v>
      </c>
      <c r="AO27" s="1009">
        <f>ROUNDDOWN(AVERAGE(IncomeLimits!BG25:'IncomeLimits'!BH25)*0.3/12,0)</f>
        <v>2201</v>
      </c>
      <c r="AP27" s="1009">
        <f>ROUNDDOWN(IncomeLimits!BI25*0.3/12,0)</f>
        <v>2456</v>
      </c>
      <c r="AQ27" s="76">
        <f>ROUNDDOWN(AVERAGE(IncomeLimits!BJ25:'IncomeLimits'!BK25)*0.3/12,0)</f>
        <v>2709</v>
      </c>
    </row>
    <row r="28" spans="1:43">
      <c r="A28" s="77" t="s">
        <v>426</v>
      </c>
      <c r="B28" s="75">
        <f>ROUNDDOWN(IncomeLimits!B26*0.3/12, 0)</f>
        <v>325</v>
      </c>
      <c r="C28" s="1009">
        <f>ROUNDDOWN(AVERAGE(IncomeLimits!B26:C26)*0.3/12, 0)</f>
        <v>348</v>
      </c>
      <c r="D28" s="1009">
        <f>ROUNDDOWN(IncomeLimits!D26*0.3/12, 0)</f>
        <v>418</v>
      </c>
      <c r="E28" s="1009">
        <f>ROUNDDOWN(AVERAGE(IncomeLimits!E26:'IncomeLimits'!F26)*0.3/12,0)</f>
        <v>482</v>
      </c>
      <c r="F28" s="1009">
        <f>ROUNDDOWN(IncomeLimits!G26*0.3/12,0)</f>
        <v>538</v>
      </c>
      <c r="G28" s="66">
        <f>ROUNDDOWN(AVERAGE(IncomeLimits!H26:'IncomeLimits'!I26)*0.3/12,0)</f>
        <v>594</v>
      </c>
      <c r="H28" s="75">
        <f>ROUNDDOWN(IncomeLimits!K26*0.3/12, 0)</f>
        <v>487</v>
      </c>
      <c r="I28" s="1009">
        <f>ROUNDDOWN(AVERAGE(IncomeLimits!K26:'IncomeLimits'!L26)*0.3/12, 0)</f>
        <v>522</v>
      </c>
      <c r="J28" s="1009">
        <f>ROUNDDOWN(IncomeLimits!M26*0.3/12, 0)</f>
        <v>627</v>
      </c>
      <c r="K28" s="1009">
        <f>ROUNDDOWN(AVERAGE(IncomeLimits!N26:'IncomeLimits'!O26)*0.3/12,0)</f>
        <v>724</v>
      </c>
      <c r="L28" s="1009">
        <f>ROUNDDOWN(IncomeLimits!P26*0.3/12,0)</f>
        <v>807</v>
      </c>
      <c r="M28" s="76">
        <f>ROUNDDOWN(AVERAGE(IncomeLimits!Q26:'IncomeLimits'!R26)*0.3/12,0)</f>
        <v>891</v>
      </c>
      <c r="N28" s="65">
        <f>ROUNDDOWN(IncomeLimits!T26*0.3/12, 0)</f>
        <v>650</v>
      </c>
      <c r="O28" s="1009">
        <f>ROUNDDOWN(AVERAGE(IncomeLimits!T26:'IncomeLimits'!U26)*0.3/12, 0)</f>
        <v>696</v>
      </c>
      <c r="P28" s="1009">
        <f>ROUNDDOWN(IncomeLimits!V26*0.3/12, 0)</f>
        <v>836</v>
      </c>
      <c r="Q28" s="1009">
        <f>ROUNDDOWN(AVERAGE(IncomeLimits!W26:'IncomeLimits'!X26)*0.3/12,0)</f>
        <v>965</v>
      </c>
      <c r="R28" s="1009">
        <f>ROUNDDOWN(IncomeLimits!Y26*0.3/12,0)</f>
        <v>1077</v>
      </c>
      <c r="S28" s="66">
        <f>ROUNDDOWN(AVERAGE(IncomeLimits!Z26:'IncomeLimits'!AA26)*0.3/12,0)</f>
        <v>1188</v>
      </c>
      <c r="T28" s="66">
        <f>ROUNDDOWN(IncomeLimits!AC26*0.3/12, 0)</f>
        <v>812</v>
      </c>
      <c r="U28" s="66">
        <f>ROUNDDOWN(AVERAGE(IncomeLimits!AC26:'IncomeLimits'!AD26)*0.3/12,0)</f>
        <v>870</v>
      </c>
      <c r="V28" s="66">
        <f>ROUNDDOWN(IncomeLimits!AE26*0.3/12, 0)</f>
        <v>1045</v>
      </c>
      <c r="W28" s="66">
        <f>ROUNDDOWN(AVERAGE(IncomeLimits!AF26:'IncomeLimits'!AG26)*0.3/12,0)</f>
        <v>1206</v>
      </c>
      <c r="X28" s="66">
        <f>ROUNDDOWN(IncomeLimits!AH26*0.3/12,0)</f>
        <v>1346</v>
      </c>
      <c r="Y28" s="66">
        <f>ROUNDDOWN(AVERAGE(IncomeLimits!AI26:'IncomeLimits'!AJ26)*0.3/12,0)</f>
        <v>1485</v>
      </c>
      <c r="Z28" s="1679">
        <f>ROUNDDOWN(IncomeLimits!AL26*0.3/12, 0)</f>
        <v>975</v>
      </c>
      <c r="AA28" s="1009">
        <f>ROUNDDOWN(AVERAGE(IncomeLimits!AL26:'IncomeLimits'!AM26)*0.3/12, 0)</f>
        <v>1044</v>
      </c>
      <c r="AB28" s="1009">
        <f>ROUNDDOWN(IncomeLimits!AN26*0.3/12, 0)</f>
        <v>1254</v>
      </c>
      <c r="AC28" s="1009">
        <f>ROUNDDOWN(AVERAGE(IncomeLimits!AO26:'IncomeLimits'!AP26)*0.3/12,0)</f>
        <v>1448</v>
      </c>
      <c r="AD28" s="1009">
        <f>ROUNDDOWN(IncomeLimits!AQ26*0.3/12,0)</f>
        <v>1615</v>
      </c>
      <c r="AE28" s="1680">
        <f>ROUNDDOWN(AVERAGE(IncomeLimits!AR26:'IncomeLimits'!AS26)*0.3/12,0)</f>
        <v>1782</v>
      </c>
      <c r="AF28" s="65">
        <f>ROUNDDOWN(IncomeLimits!AU26*0.3/12, 0)</f>
        <v>1137</v>
      </c>
      <c r="AG28" s="1009">
        <f>ROUNDDOWN(AVERAGE(IncomeLimits!AU26:'IncomeLimits'!AV26)*0.3/12, 0)</f>
        <v>1218</v>
      </c>
      <c r="AH28" s="1009">
        <f>ROUNDDOWN(IncomeLimits!AW26*0.3/12, 0)</f>
        <v>1463</v>
      </c>
      <c r="AI28" s="1009">
        <f>ROUNDDOWN(AVERAGE(IncomeLimits!AX26:'IncomeLimits'!AY26)*0.3/12,0)</f>
        <v>1689</v>
      </c>
      <c r="AJ28" s="1009">
        <f>ROUNDDOWN(IncomeLimits!AZ26*0.3/12,0)</f>
        <v>1884</v>
      </c>
      <c r="AK28" s="76">
        <f>ROUNDDOWN(AVERAGE(IncomeLimits!BA26:'IncomeLimits'!BB26)*0.3/12,0)</f>
        <v>2079</v>
      </c>
      <c r="AL28" s="65">
        <f>ROUNDDOWN(IncomeLimits!BD26*0.3/12, 0)</f>
        <v>1300</v>
      </c>
      <c r="AM28" s="1009">
        <f>ROUNDDOWN(AVERAGE(IncomeLimits!BD26:'IncomeLimits'!BE26)*0.3/12, 0)</f>
        <v>1393</v>
      </c>
      <c r="AN28" s="1009">
        <f>ROUNDDOWN(IncomeLimits!BF26*0.3/12, 0)</f>
        <v>1672</v>
      </c>
      <c r="AO28" s="1009">
        <f>ROUNDDOWN(AVERAGE(IncomeLimits!BG26:'IncomeLimits'!BH26)*0.3/12,0)</f>
        <v>1931</v>
      </c>
      <c r="AP28" s="1009">
        <f>ROUNDDOWN(IncomeLimits!BI26*0.3/12,0)</f>
        <v>2154</v>
      </c>
      <c r="AQ28" s="76">
        <f>ROUNDDOWN(AVERAGE(IncomeLimits!BJ26:'IncomeLimits'!BK26)*0.3/12,0)</f>
        <v>2376</v>
      </c>
    </row>
    <row r="29" spans="1:43">
      <c r="A29" s="77" t="s">
        <v>390</v>
      </c>
      <c r="B29" s="75">
        <f>ROUNDDOWN(IncomeLimits!B27*0.3/12, 0)</f>
        <v>397</v>
      </c>
      <c r="C29" s="1009">
        <f>ROUNDDOWN(AVERAGE(IncomeLimits!B27:C27)*0.3/12, 0)</f>
        <v>425</v>
      </c>
      <c r="D29" s="1009">
        <f>ROUNDDOWN(IncomeLimits!D27*0.3/12, 0)</f>
        <v>510</v>
      </c>
      <c r="E29" s="1009">
        <f>ROUNDDOWN(AVERAGE(IncomeLimits!E27:'IncomeLimits'!F27)*0.3/12,0)</f>
        <v>589</v>
      </c>
      <c r="F29" s="1009">
        <f>ROUNDDOWN(IncomeLimits!G27*0.3/12,0)</f>
        <v>658</v>
      </c>
      <c r="G29" s="66">
        <f>ROUNDDOWN(AVERAGE(IncomeLimits!H27:'IncomeLimits'!I27)*0.3/12,0)</f>
        <v>726</v>
      </c>
      <c r="H29" s="75">
        <f>ROUNDDOWN(IncomeLimits!K27*0.3/12, 0)</f>
        <v>595</v>
      </c>
      <c r="I29" s="1009">
        <f>ROUNDDOWN(AVERAGE(IncomeLimits!K27:'IncomeLimits'!L27)*0.3/12, 0)</f>
        <v>638</v>
      </c>
      <c r="J29" s="1009">
        <f>ROUNDDOWN(IncomeLimits!M27*0.3/12, 0)</f>
        <v>765</v>
      </c>
      <c r="K29" s="1009">
        <f>ROUNDDOWN(AVERAGE(IncomeLimits!N27:'IncomeLimits'!O27)*0.3/12,0)</f>
        <v>884</v>
      </c>
      <c r="L29" s="1009">
        <f>ROUNDDOWN(IncomeLimits!P27*0.3/12,0)</f>
        <v>987</v>
      </c>
      <c r="M29" s="76">
        <f>ROUNDDOWN(AVERAGE(IncomeLimits!Q27:'IncomeLimits'!R27)*0.3/12,0)</f>
        <v>1089</v>
      </c>
      <c r="N29" s="65">
        <f>ROUNDDOWN(IncomeLimits!T27*0.3/12, 0)</f>
        <v>794</v>
      </c>
      <c r="O29" s="1009">
        <f>ROUNDDOWN(AVERAGE(IncomeLimits!T27:'IncomeLimits'!U27)*0.3/12, 0)</f>
        <v>851</v>
      </c>
      <c r="P29" s="1009">
        <f>ROUNDDOWN(IncomeLimits!V27*0.3/12, 0)</f>
        <v>1021</v>
      </c>
      <c r="Q29" s="1009">
        <f>ROUNDDOWN(AVERAGE(IncomeLimits!W27:'IncomeLimits'!X27)*0.3/12,0)</f>
        <v>1179</v>
      </c>
      <c r="R29" s="1009">
        <f>ROUNDDOWN(IncomeLimits!Y27*0.3/12,0)</f>
        <v>1316</v>
      </c>
      <c r="S29" s="66">
        <f>ROUNDDOWN(AVERAGE(IncomeLimits!Z27:'IncomeLimits'!AA27)*0.3/12,0)</f>
        <v>1452</v>
      </c>
      <c r="T29" s="66">
        <f>ROUNDDOWN(IncomeLimits!AC27*0.3/12, 0)</f>
        <v>992</v>
      </c>
      <c r="U29" s="66">
        <f>ROUNDDOWN(AVERAGE(IncomeLimits!AC27:'IncomeLimits'!AD27)*0.3/12,0)</f>
        <v>1063</v>
      </c>
      <c r="V29" s="66">
        <f>ROUNDDOWN(IncomeLimits!AE27*0.3/12, 0)</f>
        <v>1276</v>
      </c>
      <c r="W29" s="66">
        <f>ROUNDDOWN(AVERAGE(IncomeLimits!AF27:'IncomeLimits'!AG27)*0.3/12,0)</f>
        <v>1474</v>
      </c>
      <c r="X29" s="66">
        <f>ROUNDDOWN(IncomeLimits!AH27*0.3/12,0)</f>
        <v>1645</v>
      </c>
      <c r="Y29" s="66">
        <f>ROUNDDOWN(AVERAGE(IncomeLimits!AI27:'IncomeLimits'!AJ27)*0.3/12,0)</f>
        <v>1815</v>
      </c>
      <c r="Z29" s="1679">
        <f>ROUNDDOWN(IncomeLimits!AL27*0.3/12, 0)</f>
        <v>1191</v>
      </c>
      <c r="AA29" s="1009">
        <f>ROUNDDOWN(AVERAGE(IncomeLimits!AL27:'IncomeLimits'!AM27)*0.3/12, 0)</f>
        <v>1276</v>
      </c>
      <c r="AB29" s="1009">
        <f>ROUNDDOWN(IncomeLimits!AN27*0.3/12, 0)</f>
        <v>1531</v>
      </c>
      <c r="AC29" s="1009">
        <f>ROUNDDOWN(AVERAGE(IncomeLimits!AO27:'IncomeLimits'!AP27)*0.3/12,0)</f>
        <v>1769</v>
      </c>
      <c r="AD29" s="1009">
        <f>ROUNDDOWN(IncomeLimits!AQ27*0.3/12,0)</f>
        <v>1974</v>
      </c>
      <c r="AE29" s="1680">
        <f>ROUNDDOWN(AVERAGE(IncomeLimits!AR27:'IncomeLimits'!AS27)*0.3/12,0)</f>
        <v>2178</v>
      </c>
      <c r="AF29" s="65">
        <f>ROUNDDOWN(IncomeLimits!AU27*0.3/12, 0)</f>
        <v>1389</v>
      </c>
      <c r="AG29" s="1009">
        <f>ROUNDDOWN(AVERAGE(IncomeLimits!AU27:'IncomeLimits'!AV27)*0.3/12, 0)</f>
        <v>1489</v>
      </c>
      <c r="AH29" s="1009">
        <f>ROUNDDOWN(IncomeLimits!AW27*0.3/12, 0)</f>
        <v>1786</v>
      </c>
      <c r="AI29" s="1009">
        <f>ROUNDDOWN(AVERAGE(IncomeLimits!AX27:'IncomeLimits'!AY27)*0.3/12,0)</f>
        <v>2064</v>
      </c>
      <c r="AJ29" s="1009">
        <f>ROUNDDOWN(IncomeLimits!AZ27*0.3/12,0)</f>
        <v>2303</v>
      </c>
      <c r="AK29" s="76">
        <f>ROUNDDOWN(AVERAGE(IncomeLimits!BA27:'IncomeLimits'!BB27)*0.3/12,0)</f>
        <v>2541</v>
      </c>
      <c r="AL29" s="65">
        <f>ROUNDDOWN(IncomeLimits!BD27*0.3/12, 0)</f>
        <v>1588</v>
      </c>
      <c r="AM29" s="1009">
        <f>ROUNDDOWN(AVERAGE(IncomeLimits!BD27:'IncomeLimits'!BE27)*0.3/12, 0)</f>
        <v>1702</v>
      </c>
      <c r="AN29" s="1009">
        <f>ROUNDDOWN(IncomeLimits!BF27*0.3/12, 0)</f>
        <v>2042</v>
      </c>
      <c r="AO29" s="1009">
        <f>ROUNDDOWN(AVERAGE(IncomeLimits!BG27:'IncomeLimits'!BH27)*0.3/12,0)</f>
        <v>2359</v>
      </c>
      <c r="AP29" s="1009">
        <f>ROUNDDOWN(IncomeLimits!BI27*0.3/12,0)</f>
        <v>2632</v>
      </c>
      <c r="AQ29" s="76">
        <f>ROUNDDOWN(AVERAGE(IncomeLimits!BJ27:'IncomeLimits'!BK27)*0.3/12,0)</f>
        <v>2904</v>
      </c>
    </row>
    <row r="30" spans="1:43">
      <c r="A30" s="77" t="s">
        <v>431</v>
      </c>
      <c r="B30" s="75">
        <f>ROUNDDOWN(IncomeLimits!B28*0.3/12, 0)</f>
        <v>325</v>
      </c>
      <c r="C30" s="1009">
        <f>ROUNDDOWN(AVERAGE(IncomeLimits!B28:C28)*0.3/12, 0)</f>
        <v>348</v>
      </c>
      <c r="D30" s="1009">
        <f>ROUNDDOWN(IncomeLimits!D28*0.3/12, 0)</f>
        <v>418</v>
      </c>
      <c r="E30" s="1009">
        <f>ROUNDDOWN(AVERAGE(IncomeLimits!E28:'IncomeLimits'!F28)*0.3/12,0)</f>
        <v>482</v>
      </c>
      <c r="F30" s="1009">
        <f>ROUNDDOWN(IncomeLimits!G28*0.3/12,0)</f>
        <v>538</v>
      </c>
      <c r="G30" s="66">
        <f>ROUNDDOWN(AVERAGE(IncomeLimits!H28:'IncomeLimits'!I28)*0.3/12,0)</f>
        <v>594</v>
      </c>
      <c r="H30" s="75">
        <f>ROUNDDOWN(IncomeLimits!K28*0.3/12, 0)</f>
        <v>487</v>
      </c>
      <c r="I30" s="1009">
        <f>ROUNDDOWN(AVERAGE(IncomeLimits!K28:'IncomeLimits'!L28)*0.3/12, 0)</f>
        <v>522</v>
      </c>
      <c r="J30" s="1009">
        <f>ROUNDDOWN(IncomeLimits!M28*0.3/12, 0)</f>
        <v>627</v>
      </c>
      <c r="K30" s="1009">
        <f>ROUNDDOWN(AVERAGE(IncomeLimits!N28:'IncomeLimits'!O28)*0.3/12,0)</f>
        <v>724</v>
      </c>
      <c r="L30" s="1009">
        <f>ROUNDDOWN(IncomeLimits!P28*0.3/12,0)</f>
        <v>807</v>
      </c>
      <c r="M30" s="76">
        <f>ROUNDDOWN(AVERAGE(IncomeLimits!Q28:'IncomeLimits'!R28)*0.3/12,0)</f>
        <v>891</v>
      </c>
      <c r="N30" s="65">
        <f>ROUNDDOWN(IncomeLimits!T28*0.3/12, 0)</f>
        <v>650</v>
      </c>
      <c r="O30" s="1009">
        <f>ROUNDDOWN(AVERAGE(IncomeLimits!T28:'IncomeLimits'!U28)*0.3/12, 0)</f>
        <v>696</v>
      </c>
      <c r="P30" s="1009">
        <f>ROUNDDOWN(IncomeLimits!V28*0.3/12, 0)</f>
        <v>836</v>
      </c>
      <c r="Q30" s="1009">
        <f>ROUNDDOWN(AVERAGE(IncomeLimits!W28:'IncomeLimits'!X28)*0.3/12,0)</f>
        <v>965</v>
      </c>
      <c r="R30" s="1009">
        <f>ROUNDDOWN(IncomeLimits!Y28*0.3/12,0)</f>
        <v>1077</v>
      </c>
      <c r="S30" s="66">
        <f>ROUNDDOWN(AVERAGE(IncomeLimits!Z28:'IncomeLimits'!AA28)*0.3/12,0)</f>
        <v>1188</v>
      </c>
      <c r="T30" s="66">
        <f>ROUNDDOWN(IncomeLimits!AC28*0.3/12, 0)</f>
        <v>812</v>
      </c>
      <c r="U30" s="66">
        <f>ROUNDDOWN(AVERAGE(IncomeLimits!AC28:'IncomeLimits'!AD28)*0.3/12,0)</f>
        <v>870</v>
      </c>
      <c r="V30" s="66">
        <f>ROUNDDOWN(IncomeLimits!AE28*0.3/12, 0)</f>
        <v>1045</v>
      </c>
      <c r="W30" s="66">
        <f>ROUNDDOWN(AVERAGE(IncomeLimits!AF28:'IncomeLimits'!AG28)*0.3/12,0)</f>
        <v>1206</v>
      </c>
      <c r="X30" s="66">
        <f>ROUNDDOWN(IncomeLimits!AH28*0.3/12,0)</f>
        <v>1346</v>
      </c>
      <c r="Y30" s="66">
        <f>ROUNDDOWN(AVERAGE(IncomeLimits!AI28:'IncomeLimits'!AJ28)*0.3/12,0)</f>
        <v>1485</v>
      </c>
      <c r="Z30" s="1679">
        <f>ROUNDDOWN(IncomeLimits!AL28*0.3/12, 0)</f>
        <v>975</v>
      </c>
      <c r="AA30" s="1009">
        <f>ROUNDDOWN(AVERAGE(IncomeLimits!AL28:'IncomeLimits'!AM28)*0.3/12, 0)</f>
        <v>1044</v>
      </c>
      <c r="AB30" s="1009">
        <f>ROUNDDOWN(IncomeLimits!AN28*0.3/12, 0)</f>
        <v>1254</v>
      </c>
      <c r="AC30" s="1009">
        <f>ROUNDDOWN(AVERAGE(IncomeLimits!AO28:'IncomeLimits'!AP28)*0.3/12,0)</f>
        <v>1448</v>
      </c>
      <c r="AD30" s="1009">
        <f>ROUNDDOWN(IncomeLimits!AQ28*0.3/12,0)</f>
        <v>1615</v>
      </c>
      <c r="AE30" s="1680">
        <f>ROUNDDOWN(AVERAGE(IncomeLimits!AR28:'IncomeLimits'!AS28)*0.3/12,0)</f>
        <v>1782</v>
      </c>
      <c r="AF30" s="65">
        <f>ROUNDDOWN(IncomeLimits!AU28*0.3/12, 0)</f>
        <v>1137</v>
      </c>
      <c r="AG30" s="1009">
        <f>ROUNDDOWN(AVERAGE(IncomeLimits!AU28:'IncomeLimits'!AV28)*0.3/12, 0)</f>
        <v>1218</v>
      </c>
      <c r="AH30" s="1009">
        <f>ROUNDDOWN(IncomeLimits!AW28*0.3/12, 0)</f>
        <v>1463</v>
      </c>
      <c r="AI30" s="1009">
        <f>ROUNDDOWN(AVERAGE(IncomeLimits!AX28:'IncomeLimits'!AY28)*0.3/12,0)</f>
        <v>1689</v>
      </c>
      <c r="AJ30" s="1009">
        <f>ROUNDDOWN(IncomeLimits!AZ28*0.3/12,0)</f>
        <v>1884</v>
      </c>
      <c r="AK30" s="76">
        <f>ROUNDDOWN(AVERAGE(IncomeLimits!BA28:'IncomeLimits'!BB28)*0.3/12,0)</f>
        <v>2079</v>
      </c>
      <c r="AL30" s="65">
        <f>ROUNDDOWN(IncomeLimits!BD28*0.3/12, 0)</f>
        <v>1300</v>
      </c>
      <c r="AM30" s="1009">
        <f>ROUNDDOWN(AVERAGE(IncomeLimits!BD28:'IncomeLimits'!BE28)*0.3/12, 0)</f>
        <v>1393</v>
      </c>
      <c r="AN30" s="1009">
        <f>ROUNDDOWN(IncomeLimits!BF28*0.3/12, 0)</f>
        <v>1672</v>
      </c>
      <c r="AO30" s="1009">
        <f>ROUNDDOWN(AVERAGE(IncomeLimits!BG28:'IncomeLimits'!BH28)*0.3/12,0)</f>
        <v>1931</v>
      </c>
      <c r="AP30" s="1009">
        <f>ROUNDDOWN(IncomeLimits!BI28*0.3/12,0)</f>
        <v>2154</v>
      </c>
      <c r="AQ30" s="76">
        <f>ROUNDDOWN(AVERAGE(IncomeLimits!BJ28:'IncomeLimits'!BK28)*0.3/12,0)</f>
        <v>2376</v>
      </c>
    </row>
    <row r="31" spans="1:43">
      <c r="A31" s="77" t="s">
        <v>433</v>
      </c>
      <c r="B31" s="75">
        <f>ROUNDDOWN(IncomeLimits!B29*0.3/12, 0)</f>
        <v>325</v>
      </c>
      <c r="C31" s="1009">
        <f>ROUNDDOWN(AVERAGE(IncomeLimits!B29:C29)*0.3/12, 0)</f>
        <v>348</v>
      </c>
      <c r="D31" s="1009">
        <f>ROUNDDOWN(IncomeLimits!D29*0.3/12, 0)</f>
        <v>418</v>
      </c>
      <c r="E31" s="1009">
        <f>ROUNDDOWN(AVERAGE(IncomeLimits!E29:'IncomeLimits'!F29)*0.3/12,0)</f>
        <v>482</v>
      </c>
      <c r="F31" s="1009">
        <f>ROUNDDOWN(IncomeLimits!G29*0.3/12,0)</f>
        <v>538</v>
      </c>
      <c r="G31" s="66">
        <f>ROUNDDOWN(AVERAGE(IncomeLimits!H29:'IncomeLimits'!I29)*0.3/12,0)</f>
        <v>594</v>
      </c>
      <c r="H31" s="75">
        <f>ROUNDDOWN(IncomeLimits!K29*0.3/12, 0)</f>
        <v>487</v>
      </c>
      <c r="I31" s="1009">
        <f>ROUNDDOWN(AVERAGE(IncomeLimits!K29:'IncomeLimits'!L29)*0.3/12, 0)</f>
        <v>522</v>
      </c>
      <c r="J31" s="1009">
        <f>ROUNDDOWN(IncomeLimits!M29*0.3/12, 0)</f>
        <v>627</v>
      </c>
      <c r="K31" s="1009">
        <f>ROUNDDOWN(AVERAGE(IncomeLimits!N29:'IncomeLimits'!O29)*0.3/12,0)</f>
        <v>724</v>
      </c>
      <c r="L31" s="1009">
        <f>ROUNDDOWN(IncomeLimits!P29*0.3/12,0)</f>
        <v>807</v>
      </c>
      <c r="M31" s="76">
        <f>ROUNDDOWN(AVERAGE(IncomeLimits!Q29:'IncomeLimits'!R29)*0.3/12,0)</f>
        <v>891</v>
      </c>
      <c r="N31" s="65">
        <f>ROUNDDOWN(IncomeLimits!T29*0.3/12, 0)</f>
        <v>650</v>
      </c>
      <c r="O31" s="1009">
        <f>ROUNDDOWN(AVERAGE(IncomeLimits!T29:'IncomeLimits'!U29)*0.3/12, 0)</f>
        <v>696</v>
      </c>
      <c r="P31" s="1009">
        <f>ROUNDDOWN(IncomeLimits!V29*0.3/12, 0)</f>
        <v>836</v>
      </c>
      <c r="Q31" s="1009">
        <f>ROUNDDOWN(AVERAGE(IncomeLimits!W29:'IncomeLimits'!X29)*0.3/12,0)</f>
        <v>965</v>
      </c>
      <c r="R31" s="1009">
        <f>ROUNDDOWN(IncomeLimits!Y29*0.3/12,0)</f>
        <v>1077</v>
      </c>
      <c r="S31" s="66">
        <f>ROUNDDOWN(AVERAGE(IncomeLimits!Z29:'IncomeLimits'!AA29)*0.3/12,0)</f>
        <v>1188</v>
      </c>
      <c r="T31" s="66">
        <f>ROUNDDOWN(IncomeLimits!AC29*0.3/12, 0)</f>
        <v>812</v>
      </c>
      <c r="U31" s="66">
        <f>ROUNDDOWN(AVERAGE(IncomeLimits!AC29:'IncomeLimits'!AD29)*0.3/12,0)</f>
        <v>870</v>
      </c>
      <c r="V31" s="66">
        <f>ROUNDDOWN(IncomeLimits!AE29*0.3/12, 0)</f>
        <v>1045</v>
      </c>
      <c r="W31" s="66">
        <f>ROUNDDOWN(AVERAGE(IncomeLimits!AF29:'IncomeLimits'!AG29)*0.3/12,0)</f>
        <v>1206</v>
      </c>
      <c r="X31" s="66">
        <f>ROUNDDOWN(IncomeLimits!AH29*0.3/12,0)</f>
        <v>1346</v>
      </c>
      <c r="Y31" s="66">
        <f>ROUNDDOWN(AVERAGE(IncomeLimits!AI29:'IncomeLimits'!AJ29)*0.3/12,0)</f>
        <v>1485</v>
      </c>
      <c r="Z31" s="1679">
        <f>ROUNDDOWN(IncomeLimits!AL29*0.3/12, 0)</f>
        <v>975</v>
      </c>
      <c r="AA31" s="1009">
        <f>ROUNDDOWN(AVERAGE(IncomeLimits!AL29:'IncomeLimits'!AM29)*0.3/12, 0)</f>
        <v>1044</v>
      </c>
      <c r="AB31" s="1009">
        <f>ROUNDDOWN(IncomeLimits!AN29*0.3/12, 0)</f>
        <v>1254</v>
      </c>
      <c r="AC31" s="1009">
        <f>ROUNDDOWN(AVERAGE(IncomeLimits!AO29:'IncomeLimits'!AP29)*0.3/12,0)</f>
        <v>1448</v>
      </c>
      <c r="AD31" s="1009">
        <f>ROUNDDOWN(IncomeLimits!AQ29*0.3/12,0)</f>
        <v>1615</v>
      </c>
      <c r="AE31" s="1680">
        <f>ROUNDDOWN(AVERAGE(IncomeLimits!AR29:'IncomeLimits'!AS29)*0.3/12,0)</f>
        <v>1782</v>
      </c>
      <c r="AF31" s="65">
        <f>ROUNDDOWN(IncomeLimits!AU29*0.3/12, 0)</f>
        <v>1137</v>
      </c>
      <c r="AG31" s="1009">
        <f>ROUNDDOWN(AVERAGE(IncomeLimits!AU29:'IncomeLimits'!AV29)*0.3/12, 0)</f>
        <v>1218</v>
      </c>
      <c r="AH31" s="1009">
        <f>ROUNDDOWN(IncomeLimits!AW29*0.3/12, 0)</f>
        <v>1463</v>
      </c>
      <c r="AI31" s="1009">
        <f>ROUNDDOWN(AVERAGE(IncomeLimits!AX29:'IncomeLimits'!AY29)*0.3/12,0)</f>
        <v>1689</v>
      </c>
      <c r="AJ31" s="1009">
        <f>ROUNDDOWN(IncomeLimits!AZ29*0.3/12,0)</f>
        <v>1884</v>
      </c>
      <c r="AK31" s="76">
        <f>ROUNDDOWN(AVERAGE(IncomeLimits!BA29:'IncomeLimits'!BB29)*0.3/12,0)</f>
        <v>2079</v>
      </c>
      <c r="AL31" s="65">
        <f>ROUNDDOWN(IncomeLimits!BD29*0.3/12, 0)</f>
        <v>1300</v>
      </c>
      <c r="AM31" s="1009">
        <f>ROUNDDOWN(AVERAGE(IncomeLimits!BD29:'IncomeLimits'!BE29)*0.3/12, 0)</f>
        <v>1393</v>
      </c>
      <c r="AN31" s="1009">
        <f>ROUNDDOWN(IncomeLimits!BF29*0.3/12, 0)</f>
        <v>1672</v>
      </c>
      <c r="AO31" s="1009">
        <f>ROUNDDOWN(AVERAGE(IncomeLimits!BG29:'IncomeLimits'!BH29)*0.3/12,0)</f>
        <v>1931</v>
      </c>
      <c r="AP31" s="1009">
        <f>ROUNDDOWN(IncomeLimits!BI29*0.3/12,0)</f>
        <v>2154</v>
      </c>
      <c r="AQ31" s="76">
        <f>ROUNDDOWN(AVERAGE(IncomeLimits!BJ29:'IncomeLimits'!BK29)*0.3/12,0)</f>
        <v>2376</v>
      </c>
    </row>
    <row r="32" spans="1:43">
      <c r="A32" s="77" t="s">
        <v>435</v>
      </c>
      <c r="B32" s="75">
        <f>ROUNDDOWN(IncomeLimits!B30*0.3/12, 0)</f>
        <v>383</v>
      </c>
      <c r="C32" s="1009">
        <f>ROUNDDOWN(AVERAGE(IncomeLimits!B30:C30)*0.3/12, 0)</f>
        <v>411</v>
      </c>
      <c r="D32" s="1009">
        <f>ROUNDDOWN(IncomeLimits!D30*0.3/12, 0)</f>
        <v>493</v>
      </c>
      <c r="E32" s="1009">
        <f>ROUNDDOWN(AVERAGE(IncomeLimits!E30:'IncomeLimits'!F30)*0.3/12,0)</f>
        <v>570</v>
      </c>
      <c r="F32" s="1009">
        <f>ROUNDDOWN(IncomeLimits!G30*0.3/12,0)</f>
        <v>636</v>
      </c>
      <c r="G32" s="66">
        <f>ROUNDDOWN(AVERAGE(IncomeLimits!H30:'IncomeLimits'!I30)*0.3/12,0)</f>
        <v>701</v>
      </c>
      <c r="H32" s="75">
        <f>ROUNDDOWN(IncomeLimits!K30*0.3/12, 0)</f>
        <v>575</v>
      </c>
      <c r="I32" s="1009">
        <f>ROUNDDOWN(AVERAGE(IncomeLimits!K30:'IncomeLimits'!L30)*0.3/12, 0)</f>
        <v>616</v>
      </c>
      <c r="J32" s="1009">
        <f>ROUNDDOWN(IncomeLimits!M30*0.3/12, 0)</f>
        <v>740</v>
      </c>
      <c r="K32" s="1009">
        <f>ROUNDDOWN(AVERAGE(IncomeLimits!N30:'IncomeLimits'!O30)*0.3/12,0)</f>
        <v>855</v>
      </c>
      <c r="L32" s="1009">
        <f>ROUNDDOWN(IncomeLimits!P30*0.3/12,0)</f>
        <v>954</v>
      </c>
      <c r="M32" s="76">
        <f>ROUNDDOWN(AVERAGE(IncomeLimits!Q30:'IncomeLimits'!R30)*0.3/12,0)</f>
        <v>1052</v>
      </c>
      <c r="N32" s="65">
        <f>ROUNDDOWN(IncomeLimits!T30*0.3/12, 0)</f>
        <v>767</v>
      </c>
      <c r="O32" s="1009">
        <f>ROUNDDOWN(AVERAGE(IncomeLimits!T30:'IncomeLimits'!U30)*0.3/12, 0)</f>
        <v>822</v>
      </c>
      <c r="P32" s="1009">
        <f>ROUNDDOWN(IncomeLimits!V30*0.3/12, 0)</f>
        <v>987</v>
      </c>
      <c r="Q32" s="1009">
        <f>ROUNDDOWN(AVERAGE(IncomeLimits!W30:'IncomeLimits'!X30)*0.3/12,0)</f>
        <v>1140</v>
      </c>
      <c r="R32" s="1009">
        <f>ROUNDDOWN(IncomeLimits!Y30*0.3/12,0)</f>
        <v>1272</v>
      </c>
      <c r="S32" s="66">
        <f>ROUNDDOWN(AVERAGE(IncomeLimits!Z30:'IncomeLimits'!AA30)*0.3/12,0)</f>
        <v>1403</v>
      </c>
      <c r="T32" s="66">
        <f>ROUNDDOWN(IncomeLimits!AC30*0.3/12, 0)</f>
        <v>958</v>
      </c>
      <c r="U32" s="66">
        <f>ROUNDDOWN(AVERAGE(IncomeLimits!AC30:'IncomeLimits'!AD30)*0.3/12,0)</f>
        <v>1027</v>
      </c>
      <c r="V32" s="66">
        <f>ROUNDDOWN(IncomeLimits!AE30*0.3/12, 0)</f>
        <v>1233</v>
      </c>
      <c r="W32" s="66">
        <f>ROUNDDOWN(AVERAGE(IncomeLimits!AF30:'IncomeLimits'!AG30)*0.3/12,0)</f>
        <v>1425</v>
      </c>
      <c r="X32" s="66">
        <f>ROUNDDOWN(IncomeLimits!AH30*0.3/12,0)</f>
        <v>1590</v>
      </c>
      <c r="Y32" s="66">
        <f>ROUNDDOWN(AVERAGE(IncomeLimits!AI30:'IncomeLimits'!AJ30)*0.3/12,0)</f>
        <v>1753</v>
      </c>
      <c r="Z32" s="1679">
        <f>ROUNDDOWN(IncomeLimits!AL30*0.3/12, 0)</f>
        <v>1150</v>
      </c>
      <c r="AA32" s="1009">
        <f>ROUNDDOWN(AVERAGE(IncomeLimits!AL30:'IncomeLimits'!AM30)*0.3/12, 0)</f>
        <v>1233</v>
      </c>
      <c r="AB32" s="1009">
        <f>ROUNDDOWN(IncomeLimits!AN30*0.3/12, 0)</f>
        <v>1480</v>
      </c>
      <c r="AC32" s="1009">
        <f>ROUNDDOWN(AVERAGE(IncomeLimits!AO30:'IncomeLimits'!AP30)*0.3/12,0)</f>
        <v>1710</v>
      </c>
      <c r="AD32" s="1009">
        <f>ROUNDDOWN(IncomeLimits!AQ30*0.3/12,0)</f>
        <v>1908</v>
      </c>
      <c r="AE32" s="1680">
        <f>ROUNDDOWN(AVERAGE(IncomeLimits!AR30:'IncomeLimits'!AS30)*0.3/12,0)</f>
        <v>2104</v>
      </c>
      <c r="AF32" s="65">
        <f>ROUNDDOWN(IncomeLimits!AU30*0.3/12, 0)</f>
        <v>1342</v>
      </c>
      <c r="AG32" s="1009">
        <f>ROUNDDOWN(AVERAGE(IncomeLimits!AU30:'IncomeLimits'!AV30)*0.3/12, 0)</f>
        <v>1438</v>
      </c>
      <c r="AH32" s="1009">
        <f>ROUNDDOWN(IncomeLimits!AW30*0.3/12, 0)</f>
        <v>1727</v>
      </c>
      <c r="AI32" s="1009">
        <f>ROUNDDOWN(AVERAGE(IncomeLimits!AX30:'IncomeLimits'!AY30)*0.3/12,0)</f>
        <v>1995</v>
      </c>
      <c r="AJ32" s="1009">
        <f>ROUNDDOWN(IncomeLimits!AZ30*0.3/12,0)</f>
        <v>2226</v>
      </c>
      <c r="AK32" s="76">
        <f>ROUNDDOWN(AVERAGE(IncomeLimits!BA30:'IncomeLimits'!BB30)*0.3/12,0)</f>
        <v>2455</v>
      </c>
      <c r="AL32" s="65">
        <f>ROUNDDOWN(IncomeLimits!BD30*0.3/12, 0)</f>
        <v>1534</v>
      </c>
      <c r="AM32" s="1009">
        <f>ROUNDDOWN(AVERAGE(IncomeLimits!BD30:'IncomeLimits'!BE30)*0.3/12, 0)</f>
        <v>1644</v>
      </c>
      <c r="AN32" s="1009">
        <f>ROUNDDOWN(IncomeLimits!BF30*0.3/12, 0)</f>
        <v>1974</v>
      </c>
      <c r="AO32" s="1009">
        <f>ROUNDDOWN(AVERAGE(IncomeLimits!BG30:'IncomeLimits'!BH30)*0.3/12,0)</f>
        <v>2280</v>
      </c>
      <c r="AP32" s="1009">
        <f>ROUNDDOWN(IncomeLimits!BI30*0.3/12,0)</f>
        <v>2544</v>
      </c>
      <c r="AQ32" s="76">
        <f>ROUNDDOWN(AVERAGE(IncomeLimits!BJ30:'IncomeLimits'!BK30)*0.3/12,0)</f>
        <v>2806</v>
      </c>
    </row>
    <row r="33" spans="1:43">
      <c r="A33" s="77" t="s">
        <v>437</v>
      </c>
      <c r="B33" s="75">
        <f>ROUNDDOWN(IncomeLimits!B31*0.3/12, 0)</f>
        <v>325</v>
      </c>
      <c r="C33" s="1009">
        <f>ROUNDDOWN(AVERAGE(IncomeLimits!B31:C31)*0.3/12, 0)</f>
        <v>348</v>
      </c>
      <c r="D33" s="1009">
        <f>ROUNDDOWN(IncomeLimits!D31*0.3/12, 0)</f>
        <v>418</v>
      </c>
      <c r="E33" s="1009">
        <f>ROUNDDOWN(AVERAGE(IncomeLimits!E31:'IncomeLimits'!F31)*0.3/12,0)</f>
        <v>482</v>
      </c>
      <c r="F33" s="1009">
        <f>ROUNDDOWN(IncomeLimits!G31*0.3/12,0)</f>
        <v>538</v>
      </c>
      <c r="G33" s="66">
        <f>ROUNDDOWN(AVERAGE(IncomeLimits!H31:'IncomeLimits'!I31)*0.3/12,0)</f>
        <v>594</v>
      </c>
      <c r="H33" s="75">
        <f>ROUNDDOWN(IncomeLimits!K31*0.3/12, 0)</f>
        <v>487</v>
      </c>
      <c r="I33" s="1009">
        <f>ROUNDDOWN(AVERAGE(IncomeLimits!K31:'IncomeLimits'!L31)*0.3/12, 0)</f>
        <v>522</v>
      </c>
      <c r="J33" s="1009">
        <f>ROUNDDOWN(IncomeLimits!M31*0.3/12, 0)</f>
        <v>627</v>
      </c>
      <c r="K33" s="1009">
        <f>ROUNDDOWN(AVERAGE(IncomeLimits!N31:'IncomeLimits'!O31)*0.3/12,0)</f>
        <v>724</v>
      </c>
      <c r="L33" s="1009">
        <f>ROUNDDOWN(IncomeLimits!P31*0.3/12,0)</f>
        <v>807</v>
      </c>
      <c r="M33" s="76">
        <f>ROUNDDOWN(AVERAGE(IncomeLimits!Q31:'IncomeLimits'!R31)*0.3/12,0)</f>
        <v>891</v>
      </c>
      <c r="N33" s="65">
        <f>ROUNDDOWN(IncomeLimits!T31*0.3/12, 0)</f>
        <v>650</v>
      </c>
      <c r="O33" s="1009">
        <f>ROUNDDOWN(AVERAGE(IncomeLimits!T31:'IncomeLimits'!U31)*0.3/12, 0)</f>
        <v>696</v>
      </c>
      <c r="P33" s="1009">
        <f>ROUNDDOWN(IncomeLimits!V31*0.3/12, 0)</f>
        <v>836</v>
      </c>
      <c r="Q33" s="1009">
        <f>ROUNDDOWN(AVERAGE(IncomeLimits!W31:'IncomeLimits'!X31)*0.3/12,0)</f>
        <v>965</v>
      </c>
      <c r="R33" s="1009">
        <f>ROUNDDOWN(IncomeLimits!Y31*0.3/12,0)</f>
        <v>1077</v>
      </c>
      <c r="S33" s="66">
        <f>ROUNDDOWN(AVERAGE(IncomeLimits!Z31:'IncomeLimits'!AA31)*0.3/12,0)</f>
        <v>1188</v>
      </c>
      <c r="T33" s="66">
        <f>ROUNDDOWN(IncomeLimits!AC31*0.3/12, 0)</f>
        <v>812</v>
      </c>
      <c r="U33" s="66">
        <f>ROUNDDOWN(AVERAGE(IncomeLimits!AC31:'IncomeLimits'!AD31)*0.3/12,0)</f>
        <v>870</v>
      </c>
      <c r="V33" s="66">
        <f>ROUNDDOWN(IncomeLimits!AE31*0.3/12, 0)</f>
        <v>1045</v>
      </c>
      <c r="W33" s="66">
        <f>ROUNDDOWN(AVERAGE(IncomeLimits!AF31:'IncomeLimits'!AG31)*0.3/12,0)</f>
        <v>1206</v>
      </c>
      <c r="X33" s="66">
        <f>ROUNDDOWN(IncomeLimits!AH31*0.3/12,0)</f>
        <v>1346</v>
      </c>
      <c r="Y33" s="66">
        <f>ROUNDDOWN(AVERAGE(IncomeLimits!AI31:'IncomeLimits'!AJ31)*0.3/12,0)</f>
        <v>1485</v>
      </c>
      <c r="Z33" s="1679">
        <f>ROUNDDOWN(IncomeLimits!AL31*0.3/12, 0)</f>
        <v>975</v>
      </c>
      <c r="AA33" s="1009">
        <f>ROUNDDOWN(AVERAGE(IncomeLimits!AL31:'IncomeLimits'!AM31)*0.3/12, 0)</f>
        <v>1044</v>
      </c>
      <c r="AB33" s="1009">
        <f>ROUNDDOWN(IncomeLimits!AN31*0.3/12, 0)</f>
        <v>1254</v>
      </c>
      <c r="AC33" s="1009">
        <f>ROUNDDOWN(AVERAGE(IncomeLimits!AO31:'IncomeLimits'!AP31)*0.3/12,0)</f>
        <v>1448</v>
      </c>
      <c r="AD33" s="1009">
        <f>ROUNDDOWN(IncomeLimits!AQ31*0.3/12,0)</f>
        <v>1615</v>
      </c>
      <c r="AE33" s="1680">
        <f>ROUNDDOWN(AVERAGE(IncomeLimits!AR31:'IncomeLimits'!AS31)*0.3/12,0)</f>
        <v>1782</v>
      </c>
      <c r="AF33" s="65">
        <f>ROUNDDOWN(IncomeLimits!AU31*0.3/12, 0)</f>
        <v>1137</v>
      </c>
      <c r="AG33" s="1009">
        <f>ROUNDDOWN(AVERAGE(IncomeLimits!AU31:'IncomeLimits'!AV31)*0.3/12, 0)</f>
        <v>1218</v>
      </c>
      <c r="AH33" s="1009">
        <f>ROUNDDOWN(IncomeLimits!AW31*0.3/12, 0)</f>
        <v>1463</v>
      </c>
      <c r="AI33" s="1009">
        <f>ROUNDDOWN(AVERAGE(IncomeLimits!AX31:'IncomeLimits'!AY31)*0.3/12,0)</f>
        <v>1689</v>
      </c>
      <c r="AJ33" s="1009">
        <f>ROUNDDOWN(IncomeLimits!AZ31*0.3/12,0)</f>
        <v>1884</v>
      </c>
      <c r="AK33" s="76">
        <f>ROUNDDOWN(AVERAGE(IncomeLimits!BA31:'IncomeLimits'!BB31)*0.3/12,0)</f>
        <v>2079</v>
      </c>
      <c r="AL33" s="65">
        <f>ROUNDDOWN(IncomeLimits!BD31*0.3/12, 0)</f>
        <v>1300</v>
      </c>
      <c r="AM33" s="1009">
        <f>ROUNDDOWN(AVERAGE(IncomeLimits!BD31:'IncomeLimits'!BE31)*0.3/12, 0)</f>
        <v>1393</v>
      </c>
      <c r="AN33" s="1009">
        <f>ROUNDDOWN(IncomeLimits!BF31*0.3/12, 0)</f>
        <v>1672</v>
      </c>
      <c r="AO33" s="1009">
        <f>ROUNDDOWN(AVERAGE(IncomeLimits!BG31:'IncomeLimits'!BH31)*0.3/12,0)</f>
        <v>1931</v>
      </c>
      <c r="AP33" s="1009">
        <f>ROUNDDOWN(IncomeLimits!BI31*0.3/12,0)</f>
        <v>2154</v>
      </c>
      <c r="AQ33" s="76">
        <f>ROUNDDOWN(AVERAGE(IncomeLimits!BJ31:'IncomeLimits'!BK31)*0.3/12,0)</f>
        <v>2376</v>
      </c>
    </row>
    <row r="34" spans="1:43">
      <c r="A34" s="77" t="s">
        <v>393</v>
      </c>
      <c r="B34" s="75">
        <f>ROUNDDOWN(IncomeLimits!B32*0.3/12, 0)</f>
        <v>374</v>
      </c>
      <c r="C34" s="1009">
        <f>ROUNDDOWN(AVERAGE(IncomeLimits!B32:C32)*0.3/12, 0)</f>
        <v>400</v>
      </c>
      <c r="D34" s="1009">
        <f>ROUNDDOWN(IncomeLimits!D32*0.3/12, 0)</f>
        <v>481</v>
      </c>
      <c r="E34" s="1009">
        <f>ROUNDDOWN(AVERAGE(IncomeLimits!E32:'IncomeLimits'!F32)*0.3/12,0)</f>
        <v>555</v>
      </c>
      <c r="F34" s="1009">
        <f>ROUNDDOWN(IncomeLimits!G32*0.3/12,0)</f>
        <v>619</v>
      </c>
      <c r="G34" s="66">
        <f>ROUNDDOWN(AVERAGE(IncomeLimits!H32:'IncomeLimits'!I32)*0.3/12,0)</f>
        <v>683</v>
      </c>
      <c r="H34" s="75">
        <f>ROUNDDOWN(IncomeLimits!K32*0.3/12, 0)</f>
        <v>561</v>
      </c>
      <c r="I34" s="1009">
        <f>ROUNDDOWN(AVERAGE(IncomeLimits!K32:'IncomeLimits'!L32)*0.3/12, 0)</f>
        <v>601</v>
      </c>
      <c r="J34" s="1009">
        <f>ROUNDDOWN(IncomeLimits!M32*0.3/12, 0)</f>
        <v>721</v>
      </c>
      <c r="K34" s="1009">
        <f>ROUNDDOWN(AVERAGE(IncomeLimits!N32:'IncomeLimits'!O32)*0.3/12,0)</f>
        <v>833</v>
      </c>
      <c r="L34" s="1009">
        <f>ROUNDDOWN(IncomeLimits!P32*0.3/12,0)</f>
        <v>929</v>
      </c>
      <c r="M34" s="76">
        <f>ROUNDDOWN(AVERAGE(IncomeLimits!Q32:'IncomeLimits'!R32)*0.3/12,0)</f>
        <v>1025</v>
      </c>
      <c r="N34" s="65">
        <f>ROUNDDOWN(IncomeLimits!T32*0.3/12, 0)</f>
        <v>748</v>
      </c>
      <c r="O34" s="1009">
        <f>ROUNDDOWN(AVERAGE(IncomeLimits!T32:'IncomeLimits'!U32)*0.3/12, 0)</f>
        <v>801</v>
      </c>
      <c r="P34" s="1009">
        <f>ROUNDDOWN(IncomeLimits!V32*0.3/12, 0)</f>
        <v>962</v>
      </c>
      <c r="Q34" s="1009">
        <f>ROUNDDOWN(AVERAGE(IncomeLimits!W32:'IncomeLimits'!X32)*0.3/12,0)</f>
        <v>1111</v>
      </c>
      <c r="R34" s="1009">
        <f>ROUNDDOWN(IncomeLimits!Y32*0.3/12,0)</f>
        <v>1239</v>
      </c>
      <c r="S34" s="66">
        <f>ROUNDDOWN(AVERAGE(IncomeLimits!Z32:'IncomeLimits'!AA32)*0.3/12,0)</f>
        <v>1367</v>
      </c>
      <c r="T34" s="66">
        <f>ROUNDDOWN(IncomeLimits!AC32*0.3/12, 0)</f>
        <v>935</v>
      </c>
      <c r="U34" s="66">
        <f>ROUNDDOWN(AVERAGE(IncomeLimits!AC32:'IncomeLimits'!AD32)*0.3/12,0)</f>
        <v>1001</v>
      </c>
      <c r="V34" s="66">
        <f>ROUNDDOWN(IncomeLimits!AE32*0.3/12, 0)</f>
        <v>1202</v>
      </c>
      <c r="W34" s="66">
        <f>ROUNDDOWN(AVERAGE(IncomeLimits!AF32:'IncomeLimits'!AG32)*0.3/12,0)</f>
        <v>1388</v>
      </c>
      <c r="X34" s="66">
        <f>ROUNDDOWN(IncomeLimits!AH32*0.3/12,0)</f>
        <v>1548</v>
      </c>
      <c r="Y34" s="66">
        <f>ROUNDDOWN(AVERAGE(IncomeLimits!AI32:'IncomeLimits'!AJ32)*0.3/12,0)</f>
        <v>1708</v>
      </c>
      <c r="Z34" s="1679">
        <f>ROUNDDOWN(IncomeLimits!AL32*0.3/12, 0)</f>
        <v>1122</v>
      </c>
      <c r="AA34" s="1009">
        <f>ROUNDDOWN(AVERAGE(IncomeLimits!AL32:'IncomeLimits'!AM32)*0.3/12, 0)</f>
        <v>1202</v>
      </c>
      <c r="AB34" s="1009">
        <f>ROUNDDOWN(IncomeLimits!AN32*0.3/12, 0)</f>
        <v>1443</v>
      </c>
      <c r="AC34" s="1009">
        <f>ROUNDDOWN(AVERAGE(IncomeLimits!AO32:'IncomeLimits'!AP32)*0.3/12,0)</f>
        <v>1666</v>
      </c>
      <c r="AD34" s="1009">
        <f>ROUNDDOWN(IncomeLimits!AQ32*0.3/12,0)</f>
        <v>1858</v>
      </c>
      <c r="AE34" s="1680">
        <f>ROUNDDOWN(AVERAGE(IncomeLimits!AR32:'IncomeLimits'!AS32)*0.3/12,0)</f>
        <v>2050</v>
      </c>
      <c r="AF34" s="65">
        <f>ROUNDDOWN(IncomeLimits!AU32*0.3/12, 0)</f>
        <v>1309</v>
      </c>
      <c r="AG34" s="1009">
        <f>ROUNDDOWN(AVERAGE(IncomeLimits!AU32:'IncomeLimits'!AV32)*0.3/12, 0)</f>
        <v>1402</v>
      </c>
      <c r="AH34" s="1009">
        <f>ROUNDDOWN(IncomeLimits!AW32*0.3/12, 0)</f>
        <v>1683</v>
      </c>
      <c r="AI34" s="1009">
        <f>ROUNDDOWN(AVERAGE(IncomeLimits!AX32:'IncomeLimits'!AY32)*0.3/12,0)</f>
        <v>1944</v>
      </c>
      <c r="AJ34" s="1009">
        <f>ROUNDDOWN(IncomeLimits!AZ32*0.3/12,0)</f>
        <v>2168</v>
      </c>
      <c r="AK34" s="76">
        <f>ROUNDDOWN(AVERAGE(IncomeLimits!BA32:'IncomeLimits'!BB32)*0.3/12,0)</f>
        <v>2392</v>
      </c>
      <c r="AL34" s="65">
        <f>ROUNDDOWN(IncomeLimits!BD32*0.3/12, 0)</f>
        <v>1496</v>
      </c>
      <c r="AM34" s="1009">
        <f>ROUNDDOWN(AVERAGE(IncomeLimits!BD32:'IncomeLimits'!BE32)*0.3/12, 0)</f>
        <v>1603</v>
      </c>
      <c r="AN34" s="1009">
        <f>ROUNDDOWN(IncomeLimits!BF32*0.3/12, 0)</f>
        <v>1924</v>
      </c>
      <c r="AO34" s="1009">
        <f>ROUNDDOWN(AVERAGE(IncomeLimits!BG32:'IncomeLimits'!BH32)*0.3/12,0)</f>
        <v>2222</v>
      </c>
      <c r="AP34" s="1009">
        <f>ROUNDDOWN(IncomeLimits!BI32*0.3/12,0)</f>
        <v>2478</v>
      </c>
      <c r="AQ34" s="76">
        <f>ROUNDDOWN(AVERAGE(IncomeLimits!BJ32:'IncomeLimits'!BK32)*0.3/12,0)</f>
        <v>2734</v>
      </c>
    </row>
    <row r="35" spans="1:43">
      <c r="A35" s="77" t="s">
        <v>440</v>
      </c>
      <c r="B35" s="75">
        <f>ROUNDDOWN(IncomeLimits!B33*0.3/12, 0)</f>
        <v>374</v>
      </c>
      <c r="C35" s="1009">
        <f>ROUNDDOWN(AVERAGE(IncomeLimits!B33:C33)*0.3/12, 0)</f>
        <v>401</v>
      </c>
      <c r="D35" s="1009">
        <f>ROUNDDOWN(IncomeLimits!D33*0.3/12, 0)</f>
        <v>481</v>
      </c>
      <c r="E35" s="1009">
        <f>ROUNDDOWN(AVERAGE(IncomeLimits!E33:'IncomeLimits'!F33)*0.3/12,0)</f>
        <v>556</v>
      </c>
      <c r="F35" s="1009">
        <f>ROUNDDOWN(IncomeLimits!G33*0.3/12,0)</f>
        <v>620</v>
      </c>
      <c r="G35" s="66">
        <f>ROUNDDOWN(AVERAGE(IncomeLimits!H33:'IncomeLimits'!I33)*0.3/12,0)</f>
        <v>685</v>
      </c>
      <c r="H35" s="75">
        <f>ROUNDDOWN(IncomeLimits!K33*0.3/12, 0)</f>
        <v>561</v>
      </c>
      <c r="I35" s="1009">
        <f>ROUNDDOWN(AVERAGE(IncomeLimits!K33:'IncomeLimits'!L33)*0.3/12, 0)</f>
        <v>601</v>
      </c>
      <c r="J35" s="1009">
        <f>ROUNDDOWN(IncomeLimits!M33*0.3/12, 0)</f>
        <v>722</v>
      </c>
      <c r="K35" s="1009">
        <f>ROUNDDOWN(AVERAGE(IncomeLimits!N33:'IncomeLimits'!O33)*0.3/12,0)</f>
        <v>834</v>
      </c>
      <c r="L35" s="1009">
        <f>ROUNDDOWN(IncomeLimits!P33*0.3/12,0)</f>
        <v>930</v>
      </c>
      <c r="M35" s="76">
        <f>ROUNDDOWN(AVERAGE(IncomeLimits!Q33:'IncomeLimits'!R33)*0.3/12,0)</f>
        <v>1027</v>
      </c>
      <c r="N35" s="65">
        <f>ROUNDDOWN(IncomeLimits!T33*0.3/12, 0)</f>
        <v>749</v>
      </c>
      <c r="O35" s="1009">
        <f>ROUNDDOWN(AVERAGE(IncomeLimits!T33:'IncomeLimits'!U33)*0.3/12, 0)</f>
        <v>802</v>
      </c>
      <c r="P35" s="1009">
        <f>ROUNDDOWN(IncomeLimits!V33*0.3/12, 0)</f>
        <v>963</v>
      </c>
      <c r="Q35" s="1009">
        <f>ROUNDDOWN(AVERAGE(IncomeLimits!W33:'IncomeLimits'!X33)*0.3/12,0)</f>
        <v>1113</v>
      </c>
      <c r="R35" s="1009">
        <f>ROUNDDOWN(IncomeLimits!Y33*0.3/12,0)</f>
        <v>1241</v>
      </c>
      <c r="S35" s="66">
        <f>ROUNDDOWN(AVERAGE(IncomeLimits!Z33:'IncomeLimits'!AA33)*0.3/12,0)</f>
        <v>1370</v>
      </c>
      <c r="T35" s="66">
        <f>ROUNDDOWN(IncomeLimits!AC33*0.3/12, 0)</f>
        <v>936</v>
      </c>
      <c r="U35" s="66">
        <f>ROUNDDOWN(AVERAGE(IncomeLimits!AC33:'IncomeLimits'!AD33)*0.3/12,0)</f>
        <v>1003</v>
      </c>
      <c r="V35" s="66">
        <f>ROUNDDOWN(IncomeLimits!AE33*0.3/12, 0)</f>
        <v>1203</v>
      </c>
      <c r="W35" s="66">
        <f>ROUNDDOWN(AVERAGE(IncomeLimits!AF33:'IncomeLimits'!AG33)*0.3/12,0)</f>
        <v>1391</v>
      </c>
      <c r="X35" s="66">
        <f>ROUNDDOWN(IncomeLimits!AH33*0.3/12,0)</f>
        <v>1551</v>
      </c>
      <c r="Y35" s="66">
        <f>ROUNDDOWN(AVERAGE(IncomeLimits!AI33:'IncomeLimits'!AJ33)*0.3/12,0)</f>
        <v>1712</v>
      </c>
      <c r="Z35" s="1679">
        <f>ROUNDDOWN(IncomeLimits!AL33*0.3/12, 0)</f>
        <v>1123</v>
      </c>
      <c r="AA35" s="1009">
        <f>ROUNDDOWN(AVERAGE(IncomeLimits!AL33:'IncomeLimits'!AM33)*0.3/12, 0)</f>
        <v>1203</v>
      </c>
      <c r="AB35" s="1009">
        <f>ROUNDDOWN(IncomeLimits!AN33*0.3/12, 0)</f>
        <v>1444</v>
      </c>
      <c r="AC35" s="1009">
        <f>ROUNDDOWN(AVERAGE(IncomeLimits!AO33:'IncomeLimits'!AP33)*0.3/12,0)</f>
        <v>1669</v>
      </c>
      <c r="AD35" s="1009">
        <f>ROUNDDOWN(IncomeLimits!AQ33*0.3/12,0)</f>
        <v>1861</v>
      </c>
      <c r="AE35" s="1680">
        <f>ROUNDDOWN(AVERAGE(IncomeLimits!AR33:'IncomeLimits'!AS33)*0.3/12,0)</f>
        <v>2055</v>
      </c>
      <c r="AF35" s="65">
        <f>ROUNDDOWN(IncomeLimits!AU33*0.3/12, 0)</f>
        <v>1310</v>
      </c>
      <c r="AG35" s="1009">
        <f>ROUNDDOWN(AVERAGE(IncomeLimits!AU33:'IncomeLimits'!AV33)*0.3/12, 0)</f>
        <v>1404</v>
      </c>
      <c r="AH35" s="1009">
        <f>ROUNDDOWN(IncomeLimits!AW33*0.3/12, 0)</f>
        <v>1685</v>
      </c>
      <c r="AI35" s="1009">
        <f>ROUNDDOWN(AVERAGE(IncomeLimits!AX33:'IncomeLimits'!AY33)*0.3/12,0)</f>
        <v>1947</v>
      </c>
      <c r="AJ35" s="1009">
        <f>ROUNDDOWN(IncomeLimits!AZ33*0.3/12,0)</f>
        <v>2171</v>
      </c>
      <c r="AK35" s="76">
        <f>ROUNDDOWN(AVERAGE(IncomeLimits!BA33:'IncomeLimits'!BB33)*0.3/12,0)</f>
        <v>2397</v>
      </c>
      <c r="AL35" s="65">
        <f>ROUNDDOWN(IncomeLimits!BD33*0.3/12, 0)</f>
        <v>1498</v>
      </c>
      <c r="AM35" s="1009">
        <f>ROUNDDOWN(AVERAGE(IncomeLimits!BD33:'IncomeLimits'!BE33)*0.3/12, 0)</f>
        <v>1605</v>
      </c>
      <c r="AN35" s="1009">
        <f>ROUNDDOWN(IncomeLimits!BF33*0.3/12, 0)</f>
        <v>1926</v>
      </c>
      <c r="AO35" s="1009">
        <f>ROUNDDOWN(AVERAGE(IncomeLimits!BG33:'IncomeLimits'!BH33)*0.3/12,0)</f>
        <v>2226</v>
      </c>
      <c r="AP35" s="1009">
        <f>ROUNDDOWN(IncomeLimits!BI33*0.3/12,0)</f>
        <v>2482</v>
      </c>
      <c r="AQ35" s="76">
        <f>ROUNDDOWN(AVERAGE(IncomeLimits!BJ33:'IncomeLimits'!BK33)*0.3/12,0)</f>
        <v>2740</v>
      </c>
    </row>
    <row r="36" spans="1:43">
      <c r="A36" s="77" t="s">
        <v>397</v>
      </c>
      <c r="B36" s="75">
        <f>ROUNDDOWN(IncomeLimits!B34*0.3/12, 0)</f>
        <v>376</v>
      </c>
      <c r="C36" s="1009">
        <f>ROUNDDOWN(AVERAGE(IncomeLimits!B34:C34)*0.3/12, 0)</f>
        <v>403</v>
      </c>
      <c r="D36" s="1009">
        <f>ROUNDDOWN(IncomeLimits!D34*0.3/12, 0)</f>
        <v>483</v>
      </c>
      <c r="E36" s="1009">
        <f>ROUNDDOWN(AVERAGE(IncomeLimits!E34:'IncomeLimits'!F34)*0.3/12,0)</f>
        <v>558</v>
      </c>
      <c r="F36" s="1009">
        <f>ROUNDDOWN(IncomeLimits!G34*0.3/12,0)</f>
        <v>623</v>
      </c>
      <c r="G36" s="66">
        <f>ROUNDDOWN(AVERAGE(IncomeLimits!H34:'IncomeLimits'!I34)*0.3/12,0)</f>
        <v>687</v>
      </c>
      <c r="H36" s="75">
        <f>ROUNDDOWN(IncomeLimits!K34*0.3/12, 0)</f>
        <v>564</v>
      </c>
      <c r="I36" s="1009">
        <f>ROUNDDOWN(AVERAGE(IncomeLimits!K34:'IncomeLimits'!L34)*0.3/12, 0)</f>
        <v>604</v>
      </c>
      <c r="J36" s="1009">
        <f>ROUNDDOWN(IncomeLimits!M34*0.3/12, 0)</f>
        <v>725</v>
      </c>
      <c r="K36" s="1009">
        <f>ROUNDDOWN(AVERAGE(IncomeLimits!N34:'IncomeLimits'!O34)*0.3/12,0)</f>
        <v>837</v>
      </c>
      <c r="L36" s="1009">
        <f>ROUNDDOWN(IncomeLimits!P34*0.3/12,0)</f>
        <v>934</v>
      </c>
      <c r="M36" s="76">
        <f>ROUNDDOWN(AVERAGE(IncomeLimits!Q34:'IncomeLimits'!R34)*0.3/12,0)</f>
        <v>1031</v>
      </c>
      <c r="N36" s="65">
        <f>ROUNDDOWN(IncomeLimits!T34*0.3/12, 0)</f>
        <v>752</v>
      </c>
      <c r="O36" s="1009">
        <f>ROUNDDOWN(AVERAGE(IncomeLimits!T34:'IncomeLimits'!U34)*0.3/12, 0)</f>
        <v>806</v>
      </c>
      <c r="P36" s="1009">
        <f>ROUNDDOWN(IncomeLimits!V34*0.3/12, 0)</f>
        <v>967</v>
      </c>
      <c r="Q36" s="1009">
        <f>ROUNDDOWN(AVERAGE(IncomeLimits!W34:'IncomeLimits'!X34)*0.3/12,0)</f>
        <v>1117</v>
      </c>
      <c r="R36" s="1009">
        <f>ROUNDDOWN(IncomeLimits!Y34*0.3/12,0)</f>
        <v>1246</v>
      </c>
      <c r="S36" s="66">
        <f>ROUNDDOWN(AVERAGE(IncomeLimits!Z34:'IncomeLimits'!AA34)*0.3/12,0)</f>
        <v>1375</v>
      </c>
      <c r="T36" s="66">
        <f>ROUNDDOWN(IncomeLimits!AC34*0.3/12, 0)</f>
        <v>940</v>
      </c>
      <c r="U36" s="66">
        <f>ROUNDDOWN(AVERAGE(IncomeLimits!AC34:'IncomeLimits'!AD34)*0.3/12,0)</f>
        <v>1007</v>
      </c>
      <c r="V36" s="66">
        <f>ROUNDDOWN(IncomeLimits!AE34*0.3/12, 0)</f>
        <v>1208</v>
      </c>
      <c r="W36" s="66">
        <f>ROUNDDOWN(AVERAGE(IncomeLimits!AF34:'IncomeLimits'!AG34)*0.3/12,0)</f>
        <v>1396</v>
      </c>
      <c r="X36" s="66">
        <f>ROUNDDOWN(IncomeLimits!AH34*0.3/12,0)</f>
        <v>1557</v>
      </c>
      <c r="Y36" s="66">
        <f>ROUNDDOWN(AVERAGE(IncomeLimits!AI34:'IncomeLimits'!AJ34)*0.3/12,0)</f>
        <v>1718</v>
      </c>
      <c r="Z36" s="1679">
        <f>ROUNDDOWN(IncomeLimits!AL34*0.3/12, 0)</f>
        <v>1128</v>
      </c>
      <c r="AA36" s="1009">
        <f>ROUNDDOWN(AVERAGE(IncomeLimits!AL34:'IncomeLimits'!AM34)*0.3/12, 0)</f>
        <v>1209</v>
      </c>
      <c r="AB36" s="1009">
        <f>ROUNDDOWN(IncomeLimits!AN34*0.3/12, 0)</f>
        <v>1450</v>
      </c>
      <c r="AC36" s="1009">
        <f>ROUNDDOWN(AVERAGE(IncomeLimits!AO34:'IncomeLimits'!AP34)*0.3/12,0)</f>
        <v>1675</v>
      </c>
      <c r="AD36" s="1009">
        <f>ROUNDDOWN(IncomeLimits!AQ34*0.3/12,0)</f>
        <v>1869</v>
      </c>
      <c r="AE36" s="1680">
        <f>ROUNDDOWN(AVERAGE(IncomeLimits!AR34:'IncomeLimits'!AS34)*0.3/12,0)</f>
        <v>2062</v>
      </c>
      <c r="AF36" s="65">
        <f>ROUNDDOWN(IncomeLimits!AU34*0.3/12, 0)</f>
        <v>1316</v>
      </c>
      <c r="AG36" s="1009">
        <f>ROUNDDOWN(AVERAGE(IncomeLimits!AU34:'IncomeLimits'!AV34)*0.3/12, 0)</f>
        <v>1410</v>
      </c>
      <c r="AH36" s="1009">
        <f>ROUNDDOWN(IncomeLimits!AW34*0.3/12, 0)</f>
        <v>1692</v>
      </c>
      <c r="AI36" s="1009">
        <f>ROUNDDOWN(AVERAGE(IncomeLimits!AX34:'IncomeLimits'!AY34)*0.3/12,0)</f>
        <v>1954</v>
      </c>
      <c r="AJ36" s="1009">
        <f>ROUNDDOWN(IncomeLimits!AZ34*0.3/12,0)</f>
        <v>2180</v>
      </c>
      <c r="AK36" s="76">
        <f>ROUNDDOWN(AVERAGE(IncomeLimits!BA34:'IncomeLimits'!BB34)*0.3/12,0)</f>
        <v>2406</v>
      </c>
      <c r="AL36" s="65">
        <f>ROUNDDOWN(IncomeLimits!BD34*0.3/12, 0)</f>
        <v>1504</v>
      </c>
      <c r="AM36" s="1009">
        <f>ROUNDDOWN(AVERAGE(IncomeLimits!BD34:'IncomeLimits'!BE34)*0.3/12, 0)</f>
        <v>1612</v>
      </c>
      <c r="AN36" s="1009">
        <f>ROUNDDOWN(IncomeLimits!BF34*0.3/12, 0)</f>
        <v>1934</v>
      </c>
      <c r="AO36" s="1009">
        <f>ROUNDDOWN(AVERAGE(IncomeLimits!BG34:'IncomeLimits'!BH34)*0.3/12,0)</f>
        <v>2234</v>
      </c>
      <c r="AP36" s="1009">
        <f>ROUNDDOWN(IncomeLimits!BI34*0.3/12,0)</f>
        <v>2492</v>
      </c>
      <c r="AQ36" s="76">
        <f>ROUNDDOWN(AVERAGE(IncomeLimits!BJ34:'IncomeLimits'!BK34)*0.3/12,0)</f>
        <v>2750</v>
      </c>
    </row>
    <row r="37" spans="1:43">
      <c r="A37" s="77" t="s">
        <v>443</v>
      </c>
      <c r="B37" s="75">
        <f>ROUNDDOWN(IncomeLimits!B35*0.3/12, 0)</f>
        <v>327</v>
      </c>
      <c r="C37" s="1009">
        <f>ROUNDDOWN(AVERAGE(IncomeLimits!B35:C35)*0.3/12, 0)</f>
        <v>350</v>
      </c>
      <c r="D37" s="1009">
        <f>ROUNDDOWN(IncomeLimits!D35*0.3/12, 0)</f>
        <v>420</v>
      </c>
      <c r="E37" s="1009">
        <f>ROUNDDOWN(AVERAGE(IncomeLimits!E35:'IncomeLimits'!F35)*0.3/12,0)</f>
        <v>485</v>
      </c>
      <c r="F37" s="1009">
        <f>ROUNDDOWN(IncomeLimits!G35*0.3/12,0)</f>
        <v>541</v>
      </c>
      <c r="G37" s="66">
        <f>ROUNDDOWN(AVERAGE(IncomeLimits!H35:'IncomeLimits'!I35)*0.3/12,0)</f>
        <v>597</v>
      </c>
      <c r="H37" s="75">
        <f>ROUNDDOWN(IncomeLimits!K35*0.3/12, 0)</f>
        <v>490</v>
      </c>
      <c r="I37" s="1009">
        <f>ROUNDDOWN(AVERAGE(IncomeLimits!K35:'IncomeLimits'!L35)*0.3/12, 0)</f>
        <v>525</v>
      </c>
      <c r="J37" s="1009">
        <f>ROUNDDOWN(IncomeLimits!M35*0.3/12, 0)</f>
        <v>630</v>
      </c>
      <c r="K37" s="1009">
        <f>ROUNDDOWN(AVERAGE(IncomeLimits!N35:'IncomeLimits'!O35)*0.3/12,0)</f>
        <v>727</v>
      </c>
      <c r="L37" s="1009">
        <f>ROUNDDOWN(IncomeLimits!P35*0.3/12,0)</f>
        <v>812</v>
      </c>
      <c r="M37" s="76">
        <f>ROUNDDOWN(AVERAGE(IncomeLimits!Q35:'IncomeLimits'!R35)*0.3/12,0)</f>
        <v>895</v>
      </c>
      <c r="N37" s="65">
        <f>ROUNDDOWN(IncomeLimits!T35*0.3/12, 0)</f>
        <v>654</v>
      </c>
      <c r="O37" s="1009">
        <f>ROUNDDOWN(AVERAGE(IncomeLimits!T35:'IncomeLimits'!U35)*0.3/12, 0)</f>
        <v>700</v>
      </c>
      <c r="P37" s="1009">
        <f>ROUNDDOWN(IncomeLimits!V35*0.3/12, 0)</f>
        <v>840</v>
      </c>
      <c r="Q37" s="1009">
        <f>ROUNDDOWN(AVERAGE(IncomeLimits!W35:'IncomeLimits'!X35)*0.3/12,0)</f>
        <v>970</v>
      </c>
      <c r="R37" s="1009">
        <f>ROUNDDOWN(IncomeLimits!Y35*0.3/12,0)</f>
        <v>1083</v>
      </c>
      <c r="S37" s="66">
        <f>ROUNDDOWN(AVERAGE(IncomeLimits!Z35:'IncomeLimits'!AA35)*0.3/12,0)</f>
        <v>1194</v>
      </c>
      <c r="T37" s="66">
        <f>ROUNDDOWN(IncomeLimits!AC35*0.3/12, 0)</f>
        <v>817</v>
      </c>
      <c r="U37" s="66">
        <f>ROUNDDOWN(AVERAGE(IncomeLimits!AC35:'IncomeLimits'!AD35)*0.3/12,0)</f>
        <v>875</v>
      </c>
      <c r="V37" s="66">
        <f>ROUNDDOWN(IncomeLimits!AE35*0.3/12, 0)</f>
        <v>1050</v>
      </c>
      <c r="W37" s="66">
        <f>ROUNDDOWN(AVERAGE(IncomeLimits!AF35:'IncomeLimits'!AG35)*0.3/12,0)</f>
        <v>1213</v>
      </c>
      <c r="X37" s="66">
        <f>ROUNDDOWN(IncomeLimits!AH35*0.3/12,0)</f>
        <v>1353</v>
      </c>
      <c r="Y37" s="66">
        <f>ROUNDDOWN(AVERAGE(IncomeLimits!AI35:'IncomeLimits'!AJ35)*0.3/12,0)</f>
        <v>1493</v>
      </c>
      <c r="Z37" s="1679">
        <f>ROUNDDOWN(IncomeLimits!AL35*0.3/12, 0)</f>
        <v>981</v>
      </c>
      <c r="AA37" s="1009">
        <f>ROUNDDOWN(AVERAGE(IncomeLimits!AL35:'IncomeLimits'!AM35)*0.3/12, 0)</f>
        <v>1050</v>
      </c>
      <c r="AB37" s="1009">
        <f>ROUNDDOWN(IncomeLimits!AN35*0.3/12, 0)</f>
        <v>1260</v>
      </c>
      <c r="AC37" s="1009">
        <f>ROUNDDOWN(AVERAGE(IncomeLimits!AO35:'IncomeLimits'!AP35)*0.3/12,0)</f>
        <v>1455</v>
      </c>
      <c r="AD37" s="1009">
        <f>ROUNDDOWN(IncomeLimits!AQ35*0.3/12,0)</f>
        <v>1624</v>
      </c>
      <c r="AE37" s="1680">
        <f>ROUNDDOWN(AVERAGE(IncomeLimits!AR35:'IncomeLimits'!AS35)*0.3/12,0)</f>
        <v>1791</v>
      </c>
      <c r="AF37" s="65">
        <f>ROUNDDOWN(IncomeLimits!AU35*0.3/12, 0)</f>
        <v>1144</v>
      </c>
      <c r="AG37" s="1009">
        <f>ROUNDDOWN(AVERAGE(IncomeLimits!AU35:'IncomeLimits'!AV35)*0.3/12, 0)</f>
        <v>1225</v>
      </c>
      <c r="AH37" s="1009">
        <f>ROUNDDOWN(IncomeLimits!AW35*0.3/12, 0)</f>
        <v>1470</v>
      </c>
      <c r="AI37" s="1009">
        <f>ROUNDDOWN(AVERAGE(IncomeLimits!AX35:'IncomeLimits'!AY35)*0.3/12,0)</f>
        <v>1698</v>
      </c>
      <c r="AJ37" s="1009">
        <f>ROUNDDOWN(IncomeLimits!AZ35*0.3/12,0)</f>
        <v>1895</v>
      </c>
      <c r="AK37" s="76">
        <f>ROUNDDOWN(AVERAGE(IncomeLimits!BA35:'IncomeLimits'!BB35)*0.3/12,0)</f>
        <v>2090</v>
      </c>
      <c r="AL37" s="65">
        <f>ROUNDDOWN(IncomeLimits!BD35*0.3/12, 0)</f>
        <v>1308</v>
      </c>
      <c r="AM37" s="1009">
        <f>ROUNDDOWN(AVERAGE(IncomeLimits!BD35:'IncomeLimits'!BE35)*0.3/12, 0)</f>
        <v>1401</v>
      </c>
      <c r="AN37" s="1009">
        <f>ROUNDDOWN(IncomeLimits!BF35*0.3/12, 0)</f>
        <v>1680</v>
      </c>
      <c r="AO37" s="1009">
        <f>ROUNDDOWN(AVERAGE(IncomeLimits!BG35:'IncomeLimits'!BH35)*0.3/12,0)</f>
        <v>1941</v>
      </c>
      <c r="AP37" s="1009">
        <f>ROUNDDOWN(IncomeLimits!BI35*0.3/12,0)</f>
        <v>2166</v>
      </c>
      <c r="AQ37" s="76">
        <f>ROUNDDOWN(AVERAGE(IncomeLimits!BJ35:'IncomeLimits'!BK35)*0.3/12,0)</f>
        <v>2389</v>
      </c>
    </row>
    <row r="38" spans="1:43">
      <c r="A38" s="77" t="s">
        <v>445</v>
      </c>
      <c r="B38" s="75">
        <f>ROUNDDOWN(IncomeLimits!B36*0.3/12, 0)</f>
        <v>325</v>
      </c>
      <c r="C38" s="1009">
        <f>ROUNDDOWN(AVERAGE(IncomeLimits!B36:C36)*0.3/12, 0)</f>
        <v>348</v>
      </c>
      <c r="D38" s="1009">
        <f>ROUNDDOWN(IncomeLimits!D36*0.3/12, 0)</f>
        <v>418</v>
      </c>
      <c r="E38" s="1009">
        <f>ROUNDDOWN(AVERAGE(IncomeLimits!E36:'IncomeLimits'!F36)*0.3/12,0)</f>
        <v>482</v>
      </c>
      <c r="F38" s="1009">
        <f>ROUNDDOWN(IncomeLimits!G36*0.3/12,0)</f>
        <v>538</v>
      </c>
      <c r="G38" s="66">
        <f>ROUNDDOWN(AVERAGE(IncomeLimits!H36:'IncomeLimits'!I36)*0.3/12,0)</f>
        <v>594</v>
      </c>
      <c r="H38" s="75">
        <f>ROUNDDOWN(IncomeLimits!K36*0.3/12, 0)</f>
        <v>487</v>
      </c>
      <c r="I38" s="1009">
        <f>ROUNDDOWN(AVERAGE(IncomeLimits!K36:'IncomeLimits'!L36)*0.3/12, 0)</f>
        <v>522</v>
      </c>
      <c r="J38" s="1009">
        <f>ROUNDDOWN(IncomeLimits!M36*0.3/12, 0)</f>
        <v>627</v>
      </c>
      <c r="K38" s="1009">
        <f>ROUNDDOWN(AVERAGE(IncomeLimits!N36:'IncomeLimits'!O36)*0.3/12,0)</f>
        <v>724</v>
      </c>
      <c r="L38" s="1009">
        <f>ROUNDDOWN(IncomeLimits!P36*0.3/12,0)</f>
        <v>807</v>
      </c>
      <c r="M38" s="76">
        <f>ROUNDDOWN(AVERAGE(IncomeLimits!Q36:'IncomeLimits'!R36)*0.3/12,0)</f>
        <v>891</v>
      </c>
      <c r="N38" s="65">
        <f>ROUNDDOWN(IncomeLimits!T36*0.3/12, 0)</f>
        <v>650</v>
      </c>
      <c r="O38" s="1009">
        <f>ROUNDDOWN(AVERAGE(IncomeLimits!T36:'IncomeLimits'!U36)*0.3/12, 0)</f>
        <v>696</v>
      </c>
      <c r="P38" s="1009">
        <f>ROUNDDOWN(IncomeLimits!V36*0.3/12, 0)</f>
        <v>836</v>
      </c>
      <c r="Q38" s="1009">
        <f>ROUNDDOWN(AVERAGE(IncomeLimits!W36:'IncomeLimits'!X36)*0.3/12,0)</f>
        <v>965</v>
      </c>
      <c r="R38" s="1009">
        <f>ROUNDDOWN(IncomeLimits!Y36*0.3/12,0)</f>
        <v>1077</v>
      </c>
      <c r="S38" s="66">
        <f>ROUNDDOWN(AVERAGE(IncomeLimits!Z36:'IncomeLimits'!AA36)*0.3/12,0)</f>
        <v>1188</v>
      </c>
      <c r="T38" s="66">
        <f>ROUNDDOWN(IncomeLimits!AC36*0.3/12, 0)</f>
        <v>812</v>
      </c>
      <c r="U38" s="66">
        <f>ROUNDDOWN(AVERAGE(IncomeLimits!AC36:'IncomeLimits'!AD36)*0.3/12,0)</f>
        <v>870</v>
      </c>
      <c r="V38" s="66">
        <f>ROUNDDOWN(IncomeLimits!AE36*0.3/12, 0)</f>
        <v>1045</v>
      </c>
      <c r="W38" s="66">
        <f>ROUNDDOWN(AVERAGE(IncomeLimits!AF36:'IncomeLimits'!AG36)*0.3/12,0)</f>
        <v>1206</v>
      </c>
      <c r="X38" s="66">
        <f>ROUNDDOWN(IncomeLimits!AH36*0.3/12,0)</f>
        <v>1346</v>
      </c>
      <c r="Y38" s="66">
        <f>ROUNDDOWN(AVERAGE(IncomeLimits!AI36:'IncomeLimits'!AJ36)*0.3/12,0)</f>
        <v>1485</v>
      </c>
      <c r="Z38" s="1679">
        <f>ROUNDDOWN(IncomeLimits!AL36*0.3/12, 0)</f>
        <v>975</v>
      </c>
      <c r="AA38" s="1009">
        <f>ROUNDDOWN(AVERAGE(IncomeLimits!AL36:'IncomeLimits'!AM36)*0.3/12, 0)</f>
        <v>1044</v>
      </c>
      <c r="AB38" s="1009">
        <f>ROUNDDOWN(IncomeLimits!AN36*0.3/12, 0)</f>
        <v>1254</v>
      </c>
      <c r="AC38" s="1009">
        <f>ROUNDDOWN(AVERAGE(IncomeLimits!AO36:'IncomeLimits'!AP36)*0.3/12,0)</f>
        <v>1448</v>
      </c>
      <c r="AD38" s="1009">
        <f>ROUNDDOWN(IncomeLimits!AQ36*0.3/12,0)</f>
        <v>1615</v>
      </c>
      <c r="AE38" s="1680">
        <f>ROUNDDOWN(AVERAGE(IncomeLimits!AR36:'IncomeLimits'!AS36)*0.3/12,0)</f>
        <v>1782</v>
      </c>
      <c r="AF38" s="65">
        <f>ROUNDDOWN(IncomeLimits!AU36*0.3/12, 0)</f>
        <v>1137</v>
      </c>
      <c r="AG38" s="1009">
        <f>ROUNDDOWN(AVERAGE(IncomeLimits!AU36:'IncomeLimits'!AV36)*0.3/12, 0)</f>
        <v>1218</v>
      </c>
      <c r="AH38" s="1009">
        <f>ROUNDDOWN(IncomeLimits!AW36*0.3/12, 0)</f>
        <v>1463</v>
      </c>
      <c r="AI38" s="1009">
        <f>ROUNDDOWN(AVERAGE(IncomeLimits!AX36:'IncomeLimits'!AY36)*0.3/12,0)</f>
        <v>1689</v>
      </c>
      <c r="AJ38" s="1009">
        <f>ROUNDDOWN(IncomeLimits!AZ36*0.3/12,0)</f>
        <v>1884</v>
      </c>
      <c r="AK38" s="76">
        <f>ROUNDDOWN(AVERAGE(IncomeLimits!BA36:'IncomeLimits'!BB36)*0.3/12,0)</f>
        <v>2079</v>
      </c>
      <c r="AL38" s="65">
        <f>ROUNDDOWN(IncomeLimits!BD36*0.3/12, 0)</f>
        <v>1300</v>
      </c>
      <c r="AM38" s="1009">
        <f>ROUNDDOWN(AVERAGE(IncomeLimits!BD36:'IncomeLimits'!BE36)*0.3/12, 0)</f>
        <v>1393</v>
      </c>
      <c r="AN38" s="1009">
        <f>ROUNDDOWN(IncomeLimits!BF36*0.3/12, 0)</f>
        <v>1672</v>
      </c>
      <c r="AO38" s="1009">
        <f>ROUNDDOWN(AVERAGE(IncomeLimits!BG36:'IncomeLimits'!BH36)*0.3/12,0)</f>
        <v>1931</v>
      </c>
      <c r="AP38" s="1009">
        <f>ROUNDDOWN(IncomeLimits!BI36*0.3/12,0)</f>
        <v>2154</v>
      </c>
      <c r="AQ38" s="76">
        <f>ROUNDDOWN(AVERAGE(IncomeLimits!BJ36:'IncomeLimits'!BK36)*0.3/12,0)</f>
        <v>2376</v>
      </c>
    </row>
    <row r="39" spans="1:43">
      <c r="A39" s="77" t="s">
        <v>447</v>
      </c>
      <c r="B39" s="75">
        <f>ROUNDDOWN(IncomeLimits!B37*0.3/12, 0)</f>
        <v>332</v>
      </c>
      <c r="C39" s="1009">
        <f>ROUNDDOWN(AVERAGE(IncomeLimits!B37:C37)*0.3/12, 0)</f>
        <v>356</v>
      </c>
      <c r="D39" s="1009">
        <f>ROUNDDOWN(IncomeLimits!D37*0.3/12, 0)</f>
        <v>427</v>
      </c>
      <c r="E39" s="1009">
        <f>ROUNDDOWN(AVERAGE(IncomeLimits!E37:'IncomeLimits'!F37)*0.3/12,0)</f>
        <v>494</v>
      </c>
      <c r="F39" s="1009">
        <f>ROUNDDOWN(IncomeLimits!G37*0.3/12,0)</f>
        <v>551</v>
      </c>
      <c r="G39" s="66">
        <f>ROUNDDOWN(AVERAGE(IncomeLimits!H37:'IncomeLimits'!I37)*0.3/12,0)</f>
        <v>608</v>
      </c>
      <c r="H39" s="75">
        <f>ROUNDDOWN(IncomeLimits!K37*0.3/12, 0)</f>
        <v>498</v>
      </c>
      <c r="I39" s="1009">
        <f>ROUNDDOWN(AVERAGE(IncomeLimits!K37:'IncomeLimits'!L37)*0.3/12, 0)</f>
        <v>534</v>
      </c>
      <c r="J39" s="1009">
        <f>ROUNDDOWN(IncomeLimits!M37*0.3/12, 0)</f>
        <v>641</v>
      </c>
      <c r="K39" s="1009">
        <f>ROUNDDOWN(AVERAGE(IncomeLimits!N37:'IncomeLimits'!O37)*0.3/12,0)</f>
        <v>741</v>
      </c>
      <c r="L39" s="1009">
        <f>ROUNDDOWN(IncomeLimits!P37*0.3/12,0)</f>
        <v>826</v>
      </c>
      <c r="M39" s="76">
        <f>ROUNDDOWN(AVERAGE(IncomeLimits!Q37:'IncomeLimits'!R37)*0.3/12,0)</f>
        <v>912</v>
      </c>
      <c r="N39" s="65">
        <f>ROUNDDOWN(IncomeLimits!T37*0.3/12, 0)</f>
        <v>665</v>
      </c>
      <c r="O39" s="1009">
        <f>ROUNDDOWN(AVERAGE(IncomeLimits!T37:'IncomeLimits'!U37)*0.3/12, 0)</f>
        <v>712</v>
      </c>
      <c r="P39" s="1009">
        <f>ROUNDDOWN(IncomeLimits!V37*0.3/12, 0)</f>
        <v>855</v>
      </c>
      <c r="Q39" s="1009">
        <f>ROUNDDOWN(AVERAGE(IncomeLimits!W37:'IncomeLimits'!X37)*0.3/12,0)</f>
        <v>988</v>
      </c>
      <c r="R39" s="1009">
        <f>ROUNDDOWN(IncomeLimits!Y37*0.3/12,0)</f>
        <v>1102</v>
      </c>
      <c r="S39" s="66">
        <f>ROUNDDOWN(AVERAGE(IncomeLimits!Z37:'IncomeLimits'!AA37)*0.3/12,0)</f>
        <v>1216</v>
      </c>
      <c r="T39" s="66">
        <f>ROUNDDOWN(IncomeLimits!AC37*0.3/12, 0)</f>
        <v>831</v>
      </c>
      <c r="U39" s="66">
        <f>ROUNDDOWN(AVERAGE(IncomeLimits!AC37:'IncomeLimits'!AD37)*0.3/12,0)</f>
        <v>890</v>
      </c>
      <c r="V39" s="66">
        <f>ROUNDDOWN(IncomeLimits!AE37*0.3/12, 0)</f>
        <v>1068</v>
      </c>
      <c r="W39" s="66">
        <f>ROUNDDOWN(AVERAGE(IncomeLimits!AF37:'IncomeLimits'!AG37)*0.3/12,0)</f>
        <v>1235</v>
      </c>
      <c r="X39" s="66">
        <f>ROUNDDOWN(IncomeLimits!AH37*0.3/12,0)</f>
        <v>1377</v>
      </c>
      <c r="Y39" s="66">
        <f>ROUNDDOWN(AVERAGE(IncomeLimits!AI37:'IncomeLimits'!AJ37)*0.3/12,0)</f>
        <v>1520</v>
      </c>
      <c r="Z39" s="1679">
        <f>ROUNDDOWN(IncomeLimits!AL37*0.3/12, 0)</f>
        <v>997</v>
      </c>
      <c r="AA39" s="1009">
        <f>ROUNDDOWN(AVERAGE(IncomeLimits!AL37:'IncomeLimits'!AM37)*0.3/12, 0)</f>
        <v>1068</v>
      </c>
      <c r="AB39" s="1009">
        <f>ROUNDDOWN(IncomeLimits!AN37*0.3/12, 0)</f>
        <v>1282</v>
      </c>
      <c r="AC39" s="1009">
        <f>ROUNDDOWN(AVERAGE(IncomeLimits!AO37:'IncomeLimits'!AP37)*0.3/12,0)</f>
        <v>1482</v>
      </c>
      <c r="AD39" s="1009">
        <f>ROUNDDOWN(IncomeLimits!AQ37*0.3/12,0)</f>
        <v>1653</v>
      </c>
      <c r="AE39" s="1680">
        <f>ROUNDDOWN(AVERAGE(IncomeLimits!AR37:'IncomeLimits'!AS37)*0.3/12,0)</f>
        <v>1824</v>
      </c>
      <c r="AF39" s="65">
        <f>ROUNDDOWN(IncomeLimits!AU37*0.3/12, 0)</f>
        <v>1163</v>
      </c>
      <c r="AG39" s="1009">
        <f>ROUNDDOWN(AVERAGE(IncomeLimits!AU37:'IncomeLimits'!AV37)*0.3/12, 0)</f>
        <v>1246</v>
      </c>
      <c r="AH39" s="1009">
        <f>ROUNDDOWN(IncomeLimits!AW37*0.3/12, 0)</f>
        <v>1496</v>
      </c>
      <c r="AI39" s="1009">
        <f>ROUNDDOWN(AVERAGE(IncomeLimits!AX37:'IncomeLimits'!AY37)*0.3/12,0)</f>
        <v>1729</v>
      </c>
      <c r="AJ39" s="1009">
        <f>ROUNDDOWN(IncomeLimits!AZ37*0.3/12,0)</f>
        <v>1928</v>
      </c>
      <c r="AK39" s="76">
        <f>ROUNDDOWN(AVERAGE(IncomeLimits!BA37:'IncomeLimits'!BB37)*0.3/12,0)</f>
        <v>2128</v>
      </c>
      <c r="AL39" s="65">
        <f>ROUNDDOWN(IncomeLimits!BD37*0.3/12, 0)</f>
        <v>1330</v>
      </c>
      <c r="AM39" s="1009">
        <f>ROUNDDOWN(AVERAGE(IncomeLimits!BD37:'IncomeLimits'!BE37)*0.3/12, 0)</f>
        <v>1425</v>
      </c>
      <c r="AN39" s="1009">
        <f>ROUNDDOWN(IncomeLimits!BF37*0.3/12, 0)</f>
        <v>1710</v>
      </c>
      <c r="AO39" s="1009">
        <f>ROUNDDOWN(AVERAGE(IncomeLimits!BG37:'IncomeLimits'!BH37)*0.3/12,0)</f>
        <v>1976</v>
      </c>
      <c r="AP39" s="1009">
        <f>ROUNDDOWN(IncomeLimits!BI37*0.3/12,0)</f>
        <v>2204</v>
      </c>
      <c r="AQ39" s="76">
        <f>ROUNDDOWN(AVERAGE(IncomeLimits!BJ37:'IncomeLimits'!BK37)*0.3/12,0)</f>
        <v>2432</v>
      </c>
    </row>
    <row r="40" spans="1:43">
      <c r="A40" s="77" t="s">
        <v>449</v>
      </c>
      <c r="B40" s="75">
        <f>ROUNDDOWN(IncomeLimits!B38*0.3/12, 0)</f>
        <v>331</v>
      </c>
      <c r="C40" s="1009">
        <f>ROUNDDOWN(AVERAGE(IncomeLimits!B38:C38)*0.3/12, 0)</f>
        <v>354</v>
      </c>
      <c r="D40" s="1009">
        <f>ROUNDDOWN(IncomeLimits!D38*0.3/12, 0)</f>
        <v>425</v>
      </c>
      <c r="E40" s="1009">
        <f>ROUNDDOWN(AVERAGE(IncomeLimits!E38:'IncomeLimits'!F38)*0.3/12,0)</f>
        <v>491</v>
      </c>
      <c r="F40" s="1009">
        <f>ROUNDDOWN(IncomeLimits!G38*0.3/12,0)</f>
        <v>548</v>
      </c>
      <c r="G40" s="66">
        <f>ROUNDDOWN(AVERAGE(IncomeLimits!H38:'IncomeLimits'!I38)*0.3/12,0)</f>
        <v>605</v>
      </c>
      <c r="H40" s="75">
        <f>ROUNDDOWN(IncomeLimits!K38*0.3/12, 0)</f>
        <v>496</v>
      </c>
      <c r="I40" s="1009">
        <f>ROUNDDOWN(AVERAGE(IncomeLimits!K38:'IncomeLimits'!L38)*0.3/12, 0)</f>
        <v>531</v>
      </c>
      <c r="J40" s="1009">
        <f>ROUNDDOWN(IncomeLimits!M38*0.3/12, 0)</f>
        <v>638</v>
      </c>
      <c r="K40" s="1009">
        <f>ROUNDDOWN(AVERAGE(IncomeLimits!N38:'IncomeLimits'!O38)*0.3/12,0)</f>
        <v>737</v>
      </c>
      <c r="L40" s="1009">
        <f>ROUNDDOWN(IncomeLimits!P38*0.3/12,0)</f>
        <v>822</v>
      </c>
      <c r="M40" s="76">
        <f>ROUNDDOWN(AVERAGE(IncomeLimits!Q38:'IncomeLimits'!R38)*0.3/12,0)</f>
        <v>907</v>
      </c>
      <c r="N40" s="65">
        <f>ROUNDDOWN(IncomeLimits!T38*0.3/12, 0)</f>
        <v>662</v>
      </c>
      <c r="O40" s="1009">
        <f>ROUNDDOWN(AVERAGE(IncomeLimits!T38:'IncomeLimits'!U38)*0.3/12, 0)</f>
        <v>709</v>
      </c>
      <c r="P40" s="1009">
        <f>ROUNDDOWN(IncomeLimits!V38*0.3/12, 0)</f>
        <v>851</v>
      </c>
      <c r="Q40" s="1009">
        <f>ROUNDDOWN(AVERAGE(IncomeLimits!W38:'IncomeLimits'!X38)*0.3/12,0)</f>
        <v>983</v>
      </c>
      <c r="R40" s="1009">
        <f>ROUNDDOWN(IncomeLimits!Y38*0.3/12,0)</f>
        <v>1097</v>
      </c>
      <c r="S40" s="66">
        <f>ROUNDDOWN(AVERAGE(IncomeLimits!Z38:'IncomeLimits'!AA38)*0.3/12,0)</f>
        <v>1210</v>
      </c>
      <c r="T40" s="66">
        <f>ROUNDDOWN(IncomeLimits!AC38*0.3/12, 0)</f>
        <v>827</v>
      </c>
      <c r="U40" s="66">
        <f>ROUNDDOWN(AVERAGE(IncomeLimits!AC38:'IncomeLimits'!AD38)*0.3/12,0)</f>
        <v>886</v>
      </c>
      <c r="V40" s="66">
        <f>ROUNDDOWN(IncomeLimits!AE38*0.3/12, 0)</f>
        <v>1063</v>
      </c>
      <c r="W40" s="66">
        <f>ROUNDDOWN(AVERAGE(IncomeLimits!AF38:'IncomeLimits'!AG38)*0.3/12,0)</f>
        <v>1228</v>
      </c>
      <c r="X40" s="66">
        <f>ROUNDDOWN(IncomeLimits!AH38*0.3/12,0)</f>
        <v>1371</v>
      </c>
      <c r="Y40" s="66">
        <f>ROUNDDOWN(AVERAGE(IncomeLimits!AI38:'IncomeLimits'!AJ38)*0.3/12,0)</f>
        <v>1512</v>
      </c>
      <c r="Z40" s="1679">
        <f>ROUNDDOWN(IncomeLimits!AL38*0.3/12, 0)</f>
        <v>993</v>
      </c>
      <c r="AA40" s="1009">
        <f>ROUNDDOWN(AVERAGE(IncomeLimits!AL38:'IncomeLimits'!AM38)*0.3/12, 0)</f>
        <v>1063</v>
      </c>
      <c r="AB40" s="1009">
        <f>ROUNDDOWN(IncomeLimits!AN38*0.3/12, 0)</f>
        <v>1276</v>
      </c>
      <c r="AC40" s="1009">
        <f>ROUNDDOWN(AVERAGE(IncomeLimits!AO38:'IncomeLimits'!AP38)*0.3/12,0)</f>
        <v>1474</v>
      </c>
      <c r="AD40" s="1009">
        <f>ROUNDDOWN(IncomeLimits!AQ38*0.3/12,0)</f>
        <v>1645</v>
      </c>
      <c r="AE40" s="1680">
        <f>ROUNDDOWN(AVERAGE(IncomeLimits!AR38:'IncomeLimits'!AS38)*0.3/12,0)</f>
        <v>1815</v>
      </c>
      <c r="AF40" s="65">
        <f>ROUNDDOWN(IncomeLimits!AU38*0.3/12, 0)</f>
        <v>1158</v>
      </c>
      <c r="AG40" s="1009">
        <f>ROUNDDOWN(AVERAGE(IncomeLimits!AU38:'IncomeLimits'!AV38)*0.3/12, 0)</f>
        <v>1240</v>
      </c>
      <c r="AH40" s="1009">
        <f>ROUNDDOWN(IncomeLimits!AW38*0.3/12, 0)</f>
        <v>1489</v>
      </c>
      <c r="AI40" s="1009">
        <f>ROUNDDOWN(AVERAGE(IncomeLimits!AX38:'IncomeLimits'!AY38)*0.3/12,0)</f>
        <v>1720</v>
      </c>
      <c r="AJ40" s="1009">
        <f>ROUNDDOWN(IncomeLimits!AZ38*0.3/12,0)</f>
        <v>1919</v>
      </c>
      <c r="AK40" s="76">
        <f>ROUNDDOWN(AVERAGE(IncomeLimits!BA38:'IncomeLimits'!BB38)*0.3/12,0)</f>
        <v>2117</v>
      </c>
      <c r="AL40" s="65">
        <f>ROUNDDOWN(IncomeLimits!BD38*0.3/12, 0)</f>
        <v>1324</v>
      </c>
      <c r="AM40" s="1009">
        <f>ROUNDDOWN(AVERAGE(IncomeLimits!BD38:'IncomeLimits'!BE38)*0.3/12, 0)</f>
        <v>1418</v>
      </c>
      <c r="AN40" s="1009">
        <f>ROUNDDOWN(IncomeLimits!BF38*0.3/12, 0)</f>
        <v>1702</v>
      </c>
      <c r="AO40" s="1009">
        <f>ROUNDDOWN(AVERAGE(IncomeLimits!BG38:'IncomeLimits'!BH38)*0.3/12,0)</f>
        <v>1966</v>
      </c>
      <c r="AP40" s="1009">
        <f>ROUNDDOWN(IncomeLimits!BI38*0.3/12,0)</f>
        <v>2194</v>
      </c>
      <c r="AQ40" s="76">
        <f>ROUNDDOWN(AVERAGE(IncomeLimits!BJ38:'IncomeLimits'!BK38)*0.3/12,0)</f>
        <v>2420</v>
      </c>
    </row>
    <row r="41" spans="1:43">
      <c r="A41" s="77" t="s">
        <v>399</v>
      </c>
      <c r="B41" s="75">
        <f>ROUNDDOWN(IncomeLimits!B39*0.3/12, 0)</f>
        <v>346</v>
      </c>
      <c r="C41" s="1009">
        <f>ROUNDDOWN(AVERAGE(IncomeLimits!B39:C39)*0.3/12, 0)</f>
        <v>370</v>
      </c>
      <c r="D41" s="1009">
        <f>ROUNDDOWN(IncomeLimits!D39*0.3/12, 0)</f>
        <v>445</v>
      </c>
      <c r="E41" s="1009">
        <f>ROUNDDOWN(AVERAGE(IncomeLimits!E39:'IncomeLimits'!F39)*0.3/12,0)</f>
        <v>514</v>
      </c>
      <c r="F41" s="1009">
        <f>ROUNDDOWN(IncomeLimits!G39*0.3/12,0)</f>
        <v>573</v>
      </c>
      <c r="G41" s="66">
        <f>ROUNDDOWN(AVERAGE(IncomeLimits!H39:'IncomeLimits'!I39)*0.3/12,0)</f>
        <v>632</v>
      </c>
      <c r="H41" s="75">
        <f>ROUNDDOWN(IncomeLimits!K39*0.3/12, 0)</f>
        <v>519</v>
      </c>
      <c r="I41" s="1009">
        <f>ROUNDDOWN(AVERAGE(IncomeLimits!K39:'IncomeLimits'!L39)*0.3/12, 0)</f>
        <v>556</v>
      </c>
      <c r="J41" s="1009">
        <f>ROUNDDOWN(IncomeLimits!M39*0.3/12, 0)</f>
        <v>667</v>
      </c>
      <c r="K41" s="1009">
        <f>ROUNDDOWN(AVERAGE(IncomeLimits!N39:'IncomeLimits'!O39)*0.3/12,0)</f>
        <v>771</v>
      </c>
      <c r="L41" s="1009">
        <f>ROUNDDOWN(IncomeLimits!P39*0.3/12,0)</f>
        <v>860</v>
      </c>
      <c r="M41" s="76">
        <f>ROUNDDOWN(AVERAGE(IncomeLimits!Q39:'IncomeLimits'!R39)*0.3/12,0)</f>
        <v>949</v>
      </c>
      <c r="N41" s="65">
        <f>ROUNDDOWN(IncomeLimits!T39*0.3/12, 0)</f>
        <v>692</v>
      </c>
      <c r="O41" s="1009">
        <f>ROUNDDOWN(AVERAGE(IncomeLimits!T39:'IncomeLimits'!U39)*0.3/12, 0)</f>
        <v>741</v>
      </c>
      <c r="P41" s="1009">
        <f>ROUNDDOWN(IncomeLimits!V39*0.3/12, 0)</f>
        <v>890</v>
      </c>
      <c r="Q41" s="1009">
        <f>ROUNDDOWN(AVERAGE(IncomeLimits!W39:'IncomeLimits'!X39)*0.3/12,0)</f>
        <v>1028</v>
      </c>
      <c r="R41" s="1009">
        <f>ROUNDDOWN(IncomeLimits!Y39*0.3/12,0)</f>
        <v>1147</v>
      </c>
      <c r="S41" s="66">
        <f>ROUNDDOWN(AVERAGE(IncomeLimits!Z39:'IncomeLimits'!AA39)*0.3/12,0)</f>
        <v>1265</v>
      </c>
      <c r="T41" s="66">
        <f>ROUNDDOWN(IncomeLimits!AC39*0.3/12, 0)</f>
        <v>865</v>
      </c>
      <c r="U41" s="66">
        <f>ROUNDDOWN(AVERAGE(IncomeLimits!AC39:'IncomeLimits'!AD39)*0.3/12,0)</f>
        <v>926</v>
      </c>
      <c r="V41" s="66">
        <f>ROUNDDOWN(IncomeLimits!AE39*0.3/12, 0)</f>
        <v>1112</v>
      </c>
      <c r="W41" s="66">
        <f>ROUNDDOWN(AVERAGE(IncomeLimits!AF39:'IncomeLimits'!AG39)*0.3/12,0)</f>
        <v>1285</v>
      </c>
      <c r="X41" s="66">
        <f>ROUNDDOWN(IncomeLimits!AH39*0.3/12,0)</f>
        <v>1433</v>
      </c>
      <c r="Y41" s="66">
        <f>ROUNDDOWN(AVERAGE(IncomeLimits!AI39:'IncomeLimits'!AJ39)*0.3/12,0)</f>
        <v>1581</v>
      </c>
      <c r="Z41" s="1679">
        <f>ROUNDDOWN(IncomeLimits!AL39*0.3/12, 0)</f>
        <v>1038</v>
      </c>
      <c r="AA41" s="1009">
        <f>ROUNDDOWN(AVERAGE(IncomeLimits!AL39:'IncomeLimits'!AM39)*0.3/12, 0)</f>
        <v>1112</v>
      </c>
      <c r="AB41" s="1009">
        <f>ROUNDDOWN(IncomeLimits!AN39*0.3/12, 0)</f>
        <v>1335</v>
      </c>
      <c r="AC41" s="1009">
        <f>ROUNDDOWN(AVERAGE(IncomeLimits!AO39:'IncomeLimits'!AP39)*0.3/12,0)</f>
        <v>1542</v>
      </c>
      <c r="AD41" s="1009">
        <f>ROUNDDOWN(IncomeLimits!AQ39*0.3/12,0)</f>
        <v>1720</v>
      </c>
      <c r="AE41" s="1680">
        <f>ROUNDDOWN(AVERAGE(IncomeLimits!AR39:'IncomeLimits'!AS39)*0.3/12,0)</f>
        <v>1898</v>
      </c>
      <c r="AF41" s="65">
        <f>ROUNDDOWN(IncomeLimits!AU39*0.3/12, 0)</f>
        <v>1211</v>
      </c>
      <c r="AG41" s="1009">
        <f>ROUNDDOWN(AVERAGE(IncomeLimits!AU39:'IncomeLimits'!AV39)*0.3/12, 0)</f>
        <v>1297</v>
      </c>
      <c r="AH41" s="1009">
        <f>ROUNDDOWN(IncomeLimits!AW39*0.3/12, 0)</f>
        <v>1557</v>
      </c>
      <c r="AI41" s="1009">
        <f>ROUNDDOWN(AVERAGE(IncomeLimits!AX39:'IncomeLimits'!AY39)*0.3/12,0)</f>
        <v>1799</v>
      </c>
      <c r="AJ41" s="1009">
        <f>ROUNDDOWN(IncomeLimits!AZ39*0.3/12,0)</f>
        <v>2007</v>
      </c>
      <c r="AK41" s="76">
        <f>ROUNDDOWN(AVERAGE(IncomeLimits!BA39:'IncomeLimits'!BB39)*0.3/12,0)</f>
        <v>2214</v>
      </c>
      <c r="AL41" s="65">
        <f>ROUNDDOWN(IncomeLimits!BD39*0.3/12, 0)</f>
        <v>1384</v>
      </c>
      <c r="AM41" s="1009">
        <f>ROUNDDOWN(AVERAGE(IncomeLimits!BD39:'IncomeLimits'!BE39)*0.3/12, 0)</f>
        <v>1483</v>
      </c>
      <c r="AN41" s="1009">
        <f>ROUNDDOWN(IncomeLimits!BF39*0.3/12, 0)</f>
        <v>1780</v>
      </c>
      <c r="AO41" s="1009">
        <f>ROUNDDOWN(AVERAGE(IncomeLimits!BG39:'IncomeLimits'!BH39)*0.3/12,0)</f>
        <v>2056</v>
      </c>
      <c r="AP41" s="1009">
        <f>ROUNDDOWN(IncomeLimits!BI39*0.3/12,0)</f>
        <v>2294</v>
      </c>
      <c r="AQ41" s="76">
        <f>ROUNDDOWN(AVERAGE(IncomeLimits!BJ39:'IncomeLimits'!BK39)*0.3/12,0)</f>
        <v>2531</v>
      </c>
    </row>
    <row r="42" spans="1:43">
      <c r="A42" s="77" t="s">
        <v>452</v>
      </c>
      <c r="B42" s="75">
        <f>ROUNDDOWN(IncomeLimits!B40*0.3/12, 0)</f>
        <v>325</v>
      </c>
      <c r="C42" s="1009">
        <f>ROUNDDOWN(AVERAGE(IncomeLimits!B40:C40)*0.3/12, 0)</f>
        <v>348</v>
      </c>
      <c r="D42" s="1009">
        <f>ROUNDDOWN(IncomeLimits!D40*0.3/12, 0)</f>
        <v>418</v>
      </c>
      <c r="E42" s="1009">
        <f>ROUNDDOWN(AVERAGE(IncomeLimits!E40:'IncomeLimits'!F40)*0.3/12,0)</f>
        <v>482</v>
      </c>
      <c r="F42" s="1009">
        <f>ROUNDDOWN(IncomeLimits!G40*0.3/12,0)</f>
        <v>538</v>
      </c>
      <c r="G42" s="66">
        <f>ROUNDDOWN(AVERAGE(IncomeLimits!H40:'IncomeLimits'!I40)*0.3/12,0)</f>
        <v>594</v>
      </c>
      <c r="H42" s="75">
        <f>ROUNDDOWN(IncomeLimits!K40*0.3/12, 0)</f>
        <v>487</v>
      </c>
      <c r="I42" s="1009">
        <f>ROUNDDOWN(AVERAGE(IncomeLimits!K40:'IncomeLimits'!L40)*0.3/12, 0)</f>
        <v>522</v>
      </c>
      <c r="J42" s="1009">
        <f>ROUNDDOWN(IncomeLimits!M40*0.3/12, 0)</f>
        <v>627</v>
      </c>
      <c r="K42" s="1009">
        <f>ROUNDDOWN(AVERAGE(IncomeLimits!N40:'IncomeLimits'!O40)*0.3/12,0)</f>
        <v>724</v>
      </c>
      <c r="L42" s="1009">
        <f>ROUNDDOWN(IncomeLimits!P40*0.3/12,0)</f>
        <v>807</v>
      </c>
      <c r="M42" s="76">
        <f>ROUNDDOWN(AVERAGE(IncomeLimits!Q40:'IncomeLimits'!R40)*0.3/12,0)</f>
        <v>891</v>
      </c>
      <c r="N42" s="65">
        <f>ROUNDDOWN(IncomeLimits!T40*0.3/12, 0)</f>
        <v>650</v>
      </c>
      <c r="O42" s="1009">
        <f>ROUNDDOWN(AVERAGE(IncomeLimits!T40:'IncomeLimits'!U40)*0.3/12, 0)</f>
        <v>696</v>
      </c>
      <c r="P42" s="1009">
        <f>ROUNDDOWN(IncomeLimits!V40*0.3/12, 0)</f>
        <v>836</v>
      </c>
      <c r="Q42" s="1009">
        <f>ROUNDDOWN(AVERAGE(IncomeLimits!W40:'IncomeLimits'!X40)*0.3/12,0)</f>
        <v>965</v>
      </c>
      <c r="R42" s="1009">
        <f>ROUNDDOWN(IncomeLimits!Y40*0.3/12,0)</f>
        <v>1077</v>
      </c>
      <c r="S42" s="66">
        <f>ROUNDDOWN(AVERAGE(IncomeLimits!Z40:'IncomeLimits'!AA40)*0.3/12,0)</f>
        <v>1188</v>
      </c>
      <c r="T42" s="66">
        <f>ROUNDDOWN(IncomeLimits!AC40*0.3/12, 0)</f>
        <v>812</v>
      </c>
      <c r="U42" s="66">
        <f>ROUNDDOWN(AVERAGE(IncomeLimits!AC40:'IncomeLimits'!AD40)*0.3/12,0)</f>
        <v>870</v>
      </c>
      <c r="V42" s="66">
        <f>ROUNDDOWN(IncomeLimits!AE40*0.3/12, 0)</f>
        <v>1045</v>
      </c>
      <c r="W42" s="66">
        <f>ROUNDDOWN(AVERAGE(IncomeLimits!AF40:'IncomeLimits'!AG40)*0.3/12,0)</f>
        <v>1206</v>
      </c>
      <c r="X42" s="66">
        <f>ROUNDDOWN(IncomeLimits!AH40*0.3/12,0)</f>
        <v>1346</v>
      </c>
      <c r="Y42" s="66">
        <f>ROUNDDOWN(AVERAGE(IncomeLimits!AI40:'IncomeLimits'!AJ40)*0.3/12,0)</f>
        <v>1485</v>
      </c>
      <c r="Z42" s="1679">
        <f>ROUNDDOWN(IncomeLimits!AL40*0.3/12, 0)</f>
        <v>975</v>
      </c>
      <c r="AA42" s="1009">
        <f>ROUNDDOWN(AVERAGE(IncomeLimits!AL40:'IncomeLimits'!AM40)*0.3/12, 0)</f>
        <v>1044</v>
      </c>
      <c r="AB42" s="1009">
        <f>ROUNDDOWN(IncomeLimits!AN40*0.3/12, 0)</f>
        <v>1254</v>
      </c>
      <c r="AC42" s="1009">
        <f>ROUNDDOWN(AVERAGE(IncomeLimits!AO40:'IncomeLimits'!AP40)*0.3/12,0)</f>
        <v>1448</v>
      </c>
      <c r="AD42" s="1009">
        <f>ROUNDDOWN(IncomeLimits!AQ40*0.3/12,0)</f>
        <v>1615</v>
      </c>
      <c r="AE42" s="1680">
        <f>ROUNDDOWN(AVERAGE(IncomeLimits!AR40:'IncomeLimits'!AS40)*0.3/12,0)</f>
        <v>1782</v>
      </c>
      <c r="AF42" s="65">
        <f>ROUNDDOWN(IncomeLimits!AU40*0.3/12, 0)</f>
        <v>1137</v>
      </c>
      <c r="AG42" s="1009">
        <f>ROUNDDOWN(AVERAGE(IncomeLimits!AU40:'IncomeLimits'!AV40)*0.3/12, 0)</f>
        <v>1218</v>
      </c>
      <c r="AH42" s="1009">
        <f>ROUNDDOWN(IncomeLimits!AW40*0.3/12, 0)</f>
        <v>1463</v>
      </c>
      <c r="AI42" s="1009">
        <f>ROUNDDOWN(AVERAGE(IncomeLimits!AX40:'IncomeLimits'!AY40)*0.3/12,0)</f>
        <v>1689</v>
      </c>
      <c r="AJ42" s="1009">
        <f>ROUNDDOWN(IncomeLimits!AZ40*0.3/12,0)</f>
        <v>1884</v>
      </c>
      <c r="AK42" s="76">
        <f>ROUNDDOWN(AVERAGE(IncomeLimits!BA40:'IncomeLimits'!BB40)*0.3/12,0)</f>
        <v>2079</v>
      </c>
      <c r="AL42" s="65">
        <f>ROUNDDOWN(IncomeLimits!BD40*0.3/12, 0)</f>
        <v>1300</v>
      </c>
      <c r="AM42" s="1009">
        <f>ROUNDDOWN(AVERAGE(IncomeLimits!BD40:'IncomeLimits'!BE40)*0.3/12, 0)</f>
        <v>1393</v>
      </c>
      <c r="AN42" s="1009">
        <f>ROUNDDOWN(IncomeLimits!BF40*0.3/12, 0)</f>
        <v>1672</v>
      </c>
      <c r="AO42" s="1009">
        <f>ROUNDDOWN(AVERAGE(IncomeLimits!BG40:'IncomeLimits'!BH40)*0.3/12,0)</f>
        <v>1931</v>
      </c>
      <c r="AP42" s="1009">
        <f>ROUNDDOWN(IncomeLimits!BI40*0.3/12,0)</f>
        <v>2154</v>
      </c>
      <c r="AQ42" s="76">
        <f>ROUNDDOWN(AVERAGE(IncomeLimits!BJ40:'IncomeLimits'!BK40)*0.3/12,0)</f>
        <v>2376</v>
      </c>
    </row>
    <row r="43" spans="1:43">
      <c r="A43" s="77" t="s">
        <v>454</v>
      </c>
      <c r="B43" s="75">
        <f>ROUNDDOWN(IncomeLimits!B41*0.3/12, 0)</f>
        <v>325</v>
      </c>
      <c r="C43" s="1009">
        <f>ROUNDDOWN(AVERAGE(IncomeLimits!B41:C41)*0.3/12, 0)</f>
        <v>348</v>
      </c>
      <c r="D43" s="1009">
        <f>ROUNDDOWN(IncomeLimits!D41*0.3/12, 0)</f>
        <v>418</v>
      </c>
      <c r="E43" s="1009">
        <f>ROUNDDOWN(AVERAGE(IncomeLimits!E41:'IncomeLimits'!F41)*0.3/12,0)</f>
        <v>482</v>
      </c>
      <c r="F43" s="1009">
        <f>ROUNDDOWN(IncomeLimits!G41*0.3/12,0)</f>
        <v>538</v>
      </c>
      <c r="G43" s="66">
        <f>ROUNDDOWN(AVERAGE(IncomeLimits!H41:'IncomeLimits'!I41)*0.3/12,0)</f>
        <v>594</v>
      </c>
      <c r="H43" s="75">
        <f>ROUNDDOWN(IncomeLimits!K41*0.3/12, 0)</f>
        <v>487</v>
      </c>
      <c r="I43" s="1009">
        <f>ROUNDDOWN(AVERAGE(IncomeLimits!K41:'IncomeLimits'!L41)*0.3/12, 0)</f>
        <v>522</v>
      </c>
      <c r="J43" s="1009">
        <f>ROUNDDOWN(IncomeLimits!M41*0.3/12, 0)</f>
        <v>627</v>
      </c>
      <c r="K43" s="1009">
        <f>ROUNDDOWN(AVERAGE(IncomeLimits!N41:'IncomeLimits'!O41)*0.3/12,0)</f>
        <v>724</v>
      </c>
      <c r="L43" s="1009">
        <f>ROUNDDOWN(IncomeLimits!P41*0.3/12,0)</f>
        <v>807</v>
      </c>
      <c r="M43" s="76">
        <f>ROUNDDOWN(AVERAGE(IncomeLimits!Q41:'IncomeLimits'!R41)*0.3/12,0)</f>
        <v>891</v>
      </c>
      <c r="N43" s="65">
        <f>ROUNDDOWN(IncomeLimits!T41*0.3/12, 0)</f>
        <v>650</v>
      </c>
      <c r="O43" s="1009">
        <f>ROUNDDOWN(AVERAGE(IncomeLimits!T41:'IncomeLimits'!U41)*0.3/12, 0)</f>
        <v>696</v>
      </c>
      <c r="P43" s="1009">
        <f>ROUNDDOWN(IncomeLimits!V41*0.3/12, 0)</f>
        <v>836</v>
      </c>
      <c r="Q43" s="1009">
        <f>ROUNDDOWN(AVERAGE(IncomeLimits!W41:'IncomeLimits'!X41)*0.3/12,0)</f>
        <v>965</v>
      </c>
      <c r="R43" s="1009">
        <f>ROUNDDOWN(IncomeLimits!Y41*0.3/12,0)</f>
        <v>1077</v>
      </c>
      <c r="S43" s="66">
        <f>ROUNDDOWN(AVERAGE(IncomeLimits!Z41:'IncomeLimits'!AA41)*0.3/12,0)</f>
        <v>1188</v>
      </c>
      <c r="T43" s="66">
        <f>ROUNDDOWN(IncomeLimits!AC41*0.3/12, 0)</f>
        <v>812</v>
      </c>
      <c r="U43" s="66">
        <f>ROUNDDOWN(AVERAGE(IncomeLimits!AC41:'IncomeLimits'!AD41)*0.3/12,0)</f>
        <v>870</v>
      </c>
      <c r="V43" s="66">
        <f>ROUNDDOWN(IncomeLimits!AE41*0.3/12, 0)</f>
        <v>1045</v>
      </c>
      <c r="W43" s="66">
        <f>ROUNDDOWN(AVERAGE(IncomeLimits!AF41:'IncomeLimits'!AG41)*0.3/12,0)</f>
        <v>1206</v>
      </c>
      <c r="X43" s="66">
        <f>ROUNDDOWN(IncomeLimits!AH41*0.3/12,0)</f>
        <v>1346</v>
      </c>
      <c r="Y43" s="66">
        <f>ROUNDDOWN(AVERAGE(IncomeLimits!AI41:'IncomeLimits'!AJ41)*0.3/12,0)</f>
        <v>1485</v>
      </c>
      <c r="Z43" s="1679">
        <f>ROUNDDOWN(IncomeLimits!AL41*0.3/12, 0)</f>
        <v>975</v>
      </c>
      <c r="AA43" s="1009">
        <f>ROUNDDOWN(AVERAGE(IncomeLimits!AL41:'IncomeLimits'!AM41)*0.3/12, 0)</f>
        <v>1044</v>
      </c>
      <c r="AB43" s="1009">
        <f>ROUNDDOWN(IncomeLimits!AN41*0.3/12, 0)</f>
        <v>1254</v>
      </c>
      <c r="AC43" s="1009">
        <f>ROUNDDOWN(AVERAGE(IncomeLimits!AO41:'IncomeLimits'!AP41)*0.3/12,0)</f>
        <v>1448</v>
      </c>
      <c r="AD43" s="1009">
        <f>ROUNDDOWN(IncomeLimits!AQ41*0.3/12,0)</f>
        <v>1615</v>
      </c>
      <c r="AE43" s="1680">
        <f>ROUNDDOWN(AVERAGE(IncomeLimits!AR41:'IncomeLimits'!AS41)*0.3/12,0)</f>
        <v>1782</v>
      </c>
      <c r="AF43" s="65">
        <f>ROUNDDOWN(IncomeLimits!AU41*0.3/12, 0)</f>
        <v>1137</v>
      </c>
      <c r="AG43" s="1009">
        <f>ROUNDDOWN(AVERAGE(IncomeLimits!AU41:'IncomeLimits'!AV41)*0.3/12, 0)</f>
        <v>1218</v>
      </c>
      <c r="AH43" s="1009">
        <f>ROUNDDOWN(IncomeLimits!AW41*0.3/12, 0)</f>
        <v>1463</v>
      </c>
      <c r="AI43" s="1009">
        <f>ROUNDDOWN(AVERAGE(IncomeLimits!AX41:'IncomeLimits'!AY41)*0.3/12,0)</f>
        <v>1689</v>
      </c>
      <c r="AJ43" s="1009">
        <f>ROUNDDOWN(IncomeLimits!AZ41*0.3/12,0)</f>
        <v>1884</v>
      </c>
      <c r="AK43" s="76">
        <f>ROUNDDOWN(AVERAGE(IncomeLimits!BA41:'IncomeLimits'!BB41)*0.3/12,0)</f>
        <v>2079</v>
      </c>
      <c r="AL43" s="65">
        <f>ROUNDDOWN(IncomeLimits!BD41*0.3/12, 0)</f>
        <v>1300</v>
      </c>
      <c r="AM43" s="1009">
        <f>ROUNDDOWN(AVERAGE(IncomeLimits!BD41:'IncomeLimits'!BE41)*0.3/12, 0)</f>
        <v>1393</v>
      </c>
      <c r="AN43" s="1009">
        <f>ROUNDDOWN(IncomeLimits!BF41*0.3/12, 0)</f>
        <v>1672</v>
      </c>
      <c r="AO43" s="1009">
        <f>ROUNDDOWN(AVERAGE(IncomeLimits!BG41:'IncomeLimits'!BH41)*0.3/12,0)</f>
        <v>1931</v>
      </c>
      <c r="AP43" s="1009">
        <f>ROUNDDOWN(IncomeLimits!BI41*0.3/12,0)</f>
        <v>2154</v>
      </c>
      <c r="AQ43" s="76">
        <f>ROUNDDOWN(AVERAGE(IncomeLimits!BJ41:'IncomeLimits'!BK41)*0.3/12,0)</f>
        <v>2376</v>
      </c>
    </row>
    <row r="44" spans="1:43">
      <c r="A44" s="77" t="s">
        <v>456</v>
      </c>
      <c r="B44" s="75">
        <f>ROUNDDOWN(IncomeLimits!B42*0.3/12, 0)</f>
        <v>325</v>
      </c>
      <c r="C44" s="1009">
        <f>ROUNDDOWN(AVERAGE(IncomeLimits!B42:C42)*0.3/12, 0)</f>
        <v>348</v>
      </c>
      <c r="D44" s="1009">
        <f>ROUNDDOWN(IncomeLimits!D42*0.3/12, 0)</f>
        <v>418</v>
      </c>
      <c r="E44" s="1009">
        <f>ROUNDDOWN(AVERAGE(IncomeLimits!E42:'IncomeLimits'!F42)*0.3/12,0)</f>
        <v>482</v>
      </c>
      <c r="F44" s="1009">
        <f>ROUNDDOWN(IncomeLimits!G42*0.3/12,0)</f>
        <v>538</v>
      </c>
      <c r="G44" s="66">
        <f>ROUNDDOWN(AVERAGE(IncomeLimits!H42:'IncomeLimits'!I42)*0.3/12,0)</f>
        <v>594</v>
      </c>
      <c r="H44" s="75">
        <f>ROUNDDOWN(IncomeLimits!K42*0.3/12, 0)</f>
        <v>487</v>
      </c>
      <c r="I44" s="1009">
        <f>ROUNDDOWN(AVERAGE(IncomeLimits!K42:'IncomeLimits'!L42)*0.3/12, 0)</f>
        <v>522</v>
      </c>
      <c r="J44" s="1009">
        <f>ROUNDDOWN(IncomeLimits!M42*0.3/12, 0)</f>
        <v>627</v>
      </c>
      <c r="K44" s="1009">
        <f>ROUNDDOWN(AVERAGE(IncomeLimits!N42:'IncomeLimits'!O42)*0.3/12,0)</f>
        <v>724</v>
      </c>
      <c r="L44" s="1009">
        <f>ROUNDDOWN(IncomeLimits!P42*0.3/12,0)</f>
        <v>807</v>
      </c>
      <c r="M44" s="76">
        <f>ROUNDDOWN(AVERAGE(IncomeLimits!Q42:'IncomeLimits'!R42)*0.3/12,0)</f>
        <v>891</v>
      </c>
      <c r="N44" s="65">
        <f>ROUNDDOWN(IncomeLimits!T42*0.3/12, 0)</f>
        <v>650</v>
      </c>
      <c r="O44" s="1009">
        <f>ROUNDDOWN(AVERAGE(IncomeLimits!T42:'IncomeLimits'!U42)*0.3/12, 0)</f>
        <v>696</v>
      </c>
      <c r="P44" s="1009">
        <f>ROUNDDOWN(IncomeLimits!V42*0.3/12, 0)</f>
        <v>836</v>
      </c>
      <c r="Q44" s="1009">
        <f>ROUNDDOWN(AVERAGE(IncomeLimits!W42:'IncomeLimits'!X42)*0.3/12,0)</f>
        <v>965</v>
      </c>
      <c r="R44" s="1009">
        <f>ROUNDDOWN(IncomeLimits!Y42*0.3/12,0)</f>
        <v>1077</v>
      </c>
      <c r="S44" s="66">
        <f>ROUNDDOWN(AVERAGE(IncomeLimits!Z42:'IncomeLimits'!AA42)*0.3/12,0)</f>
        <v>1188</v>
      </c>
      <c r="T44" s="66">
        <f>ROUNDDOWN(IncomeLimits!AC42*0.3/12, 0)</f>
        <v>812</v>
      </c>
      <c r="U44" s="66">
        <f>ROUNDDOWN(AVERAGE(IncomeLimits!AC42:'IncomeLimits'!AD42)*0.3/12,0)</f>
        <v>870</v>
      </c>
      <c r="V44" s="66">
        <f>ROUNDDOWN(IncomeLimits!AE42*0.3/12, 0)</f>
        <v>1045</v>
      </c>
      <c r="W44" s="66">
        <f>ROUNDDOWN(AVERAGE(IncomeLimits!AF42:'IncomeLimits'!AG42)*0.3/12,0)</f>
        <v>1206</v>
      </c>
      <c r="X44" s="66">
        <f>ROUNDDOWN(IncomeLimits!AH42*0.3/12,0)</f>
        <v>1346</v>
      </c>
      <c r="Y44" s="66">
        <f>ROUNDDOWN(AVERAGE(IncomeLimits!AI42:'IncomeLimits'!AJ42)*0.3/12,0)</f>
        <v>1485</v>
      </c>
      <c r="Z44" s="1679">
        <f>ROUNDDOWN(IncomeLimits!AL42*0.3/12, 0)</f>
        <v>975</v>
      </c>
      <c r="AA44" s="1009">
        <f>ROUNDDOWN(AVERAGE(IncomeLimits!AL42:'IncomeLimits'!AM42)*0.3/12, 0)</f>
        <v>1044</v>
      </c>
      <c r="AB44" s="1009">
        <f>ROUNDDOWN(IncomeLimits!AN42*0.3/12, 0)</f>
        <v>1254</v>
      </c>
      <c r="AC44" s="1009">
        <f>ROUNDDOWN(AVERAGE(IncomeLimits!AO42:'IncomeLimits'!AP42)*0.3/12,0)</f>
        <v>1448</v>
      </c>
      <c r="AD44" s="1009">
        <f>ROUNDDOWN(IncomeLimits!AQ42*0.3/12,0)</f>
        <v>1615</v>
      </c>
      <c r="AE44" s="1680">
        <f>ROUNDDOWN(AVERAGE(IncomeLimits!AR42:'IncomeLimits'!AS42)*0.3/12,0)</f>
        <v>1782</v>
      </c>
      <c r="AF44" s="65">
        <f>ROUNDDOWN(IncomeLimits!AU42*0.3/12, 0)</f>
        <v>1137</v>
      </c>
      <c r="AG44" s="1009">
        <f>ROUNDDOWN(AVERAGE(IncomeLimits!AU42:'IncomeLimits'!AV42)*0.3/12, 0)</f>
        <v>1218</v>
      </c>
      <c r="AH44" s="1009">
        <f>ROUNDDOWN(IncomeLimits!AW42*0.3/12, 0)</f>
        <v>1463</v>
      </c>
      <c r="AI44" s="1009">
        <f>ROUNDDOWN(AVERAGE(IncomeLimits!AX42:'IncomeLimits'!AY42)*0.3/12,0)</f>
        <v>1689</v>
      </c>
      <c r="AJ44" s="1009">
        <f>ROUNDDOWN(IncomeLimits!AZ42*0.3/12,0)</f>
        <v>1884</v>
      </c>
      <c r="AK44" s="76">
        <f>ROUNDDOWN(AVERAGE(IncomeLimits!BA42:'IncomeLimits'!BB42)*0.3/12,0)</f>
        <v>2079</v>
      </c>
      <c r="AL44" s="65">
        <f>ROUNDDOWN(IncomeLimits!BD42*0.3/12, 0)</f>
        <v>1300</v>
      </c>
      <c r="AM44" s="1009">
        <f>ROUNDDOWN(AVERAGE(IncomeLimits!BD42:'IncomeLimits'!BE42)*0.3/12, 0)</f>
        <v>1393</v>
      </c>
      <c r="AN44" s="1009">
        <f>ROUNDDOWN(IncomeLimits!BF42*0.3/12, 0)</f>
        <v>1672</v>
      </c>
      <c r="AO44" s="1009">
        <f>ROUNDDOWN(AVERAGE(IncomeLimits!BG42:'IncomeLimits'!BH42)*0.3/12,0)</f>
        <v>1931</v>
      </c>
      <c r="AP44" s="1009">
        <f>ROUNDDOWN(IncomeLimits!BI42*0.3/12,0)</f>
        <v>2154</v>
      </c>
      <c r="AQ44" s="76">
        <f>ROUNDDOWN(AVERAGE(IncomeLimits!BJ42:'IncomeLimits'!BK42)*0.3/12,0)</f>
        <v>2376</v>
      </c>
    </row>
    <row r="45" spans="1:43">
      <c r="A45" s="77" t="s">
        <v>402</v>
      </c>
      <c r="B45" s="75">
        <f>ROUNDDOWN(IncomeLimits!B43*0.3/12, 0)</f>
        <v>387</v>
      </c>
      <c r="C45" s="1009">
        <f>ROUNDDOWN(AVERAGE(IncomeLimits!B43:C43)*0.3/12, 0)</f>
        <v>415</v>
      </c>
      <c r="D45" s="1009">
        <f>ROUNDDOWN(IncomeLimits!D43*0.3/12, 0)</f>
        <v>498</v>
      </c>
      <c r="E45" s="1009">
        <f>ROUNDDOWN(AVERAGE(IncomeLimits!E43:'IncomeLimits'!F43)*0.3/12,0)</f>
        <v>575</v>
      </c>
      <c r="F45" s="1009">
        <f>ROUNDDOWN(IncomeLimits!G43*0.3/12,0)</f>
        <v>642</v>
      </c>
      <c r="G45" s="66">
        <f>ROUNDDOWN(AVERAGE(IncomeLimits!H43:'IncomeLimits'!I43)*0.3/12,0)</f>
        <v>708</v>
      </c>
      <c r="H45" s="75">
        <f>ROUNDDOWN(IncomeLimits!K43*0.3/12, 0)</f>
        <v>581</v>
      </c>
      <c r="I45" s="1009">
        <f>ROUNDDOWN(AVERAGE(IncomeLimits!K43:'IncomeLimits'!L43)*0.3/12, 0)</f>
        <v>622</v>
      </c>
      <c r="J45" s="1009">
        <f>ROUNDDOWN(IncomeLimits!M43*0.3/12, 0)</f>
        <v>747</v>
      </c>
      <c r="K45" s="1009">
        <f>ROUNDDOWN(AVERAGE(IncomeLimits!N43:'IncomeLimits'!O43)*0.3/12,0)</f>
        <v>863</v>
      </c>
      <c r="L45" s="1009">
        <f>ROUNDDOWN(IncomeLimits!P43*0.3/12,0)</f>
        <v>963</v>
      </c>
      <c r="M45" s="76">
        <f>ROUNDDOWN(AVERAGE(IncomeLimits!Q43:'IncomeLimits'!R43)*0.3/12,0)</f>
        <v>1063</v>
      </c>
      <c r="N45" s="65">
        <f>ROUNDDOWN(IncomeLimits!T43*0.3/12, 0)</f>
        <v>775</v>
      </c>
      <c r="O45" s="1009">
        <f>ROUNDDOWN(AVERAGE(IncomeLimits!T43:'IncomeLimits'!U43)*0.3/12, 0)</f>
        <v>830</v>
      </c>
      <c r="P45" s="1009">
        <f>ROUNDDOWN(IncomeLimits!V43*0.3/12, 0)</f>
        <v>997</v>
      </c>
      <c r="Q45" s="1009">
        <f>ROUNDDOWN(AVERAGE(IncomeLimits!W43:'IncomeLimits'!X43)*0.3/12,0)</f>
        <v>1151</v>
      </c>
      <c r="R45" s="1009">
        <f>ROUNDDOWN(IncomeLimits!Y43*0.3/12,0)</f>
        <v>1285</v>
      </c>
      <c r="S45" s="66">
        <f>ROUNDDOWN(AVERAGE(IncomeLimits!Z43:'IncomeLimits'!AA43)*0.3/12,0)</f>
        <v>1417</v>
      </c>
      <c r="T45" s="66">
        <f>ROUNDDOWN(IncomeLimits!AC43*0.3/12, 0)</f>
        <v>968</v>
      </c>
      <c r="U45" s="66">
        <f>ROUNDDOWN(AVERAGE(IncomeLimits!AC43:'IncomeLimits'!AD43)*0.3/12,0)</f>
        <v>1038</v>
      </c>
      <c r="V45" s="66">
        <f>ROUNDDOWN(IncomeLimits!AE43*0.3/12, 0)</f>
        <v>1246</v>
      </c>
      <c r="W45" s="66">
        <f>ROUNDDOWN(AVERAGE(IncomeLimits!AF43:'IncomeLimits'!AG43)*0.3/12,0)</f>
        <v>1439</v>
      </c>
      <c r="X45" s="66">
        <f>ROUNDDOWN(IncomeLimits!AH43*0.3/12,0)</f>
        <v>1606</v>
      </c>
      <c r="Y45" s="66">
        <f>ROUNDDOWN(AVERAGE(IncomeLimits!AI43:'IncomeLimits'!AJ43)*0.3/12,0)</f>
        <v>1771</v>
      </c>
      <c r="Z45" s="1679">
        <f>ROUNDDOWN(IncomeLimits!AL43*0.3/12, 0)</f>
        <v>1162</v>
      </c>
      <c r="AA45" s="1009">
        <f>ROUNDDOWN(AVERAGE(IncomeLimits!AL43:'IncomeLimits'!AM43)*0.3/12, 0)</f>
        <v>1245</v>
      </c>
      <c r="AB45" s="1009">
        <f>ROUNDDOWN(IncomeLimits!AN43*0.3/12, 0)</f>
        <v>1495</v>
      </c>
      <c r="AC45" s="1009">
        <f>ROUNDDOWN(AVERAGE(IncomeLimits!AO43:'IncomeLimits'!AP43)*0.3/12,0)</f>
        <v>1727</v>
      </c>
      <c r="AD45" s="1009">
        <f>ROUNDDOWN(IncomeLimits!AQ43*0.3/12,0)</f>
        <v>1927</v>
      </c>
      <c r="AE45" s="1680">
        <f>ROUNDDOWN(AVERAGE(IncomeLimits!AR43:'IncomeLimits'!AS43)*0.3/12,0)</f>
        <v>2126</v>
      </c>
      <c r="AF45" s="65">
        <f>ROUNDDOWN(IncomeLimits!AU43*0.3/12, 0)</f>
        <v>1356</v>
      </c>
      <c r="AG45" s="1009">
        <f>ROUNDDOWN(AVERAGE(IncomeLimits!AU43:'IncomeLimits'!AV43)*0.3/12, 0)</f>
        <v>1453</v>
      </c>
      <c r="AH45" s="1009">
        <f>ROUNDDOWN(IncomeLimits!AW43*0.3/12, 0)</f>
        <v>1744</v>
      </c>
      <c r="AI45" s="1009">
        <f>ROUNDDOWN(AVERAGE(IncomeLimits!AX43:'IncomeLimits'!AY43)*0.3/12,0)</f>
        <v>2015</v>
      </c>
      <c r="AJ45" s="1009">
        <f>ROUNDDOWN(IncomeLimits!AZ43*0.3/12,0)</f>
        <v>2248</v>
      </c>
      <c r="AK45" s="76">
        <f>ROUNDDOWN(AVERAGE(IncomeLimits!BA43:'IncomeLimits'!BB43)*0.3/12,0)</f>
        <v>2480</v>
      </c>
      <c r="AL45" s="65">
        <f>ROUNDDOWN(IncomeLimits!BD43*0.3/12, 0)</f>
        <v>1550</v>
      </c>
      <c r="AM45" s="1009">
        <f>ROUNDDOWN(AVERAGE(IncomeLimits!BD43:'IncomeLimits'!BE43)*0.3/12, 0)</f>
        <v>1661</v>
      </c>
      <c r="AN45" s="1009">
        <f>ROUNDDOWN(IncomeLimits!BF43*0.3/12, 0)</f>
        <v>1994</v>
      </c>
      <c r="AO45" s="1009">
        <f>ROUNDDOWN(AVERAGE(IncomeLimits!BG43:'IncomeLimits'!BH43)*0.3/12,0)</f>
        <v>2303</v>
      </c>
      <c r="AP45" s="1009">
        <f>ROUNDDOWN(IncomeLimits!BI43*0.3/12,0)</f>
        <v>2570</v>
      </c>
      <c r="AQ45" s="76">
        <f>ROUNDDOWN(AVERAGE(IncomeLimits!BJ43:'IncomeLimits'!BK43)*0.3/12,0)</f>
        <v>2835</v>
      </c>
    </row>
    <row r="46" spans="1:43">
      <c r="A46" s="77" t="s">
        <v>459</v>
      </c>
      <c r="B46" s="75">
        <f>ROUNDDOWN(IncomeLimits!B44*0.3/12, 0)</f>
        <v>325</v>
      </c>
      <c r="C46" s="1009">
        <f>ROUNDDOWN(AVERAGE(IncomeLimits!B44:C44)*0.3/12, 0)</f>
        <v>348</v>
      </c>
      <c r="D46" s="1009">
        <f>ROUNDDOWN(IncomeLimits!D44*0.3/12, 0)</f>
        <v>418</v>
      </c>
      <c r="E46" s="1009">
        <f>ROUNDDOWN(AVERAGE(IncomeLimits!E44:'IncomeLimits'!F44)*0.3/12,0)</f>
        <v>482</v>
      </c>
      <c r="F46" s="1009">
        <f>ROUNDDOWN(IncomeLimits!G44*0.3/12,0)</f>
        <v>538</v>
      </c>
      <c r="G46" s="66">
        <f>ROUNDDOWN(AVERAGE(IncomeLimits!H44:'IncomeLimits'!I44)*0.3/12,0)</f>
        <v>594</v>
      </c>
      <c r="H46" s="75">
        <f>ROUNDDOWN(IncomeLimits!K44*0.3/12, 0)</f>
        <v>487</v>
      </c>
      <c r="I46" s="1009">
        <f>ROUNDDOWN(AVERAGE(IncomeLimits!K44:'IncomeLimits'!L44)*0.3/12, 0)</f>
        <v>522</v>
      </c>
      <c r="J46" s="1009">
        <f>ROUNDDOWN(IncomeLimits!M44*0.3/12, 0)</f>
        <v>627</v>
      </c>
      <c r="K46" s="1009">
        <f>ROUNDDOWN(AVERAGE(IncomeLimits!N44:'IncomeLimits'!O44)*0.3/12,0)</f>
        <v>724</v>
      </c>
      <c r="L46" s="1009">
        <f>ROUNDDOWN(IncomeLimits!P44*0.3/12,0)</f>
        <v>807</v>
      </c>
      <c r="M46" s="76">
        <f>ROUNDDOWN(AVERAGE(IncomeLimits!Q44:'IncomeLimits'!R44)*0.3/12,0)</f>
        <v>891</v>
      </c>
      <c r="N46" s="65">
        <f>ROUNDDOWN(IncomeLimits!T44*0.3/12, 0)</f>
        <v>650</v>
      </c>
      <c r="O46" s="1009">
        <f>ROUNDDOWN(AVERAGE(IncomeLimits!T44:'IncomeLimits'!U44)*0.3/12, 0)</f>
        <v>696</v>
      </c>
      <c r="P46" s="1009">
        <f>ROUNDDOWN(IncomeLimits!V44*0.3/12, 0)</f>
        <v>836</v>
      </c>
      <c r="Q46" s="1009">
        <f>ROUNDDOWN(AVERAGE(IncomeLimits!W44:'IncomeLimits'!X44)*0.3/12,0)</f>
        <v>965</v>
      </c>
      <c r="R46" s="1009">
        <f>ROUNDDOWN(IncomeLimits!Y44*0.3/12,0)</f>
        <v>1077</v>
      </c>
      <c r="S46" s="66">
        <f>ROUNDDOWN(AVERAGE(IncomeLimits!Z44:'IncomeLimits'!AA44)*0.3/12,0)</f>
        <v>1188</v>
      </c>
      <c r="T46" s="66">
        <f>ROUNDDOWN(IncomeLimits!AC44*0.3/12, 0)</f>
        <v>812</v>
      </c>
      <c r="U46" s="66">
        <f>ROUNDDOWN(AVERAGE(IncomeLimits!AC44:'IncomeLimits'!AD44)*0.3/12,0)</f>
        <v>870</v>
      </c>
      <c r="V46" s="66">
        <f>ROUNDDOWN(IncomeLimits!AE44*0.3/12, 0)</f>
        <v>1045</v>
      </c>
      <c r="W46" s="66">
        <f>ROUNDDOWN(AVERAGE(IncomeLimits!AF44:'IncomeLimits'!AG44)*0.3/12,0)</f>
        <v>1206</v>
      </c>
      <c r="X46" s="66">
        <f>ROUNDDOWN(IncomeLimits!AH44*0.3/12,0)</f>
        <v>1346</v>
      </c>
      <c r="Y46" s="66">
        <f>ROUNDDOWN(AVERAGE(IncomeLimits!AI44:'IncomeLimits'!AJ44)*0.3/12,0)</f>
        <v>1485</v>
      </c>
      <c r="Z46" s="1679">
        <f>ROUNDDOWN(IncomeLimits!AL44*0.3/12, 0)</f>
        <v>975</v>
      </c>
      <c r="AA46" s="1009">
        <f>ROUNDDOWN(AVERAGE(IncomeLimits!AL44:'IncomeLimits'!AM44)*0.3/12, 0)</f>
        <v>1044</v>
      </c>
      <c r="AB46" s="1009">
        <f>ROUNDDOWN(IncomeLimits!AN44*0.3/12, 0)</f>
        <v>1254</v>
      </c>
      <c r="AC46" s="1009">
        <f>ROUNDDOWN(AVERAGE(IncomeLimits!AO44:'IncomeLimits'!AP44)*0.3/12,0)</f>
        <v>1448</v>
      </c>
      <c r="AD46" s="1009">
        <f>ROUNDDOWN(IncomeLimits!AQ44*0.3/12,0)</f>
        <v>1615</v>
      </c>
      <c r="AE46" s="1680">
        <f>ROUNDDOWN(AVERAGE(IncomeLimits!AR44:'IncomeLimits'!AS44)*0.3/12,0)</f>
        <v>1782</v>
      </c>
      <c r="AF46" s="65">
        <f>ROUNDDOWN(IncomeLimits!AU44*0.3/12, 0)</f>
        <v>1137</v>
      </c>
      <c r="AG46" s="1009">
        <f>ROUNDDOWN(AVERAGE(IncomeLimits!AU44:'IncomeLimits'!AV44)*0.3/12, 0)</f>
        <v>1218</v>
      </c>
      <c r="AH46" s="1009">
        <f>ROUNDDOWN(IncomeLimits!AW44*0.3/12, 0)</f>
        <v>1463</v>
      </c>
      <c r="AI46" s="1009">
        <f>ROUNDDOWN(AVERAGE(IncomeLimits!AX44:'IncomeLimits'!AY44)*0.3/12,0)</f>
        <v>1689</v>
      </c>
      <c r="AJ46" s="1009">
        <f>ROUNDDOWN(IncomeLimits!AZ44*0.3/12,0)</f>
        <v>1884</v>
      </c>
      <c r="AK46" s="76">
        <f>ROUNDDOWN(AVERAGE(IncomeLimits!BA44:'IncomeLimits'!BB44)*0.3/12,0)</f>
        <v>2079</v>
      </c>
      <c r="AL46" s="65">
        <f>ROUNDDOWN(IncomeLimits!BD44*0.3/12, 0)</f>
        <v>1300</v>
      </c>
      <c r="AM46" s="1009">
        <f>ROUNDDOWN(AVERAGE(IncomeLimits!BD44:'IncomeLimits'!BE44)*0.3/12, 0)</f>
        <v>1393</v>
      </c>
      <c r="AN46" s="1009">
        <f>ROUNDDOWN(IncomeLimits!BF44*0.3/12, 0)</f>
        <v>1672</v>
      </c>
      <c r="AO46" s="1009">
        <f>ROUNDDOWN(AVERAGE(IncomeLimits!BG44:'IncomeLimits'!BH44)*0.3/12,0)</f>
        <v>1931</v>
      </c>
      <c r="AP46" s="1009">
        <f>ROUNDDOWN(IncomeLimits!BI44*0.3/12,0)</f>
        <v>2154</v>
      </c>
      <c r="AQ46" s="76">
        <f>ROUNDDOWN(AVERAGE(IncomeLimits!BJ44:'IncomeLimits'!BK44)*0.3/12,0)</f>
        <v>2376</v>
      </c>
    </row>
    <row r="47" spans="1:43">
      <c r="A47" s="77" t="s">
        <v>405</v>
      </c>
      <c r="B47" s="75">
        <f>ROUNDDOWN(IncomeLimits!B45*0.3/12, 0)</f>
        <v>343</v>
      </c>
      <c r="C47" s="1009">
        <f>ROUNDDOWN(AVERAGE(IncomeLimits!B45:C45)*0.3/12, 0)</f>
        <v>367</v>
      </c>
      <c r="D47" s="1009">
        <f>ROUNDDOWN(IncomeLimits!D45*0.3/12, 0)</f>
        <v>441</v>
      </c>
      <c r="E47" s="1009">
        <f>ROUNDDOWN(AVERAGE(IncomeLimits!E45:'IncomeLimits'!F45)*0.3/12,0)</f>
        <v>509</v>
      </c>
      <c r="F47" s="1009">
        <f>ROUNDDOWN(IncomeLimits!G45*0.3/12,0)</f>
        <v>568</v>
      </c>
      <c r="G47" s="66">
        <f>ROUNDDOWN(AVERAGE(IncomeLimits!H45:'IncomeLimits'!I45)*0.3/12,0)</f>
        <v>626</v>
      </c>
      <c r="H47" s="75">
        <f>ROUNDDOWN(IncomeLimits!K45*0.3/12, 0)</f>
        <v>514</v>
      </c>
      <c r="I47" s="1009">
        <f>ROUNDDOWN(AVERAGE(IncomeLimits!K45:'IncomeLimits'!L45)*0.3/12, 0)</f>
        <v>551</v>
      </c>
      <c r="J47" s="1009">
        <f>ROUNDDOWN(IncomeLimits!M45*0.3/12, 0)</f>
        <v>661</v>
      </c>
      <c r="K47" s="1009">
        <f>ROUNDDOWN(AVERAGE(IncomeLimits!N45:'IncomeLimits'!O45)*0.3/12,0)</f>
        <v>763</v>
      </c>
      <c r="L47" s="1009">
        <f>ROUNDDOWN(IncomeLimits!P45*0.3/12,0)</f>
        <v>852</v>
      </c>
      <c r="M47" s="76">
        <f>ROUNDDOWN(AVERAGE(IncomeLimits!Q45:'IncomeLimits'!R45)*0.3/12,0)</f>
        <v>940</v>
      </c>
      <c r="N47" s="65">
        <f>ROUNDDOWN(IncomeLimits!T45*0.3/12, 0)</f>
        <v>686</v>
      </c>
      <c r="O47" s="1009">
        <f>ROUNDDOWN(AVERAGE(IncomeLimits!T45:'IncomeLimits'!U45)*0.3/12, 0)</f>
        <v>735</v>
      </c>
      <c r="P47" s="1009">
        <f>ROUNDDOWN(IncomeLimits!V45*0.3/12, 0)</f>
        <v>882</v>
      </c>
      <c r="Q47" s="1009">
        <f>ROUNDDOWN(AVERAGE(IncomeLimits!W45:'IncomeLimits'!X45)*0.3/12,0)</f>
        <v>1018</v>
      </c>
      <c r="R47" s="1009">
        <f>ROUNDDOWN(IncomeLimits!Y45*0.3/12,0)</f>
        <v>1136</v>
      </c>
      <c r="S47" s="66">
        <f>ROUNDDOWN(AVERAGE(IncomeLimits!Z45:'IncomeLimits'!AA45)*0.3/12,0)</f>
        <v>1253</v>
      </c>
      <c r="T47" s="66">
        <f>ROUNDDOWN(IncomeLimits!AC45*0.3/12, 0)</f>
        <v>857</v>
      </c>
      <c r="U47" s="66">
        <f>ROUNDDOWN(AVERAGE(IncomeLimits!AC45:'IncomeLimits'!AD45)*0.3/12,0)</f>
        <v>918</v>
      </c>
      <c r="V47" s="66">
        <f>ROUNDDOWN(IncomeLimits!AE45*0.3/12, 0)</f>
        <v>1102</v>
      </c>
      <c r="W47" s="66">
        <f>ROUNDDOWN(AVERAGE(IncomeLimits!AF45:'IncomeLimits'!AG45)*0.3/12,0)</f>
        <v>1273</v>
      </c>
      <c r="X47" s="66">
        <f>ROUNDDOWN(IncomeLimits!AH45*0.3/12,0)</f>
        <v>1420</v>
      </c>
      <c r="Y47" s="66">
        <f>ROUNDDOWN(AVERAGE(IncomeLimits!AI45:'IncomeLimits'!AJ45)*0.3/12,0)</f>
        <v>1566</v>
      </c>
      <c r="Z47" s="1679">
        <f>ROUNDDOWN(IncomeLimits!AL45*0.3/12, 0)</f>
        <v>1029</v>
      </c>
      <c r="AA47" s="1009">
        <f>ROUNDDOWN(AVERAGE(IncomeLimits!AL45:'IncomeLimits'!AM45)*0.3/12, 0)</f>
        <v>1102</v>
      </c>
      <c r="AB47" s="1009">
        <f>ROUNDDOWN(IncomeLimits!AN45*0.3/12, 0)</f>
        <v>1323</v>
      </c>
      <c r="AC47" s="1009">
        <f>ROUNDDOWN(AVERAGE(IncomeLimits!AO45:'IncomeLimits'!AP45)*0.3/12,0)</f>
        <v>1527</v>
      </c>
      <c r="AD47" s="1009">
        <f>ROUNDDOWN(IncomeLimits!AQ45*0.3/12,0)</f>
        <v>1704</v>
      </c>
      <c r="AE47" s="1680">
        <f>ROUNDDOWN(AVERAGE(IncomeLimits!AR45:'IncomeLimits'!AS45)*0.3/12,0)</f>
        <v>1880</v>
      </c>
      <c r="AF47" s="65">
        <f>ROUNDDOWN(IncomeLimits!AU45*0.3/12, 0)</f>
        <v>1200</v>
      </c>
      <c r="AG47" s="1009">
        <f>ROUNDDOWN(AVERAGE(IncomeLimits!AU45:'IncomeLimits'!AV45)*0.3/12, 0)</f>
        <v>1286</v>
      </c>
      <c r="AH47" s="1009">
        <f>ROUNDDOWN(IncomeLimits!AW45*0.3/12, 0)</f>
        <v>1543</v>
      </c>
      <c r="AI47" s="1009">
        <f>ROUNDDOWN(AVERAGE(IncomeLimits!AX45:'IncomeLimits'!AY45)*0.3/12,0)</f>
        <v>1782</v>
      </c>
      <c r="AJ47" s="1009">
        <f>ROUNDDOWN(IncomeLimits!AZ45*0.3/12,0)</f>
        <v>1988</v>
      </c>
      <c r="AK47" s="76">
        <f>ROUNDDOWN(AVERAGE(IncomeLimits!BA45:'IncomeLimits'!BB45)*0.3/12,0)</f>
        <v>2193</v>
      </c>
      <c r="AL47" s="65">
        <f>ROUNDDOWN(IncomeLimits!BD45*0.3/12, 0)</f>
        <v>1372</v>
      </c>
      <c r="AM47" s="1009">
        <f>ROUNDDOWN(AVERAGE(IncomeLimits!BD45:'IncomeLimits'!BE45)*0.3/12, 0)</f>
        <v>1470</v>
      </c>
      <c r="AN47" s="1009">
        <f>ROUNDDOWN(IncomeLimits!BF45*0.3/12, 0)</f>
        <v>1764</v>
      </c>
      <c r="AO47" s="1009">
        <f>ROUNDDOWN(AVERAGE(IncomeLimits!BG45:'IncomeLimits'!BH45)*0.3/12,0)</f>
        <v>2037</v>
      </c>
      <c r="AP47" s="1009">
        <f>ROUNDDOWN(IncomeLimits!BI45*0.3/12,0)</f>
        <v>2272</v>
      </c>
      <c r="AQ47" s="76">
        <f>ROUNDDOWN(AVERAGE(IncomeLimits!BJ45:'IncomeLimits'!BK45)*0.3/12,0)</f>
        <v>2507</v>
      </c>
    </row>
    <row r="48" spans="1:43">
      <c r="A48" s="77" t="s">
        <v>462</v>
      </c>
      <c r="B48" s="75">
        <f>ROUNDDOWN(IncomeLimits!B46*0.3/12, 0)</f>
        <v>337</v>
      </c>
      <c r="C48" s="1009">
        <f>ROUNDDOWN(AVERAGE(IncomeLimits!B46:C46)*0.3/12, 0)</f>
        <v>361</v>
      </c>
      <c r="D48" s="1009">
        <f>ROUNDDOWN(IncomeLimits!D46*0.3/12, 0)</f>
        <v>433</v>
      </c>
      <c r="E48" s="1009">
        <f>ROUNDDOWN(AVERAGE(IncomeLimits!E46:'IncomeLimits'!F46)*0.3/12,0)</f>
        <v>501</v>
      </c>
      <c r="F48" s="1009">
        <f>ROUNDDOWN(IncomeLimits!G46*0.3/12,0)</f>
        <v>559</v>
      </c>
      <c r="G48" s="66">
        <f>ROUNDDOWN(AVERAGE(IncomeLimits!H46:'IncomeLimits'!I46)*0.3/12,0)</f>
        <v>616</v>
      </c>
      <c r="H48" s="75">
        <f>ROUNDDOWN(IncomeLimits!K46*0.3/12, 0)</f>
        <v>506</v>
      </c>
      <c r="I48" s="1009">
        <f>ROUNDDOWN(AVERAGE(IncomeLimits!K46:'IncomeLimits'!L46)*0.3/12, 0)</f>
        <v>542</v>
      </c>
      <c r="J48" s="1009">
        <f>ROUNDDOWN(IncomeLimits!M46*0.3/12, 0)</f>
        <v>650</v>
      </c>
      <c r="K48" s="1009">
        <f>ROUNDDOWN(AVERAGE(IncomeLimits!N46:'IncomeLimits'!O46)*0.3/12,0)</f>
        <v>751</v>
      </c>
      <c r="L48" s="1009">
        <f>ROUNDDOWN(IncomeLimits!P46*0.3/12,0)</f>
        <v>838</v>
      </c>
      <c r="M48" s="76">
        <f>ROUNDDOWN(AVERAGE(IncomeLimits!Q46:'IncomeLimits'!R46)*0.3/12,0)</f>
        <v>925</v>
      </c>
      <c r="N48" s="65">
        <f>ROUNDDOWN(IncomeLimits!T46*0.3/12, 0)</f>
        <v>675</v>
      </c>
      <c r="O48" s="1009">
        <f>ROUNDDOWN(AVERAGE(IncomeLimits!T46:'IncomeLimits'!U46)*0.3/12, 0)</f>
        <v>723</v>
      </c>
      <c r="P48" s="1009">
        <f>ROUNDDOWN(IncomeLimits!V46*0.3/12, 0)</f>
        <v>867</v>
      </c>
      <c r="Q48" s="1009">
        <f>ROUNDDOWN(AVERAGE(IncomeLimits!W46:'IncomeLimits'!X46)*0.3/12,0)</f>
        <v>1002</v>
      </c>
      <c r="R48" s="1009">
        <f>ROUNDDOWN(IncomeLimits!Y46*0.3/12,0)</f>
        <v>1118</v>
      </c>
      <c r="S48" s="66">
        <f>ROUNDDOWN(AVERAGE(IncomeLimits!Z46:'IncomeLimits'!AA46)*0.3/12,0)</f>
        <v>1233</v>
      </c>
      <c r="T48" s="66">
        <f>ROUNDDOWN(IncomeLimits!AC46*0.3/12, 0)</f>
        <v>843</v>
      </c>
      <c r="U48" s="66">
        <f>ROUNDDOWN(AVERAGE(IncomeLimits!AC46:'IncomeLimits'!AD46)*0.3/12,0)</f>
        <v>903</v>
      </c>
      <c r="V48" s="66">
        <f>ROUNDDOWN(IncomeLimits!AE46*0.3/12, 0)</f>
        <v>1083</v>
      </c>
      <c r="W48" s="66">
        <f>ROUNDDOWN(AVERAGE(IncomeLimits!AF46:'IncomeLimits'!AG46)*0.3/12,0)</f>
        <v>1252</v>
      </c>
      <c r="X48" s="66">
        <f>ROUNDDOWN(IncomeLimits!AH46*0.3/12,0)</f>
        <v>1397</v>
      </c>
      <c r="Y48" s="66">
        <f>ROUNDDOWN(AVERAGE(IncomeLimits!AI46:'IncomeLimits'!AJ46)*0.3/12,0)</f>
        <v>1541</v>
      </c>
      <c r="Z48" s="1679">
        <f>ROUNDDOWN(IncomeLimits!AL46*0.3/12, 0)</f>
        <v>1012</v>
      </c>
      <c r="AA48" s="1009">
        <f>ROUNDDOWN(AVERAGE(IncomeLimits!AL46:'IncomeLimits'!AM46)*0.3/12, 0)</f>
        <v>1084</v>
      </c>
      <c r="AB48" s="1009">
        <f>ROUNDDOWN(IncomeLimits!AN46*0.3/12, 0)</f>
        <v>1300</v>
      </c>
      <c r="AC48" s="1009">
        <f>ROUNDDOWN(AVERAGE(IncomeLimits!AO46:'IncomeLimits'!AP46)*0.3/12,0)</f>
        <v>1503</v>
      </c>
      <c r="AD48" s="1009">
        <f>ROUNDDOWN(IncomeLimits!AQ46*0.3/12,0)</f>
        <v>1677</v>
      </c>
      <c r="AE48" s="1680">
        <f>ROUNDDOWN(AVERAGE(IncomeLimits!AR46:'IncomeLimits'!AS46)*0.3/12,0)</f>
        <v>1850</v>
      </c>
      <c r="AF48" s="65">
        <f>ROUNDDOWN(IncomeLimits!AU46*0.3/12, 0)</f>
        <v>1181</v>
      </c>
      <c r="AG48" s="1009">
        <f>ROUNDDOWN(AVERAGE(IncomeLimits!AU46:'IncomeLimits'!AV46)*0.3/12, 0)</f>
        <v>1265</v>
      </c>
      <c r="AH48" s="1009">
        <f>ROUNDDOWN(IncomeLimits!AW46*0.3/12, 0)</f>
        <v>1517</v>
      </c>
      <c r="AI48" s="1009">
        <f>ROUNDDOWN(AVERAGE(IncomeLimits!AX46:'IncomeLimits'!AY46)*0.3/12,0)</f>
        <v>1753</v>
      </c>
      <c r="AJ48" s="1009">
        <f>ROUNDDOWN(IncomeLimits!AZ46*0.3/12,0)</f>
        <v>1956</v>
      </c>
      <c r="AK48" s="76">
        <f>ROUNDDOWN(AVERAGE(IncomeLimits!BA46:'IncomeLimits'!BB46)*0.3/12,0)</f>
        <v>2158</v>
      </c>
      <c r="AL48" s="65">
        <f>ROUNDDOWN(IncomeLimits!BD46*0.3/12, 0)</f>
        <v>1350</v>
      </c>
      <c r="AM48" s="1009">
        <f>ROUNDDOWN(AVERAGE(IncomeLimits!BD46:'IncomeLimits'!BE46)*0.3/12, 0)</f>
        <v>1446</v>
      </c>
      <c r="AN48" s="1009">
        <f>ROUNDDOWN(IncomeLimits!BF46*0.3/12, 0)</f>
        <v>1734</v>
      </c>
      <c r="AO48" s="1009">
        <f>ROUNDDOWN(AVERAGE(IncomeLimits!BG46:'IncomeLimits'!BH46)*0.3/12,0)</f>
        <v>2004</v>
      </c>
      <c r="AP48" s="1009">
        <f>ROUNDDOWN(IncomeLimits!BI46*0.3/12,0)</f>
        <v>2236</v>
      </c>
      <c r="AQ48" s="76">
        <f>ROUNDDOWN(AVERAGE(IncomeLimits!BJ46:'IncomeLimits'!BK46)*0.3/12,0)</f>
        <v>2467</v>
      </c>
    </row>
    <row r="49" spans="1:43">
      <c r="A49" s="77" t="s">
        <v>407</v>
      </c>
      <c r="B49" s="75">
        <f>ROUNDDOWN(IncomeLimits!B47*0.3/12, 0)</f>
        <v>390</v>
      </c>
      <c r="C49" s="1009">
        <f>ROUNDDOWN(AVERAGE(IncomeLimits!B47:C47)*0.3/12, 0)</f>
        <v>418</v>
      </c>
      <c r="D49" s="1009">
        <f>ROUNDDOWN(IncomeLimits!D47*0.3/12, 0)</f>
        <v>502</v>
      </c>
      <c r="E49" s="1009">
        <f>ROUNDDOWN(AVERAGE(IncomeLimits!E47:'IncomeLimits'!F47)*0.3/12,0)</f>
        <v>580</v>
      </c>
      <c r="F49" s="1009">
        <f>ROUNDDOWN(IncomeLimits!G47*0.3/12,0)</f>
        <v>647</v>
      </c>
      <c r="G49" s="66">
        <f>ROUNDDOWN(AVERAGE(IncomeLimits!H47:'IncomeLimits'!I47)*0.3/12,0)</f>
        <v>713</v>
      </c>
      <c r="H49" s="75">
        <f>ROUNDDOWN(IncomeLimits!K47*0.3/12, 0)</f>
        <v>585</v>
      </c>
      <c r="I49" s="1009">
        <f>ROUNDDOWN(AVERAGE(IncomeLimits!K47:'IncomeLimits'!L47)*0.3/12, 0)</f>
        <v>627</v>
      </c>
      <c r="J49" s="1009">
        <f>ROUNDDOWN(IncomeLimits!M47*0.3/12, 0)</f>
        <v>753</v>
      </c>
      <c r="K49" s="1009">
        <f>ROUNDDOWN(AVERAGE(IncomeLimits!N47:'IncomeLimits'!O47)*0.3/12,0)</f>
        <v>870</v>
      </c>
      <c r="L49" s="1009">
        <f>ROUNDDOWN(IncomeLimits!P47*0.3/12,0)</f>
        <v>970</v>
      </c>
      <c r="M49" s="76">
        <f>ROUNDDOWN(AVERAGE(IncomeLimits!Q47:'IncomeLimits'!R47)*0.3/12,0)</f>
        <v>1070</v>
      </c>
      <c r="N49" s="65">
        <f>ROUNDDOWN(IncomeLimits!T47*0.3/12, 0)</f>
        <v>781</v>
      </c>
      <c r="O49" s="1009">
        <f>ROUNDDOWN(AVERAGE(IncomeLimits!T47:'IncomeLimits'!U47)*0.3/12, 0)</f>
        <v>836</v>
      </c>
      <c r="P49" s="1009">
        <f>ROUNDDOWN(IncomeLimits!V47*0.3/12, 0)</f>
        <v>1004</v>
      </c>
      <c r="Q49" s="1009">
        <f>ROUNDDOWN(AVERAGE(IncomeLimits!W47:'IncomeLimits'!X47)*0.3/12,0)</f>
        <v>1160</v>
      </c>
      <c r="R49" s="1009">
        <f>ROUNDDOWN(IncomeLimits!Y47*0.3/12,0)</f>
        <v>1294</v>
      </c>
      <c r="S49" s="66">
        <f>ROUNDDOWN(AVERAGE(IncomeLimits!Z47:'IncomeLimits'!AA47)*0.3/12,0)</f>
        <v>1427</v>
      </c>
      <c r="T49" s="66">
        <f>ROUNDDOWN(IncomeLimits!AC47*0.3/12, 0)</f>
        <v>976</v>
      </c>
      <c r="U49" s="66">
        <f>ROUNDDOWN(AVERAGE(IncomeLimits!AC47:'IncomeLimits'!AD47)*0.3/12,0)</f>
        <v>1045</v>
      </c>
      <c r="V49" s="66">
        <f>ROUNDDOWN(IncomeLimits!AE47*0.3/12, 0)</f>
        <v>1255</v>
      </c>
      <c r="W49" s="66">
        <f>ROUNDDOWN(AVERAGE(IncomeLimits!AF47:'IncomeLimits'!AG47)*0.3/12,0)</f>
        <v>1450</v>
      </c>
      <c r="X49" s="66">
        <f>ROUNDDOWN(IncomeLimits!AH47*0.3/12,0)</f>
        <v>1617</v>
      </c>
      <c r="Y49" s="66">
        <f>ROUNDDOWN(AVERAGE(IncomeLimits!AI47:'IncomeLimits'!AJ47)*0.3/12,0)</f>
        <v>1784</v>
      </c>
      <c r="Z49" s="1679">
        <f>ROUNDDOWN(IncomeLimits!AL47*0.3/12, 0)</f>
        <v>1171</v>
      </c>
      <c r="AA49" s="1009">
        <f>ROUNDDOWN(AVERAGE(IncomeLimits!AL47:'IncomeLimits'!AM47)*0.3/12, 0)</f>
        <v>1254</v>
      </c>
      <c r="AB49" s="1009">
        <f>ROUNDDOWN(IncomeLimits!AN47*0.3/12, 0)</f>
        <v>1506</v>
      </c>
      <c r="AC49" s="1009">
        <f>ROUNDDOWN(AVERAGE(IncomeLimits!AO47:'IncomeLimits'!AP47)*0.3/12,0)</f>
        <v>1740</v>
      </c>
      <c r="AD49" s="1009">
        <f>ROUNDDOWN(IncomeLimits!AQ47*0.3/12,0)</f>
        <v>1941</v>
      </c>
      <c r="AE49" s="1680">
        <f>ROUNDDOWN(AVERAGE(IncomeLimits!AR47:'IncomeLimits'!AS47)*0.3/12,0)</f>
        <v>2141</v>
      </c>
      <c r="AF49" s="65">
        <f>ROUNDDOWN(IncomeLimits!AU47*0.3/12, 0)</f>
        <v>1366</v>
      </c>
      <c r="AG49" s="1009">
        <f>ROUNDDOWN(AVERAGE(IncomeLimits!AU47:'IncomeLimits'!AV47)*0.3/12, 0)</f>
        <v>1463</v>
      </c>
      <c r="AH49" s="1009">
        <f>ROUNDDOWN(IncomeLimits!AW47*0.3/12, 0)</f>
        <v>1757</v>
      </c>
      <c r="AI49" s="1009">
        <f>ROUNDDOWN(AVERAGE(IncomeLimits!AX47:'IncomeLimits'!AY47)*0.3/12,0)</f>
        <v>2030</v>
      </c>
      <c r="AJ49" s="1009">
        <f>ROUNDDOWN(IncomeLimits!AZ47*0.3/12,0)</f>
        <v>2264</v>
      </c>
      <c r="AK49" s="76">
        <f>ROUNDDOWN(AVERAGE(IncomeLimits!BA47:'IncomeLimits'!BB47)*0.3/12,0)</f>
        <v>2498</v>
      </c>
      <c r="AL49" s="65">
        <f>ROUNDDOWN(IncomeLimits!BD47*0.3/12, 0)</f>
        <v>1562</v>
      </c>
      <c r="AM49" s="1009">
        <f>ROUNDDOWN(AVERAGE(IncomeLimits!BD47:'IncomeLimits'!BE47)*0.3/12, 0)</f>
        <v>1673</v>
      </c>
      <c r="AN49" s="1009">
        <f>ROUNDDOWN(IncomeLimits!BF47*0.3/12, 0)</f>
        <v>2008</v>
      </c>
      <c r="AO49" s="1009">
        <f>ROUNDDOWN(AVERAGE(IncomeLimits!BG47:'IncomeLimits'!BH47)*0.3/12,0)</f>
        <v>2320</v>
      </c>
      <c r="AP49" s="1009">
        <f>ROUNDDOWN(IncomeLimits!BI47*0.3/12,0)</f>
        <v>2588</v>
      </c>
      <c r="AQ49" s="76">
        <f>ROUNDDOWN(AVERAGE(IncomeLimits!BJ47:'IncomeLimits'!BK47)*0.3/12,0)</f>
        <v>2855</v>
      </c>
    </row>
    <row r="50" spans="1:43">
      <c r="A50" s="77" t="s">
        <v>410</v>
      </c>
      <c r="B50" s="75">
        <f>ROUNDDOWN(IncomeLimits!B48*0.3/12, 0)</f>
        <v>387</v>
      </c>
      <c r="C50" s="1009">
        <f>ROUNDDOWN(AVERAGE(IncomeLimits!B48:C48)*0.3/12, 0)</f>
        <v>415</v>
      </c>
      <c r="D50" s="1009">
        <f>ROUNDDOWN(IncomeLimits!D48*0.3/12, 0)</f>
        <v>498</v>
      </c>
      <c r="E50" s="1009">
        <f>ROUNDDOWN(AVERAGE(IncomeLimits!E48:'IncomeLimits'!F48)*0.3/12,0)</f>
        <v>575</v>
      </c>
      <c r="F50" s="1009">
        <f>ROUNDDOWN(IncomeLimits!G48*0.3/12,0)</f>
        <v>642</v>
      </c>
      <c r="G50" s="66">
        <f>ROUNDDOWN(AVERAGE(IncomeLimits!H48:'IncomeLimits'!I48)*0.3/12,0)</f>
        <v>708</v>
      </c>
      <c r="H50" s="75">
        <f>ROUNDDOWN(IncomeLimits!K48*0.3/12, 0)</f>
        <v>581</v>
      </c>
      <c r="I50" s="1009">
        <f>ROUNDDOWN(AVERAGE(IncomeLimits!K48:'IncomeLimits'!L48)*0.3/12, 0)</f>
        <v>622</v>
      </c>
      <c r="J50" s="1009">
        <f>ROUNDDOWN(IncomeLimits!M48*0.3/12, 0)</f>
        <v>747</v>
      </c>
      <c r="K50" s="1009">
        <f>ROUNDDOWN(AVERAGE(IncomeLimits!N48:'IncomeLimits'!O48)*0.3/12,0)</f>
        <v>863</v>
      </c>
      <c r="L50" s="1009">
        <f>ROUNDDOWN(IncomeLimits!P48*0.3/12,0)</f>
        <v>963</v>
      </c>
      <c r="M50" s="76">
        <f>ROUNDDOWN(AVERAGE(IncomeLimits!Q48:'IncomeLimits'!R48)*0.3/12,0)</f>
        <v>1063</v>
      </c>
      <c r="N50" s="65">
        <f>ROUNDDOWN(IncomeLimits!T48*0.3/12, 0)</f>
        <v>775</v>
      </c>
      <c r="O50" s="1009">
        <f>ROUNDDOWN(AVERAGE(IncomeLimits!T48:'IncomeLimits'!U48)*0.3/12, 0)</f>
        <v>830</v>
      </c>
      <c r="P50" s="1009">
        <f>ROUNDDOWN(IncomeLimits!V48*0.3/12, 0)</f>
        <v>997</v>
      </c>
      <c r="Q50" s="1009">
        <f>ROUNDDOWN(AVERAGE(IncomeLimits!W48:'IncomeLimits'!X48)*0.3/12,0)</f>
        <v>1151</v>
      </c>
      <c r="R50" s="1009">
        <f>ROUNDDOWN(IncomeLimits!Y48*0.3/12,0)</f>
        <v>1285</v>
      </c>
      <c r="S50" s="66">
        <f>ROUNDDOWN(AVERAGE(IncomeLimits!Z48:'IncomeLimits'!AA48)*0.3/12,0)</f>
        <v>1417</v>
      </c>
      <c r="T50" s="66">
        <f>ROUNDDOWN(IncomeLimits!AC48*0.3/12, 0)</f>
        <v>968</v>
      </c>
      <c r="U50" s="66">
        <f>ROUNDDOWN(AVERAGE(IncomeLimits!AC48:'IncomeLimits'!AD48)*0.3/12,0)</f>
        <v>1038</v>
      </c>
      <c r="V50" s="66">
        <f>ROUNDDOWN(IncomeLimits!AE48*0.3/12, 0)</f>
        <v>1246</v>
      </c>
      <c r="W50" s="66">
        <f>ROUNDDOWN(AVERAGE(IncomeLimits!AF48:'IncomeLimits'!AG48)*0.3/12,0)</f>
        <v>1439</v>
      </c>
      <c r="X50" s="66">
        <f>ROUNDDOWN(IncomeLimits!AH48*0.3/12,0)</f>
        <v>1606</v>
      </c>
      <c r="Y50" s="66">
        <f>ROUNDDOWN(AVERAGE(IncomeLimits!AI48:'IncomeLimits'!AJ48)*0.3/12,0)</f>
        <v>1771</v>
      </c>
      <c r="Z50" s="1679">
        <f>ROUNDDOWN(IncomeLimits!AL48*0.3/12, 0)</f>
        <v>1162</v>
      </c>
      <c r="AA50" s="1009">
        <f>ROUNDDOWN(AVERAGE(IncomeLimits!AL48:'IncomeLimits'!AM48)*0.3/12, 0)</f>
        <v>1245</v>
      </c>
      <c r="AB50" s="1009">
        <f>ROUNDDOWN(IncomeLimits!AN48*0.3/12, 0)</f>
        <v>1495</v>
      </c>
      <c r="AC50" s="1009">
        <f>ROUNDDOWN(AVERAGE(IncomeLimits!AO48:'IncomeLimits'!AP48)*0.3/12,0)</f>
        <v>1727</v>
      </c>
      <c r="AD50" s="1009">
        <f>ROUNDDOWN(IncomeLimits!AQ48*0.3/12,0)</f>
        <v>1927</v>
      </c>
      <c r="AE50" s="1680">
        <f>ROUNDDOWN(AVERAGE(IncomeLimits!AR48:'IncomeLimits'!AS48)*0.3/12,0)</f>
        <v>2126</v>
      </c>
      <c r="AF50" s="65">
        <f>ROUNDDOWN(IncomeLimits!AU48*0.3/12, 0)</f>
        <v>1356</v>
      </c>
      <c r="AG50" s="1009">
        <f>ROUNDDOWN(AVERAGE(IncomeLimits!AU48:'IncomeLimits'!AV48)*0.3/12, 0)</f>
        <v>1453</v>
      </c>
      <c r="AH50" s="1009">
        <f>ROUNDDOWN(IncomeLimits!AW48*0.3/12, 0)</f>
        <v>1744</v>
      </c>
      <c r="AI50" s="1009">
        <f>ROUNDDOWN(AVERAGE(IncomeLimits!AX48:'IncomeLimits'!AY48)*0.3/12,0)</f>
        <v>2015</v>
      </c>
      <c r="AJ50" s="1009">
        <f>ROUNDDOWN(IncomeLimits!AZ48*0.3/12,0)</f>
        <v>2248</v>
      </c>
      <c r="AK50" s="76">
        <f>ROUNDDOWN(AVERAGE(IncomeLimits!BA48:'IncomeLimits'!BB48)*0.3/12,0)</f>
        <v>2480</v>
      </c>
      <c r="AL50" s="65">
        <f>ROUNDDOWN(IncomeLimits!BD48*0.3/12, 0)</f>
        <v>1550</v>
      </c>
      <c r="AM50" s="1009">
        <f>ROUNDDOWN(AVERAGE(IncomeLimits!BD48:'IncomeLimits'!BE48)*0.3/12, 0)</f>
        <v>1661</v>
      </c>
      <c r="AN50" s="1009">
        <f>ROUNDDOWN(IncomeLimits!BF48*0.3/12, 0)</f>
        <v>1994</v>
      </c>
      <c r="AO50" s="1009">
        <f>ROUNDDOWN(AVERAGE(IncomeLimits!BG48:'IncomeLimits'!BH48)*0.3/12,0)</f>
        <v>2303</v>
      </c>
      <c r="AP50" s="1009">
        <f>ROUNDDOWN(IncomeLimits!BI48*0.3/12,0)</f>
        <v>2570</v>
      </c>
      <c r="AQ50" s="76">
        <f>ROUNDDOWN(AVERAGE(IncomeLimits!BJ48:'IncomeLimits'!BK48)*0.3/12,0)</f>
        <v>2835</v>
      </c>
    </row>
    <row r="51" spans="1:43">
      <c r="A51" s="77" t="s">
        <v>466</v>
      </c>
      <c r="B51" s="75">
        <f>ROUNDDOWN(IncomeLimits!B49*0.3/12, 0)</f>
        <v>328</v>
      </c>
      <c r="C51" s="1009">
        <f>ROUNDDOWN(AVERAGE(IncomeLimits!B49:C49)*0.3/12, 0)</f>
        <v>352</v>
      </c>
      <c r="D51" s="1009">
        <f>ROUNDDOWN(IncomeLimits!D49*0.3/12, 0)</f>
        <v>422</v>
      </c>
      <c r="E51" s="1009">
        <f>ROUNDDOWN(AVERAGE(IncomeLimits!E49:'IncomeLimits'!F49)*0.3/12,0)</f>
        <v>488</v>
      </c>
      <c r="F51" s="1009">
        <f>ROUNDDOWN(IncomeLimits!G49*0.3/12,0)</f>
        <v>544</v>
      </c>
      <c r="G51" s="66">
        <f>ROUNDDOWN(AVERAGE(IncomeLimits!H49:'IncomeLimits'!I49)*0.3/12,0)</f>
        <v>600</v>
      </c>
      <c r="H51" s="75">
        <f>ROUNDDOWN(IncomeLimits!K49*0.3/12, 0)</f>
        <v>492</v>
      </c>
      <c r="I51" s="1009">
        <f>ROUNDDOWN(AVERAGE(IncomeLimits!K49:'IncomeLimits'!L49)*0.3/12, 0)</f>
        <v>528</v>
      </c>
      <c r="J51" s="1009">
        <f>ROUNDDOWN(IncomeLimits!M49*0.3/12, 0)</f>
        <v>633</v>
      </c>
      <c r="K51" s="1009">
        <f>ROUNDDOWN(AVERAGE(IncomeLimits!N49:'IncomeLimits'!O49)*0.3/12,0)</f>
        <v>732</v>
      </c>
      <c r="L51" s="1009">
        <f>ROUNDDOWN(IncomeLimits!P49*0.3/12,0)</f>
        <v>816</v>
      </c>
      <c r="M51" s="76">
        <f>ROUNDDOWN(AVERAGE(IncomeLimits!Q49:'IncomeLimits'!R49)*0.3/12,0)</f>
        <v>901</v>
      </c>
      <c r="N51" s="65">
        <f>ROUNDDOWN(IncomeLimits!T49*0.3/12, 0)</f>
        <v>657</v>
      </c>
      <c r="O51" s="1009">
        <f>ROUNDDOWN(AVERAGE(IncomeLimits!T49:'IncomeLimits'!U49)*0.3/12, 0)</f>
        <v>704</v>
      </c>
      <c r="P51" s="1009">
        <f>ROUNDDOWN(IncomeLimits!V49*0.3/12, 0)</f>
        <v>845</v>
      </c>
      <c r="Q51" s="1009">
        <f>ROUNDDOWN(AVERAGE(IncomeLimits!W49:'IncomeLimits'!X49)*0.3/12,0)</f>
        <v>976</v>
      </c>
      <c r="R51" s="1009">
        <f>ROUNDDOWN(IncomeLimits!Y49*0.3/12,0)</f>
        <v>1089</v>
      </c>
      <c r="S51" s="66">
        <f>ROUNDDOWN(AVERAGE(IncomeLimits!Z49:'IncomeLimits'!AA49)*0.3/12,0)</f>
        <v>1201</v>
      </c>
      <c r="T51" s="66">
        <f>ROUNDDOWN(IncomeLimits!AC49*0.3/12, 0)</f>
        <v>821</v>
      </c>
      <c r="U51" s="66">
        <f>ROUNDDOWN(AVERAGE(IncomeLimits!AC49:'IncomeLimits'!AD49)*0.3/12,0)</f>
        <v>880</v>
      </c>
      <c r="V51" s="66">
        <f>ROUNDDOWN(IncomeLimits!AE49*0.3/12, 0)</f>
        <v>1056</v>
      </c>
      <c r="W51" s="66">
        <f>ROUNDDOWN(AVERAGE(IncomeLimits!AF49:'IncomeLimits'!AG49)*0.3/12,0)</f>
        <v>1220</v>
      </c>
      <c r="X51" s="66">
        <f>ROUNDDOWN(IncomeLimits!AH49*0.3/12,0)</f>
        <v>1361</v>
      </c>
      <c r="Y51" s="66">
        <f>ROUNDDOWN(AVERAGE(IncomeLimits!AI49:'IncomeLimits'!AJ49)*0.3/12,0)</f>
        <v>1501</v>
      </c>
      <c r="Z51" s="1679">
        <f>ROUNDDOWN(IncomeLimits!AL49*0.3/12, 0)</f>
        <v>985</v>
      </c>
      <c r="AA51" s="1009">
        <f>ROUNDDOWN(AVERAGE(IncomeLimits!AL49:'IncomeLimits'!AM49)*0.3/12, 0)</f>
        <v>1056</v>
      </c>
      <c r="AB51" s="1009">
        <f>ROUNDDOWN(IncomeLimits!AN49*0.3/12, 0)</f>
        <v>1267</v>
      </c>
      <c r="AC51" s="1009">
        <f>ROUNDDOWN(AVERAGE(IncomeLimits!AO49:'IncomeLimits'!AP49)*0.3/12,0)</f>
        <v>1464</v>
      </c>
      <c r="AD51" s="1009">
        <f>ROUNDDOWN(IncomeLimits!AQ49*0.3/12,0)</f>
        <v>1633</v>
      </c>
      <c r="AE51" s="1680">
        <f>ROUNDDOWN(AVERAGE(IncomeLimits!AR49:'IncomeLimits'!AS49)*0.3/12,0)</f>
        <v>1802</v>
      </c>
      <c r="AF51" s="65">
        <f>ROUNDDOWN(IncomeLimits!AU49*0.3/12, 0)</f>
        <v>1149</v>
      </c>
      <c r="AG51" s="1009">
        <f>ROUNDDOWN(AVERAGE(IncomeLimits!AU49:'IncomeLimits'!AV49)*0.3/12, 0)</f>
        <v>1232</v>
      </c>
      <c r="AH51" s="1009">
        <f>ROUNDDOWN(IncomeLimits!AW49*0.3/12, 0)</f>
        <v>1478</v>
      </c>
      <c r="AI51" s="1009">
        <f>ROUNDDOWN(AVERAGE(IncomeLimits!AX49:'IncomeLimits'!AY49)*0.3/12,0)</f>
        <v>1708</v>
      </c>
      <c r="AJ51" s="1009">
        <f>ROUNDDOWN(IncomeLimits!AZ49*0.3/12,0)</f>
        <v>1905</v>
      </c>
      <c r="AK51" s="76">
        <f>ROUNDDOWN(AVERAGE(IncomeLimits!BA49:'IncomeLimits'!BB49)*0.3/12,0)</f>
        <v>2102</v>
      </c>
      <c r="AL51" s="65">
        <f>ROUNDDOWN(IncomeLimits!BD49*0.3/12, 0)</f>
        <v>1314</v>
      </c>
      <c r="AM51" s="1009">
        <f>ROUNDDOWN(AVERAGE(IncomeLimits!BD49:'IncomeLimits'!BE49)*0.3/12, 0)</f>
        <v>1408</v>
      </c>
      <c r="AN51" s="1009">
        <f>ROUNDDOWN(IncomeLimits!BF49*0.3/12, 0)</f>
        <v>1690</v>
      </c>
      <c r="AO51" s="1009">
        <f>ROUNDDOWN(AVERAGE(IncomeLimits!BG49:'IncomeLimits'!BH49)*0.3/12,0)</f>
        <v>1952</v>
      </c>
      <c r="AP51" s="1009">
        <f>ROUNDDOWN(IncomeLimits!BI49*0.3/12,0)</f>
        <v>2178</v>
      </c>
      <c r="AQ51" s="76">
        <f>ROUNDDOWN(AVERAGE(IncomeLimits!BJ49:'IncomeLimits'!BK49)*0.3/12,0)</f>
        <v>2403</v>
      </c>
    </row>
    <row r="52" spans="1:43">
      <c r="A52" s="77" t="s">
        <v>412</v>
      </c>
      <c r="B52" s="75">
        <f>ROUNDDOWN(IncomeLimits!B50*0.3/12, 0)</f>
        <v>463</v>
      </c>
      <c r="C52" s="1009">
        <f>ROUNDDOWN(AVERAGE(IncomeLimits!B50:C50)*0.3/12, 0)</f>
        <v>496</v>
      </c>
      <c r="D52" s="1009">
        <f>ROUNDDOWN(IncomeLimits!D50*0.3/12, 0)</f>
        <v>596</v>
      </c>
      <c r="E52" s="1009">
        <f>ROUNDDOWN(AVERAGE(IncomeLimits!E50:'IncomeLimits'!F50)*0.3/12,0)</f>
        <v>688</v>
      </c>
      <c r="F52" s="1009">
        <f>ROUNDDOWN(IncomeLimits!G50*0.3/12,0)</f>
        <v>768</v>
      </c>
      <c r="G52" s="66">
        <f>ROUNDDOWN(AVERAGE(IncomeLimits!H50:'IncomeLimits'!I50)*0.3/12,0)</f>
        <v>847</v>
      </c>
      <c r="H52" s="75">
        <f>ROUNDDOWN(IncomeLimits!K50*0.3/12, 0)</f>
        <v>695</v>
      </c>
      <c r="I52" s="1009">
        <f>ROUNDDOWN(AVERAGE(IncomeLimits!K50:'IncomeLimits'!L50)*0.3/12, 0)</f>
        <v>745</v>
      </c>
      <c r="J52" s="1009">
        <f>ROUNDDOWN(IncomeLimits!M50*0.3/12, 0)</f>
        <v>894</v>
      </c>
      <c r="K52" s="1009">
        <f>ROUNDDOWN(AVERAGE(IncomeLimits!N50:'IncomeLimits'!O50)*0.3/12,0)</f>
        <v>1032</v>
      </c>
      <c r="L52" s="1009">
        <f>ROUNDDOWN(IncomeLimits!P50*0.3/12,0)</f>
        <v>1152</v>
      </c>
      <c r="M52" s="76">
        <f>ROUNDDOWN(AVERAGE(IncomeLimits!Q50:'IncomeLimits'!R50)*0.3/12,0)</f>
        <v>1271</v>
      </c>
      <c r="N52" s="65">
        <f>ROUNDDOWN(IncomeLimits!T50*0.3/12, 0)</f>
        <v>927</v>
      </c>
      <c r="O52" s="1009">
        <f>ROUNDDOWN(AVERAGE(IncomeLimits!T50:'IncomeLimits'!U50)*0.3/12, 0)</f>
        <v>993</v>
      </c>
      <c r="P52" s="1009">
        <f>ROUNDDOWN(IncomeLimits!V50*0.3/12, 0)</f>
        <v>1192</v>
      </c>
      <c r="Q52" s="1009">
        <f>ROUNDDOWN(AVERAGE(IncomeLimits!W50:'IncomeLimits'!X50)*0.3/12,0)</f>
        <v>1377</v>
      </c>
      <c r="R52" s="1009">
        <f>ROUNDDOWN(IncomeLimits!Y50*0.3/12,0)</f>
        <v>1536</v>
      </c>
      <c r="S52" s="66">
        <f>ROUNDDOWN(AVERAGE(IncomeLimits!Z50:'IncomeLimits'!AA50)*0.3/12,0)</f>
        <v>1695</v>
      </c>
      <c r="T52" s="66">
        <f>ROUNDDOWN(IncomeLimits!AC50*0.3/12, 0)</f>
        <v>1158</v>
      </c>
      <c r="U52" s="66">
        <f>ROUNDDOWN(AVERAGE(IncomeLimits!AC50:'IncomeLimits'!AD50)*0.3/12,0)</f>
        <v>1241</v>
      </c>
      <c r="V52" s="66">
        <f>ROUNDDOWN(IncomeLimits!AE50*0.3/12, 0)</f>
        <v>1490</v>
      </c>
      <c r="W52" s="66">
        <f>ROUNDDOWN(AVERAGE(IncomeLimits!AF50:'IncomeLimits'!AG50)*0.3/12,0)</f>
        <v>1721</v>
      </c>
      <c r="X52" s="66">
        <f>ROUNDDOWN(IncomeLimits!AH50*0.3/12,0)</f>
        <v>1920</v>
      </c>
      <c r="Y52" s="66">
        <f>ROUNDDOWN(AVERAGE(IncomeLimits!AI50:'IncomeLimits'!AJ50)*0.3/12,0)</f>
        <v>2118</v>
      </c>
      <c r="Z52" s="1679">
        <f>ROUNDDOWN(IncomeLimits!AL50*0.3/12, 0)</f>
        <v>1390</v>
      </c>
      <c r="AA52" s="1009">
        <f>ROUNDDOWN(AVERAGE(IncomeLimits!AL50:'IncomeLimits'!AM50)*0.3/12, 0)</f>
        <v>1490</v>
      </c>
      <c r="AB52" s="1009">
        <f>ROUNDDOWN(IncomeLimits!AN50*0.3/12, 0)</f>
        <v>1788</v>
      </c>
      <c r="AC52" s="1009">
        <f>ROUNDDOWN(AVERAGE(IncomeLimits!AO50:'IncomeLimits'!AP50)*0.3/12,0)</f>
        <v>2065</v>
      </c>
      <c r="AD52" s="1009">
        <f>ROUNDDOWN(IncomeLimits!AQ50*0.3/12,0)</f>
        <v>2304</v>
      </c>
      <c r="AE52" s="1680">
        <f>ROUNDDOWN(AVERAGE(IncomeLimits!AR50:'IncomeLimits'!AS50)*0.3/12,0)</f>
        <v>2542</v>
      </c>
      <c r="AF52" s="65">
        <f>ROUNDDOWN(IncomeLimits!AU50*0.3/12, 0)</f>
        <v>1622</v>
      </c>
      <c r="AG52" s="1009">
        <f>ROUNDDOWN(AVERAGE(IncomeLimits!AU50:'IncomeLimits'!AV50)*0.3/12, 0)</f>
        <v>1738</v>
      </c>
      <c r="AH52" s="1009">
        <f>ROUNDDOWN(IncomeLimits!AW50*0.3/12, 0)</f>
        <v>2086</v>
      </c>
      <c r="AI52" s="1009">
        <f>ROUNDDOWN(AVERAGE(IncomeLimits!AX50:'IncomeLimits'!AY50)*0.3/12,0)</f>
        <v>2409</v>
      </c>
      <c r="AJ52" s="1009">
        <f>ROUNDDOWN(IncomeLimits!AZ50*0.3/12,0)</f>
        <v>2688</v>
      </c>
      <c r="AK52" s="76">
        <f>ROUNDDOWN(AVERAGE(IncomeLimits!BA50:'IncomeLimits'!BB50)*0.3/12,0)</f>
        <v>2966</v>
      </c>
      <c r="AL52" s="65">
        <f>ROUNDDOWN(IncomeLimits!BD50*0.3/12, 0)</f>
        <v>1854</v>
      </c>
      <c r="AM52" s="1009">
        <f>ROUNDDOWN(AVERAGE(IncomeLimits!BD50:'IncomeLimits'!BE50)*0.3/12, 0)</f>
        <v>1987</v>
      </c>
      <c r="AN52" s="1009">
        <f>ROUNDDOWN(IncomeLimits!BF50*0.3/12, 0)</f>
        <v>2384</v>
      </c>
      <c r="AO52" s="1009">
        <f>ROUNDDOWN(AVERAGE(IncomeLimits!BG50:'IncomeLimits'!BH50)*0.3/12,0)</f>
        <v>2754</v>
      </c>
      <c r="AP52" s="1009">
        <f>ROUNDDOWN(IncomeLimits!BI50*0.3/12,0)</f>
        <v>3072</v>
      </c>
      <c r="AQ52" s="76">
        <f>ROUNDDOWN(AVERAGE(IncomeLimits!BJ50:'IncomeLimits'!BK50)*0.3/12,0)</f>
        <v>3390</v>
      </c>
    </row>
    <row r="53" spans="1:43">
      <c r="A53" s="77" t="s">
        <v>469</v>
      </c>
      <c r="B53" s="75">
        <f>ROUNDDOWN(IncomeLimits!B51*0.3/12, 0)</f>
        <v>341</v>
      </c>
      <c r="C53" s="1009">
        <f>ROUNDDOWN(AVERAGE(IncomeLimits!B51:C51)*0.3/12, 0)</f>
        <v>365</v>
      </c>
      <c r="D53" s="1009">
        <f>ROUNDDOWN(IncomeLimits!D51*0.3/12, 0)</f>
        <v>439</v>
      </c>
      <c r="E53" s="1009">
        <f>ROUNDDOWN(AVERAGE(IncomeLimits!E51:'IncomeLimits'!F51)*0.3/12,0)</f>
        <v>507</v>
      </c>
      <c r="F53" s="1009">
        <f>ROUNDDOWN(IncomeLimits!G51*0.3/12,0)</f>
        <v>565</v>
      </c>
      <c r="G53" s="66">
        <f>ROUNDDOWN(AVERAGE(IncomeLimits!H51:'IncomeLimits'!I51)*0.3/12,0)</f>
        <v>624</v>
      </c>
      <c r="H53" s="75">
        <f>ROUNDDOWN(IncomeLimits!K51*0.3/12, 0)</f>
        <v>512</v>
      </c>
      <c r="I53" s="1009">
        <f>ROUNDDOWN(AVERAGE(IncomeLimits!K51:'IncomeLimits'!L51)*0.3/12, 0)</f>
        <v>548</v>
      </c>
      <c r="J53" s="1009">
        <f>ROUNDDOWN(IncomeLimits!M51*0.3/12, 0)</f>
        <v>658</v>
      </c>
      <c r="K53" s="1009">
        <f>ROUNDDOWN(AVERAGE(IncomeLimits!N51:'IncomeLimits'!O51)*0.3/12,0)</f>
        <v>760</v>
      </c>
      <c r="L53" s="1009">
        <f>ROUNDDOWN(IncomeLimits!P51*0.3/12,0)</f>
        <v>848</v>
      </c>
      <c r="M53" s="76">
        <f>ROUNDDOWN(AVERAGE(IncomeLimits!Q51:'IncomeLimits'!R51)*0.3/12,0)</f>
        <v>936</v>
      </c>
      <c r="N53" s="65">
        <f>ROUNDDOWN(IncomeLimits!T51*0.3/12, 0)</f>
        <v>683</v>
      </c>
      <c r="O53" s="1009">
        <f>ROUNDDOWN(AVERAGE(IncomeLimits!T51:'IncomeLimits'!U51)*0.3/12, 0)</f>
        <v>731</v>
      </c>
      <c r="P53" s="1009">
        <f>ROUNDDOWN(IncomeLimits!V51*0.3/12, 0)</f>
        <v>878</v>
      </c>
      <c r="Q53" s="1009">
        <f>ROUNDDOWN(AVERAGE(IncomeLimits!W51:'IncomeLimits'!X51)*0.3/12,0)</f>
        <v>1014</v>
      </c>
      <c r="R53" s="1009">
        <f>ROUNDDOWN(IncomeLimits!Y51*0.3/12,0)</f>
        <v>1131</v>
      </c>
      <c r="S53" s="66">
        <f>ROUNDDOWN(AVERAGE(IncomeLimits!Z51:'IncomeLimits'!AA51)*0.3/12,0)</f>
        <v>1248</v>
      </c>
      <c r="T53" s="66">
        <f>ROUNDDOWN(IncomeLimits!AC51*0.3/12, 0)</f>
        <v>853</v>
      </c>
      <c r="U53" s="66">
        <f>ROUNDDOWN(AVERAGE(IncomeLimits!AC51:'IncomeLimits'!AD51)*0.3/12,0)</f>
        <v>914</v>
      </c>
      <c r="V53" s="66">
        <f>ROUNDDOWN(IncomeLimits!AE51*0.3/12, 0)</f>
        <v>1097</v>
      </c>
      <c r="W53" s="66">
        <f>ROUNDDOWN(AVERAGE(IncomeLimits!AF51:'IncomeLimits'!AG51)*0.3/12,0)</f>
        <v>1267</v>
      </c>
      <c r="X53" s="66">
        <f>ROUNDDOWN(IncomeLimits!AH51*0.3/12,0)</f>
        <v>1413</v>
      </c>
      <c r="Y53" s="66">
        <f>ROUNDDOWN(AVERAGE(IncomeLimits!AI51:'IncomeLimits'!AJ51)*0.3/12,0)</f>
        <v>1560</v>
      </c>
      <c r="Z53" s="1679">
        <f>ROUNDDOWN(IncomeLimits!AL51*0.3/12, 0)</f>
        <v>1024</v>
      </c>
      <c r="AA53" s="1009">
        <f>ROUNDDOWN(AVERAGE(IncomeLimits!AL51:'IncomeLimits'!AM51)*0.3/12, 0)</f>
        <v>1097</v>
      </c>
      <c r="AB53" s="1009">
        <f>ROUNDDOWN(IncomeLimits!AN51*0.3/12, 0)</f>
        <v>1317</v>
      </c>
      <c r="AC53" s="1009">
        <f>ROUNDDOWN(AVERAGE(IncomeLimits!AO51:'IncomeLimits'!AP51)*0.3/12,0)</f>
        <v>1521</v>
      </c>
      <c r="AD53" s="1009">
        <f>ROUNDDOWN(IncomeLimits!AQ51*0.3/12,0)</f>
        <v>1696</v>
      </c>
      <c r="AE53" s="1680">
        <f>ROUNDDOWN(AVERAGE(IncomeLimits!AR51:'IncomeLimits'!AS51)*0.3/12,0)</f>
        <v>1872</v>
      </c>
      <c r="AF53" s="65">
        <f>ROUNDDOWN(IncomeLimits!AU51*0.3/12, 0)</f>
        <v>1195</v>
      </c>
      <c r="AG53" s="1009">
        <f>ROUNDDOWN(AVERAGE(IncomeLimits!AU51:'IncomeLimits'!AV51)*0.3/12, 0)</f>
        <v>1280</v>
      </c>
      <c r="AH53" s="1009">
        <f>ROUNDDOWN(IncomeLimits!AW51*0.3/12, 0)</f>
        <v>1536</v>
      </c>
      <c r="AI53" s="1009">
        <f>ROUNDDOWN(AVERAGE(IncomeLimits!AX51:'IncomeLimits'!AY51)*0.3/12,0)</f>
        <v>1774</v>
      </c>
      <c r="AJ53" s="1009">
        <f>ROUNDDOWN(IncomeLimits!AZ51*0.3/12,0)</f>
        <v>1979</v>
      </c>
      <c r="AK53" s="76">
        <f>ROUNDDOWN(AVERAGE(IncomeLimits!BA51:'IncomeLimits'!BB51)*0.3/12,0)</f>
        <v>2184</v>
      </c>
      <c r="AL53" s="65">
        <f>ROUNDDOWN(IncomeLimits!BD51*0.3/12, 0)</f>
        <v>1366</v>
      </c>
      <c r="AM53" s="1009">
        <f>ROUNDDOWN(AVERAGE(IncomeLimits!BD51:'IncomeLimits'!BE51)*0.3/12, 0)</f>
        <v>1463</v>
      </c>
      <c r="AN53" s="1009">
        <f>ROUNDDOWN(IncomeLimits!BF51*0.3/12, 0)</f>
        <v>1756</v>
      </c>
      <c r="AO53" s="1009">
        <f>ROUNDDOWN(AVERAGE(IncomeLimits!BG51:'IncomeLimits'!BH51)*0.3/12,0)</f>
        <v>2028</v>
      </c>
      <c r="AP53" s="1009">
        <f>ROUNDDOWN(IncomeLimits!BI51*0.3/12,0)</f>
        <v>2262</v>
      </c>
      <c r="AQ53" s="76">
        <f>ROUNDDOWN(AVERAGE(IncomeLimits!BJ51:'IncomeLimits'!BK51)*0.3/12,0)</f>
        <v>2496</v>
      </c>
    </row>
    <row r="54" spans="1:43">
      <c r="A54" s="77" t="s">
        <v>471</v>
      </c>
      <c r="B54" s="75">
        <f>ROUNDDOWN(IncomeLimits!B52*0.3/12, 0)</f>
        <v>342</v>
      </c>
      <c r="C54" s="1009">
        <f>ROUNDDOWN(AVERAGE(IncomeLimits!B52:C52)*0.3/12, 0)</f>
        <v>367</v>
      </c>
      <c r="D54" s="1009">
        <f>ROUNDDOWN(IncomeLimits!D52*0.3/12, 0)</f>
        <v>440</v>
      </c>
      <c r="E54" s="1009">
        <f>ROUNDDOWN(AVERAGE(IncomeLimits!E52:'IncomeLimits'!F52)*0.3/12,0)</f>
        <v>508</v>
      </c>
      <c r="F54" s="1009">
        <f>ROUNDDOWN(IncomeLimits!G52*0.3/12,0)</f>
        <v>567</v>
      </c>
      <c r="G54" s="66">
        <f>ROUNDDOWN(AVERAGE(IncomeLimits!H52:'IncomeLimits'!I52)*0.3/12,0)</f>
        <v>626</v>
      </c>
      <c r="H54" s="75">
        <f>ROUNDDOWN(IncomeLimits!K52*0.3/12, 0)</f>
        <v>513</v>
      </c>
      <c r="I54" s="1009">
        <f>ROUNDDOWN(AVERAGE(IncomeLimits!K52:'IncomeLimits'!L52)*0.3/12, 0)</f>
        <v>550</v>
      </c>
      <c r="J54" s="1009">
        <f>ROUNDDOWN(IncomeLimits!M52*0.3/12, 0)</f>
        <v>660</v>
      </c>
      <c r="K54" s="1009">
        <f>ROUNDDOWN(AVERAGE(IncomeLimits!N52:'IncomeLimits'!O52)*0.3/12,0)</f>
        <v>763</v>
      </c>
      <c r="L54" s="1009">
        <f>ROUNDDOWN(IncomeLimits!P52*0.3/12,0)</f>
        <v>851</v>
      </c>
      <c r="M54" s="76">
        <f>ROUNDDOWN(AVERAGE(IncomeLimits!Q52:'IncomeLimits'!R52)*0.3/12,0)</f>
        <v>939</v>
      </c>
      <c r="N54" s="65">
        <f>ROUNDDOWN(IncomeLimits!T52*0.3/12, 0)</f>
        <v>685</v>
      </c>
      <c r="O54" s="1009">
        <f>ROUNDDOWN(AVERAGE(IncomeLimits!T52:'IncomeLimits'!U52)*0.3/12, 0)</f>
        <v>734</v>
      </c>
      <c r="P54" s="1009">
        <f>ROUNDDOWN(IncomeLimits!V52*0.3/12, 0)</f>
        <v>881</v>
      </c>
      <c r="Q54" s="1009">
        <f>ROUNDDOWN(AVERAGE(IncomeLimits!W52:'IncomeLimits'!X52)*0.3/12,0)</f>
        <v>1017</v>
      </c>
      <c r="R54" s="1009">
        <f>ROUNDDOWN(IncomeLimits!Y52*0.3/12,0)</f>
        <v>1135</v>
      </c>
      <c r="S54" s="66">
        <f>ROUNDDOWN(AVERAGE(IncomeLimits!Z52:'IncomeLimits'!AA52)*0.3/12,0)</f>
        <v>1252</v>
      </c>
      <c r="T54" s="66">
        <f>ROUNDDOWN(IncomeLimits!AC52*0.3/12, 0)</f>
        <v>856</v>
      </c>
      <c r="U54" s="66">
        <f>ROUNDDOWN(AVERAGE(IncomeLimits!AC52:'IncomeLimits'!AD52)*0.3/12,0)</f>
        <v>917</v>
      </c>
      <c r="V54" s="66">
        <f>ROUNDDOWN(IncomeLimits!AE52*0.3/12, 0)</f>
        <v>1101</v>
      </c>
      <c r="W54" s="66">
        <f>ROUNDDOWN(AVERAGE(IncomeLimits!AF52:'IncomeLimits'!AG52)*0.3/12,0)</f>
        <v>1271</v>
      </c>
      <c r="X54" s="66">
        <f>ROUNDDOWN(IncomeLimits!AH52*0.3/12,0)</f>
        <v>1418</v>
      </c>
      <c r="Y54" s="66">
        <f>ROUNDDOWN(AVERAGE(IncomeLimits!AI52:'IncomeLimits'!AJ52)*0.3/12,0)</f>
        <v>1565</v>
      </c>
      <c r="Z54" s="1679">
        <f>ROUNDDOWN(IncomeLimits!AL52*0.3/12, 0)</f>
        <v>1027</v>
      </c>
      <c r="AA54" s="1009">
        <f>ROUNDDOWN(AVERAGE(IncomeLimits!AL52:'IncomeLimits'!AM52)*0.3/12, 0)</f>
        <v>1101</v>
      </c>
      <c r="AB54" s="1009">
        <f>ROUNDDOWN(IncomeLimits!AN52*0.3/12, 0)</f>
        <v>1321</v>
      </c>
      <c r="AC54" s="1009">
        <f>ROUNDDOWN(AVERAGE(IncomeLimits!AO52:'IncomeLimits'!AP52)*0.3/12,0)</f>
        <v>1526</v>
      </c>
      <c r="AD54" s="1009">
        <f>ROUNDDOWN(IncomeLimits!AQ52*0.3/12,0)</f>
        <v>1702</v>
      </c>
      <c r="AE54" s="1680">
        <f>ROUNDDOWN(AVERAGE(IncomeLimits!AR52:'IncomeLimits'!AS52)*0.3/12,0)</f>
        <v>1878</v>
      </c>
      <c r="AF54" s="65">
        <f>ROUNDDOWN(IncomeLimits!AU52*0.3/12, 0)</f>
        <v>1198</v>
      </c>
      <c r="AG54" s="1009">
        <f>ROUNDDOWN(AVERAGE(IncomeLimits!AU52:'IncomeLimits'!AV52)*0.3/12, 0)</f>
        <v>1284</v>
      </c>
      <c r="AH54" s="1009">
        <f>ROUNDDOWN(IncomeLimits!AW52*0.3/12, 0)</f>
        <v>1541</v>
      </c>
      <c r="AI54" s="1009">
        <f>ROUNDDOWN(AVERAGE(IncomeLimits!AX52:'IncomeLimits'!AY52)*0.3/12,0)</f>
        <v>1780</v>
      </c>
      <c r="AJ54" s="1009">
        <f>ROUNDDOWN(IncomeLimits!AZ52*0.3/12,0)</f>
        <v>1986</v>
      </c>
      <c r="AK54" s="76">
        <f>ROUNDDOWN(AVERAGE(IncomeLimits!BA52:'IncomeLimits'!BB52)*0.3/12,0)</f>
        <v>2191</v>
      </c>
      <c r="AL54" s="65">
        <f>ROUNDDOWN(IncomeLimits!BD52*0.3/12, 0)</f>
        <v>1370</v>
      </c>
      <c r="AM54" s="1009">
        <f>ROUNDDOWN(AVERAGE(IncomeLimits!BD52:'IncomeLimits'!BE52)*0.3/12, 0)</f>
        <v>1468</v>
      </c>
      <c r="AN54" s="1009">
        <f>ROUNDDOWN(IncomeLimits!BF52*0.3/12, 0)</f>
        <v>1762</v>
      </c>
      <c r="AO54" s="1009">
        <f>ROUNDDOWN(AVERAGE(IncomeLimits!BG52:'IncomeLimits'!BH52)*0.3/12,0)</f>
        <v>2035</v>
      </c>
      <c r="AP54" s="1009">
        <f>ROUNDDOWN(IncomeLimits!BI52*0.3/12,0)</f>
        <v>2270</v>
      </c>
      <c r="AQ54" s="76">
        <f>ROUNDDOWN(AVERAGE(IncomeLimits!BJ52:'IncomeLimits'!BK52)*0.3/12,0)</f>
        <v>2504</v>
      </c>
    </row>
    <row r="55" spans="1:43">
      <c r="A55" s="77" t="s">
        <v>473</v>
      </c>
      <c r="B55" s="75">
        <f>ROUNDDOWN(IncomeLimits!B53*0.3/12, 0)</f>
        <v>325</v>
      </c>
      <c r="C55" s="1009">
        <f>ROUNDDOWN(AVERAGE(IncomeLimits!B53:C53)*0.3/12, 0)</f>
        <v>348</v>
      </c>
      <c r="D55" s="1009">
        <f>ROUNDDOWN(IncomeLimits!D53*0.3/12, 0)</f>
        <v>418</v>
      </c>
      <c r="E55" s="1009">
        <f>ROUNDDOWN(AVERAGE(IncomeLimits!E53:'IncomeLimits'!F53)*0.3/12,0)</f>
        <v>482</v>
      </c>
      <c r="F55" s="1009">
        <f>ROUNDDOWN(IncomeLimits!G53*0.3/12,0)</f>
        <v>538</v>
      </c>
      <c r="G55" s="66">
        <f>ROUNDDOWN(AVERAGE(IncomeLimits!H53:'IncomeLimits'!I53)*0.3/12,0)</f>
        <v>594</v>
      </c>
      <c r="H55" s="75">
        <f>ROUNDDOWN(IncomeLimits!K53*0.3/12, 0)</f>
        <v>487</v>
      </c>
      <c r="I55" s="1009">
        <f>ROUNDDOWN(AVERAGE(IncomeLimits!K53:'IncomeLimits'!L53)*0.3/12, 0)</f>
        <v>522</v>
      </c>
      <c r="J55" s="1009">
        <f>ROUNDDOWN(IncomeLimits!M53*0.3/12, 0)</f>
        <v>627</v>
      </c>
      <c r="K55" s="1009">
        <f>ROUNDDOWN(AVERAGE(IncomeLimits!N53:'IncomeLimits'!O53)*0.3/12,0)</f>
        <v>724</v>
      </c>
      <c r="L55" s="1009">
        <f>ROUNDDOWN(IncomeLimits!P53*0.3/12,0)</f>
        <v>807</v>
      </c>
      <c r="M55" s="76">
        <f>ROUNDDOWN(AVERAGE(IncomeLimits!Q53:'IncomeLimits'!R53)*0.3/12,0)</f>
        <v>891</v>
      </c>
      <c r="N55" s="65">
        <f>ROUNDDOWN(IncomeLimits!T53*0.3/12, 0)</f>
        <v>650</v>
      </c>
      <c r="O55" s="1009">
        <f>ROUNDDOWN(AVERAGE(IncomeLimits!T53:'IncomeLimits'!U53)*0.3/12, 0)</f>
        <v>696</v>
      </c>
      <c r="P55" s="1009">
        <f>ROUNDDOWN(IncomeLimits!V53*0.3/12, 0)</f>
        <v>836</v>
      </c>
      <c r="Q55" s="1009">
        <f>ROUNDDOWN(AVERAGE(IncomeLimits!W53:'IncomeLimits'!X53)*0.3/12,0)</f>
        <v>965</v>
      </c>
      <c r="R55" s="1009">
        <f>ROUNDDOWN(IncomeLimits!Y53*0.3/12,0)</f>
        <v>1077</v>
      </c>
      <c r="S55" s="66">
        <f>ROUNDDOWN(AVERAGE(IncomeLimits!Z53:'IncomeLimits'!AA53)*0.3/12,0)</f>
        <v>1188</v>
      </c>
      <c r="T55" s="66">
        <f>ROUNDDOWN(IncomeLimits!AC53*0.3/12, 0)</f>
        <v>812</v>
      </c>
      <c r="U55" s="66">
        <f>ROUNDDOWN(AVERAGE(IncomeLimits!AC53:'IncomeLimits'!AD53)*0.3/12,0)</f>
        <v>870</v>
      </c>
      <c r="V55" s="66">
        <f>ROUNDDOWN(IncomeLimits!AE53*0.3/12, 0)</f>
        <v>1045</v>
      </c>
      <c r="W55" s="66">
        <f>ROUNDDOWN(AVERAGE(IncomeLimits!AF53:'IncomeLimits'!AG53)*0.3/12,0)</f>
        <v>1206</v>
      </c>
      <c r="X55" s="66">
        <f>ROUNDDOWN(IncomeLimits!AH53*0.3/12,0)</f>
        <v>1346</v>
      </c>
      <c r="Y55" s="66">
        <f>ROUNDDOWN(AVERAGE(IncomeLimits!AI53:'IncomeLimits'!AJ53)*0.3/12,0)</f>
        <v>1485</v>
      </c>
      <c r="Z55" s="1679">
        <f>ROUNDDOWN(IncomeLimits!AL53*0.3/12, 0)</f>
        <v>975</v>
      </c>
      <c r="AA55" s="1009">
        <f>ROUNDDOWN(AVERAGE(IncomeLimits!AL53:'IncomeLimits'!AM53)*0.3/12, 0)</f>
        <v>1044</v>
      </c>
      <c r="AB55" s="1009">
        <f>ROUNDDOWN(IncomeLimits!AN53*0.3/12, 0)</f>
        <v>1254</v>
      </c>
      <c r="AC55" s="1009">
        <f>ROUNDDOWN(AVERAGE(IncomeLimits!AO53:'IncomeLimits'!AP53)*0.3/12,0)</f>
        <v>1448</v>
      </c>
      <c r="AD55" s="1009">
        <f>ROUNDDOWN(IncomeLimits!AQ53*0.3/12,0)</f>
        <v>1615</v>
      </c>
      <c r="AE55" s="1680">
        <f>ROUNDDOWN(AVERAGE(IncomeLimits!AR53:'IncomeLimits'!AS53)*0.3/12,0)</f>
        <v>1782</v>
      </c>
      <c r="AF55" s="65">
        <f>ROUNDDOWN(IncomeLimits!AU53*0.3/12, 0)</f>
        <v>1137</v>
      </c>
      <c r="AG55" s="1009">
        <f>ROUNDDOWN(AVERAGE(IncomeLimits!AU53:'IncomeLimits'!AV53)*0.3/12, 0)</f>
        <v>1218</v>
      </c>
      <c r="AH55" s="1009">
        <f>ROUNDDOWN(IncomeLimits!AW53*0.3/12, 0)</f>
        <v>1463</v>
      </c>
      <c r="AI55" s="1009">
        <f>ROUNDDOWN(AVERAGE(IncomeLimits!AX53:'IncomeLimits'!AY53)*0.3/12,0)</f>
        <v>1689</v>
      </c>
      <c r="AJ55" s="1009">
        <f>ROUNDDOWN(IncomeLimits!AZ53*0.3/12,0)</f>
        <v>1884</v>
      </c>
      <c r="AK55" s="76">
        <f>ROUNDDOWN(AVERAGE(IncomeLimits!BA53:'IncomeLimits'!BB53)*0.3/12,0)</f>
        <v>2079</v>
      </c>
      <c r="AL55" s="65">
        <f>ROUNDDOWN(IncomeLimits!BD53*0.3/12, 0)</f>
        <v>1300</v>
      </c>
      <c r="AM55" s="1009">
        <f>ROUNDDOWN(AVERAGE(IncomeLimits!BD53:'IncomeLimits'!BE53)*0.3/12, 0)</f>
        <v>1393</v>
      </c>
      <c r="AN55" s="1009">
        <f>ROUNDDOWN(IncomeLimits!BF53*0.3/12, 0)</f>
        <v>1672</v>
      </c>
      <c r="AO55" s="1009">
        <f>ROUNDDOWN(AVERAGE(IncomeLimits!BG53:'IncomeLimits'!BH53)*0.3/12,0)</f>
        <v>1931</v>
      </c>
      <c r="AP55" s="1009">
        <f>ROUNDDOWN(IncomeLimits!BI53*0.3/12,0)</f>
        <v>2154</v>
      </c>
      <c r="AQ55" s="76">
        <f>ROUNDDOWN(AVERAGE(IncomeLimits!BJ53:'IncomeLimits'!BK53)*0.3/12,0)</f>
        <v>2376</v>
      </c>
    </row>
    <row r="56" spans="1:43">
      <c r="A56" s="77" t="s">
        <v>415</v>
      </c>
      <c r="B56" s="75">
        <f>ROUNDDOWN(IncomeLimits!B54*0.3/12, 0)</f>
        <v>345</v>
      </c>
      <c r="C56" s="1009">
        <f>ROUNDDOWN(AVERAGE(IncomeLimits!B54:C54)*0.3/12, 0)</f>
        <v>370</v>
      </c>
      <c r="D56" s="1009">
        <f>ROUNDDOWN(IncomeLimits!D54*0.3/12, 0)</f>
        <v>444</v>
      </c>
      <c r="E56" s="1009">
        <f>ROUNDDOWN(AVERAGE(IncomeLimits!E54:'IncomeLimits'!F54)*0.3/12,0)</f>
        <v>512</v>
      </c>
      <c r="F56" s="1009">
        <f>ROUNDDOWN(IncomeLimits!G54*0.3/12,0)</f>
        <v>572</v>
      </c>
      <c r="G56" s="66">
        <f>ROUNDDOWN(AVERAGE(IncomeLimits!H54:'IncomeLimits'!I54)*0.3/12,0)</f>
        <v>631</v>
      </c>
      <c r="H56" s="75">
        <f>ROUNDDOWN(IncomeLimits!K54*0.3/12, 0)</f>
        <v>518</v>
      </c>
      <c r="I56" s="1009">
        <f>ROUNDDOWN(AVERAGE(IncomeLimits!K54:'IncomeLimits'!L54)*0.3/12, 0)</f>
        <v>555</v>
      </c>
      <c r="J56" s="1009">
        <f>ROUNDDOWN(IncomeLimits!M54*0.3/12, 0)</f>
        <v>666</v>
      </c>
      <c r="K56" s="1009">
        <f>ROUNDDOWN(AVERAGE(IncomeLimits!N54:'IncomeLimits'!O54)*0.3/12,0)</f>
        <v>769</v>
      </c>
      <c r="L56" s="1009">
        <f>ROUNDDOWN(IncomeLimits!P54*0.3/12,0)</f>
        <v>858</v>
      </c>
      <c r="M56" s="76">
        <f>ROUNDDOWN(AVERAGE(IncomeLimits!Q54:'IncomeLimits'!R54)*0.3/12,0)</f>
        <v>946</v>
      </c>
      <c r="N56" s="65">
        <f>ROUNDDOWN(IncomeLimits!T54*0.3/12, 0)</f>
        <v>691</v>
      </c>
      <c r="O56" s="1009">
        <f>ROUNDDOWN(AVERAGE(IncomeLimits!T54:'IncomeLimits'!U54)*0.3/12, 0)</f>
        <v>740</v>
      </c>
      <c r="P56" s="1009">
        <f>ROUNDDOWN(IncomeLimits!V54*0.3/12, 0)</f>
        <v>888</v>
      </c>
      <c r="Q56" s="1009">
        <f>ROUNDDOWN(AVERAGE(IncomeLimits!W54:'IncomeLimits'!X54)*0.3/12,0)</f>
        <v>1025</v>
      </c>
      <c r="R56" s="1009">
        <f>ROUNDDOWN(IncomeLimits!Y54*0.3/12,0)</f>
        <v>1144</v>
      </c>
      <c r="S56" s="66">
        <f>ROUNDDOWN(AVERAGE(IncomeLimits!Z54:'IncomeLimits'!AA54)*0.3/12,0)</f>
        <v>1262</v>
      </c>
      <c r="T56" s="66">
        <f>ROUNDDOWN(IncomeLimits!AC54*0.3/12, 0)</f>
        <v>863</v>
      </c>
      <c r="U56" s="66">
        <f>ROUNDDOWN(AVERAGE(IncomeLimits!AC54:'IncomeLimits'!AD54)*0.3/12,0)</f>
        <v>925</v>
      </c>
      <c r="V56" s="66">
        <f>ROUNDDOWN(IncomeLimits!AE54*0.3/12, 0)</f>
        <v>1110</v>
      </c>
      <c r="W56" s="66">
        <f>ROUNDDOWN(AVERAGE(IncomeLimits!AF54:'IncomeLimits'!AG54)*0.3/12,0)</f>
        <v>1281</v>
      </c>
      <c r="X56" s="66">
        <f>ROUNDDOWN(IncomeLimits!AH54*0.3/12,0)</f>
        <v>1430</v>
      </c>
      <c r="Y56" s="66">
        <f>ROUNDDOWN(AVERAGE(IncomeLimits!AI54:'IncomeLimits'!AJ54)*0.3/12,0)</f>
        <v>1578</v>
      </c>
      <c r="Z56" s="1679">
        <f>ROUNDDOWN(IncomeLimits!AL54*0.3/12, 0)</f>
        <v>1036</v>
      </c>
      <c r="AA56" s="1009">
        <f>ROUNDDOWN(AVERAGE(IncomeLimits!AL54:'IncomeLimits'!AM54)*0.3/12, 0)</f>
        <v>1110</v>
      </c>
      <c r="AB56" s="1009">
        <f>ROUNDDOWN(IncomeLimits!AN54*0.3/12, 0)</f>
        <v>1332</v>
      </c>
      <c r="AC56" s="1009">
        <f>ROUNDDOWN(AVERAGE(IncomeLimits!AO54:'IncomeLimits'!AP54)*0.3/12,0)</f>
        <v>1538</v>
      </c>
      <c r="AD56" s="1009">
        <f>ROUNDDOWN(IncomeLimits!AQ54*0.3/12,0)</f>
        <v>1716</v>
      </c>
      <c r="AE56" s="1680">
        <f>ROUNDDOWN(AVERAGE(IncomeLimits!AR54:'IncomeLimits'!AS54)*0.3/12,0)</f>
        <v>1893</v>
      </c>
      <c r="AF56" s="65">
        <f>ROUNDDOWN(IncomeLimits!AU54*0.3/12, 0)</f>
        <v>1209</v>
      </c>
      <c r="AG56" s="1009">
        <f>ROUNDDOWN(AVERAGE(IncomeLimits!AU54:'IncomeLimits'!AV54)*0.3/12, 0)</f>
        <v>1295</v>
      </c>
      <c r="AH56" s="1009">
        <f>ROUNDDOWN(IncomeLimits!AW54*0.3/12, 0)</f>
        <v>1554</v>
      </c>
      <c r="AI56" s="1009">
        <f>ROUNDDOWN(AVERAGE(IncomeLimits!AX54:'IncomeLimits'!AY54)*0.3/12,0)</f>
        <v>1794</v>
      </c>
      <c r="AJ56" s="1009">
        <f>ROUNDDOWN(IncomeLimits!AZ54*0.3/12,0)</f>
        <v>2002</v>
      </c>
      <c r="AK56" s="76">
        <f>ROUNDDOWN(AVERAGE(IncomeLimits!BA54:'IncomeLimits'!BB54)*0.3/12,0)</f>
        <v>2209</v>
      </c>
      <c r="AL56" s="65">
        <f>ROUNDDOWN(IncomeLimits!BD54*0.3/12, 0)</f>
        <v>1382</v>
      </c>
      <c r="AM56" s="1009">
        <f>ROUNDDOWN(AVERAGE(IncomeLimits!BD54:'IncomeLimits'!BE54)*0.3/12, 0)</f>
        <v>1480</v>
      </c>
      <c r="AN56" s="1009">
        <f>ROUNDDOWN(IncomeLimits!BF54*0.3/12, 0)</f>
        <v>1776</v>
      </c>
      <c r="AO56" s="1009">
        <f>ROUNDDOWN(AVERAGE(IncomeLimits!BG54:'IncomeLimits'!BH54)*0.3/12,0)</f>
        <v>2051</v>
      </c>
      <c r="AP56" s="1009">
        <f>ROUNDDOWN(IncomeLimits!BI54*0.3/12,0)</f>
        <v>2288</v>
      </c>
      <c r="AQ56" s="76">
        <f>ROUNDDOWN(AVERAGE(IncomeLimits!BJ54:'IncomeLimits'!BK54)*0.3/12,0)</f>
        <v>2525</v>
      </c>
    </row>
    <row r="57" spans="1:43">
      <c r="A57" s="77" t="s">
        <v>476</v>
      </c>
      <c r="B57" s="75">
        <f>ROUNDDOWN(IncomeLimits!B55*0.3/12, 0)</f>
        <v>325</v>
      </c>
      <c r="C57" s="1009">
        <f>ROUNDDOWN(AVERAGE(IncomeLimits!B55:C55)*0.3/12, 0)</f>
        <v>348</v>
      </c>
      <c r="D57" s="1009">
        <f>ROUNDDOWN(IncomeLimits!D55*0.3/12, 0)</f>
        <v>418</v>
      </c>
      <c r="E57" s="1009">
        <f>ROUNDDOWN(AVERAGE(IncomeLimits!E55:'IncomeLimits'!F55)*0.3/12,0)</f>
        <v>482</v>
      </c>
      <c r="F57" s="1009">
        <f>ROUNDDOWN(IncomeLimits!G55*0.3/12,0)</f>
        <v>538</v>
      </c>
      <c r="G57" s="66">
        <f>ROUNDDOWN(AVERAGE(IncomeLimits!H55:'IncomeLimits'!I55)*0.3/12,0)</f>
        <v>594</v>
      </c>
      <c r="H57" s="75">
        <f>ROUNDDOWN(IncomeLimits!K55*0.3/12, 0)</f>
        <v>487</v>
      </c>
      <c r="I57" s="1009">
        <f>ROUNDDOWN(AVERAGE(IncomeLimits!K55:'IncomeLimits'!L55)*0.3/12, 0)</f>
        <v>522</v>
      </c>
      <c r="J57" s="1009">
        <f>ROUNDDOWN(IncomeLimits!M55*0.3/12, 0)</f>
        <v>627</v>
      </c>
      <c r="K57" s="1009">
        <f>ROUNDDOWN(AVERAGE(IncomeLimits!N55:'IncomeLimits'!O55)*0.3/12,0)</f>
        <v>724</v>
      </c>
      <c r="L57" s="1009">
        <f>ROUNDDOWN(IncomeLimits!P55*0.3/12,0)</f>
        <v>807</v>
      </c>
      <c r="M57" s="76">
        <f>ROUNDDOWN(AVERAGE(IncomeLimits!Q55:'IncomeLimits'!R55)*0.3/12,0)</f>
        <v>891</v>
      </c>
      <c r="N57" s="65">
        <f>ROUNDDOWN(IncomeLimits!T55*0.3/12, 0)</f>
        <v>650</v>
      </c>
      <c r="O57" s="1009">
        <f>ROUNDDOWN(AVERAGE(IncomeLimits!T55:'IncomeLimits'!U55)*0.3/12, 0)</f>
        <v>696</v>
      </c>
      <c r="P57" s="1009">
        <f>ROUNDDOWN(IncomeLimits!V55*0.3/12, 0)</f>
        <v>836</v>
      </c>
      <c r="Q57" s="1009">
        <f>ROUNDDOWN(AVERAGE(IncomeLimits!W55:'IncomeLimits'!X55)*0.3/12,0)</f>
        <v>965</v>
      </c>
      <c r="R57" s="1009">
        <f>ROUNDDOWN(IncomeLimits!Y55*0.3/12,0)</f>
        <v>1077</v>
      </c>
      <c r="S57" s="66">
        <f>ROUNDDOWN(AVERAGE(IncomeLimits!Z55:'IncomeLimits'!AA55)*0.3/12,0)</f>
        <v>1188</v>
      </c>
      <c r="T57" s="66">
        <f>ROUNDDOWN(IncomeLimits!AC55*0.3/12, 0)</f>
        <v>812</v>
      </c>
      <c r="U57" s="66">
        <f>ROUNDDOWN(AVERAGE(IncomeLimits!AC55:'IncomeLimits'!AD55)*0.3/12,0)</f>
        <v>870</v>
      </c>
      <c r="V57" s="66">
        <f>ROUNDDOWN(IncomeLimits!AE55*0.3/12, 0)</f>
        <v>1045</v>
      </c>
      <c r="W57" s="66">
        <f>ROUNDDOWN(AVERAGE(IncomeLimits!AF55:'IncomeLimits'!AG55)*0.3/12,0)</f>
        <v>1206</v>
      </c>
      <c r="X57" s="66">
        <f>ROUNDDOWN(IncomeLimits!AH55*0.3/12,0)</f>
        <v>1346</v>
      </c>
      <c r="Y57" s="66">
        <f>ROUNDDOWN(AVERAGE(IncomeLimits!AI55:'IncomeLimits'!AJ55)*0.3/12,0)</f>
        <v>1485</v>
      </c>
      <c r="Z57" s="1679">
        <f>ROUNDDOWN(IncomeLimits!AL55*0.3/12, 0)</f>
        <v>975</v>
      </c>
      <c r="AA57" s="1009">
        <f>ROUNDDOWN(AVERAGE(IncomeLimits!AL55:'IncomeLimits'!AM55)*0.3/12, 0)</f>
        <v>1044</v>
      </c>
      <c r="AB57" s="1009">
        <f>ROUNDDOWN(IncomeLimits!AN55*0.3/12, 0)</f>
        <v>1254</v>
      </c>
      <c r="AC57" s="1009">
        <f>ROUNDDOWN(AVERAGE(IncomeLimits!AO55:'IncomeLimits'!AP55)*0.3/12,0)</f>
        <v>1448</v>
      </c>
      <c r="AD57" s="1009">
        <f>ROUNDDOWN(IncomeLimits!AQ55*0.3/12,0)</f>
        <v>1615</v>
      </c>
      <c r="AE57" s="1680">
        <f>ROUNDDOWN(AVERAGE(IncomeLimits!AR55:'IncomeLimits'!AS55)*0.3/12,0)</f>
        <v>1782</v>
      </c>
      <c r="AF57" s="65">
        <f>ROUNDDOWN(IncomeLimits!AU55*0.3/12, 0)</f>
        <v>1137</v>
      </c>
      <c r="AG57" s="1009">
        <f>ROUNDDOWN(AVERAGE(IncomeLimits!AU55:'IncomeLimits'!AV55)*0.3/12, 0)</f>
        <v>1218</v>
      </c>
      <c r="AH57" s="1009">
        <f>ROUNDDOWN(IncomeLimits!AW55*0.3/12, 0)</f>
        <v>1463</v>
      </c>
      <c r="AI57" s="1009">
        <f>ROUNDDOWN(AVERAGE(IncomeLimits!AX55:'IncomeLimits'!AY55)*0.3/12,0)</f>
        <v>1689</v>
      </c>
      <c r="AJ57" s="1009">
        <f>ROUNDDOWN(IncomeLimits!AZ55*0.3/12,0)</f>
        <v>1884</v>
      </c>
      <c r="AK57" s="76">
        <f>ROUNDDOWN(AVERAGE(IncomeLimits!BA55:'IncomeLimits'!BB55)*0.3/12,0)</f>
        <v>2079</v>
      </c>
      <c r="AL57" s="65">
        <f>ROUNDDOWN(IncomeLimits!BD55*0.3/12, 0)</f>
        <v>1300</v>
      </c>
      <c r="AM57" s="1009">
        <f>ROUNDDOWN(AVERAGE(IncomeLimits!BD55:'IncomeLimits'!BE55)*0.3/12, 0)</f>
        <v>1393</v>
      </c>
      <c r="AN57" s="1009">
        <f>ROUNDDOWN(IncomeLimits!BF55*0.3/12, 0)</f>
        <v>1672</v>
      </c>
      <c r="AO57" s="1009">
        <f>ROUNDDOWN(AVERAGE(IncomeLimits!BG55:'IncomeLimits'!BH55)*0.3/12,0)</f>
        <v>1931</v>
      </c>
      <c r="AP57" s="1009">
        <f>ROUNDDOWN(IncomeLimits!BI55*0.3/12,0)</f>
        <v>2154</v>
      </c>
      <c r="AQ57" s="76">
        <f>ROUNDDOWN(AVERAGE(IncomeLimits!BJ55:'IncomeLimits'!BK55)*0.3/12,0)</f>
        <v>2376</v>
      </c>
    </row>
    <row r="58" spans="1:43">
      <c r="A58" s="77" t="s">
        <v>417</v>
      </c>
      <c r="B58" s="75">
        <f>ROUNDDOWN(IncomeLimits!B56*0.3/12, 0)</f>
        <v>331</v>
      </c>
      <c r="C58" s="1009">
        <f>ROUNDDOWN(AVERAGE(IncomeLimits!B56:C56)*0.3/12, 0)</f>
        <v>354</v>
      </c>
      <c r="D58" s="1009">
        <f>ROUNDDOWN(IncomeLimits!D56*0.3/12, 0)</f>
        <v>425</v>
      </c>
      <c r="E58" s="1009">
        <f>ROUNDDOWN(AVERAGE(IncomeLimits!E56:'IncomeLimits'!F56)*0.3/12,0)</f>
        <v>491</v>
      </c>
      <c r="F58" s="1009">
        <f>ROUNDDOWN(IncomeLimits!G56*0.3/12,0)</f>
        <v>548</v>
      </c>
      <c r="G58" s="66">
        <f>ROUNDDOWN(AVERAGE(IncomeLimits!H56:'IncomeLimits'!I56)*0.3/12,0)</f>
        <v>605</v>
      </c>
      <c r="H58" s="75">
        <f>ROUNDDOWN(IncomeLimits!K56*0.3/12, 0)</f>
        <v>496</v>
      </c>
      <c r="I58" s="1009">
        <f>ROUNDDOWN(AVERAGE(IncomeLimits!K56:'IncomeLimits'!L56)*0.3/12, 0)</f>
        <v>531</v>
      </c>
      <c r="J58" s="1009">
        <f>ROUNDDOWN(IncomeLimits!M56*0.3/12, 0)</f>
        <v>638</v>
      </c>
      <c r="K58" s="1009">
        <f>ROUNDDOWN(AVERAGE(IncomeLimits!N56:'IncomeLimits'!O56)*0.3/12,0)</f>
        <v>737</v>
      </c>
      <c r="L58" s="1009">
        <f>ROUNDDOWN(IncomeLimits!P56*0.3/12,0)</f>
        <v>822</v>
      </c>
      <c r="M58" s="76">
        <f>ROUNDDOWN(AVERAGE(IncomeLimits!Q56:'IncomeLimits'!R56)*0.3/12,0)</f>
        <v>907</v>
      </c>
      <c r="N58" s="65">
        <f>ROUNDDOWN(IncomeLimits!T56*0.3/12, 0)</f>
        <v>662</v>
      </c>
      <c r="O58" s="1009">
        <f>ROUNDDOWN(AVERAGE(IncomeLimits!T56:'IncomeLimits'!U56)*0.3/12, 0)</f>
        <v>709</v>
      </c>
      <c r="P58" s="1009">
        <f>ROUNDDOWN(IncomeLimits!V56*0.3/12, 0)</f>
        <v>851</v>
      </c>
      <c r="Q58" s="1009">
        <f>ROUNDDOWN(AVERAGE(IncomeLimits!W56:'IncomeLimits'!X56)*0.3/12,0)</f>
        <v>983</v>
      </c>
      <c r="R58" s="1009">
        <f>ROUNDDOWN(IncomeLimits!Y56*0.3/12,0)</f>
        <v>1097</v>
      </c>
      <c r="S58" s="66">
        <f>ROUNDDOWN(AVERAGE(IncomeLimits!Z56:'IncomeLimits'!AA56)*0.3/12,0)</f>
        <v>1210</v>
      </c>
      <c r="T58" s="66">
        <f>ROUNDDOWN(IncomeLimits!AC56*0.3/12, 0)</f>
        <v>827</v>
      </c>
      <c r="U58" s="66">
        <f>ROUNDDOWN(AVERAGE(IncomeLimits!AC56:'IncomeLimits'!AD56)*0.3/12,0)</f>
        <v>886</v>
      </c>
      <c r="V58" s="66">
        <f>ROUNDDOWN(IncomeLimits!AE56*0.3/12, 0)</f>
        <v>1063</v>
      </c>
      <c r="W58" s="66">
        <f>ROUNDDOWN(AVERAGE(IncomeLimits!AF56:'IncomeLimits'!AG56)*0.3/12,0)</f>
        <v>1228</v>
      </c>
      <c r="X58" s="66">
        <f>ROUNDDOWN(IncomeLimits!AH56*0.3/12,0)</f>
        <v>1371</v>
      </c>
      <c r="Y58" s="66">
        <f>ROUNDDOWN(AVERAGE(IncomeLimits!AI56:'IncomeLimits'!AJ56)*0.3/12,0)</f>
        <v>1512</v>
      </c>
      <c r="Z58" s="1679">
        <f>ROUNDDOWN(IncomeLimits!AL56*0.3/12, 0)</f>
        <v>993</v>
      </c>
      <c r="AA58" s="1009">
        <f>ROUNDDOWN(AVERAGE(IncomeLimits!AL56:'IncomeLimits'!AM56)*0.3/12, 0)</f>
        <v>1063</v>
      </c>
      <c r="AB58" s="1009">
        <f>ROUNDDOWN(IncomeLimits!AN56*0.3/12, 0)</f>
        <v>1276</v>
      </c>
      <c r="AC58" s="1009">
        <f>ROUNDDOWN(AVERAGE(IncomeLimits!AO56:'IncomeLimits'!AP56)*0.3/12,0)</f>
        <v>1474</v>
      </c>
      <c r="AD58" s="1009">
        <f>ROUNDDOWN(IncomeLimits!AQ56*0.3/12,0)</f>
        <v>1645</v>
      </c>
      <c r="AE58" s="1680">
        <f>ROUNDDOWN(AVERAGE(IncomeLimits!AR56:'IncomeLimits'!AS56)*0.3/12,0)</f>
        <v>1815</v>
      </c>
      <c r="AF58" s="65">
        <f>ROUNDDOWN(IncomeLimits!AU56*0.3/12, 0)</f>
        <v>1158</v>
      </c>
      <c r="AG58" s="1009">
        <f>ROUNDDOWN(AVERAGE(IncomeLimits!AU56:'IncomeLimits'!AV56)*0.3/12, 0)</f>
        <v>1240</v>
      </c>
      <c r="AH58" s="1009">
        <f>ROUNDDOWN(IncomeLimits!AW56*0.3/12, 0)</f>
        <v>1489</v>
      </c>
      <c r="AI58" s="1009">
        <f>ROUNDDOWN(AVERAGE(IncomeLimits!AX56:'IncomeLimits'!AY56)*0.3/12,0)</f>
        <v>1720</v>
      </c>
      <c r="AJ58" s="1009">
        <f>ROUNDDOWN(IncomeLimits!AZ56*0.3/12,0)</f>
        <v>1919</v>
      </c>
      <c r="AK58" s="76">
        <f>ROUNDDOWN(AVERAGE(IncomeLimits!BA56:'IncomeLimits'!BB56)*0.3/12,0)</f>
        <v>2117</v>
      </c>
      <c r="AL58" s="65">
        <f>ROUNDDOWN(IncomeLimits!BD56*0.3/12, 0)</f>
        <v>1324</v>
      </c>
      <c r="AM58" s="1009">
        <f>ROUNDDOWN(AVERAGE(IncomeLimits!BD56:'IncomeLimits'!BE56)*0.3/12, 0)</f>
        <v>1418</v>
      </c>
      <c r="AN58" s="1009">
        <f>ROUNDDOWN(IncomeLimits!BF56*0.3/12, 0)</f>
        <v>1702</v>
      </c>
      <c r="AO58" s="1009">
        <f>ROUNDDOWN(AVERAGE(IncomeLimits!BG56:'IncomeLimits'!BH56)*0.3/12,0)</f>
        <v>1966</v>
      </c>
      <c r="AP58" s="1009">
        <f>ROUNDDOWN(IncomeLimits!BI56*0.3/12,0)</f>
        <v>2194</v>
      </c>
      <c r="AQ58" s="76">
        <f>ROUNDDOWN(AVERAGE(IncomeLimits!BJ56:'IncomeLimits'!BK56)*0.3/12,0)</f>
        <v>2420</v>
      </c>
    </row>
    <row r="59" spans="1:43">
      <c r="A59" s="77" t="s">
        <v>477</v>
      </c>
      <c r="B59" s="75">
        <f>ROUNDDOWN(IncomeLimits!B57*0.3/12, 0)</f>
        <v>325</v>
      </c>
      <c r="C59" s="1009">
        <f>ROUNDDOWN(AVERAGE(IncomeLimits!B57:C57)*0.3/12, 0)</f>
        <v>348</v>
      </c>
      <c r="D59" s="1009">
        <f>ROUNDDOWN(IncomeLimits!D57*0.3/12, 0)</f>
        <v>418</v>
      </c>
      <c r="E59" s="1009">
        <f>ROUNDDOWN(AVERAGE(IncomeLimits!E57:'IncomeLimits'!F57)*0.3/12,0)</f>
        <v>482</v>
      </c>
      <c r="F59" s="1009">
        <f>ROUNDDOWN(IncomeLimits!G57*0.3/12,0)</f>
        <v>538</v>
      </c>
      <c r="G59" s="66">
        <f>ROUNDDOWN(AVERAGE(IncomeLimits!H57:'IncomeLimits'!I57)*0.3/12,0)</f>
        <v>594</v>
      </c>
      <c r="H59" s="75">
        <f>ROUNDDOWN(IncomeLimits!K57*0.3/12, 0)</f>
        <v>487</v>
      </c>
      <c r="I59" s="1009">
        <f>ROUNDDOWN(AVERAGE(IncomeLimits!K57:'IncomeLimits'!L57)*0.3/12, 0)</f>
        <v>522</v>
      </c>
      <c r="J59" s="1009">
        <f>ROUNDDOWN(IncomeLimits!M57*0.3/12, 0)</f>
        <v>627</v>
      </c>
      <c r="K59" s="1009">
        <f>ROUNDDOWN(AVERAGE(IncomeLimits!N57:'IncomeLimits'!O57)*0.3/12,0)</f>
        <v>724</v>
      </c>
      <c r="L59" s="1009">
        <f>ROUNDDOWN(IncomeLimits!P57*0.3/12,0)</f>
        <v>807</v>
      </c>
      <c r="M59" s="76">
        <f>ROUNDDOWN(AVERAGE(IncomeLimits!Q57:'IncomeLimits'!R57)*0.3/12,0)</f>
        <v>891</v>
      </c>
      <c r="N59" s="65">
        <f>ROUNDDOWN(IncomeLimits!T57*0.3/12, 0)</f>
        <v>650</v>
      </c>
      <c r="O59" s="1009">
        <f>ROUNDDOWN(AVERAGE(IncomeLimits!T57:'IncomeLimits'!U57)*0.3/12, 0)</f>
        <v>696</v>
      </c>
      <c r="P59" s="1009">
        <f>ROUNDDOWN(IncomeLimits!V57*0.3/12, 0)</f>
        <v>836</v>
      </c>
      <c r="Q59" s="1009">
        <f>ROUNDDOWN(AVERAGE(IncomeLimits!W57:'IncomeLimits'!X57)*0.3/12,0)</f>
        <v>965</v>
      </c>
      <c r="R59" s="1009">
        <f>ROUNDDOWN(IncomeLimits!Y57*0.3/12,0)</f>
        <v>1077</v>
      </c>
      <c r="S59" s="66">
        <f>ROUNDDOWN(AVERAGE(IncomeLimits!Z57:'IncomeLimits'!AA57)*0.3/12,0)</f>
        <v>1188</v>
      </c>
      <c r="T59" s="66">
        <f>ROUNDDOWN(IncomeLimits!AC57*0.3/12, 0)</f>
        <v>812</v>
      </c>
      <c r="U59" s="66">
        <f>ROUNDDOWN(AVERAGE(IncomeLimits!AC57:'IncomeLimits'!AD57)*0.3/12,0)</f>
        <v>870</v>
      </c>
      <c r="V59" s="66">
        <f>ROUNDDOWN(IncomeLimits!AE57*0.3/12, 0)</f>
        <v>1045</v>
      </c>
      <c r="W59" s="66">
        <f>ROUNDDOWN(AVERAGE(IncomeLimits!AF57:'IncomeLimits'!AG57)*0.3/12,0)</f>
        <v>1206</v>
      </c>
      <c r="X59" s="66">
        <f>ROUNDDOWN(IncomeLimits!AH57*0.3/12,0)</f>
        <v>1346</v>
      </c>
      <c r="Y59" s="66">
        <f>ROUNDDOWN(AVERAGE(IncomeLimits!AI57:'IncomeLimits'!AJ57)*0.3/12,0)</f>
        <v>1485</v>
      </c>
      <c r="Z59" s="1679">
        <f>ROUNDDOWN(IncomeLimits!AL57*0.3/12, 0)</f>
        <v>975</v>
      </c>
      <c r="AA59" s="1009">
        <f>ROUNDDOWN(AVERAGE(IncomeLimits!AL57:'IncomeLimits'!AM57)*0.3/12, 0)</f>
        <v>1044</v>
      </c>
      <c r="AB59" s="1009">
        <f>ROUNDDOWN(IncomeLimits!AN57*0.3/12, 0)</f>
        <v>1254</v>
      </c>
      <c r="AC59" s="1009">
        <f>ROUNDDOWN(AVERAGE(IncomeLimits!AO57:'IncomeLimits'!AP57)*0.3/12,0)</f>
        <v>1448</v>
      </c>
      <c r="AD59" s="1009">
        <f>ROUNDDOWN(IncomeLimits!AQ57*0.3/12,0)</f>
        <v>1615</v>
      </c>
      <c r="AE59" s="1680">
        <f>ROUNDDOWN(AVERAGE(IncomeLimits!AR57:'IncomeLimits'!AS57)*0.3/12,0)</f>
        <v>1782</v>
      </c>
      <c r="AF59" s="65">
        <f>ROUNDDOWN(IncomeLimits!AU57*0.3/12, 0)</f>
        <v>1137</v>
      </c>
      <c r="AG59" s="1009">
        <f>ROUNDDOWN(AVERAGE(IncomeLimits!AU57:'IncomeLimits'!AV57)*0.3/12, 0)</f>
        <v>1218</v>
      </c>
      <c r="AH59" s="1009">
        <f>ROUNDDOWN(IncomeLimits!AW57*0.3/12, 0)</f>
        <v>1463</v>
      </c>
      <c r="AI59" s="1009">
        <f>ROUNDDOWN(AVERAGE(IncomeLimits!AX57:'IncomeLimits'!AY57)*0.3/12,0)</f>
        <v>1689</v>
      </c>
      <c r="AJ59" s="1009">
        <f>ROUNDDOWN(IncomeLimits!AZ57*0.3/12,0)</f>
        <v>1884</v>
      </c>
      <c r="AK59" s="76">
        <f>ROUNDDOWN(AVERAGE(IncomeLimits!BA57:'IncomeLimits'!BB57)*0.3/12,0)</f>
        <v>2079</v>
      </c>
      <c r="AL59" s="65">
        <f>ROUNDDOWN(IncomeLimits!BD57*0.3/12, 0)</f>
        <v>1300</v>
      </c>
      <c r="AM59" s="1009">
        <f>ROUNDDOWN(AVERAGE(IncomeLimits!BD57:'IncomeLimits'!BE57)*0.3/12, 0)</f>
        <v>1393</v>
      </c>
      <c r="AN59" s="1009">
        <f>ROUNDDOWN(IncomeLimits!BF57*0.3/12, 0)</f>
        <v>1672</v>
      </c>
      <c r="AO59" s="1009">
        <f>ROUNDDOWN(AVERAGE(IncomeLimits!BG57:'IncomeLimits'!BH57)*0.3/12,0)</f>
        <v>1931</v>
      </c>
      <c r="AP59" s="1009">
        <f>ROUNDDOWN(IncomeLimits!BI57*0.3/12,0)</f>
        <v>2154</v>
      </c>
      <c r="AQ59" s="76">
        <f>ROUNDDOWN(AVERAGE(IncomeLimits!BJ57:'IncomeLimits'!BK57)*0.3/12,0)</f>
        <v>2376</v>
      </c>
    </row>
    <row r="60" spans="1:43">
      <c r="A60" s="77" t="s">
        <v>423</v>
      </c>
      <c r="B60" s="75">
        <f>ROUNDDOWN(IncomeLimits!B58*0.3/12, 0)</f>
        <v>463</v>
      </c>
      <c r="C60" s="1009">
        <f>ROUNDDOWN(AVERAGE(IncomeLimits!B58:C58)*0.3/12, 0)</f>
        <v>496</v>
      </c>
      <c r="D60" s="1009">
        <f>ROUNDDOWN(IncomeLimits!D58*0.3/12, 0)</f>
        <v>596</v>
      </c>
      <c r="E60" s="1009">
        <f>ROUNDDOWN(AVERAGE(IncomeLimits!E58:'IncomeLimits'!F58)*0.3/12,0)</f>
        <v>688</v>
      </c>
      <c r="F60" s="1009">
        <f>ROUNDDOWN(IncomeLimits!G58*0.3/12,0)</f>
        <v>768</v>
      </c>
      <c r="G60" s="66">
        <f>ROUNDDOWN(AVERAGE(IncomeLimits!H58:'IncomeLimits'!I58)*0.3/12,0)</f>
        <v>847</v>
      </c>
      <c r="H60" s="75">
        <f>ROUNDDOWN(IncomeLimits!K58*0.3/12, 0)</f>
        <v>695</v>
      </c>
      <c r="I60" s="1009">
        <f>ROUNDDOWN(AVERAGE(IncomeLimits!K58:'IncomeLimits'!L58)*0.3/12, 0)</f>
        <v>745</v>
      </c>
      <c r="J60" s="1009">
        <f>ROUNDDOWN(IncomeLimits!M58*0.3/12, 0)</f>
        <v>894</v>
      </c>
      <c r="K60" s="1009">
        <f>ROUNDDOWN(AVERAGE(IncomeLimits!N58:'IncomeLimits'!O58)*0.3/12,0)</f>
        <v>1032</v>
      </c>
      <c r="L60" s="1009">
        <f>ROUNDDOWN(IncomeLimits!P58*0.3/12,0)</f>
        <v>1152</v>
      </c>
      <c r="M60" s="76">
        <f>ROUNDDOWN(AVERAGE(IncomeLimits!Q58:'IncomeLimits'!R58)*0.3/12,0)</f>
        <v>1271</v>
      </c>
      <c r="N60" s="65">
        <f>ROUNDDOWN(IncomeLimits!T58*0.3/12, 0)</f>
        <v>927</v>
      </c>
      <c r="O60" s="1009">
        <f>ROUNDDOWN(AVERAGE(IncomeLimits!T58:'IncomeLimits'!U58)*0.3/12, 0)</f>
        <v>993</v>
      </c>
      <c r="P60" s="1009">
        <f>ROUNDDOWN(IncomeLimits!V58*0.3/12, 0)</f>
        <v>1192</v>
      </c>
      <c r="Q60" s="1009">
        <f>ROUNDDOWN(AVERAGE(IncomeLimits!W58:'IncomeLimits'!X58)*0.3/12,0)</f>
        <v>1377</v>
      </c>
      <c r="R60" s="1009">
        <f>ROUNDDOWN(IncomeLimits!Y58*0.3/12,0)</f>
        <v>1536</v>
      </c>
      <c r="S60" s="66">
        <f>ROUNDDOWN(AVERAGE(IncomeLimits!Z58:'IncomeLimits'!AA58)*0.3/12,0)</f>
        <v>1695</v>
      </c>
      <c r="T60" s="66">
        <f>ROUNDDOWN(IncomeLimits!AC58*0.3/12, 0)</f>
        <v>1158</v>
      </c>
      <c r="U60" s="66">
        <f>ROUNDDOWN(AVERAGE(IncomeLimits!AC58:'IncomeLimits'!AD58)*0.3/12,0)</f>
        <v>1241</v>
      </c>
      <c r="V60" s="66">
        <f>ROUNDDOWN(IncomeLimits!AE58*0.3/12, 0)</f>
        <v>1490</v>
      </c>
      <c r="W60" s="66">
        <f>ROUNDDOWN(AVERAGE(IncomeLimits!AF58:'IncomeLimits'!AG58)*0.3/12,0)</f>
        <v>1721</v>
      </c>
      <c r="X60" s="66">
        <f>ROUNDDOWN(IncomeLimits!AH58*0.3/12,0)</f>
        <v>1920</v>
      </c>
      <c r="Y60" s="66">
        <f>ROUNDDOWN(AVERAGE(IncomeLimits!AI58:'IncomeLimits'!AJ58)*0.3/12,0)</f>
        <v>2118</v>
      </c>
      <c r="Z60" s="1679">
        <f>ROUNDDOWN(IncomeLimits!AL58*0.3/12, 0)</f>
        <v>1390</v>
      </c>
      <c r="AA60" s="1009">
        <f>ROUNDDOWN(AVERAGE(IncomeLimits!AL58:'IncomeLimits'!AM58)*0.3/12, 0)</f>
        <v>1490</v>
      </c>
      <c r="AB60" s="1009">
        <f>ROUNDDOWN(IncomeLimits!AN58*0.3/12, 0)</f>
        <v>1788</v>
      </c>
      <c r="AC60" s="1009">
        <f>ROUNDDOWN(AVERAGE(IncomeLimits!AO58:'IncomeLimits'!AP58)*0.3/12,0)</f>
        <v>2065</v>
      </c>
      <c r="AD60" s="1009">
        <f>ROUNDDOWN(IncomeLimits!AQ58*0.3/12,0)</f>
        <v>2304</v>
      </c>
      <c r="AE60" s="1680">
        <f>ROUNDDOWN(AVERAGE(IncomeLimits!AR58:'IncomeLimits'!AS58)*0.3/12,0)</f>
        <v>2542</v>
      </c>
      <c r="AF60" s="65">
        <f>ROUNDDOWN(IncomeLimits!AU58*0.3/12, 0)</f>
        <v>1622</v>
      </c>
      <c r="AG60" s="1009">
        <f>ROUNDDOWN(AVERAGE(IncomeLimits!AU58:'IncomeLimits'!AV58)*0.3/12, 0)</f>
        <v>1738</v>
      </c>
      <c r="AH60" s="1009">
        <f>ROUNDDOWN(IncomeLimits!AW58*0.3/12, 0)</f>
        <v>2086</v>
      </c>
      <c r="AI60" s="1009">
        <f>ROUNDDOWN(AVERAGE(IncomeLimits!AX58:'IncomeLimits'!AY58)*0.3/12,0)</f>
        <v>2409</v>
      </c>
      <c r="AJ60" s="1009">
        <f>ROUNDDOWN(IncomeLimits!AZ58*0.3/12,0)</f>
        <v>2688</v>
      </c>
      <c r="AK60" s="76">
        <f>ROUNDDOWN(AVERAGE(IncomeLimits!BA58:'IncomeLimits'!BB58)*0.3/12,0)</f>
        <v>2966</v>
      </c>
      <c r="AL60" s="65">
        <f>ROUNDDOWN(IncomeLimits!BD58*0.3/12, 0)</f>
        <v>1854</v>
      </c>
      <c r="AM60" s="1009">
        <f>ROUNDDOWN(AVERAGE(IncomeLimits!BD58:'IncomeLimits'!BE58)*0.3/12, 0)</f>
        <v>1987</v>
      </c>
      <c r="AN60" s="1009">
        <f>ROUNDDOWN(IncomeLimits!BF58*0.3/12, 0)</f>
        <v>2384</v>
      </c>
      <c r="AO60" s="1009">
        <f>ROUNDDOWN(AVERAGE(IncomeLimits!BG58:'IncomeLimits'!BH58)*0.3/12,0)</f>
        <v>2754</v>
      </c>
      <c r="AP60" s="1009">
        <f>ROUNDDOWN(IncomeLimits!BI58*0.3/12,0)</f>
        <v>3072</v>
      </c>
      <c r="AQ60" s="76">
        <f>ROUNDDOWN(AVERAGE(IncomeLimits!BJ58:'IncomeLimits'!BK58)*0.3/12,0)</f>
        <v>3390</v>
      </c>
    </row>
    <row r="61" spans="1:43">
      <c r="A61" s="77" t="s">
        <v>478</v>
      </c>
      <c r="B61" s="75">
        <f>ROUNDDOWN(IncomeLimits!B59*0.3/12, 0)</f>
        <v>359</v>
      </c>
      <c r="C61" s="1009">
        <f>ROUNDDOWN(AVERAGE(IncomeLimits!B59:C59)*0.3/12, 0)</f>
        <v>385</v>
      </c>
      <c r="D61" s="1009">
        <f>ROUNDDOWN(IncomeLimits!D59*0.3/12, 0)</f>
        <v>462</v>
      </c>
      <c r="E61" s="1009">
        <f>ROUNDDOWN(AVERAGE(IncomeLimits!E59:'IncomeLimits'!F59)*0.3/12,0)</f>
        <v>533</v>
      </c>
      <c r="F61" s="1009">
        <f>ROUNDDOWN(IncomeLimits!G59*0.3/12,0)</f>
        <v>595</v>
      </c>
      <c r="G61" s="66">
        <f>ROUNDDOWN(AVERAGE(IncomeLimits!H59:'IncomeLimits'!I59)*0.3/12,0)</f>
        <v>657</v>
      </c>
      <c r="H61" s="75">
        <f>ROUNDDOWN(IncomeLimits!K59*0.3/12, 0)</f>
        <v>539</v>
      </c>
      <c r="I61" s="1009">
        <f>ROUNDDOWN(AVERAGE(IncomeLimits!K59:'IncomeLimits'!L59)*0.3/12, 0)</f>
        <v>577</v>
      </c>
      <c r="J61" s="1009">
        <f>ROUNDDOWN(IncomeLimits!M59*0.3/12, 0)</f>
        <v>693</v>
      </c>
      <c r="K61" s="1009">
        <f>ROUNDDOWN(AVERAGE(IncomeLimits!N59:'IncomeLimits'!O59)*0.3/12,0)</f>
        <v>800</v>
      </c>
      <c r="L61" s="1009">
        <f>ROUNDDOWN(IncomeLimits!P59*0.3/12,0)</f>
        <v>893</v>
      </c>
      <c r="M61" s="76">
        <f>ROUNDDOWN(AVERAGE(IncomeLimits!Q59:'IncomeLimits'!R59)*0.3/12,0)</f>
        <v>985</v>
      </c>
      <c r="N61" s="65">
        <f>ROUNDDOWN(IncomeLimits!T59*0.3/12, 0)</f>
        <v>719</v>
      </c>
      <c r="O61" s="1009">
        <f>ROUNDDOWN(AVERAGE(IncomeLimits!T59:'IncomeLimits'!U59)*0.3/12, 0)</f>
        <v>770</v>
      </c>
      <c r="P61" s="1009">
        <f>ROUNDDOWN(IncomeLimits!V59*0.3/12, 0)</f>
        <v>924</v>
      </c>
      <c r="Q61" s="1009">
        <f>ROUNDDOWN(AVERAGE(IncomeLimits!W59:'IncomeLimits'!X59)*0.3/12,0)</f>
        <v>1067</v>
      </c>
      <c r="R61" s="1009">
        <f>ROUNDDOWN(IncomeLimits!Y59*0.3/12,0)</f>
        <v>1191</v>
      </c>
      <c r="S61" s="66">
        <f>ROUNDDOWN(AVERAGE(IncomeLimits!Z59:'IncomeLimits'!AA59)*0.3/12,0)</f>
        <v>1314</v>
      </c>
      <c r="T61" s="66">
        <f>ROUNDDOWN(IncomeLimits!AC59*0.3/12, 0)</f>
        <v>898</v>
      </c>
      <c r="U61" s="66">
        <f>ROUNDDOWN(AVERAGE(IncomeLimits!AC59:'IncomeLimits'!AD59)*0.3/12,0)</f>
        <v>962</v>
      </c>
      <c r="V61" s="66">
        <f>ROUNDDOWN(IncomeLimits!AE59*0.3/12, 0)</f>
        <v>1155</v>
      </c>
      <c r="W61" s="66">
        <f>ROUNDDOWN(AVERAGE(IncomeLimits!AF59:'IncomeLimits'!AG59)*0.3/12,0)</f>
        <v>1334</v>
      </c>
      <c r="X61" s="66">
        <f>ROUNDDOWN(IncomeLimits!AH59*0.3/12,0)</f>
        <v>1488</v>
      </c>
      <c r="Y61" s="66">
        <f>ROUNDDOWN(AVERAGE(IncomeLimits!AI59:'IncomeLimits'!AJ59)*0.3/12,0)</f>
        <v>1642</v>
      </c>
      <c r="Z61" s="1679">
        <f>ROUNDDOWN(IncomeLimits!AL59*0.3/12, 0)</f>
        <v>1078</v>
      </c>
      <c r="AA61" s="1009">
        <f>ROUNDDOWN(AVERAGE(IncomeLimits!AL59:'IncomeLimits'!AM59)*0.3/12, 0)</f>
        <v>1155</v>
      </c>
      <c r="AB61" s="1009">
        <f>ROUNDDOWN(IncomeLimits!AN59*0.3/12, 0)</f>
        <v>1386</v>
      </c>
      <c r="AC61" s="1009">
        <f>ROUNDDOWN(AVERAGE(IncomeLimits!AO59:'IncomeLimits'!AP59)*0.3/12,0)</f>
        <v>1601</v>
      </c>
      <c r="AD61" s="1009">
        <f>ROUNDDOWN(IncomeLimits!AQ59*0.3/12,0)</f>
        <v>1786</v>
      </c>
      <c r="AE61" s="1680">
        <f>ROUNDDOWN(AVERAGE(IncomeLimits!AR59:'IncomeLimits'!AS59)*0.3/12,0)</f>
        <v>1971</v>
      </c>
      <c r="AF61" s="65">
        <f>ROUNDDOWN(IncomeLimits!AU59*0.3/12, 0)</f>
        <v>1258</v>
      </c>
      <c r="AG61" s="1009">
        <f>ROUNDDOWN(AVERAGE(IncomeLimits!AU59:'IncomeLimits'!AV59)*0.3/12, 0)</f>
        <v>1347</v>
      </c>
      <c r="AH61" s="1009">
        <f>ROUNDDOWN(IncomeLimits!AW59*0.3/12, 0)</f>
        <v>1617</v>
      </c>
      <c r="AI61" s="1009">
        <f>ROUNDDOWN(AVERAGE(IncomeLimits!AX59:'IncomeLimits'!AY59)*0.3/12,0)</f>
        <v>1868</v>
      </c>
      <c r="AJ61" s="1009">
        <f>ROUNDDOWN(IncomeLimits!AZ59*0.3/12,0)</f>
        <v>2084</v>
      </c>
      <c r="AK61" s="76">
        <f>ROUNDDOWN(AVERAGE(IncomeLimits!BA59:'IncomeLimits'!BB59)*0.3/12,0)</f>
        <v>2299</v>
      </c>
      <c r="AL61" s="65">
        <f>ROUNDDOWN(IncomeLimits!BD59*0.3/12, 0)</f>
        <v>1438</v>
      </c>
      <c r="AM61" s="1009">
        <f>ROUNDDOWN(AVERAGE(IncomeLimits!BD59:'IncomeLimits'!BE59)*0.3/12, 0)</f>
        <v>1540</v>
      </c>
      <c r="AN61" s="1009">
        <f>ROUNDDOWN(IncomeLimits!BF59*0.3/12, 0)</f>
        <v>1848</v>
      </c>
      <c r="AO61" s="1009">
        <f>ROUNDDOWN(AVERAGE(IncomeLimits!BG59:'IncomeLimits'!BH59)*0.3/12,0)</f>
        <v>2135</v>
      </c>
      <c r="AP61" s="1009">
        <f>ROUNDDOWN(IncomeLimits!BI59*0.3/12,0)</f>
        <v>2382</v>
      </c>
      <c r="AQ61" s="76">
        <f>ROUNDDOWN(AVERAGE(IncomeLimits!BJ59:'IncomeLimits'!BK59)*0.3/12,0)</f>
        <v>2628</v>
      </c>
    </row>
    <row r="62" spans="1:43">
      <c r="A62" s="77" t="s">
        <v>479</v>
      </c>
      <c r="B62" s="75">
        <f>ROUNDDOWN(IncomeLimits!B60*0.3/12, 0)</f>
        <v>325</v>
      </c>
      <c r="C62" s="1009">
        <f>ROUNDDOWN(AVERAGE(IncomeLimits!B60:C60)*0.3/12, 0)</f>
        <v>348</v>
      </c>
      <c r="D62" s="1009">
        <f>ROUNDDOWN(IncomeLimits!D60*0.3/12, 0)</f>
        <v>418</v>
      </c>
      <c r="E62" s="1009">
        <f>ROUNDDOWN(AVERAGE(IncomeLimits!E60:'IncomeLimits'!F60)*0.3/12,0)</f>
        <v>482</v>
      </c>
      <c r="F62" s="1009">
        <f>ROUNDDOWN(IncomeLimits!G60*0.3/12,0)</f>
        <v>538</v>
      </c>
      <c r="G62" s="66">
        <f>ROUNDDOWN(AVERAGE(IncomeLimits!H60:'IncomeLimits'!I60)*0.3/12,0)</f>
        <v>594</v>
      </c>
      <c r="H62" s="75">
        <f>ROUNDDOWN(IncomeLimits!K60*0.3/12, 0)</f>
        <v>487</v>
      </c>
      <c r="I62" s="1009">
        <f>ROUNDDOWN(AVERAGE(IncomeLimits!K60:'IncomeLimits'!L60)*0.3/12, 0)</f>
        <v>522</v>
      </c>
      <c r="J62" s="1009">
        <f>ROUNDDOWN(IncomeLimits!M60*0.3/12, 0)</f>
        <v>627</v>
      </c>
      <c r="K62" s="1009">
        <f>ROUNDDOWN(AVERAGE(IncomeLimits!N60:'IncomeLimits'!O60)*0.3/12,0)</f>
        <v>724</v>
      </c>
      <c r="L62" s="1009">
        <f>ROUNDDOWN(IncomeLimits!P60*0.3/12,0)</f>
        <v>807</v>
      </c>
      <c r="M62" s="76">
        <f>ROUNDDOWN(AVERAGE(IncomeLimits!Q60:'IncomeLimits'!R60)*0.3/12,0)</f>
        <v>891</v>
      </c>
      <c r="N62" s="65">
        <f>ROUNDDOWN(IncomeLimits!T60*0.3/12, 0)</f>
        <v>650</v>
      </c>
      <c r="O62" s="1009">
        <f>ROUNDDOWN(AVERAGE(IncomeLimits!T60:'IncomeLimits'!U60)*0.3/12, 0)</f>
        <v>696</v>
      </c>
      <c r="P62" s="1009">
        <f>ROUNDDOWN(IncomeLimits!V60*0.3/12, 0)</f>
        <v>836</v>
      </c>
      <c r="Q62" s="1009">
        <f>ROUNDDOWN(AVERAGE(IncomeLimits!W60:'IncomeLimits'!X60)*0.3/12,0)</f>
        <v>965</v>
      </c>
      <c r="R62" s="1009">
        <f>ROUNDDOWN(IncomeLimits!Y60*0.3/12,0)</f>
        <v>1077</v>
      </c>
      <c r="S62" s="66">
        <f>ROUNDDOWN(AVERAGE(IncomeLimits!Z60:'IncomeLimits'!AA60)*0.3/12,0)</f>
        <v>1188</v>
      </c>
      <c r="T62" s="66">
        <f>ROUNDDOWN(IncomeLimits!AC60*0.3/12, 0)</f>
        <v>812</v>
      </c>
      <c r="U62" s="66">
        <f>ROUNDDOWN(AVERAGE(IncomeLimits!AC60:'IncomeLimits'!AD60)*0.3/12,0)</f>
        <v>870</v>
      </c>
      <c r="V62" s="66">
        <f>ROUNDDOWN(IncomeLimits!AE60*0.3/12, 0)</f>
        <v>1045</v>
      </c>
      <c r="W62" s="66">
        <f>ROUNDDOWN(AVERAGE(IncomeLimits!AF60:'IncomeLimits'!AG60)*0.3/12,0)</f>
        <v>1206</v>
      </c>
      <c r="X62" s="66">
        <f>ROUNDDOWN(IncomeLimits!AH60*0.3/12,0)</f>
        <v>1346</v>
      </c>
      <c r="Y62" s="66">
        <f>ROUNDDOWN(AVERAGE(IncomeLimits!AI60:'IncomeLimits'!AJ60)*0.3/12,0)</f>
        <v>1485</v>
      </c>
      <c r="Z62" s="1679">
        <f>ROUNDDOWN(IncomeLimits!AL60*0.3/12, 0)</f>
        <v>975</v>
      </c>
      <c r="AA62" s="1009">
        <f>ROUNDDOWN(AVERAGE(IncomeLimits!AL60:'IncomeLimits'!AM60)*0.3/12, 0)</f>
        <v>1044</v>
      </c>
      <c r="AB62" s="1009">
        <f>ROUNDDOWN(IncomeLimits!AN60*0.3/12, 0)</f>
        <v>1254</v>
      </c>
      <c r="AC62" s="1009">
        <f>ROUNDDOWN(AVERAGE(IncomeLimits!AO60:'IncomeLimits'!AP60)*0.3/12,0)</f>
        <v>1448</v>
      </c>
      <c r="AD62" s="1009">
        <f>ROUNDDOWN(IncomeLimits!AQ60*0.3/12,0)</f>
        <v>1615</v>
      </c>
      <c r="AE62" s="1680">
        <f>ROUNDDOWN(AVERAGE(IncomeLimits!AR60:'IncomeLimits'!AS60)*0.3/12,0)</f>
        <v>1782</v>
      </c>
      <c r="AF62" s="65">
        <f>ROUNDDOWN(IncomeLimits!AU60*0.3/12, 0)</f>
        <v>1137</v>
      </c>
      <c r="AG62" s="1009">
        <f>ROUNDDOWN(AVERAGE(IncomeLimits!AU60:'IncomeLimits'!AV60)*0.3/12, 0)</f>
        <v>1218</v>
      </c>
      <c r="AH62" s="1009">
        <f>ROUNDDOWN(IncomeLimits!AW60*0.3/12, 0)</f>
        <v>1463</v>
      </c>
      <c r="AI62" s="1009">
        <f>ROUNDDOWN(AVERAGE(IncomeLimits!AX60:'IncomeLimits'!AY60)*0.3/12,0)</f>
        <v>1689</v>
      </c>
      <c r="AJ62" s="1009">
        <f>ROUNDDOWN(IncomeLimits!AZ60*0.3/12,0)</f>
        <v>1884</v>
      </c>
      <c r="AK62" s="76">
        <f>ROUNDDOWN(AVERAGE(IncomeLimits!BA60:'IncomeLimits'!BB60)*0.3/12,0)</f>
        <v>2079</v>
      </c>
      <c r="AL62" s="65">
        <f>ROUNDDOWN(IncomeLimits!BD60*0.3/12, 0)</f>
        <v>1300</v>
      </c>
      <c r="AM62" s="1009">
        <f>ROUNDDOWN(AVERAGE(IncomeLimits!BD60:'IncomeLimits'!BE60)*0.3/12, 0)</f>
        <v>1393</v>
      </c>
      <c r="AN62" s="1009">
        <f>ROUNDDOWN(IncomeLimits!BF60*0.3/12, 0)</f>
        <v>1672</v>
      </c>
      <c r="AO62" s="1009">
        <f>ROUNDDOWN(AVERAGE(IncomeLimits!BG60:'IncomeLimits'!BH60)*0.3/12,0)</f>
        <v>1931</v>
      </c>
      <c r="AP62" s="1009">
        <f>ROUNDDOWN(IncomeLimits!BI60*0.3/12,0)</f>
        <v>2154</v>
      </c>
      <c r="AQ62" s="76">
        <f>ROUNDDOWN(AVERAGE(IncomeLimits!BJ60:'IncomeLimits'!BK60)*0.3/12,0)</f>
        <v>2376</v>
      </c>
    </row>
    <row r="63" spans="1:43">
      <c r="A63" s="77" t="s">
        <v>480</v>
      </c>
      <c r="B63" s="75">
        <f>ROUNDDOWN(IncomeLimits!B61*0.3/12, 0)</f>
        <v>325</v>
      </c>
      <c r="C63" s="1009">
        <f>ROUNDDOWN(AVERAGE(IncomeLimits!B61:C61)*0.3/12, 0)</f>
        <v>348</v>
      </c>
      <c r="D63" s="1009">
        <f>ROUNDDOWN(IncomeLimits!D61*0.3/12, 0)</f>
        <v>418</v>
      </c>
      <c r="E63" s="1009">
        <f>ROUNDDOWN(AVERAGE(IncomeLimits!E61:'IncomeLimits'!F61)*0.3/12,0)</f>
        <v>482</v>
      </c>
      <c r="F63" s="1009">
        <f>ROUNDDOWN(IncomeLimits!G61*0.3/12,0)</f>
        <v>538</v>
      </c>
      <c r="G63" s="66">
        <f>ROUNDDOWN(AVERAGE(IncomeLimits!H61:'IncomeLimits'!I61)*0.3/12,0)</f>
        <v>594</v>
      </c>
      <c r="H63" s="75">
        <f>ROUNDDOWN(IncomeLimits!K61*0.3/12, 0)</f>
        <v>487</v>
      </c>
      <c r="I63" s="1009">
        <f>ROUNDDOWN(AVERAGE(IncomeLimits!K61:'IncomeLimits'!L61)*0.3/12, 0)</f>
        <v>522</v>
      </c>
      <c r="J63" s="1009">
        <f>ROUNDDOWN(IncomeLimits!M61*0.3/12, 0)</f>
        <v>627</v>
      </c>
      <c r="K63" s="1009">
        <f>ROUNDDOWN(AVERAGE(IncomeLimits!N61:'IncomeLimits'!O61)*0.3/12,0)</f>
        <v>724</v>
      </c>
      <c r="L63" s="1009">
        <f>ROUNDDOWN(IncomeLimits!P61*0.3/12,0)</f>
        <v>807</v>
      </c>
      <c r="M63" s="76">
        <f>ROUNDDOWN(AVERAGE(IncomeLimits!Q61:'IncomeLimits'!R61)*0.3/12,0)</f>
        <v>891</v>
      </c>
      <c r="N63" s="65">
        <f>ROUNDDOWN(IncomeLimits!T61*0.3/12, 0)</f>
        <v>650</v>
      </c>
      <c r="O63" s="1009">
        <f>ROUNDDOWN(AVERAGE(IncomeLimits!T61:'IncomeLimits'!U61)*0.3/12, 0)</f>
        <v>696</v>
      </c>
      <c r="P63" s="1009">
        <f>ROUNDDOWN(IncomeLimits!V61*0.3/12, 0)</f>
        <v>836</v>
      </c>
      <c r="Q63" s="1009">
        <f>ROUNDDOWN(AVERAGE(IncomeLimits!W61:'IncomeLimits'!X61)*0.3/12,0)</f>
        <v>965</v>
      </c>
      <c r="R63" s="1009">
        <f>ROUNDDOWN(IncomeLimits!Y61*0.3/12,0)</f>
        <v>1077</v>
      </c>
      <c r="S63" s="66">
        <f>ROUNDDOWN(AVERAGE(IncomeLimits!Z61:'IncomeLimits'!AA61)*0.3/12,0)</f>
        <v>1188</v>
      </c>
      <c r="T63" s="66">
        <f>ROUNDDOWN(IncomeLimits!AC61*0.3/12, 0)</f>
        <v>812</v>
      </c>
      <c r="U63" s="66">
        <f>ROUNDDOWN(AVERAGE(IncomeLimits!AC61:'IncomeLimits'!AD61)*0.3/12,0)</f>
        <v>870</v>
      </c>
      <c r="V63" s="66">
        <f>ROUNDDOWN(IncomeLimits!AE61*0.3/12, 0)</f>
        <v>1045</v>
      </c>
      <c r="W63" s="66">
        <f>ROUNDDOWN(AVERAGE(IncomeLimits!AF61:'IncomeLimits'!AG61)*0.3/12,0)</f>
        <v>1206</v>
      </c>
      <c r="X63" s="66">
        <f>ROUNDDOWN(IncomeLimits!AH61*0.3/12,0)</f>
        <v>1346</v>
      </c>
      <c r="Y63" s="66">
        <f>ROUNDDOWN(AVERAGE(IncomeLimits!AI61:'IncomeLimits'!AJ61)*0.3/12,0)</f>
        <v>1485</v>
      </c>
      <c r="Z63" s="1679">
        <f>ROUNDDOWN(IncomeLimits!AL61*0.3/12, 0)</f>
        <v>975</v>
      </c>
      <c r="AA63" s="1009">
        <f>ROUNDDOWN(AVERAGE(IncomeLimits!AL61:'IncomeLimits'!AM61)*0.3/12, 0)</f>
        <v>1044</v>
      </c>
      <c r="AB63" s="1009">
        <f>ROUNDDOWN(IncomeLimits!AN61*0.3/12, 0)</f>
        <v>1254</v>
      </c>
      <c r="AC63" s="1009">
        <f>ROUNDDOWN(AVERAGE(IncomeLimits!AO61:'IncomeLimits'!AP61)*0.3/12,0)</f>
        <v>1448</v>
      </c>
      <c r="AD63" s="1009">
        <f>ROUNDDOWN(IncomeLimits!AQ61*0.3/12,0)</f>
        <v>1615</v>
      </c>
      <c r="AE63" s="1680">
        <f>ROUNDDOWN(AVERAGE(IncomeLimits!AR61:'IncomeLimits'!AS61)*0.3/12,0)</f>
        <v>1782</v>
      </c>
      <c r="AF63" s="65">
        <f>ROUNDDOWN(IncomeLimits!AU61*0.3/12, 0)</f>
        <v>1137</v>
      </c>
      <c r="AG63" s="1009">
        <f>ROUNDDOWN(AVERAGE(IncomeLimits!AU61:'IncomeLimits'!AV61)*0.3/12, 0)</f>
        <v>1218</v>
      </c>
      <c r="AH63" s="1009">
        <f>ROUNDDOWN(IncomeLimits!AW61*0.3/12, 0)</f>
        <v>1463</v>
      </c>
      <c r="AI63" s="1009">
        <f>ROUNDDOWN(AVERAGE(IncomeLimits!AX61:'IncomeLimits'!AY61)*0.3/12,0)</f>
        <v>1689</v>
      </c>
      <c r="AJ63" s="1009">
        <f>ROUNDDOWN(IncomeLimits!AZ61*0.3/12,0)</f>
        <v>1884</v>
      </c>
      <c r="AK63" s="76">
        <f>ROUNDDOWN(AVERAGE(IncomeLimits!BA61:'IncomeLimits'!BB61)*0.3/12,0)</f>
        <v>2079</v>
      </c>
      <c r="AL63" s="65">
        <f>ROUNDDOWN(IncomeLimits!BD61*0.3/12, 0)</f>
        <v>1300</v>
      </c>
      <c r="AM63" s="1009">
        <f>ROUNDDOWN(AVERAGE(IncomeLimits!BD61:'IncomeLimits'!BE61)*0.3/12, 0)</f>
        <v>1393</v>
      </c>
      <c r="AN63" s="1009">
        <f>ROUNDDOWN(IncomeLimits!BF61*0.3/12, 0)</f>
        <v>1672</v>
      </c>
      <c r="AO63" s="1009">
        <f>ROUNDDOWN(AVERAGE(IncomeLimits!BG61:'IncomeLimits'!BH61)*0.3/12,0)</f>
        <v>1931</v>
      </c>
      <c r="AP63" s="1009">
        <f>ROUNDDOWN(IncomeLimits!BI61*0.3/12,0)</f>
        <v>2154</v>
      </c>
      <c r="AQ63" s="76">
        <f>ROUNDDOWN(AVERAGE(IncomeLimits!BJ61:'IncomeLimits'!BK61)*0.3/12,0)</f>
        <v>2376</v>
      </c>
    </row>
    <row r="64" spans="1:43">
      <c r="A64" s="77" t="s">
        <v>420</v>
      </c>
      <c r="B64" s="75">
        <f>ROUNDDOWN(IncomeLimits!B62*0.3/12, 0)</f>
        <v>332</v>
      </c>
      <c r="C64" s="1009">
        <f>ROUNDDOWN(AVERAGE(IncomeLimits!B62:C62)*0.3/12, 0)</f>
        <v>355</v>
      </c>
      <c r="D64" s="1009">
        <f>ROUNDDOWN(IncomeLimits!D62*0.3/12, 0)</f>
        <v>427</v>
      </c>
      <c r="E64" s="1009">
        <f>ROUNDDOWN(AVERAGE(IncomeLimits!E62:'IncomeLimits'!F62)*0.3/12,0)</f>
        <v>493</v>
      </c>
      <c r="F64" s="1009">
        <f>ROUNDDOWN(IncomeLimits!G62*0.3/12,0)</f>
        <v>549</v>
      </c>
      <c r="G64" s="66">
        <f>ROUNDDOWN(AVERAGE(IncomeLimits!H62:'IncomeLimits'!I62)*0.3/12,0)</f>
        <v>606</v>
      </c>
      <c r="H64" s="75">
        <f>ROUNDDOWN(IncomeLimits!K62*0.3/12, 0)</f>
        <v>498</v>
      </c>
      <c r="I64" s="1009">
        <f>ROUNDDOWN(AVERAGE(IncomeLimits!K62:'IncomeLimits'!L62)*0.3/12, 0)</f>
        <v>533</v>
      </c>
      <c r="J64" s="1009">
        <f>ROUNDDOWN(IncomeLimits!M62*0.3/12, 0)</f>
        <v>640</v>
      </c>
      <c r="K64" s="1009">
        <f>ROUNDDOWN(AVERAGE(IncomeLimits!N62:'IncomeLimits'!O62)*0.3/12,0)</f>
        <v>739</v>
      </c>
      <c r="L64" s="1009">
        <f>ROUNDDOWN(IncomeLimits!P62*0.3/12,0)</f>
        <v>824</v>
      </c>
      <c r="M64" s="76">
        <f>ROUNDDOWN(AVERAGE(IncomeLimits!Q62:'IncomeLimits'!R62)*0.3/12,0)</f>
        <v>910</v>
      </c>
      <c r="N64" s="65">
        <f>ROUNDDOWN(IncomeLimits!T62*0.3/12, 0)</f>
        <v>664</v>
      </c>
      <c r="O64" s="1009">
        <f>ROUNDDOWN(AVERAGE(IncomeLimits!T62:'IncomeLimits'!U62)*0.3/12, 0)</f>
        <v>711</v>
      </c>
      <c r="P64" s="1009">
        <f>ROUNDDOWN(IncomeLimits!V62*0.3/12, 0)</f>
        <v>854</v>
      </c>
      <c r="Q64" s="1009">
        <f>ROUNDDOWN(AVERAGE(IncomeLimits!W62:'IncomeLimits'!X62)*0.3/12,0)</f>
        <v>986</v>
      </c>
      <c r="R64" s="1009">
        <f>ROUNDDOWN(IncomeLimits!Y62*0.3/12,0)</f>
        <v>1099</v>
      </c>
      <c r="S64" s="66">
        <f>ROUNDDOWN(AVERAGE(IncomeLimits!Z62:'IncomeLimits'!AA62)*0.3/12,0)</f>
        <v>1213</v>
      </c>
      <c r="T64" s="66">
        <f>ROUNDDOWN(IncomeLimits!AC62*0.3/12, 0)</f>
        <v>830</v>
      </c>
      <c r="U64" s="66">
        <f>ROUNDDOWN(AVERAGE(IncomeLimits!AC62:'IncomeLimits'!AD62)*0.3/12,0)</f>
        <v>889</v>
      </c>
      <c r="V64" s="66">
        <f>ROUNDDOWN(IncomeLimits!AE62*0.3/12, 0)</f>
        <v>1067</v>
      </c>
      <c r="W64" s="66">
        <f>ROUNDDOWN(AVERAGE(IncomeLimits!AF62:'IncomeLimits'!AG62)*0.3/12,0)</f>
        <v>1232</v>
      </c>
      <c r="X64" s="66">
        <f>ROUNDDOWN(IncomeLimits!AH62*0.3/12,0)</f>
        <v>1373</v>
      </c>
      <c r="Y64" s="66">
        <f>ROUNDDOWN(AVERAGE(IncomeLimits!AI62:'IncomeLimits'!AJ62)*0.3/12,0)</f>
        <v>1516</v>
      </c>
      <c r="Z64" s="1679">
        <f>ROUNDDOWN(IncomeLimits!AL62*0.3/12, 0)</f>
        <v>996</v>
      </c>
      <c r="AA64" s="1009">
        <f>ROUNDDOWN(AVERAGE(IncomeLimits!AL62:'IncomeLimits'!AM62)*0.3/12, 0)</f>
        <v>1067</v>
      </c>
      <c r="AB64" s="1009">
        <f>ROUNDDOWN(IncomeLimits!AN62*0.3/12, 0)</f>
        <v>1281</v>
      </c>
      <c r="AC64" s="1009">
        <f>ROUNDDOWN(AVERAGE(IncomeLimits!AO62:'IncomeLimits'!AP62)*0.3/12,0)</f>
        <v>1479</v>
      </c>
      <c r="AD64" s="1009">
        <f>ROUNDDOWN(IncomeLimits!AQ62*0.3/12,0)</f>
        <v>1648</v>
      </c>
      <c r="AE64" s="1680">
        <f>ROUNDDOWN(AVERAGE(IncomeLimits!AR62:'IncomeLimits'!AS62)*0.3/12,0)</f>
        <v>1820</v>
      </c>
      <c r="AF64" s="65">
        <f>ROUNDDOWN(IncomeLimits!AU62*0.3/12, 0)</f>
        <v>1162</v>
      </c>
      <c r="AG64" s="1009">
        <f>ROUNDDOWN(AVERAGE(IncomeLimits!AU62:'IncomeLimits'!AV62)*0.3/12, 0)</f>
        <v>1245</v>
      </c>
      <c r="AH64" s="1009">
        <f>ROUNDDOWN(IncomeLimits!AW62*0.3/12, 0)</f>
        <v>1494</v>
      </c>
      <c r="AI64" s="1009">
        <f>ROUNDDOWN(AVERAGE(IncomeLimits!AX62:'IncomeLimits'!AY62)*0.3/12,0)</f>
        <v>1725</v>
      </c>
      <c r="AJ64" s="1009">
        <f>ROUNDDOWN(IncomeLimits!AZ62*0.3/12,0)</f>
        <v>1923</v>
      </c>
      <c r="AK64" s="76">
        <f>ROUNDDOWN(AVERAGE(IncomeLimits!BA62:'IncomeLimits'!BB62)*0.3/12,0)</f>
        <v>2123</v>
      </c>
      <c r="AL64" s="65">
        <f>ROUNDDOWN(IncomeLimits!BD62*0.3/12, 0)</f>
        <v>1328</v>
      </c>
      <c r="AM64" s="1009">
        <f>ROUNDDOWN(AVERAGE(IncomeLimits!BD62:'IncomeLimits'!BE62)*0.3/12, 0)</f>
        <v>1423</v>
      </c>
      <c r="AN64" s="1009">
        <f>ROUNDDOWN(IncomeLimits!BF62*0.3/12, 0)</f>
        <v>1708</v>
      </c>
      <c r="AO64" s="1009">
        <f>ROUNDDOWN(AVERAGE(IncomeLimits!BG62:'IncomeLimits'!BH62)*0.3/12,0)</f>
        <v>1972</v>
      </c>
      <c r="AP64" s="1009">
        <f>ROUNDDOWN(IncomeLimits!BI62*0.3/12,0)</f>
        <v>2198</v>
      </c>
      <c r="AQ64" s="76">
        <f>ROUNDDOWN(AVERAGE(IncomeLimits!BJ62:'IncomeLimits'!BK62)*0.3/12,0)</f>
        <v>2427</v>
      </c>
    </row>
    <row r="65" spans="1:43">
      <c r="A65" s="77" t="s">
        <v>481</v>
      </c>
      <c r="B65" s="75">
        <f>ROUNDDOWN(IncomeLimits!B63*0.3/12, 0)</f>
        <v>325</v>
      </c>
      <c r="C65" s="1009">
        <f>ROUNDDOWN(AVERAGE(IncomeLimits!B63:C63)*0.3/12, 0)</f>
        <v>348</v>
      </c>
      <c r="D65" s="1009">
        <f>ROUNDDOWN(IncomeLimits!D63*0.3/12, 0)</f>
        <v>418</v>
      </c>
      <c r="E65" s="1009">
        <f>ROUNDDOWN(AVERAGE(IncomeLimits!E63:'IncomeLimits'!F63)*0.3/12,0)</f>
        <v>482</v>
      </c>
      <c r="F65" s="1009">
        <f>ROUNDDOWN(IncomeLimits!G63*0.3/12,0)</f>
        <v>538</v>
      </c>
      <c r="G65" s="66">
        <f>ROUNDDOWN(AVERAGE(IncomeLimits!H63:'IncomeLimits'!I63)*0.3/12,0)</f>
        <v>594</v>
      </c>
      <c r="H65" s="75">
        <f>ROUNDDOWN(IncomeLimits!K63*0.3/12, 0)</f>
        <v>487</v>
      </c>
      <c r="I65" s="1009">
        <f>ROUNDDOWN(AVERAGE(IncomeLimits!K63:'IncomeLimits'!L63)*0.3/12, 0)</f>
        <v>522</v>
      </c>
      <c r="J65" s="1009">
        <f>ROUNDDOWN(IncomeLimits!M63*0.3/12, 0)</f>
        <v>627</v>
      </c>
      <c r="K65" s="1009">
        <f>ROUNDDOWN(AVERAGE(IncomeLimits!N63:'IncomeLimits'!O63)*0.3/12,0)</f>
        <v>724</v>
      </c>
      <c r="L65" s="1009">
        <f>ROUNDDOWN(IncomeLimits!P63*0.3/12,0)</f>
        <v>807</v>
      </c>
      <c r="M65" s="76">
        <f>ROUNDDOWN(AVERAGE(IncomeLimits!Q63:'IncomeLimits'!R63)*0.3/12,0)</f>
        <v>891</v>
      </c>
      <c r="N65" s="65">
        <f>ROUNDDOWN(IncomeLimits!T63*0.3/12, 0)</f>
        <v>650</v>
      </c>
      <c r="O65" s="1009">
        <f>ROUNDDOWN(AVERAGE(IncomeLimits!T63:'IncomeLimits'!U63)*0.3/12, 0)</f>
        <v>696</v>
      </c>
      <c r="P65" s="1009">
        <f>ROUNDDOWN(IncomeLimits!V63*0.3/12, 0)</f>
        <v>836</v>
      </c>
      <c r="Q65" s="1009">
        <f>ROUNDDOWN(AVERAGE(IncomeLimits!W63:'IncomeLimits'!X63)*0.3/12,0)</f>
        <v>965</v>
      </c>
      <c r="R65" s="1009">
        <f>ROUNDDOWN(IncomeLimits!Y63*0.3/12,0)</f>
        <v>1077</v>
      </c>
      <c r="S65" s="66">
        <f>ROUNDDOWN(AVERAGE(IncomeLimits!Z63:'IncomeLimits'!AA63)*0.3/12,0)</f>
        <v>1188</v>
      </c>
      <c r="T65" s="66">
        <f>ROUNDDOWN(IncomeLimits!AC63*0.3/12, 0)</f>
        <v>812</v>
      </c>
      <c r="U65" s="66">
        <f>ROUNDDOWN(AVERAGE(IncomeLimits!AC63:'IncomeLimits'!AD63)*0.3/12,0)</f>
        <v>870</v>
      </c>
      <c r="V65" s="66">
        <f>ROUNDDOWN(IncomeLimits!AE63*0.3/12, 0)</f>
        <v>1045</v>
      </c>
      <c r="W65" s="66">
        <f>ROUNDDOWN(AVERAGE(IncomeLimits!AF63:'IncomeLimits'!AG63)*0.3/12,0)</f>
        <v>1206</v>
      </c>
      <c r="X65" s="66">
        <f>ROUNDDOWN(IncomeLimits!AH63*0.3/12,0)</f>
        <v>1346</v>
      </c>
      <c r="Y65" s="66">
        <f>ROUNDDOWN(AVERAGE(IncomeLimits!AI63:'IncomeLimits'!AJ63)*0.3/12,0)</f>
        <v>1485</v>
      </c>
      <c r="Z65" s="1679">
        <f>ROUNDDOWN(IncomeLimits!AL63*0.3/12, 0)</f>
        <v>975</v>
      </c>
      <c r="AA65" s="1009">
        <f>ROUNDDOWN(AVERAGE(IncomeLimits!AL63:'IncomeLimits'!AM63)*0.3/12, 0)</f>
        <v>1044</v>
      </c>
      <c r="AB65" s="1009">
        <f>ROUNDDOWN(IncomeLimits!AN63*0.3/12, 0)</f>
        <v>1254</v>
      </c>
      <c r="AC65" s="1009">
        <f>ROUNDDOWN(AVERAGE(IncomeLimits!AO63:'IncomeLimits'!AP63)*0.3/12,0)</f>
        <v>1448</v>
      </c>
      <c r="AD65" s="1009">
        <f>ROUNDDOWN(IncomeLimits!AQ63*0.3/12,0)</f>
        <v>1615</v>
      </c>
      <c r="AE65" s="1680">
        <f>ROUNDDOWN(AVERAGE(IncomeLimits!AR63:'IncomeLimits'!AS63)*0.3/12,0)</f>
        <v>1782</v>
      </c>
      <c r="AF65" s="65">
        <f>ROUNDDOWN(IncomeLimits!AU63*0.3/12, 0)</f>
        <v>1137</v>
      </c>
      <c r="AG65" s="1009">
        <f>ROUNDDOWN(AVERAGE(IncomeLimits!AU63:'IncomeLimits'!AV63)*0.3/12, 0)</f>
        <v>1218</v>
      </c>
      <c r="AH65" s="1009">
        <f>ROUNDDOWN(IncomeLimits!AW63*0.3/12, 0)</f>
        <v>1463</v>
      </c>
      <c r="AI65" s="1009">
        <f>ROUNDDOWN(AVERAGE(IncomeLimits!AX63:'IncomeLimits'!AY63)*0.3/12,0)</f>
        <v>1689</v>
      </c>
      <c r="AJ65" s="1009">
        <f>ROUNDDOWN(IncomeLimits!AZ63*0.3/12,0)</f>
        <v>1884</v>
      </c>
      <c r="AK65" s="76">
        <f>ROUNDDOWN(AVERAGE(IncomeLimits!BA63:'IncomeLimits'!BB63)*0.3/12,0)</f>
        <v>2079</v>
      </c>
      <c r="AL65" s="65">
        <f>ROUNDDOWN(IncomeLimits!BD63*0.3/12, 0)</f>
        <v>1300</v>
      </c>
      <c r="AM65" s="1009">
        <f>ROUNDDOWN(AVERAGE(IncomeLimits!BD63:'IncomeLimits'!BE63)*0.3/12, 0)</f>
        <v>1393</v>
      </c>
      <c r="AN65" s="1009">
        <f>ROUNDDOWN(IncomeLimits!BF63*0.3/12, 0)</f>
        <v>1672</v>
      </c>
      <c r="AO65" s="1009">
        <f>ROUNDDOWN(AVERAGE(IncomeLimits!BG63:'IncomeLimits'!BH63)*0.3/12,0)</f>
        <v>1931</v>
      </c>
      <c r="AP65" s="1009">
        <f>ROUNDDOWN(IncomeLimits!BI63*0.3/12,0)</f>
        <v>2154</v>
      </c>
      <c r="AQ65" s="76">
        <f>ROUNDDOWN(AVERAGE(IncomeLimits!BJ63:'IncomeLimits'!BK63)*0.3/12,0)</f>
        <v>2376</v>
      </c>
    </row>
    <row r="66" spans="1:43">
      <c r="A66" s="77" t="s">
        <v>482</v>
      </c>
      <c r="B66" s="75">
        <f>ROUNDDOWN(IncomeLimits!B64*0.3/12, 0)</f>
        <v>342</v>
      </c>
      <c r="C66" s="1009">
        <f>ROUNDDOWN(AVERAGE(IncomeLimits!B64:C64)*0.3/12, 0)</f>
        <v>366</v>
      </c>
      <c r="D66" s="1009">
        <f>ROUNDDOWN(IncomeLimits!D64*0.3/12, 0)</f>
        <v>440</v>
      </c>
      <c r="E66" s="1009">
        <f>ROUNDDOWN(AVERAGE(IncomeLimits!E64:'IncomeLimits'!F64)*0.3/12,0)</f>
        <v>508</v>
      </c>
      <c r="F66" s="1009">
        <f>ROUNDDOWN(IncomeLimits!G64*0.3/12,0)</f>
        <v>567</v>
      </c>
      <c r="G66" s="66">
        <f>ROUNDDOWN(AVERAGE(IncomeLimits!H64:'IncomeLimits'!I64)*0.3/12,0)</f>
        <v>625</v>
      </c>
      <c r="H66" s="75">
        <f>ROUNDDOWN(IncomeLimits!K64*0.3/12, 0)</f>
        <v>513</v>
      </c>
      <c r="I66" s="1009">
        <f>ROUNDDOWN(AVERAGE(IncomeLimits!K64:'IncomeLimits'!L64)*0.3/12, 0)</f>
        <v>549</v>
      </c>
      <c r="J66" s="1009">
        <f>ROUNDDOWN(IncomeLimits!M64*0.3/12, 0)</f>
        <v>660</v>
      </c>
      <c r="K66" s="1009">
        <f>ROUNDDOWN(AVERAGE(IncomeLimits!N64:'IncomeLimits'!O64)*0.3/12,0)</f>
        <v>762</v>
      </c>
      <c r="L66" s="1009">
        <f>ROUNDDOWN(IncomeLimits!P64*0.3/12,0)</f>
        <v>850</v>
      </c>
      <c r="M66" s="76">
        <f>ROUNDDOWN(AVERAGE(IncomeLimits!Q64:'IncomeLimits'!R64)*0.3/12,0)</f>
        <v>938</v>
      </c>
      <c r="N66" s="65">
        <f>ROUNDDOWN(IncomeLimits!T64*0.3/12, 0)</f>
        <v>684</v>
      </c>
      <c r="O66" s="1009">
        <f>ROUNDDOWN(AVERAGE(IncomeLimits!T64:'IncomeLimits'!U64)*0.3/12, 0)</f>
        <v>733</v>
      </c>
      <c r="P66" s="1009">
        <f>ROUNDDOWN(IncomeLimits!V64*0.3/12, 0)</f>
        <v>880</v>
      </c>
      <c r="Q66" s="1009">
        <f>ROUNDDOWN(AVERAGE(IncomeLimits!W64:'IncomeLimits'!X64)*0.3/12,0)</f>
        <v>1016</v>
      </c>
      <c r="R66" s="1009">
        <f>ROUNDDOWN(IncomeLimits!Y64*0.3/12,0)</f>
        <v>1134</v>
      </c>
      <c r="S66" s="66">
        <f>ROUNDDOWN(AVERAGE(IncomeLimits!Z64:'IncomeLimits'!AA64)*0.3/12,0)</f>
        <v>1251</v>
      </c>
      <c r="T66" s="66">
        <f>ROUNDDOWN(IncomeLimits!AC64*0.3/12, 0)</f>
        <v>855</v>
      </c>
      <c r="U66" s="66">
        <f>ROUNDDOWN(AVERAGE(IncomeLimits!AC64:'IncomeLimits'!AD64)*0.3/12,0)</f>
        <v>916</v>
      </c>
      <c r="V66" s="66">
        <f>ROUNDDOWN(IncomeLimits!AE64*0.3/12, 0)</f>
        <v>1100</v>
      </c>
      <c r="W66" s="66">
        <f>ROUNDDOWN(AVERAGE(IncomeLimits!AF64:'IncomeLimits'!AG64)*0.3/12,0)</f>
        <v>1270</v>
      </c>
      <c r="X66" s="66">
        <f>ROUNDDOWN(IncomeLimits!AH64*0.3/12,0)</f>
        <v>1417</v>
      </c>
      <c r="Y66" s="66">
        <f>ROUNDDOWN(AVERAGE(IncomeLimits!AI64:'IncomeLimits'!AJ64)*0.3/12,0)</f>
        <v>1563</v>
      </c>
      <c r="Z66" s="1679">
        <f>ROUNDDOWN(IncomeLimits!AL64*0.3/12, 0)</f>
        <v>1026</v>
      </c>
      <c r="AA66" s="1009">
        <f>ROUNDDOWN(AVERAGE(IncomeLimits!AL64:'IncomeLimits'!AM64)*0.3/12, 0)</f>
        <v>1099</v>
      </c>
      <c r="AB66" s="1009">
        <f>ROUNDDOWN(IncomeLimits!AN64*0.3/12, 0)</f>
        <v>1320</v>
      </c>
      <c r="AC66" s="1009">
        <f>ROUNDDOWN(AVERAGE(IncomeLimits!AO64:'IncomeLimits'!AP64)*0.3/12,0)</f>
        <v>1524</v>
      </c>
      <c r="AD66" s="1009">
        <f>ROUNDDOWN(IncomeLimits!AQ64*0.3/12,0)</f>
        <v>1701</v>
      </c>
      <c r="AE66" s="1680">
        <f>ROUNDDOWN(AVERAGE(IncomeLimits!AR64:'IncomeLimits'!AS64)*0.3/12,0)</f>
        <v>1876</v>
      </c>
      <c r="AF66" s="65">
        <f>ROUNDDOWN(IncomeLimits!AU64*0.3/12, 0)</f>
        <v>1197</v>
      </c>
      <c r="AG66" s="1009">
        <f>ROUNDDOWN(AVERAGE(IncomeLimits!AU64:'IncomeLimits'!AV64)*0.3/12, 0)</f>
        <v>1282</v>
      </c>
      <c r="AH66" s="1009">
        <f>ROUNDDOWN(IncomeLimits!AW64*0.3/12, 0)</f>
        <v>1540</v>
      </c>
      <c r="AI66" s="1009">
        <f>ROUNDDOWN(AVERAGE(IncomeLimits!AX64:'IncomeLimits'!AY64)*0.3/12,0)</f>
        <v>1778</v>
      </c>
      <c r="AJ66" s="1009">
        <f>ROUNDDOWN(IncomeLimits!AZ64*0.3/12,0)</f>
        <v>1984</v>
      </c>
      <c r="AK66" s="76">
        <f>ROUNDDOWN(AVERAGE(IncomeLimits!BA64:'IncomeLimits'!BB64)*0.3/12,0)</f>
        <v>2189</v>
      </c>
      <c r="AL66" s="65">
        <f>ROUNDDOWN(IncomeLimits!BD64*0.3/12, 0)</f>
        <v>1368</v>
      </c>
      <c r="AM66" s="1009">
        <f>ROUNDDOWN(AVERAGE(IncomeLimits!BD64:'IncomeLimits'!BE64)*0.3/12, 0)</f>
        <v>1466</v>
      </c>
      <c r="AN66" s="1009">
        <f>ROUNDDOWN(IncomeLimits!BF64*0.3/12, 0)</f>
        <v>1760</v>
      </c>
      <c r="AO66" s="1009">
        <f>ROUNDDOWN(AVERAGE(IncomeLimits!BG64:'IncomeLimits'!BH64)*0.3/12,0)</f>
        <v>2033</v>
      </c>
      <c r="AP66" s="1009">
        <f>ROUNDDOWN(IncomeLimits!BI64*0.3/12,0)</f>
        <v>2268</v>
      </c>
      <c r="AQ66" s="76">
        <f>ROUNDDOWN(AVERAGE(IncomeLimits!BJ64:'IncomeLimits'!BK64)*0.3/12,0)</f>
        <v>2502</v>
      </c>
    </row>
    <row r="67" spans="1:43">
      <c r="A67" s="77" t="s">
        <v>483</v>
      </c>
      <c r="B67" s="75">
        <f>ROUNDDOWN(IncomeLimits!B65*0.3/12, 0)</f>
        <v>334</v>
      </c>
      <c r="C67" s="1009">
        <f>ROUNDDOWN(AVERAGE(IncomeLimits!B65:C65)*0.3/12, 0)</f>
        <v>358</v>
      </c>
      <c r="D67" s="1009">
        <f>ROUNDDOWN(IncomeLimits!D65*0.3/12, 0)</f>
        <v>429</v>
      </c>
      <c r="E67" s="1009">
        <f>ROUNDDOWN(AVERAGE(IncomeLimits!E65:'IncomeLimits'!F65)*0.3/12,0)</f>
        <v>496</v>
      </c>
      <c r="F67" s="1009">
        <f>ROUNDDOWN(IncomeLimits!G65*0.3/12,0)</f>
        <v>553</v>
      </c>
      <c r="G67" s="66">
        <f>ROUNDDOWN(AVERAGE(IncomeLimits!H65:'IncomeLimits'!I65)*0.3/12,0)</f>
        <v>610</v>
      </c>
      <c r="H67" s="75">
        <f>ROUNDDOWN(IncomeLimits!K65*0.3/12, 0)</f>
        <v>501</v>
      </c>
      <c r="I67" s="1009">
        <f>ROUNDDOWN(AVERAGE(IncomeLimits!K65:'IncomeLimits'!L65)*0.3/12, 0)</f>
        <v>537</v>
      </c>
      <c r="J67" s="1009">
        <f>ROUNDDOWN(IncomeLimits!M65*0.3/12, 0)</f>
        <v>644</v>
      </c>
      <c r="K67" s="1009">
        <f>ROUNDDOWN(AVERAGE(IncomeLimits!N65:'IncomeLimits'!O65)*0.3/12,0)</f>
        <v>744</v>
      </c>
      <c r="L67" s="1009">
        <f>ROUNDDOWN(IncomeLimits!P65*0.3/12,0)</f>
        <v>830</v>
      </c>
      <c r="M67" s="76">
        <f>ROUNDDOWN(AVERAGE(IncomeLimits!Q65:'IncomeLimits'!R65)*0.3/12,0)</f>
        <v>916</v>
      </c>
      <c r="N67" s="65">
        <f>ROUNDDOWN(IncomeLimits!T65*0.3/12, 0)</f>
        <v>668</v>
      </c>
      <c r="O67" s="1009">
        <f>ROUNDDOWN(AVERAGE(IncomeLimits!T65:'IncomeLimits'!U65)*0.3/12, 0)</f>
        <v>716</v>
      </c>
      <c r="P67" s="1009">
        <f>ROUNDDOWN(IncomeLimits!V65*0.3/12, 0)</f>
        <v>859</v>
      </c>
      <c r="Q67" s="1009">
        <f>ROUNDDOWN(AVERAGE(IncomeLimits!W65:'IncomeLimits'!X65)*0.3/12,0)</f>
        <v>992</v>
      </c>
      <c r="R67" s="1009">
        <f>ROUNDDOWN(IncomeLimits!Y65*0.3/12,0)</f>
        <v>1107</v>
      </c>
      <c r="S67" s="66">
        <f>ROUNDDOWN(AVERAGE(IncomeLimits!Z65:'IncomeLimits'!AA65)*0.3/12,0)</f>
        <v>1221</v>
      </c>
      <c r="T67" s="66">
        <f>ROUNDDOWN(IncomeLimits!AC65*0.3/12, 0)</f>
        <v>835</v>
      </c>
      <c r="U67" s="66">
        <f>ROUNDDOWN(AVERAGE(IncomeLimits!AC65:'IncomeLimits'!AD65)*0.3/12,0)</f>
        <v>895</v>
      </c>
      <c r="V67" s="66">
        <f>ROUNDDOWN(IncomeLimits!AE65*0.3/12, 0)</f>
        <v>1073</v>
      </c>
      <c r="W67" s="66">
        <f>ROUNDDOWN(AVERAGE(IncomeLimits!AF65:'IncomeLimits'!AG65)*0.3/12,0)</f>
        <v>1240</v>
      </c>
      <c r="X67" s="66">
        <f>ROUNDDOWN(IncomeLimits!AH65*0.3/12,0)</f>
        <v>1383</v>
      </c>
      <c r="Y67" s="66">
        <f>ROUNDDOWN(AVERAGE(IncomeLimits!AI65:'IncomeLimits'!AJ65)*0.3/12,0)</f>
        <v>1526</v>
      </c>
      <c r="Z67" s="1679">
        <f>ROUNDDOWN(IncomeLimits!AL65*0.3/12, 0)</f>
        <v>1002</v>
      </c>
      <c r="AA67" s="1009">
        <f>ROUNDDOWN(AVERAGE(IncomeLimits!AL65:'IncomeLimits'!AM65)*0.3/12, 0)</f>
        <v>1074</v>
      </c>
      <c r="AB67" s="1009">
        <f>ROUNDDOWN(IncomeLimits!AN65*0.3/12, 0)</f>
        <v>1288</v>
      </c>
      <c r="AC67" s="1009">
        <f>ROUNDDOWN(AVERAGE(IncomeLimits!AO65:'IncomeLimits'!AP65)*0.3/12,0)</f>
        <v>1488</v>
      </c>
      <c r="AD67" s="1009">
        <f>ROUNDDOWN(IncomeLimits!AQ65*0.3/12,0)</f>
        <v>1660</v>
      </c>
      <c r="AE67" s="1680">
        <f>ROUNDDOWN(AVERAGE(IncomeLimits!AR65:'IncomeLimits'!AS65)*0.3/12,0)</f>
        <v>1832</v>
      </c>
      <c r="AF67" s="65">
        <f>ROUNDDOWN(IncomeLimits!AU65*0.3/12, 0)</f>
        <v>1169</v>
      </c>
      <c r="AG67" s="1009">
        <f>ROUNDDOWN(AVERAGE(IncomeLimits!AU65:'IncomeLimits'!AV65)*0.3/12, 0)</f>
        <v>1253</v>
      </c>
      <c r="AH67" s="1009">
        <f>ROUNDDOWN(IncomeLimits!AW65*0.3/12, 0)</f>
        <v>1503</v>
      </c>
      <c r="AI67" s="1009">
        <f>ROUNDDOWN(AVERAGE(IncomeLimits!AX65:'IncomeLimits'!AY65)*0.3/12,0)</f>
        <v>1736</v>
      </c>
      <c r="AJ67" s="1009">
        <f>ROUNDDOWN(IncomeLimits!AZ65*0.3/12,0)</f>
        <v>1937</v>
      </c>
      <c r="AK67" s="76">
        <f>ROUNDDOWN(AVERAGE(IncomeLimits!BA65:'IncomeLimits'!BB65)*0.3/12,0)</f>
        <v>2137</v>
      </c>
      <c r="AL67" s="65">
        <f>ROUNDDOWN(IncomeLimits!BD65*0.3/12, 0)</f>
        <v>1336</v>
      </c>
      <c r="AM67" s="1009">
        <f>ROUNDDOWN(AVERAGE(IncomeLimits!BD65:'IncomeLimits'!BE65)*0.3/12, 0)</f>
        <v>1432</v>
      </c>
      <c r="AN67" s="1009">
        <f>ROUNDDOWN(IncomeLimits!BF65*0.3/12, 0)</f>
        <v>1718</v>
      </c>
      <c r="AO67" s="1009">
        <f>ROUNDDOWN(AVERAGE(IncomeLimits!BG65:'IncomeLimits'!BH65)*0.3/12,0)</f>
        <v>1985</v>
      </c>
      <c r="AP67" s="1009">
        <f>ROUNDDOWN(IncomeLimits!BI65*0.3/12,0)</f>
        <v>2214</v>
      </c>
      <c r="AQ67" s="76">
        <f>ROUNDDOWN(AVERAGE(IncomeLimits!BJ65:'IncomeLimits'!BK65)*0.3/12,0)</f>
        <v>2443</v>
      </c>
    </row>
    <row r="68" spans="1:43">
      <c r="A68" s="77" t="s">
        <v>484</v>
      </c>
      <c r="B68" s="75">
        <f>ROUNDDOWN(IncomeLimits!B66*0.3/12, 0)</f>
        <v>325</v>
      </c>
      <c r="C68" s="1009">
        <f>ROUNDDOWN(AVERAGE(IncomeLimits!B66:C66)*0.3/12, 0)</f>
        <v>348</v>
      </c>
      <c r="D68" s="1009">
        <f>ROUNDDOWN(IncomeLimits!D66*0.3/12, 0)</f>
        <v>418</v>
      </c>
      <c r="E68" s="1009">
        <f>ROUNDDOWN(AVERAGE(IncomeLimits!E66:'IncomeLimits'!F66)*0.3/12,0)</f>
        <v>482</v>
      </c>
      <c r="F68" s="1009">
        <f>ROUNDDOWN(IncomeLimits!G66*0.3/12,0)</f>
        <v>538</v>
      </c>
      <c r="G68" s="66">
        <f>ROUNDDOWN(AVERAGE(IncomeLimits!H66:'IncomeLimits'!I66)*0.3/12,0)</f>
        <v>594</v>
      </c>
      <c r="H68" s="75">
        <f>ROUNDDOWN(IncomeLimits!K66*0.3/12, 0)</f>
        <v>487</v>
      </c>
      <c r="I68" s="1009">
        <f>ROUNDDOWN(AVERAGE(IncomeLimits!K66:'IncomeLimits'!L66)*0.3/12, 0)</f>
        <v>522</v>
      </c>
      <c r="J68" s="1009">
        <f>ROUNDDOWN(IncomeLimits!M66*0.3/12, 0)</f>
        <v>627</v>
      </c>
      <c r="K68" s="1009">
        <f>ROUNDDOWN(AVERAGE(IncomeLimits!N66:'IncomeLimits'!O66)*0.3/12,0)</f>
        <v>724</v>
      </c>
      <c r="L68" s="1009">
        <f>ROUNDDOWN(IncomeLimits!P66*0.3/12,0)</f>
        <v>807</v>
      </c>
      <c r="M68" s="76">
        <f>ROUNDDOWN(AVERAGE(IncomeLimits!Q66:'IncomeLimits'!R66)*0.3/12,0)</f>
        <v>891</v>
      </c>
      <c r="N68" s="65">
        <f>ROUNDDOWN(IncomeLimits!T66*0.3/12, 0)</f>
        <v>650</v>
      </c>
      <c r="O68" s="1009">
        <f>ROUNDDOWN(AVERAGE(IncomeLimits!T66:'IncomeLimits'!U66)*0.3/12, 0)</f>
        <v>696</v>
      </c>
      <c r="P68" s="1009">
        <f>ROUNDDOWN(IncomeLimits!V66*0.3/12, 0)</f>
        <v>836</v>
      </c>
      <c r="Q68" s="1009">
        <f>ROUNDDOWN(AVERAGE(IncomeLimits!W66:'IncomeLimits'!X66)*0.3/12,0)</f>
        <v>965</v>
      </c>
      <c r="R68" s="1009">
        <f>ROUNDDOWN(IncomeLimits!Y66*0.3/12,0)</f>
        <v>1077</v>
      </c>
      <c r="S68" s="66">
        <f>ROUNDDOWN(AVERAGE(IncomeLimits!Z66:'IncomeLimits'!AA66)*0.3/12,0)</f>
        <v>1188</v>
      </c>
      <c r="T68" s="66">
        <f>ROUNDDOWN(IncomeLimits!AC66*0.3/12, 0)</f>
        <v>812</v>
      </c>
      <c r="U68" s="66">
        <f>ROUNDDOWN(AVERAGE(IncomeLimits!AC66:'IncomeLimits'!AD66)*0.3/12,0)</f>
        <v>870</v>
      </c>
      <c r="V68" s="66">
        <f>ROUNDDOWN(IncomeLimits!AE66*0.3/12, 0)</f>
        <v>1045</v>
      </c>
      <c r="W68" s="66">
        <f>ROUNDDOWN(AVERAGE(IncomeLimits!AF66:'IncomeLimits'!AG66)*0.3/12,0)</f>
        <v>1206</v>
      </c>
      <c r="X68" s="66">
        <f>ROUNDDOWN(IncomeLimits!AH66*0.3/12,0)</f>
        <v>1346</v>
      </c>
      <c r="Y68" s="66">
        <f>ROUNDDOWN(AVERAGE(IncomeLimits!AI66:'IncomeLimits'!AJ66)*0.3/12,0)</f>
        <v>1485</v>
      </c>
      <c r="Z68" s="1679">
        <f>ROUNDDOWN(IncomeLimits!AL66*0.3/12, 0)</f>
        <v>975</v>
      </c>
      <c r="AA68" s="1009">
        <f>ROUNDDOWN(AVERAGE(IncomeLimits!AL66:'IncomeLimits'!AM66)*0.3/12, 0)</f>
        <v>1044</v>
      </c>
      <c r="AB68" s="1009">
        <f>ROUNDDOWN(IncomeLimits!AN66*0.3/12, 0)</f>
        <v>1254</v>
      </c>
      <c r="AC68" s="1009">
        <f>ROUNDDOWN(AVERAGE(IncomeLimits!AO66:'IncomeLimits'!AP66)*0.3/12,0)</f>
        <v>1448</v>
      </c>
      <c r="AD68" s="1009">
        <f>ROUNDDOWN(IncomeLimits!AQ66*0.3/12,0)</f>
        <v>1615</v>
      </c>
      <c r="AE68" s="1680">
        <f>ROUNDDOWN(AVERAGE(IncomeLimits!AR66:'IncomeLimits'!AS66)*0.3/12,0)</f>
        <v>1782</v>
      </c>
      <c r="AF68" s="65">
        <f>ROUNDDOWN(IncomeLimits!AU66*0.3/12, 0)</f>
        <v>1137</v>
      </c>
      <c r="AG68" s="1009">
        <f>ROUNDDOWN(AVERAGE(IncomeLimits!AU66:'IncomeLimits'!AV66)*0.3/12, 0)</f>
        <v>1218</v>
      </c>
      <c r="AH68" s="1009">
        <f>ROUNDDOWN(IncomeLimits!AW66*0.3/12, 0)</f>
        <v>1463</v>
      </c>
      <c r="AI68" s="1009">
        <f>ROUNDDOWN(AVERAGE(IncomeLimits!AX66:'IncomeLimits'!AY66)*0.3/12,0)</f>
        <v>1689</v>
      </c>
      <c r="AJ68" s="1009">
        <f>ROUNDDOWN(IncomeLimits!AZ66*0.3/12,0)</f>
        <v>1884</v>
      </c>
      <c r="AK68" s="76">
        <f>ROUNDDOWN(AVERAGE(IncomeLimits!BA66:'IncomeLimits'!BB66)*0.3/12,0)</f>
        <v>2079</v>
      </c>
      <c r="AL68" s="65">
        <f>ROUNDDOWN(IncomeLimits!BD66*0.3/12, 0)</f>
        <v>1300</v>
      </c>
      <c r="AM68" s="1009">
        <f>ROUNDDOWN(AVERAGE(IncomeLimits!BD66:'IncomeLimits'!BE66)*0.3/12, 0)</f>
        <v>1393</v>
      </c>
      <c r="AN68" s="1009">
        <f>ROUNDDOWN(IncomeLimits!BF66*0.3/12, 0)</f>
        <v>1672</v>
      </c>
      <c r="AO68" s="1009">
        <f>ROUNDDOWN(AVERAGE(IncomeLimits!BG66:'IncomeLimits'!BH66)*0.3/12,0)</f>
        <v>1931</v>
      </c>
      <c r="AP68" s="1009">
        <f>ROUNDDOWN(IncomeLimits!BI66*0.3/12,0)</f>
        <v>2154</v>
      </c>
      <c r="AQ68" s="76">
        <f>ROUNDDOWN(AVERAGE(IncomeLimits!BJ66:'IncomeLimits'!BK66)*0.3/12,0)</f>
        <v>2376</v>
      </c>
    </row>
    <row r="69" spans="1:43">
      <c r="A69" s="77" t="s">
        <v>485</v>
      </c>
      <c r="B69" s="75">
        <f>ROUNDDOWN(IncomeLimits!B67*0.3/12, 0)</f>
        <v>384</v>
      </c>
      <c r="C69" s="1009">
        <f>ROUNDDOWN(AVERAGE(IncomeLimits!B67:C67)*0.3/12, 0)</f>
        <v>411</v>
      </c>
      <c r="D69" s="1009">
        <f>ROUNDDOWN(IncomeLimits!D67*0.3/12, 0)</f>
        <v>493</v>
      </c>
      <c r="E69" s="1009">
        <f>ROUNDDOWN(AVERAGE(IncomeLimits!E67:'IncomeLimits'!F67)*0.3/12,0)</f>
        <v>570</v>
      </c>
      <c r="F69" s="1009">
        <f>ROUNDDOWN(IncomeLimits!G67*0.3/12,0)</f>
        <v>636</v>
      </c>
      <c r="G69" s="66">
        <f>ROUNDDOWN(AVERAGE(IncomeLimits!H67:'IncomeLimits'!I67)*0.3/12,0)</f>
        <v>701</v>
      </c>
      <c r="H69" s="75">
        <f>ROUNDDOWN(IncomeLimits!K67*0.3/12, 0)</f>
        <v>576</v>
      </c>
      <c r="I69" s="1009">
        <f>ROUNDDOWN(AVERAGE(IncomeLimits!K67:'IncomeLimits'!L67)*0.3/12, 0)</f>
        <v>616</v>
      </c>
      <c r="J69" s="1009">
        <f>ROUNDDOWN(IncomeLimits!M67*0.3/12, 0)</f>
        <v>740</v>
      </c>
      <c r="K69" s="1009">
        <f>ROUNDDOWN(AVERAGE(IncomeLimits!N67:'IncomeLimits'!O67)*0.3/12,0)</f>
        <v>855</v>
      </c>
      <c r="L69" s="1009">
        <f>ROUNDDOWN(IncomeLimits!P67*0.3/12,0)</f>
        <v>954</v>
      </c>
      <c r="M69" s="76">
        <f>ROUNDDOWN(AVERAGE(IncomeLimits!Q67:'IncomeLimits'!R67)*0.3/12,0)</f>
        <v>1052</v>
      </c>
      <c r="N69" s="65">
        <f>ROUNDDOWN(IncomeLimits!T67*0.3/12, 0)</f>
        <v>768</v>
      </c>
      <c r="O69" s="1009">
        <f>ROUNDDOWN(AVERAGE(IncomeLimits!T67:'IncomeLimits'!U67)*0.3/12, 0)</f>
        <v>822</v>
      </c>
      <c r="P69" s="1009">
        <f>ROUNDDOWN(IncomeLimits!V67*0.3/12, 0)</f>
        <v>987</v>
      </c>
      <c r="Q69" s="1009">
        <f>ROUNDDOWN(AVERAGE(IncomeLimits!W67:'IncomeLimits'!X67)*0.3/12,0)</f>
        <v>1140</v>
      </c>
      <c r="R69" s="1009">
        <f>ROUNDDOWN(IncomeLimits!Y67*0.3/12,0)</f>
        <v>1272</v>
      </c>
      <c r="S69" s="66">
        <f>ROUNDDOWN(AVERAGE(IncomeLimits!Z67:'IncomeLimits'!AA67)*0.3/12,0)</f>
        <v>1403</v>
      </c>
      <c r="T69" s="66">
        <f>ROUNDDOWN(IncomeLimits!AC67*0.3/12, 0)</f>
        <v>960</v>
      </c>
      <c r="U69" s="66">
        <f>ROUNDDOWN(AVERAGE(IncomeLimits!AC67:'IncomeLimits'!AD67)*0.3/12,0)</f>
        <v>1028</v>
      </c>
      <c r="V69" s="66">
        <f>ROUNDDOWN(IncomeLimits!AE67*0.3/12, 0)</f>
        <v>1233</v>
      </c>
      <c r="W69" s="66">
        <f>ROUNDDOWN(AVERAGE(IncomeLimits!AF67:'IncomeLimits'!AG67)*0.3/12,0)</f>
        <v>1425</v>
      </c>
      <c r="X69" s="66">
        <f>ROUNDDOWN(IncomeLimits!AH67*0.3/12,0)</f>
        <v>1590</v>
      </c>
      <c r="Y69" s="66">
        <f>ROUNDDOWN(AVERAGE(IncomeLimits!AI67:'IncomeLimits'!AJ67)*0.3/12,0)</f>
        <v>1754</v>
      </c>
      <c r="Z69" s="1679">
        <f>ROUNDDOWN(IncomeLimits!AL67*0.3/12, 0)</f>
        <v>1152</v>
      </c>
      <c r="AA69" s="1009">
        <f>ROUNDDOWN(AVERAGE(IncomeLimits!AL67:'IncomeLimits'!AM67)*0.3/12, 0)</f>
        <v>1233</v>
      </c>
      <c r="AB69" s="1009">
        <f>ROUNDDOWN(IncomeLimits!AN67*0.3/12, 0)</f>
        <v>1480</v>
      </c>
      <c r="AC69" s="1009">
        <f>ROUNDDOWN(AVERAGE(IncomeLimits!AO67:'IncomeLimits'!AP67)*0.3/12,0)</f>
        <v>1710</v>
      </c>
      <c r="AD69" s="1009">
        <f>ROUNDDOWN(IncomeLimits!AQ67*0.3/12,0)</f>
        <v>1908</v>
      </c>
      <c r="AE69" s="1680">
        <f>ROUNDDOWN(AVERAGE(IncomeLimits!AR67:'IncomeLimits'!AS67)*0.3/12,0)</f>
        <v>2105</v>
      </c>
      <c r="AF69" s="65">
        <f>ROUNDDOWN(IncomeLimits!AU67*0.3/12, 0)</f>
        <v>1344</v>
      </c>
      <c r="AG69" s="1009">
        <f>ROUNDDOWN(AVERAGE(IncomeLimits!AU67:'IncomeLimits'!AV67)*0.3/12, 0)</f>
        <v>1439</v>
      </c>
      <c r="AH69" s="1009">
        <f>ROUNDDOWN(IncomeLimits!AW67*0.3/12, 0)</f>
        <v>1727</v>
      </c>
      <c r="AI69" s="1009">
        <f>ROUNDDOWN(AVERAGE(IncomeLimits!AX67:'IncomeLimits'!AY67)*0.3/12,0)</f>
        <v>1995</v>
      </c>
      <c r="AJ69" s="1009">
        <f>ROUNDDOWN(IncomeLimits!AZ67*0.3/12,0)</f>
        <v>2226</v>
      </c>
      <c r="AK69" s="76">
        <f>ROUNDDOWN(AVERAGE(IncomeLimits!BA67:'IncomeLimits'!BB67)*0.3/12,0)</f>
        <v>2456</v>
      </c>
      <c r="AL69" s="65">
        <f>ROUNDDOWN(IncomeLimits!BD67*0.3/12, 0)</f>
        <v>1536</v>
      </c>
      <c r="AM69" s="1009">
        <f>ROUNDDOWN(AVERAGE(IncomeLimits!BD67:'IncomeLimits'!BE67)*0.3/12, 0)</f>
        <v>1645</v>
      </c>
      <c r="AN69" s="1009">
        <f>ROUNDDOWN(IncomeLimits!BF67*0.3/12, 0)</f>
        <v>1974</v>
      </c>
      <c r="AO69" s="1009">
        <f>ROUNDDOWN(AVERAGE(IncomeLimits!BG67:'IncomeLimits'!BH67)*0.3/12,0)</f>
        <v>2280</v>
      </c>
      <c r="AP69" s="1009">
        <f>ROUNDDOWN(IncomeLimits!BI67*0.3/12,0)</f>
        <v>2544</v>
      </c>
      <c r="AQ69" s="76">
        <f>ROUNDDOWN(AVERAGE(IncomeLimits!BJ67:'IncomeLimits'!BK67)*0.3/12,0)</f>
        <v>2807</v>
      </c>
    </row>
    <row r="70" spans="1:43">
      <c r="A70" s="77" t="s">
        <v>486</v>
      </c>
      <c r="B70" s="75">
        <f>ROUNDDOWN(IncomeLimits!B68*0.3/12, 0)</f>
        <v>325</v>
      </c>
      <c r="C70" s="1009">
        <f>ROUNDDOWN(AVERAGE(IncomeLimits!B68:C68)*0.3/12, 0)</f>
        <v>348</v>
      </c>
      <c r="D70" s="1009">
        <f>ROUNDDOWN(IncomeLimits!D68*0.3/12, 0)</f>
        <v>418</v>
      </c>
      <c r="E70" s="1009">
        <f>ROUNDDOWN(AVERAGE(IncomeLimits!E68:'IncomeLimits'!F68)*0.3/12,0)</f>
        <v>482</v>
      </c>
      <c r="F70" s="1009">
        <f>ROUNDDOWN(IncomeLimits!G68*0.3/12,0)</f>
        <v>538</v>
      </c>
      <c r="G70" s="66">
        <f>ROUNDDOWN(AVERAGE(IncomeLimits!H68:'IncomeLimits'!I68)*0.3/12,0)</f>
        <v>594</v>
      </c>
      <c r="H70" s="75">
        <f>ROUNDDOWN(IncomeLimits!K68*0.3/12, 0)</f>
        <v>487</v>
      </c>
      <c r="I70" s="1009">
        <f>ROUNDDOWN(AVERAGE(IncomeLimits!K68:'IncomeLimits'!L68)*0.3/12, 0)</f>
        <v>522</v>
      </c>
      <c r="J70" s="1009">
        <f>ROUNDDOWN(IncomeLimits!M68*0.3/12, 0)</f>
        <v>627</v>
      </c>
      <c r="K70" s="1009">
        <f>ROUNDDOWN(AVERAGE(IncomeLimits!N68:'IncomeLimits'!O68)*0.3/12,0)</f>
        <v>724</v>
      </c>
      <c r="L70" s="1009">
        <f>ROUNDDOWN(IncomeLimits!P68*0.3/12,0)</f>
        <v>807</v>
      </c>
      <c r="M70" s="76">
        <f>ROUNDDOWN(AVERAGE(IncomeLimits!Q68:'IncomeLimits'!R68)*0.3/12,0)</f>
        <v>891</v>
      </c>
      <c r="N70" s="65">
        <f>ROUNDDOWN(IncomeLimits!T68*0.3/12, 0)</f>
        <v>650</v>
      </c>
      <c r="O70" s="1009">
        <f>ROUNDDOWN(AVERAGE(IncomeLimits!T68:'IncomeLimits'!U68)*0.3/12, 0)</f>
        <v>696</v>
      </c>
      <c r="P70" s="1009">
        <f>ROUNDDOWN(IncomeLimits!V68*0.3/12, 0)</f>
        <v>836</v>
      </c>
      <c r="Q70" s="1009">
        <f>ROUNDDOWN(AVERAGE(IncomeLimits!W68:'IncomeLimits'!X68)*0.3/12,0)</f>
        <v>965</v>
      </c>
      <c r="R70" s="1009">
        <f>ROUNDDOWN(IncomeLimits!Y68*0.3/12,0)</f>
        <v>1077</v>
      </c>
      <c r="S70" s="66">
        <f>ROUNDDOWN(AVERAGE(IncomeLimits!Z68:'IncomeLimits'!AA68)*0.3/12,0)</f>
        <v>1188</v>
      </c>
      <c r="T70" s="66">
        <f>ROUNDDOWN(IncomeLimits!AC68*0.3/12, 0)</f>
        <v>812</v>
      </c>
      <c r="U70" s="66">
        <f>ROUNDDOWN(AVERAGE(IncomeLimits!AC68:'IncomeLimits'!AD68)*0.3/12,0)</f>
        <v>870</v>
      </c>
      <c r="V70" s="66">
        <f>ROUNDDOWN(IncomeLimits!AE68*0.3/12, 0)</f>
        <v>1045</v>
      </c>
      <c r="W70" s="66">
        <f>ROUNDDOWN(AVERAGE(IncomeLimits!AF68:'IncomeLimits'!AG68)*0.3/12,0)</f>
        <v>1206</v>
      </c>
      <c r="X70" s="66">
        <f>ROUNDDOWN(IncomeLimits!AH68*0.3/12,0)</f>
        <v>1346</v>
      </c>
      <c r="Y70" s="66">
        <f>ROUNDDOWN(AVERAGE(IncomeLimits!AI68:'IncomeLimits'!AJ68)*0.3/12,0)</f>
        <v>1485</v>
      </c>
      <c r="Z70" s="1679">
        <f>ROUNDDOWN(IncomeLimits!AL68*0.3/12, 0)</f>
        <v>975</v>
      </c>
      <c r="AA70" s="1009">
        <f>ROUNDDOWN(AVERAGE(IncomeLimits!AL68:'IncomeLimits'!AM68)*0.3/12, 0)</f>
        <v>1044</v>
      </c>
      <c r="AB70" s="1009">
        <f>ROUNDDOWN(IncomeLimits!AN68*0.3/12, 0)</f>
        <v>1254</v>
      </c>
      <c r="AC70" s="1009">
        <f>ROUNDDOWN(AVERAGE(IncomeLimits!AO68:'IncomeLimits'!AP68)*0.3/12,0)</f>
        <v>1448</v>
      </c>
      <c r="AD70" s="1009">
        <f>ROUNDDOWN(IncomeLimits!AQ68*0.3/12,0)</f>
        <v>1615</v>
      </c>
      <c r="AE70" s="1680">
        <f>ROUNDDOWN(AVERAGE(IncomeLimits!AR68:'IncomeLimits'!AS68)*0.3/12,0)</f>
        <v>1782</v>
      </c>
      <c r="AF70" s="65">
        <f>ROUNDDOWN(IncomeLimits!AU68*0.3/12, 0)</f>
        <v>1137</v>
      </c>
      <c r="AG70" s="1009">
        <f>ROUNDDOWN(AVERAGE(IncomeLimits!AU68:'IncomeLimits'!AV68)*0.3/12, 0)</f>
        <v>1218</v>
      </c>
      <c r="AH70" s="1009">
        <f>ROUNDDOWN(IncomeLimits!AW68*0.3/12, 0)</f>
        <v>1463</v>
      </c>
      <c r="AI70" s="1009">
        <f>ROUNDDOWN(AVERAGE(IncomeLimits!AX68:'IncomeLimits'!AY68)*0.3/12,0)</f>
        <v>1689</v>
      </c>
      <c r="AJ70" s="1009">
        <f>ROUNDDOWN(IncomeLimits!AZ68*0.3/12,0)</f>
        <v>1884</v>
      </c>
      <c r="AK70" s="76">
        <f>ROUNDDOWN(AVERAGE(IncomeLimits!BA68:'IncomeLimits'!BB68)*0.3/12,0)</f>
        <v>2079</v>
      </c>
      <c r="AL70" s="65">
        <f>ROUNDDOWN(IncomeLimits!BD68*0.3/12, 0)</f>
        <v>1300</v>
      </c>
      <c r="AM70" s="1009">
        <f>ROUNDDOWN(AVERAGE(IncomeLimits!BD68:'IncomeLimits'!BE68)*0.3/12, 0)</f>
        <v>1393</v>
      </c>
      <c r="AN70" s="1009">
        <f>ROUNDDOWN(IncomeLimits!BF68*0.3/12, 0)</f>
        <v>1672</v>
      </c>
      <c r="AO70" s="1009">
        <f>ROUNDDOWN(AVERAGE(IncomeLimits!BG68:'IncomeLimits'!BH68)*0.3/12,0)</f>
        <v>1931</v>
      </c>
      <c r="AP70" s="1009">
        <f>ROUNDDOWN(IncomeLimits!BI68*0.3/12,0)</f>
        <v>2154</v>
      </c>
      <c r="AQ70" s="76">
        <f>ROUNDDOWN(AVERAGE(IncomeLimits!BJ68:'IncomeLimits'!BK68)*0.3/12,0)</f>
        <v>2376</v>
      </c>
    </row>
    <row r="71" spans="1:43">
      <c r="A71" s="77" t="s">
        <v>425</v>
      </c>
      <c r="B71" s="75">
        <f>ROUNDDOWN(IncomeLimits!B69*0.3/12, 0)</f>
        <v>387</v>
      </c>
      <c r="C71" s="1009">
        <f>ROUNDDOWN(AVERAGE(IncomeLimits!B69:C69)*0.3/12, 0)</f>
        <v>415</v>
      </c>
      <c r="D71" s="1009">
        <f>ROUNDDOWN(IncomeLimits!D69*0.3/12, 0)</f>
        <v>498</v>
      </c>
      <c r="E71" s="1009">
        <f>ROUNDDOWN(AVERAGE(IncomeLimits!E69:'IncomeLimits'!F69)*0.3/12,0)</f>
        <v>575</v>
      </c>
      <c r="F71" s="1009">
        <f>ROUNDDOWN(IncomeLimits!G69*0.3/12,0)</f>
        <v>642</v>
      </c>
      <c r="G71" s="66">
        <f>ROUNDDOWN(AVERAGE(IncomeLimits!H69:'IncomeLimits'!I69)*0.3/12,0)</f>
        <v>708</v>
      </c>
      <c r="H71" s="75">
        <f>ROUNDDOWN(IncomeLimits!K69*0.3/12, 0)</f>
        <v>581</v>
      </c>
      <c r="I71" s="1009">
        <f>ROUNDDOWN(AVERAGE(IncomeLimits!K69:'IncomeLimits'!L69)*0.3/12, 0)</f>
        <v>622</v>
      </c>
      <c r="J71" s="1009">
        <f>ROUNDDOWN(IncomeLimits!M69*0.3/12, 0)</f>
        <v>747</v>
      </c>
      <c r="K71" s="1009">
        <f>ROUNDDOWN(AVERAGE(IncomeLimits!N69:'IncomeLimits'!O69)*0.3/12,0)</f>
        <v>863</v>
      </c>
      <c r="L71" s="1009">
        <f>ROUNDDOWN(IncomeLimits!P69*0.3/12,0)</f>
        <v>963</v>
      </c>
      <c r="M71" s="76">
        <f>ROUNDDOWN(AVERAGE(IncomeLimits!Q69:'IncomeLimits'!R69)*0.3/12,0)</f>
        <v>1063</v>
      </c>
      <c r="N71" s="65">
        <f>ROUNDDOWN(IncomeLimits!T69*0.3/12, 0)</f>
        <v>775</v>
      </c>
      <c r="O71" s="1009">
        <f>ROUNDDOWN(AVERAGE(IncomeLimits!T69:'IncomeLimits'!U69)*0.3/12, 0)</f>
        <v>830</v>
      </c>
      <c r="P71" s="1009">
        <f>ROUNDDOWN(IncomeLimits!V69*0.3/12, 0)</f>
        <v>997</v>
      </c>
      <c r="Q71" s="1009">
        <f>ROUNDDOWN(AVERAGE(IncomeLimits!W69:'IncomeLimits'!X69)*0.3/12,0)</f>
        <v>1151</v>
      </c>
      <c r="R71" s="1009">
        <f>ROUNDDOWN(IncomeLimits!Y69*0.3/12,0)</f>
        <v>1285</v>
      </c>
      <c r="S71" s="66">
        <f>ROUNDDOWN(AVERAGE(IncomeLimits!Z69:'IncomeLimits'!AA69)*0.3/12,0)</f>
        <v>1417</v>
      </c>
      <c r="T71" s="66">
        <f>ROUNDDOWN(IncomeLimits!AC69*0.3/12, 0)</f>
        <v>968</v>
      </c>
      <c r="U71" s="66">
        <f>ROUNDDOWN(AVERAGE(IncomeLimits!AC69:'IncomeLimits'!AD69)*0.3/12,0)</f>
        <v>1038</v>
      </c>
      <c r="V71" s="66">
        <f>ROUNDDOWN(IncomeLimits!AE69*0.3/12, 0)</f>
        <v>1246</v>
      </c>
      <c r="W71" s="66">
        <f>ROUNDDOWN(AVERAGE(IncomeLimits!AF69:'IncomeLimits'!AG69)*0.3/12,0)</f>
        <v>1439</v>
      </c>
      <c r="X71" s="66">
        <f>ROUNDDOWN(IncomeLimits!AH69*0.3/12,0)</f>
        <v>1606</v>
      </c>
      <c r="Y71" s="66">
        <f>ROUNDDOWN(AVERAGE(IncomeLimits!AI69:'IncomeLimits'!AJ69)*0.3/12,0)</f>
        <v>1771</v>
      </c>
      <c r="Z71" s="1679">
        <f>ROUNDDOWN(IncomeLimits!AL69*0.3/12, 0)</f>
        <v>1162</v>
      </c>
      <c r="AA71" s="1009">
        <f>ROUNDDOWN(AVERAGE(IncomeLimits!AL69:'IncomeLimits'!AM69)*0.3/12, 0)</f>
        <v>1245</v>
      </c>
      <c r="AB71" s="1009">
        <f>ROUNDDOWN(IncomeLimits!AN69*0.3/12, 0)</f>
        <v>1495</v>
      </c>
      <c r="AC71" s="1009">
        <f>ROUNDDOWN(AVERAGE(IncomeLimits!AO69:'IncomeLimits'!AP69)*0.3/12,0)</f>
        <v>1727</v>
      </c>
      <c r="AD71" s="1009">
        <f>ROUNDDOWN(IncomeLimits!AQ69*0.3/12,0)</f>
        <v>1927</v>
      </c>
      <c r="AE71" s="1680">
        <f>ROUNDDOWN(AVERAGE(IncomeLimits!AR69:'IncomeLimits'!AS69)*0.3/12,0)</f>
        <v>2126</v>
      </c>
      <c r="AF71" s="65">
        <f>ROUNDDOWN(IncomeLimits!AU69*0.3/12, 0)</f>
        <v>1356</v>
      </c>
      <c r="AG71" s="1009">
        <f>ROUNDDOWN(AVERAGE(IncomeLimits!AU69:'IncomeLimits'!AV69)*0.3/12, 0)</f>
        <v>1453</v>
      </c>
      <c r="AH71" s="1009">
        <f>ROUNDDOWN(IncomeLimits!AW69*0.3/12, 0)</f>
        <v>1744</v>
      </c>
      <c r="AI71" s="1009">
        <f>ROUNDDOWN(AVERAGE(IncomeLimits!AX69:'IncomeLimits'!AY69)*0.3/12,0)</f>
        <v>2015</v>
      </c>
      <c r="AJ71" s="1009">
        <f>ROUNDDOWN(IncomeLimits!AZ69*0.3/12,0)</f>
        <v>2248</v>
      </c>
      <c r="AK71" s="76">
        <f>ROUNDDOWN(AVERAGE(IncomeLimits!BA69:'IncomeLimits'!BB69)*0.3/12,0)</f>
        <v>2480</v>
      </c>
      <c r="AL71" s="65">
        <f>ROUNDDOWN(IncomeLimits!BD69*0.3/12, 0)</f>
        <v>1550</v>
      </c>
      <c r="AM71" s="1009">
        <f>ROUNDDOWN(AVERAGE(IncomeLimits!BD69:'IncomeLimits'!BE69)*0.3/12, 0)</f>
        <v>1661</v>
      </c>
      <c r="AN71" s="1009">
        <f>ROUNDDOWN(IncomeLimits!BF69*0.3/12, 0)</f>
        <v>1994</v>
      </c>
      <c r="AO71" s="1009">
        <f>ROUNDDOWN(AVERAGE(IncomeLimits!BG69:'IncomeLimits'!BH69)*0.3/12,0)</f>
        <v>2303</v>
      </c>
      <c r="AP71" s="1009">
        <f>ROUNDDOWN(IncomeLimits!BI69*0.3/12,0)</f>
        <v>2570</v>
      </c>
      <c r="AQ71" s="76">
        <f>ROUNDDOWN(AVERAGE(IncomeLimits!BJ69:'IncomeLimits'!BK69)*0.3/12,0)</f>
        <v>2835</v>
      </c>
    </row>
    <row r="72" spans="1:43">
      <c r="A72" s="77" t="s">
        <v>428</v>
      </c>
      <c r="B72" s="75">
        <f>ROUNDDOWN(IncomeLimits!B70*0.3/12, 0)</f>
        <v>387</v>
      </c>
      <c r="C72" s="1009">
        <f>ROUNDDOWN(AVERAGE(IncomeLimits!B70:C70)*0.3/12, 0)</f>
        <v>415</v>
      </c>
      <c r="D72" s="1009">
        <f>ROUNDDOWN(IncomeLimits!D70*0.3/12, 0)</f>
        <v>498</v>
      </c>
      <c r="E72" s="1009">
        <f>ROUNDDOWN(AVERAGE(IncomeLimits!E70:'IncomeLimits'!F70)*0.3/12,0)</f>
        <v>575</v>
      </c>
      <c r="F72" s="1009">
        <f>ROUNDDOWN(IncomeLimits!G70*0.3/12,0)</f>
        <v>642</v>
      </c>
      <c r="G72" s="66">
        <f>ROUNDDOWN(AVERAGE(IncomeLimits!H70:'IncomeLimits'!I70)*0.3/12,0)</f>
        <v>708</v>
      </c>
      <c r="H72" s="75">
        <f>ROUNDDOWN(IncomeLimits!K70*0.3/12, 0)</f>
        <v>581</v>
      </c>
      <c r="I72" s="1009">
        <f>ROUNDDOWN(AVERAGE(IncomeLimits!K70:'IncomeLimits'!L70)*0.3/12, 0)</f>
        <v>622</v>
      </c>
      <c r="J72" s="1009">
        <f>ROUNDDOWN(IncomeLimits!M70*0.3/12, 0)</f>
        <v>747</v>
      </c>
      <c r="K72" s="1009">
        <f>ROUNDDOWN(AVERAGE(IncomeLimits!N70:'IncomeLimits'!O70)*0.3/12,0)</f>
        <v>863</v>
      </c>
      <c r="L72" s="1009">
        <f>ROUNDDOWN(IncomeLimits!P70*0.3/12,0)</f>
        <v>963</v>
      </c>
      <c r="M72" s="76">
        <f>ROUNDDOWN(AVERAGE(IncomeLimits!Q70:'IncomeLimits'!R70)*0.3/12,0)</f>
        <v>1063</v>
      </c>
      <c r="N72" s="65">
        <f>ROUNDDOWN(IncomeLimits!T70*0.3/12, 0)</f>
        <v>775</v>
      </c>
      <c r="O72" s="1009">
        <f>ROUNDDOWN(AVERAGE(IncomeLimits!T70:'IncomeLimits'!U70)*0.3/12, 0)</f>
        <v>830</v>
      </c>
      <c r="P72" s="1009">
        <f>ROUNDDOWN(IncomeLimits!V70*0.3/12, 0)</f>
        <v>997</v>
      </c>
      <c r="Q72" s="1009">
        <f>ROUNDDOWN(AVERAGE(IncomeLimits!W70:'IncomeLimits'!X70)*0.3/12,0)</f>
        <v>1151</v>
      </c>
      <c r="R72" s="1009">
        <f>ROUNDDOWN(IncomeLimits!Y70*0.3/12,0)</f>
        <v>1285</v>
      </c>
      <c r="S72" s="66">
        <f>ROUNDDOWN(AVERAGE(IncomeLimits!Z70:'IncomeLimits'!AA70)*0.3/12,0)</f>
        <v>1417</v>
      </c>
      <c r="T72" s="66">
        <f>ROUNDDOWN(IncomeLimits!AC70*0.3/12, 0)</f>
        <v>968</v>
      </c>
      <c r="U72" s="66">
        <f>ROUNDDOWN(AVERAGE(IncomeLimits!AC70:'IncomeLimits'!AD70)*0.3/12,0)</f>
        <v>1038</v>
      </c>
      <c r="V72" s="66">
        <f>ROUNDDOWN(IncomeLimits!AE70*0.3/12, 0)</f>
        <v>1246</v>
      </c>
      <c r="W72" s="66">
        <f>ROUNDDOWN(AVERAGE(IncomeLimits!AF70:'IncomeLimits'!AG70)*0.3/12,0)</f>
        <v>1439</v>
      </c>
      <c r="X72" s="66">
        <f>ROUNDDOWN(IncomeLimits!AH70*0.3/12,0)</f>
        <v>1606</v>
      </c>
      <c r="Y72" s="66">
        <f>ROUNDDOWN(AVERAGE(IncomeLimits!AI70:'IncomeLimits'!AJ70)*0.3/12,0)</f>
        <v>1771</v>
      </c>
      <c r="Z72" s="1679">
        <f>ROUNDDOWN(IncomeLimits!AL70*0.3/12, 0)</f>
        <v>1162</v>
      </c>
      <c r="AA72" s="1009">
        <f>ROUNDDOWN(AVERAGE(IncomeLimits!AL70:'IncomeLimits'!AM70)*0.3/12, 0)</f>
        <v>1245</v>
      </c>
      <c r="AB72" s="1009">
        <f>ROUNDDOWN(IncomeLimits!AN70*0.3/12, 0)</f>
        <v>1495</v>
      </c>
      <c r="AC72" s="1009">
        <f>ROUNDDOWN(AVERAGE(IncomeLimits!AO70:'IncomeLimits'!AP70)*0.3/12,0)</f>
        <v>1727</v>
      </c>
      <c r="AD72" s="1009">
        <f>ROUNDDOWN(IncomeLimits!AQ70*0.3/12,0)</f>
        <v>1927</v>
      </c>
      <c r="AE72" s="1680">
        <f>ROUNDDOWN(AVERAGE(IncomeLimits!AR70:'IncomeLimits'!AS70)*0.3/12,0)</f>
        <v>2126</v>
      </c>
      <c r="AF72" s="65">
        <f>ROUNDDOWN(IncomeLimits!AU70*0.3/12, 0)</f>
        <v>1356</v>
      </c>
      <c r="AG72" s="1009">
        <f>ROUNDDOWN(AVERAGE(IncomeLimits!AU70:'IncomeLimits'!AV70)*0.3/12, 0)</f>
        <v>1453</v>
      </c>
      <c r="AH72" s="1009">
        <f>ROUNDDOWN(IncomeLimits!AW70*0.3/12, 0)</f>
        <v>1744</v>
      </c>
      <c r="AI72" s="1009">
        <f>ROUNDDOWN(AVERAGE(IncomeLimits!AX70:'IncomeLimits'!AY70)*0.3/12,0)</f>
        <v>2015</v>
      </c>
      <c r="AJ72" s="1009">
        <f>ROUNDDOWN(IncomeLimits!AZ70*0.3/12,0)</f>
        <v>2248</v>
      </c>
      <c r="AK72" s="76">
        <f>ROUNDDOWN(AVERAGE(IncomeLimits!BA70:'IncomeLimits'!BB70)*0.3/12,0)</f>
        <v>2480</v>
      </c>
      <c r="AL72" s="65">
        <f>ROUNDDOWN(IncomeLimits!BD70*0.3/12, 0)</f>
        <v>1550</v>
      </c>
      <c r="AM72" s="1009">
        <f>ROUNDDOWN(AVERAGE(IncomeLimits!BD70:'IncomeLimits'!BE70)*0.3/12, 0)</f>
        <v>1661</v>
      </c>
      <c r="AN72" s="1009">
        <f>ROUNDDOWN(IncomeLimits!BF70*0.3/12, 0)</f>
        <v>1994</v>
      </c>
      <c r="AO72" s="1009">
        <f>ROUNDDOWN(AVERAGE(IncomeLimits!BG70:'IncomeLimits'!BH70)*0.3/12,0)</f>
        <v>2303</v>
      </c>
      <c r="AP72" s="1009">
        <f>ROUNDDOWN(IncomeLimits!BI70*0.3/12,0)</f>
        <v>2570</v>
      </c>
      <c r="AQ72" s="76">
        <f>ROUNDDOWN(AVERAGE(IncomeLimits!BJ70:'IncomeLimits'!BK70)*0.3/12,0)</f>
        <v>2835</v>
      </c>
    </row>
    <row r="73" spans="1:43">
      <c r="A73" s="77" t="s">
        <v>487</v>
      </c>
      <c r="B73" s="75">
        <f>ROUNDDOWN(IncomeLimits!B71*0.3/12, 0)</f>
        <v>332</v>
      </c>
      <c r="C73" s="1009">
        <f>ROUNDDOWN(AVERAGE(IncomeLimits!B71:C71)*0.3/12, 0)</f>
        <v>355</v>
      </c>
      <c r="D73" s="1009">
        <f>ROUNDDOWN(IncomeLimits!D71*0.3/12, 0)</f>
        <v>427</v>
      </c>
      <c r="E73" s="1009">
        <f>ROUNDDOWN(AVERAGE(IncomeLimits!E71:'IncomeLimits'!F71)*0.3/12,0)</f>
        <v>493</v>
      </c>
      <c r="F73" s="1009">
        <f>ROUNDDOWN(IncomeLimits!G71*0.3/12,0)</f>
        <v>550</v>
      </c>
      <c r="G73" s="66">
        <f>ROUNDDOWN(AVERAGE(IncomeLimits!H71:'IncomeLimits'!I71)*0.3/12,0)</f>
        <v>607</v>
      </c>
      <c r="H73" s="75">
        <f>ROUNDDOWN(IncomeLimits!K71*0.3/12, 0)</f>
        <v>498</v>
      </c>
      <c r="I73" s="1009">
        <f>ROUNDDOWN(AVERAGE(IncomeLimits!K71:'IncomeLimits'!L71)*0.3/12, 0)</f>
        <v>533</v>
      </c>
      <c r="J73" s="1009">
        <f>ROUNDDOWN(IncomeLimits!M71*0.3/12, 0)</f>
        <v>640</v>
      </c>
      <c r="K73" s="1009">
        <f>ROUNDDOWN(AVERAGE(IncomeLimits!N71:'IncomeLimits'!O71)*0.3/12,0)</f>
        <v>739</v>
      </c>
      <c r="L73" s="1009">
        <f>ROUNDDOWN(IncomeLimits!P71*0.3/12,0)</f>
        <v>825</v>
      </c>
      <c r="M73" s="76">
        <f>ROUNDDOWN(AVERAGE(IncomeLimits!Q71:'IncomeLimits'!R71)*0.3/12,0)</f>
        <v>910</v>
      </c>
      <c r="N73" s="65">
        <f>ROUNDDOWN(IncomeLimits!T71*0.3/12, 0)</f>
        <v>664</v>
      </c>
      <c r="O73" s="1009">
        <f>ROUNDDOWN(AVERAGE(IncomeLimits!T71:'IncomeLimits'!U71)*0.3/12, 0)</f>
        <v>711</v>
      </c>
      <c r="P73" s="1009">
        <f>ROUNDDOWN(IncomeLimits!V71*0.3/12, 0)</f>
        <v>854</v>
      </c>
      <c r="Q73" s="1009">
        <f>ROUNDDOWN(AVERAGE(IncomeLimits!W71:'IncomeLimits'!X71)*0.3/12,0)</f>
        <v>986</v>
      </c>
      <c r="R73" s="1009">
        <f>ROUNDDOWN(IncomeLimits!Y71*0.3/12,0)</f>
        <v>1100</v>
      </c>
      <c r="S73" s="66">
        <f>ROUNDDOWN(AVERAGE(IncomeLimits!Z71:'IncomeLimits'!AA71)*0.3/12,0)</f>
        <v>1214</v>
      </c>
      <c r="T73" s="66">
        <f>ROUNDDOWN(IncomeLimits!AC71*0.3/12, 0)</f>
        <v>830</v>
      </c>
      <c r="U73" s="66">
        <f>ROUNDDOWN(AVERAGE(IncomeLimits!AC71:'IncomeLimits'!AD71)*0.3/12,0)</f>
        <v>889</v>
      </c>
      <c r="V73" s="66">
        <f>ROUNDDOWN(IncomeLimits!AE71*0.3/12, 0)</f>
        <v>1067</v>
      </c>
      <c r="W73" s="66">
        <f>ROUNDDOWN(AVERAGE(IncomeLimits!AF71:'IncomeLimits'!AG71)*0.3/12,0)</f>
        <v>1232</v>
      </c>
      <c r="X73" s="66">
        <f>ROUNDDOWN(IncomeLimits!AH71*0.3/12,0)</f>
        <v>1375</v>
      </c>
      <c r="Y73" s="66">
        <f>ROUNDDOWN(AVERAGE(IncomeLimits!AI71:'IncomeLimits'!AJ71)*0.3/12,0)</f>
        <v>1517</v>
      </c>
      <c r="Z73" s="1679">
        <f>ROUNDDOWN(IncomeLimits!AL71*0.3/12, 0)</f>
        <v>996</v>
      </c>
      <c r="AA73" s="1009">
        <f>ROUNDDOWN(AVERAGE(IncomeLimits!AL71:'IncomeLimits'!AM71)*0.3/12, 0)</f>
        <v>1067</v>
      </c>
      <c r="AB73" s="1009">
        <f>ROUNDDOWN(IncomeLimits!AN71*0.3/12, 0)</f>
        <v>1281</v>
      </c>
      <c r="AC73" s="1009">
        <f>ROUNDDOWN(AVERAGE(IncomeLimits!AO71:'IncomeLimits'!AP71)*0.3/12,0)</f>
        <v>1479</v>
      </c>
      <c r="AD73" s="1009">
        <f>ROUNDDOWN(IncomeLimits!AQ71*0.3/12,0)</f>
        <v>1650</v>
      </c>
      <c r="AE73" s="1680">
        <f>ROUNDDOWN(AVERAGE(IncomeLimits!AR71:'IncomeLimits'!AS71)*0.3/12,0)</f>
        <v>1821</v>
      </c>
      <c r="AF73" s="65">
        <f>ROUNDDOWN(IncomeLimits!AU71*0.3/12, 0)</f>
        <v>1162</v>
      </c>
      <c r="AG73" s="1009">
        <f>ROUNDDOWN(AVERAGE(IncomeLimits!AU71:'IncomeLimits'!AV71)*0.3/12, 0)</f>
        <v>1245</v>
      </c>
      <c r="AH73" s="1009">
        <f>ROUNDDOWN(IncomeLimits!AW71*0.3/12, 0)</f>
        <v>1494</v>
      </c>
      <c r="AI73" s="1009">
        <f>ROUNDDOWN(AVERAGE(IncomeLimits!AX71:'IncomeLimits'!AY71)*0.3/12,0)</f>
        <v>1725</v>
      </c>
      <c r="AJ73" s="1009">
        <f>ROUNDDOWN(IncomeLimits!AZ71*0.3/12,0)</f>
        <v>1925</v>
      </c>
      <c r="AK73" s="76">
        <f>ROUNDDOWN(AVERAGE(IncomeLimits!BA71:'IncomeLimits'!BB71)*0.3/12,0)</f>
        <v>2124</v>
      </c>
      <c r="AL73" s="65">
        <f>ROUNDDOWN(IncomeLimits!BD71*0.3/12, 0)</f>
        <v>1328</v>
      </c>
      <c r="AM73" s="1009">
        <f>ROUNDDOWN(AVERAGE(IncomeLimits!BD71:'IncomeLimits'!BE71)*0.3/12, 0)</f>
        <v>1423</v>
      </c>
      <c r="AN73" s="1009">
        <f>ROUNDDOWN(IncomeLimits!BF71*0.3/12, 0)</f>
        <v>1708</v>
      </c>
      <c r="AO73" s="1009">
        <f>ROUNDDOWN(AVERAGE(IncomeLimits!BG71:'IncomeLimits'!BH71)*0.3/12,0)</f>
        <v>1972</v>
      </c>
      <c r="AP73" s="1009">
        <f>ROUNDDOWN(IncomeLimits!BI71*0.3/12,0)</f>
        <v>2200</v>
      </c>
      <c r="AQ73" s="76">
        <f>ROUNDDOWN(AVERAGE(IncomeLimits!BJ71:'IncomeLimits'!BK71)*0.3/12,0)</f>
        <v>2428</v>
      </c>
    </row>
    <row r="74" spans="1:43">
      <c r="A74" s="77" t="s">
        <v>488</v>
      </c>
      <c r="B74" s="75">
        <f>ROUNDDOWN(IncomeLimits!B72*0.3/12, 0)</f>
        <v>325</v>
      </c>
      <c r="C74" s="1009">
        <f>ROUNDDOWN(AVERAGE(IncomeLimits!B72:C72)*0.3/12, 0)</f>
        <v>348</v>
      </c>
      <c r="D74" s="1009">
        <f>ROUNDDOWN(IncomeLimits!D72*0.3/12, 0)</f>
        <v>418</v>
      </c>
      <c r="E74" s="1009">
        <f>ROUNDDOWN(AVERAGE(IncomeLimits!E72:'IncomeLimits'!F72)*0.3/12,0)</f>
        <v>482</v>
      </c>
      <c r="F74" s="1009">
        <f>ROUNDDOWN(IncomeLimits!G72*0.3/12,0)</f>
        <v>538</v>
      </c>
      <c r="G74" s="66">
        <f>ROUNDDOWN(AVERAGE(IncomeLimits!H72:'IncomeLimits'!I72)*0.3/12,0)</f>
        <v>594</v>
      </c>
      <c r="H74" s="75">
        <f>ROUNDDOWN(IncomeLimits!K72*0.3/12, 0)</f>
        <v>487</v>
      </c>
      <c r="I74" s="1009">
        <f>ROUNDDOWN(AVERAGE(IncomeLimits!K72:'IncomeLimits'!L72)*0.3/12, 0)</f>
        <v>522</v>
      </c>
      <c r="J74" s="1009">
        <f>ROUNDDOWN(IncomeLimits!M72*0.3/12, 0)</f>
        <v>627</v>
      </c>
      <c r="K74" s="1009">
        <f>ROUNDDOWN(AVERAGE(IncomeLimits!N72:'IncomeLimits'!O72)*0.3/12,0)</f>
        <v>724</v>
      </c>
      <c r="L74" s="1009">
        <f>ROUNDDOWN(IncomeLimits!P72*0.3/12,0)</f>
        <v>807</v>
      </c>
      <c r="M74" s="76">
        <f>ROUNDDOWN(AVERAGE(IncomeLimits!Q72:'IncomeLimits'!R72)*0.3/12,0)</f>
        <v>891</v>
      </c>
      <c r="N74" s="65">
        <f>ROUNDDOWN(IncomeLimits!T72*0.3/12, 0)</f>
        <v>650</v>
      </c>
      <c r="O74" s="1009">
        <f>ROUNDDOWN(AVERAGE(IncomeLimits!T72:'IncomeLimits'!U72)*0.3/12, 0)</f>
        <v>696</v>
      </c>
      <c r="P74" s="1009">
        <f>ROUNDDOWN(IncomeLimits!V72*0.3/12, 0)</f>
        <v>836</v>
      </c>
      <c r="Q74" s="1009">
        <f>ROUNDDOWN(AVERAGE(IncomeLimits!W72:'IncomeLimits'!X72)*0.3/12,0)</f>
        <v>965</v>
      </c>
      <c r="R74" s="1009">
        <f>ROUNDDOWN(IncomeLimits!Y72*0.3/12,0)</f>
        <v>1077</v>
      </c>
      <c r="S74" s="66">
        <f>ROUNDDOWN(AVERAGE(IncomeLimits!Z72:'IncomeLimits'!AA72)*0.3/12,0)</f>
        <v>1188</v>
      </c>
      <c r="T74" s="66">
        <f>ROUNDDOWN(IncomeLimits!AC72*0.3/12, 0)</f>
        <v>812</v>
      </c>
      <c r="U74" s="66">
        <f>ROUNDDOWN(AVERAGE(IncomeLimits!AC72:'IncomeLimits'!AD72)*0.3/12,0)</f>
        <v>870</v>
      </c>
      <c r="V74" s="66">
        <f>ROUNDDOWN(IncomeLimits!AE72*0.3/12, 0)</f>
        <v>1045</v>
      </c>
      <c r="W74" s="66">
        <f>ROUNDDOWN(AVERAGE(IncomeLimits!AF72:'IncomeLimits'!AG72)*0.3/12,0)</f>
        <v>1206</v>
      </c>
      <c r="X74" s="66">
        <f>ROUNDDOWN(IncomeLimits!AH72*0.3/12,0)</f>
        <v>1346</v>
      </c>
      <c r="Y74" s="66">
        <f>ROUNDDOWN(AVERAGE(IncomeLimits!AI72:'IncomeLimits'!AJ72)*0.3/12,0)</f>
        <v>1485</v>
      </c>
      <c r="Z74" s="1679">
        <f>ROUNDDOWN(IncomeLimits!AL72*0.3/12, 0)</f>
        <v>975</v>
      </c>
      <c r="AA74" s="1009">
        <f>ROUNDDOWN(AVERAGE(IncomeLimits!AL72:'IncomeLimits'!AM72)*0.3/12, 0)</f>
        <v>1044</v>
      </c>
      <c r="AB74" s="1009">
        <f>ROUNDDOWN(IncomeLimits!AN72*0.3/12, 0)</f>
        <v>1254</v>
      </c>
      <c r="AC74" s="1009">
        <f>ROUNDDOWN(AVERAGE(IncomeLimits!AO72:'IncomeLimits'!AP72)*0.3/12,0)</f>
        <v>1448</v>
      </c>
      <c r="AD74" s="1009">
        <f>ROUNDDOWN(IncomeLimits!AQ72*0.3/12,0)</f>
        <v>1615</v>
      </c>
      <c r="AE74" s="1680">
        <f>ROUNDDOWN(AVERAGE(IncomeLimits!AR72:'IncomeLimits'!AS72)*0.3/12,0)</f>
        <v>1782</v>
      </c>
      <c r="AF74" s="65">
        <f>ROUNDDOWN(IncomeLimits!AU72*0.3/12, 0)</f>
        <v>1137</v>
      </c>
      <c r="AG74" s="1009">
        <f>ROUNDDOWN(AVERAGE(IncomeLimits!AU72:'IncomeLimits'!AV72)*0.3/12, 0)</f>
        <v>1218</v>
      </c>
      <c r="AH74" s="1009">
        <f>ROUNDDOWN(IncomeLimits!AW72*0.3/12, 0)</f>
        <v>1463</v>
      </c>
      <c r="AI74" s="1009">
        <f>ROUNDDOWN(AVERAGE(IncomeLimits!AX72:'IncomeLimits'!AY72)*0.3/12,0)</f>
        <v>1689</v>
      </c>
      <c r="AJ74" s="1009">
        <f>ROUNDDOWN(IncomeLimits!AZ72*0.3/12,0)</f>
        <v>1884</v>
      </c>
      <c r="AK74" s="76">
        <f>ROUNDDOWN(AVERAGE(IncomeLimits!BA72:'IncomeLimits'!BB72)*0.3/12,0)</f>
        <v>2079</v>
      </c>
      <c r="AL74" s="65">
        <f>ROUNDDOWN(IncomeLimits!BD72*0.3/12, 0)</f>
        <v>1300</v>
      </c>
      <c r="AM74" s="1009">
        <f>ROUNDDOWN(AVERAGE(IncomeLimits!BD72:'IncomeLimits'!BE72)*0.3/12, 0)</f>
        <v>1393</v>
      </c>
      <c r="AN74" s="1009">
        <f>ROUNDDOWN(IncomeLimits!BF72*0.3/12, 0)</f>
        <v>1672</v>
      </c>
      <c r="AO74" s="1009">
        <f>ROUNDDOWN(AVERAGE(IncomeLimits!BG72:'IncomeLimits'!BH72)*0.3/12,0)</f>
        <v>1931</v>
      </c>
      <c r="AP74" s="1009">
        <f>ROUNDDOWN(IncomeLimits!BI72*0.3/12,0)</f>
        <v>2154</v>
      </c>
      <c r="AQ74" s="76">
        <f>ROUNDDOWN(AVERAGE(IncomeLimits!BJ72:'IncomeLimits'!BK72)*0.3/12,0)</f>
        <v>2376</v>
      </c>
    </row>
    <row r="75" spans="1:43">
      <c r="A75" s="77" t="s">
        <v>430</v>
      </c>
      <c r="B75" s="75">
        <f>ROUNDDOWN(IncomeLimits!B73*0.3/12, 0)</f>
        <v>363</v>
      </c>
      <c r="C75" s="1009">
        <f>ROUNDDOWN(AVERAGE(IncomeLimits!B73:C73)*0.3/12, 0)</f>
        <v>388</v>
      </c>
      <c r="D75" s="1009">
        <f>ROUNDDOWN(IncomeLimits!D73*0.3/12, 0)</f>
        <v>466</v>
      </c>
      <c r="E75" s="1009">
        <f>ROUNDDOWN(AVERAGE(IncomeLimits!E73:'IncomeLimits'!F73)*0.3/12,0)</f>
        <v>538</v>
      </c>
      <c r="F75" s="1009">
        <f>ROUNDDOWN(IncomeLimits!G73*0.3/12,0)</f>
        <v>601</v>
      </c>
      <c r="G75" s="66">
        <f>ROUNDDOWN(AVERAGE(IncomeLimits!H73:'IncomeLimits'!I73)*0.3/12,0)</f>
        <v>663</v>
      </c>
      <c r="H75" s="75">
        <f>ROUNDDOWN(IncomeLimits!K73*0.3/12, 0)</f>
        <v>544</v>
      </c>
      <c r="I75" s="1009">
        <f>ROUNDDOWN(AVERAGE(IncomeLimits!K73:'IncomeLimits'!L73)*0.3/12, 0)</f>
        <v>583</v>
      </c>
      <c r="J75" s="1009">
        <f>ROUNDDOWN(IncomeLimits!M73*0.3/12, 0)</f>
        <v>699</v>
      </c>
      <c r="K75" s="1009">
        <f>ROUNDDOWN(AVERAGE(IncomeLimits!N73:'IncomeLimits'!O73)*0.3/12,0)</f>
        <v>808</v>
      </c>
      <c r="L75" s="1009">
        <f>ROUNDDOWN(IncomeLimits!P73*0.3/12,0)</f>
        <v>901</v>
      </c>
      <c r="M75" s="76">
        <f>ROUNDDOWN(AVERAGE(IncomeLimits!Q73:'IncomeLimits'!R73)*0.3/12,0)</f>
        <v>994</v>
      </c>
      <c r="N75" s="65">
        <f>ROUNDDOWN(IncomeLimits!T73*0.3/12, 0)</f>
        <v>726</v>
      </c>
      <c r="O75" s="1009">
        <f>ROUNDDOWN(AVERAGE(IncomeLimits!T73:'IncomeLimits'!U73)*0.3/12, 0)</f>
        <v>777</v>
      </c>
      <c r="P75" s="1009">
        <f>ROUNDDOWN(IncomeLimits!V73*0.3/12, 0)</f>
        <v>933</v>
      </c>
      <c r="Q75" s="1009">
        <f>ROUNDDOWN(AVERAGE(IncomeLimits!W73:'IncomeLimits'!X73)*0.3/12,0)</f>
        <v>1077</v>
      </c>
      <c r="R75" s="1009">
        <f>ROUNDDOWN(IncomeLimits!Y73*0.3/12,0)</f>
        <v>1202</v>
      </c>
      <c r="S75" s="66">
        <f>ROUNDDOWN(AVERAGE(IncomeLimits!Z73:'IncomeLimits'!AA73)*0.3/12,0)</f>
        <v>1326</v>
      </c>
      <c r="T75" s="66">
        <f>ROUNDDOWN(IncomeLimits!AC73*0.3/12, 0)</f>
        <v>907</v>
      </c>
      <c r="U75" s="66">
        <f>ROUNDDOWN(AVERAGE(IncomeLimits!AC73:'IncomeLimits'!AD73)*0.3/12,0)</f>
        <v>971</v>
      </c>
      <c r="V75" s="66">
        <f>ROUNDDOWN(IncomeLimits!AE73*0.3/12, 0)</f>
        <v>1166</v>
      </c>
      <c r="W75" s="66">
        <f>ROUNDDOWN(AVERAGE(IncomeLimits!AF73:'IncomeLimits'!AG73)*0.3/12,0)</f>
        <v>1346</v>
      </c>
      <c r="X75" s="66">
        <f>ROUNDDOWN(IncomeLimits!AH73*0.3/12,0)</f>
        <v>1502</v>
      </c>
      <c r="Y75" s="66">
        <f>ROUNDDOWN(AVERAGE(IncomeLimits!AI73:'IncomeLimits'!AJ73)*0.3/12,0)</f>
        <v>1658</v>
      </c>
      <c r="Z75" s="1679">
        <f>ROUNDDOWN(IncomeLimits!AL73*0.3/12, 0)</f>
        <v>1089</v>
      </c>
      <c r="AA75" s="1009">
        <f>ROUNDDOWN(AVERAGE(IncomeLimits!AL73:'IncomeLimits'!AM73)*0.3/12, 0)</f>
        <v>1166</v>
      </c>
      <c r="AB75" s="1009">
        <f>ROUNDDOWN(IncomeLimits!AN73*0.3/12, 0)</f>
        <v>1399</v>
      </c>
      <c r="AC75" s="1009">
        <f>ROUNDDOWN(AVERAGE(IncomeLimits!AO73:'IncomeLimits'!AP73)*0.3/12,0)</f>
        <v>1616</v>
      </c>
      <c r="AD75" s="1009">
        <f>ROUNDDOWN(IncomeLimits!AQ73*0.3/12,0)</f>
        <v>1803</v>
      </c>
      <c r="AE75" s="1680">
        <f>ROUNDDOWN(AVERAGE(IncomeLimits!AR73:'IncomeLimits'!AS73)*0.3/12,0)</f>
        <v>1989</v>
      </c>
      <c r="AF75" s="65">
        <f>ROUNDDOWN(IncomeLimits!AU73*0.3/12, 0)</f>
        <v>1270</v>
      </c>
      <c r="AG75" s="1009">
        <f>ROUNDDOWN(AVERAGE(IncomeLimits!AU73:'IncomeLimits'!AV73)*0.3/12, 0)</f>
        <v>1360</v>
      </c>
      <c r="AH75" s="1009">
        <f>ROUNDDOWN(IncomeLimits!AW73*0.3/12, 0)</f>
        <v>1632</v>
      </c>
      <c r="AI75" s="1009">
        <f>ROUNDDOWN(AVERAGE(IncomeLimits!AX73:'IncomeLimits'!AY73)*0.3/12,0)</f>
        <v>1885</v>
      </c>
      <c r="AJ75" s="1009">
        <f>ROUNDDOWN(IncomeLimits!AZ73*0.3/12,0)</f>
        <v>2103</v>
      </c>
      <c r="AK75" s="76">
        <f>ROUNDDOWN(AVERAGE(IncomeLimits!BA73:'IncomeLimits'!BB73)*0.3/12,0)</f>
        <v>2321</v>
      </c>
      <c r="AL75" s="65">
        <f>ROUNDDOWN(IncomeLimits!BD73*0.3/12, 0)</f>
        <v>1452</v>
      </c>
      <c r="AM75" s="1009">
        <f>ROUNDDOWN(AVERAGE(IncomeLimits!BD73:'IncomeLimits'!BE73)*0.3/12, 0)</f>
        <v>1555</v>
      </c>
      <c r="AN75" s="1009">
        <f>ROUNDDOWN(IncomeLimits!BF73*0.3/12, 0)</f>
        <v>1866</v>
      </c>
      <c r="AO75" s="1009">
        <f>ROUNDDOWN(AVERAGE(IncomeLimits!BG73:'IncomeLimits'!BH73)*0.3/12,0)</f>
        <v>2155</v>
      </c>
      <c r="AP75" s="1009">
        <f>ROUNDDOWN(IncomeLimits!BI73*0.3/12,0)</f>
        <v>2404</v>
      </c>
      <c r="AQ75" s="76">
        <f>ROUNDDOWN(AVERAGE(IncomeLimits!BJ73:'IncomeLimits'!BK73)*0.3/12,0)</f>
        <v>2653</v>
      </c>
    </row>
    <row r="76" spans="1:43">
      <c r="A76" s="77" t="s">
        <v>489</v>
      </c>
      <c r="B76" s="75">
        <f>ROUNDDOWN(IncomeLimits!B74*0.3/12, 0)</f>
        <v>325</v>
      </c>
      <c r="C76" s="1009">
        <f>ROUNDDOWN(AVERAGE(IncomeLimits!B74:C74)*0.3/12, 0)</f>
        <v>348</v>
      </c>
      <c r="D76" s="1009">
        <f>ROUNDDOWN(IncomeLimits!D74*0.3/12, 0)</f>
        <v>418</v>
      </c>
      <c r="E76" s="1009">
        <f>ROUNDDOWN(AVERAGE(IncomeLimits!E74:'IncomeLimits'!F74)*0.3/12,0)</f>
        <v>482</v>
      </c>
      <c r="F76" s="1009">
        <f>ROUNDDOWN(IncomeLimits!G74*0.3/12,0)</f>
        <v>538</v>
      </c>
      <c r="G76" s="66">
        <f>ROUNDDOWN(AVERAGE(IncomeLimits!H74:'IncomeLimits'!I74)*0.3/12,0)</f>
        <v>594</v>
      </c>
      <c r="H76" s="75">
        <f>ROUNDDOWN(IncomeLimits!K74*0.3/12, 0)</f>
        <v>487</v>
      </c>
      <c r="I76" s="1009">
        <f>ROUNDDOWN(AVERAGE(IncomeLimits!K74:'IncomeLimits'!L74)*0.3/12, 0)</f>
        <v>522</v>
      </c>
      <c r="J76" s="1009">
        <f>ROUNDDOWN(IncomeLimits!M74*0.3/12, 0)</f>
        <v>627</v>
      </c>
      <c r="K76" s="1009">
        <f>ROUNDDOWN(AVERAGE(IncomeLimits!N74:'IncomeLimits'!O74)*0.3/12,0)</f>
        <v>724</v>
      </c>
      <c r="L76" s="1009">
        <f>ROUNDDOWN(IncomeLimits!P74*0.3/12,0)</f>
        <v>807</v>
      </c>
      <c r="M76" s="76">
        <f>ROUNDDOWN(AVERAGE(IncomeLimits!Q74:'IncomeLimits'!R74)*0.3/12,0)</f>
        <v>891</v>
      </c>
      <c r="N76" s="65">
        <f>ROUNDDOWN(IncomeLimits!T74*0.3/12, 0)</f>
        <v>650</v>
      </c>
      <c r="O76" s="1009">
        <f>ROUNDDOWN(AVERAGE(IncomeLimits!T74:'IncomeLimits'!U74)*0.3/12, 0)</f>
        <v>696</v>
      </c>
      <c r="P76" s="1009">
        <f>ROUNDDOWN(IncomeLimits!V74*0.3/12, 0)</f>
        <v>836</v>
      </c>
      <c r="Q76" s="1009">
        <f>ROUNDDOWN(AVERAGE(IncomeLimits!W74:'IncomeLimits'!X74)*0.3/12,0)</f>
        <v>965</v>
      </c>
      <c r="R76" s="1009">
        <f>ROUNDDOWN(IncomeLimits!Y74*0.3/12,0)</f>
        <v>1077</v>
      </c>
      <c r="S76" s="66">
        <f>ROUNDDOWN(AVERAGE(IncomeLimits!Z74:'IncomeLimits'!AA74)*0.3/12,0)</f>
        <v>1188</v>
      </c>
      <c r="T76" s="66">
        <f>ROUNDDOWN(IncomeLimits!AC74*0.3/12, 0)</f>
        <v>812</v>
      </c>
      <c r="U76" s="66">
        <f>ROUNDDOWN(AVERAGE(IncomeLimits!AC74:'IncomeLimits'!AD74)*0.3/12,0)</f>
        <v>870</v>
      </c>
      <c r="V76" s="66">
        <f>ROUNDDOWN(IncomeLimits!AE74*0.3/12, 0)</f>
        <v>1045</v>
      </c>
      <c r="W76" s="66">
        <f>ROUNDDOWN(AVERAGE(IncomeLimits!AF74:'IncomeLimits'!AG74)*0.3/12,0)</f>
        <v>1206</v>
      </c>
      <c r="X76" s="66">
        <f>ROUNDDOWN(IncomeLimits!AH74*0.3/12,0)</f>
        <v>1346</v>
      </c>
      <c r="Y76" s="66">
        <f>ROUNDDOWN(AVERAGE(IncomeLimits!AI74:'IncomeLimits'!AJ74)*0.3/12,0)</f>
        <v>1485</v>
      </c>
      <c r="Z76" s="1679">
        <f>ROUNDDOWN(IncomeLimits!AL74*0.3/12, 0)</f>
        <v>975</v>
      </c>
      <c r="AA76" s="1009">
        <f>ROUNDDOWN(AVERAGE(IncomeLimits!AL74:'IncomeLimits'!AM74)*0.3/12, 0)</f>
        <v>1044</v>
      </c>
      <c r="AB76" s="1009">
        <f>ROUNDDOWN(IncomeLimits!AN74*0.3/12, 0)</f>
        <v>1254</v>
      </c>
      <c r="AC76" s="1009">
        <f>ROUNDDOWN(AVERAGE(IncomeLimits!AO74:'IncomeLimits'!AP74)*0.3/12,0)</f>
        <v>1448</v>
      </c>
      <c r="AD76" s="1009">
        <f>ROUNDDOWN(IncomeLimits!AQ74*0.3/12,0)</f>
        <v>1615</v>
      </c>
      <c r="AE76" s="1680">
        <f>ROUNDDOWN(AVERAGE(IncomeLimits!AR74:'IncomeLimits'!AS74)*0.3/12,0)</f>
        <v>1782</v>
      </c>
      <c r="AF76" s="65">
        <f>ROUNDDOWN(IncomeLimits!AU74*0.3/12, 0)</f>
        <v>1137</v>
      </c>
      <c r="AG76" s="1009">
        <f>ROUNDDOWN(AVERAGE(IncomeLimits!AU74:'IncomeLimits'!AV74)*0.3/12, 0)</f>
        <v>1218</v>
      </c>
      <c r="AH76" s="1009">
        <f>ROUNDDOWN(IncomeLimits!AW74*0.3/12, 0)</f>
        <v>1463</v>
      </c>
      <c r="AI76" s="1009">
        <f>ROUNDDOWN(AVERAGE(IncomeLimits!AX74:'IncomeLimits'!AY74)*0.3/12,0)</f>
        <v>1689</v>
      </c>
      <c r="AJ76" s="1009">
        <f>ROUNDDOWN(IncomeLimits!AZ74*0.3/12,0)</f>
        <v>1884</v>
      </c>
      <c r="AK76" s="76">
        <f>ROUNDDOWN(AVERAGE(IncomeLimits!BA74:'IncomeLimits'!BB74)*0.3/12,0)</f>
        <v>2079</v>
      </c>
      <c r="AL76" s="65">
        <f>ROUNDDOWN(IncomeLimits!BD74*0.3/12, 0)</f>
        <v>1300</v>
      </c>
      <c r="AM76" s="1009">
        <f>ROUNDDOWN(AVERAGE(IncomeLimits!BD74:'IncomeLimits'!BE74)*0.3/12, 0)</f>
        <v>1393</v>
      </c>
      <c r="AN76" s="1009">
        <f>ROUNDDOWN(IncomeLimits!BF74*0.3/12, 0)</f>
        <v>1672</v>
      </c>
      <c r="AO76" s="1009">
        <f>ROUNDDOWN(AVERAGE(IncomeLimits!BG74:'IncomeLimits'!BH74)*0.3/12,0)</f>
        <v>1931</v>
      </c>
      <c r="AP76" s="1009">
        <f>ROUNDDOWN(IncomeLimits!BI74*0.3/12,0)</f>
        <v>2154</v>
      </c>
      <c r="AQ76" s="76">
        <f>ROUNDDOWN(AVERAGE(IncomeLimits!BJ74:'IncomeLimits'!BK74)*0.3/12,0)</f>
        <v>2376</v>
      </c>
    </row>
    <row r="77" spans="1:43">
      <c r="A77" s="78" t="s">
        <v>7376</v>
      </c>
      <c r="B77" s="75">
        <f>ROUNDDOWN(IncomeLimits!B75*0.3/12, 0)</f>
        <v>325</v>
      </c>
      <c r="C77" s="1009">
        <f>ROUNDDOWN(AVERAGE(IncomeLimits!B75:C75)*0.3/12, 0)</f>
        <v>348</v>
      </c>
      <c r="D77" s="1009">
        <f>ROUNDDOWN(IncomeLimits!D75*0.3/12, 0)</f>
        <v>418</v>
      </c>
      <c r="E77" s="1009">
        <f>ROUNDDOWN(AVERAGE(IncomeLimits!E75:'IncomeLimits'!F75)*0.3/12,0)</f>
        <v>482</v>
      </c>
      <c r="F77" s="1009">
        <f>ROUNDDOWN(IncomeLimits!G75*0.3/12,0)</f>
        <v>538</v>
      </c>
      <c r="G77" s="66">
        <f>ROUNDDOWN(AVERAGE(IncomeLimits!H75:'IncomeLimits'!I75)*0.3/12,0)</f>
        <v>594</v>
      </c>
      <c r="H77" s="75">
        <f>ROUNDDOWN(IncomeLimits!K75*0.3/12, 0)</f>
        <v>487</v>
      </c>
      <c r="I77" s="1009">
        <f>ROUNDDOWN(AVERAGE(IncomeLimits!K75:'IncomeLimits'!L75)*0.3/12, 0)</f>
        <v>522</v>
      </c>
      <c r="J77" s="1009">
        <f>ROUNDDOWN(IncomeLimits!M75*0.3/12, 0)</f>
        <v>627</v>
      </c>
      <c r="K77" s="1009">
        <f>ROUNDDOWN(AVERAGE(IncomeLimits!N75:'IncomeLimits'!O75)*0.3/12,0)</f>
        <v>724</v>
      </c>
      <c r="L77" s="1009">
        <f>ROUNDDOWN(IncomeLimits!P75*0.3/12,0)</f>
        <v>807</v>
      </c>
      <c r="M77" s="76">
        <f>ROUNDDOWN(AVERAGE(IncomeLimits!Q75:'IncomeLimits'!R75)*0.3/12,0)</f>
        <v>891</v>
      </c>
      <c r="N77" s="65">
        <f>ROUNDDOWN(IncomeLimits!T75*0.3/12, 0)</f>
        <v>650</v>
      </c>
      <c r="O77" s="1009">
        <f>ROUNDDOWN(AVERAGE(IncomeLimits!T75:'IncomeLimits'!U75)*0.3/12, 0)</f>
        <v>696</v>
      </c>
      <c r="P77" s="1009">
        <f>ROUNDDOWN(IncomeLimits!V75*0.3/12, 0)</f>
        <v>836</v>
      </c>
      <c r="Q77" s="1009">
        <f>ROUNDDOWN(AVERAGE(IncomeLimits!W75:'IncomeLimits'!X75)*0.3/12,0)</f>
        <v>965</v>
      </c>
      <c r="R77" s="1009">
        <f>ROUNDDOWN(IncomeLimits!Y75*0.3/12,0)</f>
        <v>1077</v>
      </c>
      <c r="S77" s="66">
        <f>ROUNDDOWN(AVERAGE(IncomeLimits!Z75:'IncomeLimits'!AA75)*0.3/12,0)</f>
        <v>1188</v>
      </c>
      <c r="T77" s="66">
        <f>ROUNDDOWN(IncomeLimits!AC75*0.3/12, 0)</f>
        <v>812</v>
      </c>
      <c r="U77" s="66">
        <f>ROUNDDOWN(AVERAGE(IncomeLimits!AC75:'IncomeLimits'!AD75)*0.3/12,0)</f>
        <v>870</v>
      </c>
      <c r="V77" s="66">
        <f>ROUNDDOWN(IncomeLimits!AE75*0.3/12, 0)</f>
        <v>1045</v>
      </c>
      <c r="W77" s="66">
        <f>ROUNDDOWN(AVERAGE(IncomeLimits!AF75:'IncomeLimits'!AG75)*0.3/12,0)</f>
        <v>1206</v>
      </c>
      <c r="X77" s="66">
        <f>ROUNDDOWN(IncomeLimits!AH75*0.3/12,0)</f>
        <v>1346</v>
      </c>
      <c r="Y77" s="66">
        <f>ROUNDDOWN(AVERAGE(IncomeLimits!AI75:'IncomeLimits'!AJ75)*0.3/12,0)</f>
        <v>1485</v>
      </c>
      <c r="Z77" s="1681">
        <f>ROUNDDOWN(IncomeLimits!AL75*0.3/12, 0)</f>
        <v>975</v>
      </c>
      <c r="AA77" s="1682">
        <f>ROUNDDOWN(AVERAGE(IncomeLimits!AL75:'IncomeLimits'!AM75)*0.3/12, 0)</f>
        <v>1044</v>
      </c>
      <c r="AB77" s="1682">
        <f>ROUNDDOWN(IncomeLimits!AN75*0.3/12, 0)</f>
        <v>1254</v>
      </c>
      <c r="AC77" s="1682">
        <f>ROUNDDOWN(AVERAGE(IncomeLimits!AO75:'IncomeLimits'!AP75)*0.3/12,0)</f>
        <v>1448</v>
      </c>
      <c r="AD77" s="1682">
        <f>ROUNDDOWN(IncomeLimits!AQ75*0.3/12,0)</f>
        <v>1615</v>
      </c>
      <c r="AE77" s="1683">
        <f>ROUNDDOWN(AVERAGE(IncomeLimits!AR75:'IncomeLimits'!AS75)*0.3/12,0)</f>
        <v>1782</v>
      </c>
      <c r="AF77" s="65">
        <f>ROUNDDOWN(IncomeLimits!AU75*0.3/12, 0)</f>
        <v>1137</v>
      </c>
      <c r="AG77" s="1009">
        <f>ROUNDDOWN(AVERAGE(IncomeLimits!AU75:'IncomeLimits'!AV75)*0.3/12, 0)</f>
        <v>1218</v>
      </c>
      <c r="AH77" s="1009">
        <f>ROUNDDOWN(IncomeLimits!AW75*0.3/12, 0)</f>
        <v>1463</v>
      </c>
      <c r="AI77" s="1009">
        <f>ROUNDDOWN(AVERAGE(IncomeLimits!AX75:'IncomeLimits'!AY75)*0.3/12,0)</f>
        <v>1689</v>
      </c>
      <c r="AJ77" s="1009">
        <f>ROUNDDOWN(IncomeLimits!AZ75*0.3/12,0)</f>
        <v>1884</v>
      </c>
      <c r="AK77" s="76">
        <f>ROUNDDOWN(AVERAGE(IncomeLimits!BA75:'IncomeLimits'!BB75)*0.3/12,0)</f>
        <v>2079</v>
      </c>
      <c r="AL77" s="65">
        <f>ROUNDDOWN(IncomeLimits!BD75*0.3/12, 0)</f>
        <v>1300</v>
      </c>
      <c r="AM77" s="1009">
        <f>ROUNDDOWN(AVERAGE(IncomeLimits!BD75:'IncomeLimits'!BE75)*0.3/12, 0)</f>
        <v>1393</v>
      </c>
      <c r="AN77" s="1009">
        <f>ROUNDDOWN(IncomeLimits!BF75*0.3/12, 0)</f>
        <v>1672</v>
      </c>
      <c r="AO77" s="1009">
        <f>ROUNDDOWN(AVERAGE(IncomeLimits!BG75:'IncomeLimits'!BH75)*0.3/12,0)</f>
        <v>1931</v>
      </c>
      <c r="AP77" s="1009">
        <f>ROUNDDOWN(IncomeLimits!BI75*0.3/12,0)</f>
        <v>2154</v>
      </c>
      <c r="AQ77" s="76">
        <f>ROUNDDOWN(AVERAGE(IncomeLimits!BJ75:'IncomeLimits'!BK75)*0.3/12,0)</f>
        <v>2376</v>
      </c>
    </row>
    <row r="78" spans="1:43">
      <c r="A78" s="643"/>
      <c r="B78" s="643"/>
      <c r="C78" s="643"/>
      <c r="D78" s="643"/>
      <c r="E78" s="643"/>
      <c r="F78" s="643"/>
      <c r="G78" s="643"/>
      <c r="H78" s="643"/>
      <c r="I78" s="643"/>
      <c r="J78" s="643"/>
      <c r="K78" s="643"/>
      <c r="L78" s="643"/>
      <c r="M78" s="643"/>
      <c r="N78" s="643"/>
      <c r="O78" s="643"/>
      <c r="P78" s="643"/>
      <c r="Q78" s="643"/>
      <c r="R78" s="643"/>
      <c r="S78" s="643"/>
      <c r="T78" s="643"/>
      <c r="U78" s="643"/>
      <c r="V78" s="643"/>
      <c r="W78" s="643"/>
      <c r="X78" s="643"/>
      <c r="Y78" s="643"/>
      <c r="Z78" s="643"/>
      <c r="AA78" s="643"/>
      <c r="AB78" s="643"/>
      <c r="AC78" s="643"/>
      <c r="AD78" s="643"/>
      <c r="AE78" s="643"/>
      <c r="AF78" s="643"/>
      <c r="AG78" s="643"/>
      <c r="AH78" s="643"/>
      <c r="AI78" s="643"/>
      <c r="AJ78" s="643"/>
      <c r="AK78" s="643"/>
      <c r="AL78" s="643"/>
      <c r="AM78" s="643"/>
      <c r="AN78" s="643"/>
      <c r="AO78" s="643"/>
      <c r="AP78" s="643"/>
      <c r="AQ78" s="643"/>
    </row>
    <row r="79" spans="1:43">
      <c r="A79" s="643" t="s">
        <v>7377</v>
      </c>
      <c r="B79" s="643"/>
      <c r="C79" s="643"/>
      <c r="D79" s="643"/>
      <c r="E79" s="643"/>
      <c r="F79" s="643"/>
      <c r="G79" s="643"/>
      <c r="H79" s="643"/>
      <c r="I79" s="643"/>
      <c r="J79" s="643"/>
      <c r="K79" s="643"/>
      <c r="L79" s="643"/>
      <c r="M79" s="643"/>
      <c r="N79" s="643"/>
      <c r="O79" s="643"/>
      <c r="P79" s="643"/>
      <c r="Q79" s="643"/>
      <c r="R79" s="643"/>
      <c r="S79" s="643"/>
      <c r="T79" s="643"/>
      <c r="U79" s="643"/>
      <c r="V79" s="643"/>
      <c r="W79" s="643"/>
      <c r="X79" s="643"/>
      <c r="Y79" s="643"/>
      <c r="Z79" s="643"/>
      <c r="AA79" s="643"/>
      <c r="AB79" s="643"/>
      <c r="AC79" s="643"/>
      <c r="AD79" s="643"/>
      <c r="AE79" s="643"/>
      <c r="AF79" s="643"/>
      <c r="AG79" s="643"/>
      <c r="AH79" s="643"/>
      <c r="AI79" s="643"/>
      <c r="AJ79" s="643"/>
      <c r="AK79" s="643"/>
      <c r="AL79" s="643"/>
      <c r="AM79" s="643"/>
      <c r="AN79" s="643"/>
      <c r="AO79" s="643"/>
      <c r="AP79" s="643"/>
      <c r="AQ79" s="643"/>
    </row>
    <row r="80" spans="1:43">
      <c r="A80" s="643" t="s">
        <v>7378</v>
      </c>
      <c r="B80" s="643"/>
      <c r="C80" s="643"/>
      <c r="D80" s="643"/>
      <c r="E80" s="643"/>
      <c r="F80" s="643"/>
      <c r="G80" s="643"/>
      <c r="H80" s="643"/>
      <c r="I80" s="643"/>
      <c r="J80" s="643"/>
      <c r="K80" s="643"/>
      <c r="L80" s="643"/>
      <c r="M80" s="643"/>
      <c r="N80" s="643"/>
      <c r="O80" s="643"/>
      <c r="P80" s="643"/>
      <c r="Q80" s="643"/>
      <c r="R80" s="643"/>
      <c r="S80" s="643"/>
      <c r="T80" s="643"/>
      <c r="U80" s="643"/>
      <c r="V80" s="643"/>
      <c r="W80" s="643"/>
      <c r="X80" s="643"/>
      <c r="Y80" s="643"/>
      <c r="Z80" s="643"/>
      <c r="AA80" s="643"/>
      <c r="AB80" s="643"/>
      <c r="AC80" s="643"/>
      <c r="AD80" s="643"/>
      <c r="AE80" s="643"/>
      <c r="AF80" s="643"/>
      <c r="AG80" s="643"/>
      <c r="AH80" s="643"/>
      <c r="AI80" s="643"/>
      <c r="AJ80" s="643"/>
      <c r="AK80" s="643"/>
      <c r="AL80" s="643"/>
      <c r="AM80" s="643"/>
      <c r="AN80" s="643"/>
      <c r="AO80" s="643"/>
      <c r="AP80" s="643"/>
      <c r="AQ80" s="643"/>
    </row>
    <row r="81" spans="1:43">
      <c r="A81" s="643"/>
      <c r="B81" s="643"/>
      <c r="C81" s="643"/>
      <c r="D81" s="643"/>
      <c r="E81" s="643"/>
      <c r="F81" s="643"/>
      <c r="G81" s="643"/>
      <c r="H81" s="643"/>
      <c r="I81" s="643"/>
      <c r="J81" s="643"/>
      <c r="K81" s="643"/>
      <c r="L81" s="643"/>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row>
    <row r="82" spans="1:43">
      <c r="A82" s="643" t="s">
        <v>7379</v>
      </c>
      <c r="B82" s="643"/>
      <c r="C82" s="643"/>
      <c r="D82" s="643"/>
      <c r="E82" s="643"/>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row>
    <row r="83" spans="1:43">
      <c r="A83" s="643" t="s">
        <v>7380</v>
      </c>
      <c r="B83" s="643"/>
      <c r="C83" s="643"/>
      <c r="D83" s="643"/>
      <c r="E83" s="643"/>
      <c r="F83" s="643"/>
      <c r="G83" s="643"/>
      <c r="H83" s="643"/>
      <c r="I83" s="643"/>
      <c r="J83" s="643"/>
      <c r="K83" s="643"/>
      <c r="L83" s="643"/>
      <c r="M83" s="643"/>
      <c r="N83" s="643"/>
      <c r="O83" s="643"/>
      <c r="P83" s="643"/>
      <c r="Q83" s="643"/>
      <c r="R83" s="643"/>
      <c r="S83" s="643"/>
      <c r="T83" s="643"/>
      <c r="U83" s="643"/>
      <c r="V83" s="643"/>
      <c r="W83" s="643"/>
      <c r="X83" s="643"/>
      <c r="Y83" s="643"/>
      <c r="Z83" s="643"/>
      <c r="AA83" s="643"/>
      <c r="AB83" s="643"/>
      <c r="AC83" s="643"/>
      <c r="AD83" s="643"/>
      <c r="AE83" s="643"/>
      <c r="AF83" s="643"/>
      <c r="AG83" s="643"/>
      <c r="AH83" s="643"/>
      <c r="AI83" s="643"/>
      <c r="AJ83" s="643"/>
      <c r="AK83" s="643"/>
      <c r="AL83" s="643"/>
      <c r="AM83" s="643"/>
      <c r="AN83" s="643"/>
      <c r="AO83" s="643"/>
      <c r="AP83" s="643"/>
      <c r="AQ83" s="643"/>
    </row>
    <row r="84" spans="1:43">
      <c r="A84" s="643" t="s">
        <v>7381</v>
      </c>
      <c r="B84" s="643"/>
      <c r="C84" s="643"/>
      <c r="D84" s="643"/>
      <c r="E84" s="643"/>
      <c r="F84" s="643"/>
      <c r="G84" s="643"/>
      <c r="H84" s="643"/>
      <c r="I84" s="643"/>
      <c r="J84" s="643"/>
      <c r="K84" s="643"/>
      <c r="L84" s="643"/>
      <c r="M84" s="643"/>
      <c r="N84" s="643"/>
      <c r="O84" s="643"/>
      <c r="P84" s="643"/>
      <c r="Q84" s="643"/>
      <c r="R84" s="643"/>
      <c r="S84" s="643"/>
      <c r="T84" s="643"/>
      <c r="U84" s="643"/>
      <c r="V84" s="643"/>
      <c r="W84" s="643"/>
      <c r="X84" s="643"/>
      <c r="Y84" s="643"/>
      <c r="Z84" s="643"/>
      <c r="AA84" s="643"/>
      <c r="AB84" s="643"/>
      <c r="AC84" s="643"/>
      <c r="AD84" s="643"/>
      <c r="AE84" s="643"/>
      <c r="AF84" s="643"/>
      <c r="AG84" s="643"/>
      <c r="AH84" s="643"/>
      <c r="AI84" s="643"/>
      <c r="AJ84" s="643"/>
      <c r="AK84" s="643"/>
      <c r="AL84" s="643"/>
      <c r="AM84" s="643"/>
      <c r="AN84" s="643"/>
      <c r="AO84" s="643"/>
      <c r="AP84" s="643"/>
      <c r="AQ84" s="643"/>
    </row>
    <row r="85" spans="1:43">
      <c r="A85" t="s">
        <v>7382</v>
      </c>
    </row>
  </sheetData>
  <sheetProtection algorithmName="SHA-512" hashValue="7MmxdzVlJJHaM/J9LWbMc1kNk21T6+8tGI+EJDK/vUqW6s3PtCNkSDxplE26fbTk4IJzHUXlGj2L7dgFsbsakQ==" saltValue="sR3QiW47I3RCcMWK3mn1+A==" spinCount="100000" sheet="1" objects="1" scenarios="1" selectLockedCells="1"/>
  <pageMargins left="0.25" right="0.25" top="0.75" bottom="0.75" header="0.3" footer="0.3"/>
  <pageSetup scale="59" fitToWidth="2"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E2A0-494A-4EE6-A518-7C36AB9E2649}">
  <sheetPr codeName="Sheet42">
    <pageSetUpPr fitToPage="1"/>
  </sheetPr>
  <dimension ref="A1:BL88"/>
  <sheetViews>
    <sheetView workbookViewId="0"/>
  </sheetViews>
  <sheetFormatPr defaultColWidth="8.85546875" defaultRowHeight="15" outlineLevelCol="1"/>
  <cols>
    <col min="1" max="1" width="23.5703125" style="41" bestFit="1" customWidth="1"/>
    <col min="2" max="28" width="8.85546875" customWidth="1" outlineLevel="1"/>
    <col min="257" max="257" width="23.5703125" bestFit="1" customWidth="1"/>
    <col min="513" max="513" width="23.5703125" bestFit="1" customWidth="1"/>
    <col min="769" max="769" width="23.5703125" bestFit="1" customWidth="1"/>
    <col min="1025" max="1025" width="23.5703125" bestFit="1" customWidth="1"/>
    <col min="1281" max="1281" width="23.5703125" bestFit="1" customWidth="1"/>
    <col min="1537" max="1537" width="23.5703125" bestFit="1" customWidth="1"/>
    <col min="1793" max="1793" width="23.5703125" bestFit="1" customWidth="1"/>
    <col min="2049" max="2049" width="23.5703125" bestFit="1" customWidth="1"/>
    <col min="2305" max="2305" width="23.5703125" bestFit="1" customWidth="1"/>
    <col min="2561" max="2561" width="23.5703125" bestFit="1" customWidth="1"/>
    <col min="2817" max="2817" width="23.5703125" bestFit="1" customWidth="1"/>
    <col min="3073" max="3073" width="23.5703125" bestFit="1" customWidth="1"/>
    <col min="3329" max="3329" width="23.5703125" bestFit="1" customWidth="1"/>
    <col min="3585" max="3585" width="23.5703125" bestFit="1" customWidth="1"/>
    <col min="3841" max="3841" width="23.5703125" bestFit="1" customWidth="1"/>
    <col min="4097" max="4097" width="23.5703125" bestFit="1" customWidth="1"/>
    <col min="4353" max="4353" width="23.5703125" bestFit="1" customWidth="1"/>
    <col min="4609" max="4609" width="23.5703125" bestFit="1" customWidth="1"/>
    <col min="4865" max="4865" width="23.5703125" bestFit="1" customWidth="1"/>
    <col min="5121" max="5121" width="23.5703125" bestFit="1" customWidth="1"/>
    <col min="5377" max="5377" width="23.5703125" bestFit="1" customWidth="1"/>
    <col min="5633" max="5633" width="23.5703125" bestFit="1" customWidth="1"/>
    <col min="5889" max="5889" width="23.5703125" bestFit="1" customWidth="1"/>
    <col min="6145" max="6145" width="23.5703125" bestFit="1" customWidth="1"/>
    <col min="6401" max="6401" width="23.5703125" bestFit="1" customWidth="1"/>
    <col min="6657" max="6657" width="23.5703125" bestFit="1" customWidth="1"/>
    <col min="6913" max="6913" width="23.5703125" bestFit="1" customWidth="1"/>
    <col min="7169" max="7169" width="23.5703125" bestFit="1" customWidth="1"/>
    <col min="7425" max="7425" width="23.5703125" bestFit="1" customWidth="1"/>
    <col min="7681" max="7681" width="23.5703125" bestFit="1" customWidth="1"/>
    <col min="7937" max="7937" width="23.5703125" bestFit="1" customWidth="1"/>
    <col min="8193" max="8193" width="23.5703125" bestFit="1" customWidth="1"/>
    <col min="8449" max="8449" width="23.5703125" bestFit="1" customWidth="1"/>
    <col min="8705" max="8705" width="23.5703125" bestFit="1" customWidth="1"/>
    <col min="8961" max="8961" width="23.5703125" bestFit="1" customWidth="1"/>
    <col min="9217" max="9217" width="23.5703125" bestFit="1" customWidth="1"/>
    <col min="9473" max="9473" width="23.5703125" bestFit="1" customWidth="1"/>
    <col min="9729" max="9729" width="23.5703125" bestFit="1" customWidth="1"/>
    <col min="9985" max="9985" width="23.5703125" bestFit="1" customWidth="1"/>
    <col min="10241" max="10241" width="23.5703125" bestFit="1" customWidth="1"/>
    <col min="10497" max="10497" width="23.5703125" bestFit="1" customWidth="1"/>
    <col min="10753" max="10753" width="23.5703125" bestFit="1" customWidth="1"/>
    <col min="11009" max="11009" width="23.5703125" bestFit="1" customWidth="1"/>
    <col min="11265" max="11265" width="23.5703125" bestFit="1" customWidth="1"/>
    <col min="11521" max="11521" width="23.5703125" bestFit="1" customWidth="1"/>
    <col min="11777" max="11777" width="23.5703125" bestFit="1" customWidth="1"/>
    <col min="12033" max="12033" width="23.5703125" bestFit="1" customWidth="1"/>
    <col min="12289" max="12289" width="23.5703125" bestFit="1" customWidth="1"/>
    <col min="12545" max="12545" width="23.5703125" bestFit="1" customWidth="1"/>
    <col min="12801" max="12801" width="23.5703125" bestFit="1" customWidth="1"/>
    <col min="13057" max="13057" width="23.5703125" bestFit="1" customWidth="1"/>
    <col min="13313" max="13313" width="23.5703125" bestFit="1" customWidth="1"/>
    <col min="13569" max="13569" width="23.5703125" bestFit="1" customWidth="1"/>
    <col min="13825" max="13825" width="23.5703125" bestFit="1" customWidth="1"/>
    <col min="14081" max="14081" width="23.5703125" bestFit="1" customWidth="1"/>
    <col min="14337" max="14337" width="23.5703125" bestFit="1" customWidth="1"/>
    <col min="14593" max="14593" width="23.5703125" bestFit="1" customWidth="1"/>
    <col min="14849" max="14849" width="23.5703125" bestFit="1" customWidth="1"/>
    <col min="15105" max="15105" width="23.5703125" bestFit="1" customWidth="1"/>
    <col min="15361" max="15361" width="23.5703125" bestFit="1" customWidth="1"/>
    <col min="15617" max="15617" width="23.5703125" bestFit="1" customWidth="1"/>
    <col min="15873" max="15873" width="23.5703125" bestFit="1" customWidth="1"/>
    <col min="16129" max="16129" width="23.5703125" bestFit="1" customWidth="1"/>
  </cols>
  <sheetData>
    <row r="1" spans="1:64" s="41" customFormat="1">
      <c r="B1" s="2745" t="s">
        <v>7383</v>
      </c>
      <c r="C1" s="2745"/>
      <c r="D1" s="2745"/>
      <c r="E1" s="2745"/>
      <c r="F1" s="2745"/>
      <c r="G1" s="2745"/>
      <c r="H1" s="2745"/>
      <c r="I1" s="2745"/>
      <c r="J1" s="2745"/>
      <c r="K1" s="2745" t="s">
        <v>5312</v>
      </c>
      <c r="L1" s="2745"/>
      <c r="M1" s="2745"/>
      <c r="N1" s="2745"/>
      <c r="O1" s="2745"/>
      <c r="P1" s="2745"/>
      <c r="Q1" s="2745"/>
      <c r="R1" s="2745"/>
      <c r="S1" s="2745"/>
      <c r="T1" s="2745" t="s">
        <v>5317</v>
      </c>
      <c r="U1" s="2745"/>
      <c r="V1" s="2745"/>
      <c r="W1" s="2745"/>
      <c r="X1" s="2745"/>
      <c r="Y1" s="2745"/>
      <c r="Z1" s="2745"/>
      <c r="AA1" s="2745"/>
      <c r="AB1" s="2745"/>
      <c r="AC1" s="2746" t="s">
        <v>5323</v>
      </c>
      <c r="AD1" s="2746"/>
      <c r="AE1" s="2746"/>
      <c r="AF1" s="2746"/>
      <c r="AG1" s="2746"/>
      <c r="AH1" s="2746"/>
      <c r="AI1" s="2746"/>
      <c r="AJ1" s="2746"/>
      <c r="AK1" s="2746"/>
      <c r="AL1" s="2745" t="s">
        <v>5329</v>
      </c>
      <c r="AM1" s="2745"/>
      <c r="AN1" s="2745"/>
      <c r="AO1" s="2745"/>
      <c r="AP1" s="2745"/>
      <c r="AQ1" s="2745"/>
      <c r="AR1" s="2745"/>
      <c r="AS1" s="2745"/>
      <c r="AT1" s="2745"/>
      <c r="AU1" s="2745" t="s">
        <v>5334</v>
      </c>
      <c r="AV1" s="2745"/>
      <c r="AW1" s="2745"/>
      <c r="AX1" s="2745"/>
      <c r="AY1" s="2745"/>
      <c r="AZ1" s="2745"/>
      <c r="BA1" s="2745"/>
      <c r="BB1" s="2745"/>
      <c r="BC1" s="2745"/>
      <c r="BD1" s="2745" t="s">
        <v>5340</v>
      </c>
      <c r="BE1" s="2745"/>
      <c r="BF1" s="2745"/>
      <c r="BG1" s="2745"/>
      <c r="BH1" s="2745"/>
      <c r="BI1" s="2745"/>
      <c r="BJ1" s="2745"/>
      <c r="BK1" s="2745"/>
      <c r="BL1" s="2745"/>
    </row>
    <row r="2" spans="1:64" s="41" customFormat="1">
      <c r="A2" s="41" t="s">
        <v>7375</v>
      </c>
      <c r="B2" s="41" t="s">
        <v>7384</v>
      </c>
      <c r="C2" s="41" t="s">
        <v>7385</v>
      </c>
      <c r="D2" s="41" t="s">
        <v>7386</v>
      </c>
      <c r="E2" s="41" t="s">
        <v>7387</v>
      </c>
      <c r="F2" s="41" t="s">
        <v>7388</v>
      </c>
      <c r="G2" s="41" t="s">
        <v>7389</v>
      </c>
      <c r="H2" s="41" t="s">
        <v>7390</v>
      </c>
      <c r="I2" s="41" t="s">
        <v>7391</v>
      </c>
      <c r="J2" s="41" t="s">
        <v>7392</v>
      </c>
      <c r="K2" s="41" t="s">
        <v>7384</v>
      </c>
      <c r="L2" s="41" t="s">
        <v>7385</v>
      </c>
      <c r="M2" s="41" t="s">
        <v>7386</v>
      </c>
      <c r="N2" s="41" t="s">
        <v>7387</v>
      </c>
      <c r="O2" s="41" t="s">
        <v>7388</v>
      </c>
      <c r="P2" s="41" t="s">
        <v>7389</v>
      </c>
      <c r="Q2" s="41" t="s">
        <v>7390</v>
      </c>
      <c r="R2" s="41" t="s">
        <v>7391</v>
      </c>
      <c r="S2" s="41" t="s">
        <v>7392</v>
      </c>
      <c r="T2" s="41" t="s">
        <v>7384</v>
      </c>
      <c r="U2" s="41" t="s">
        <v>7385</v>
      </c>
      <c r="V2" s="41" t="s">
        <v>7386</v>
      </c>
      <c r="W2" s="41" t="s">
        <v>7387</v>
      </c>
      <c r="X2" s="41" t="s">
        <v>7388</v>
      </c>
      <c r="Y2" s="41" t="s">
        <v>7389</v>
      </c>
      <c r="Z2" s="41" t="s">
        <v>7390</v>
      </c>
      <c r="AA2" s="41" t="s">
        <v>7391</v>
      </c>
      <c r="AB2" s="41" t="s">
        <v>7392</v>
      </c>
      <c r="AC2" s="299" t="s">
        <v>7384</v>
      </c>
      <c r="AD2" s="299" t="s">
        <v>7385</v>
      </c>
      <c r="AE2" s="299" t="s">
        <v>7386</v>
      </c>
      <c r="AF2" s="299" t="s">
        <v>7387</v>
      </c>
      <c r="AG2" s="299" t="s">
        <v>7388</v>
      </c>
      <c r="AH2" s="299" t="s">
        <v>7389</v>
      </c>
      <c r="AI2" s="299" t="s">
        <v>7390</v>
      </c>
      <c r="AJ2" s="299" t="s">
        <v>7391</v>
      </c>
      <c r="AK2" s="299" t="s">
        <v>7392</v>
      </c>
      <c r="AL2" s="41" t="s">
        <v>7384</v>
      </c>
      <c r="AM2" s="41" t="s">
        <v>7385</v>
      </c>
      <c r="AN2" s="41" t="s">
        <v>7386</v>
      </c>
      <c r="AO2" s="41" t="s">
        <v>7387</v>
      </c>
      <c r="AP2" s="41" t="s">
        <v>7388</v>
      </c>
      <c r="AQ2" s="41" t="s">
        <v>7389</v>
      </c>
      <c r="AR2" s="41" t="s">
        <v>7390</v>
      </c>
      <c r="AS2" s="41" t="s">
        <v>7391</v>
      </c>
      <c r="AT2" s="41" t="s">
        <v>7392</v>
      </c>
      <c r="AU2" s="41" t="s">
        <v>7384</v>
      </c>
      <c r="AV2" s="41" t="s">
        <v>7385</v>
      </c>
      <c r="AW2" s="41" t="s">
        <v>7386</v>
      </c>
      <c r="AX2" s="41" t="s">
        <v>7387</v>
      </c>
      <c r="AY2" s="41" t="s">
        <v>7388</v>
      </c>
      <c r="AZ2" s="41" t="s">
        <v>7389</v>
      </c>
      <c r="BA2" s="41" t="s">
        <v>7390</v>
      </c>
      <c r="BB2" s="41" t="s">
        <v>7391</v>
      </c>
      <c r="BC2" s="41" t="s">
        <v>7392</v>
      </c>
      <c r="BD2" s="41" t="s">
        <v>7384</v>
      </c>
      <c r="BE2" s="41" t="s">
        <v>7385</v>
      </c>
      <c r="BF2" s="41" t="s">
        <v>7386</v>
      </c>
      <c r="BG2" s="41" t="s">
        <v>7387</v>
      </c>
      <c r="BH2" s="41" t="s">
        <v>7388</v>
      </c>
      <c r="BI2" s="41" t="s">
        <v>7389</v>
      </c>
      <c r="BJ2" s="41" t="s">
        <v>7390</v>
      </c>
      <c r="BK2" s="41" t="s">
        <v>7391</v>
      </c>
      <c r="BL2" s="41" t="s">
        <v>7392</v>
      </c>
    </row>
    <row r="3" spans="1:64" s="41" customFormat="1">
      <c r="A3" s="41" t="s">
        <v>262</v>
      </c>
      <c r="B3">
        <f t="shared" ref="B3:B6" si="0">AC3*0.4</f>
        <v>13000</v>
      </c>
      <c r="C3">
        <f t="shared" ref="C3:C6" si="1">AD3*0.4</f>
        <v>14860</v>
      </c>
      <c r="D3">
        <f t="shared" ref="D3:D6" si="2">AE3*0.4</f>
        <v>16720</v>
      </c>
      <c r="E3">
        <f t="shared" ref="E3:E6" si="3">AF3*0.4</f>
        <v>18560</v>
      </c>
      <c r="F3">
        <f t="shared" ref="F3:F6" si="4">AG3*0.4</f>
        <v>20060</v>
      </c>
      <c r="G3">
        <f t="shared" ref="G3:G6" si="5">AH3*0.4</f>
        <v>21540</v>
      </c>
      <c r="H3">
        <f t="shared" ref="H3:H6" si="6">AI3*0.4</f>
        <v>23020</v>
      </c>
      <c r="I3">
        <f t="shared" ref="I3:I6" si="7">AJ3*0.4</f>
        <v>24500</v>
      </c>
      <c r="J3">
        <f t="shared" ref="J3:J6" si="8">AK3*0.4</f>
        <v>26000</v>
      </c>
      <c r="K3">
        <f t="shared" ref="K3:K6" si="9">0.6*AC3</f>
        <v>19500</v>
      </c>
      <c r="L3">
        <f t="shared" ref="L3:L6" si="10">0.6*AD3</f>
        <v>22290</v>
      </c>
      <c r="M3">
        <f t="shared" ref="M3:M6" si="11">0.6*AE3</f>
        <v>25080</v>
      </c>
      <c r="N3">
        <f t="shared" ref="N3:N6" si="12">0.6*AF3</f>
        <v>27840</v>
      </c>
      <c r="O3">
        <f t="shared" ref="O3:O6" si="13">0.6*AG3</f>
        <v>30090</v>
      </c>
      <c r="P3">
        <f t="shared" ref="P3:P6" si="14">0.6*AH3</f>
        <v>32310</v>
      </c>
      <c r="Q3">
        <f t="shared" ref="Q3:Q6" si="15">0.6*AI3</f>
        <v>34530</v>
      </c>
      <c r="R3">
        <f t="shared" ref="R3:R6" si="16">0.6*AJ3</f>
        <v>36750</v>
      </c>
      <c r="S3">
        <f t="shared" ref="S3:S6" si="17">0.6*AK3</f>
        <v>39000</v>
      </c>
      <c r="T3">
        <f t="shared" ref="T3:T6" si="18">0.8*AC3</f>
        <v>26000</v>
      </c>
      <c r="U3">
        <f t="shared" ref="U3:U6" si="19">0.8*AD3</f>
        <v>29720</v>
      </c>
      <c r="V3">
        <f t="shared" ref="V3:V6" si="20">0.8*AE3</f>
        <v>33440</v>
      </c>
      <c r="W3">
        <f t="shared" ref="W3:W6" si="21">0.8*AF3</f>
        <v>37120</v>
      </c>
      <c r="X3">
        <f t="shared" ref="X3:X6" si="22">0.8*AG3</f>
        <v>40120</v>
      </c>
      <c r="Y3">
        <f t="shared" ref="Y3:Y6" si="23">0.8*AH3</f>
        <v>43080</v>
      </c>
      <c r="Z3">
        <f t="shared" ref="Z3:Z6" si="24">0.8*AI3</f>
        <v>46040</v>
      </c>
      <c r="AA3">
        <f t="shared" ref="AA3:AA6" si="25">0.8*AJ3</f>
        <v>49000</v>
      </c>
      <c r="AB3">
        <f t="shared" ref="AB3:AB6" si="26">0.8*AK3</f>
        <v>52000</v>
      </c>
      <c r="AC3" s="1664">
        <v>32500</v>
      </c>
      <c r="AD3" s="1664">
        <v>37150</v>
      </c>
      <c r="AE3" s="1664">
        <v>41800</v>
      </c>
      <c r="AF3" s="1664">
        <v>46400</v>
      </c>
      <c r="AG3" s="1664">
        <v>50150</v>
      </c>
      <c r="AH3" s="1664">
        <v>53850</v>
      </c>
      <c r="AI3" s="1664">
        <v>57550</v>
      </c>
      <c r="AJ3" s="1664">
        <v>61250</v>
      </c>
      <c r="AK3" s="1664">
        <v>65000</v>
      </c>
      <c r="AL3">
        <f t="shared" ref="AL3:AL6" si="27">AC3*1.2</f>
        <v>39000</v>
      </c>
      <c r="AM3">
        <f t="shared" ref="AM3:AM6" si="28">AD3*1.2</f>
        <v>44580</v>
      </c>
      <c r="AN3">
        <f t="shared" ref="AN3:AN6" si="29">AE3*1.2</f>
        <v>50160</v>
      </c>
      <c r="AO3">
        <f t="shared" ref="AO3:AO6" si="30">AF3*1.2</f>
        <v>55680</v>
      </c>
      <c r="AP3">
        <f t="shared" ref="AP3:AP6" si="31">AG3*1.2</f>
        <v>60180</v>
      </c>
      <c r="AQ3">
        <f t="shared" ref="AQ3:AQ6" si="32">AH3*1.2</f>
        <v>64620</v>
      </c>
      <c r="AR3">
        <f t="shared" ref="AR3:AR6" si="33">AI3*1.2</f>
        <v>69060</v>
      </c>
      <c r="AS3">
        <f t="shared" ref="AS3:AS6" si="34">AJ3*1.2</f>
        <v>73500</v>
      </c>
      <c r="AT3">
        <f t="shared" ref="AT3:AT6" si="35">AK3*1.2</f>
        <v>78000</v>
      </c>
      <c r="AU3">
        <f t="shared" ref="AU3:AU6" si="36">AC3*1.4</f>
        <v>45500</v>
      </c>
      <c r="AV3">
        <f t="shared" ref="AV3:AV6" si="37">AD3*1.4</f>
        <v>52010</v>
      </c>
      <c r="AW3">
        <f t="shared" ref="AW3:AW6" si="38">AE3*1.4</f>
        <v>58519.999999999993</v>
      </c>
      <c r="AX3">
        <f t="shared" ref="AX3:AX6" si="39">AF3*1.4</f>
        <v>64959.999999999993</v>
      </c>
      <c r="AY3">
        <f t="shared" ref="AY3:AY6" si="40">AG3*1.4</f>
        <v>70210</v>
      </c>
      <c r="AZ3">
        <f t="shared" ref="AZ3:AZ6" si="41">AH3*1.4</f>
        <v>75390</v>
      </c>
      <c r="BA3">
        <f t="shared" ref="BA3:BA6" si="42">AI3*1.4</f>
        <v>80570</v>
      </c>
      <c r="BB3">
        <f t="shared" ref="BB3:BB6" si="43">AJ3*1.4</f>
        <v>85750</v>
      </c>
      <c r="BC3">
        <f t="shared" ref="BC3:BC6" si="44">AK3*1.4</f>
        <v>91000</v>
      </c>
      <c r="BD3">
        <f t="shared" ref="BD3:BD6" si="45">AC3*1.6</f>
        <v>52000</v>
      </c>
      <c r="BE3">
        <f t="shared" ref="BE3:BE6" si="46">AD3*1.6</f>
        <v>59440</v>
      </c>
      <c r="BF3">
        <f t="shared" ref="BF3:BF6" si="47">AE3*1.6</f>
        <v>66880</v>
      </c>
      <c r="BG3">
        <f t="shared" ref="BG3:BG6" si="48">AF3*1.6</f>
        <v>74240</v>
      </c>
      <c r="BH3">
        <f t="shared" ref="BH3:BH6" si="49">AG3*1.6</f>
        <v>80240</v>
      </c>
      <c r="BI3">
        <f t="shared" ref="BI3:BI6" si="50">AH3*1.6</f>
        <v>86160</v>
      </c>
      <c r="BJ3">
        <f t="shared" ref="BJ3:BJ6" si="51">AI3*1.6</f>
        <v>92080</v>
      </c>
      <c r="BK3">
        <f t="shared" ref="BK3:BK6" si="52">AJ3*1.6</f>
        <v>98000</v>
      </c>
      <c r="BL3">
        <f t="shared" ref="BL3:BL6" si="53">AK3*1.6</f>
        <v>104000</v>
      </c>
    </row>
    <row r="4" spans="1:64" s="41" customFormat="1">
      <c r="A4" s="41" t="s">
        <v>288</v>
      </c>
      <c r="B4">
        <f t="shared" si="0"/>
        <v>13000</v>
      </c>
      <c r="C4">
        <f t="shared" si="1"/>
        <v>14860</v>
      </c>
      <c r="D4">
        <f t="shared" si="2"/>
        <v>16720</v>
      </c>
      <c r="E4">
        <f t="shared" si="3"/>
        <v>18560</v>
      </c>
      <c r="F4">
        <f t="shared" si="4"/>
        <v>20060</v>
      </c>
      <c r="G4">
        <f t="shared" si="5"/>
        <v>21540</v>
      </c>
      <c r="H4">
        <f t="shared" si="6"/>
        <v>23020</v>
      </c>
      <c r="I4">
        <f t="shared" si="7"/>
        <v>24500</v>
      </c>
      <c r="J4">
        <f t="shared" si="8"/>
        <v>26000</v>
      </c>
      <c r="K4">
        <f t="shared" si="9"/>
        <v>19500</v>
      </c>
      <c r="L4">
        <f t="shared" si="10"/>
        <v>22290</v>
      </c>
      <c r="M4">
        <f t="shared" si="11"/>
        <v>25080</v>
      </c>
      <c r="N4">
        <f t="shared" si="12"/>
        <v>27840</v>
      </c>
      <c r="O4">
        <f t="shared" si="13"/>
        <v>30090</v>
      </c>
      <c r="P4">
        <f t="shared" si="14"/>
        <v>32310</v>
      </c>
      <c r="Q4">
        <f t="shared" si="15"/>
        <v>34530</v>
      </c>
      <c r="R4">
        <f t="shared" si="16"/>
        <v>36750</v>
      </c>
      <c r="S4">
        <f t="shared" si="17"/>
        <v>39000</v>
      </c>
      <c r="T4">
        <f t="shared" si="18"/>
        <v>26000</v>
      </c>
      <c r="U4">
        <f t="shared" si="19"/>
        <v>29720</v>
      </c>
      <c r="V4">
        <f t="shared" si="20"/>
        <v>33440</v>
      </c>
      <c r="W4">
        <f t="shared" si="21"/>
        <v>37120</v>
      </c>
      <c r="X4">
        <f t="shared" si="22"/>
        <v>40120</v>
      </c>
      <c r="Y4">
        <f t="shared" si="23"/>
        <v>43080</v>
      </c>
      <c r="Z4">
        <f t="shared" si="24"/>
        <v>46040</v>
      </c>
      <c r="AA4">
        <f t="shared" si="25"/>
        <v>49000</v>
      </c>
      <c r="AB4">
        <f t="shared" si="26"/>
        <v>52000</v>
      </c>
      <c r="AC4" s="1664">
        <v>32500</v>
      </c>
      <c r="AD4" s="1664">
        <v>37150</v>
      </c>
      <c r="AE4" s="1664">
        <v>41800</v>
      </c>
      <c r="AF4" s="1664">
        <v>46400</v>
      </c>
      <c r="AG4" s="1664">
        <v>50150</v>
      </c>
      <c r="AH4" s="1664">
        <v>53850</v>
      </c>
      <c r="AI4" s="1664">
        <v>57550</v>
      </c>
      <c r="AJ4" s="1664">
        <v>61250</v>
      </c>
      <c r="AK4" s="1664">
        <v>65000</v>
      </c>
      <c r="AL4">
        <f t="shared" si="27"/>
        <v>39000</v>
      </c>
      <c r="AM4">
        <f t="shared" si="28"/>
        <v>44580</v>
      </c>
      <c r="AN4">
        <f t="shared" si="29"/>
        <v>50160</v>
      </c>
      <c r="AO4">
        <f t="shared" si="30"/>
        <v>55680</v>
      </c>
      <c r="AP4">
        <f t="shared" si="31"/>
        <v>60180</v>
      </c>
      <c r="AQ4">
        <f t="shared" si="32"/>
        <v>64620</v>
      </c>
      <c r="AR4">
        <f t="shared" si="33"/>
        <v>69060</v>
      </c>
      <c r="AS4">
        <f t="shared" si="34"/>
        <v>73500</v>
      </c>
      <c r="AT4">
        <f t="shared" si="35"/>
        <v>78000</v>
      </c>
      <c r="AU4">
        <f t="shared" si="36"/>
        <v>45500</v>
      </c>
      <c r="AV4">
        <f t="shared" si="37"/>
        <v>52010</v>
      </c>
      <c r="AW4">
        <f t="shared" si="38"/>
        <v>58519.999999999993</v>
      </c>
      <c r="AX4">
        <f t="shared" si="39"/>
        <v>64959.999999999993</v>
      </c>
      <c r="AY4">
        <f t="shared" si="40"/>
        <v>70210</v>
      </c>
      <c r="AZ4">
        <f t="shared" si="41"/>
        <v>75390</v>
      </c>
      <c r="BA4">
        <f t="shared" si="42"/>
        <v>80570</v>
      </c>
      <c r="BB4">
        <f t="shared" si="43"/>
        <v>85750</v>
      </c>
      <c r="BC4">
        <f t="shared" si="44"/>
        <v>91000</v>
      </c>
      <c r="BD4">
        <f t="shared" si="45"/>
        <v>52000</v>
      </c>
      <c r="BE4">
        <f t="shared" si="46"/>
        <v>59440</v>
      </c>
      <c r="BF4">
        <f t="shared" si="47"/>
        <v>66880</v>
      </c>
      <c r="BG4">
        <f t="shared" si="48"/>
        <v>74240</v>
      </c>
      <c r="BH4">
        <f t="shared" si="49"/>
        <v>80240</v>
      </c>
      <c r="BI4">
        <f t="shared" si="50"/>
        <v>86160</v>
      </c>
      <c r="BJ4">
        <f t="shared" si="51"/>
        <v>92080</v>
      </c>
      <c r="BK4">
        <f t="shared" si="52"/>
        <v>98000</v>
      </c>
      <c r="BL4">
        <f t="shared" si="53"/>
        <v>104000</v>
      </c>
    </row>
    <row r="5" spans="1:64" s="41" customFormat="1">
      <c r="A5" s="41" t="s">
        <v>313</v>
      </c>
      <c r="B5">
        <f t="shared" si="0"/>
        <v>13000</v>
      </c>
      <c r="C5">
        <f t="shared" si="1"/>
        <v>14860</v>
      </c>
      <c r="D5">
        <f t="shared" si="2"/>
        <v>16720</v>
      </c>
      <c r="E5">
        <f t="shared" si="3"/>
        <v>18560</v>
      </c>
      <c r="F5">
        <f t="shared" si="4"/>
        <v>20060</v>
      </c>
      <c r="G5">
        <f t="shared" si="5"/>
        <v>21540</v>
      </c>
      <c r="H5">
        <f t="shared" si="6"/>
        <v>23020</v>
      </c>
      <c r="I5">
        <f t="shared" si="7"/>
        <v>24500</v>
      </c>
      <c r="J5">
        <f t="shared" si="8"/>
        <v>26000</v>
      </c>
      <c r="K5">
        <f t="shared" si="9"/>
        <v>19500</v>
      </c>
      <c r="L5">
        <f t="shared" si="10"/>
        <v>22290</v>
      </c>
      <c r="M5">
        <f t="shared" si="11"/>
        <v>25080</v>
      </c>
      <c r="N5">
        <f t="shared" si="12"/>
        <v>27840</v>
      </c>
      <c r="O5">
        <f t="shared" si="13"/>
        <v>30090</v>
      </c>
      <c r="P5">
        <f t="shared" si="14"/>
        <v>32310</v>
      </c>
      <c r="Q5">
        <f t="shared" si="15"/>
        <v>34530</v>
      </c>
      <c r="R5">
        <f t="shared" si="16"/>
        <v>36750</v>
      </c>
      <c r="S5">
        <f t="shared" si="17"/>
        <v>39000</v>
      </c>
      <c r="T5">
        <f t="shared" si="18"/>
        <v>26000</v>
      </c>
      <c r="U5">
        <f t="shared" si="19"/>
        <v>29720</v>
      </c>
      <c r="V5">
        <f t="shared" si="20"/>
        <v>33440</v>
      </c>
      <c r="W5">
        <f t="shared" si="21"/>
        <v>37120</v>
      </c>
      <c r="X5">
        <f t="shared" si="22"/>
        <v>40120</v>
      </c>
      <c r="Y5">
        <f t="shared" si="23"/>
        <v>43080</v>
      </c>
      <c r="Z5">
        <f t="shared" si="24"/>
        <v>46040</v>
      </c>
      <c r="AA5">
        <f t="shared" si="25"/>
        <v>49000</v>
      </c>
      <c r="AB5">
        <f t="shared" si="26"/>
        <v>52000</v>
      </c>
      <c r="AC5" s="1664">
        <v>32500</v>
      </c>
      <c r="AD5" s="1664">
        <v>37150</v>
      </c>
      <c r="AE5" s="1664">
        <v>41800</v>
      </c>
      <c r="AF5" s="1664">
        <v>46400</v>
      </c>
      <c r="AG5" s="1664">
        <v>50150</v>
      </c>
      <c r="AH5" s="1664">
        <v>53850</v>
      </c>
      <c r="AI5" s="1664">
        <v>57550</v>
      </c>
      <c r="AJ5" s="1664">
        <v>61250</v>
      </c>
      <c r="AK5" s="1664">
        <v>65000</v>
      </c>
      <c r="AL5">
        <f t="shared" si="27"/>
        <v>39000</v>
      </c>
      <c r="AM5">
        <f t="shared" si="28"/>
        <v>44580</v>
      </c>
      <c r="AN5">
        <f t="shared" si="29"/>
        <v>50160</v>
      </c>
      <c r="AO5">
        <f t="shared" si="30"/>
        <v>55680</v>
      </c>
      <c r="AP5">
        <f t="shared" si="31"/>
        <v>60180</v>
      </c>
      <c r="AQ5">
        <f t="shared" si="32"/>
        <v>64620</v>
      </c>
      <c r="AR5">
        <f t="shared" si="33"/>
        <v>69060</v>
      </c>
      <c r="AS5">
        <f t="shared" si="34"/>
        <v>73500</v>
      </c>
      <c r="AT5">
        <f t="shared" si="35"/>
        <v>78000</v>
      </c>
      <c r="AU5">
        <f t="shared" si="36"/>
        <v>45500</v>
      </c>
      <c r="AV5">
        <f t="shared" si="37"/>
        <v>52010</v>
      </c>
      <c r="AW5">
        <f t="shared" si="38"/>
        <v>58519.999999999993</v>
      </c>
      <c r="AX5">
        <f t="shared" si="39"/>
        <v>64959.999999999993</v>
      </c>
      <c r="AY5">
        <f t="shared" si="40"/>
        <v>70210</v>
      </c>
      <c r="AZ5">
        <f t="shared" si="41"/>
        <v>75390</v>
      </c>
      <c r="BA5">
        <f t="shared" si="42"/>
        <v>80570</v>
      </c>
      <c r="BB5">
        <f t="shared" si="43"/>
        <v>85750</v>
      </c>
      <c r="BC5">
        <f t="shared" si="44"/>
        <v>91000</v>
      </c>
      <c r="BD5">
        <f t="shared" si="45"/>
        <v>52000</v>
      </c>
      <c r="BE5">
        <f t="shared" si="46"/>
        <v>59440</v>
      </c>
      <c r="BF5">
        <f t="shared" si="47"/>
        <v>66880</v>
      </c>
      <c r="BG5">
        <f t="shared" si="48"/>
        <v>74240</v>
      </c>
      <c r="BH5">
        <f t="shared" si="49"/>
        <v>80240</v>
      </c>
      <c r="BI5">
        <f t="shared" si="50"/>
        <v>86160</v>
      </c>
      <c r="BJ5">
        <f t="shared" si="51"/>
        <v>92080</v>
      </c>
      <c r="BK5">
        <f t="shared" si="52"/>
        <v>98000</v>
      </c>
      <c r="BL5">
        <f t="shared" si="53"/>
        <v>104000</v>
      </c>
    </row>
    <row r="6" spans="1:64" s="41" customFormat="1">
      <c r="A6" s="41" t="s">
        <v>336</v>
      </c>
      <c r="B6">
        <f t="shared" si="0"/>
        <v>13000</v>
      </c>
      <c r="C6">
        <f t="shared" si="1"/>
        <v>14860</v>
      </c>
      <c r="D6">
        <f t="shared" si="2"/>
        <v>16720</v>
      </c>
      <c r="E6">
        <f t="shared" si="3"/>
        <v>18560</v>
      </c>
      <c r="F6">
        <f t="shared" si="4"/>
        <v>20060</v>
      </c>
      <c r="G6">
        <f t="shared" si="5"/>
        <v>21540</v>
      </c>
      <c r="H6">
        <f t="shared" si="6"/>
        <v>23020</v>
      </c>
      <c r="I6">
        <f t="shared" si="7"/>
        <v>24500</v>
      </c>
      <c r="J6">
        <f t="shared" si="8"/>
        <v>26000</v>
      </c>
      <c r="K6">
        <f t="shared" si="9"/>
        <v>19500</v>
      </c>
      <c r="L6">
        <f t="shared" si="10"/>
        <v>22290</v>
      </c>
      <c r="M6">
        <f t="shared" si="11"/>
        <v>25080</v>
      </c>
      <c r="N6">
        <f t="shared" si="12"/>
        <v>27840</v>
      </c>
      <c r="O6">
        <f t="shared" si="13"/>
        <v>30090</v>
      </c>
      <c r="P6">
        <f t="shared" si="14"/>
        <v>32310</v>
      </c>
      <c r="Q6">
        <f t="shared" si="15"/>
        <v>34530</v>
      </c>
      <c r="R6">
        <f t="shared" si="16"/>
        <v>36750</v>
      </c>
      <c r="S6">
        <f t="shared" si="17"/>
        <v>39000</v>
      </c>
      <c r="T6">
        <f t="shared" si="18"/>
        <v>26000</v>
      </c>
      <c r="U6">
        <f t="shared" si="19"/>
        <v>29720</v>
      </c>
      <c r="V6">
        <f t="shared" si="20"/>
        <v>33440</v>
      </c>
      <c r="W6">
        <f t="shared" si="21"/>
        <v>37120</v>
      </c>
      <c r="X6">
        <f t="shared" si="22"/>
        <v>40120</v>
      </c>
      <c r="Y6">
        <f t="shared" si="23"/>
        <v>43080</v>
      </c>
      <c r="Z6">
        <f t="shared" si="24"/>
        <v>46040</v>
      </c>
      <c r="AA6">
        <f t="shared" si="25"/>
        <v>49000</v>
      </c>
      <c r="AB6">
        <f t="shared" si="26"/>
        <v>52000</v>
      </c>
      <c r="AC6" s="1664">
        <v>32500</v>
      </c>
      <c r="AD6" s="1664">
        <v>37150</v>
      </c>
      <c r="AE6" s="1664">
        <v>41800</v>
      </c>
      <c r="AF6" s="1664">
        <v>46400</v>
      </c>
      <c r="AG6" s="1664">
        <v>50150</v>
      </c>
      <c r="AH6" s="1664">
        <v>53850</v>
      </c>
      <c r="AI6" s="1664">
        <v>57550</v>
      </c>
      <c r="AJ6" s="1664">
        <v>61250</v>
      </c>
      <c r="AK6" s="1664">
        <v>65000</v>
      </c>
      <c r="AL6">
        <f t="shared" si="27"/>
        <v>39000</v>
      </c>
      <c r="AM6">
        <f t="shared" si="28"/>
        <v>44580</v>
      </c>
      <c r="AN6">
        <f t="shared" si="29"/>
        <v>50160</v>
      </c>
      <c r="AO6">
        <f t="shared" si="30"/>
        <v>55680</v>
      </c>
      <c r="AP6">
        <f t="shared" si="31"/>
        <v>60180</v>
      </c>
      <c r="AQ6">
        <f t="shared" si="32"/>
        <v>64620</v>
      </c>
      <c r="AR6">
        <f t="shared" si="33"/>
        <v>69060</v>
      </c>
      <c r="AS6">
        <f t="shared" si="34"/>
        <v>73500</v>
      </c>
      <c r="AT6">
        <f t="shared" si="35"/>
        <v>78000</v>
      </c>
      <c r="AU6">
        <f t="shared" si="36"/>
        <v>45500</v>
      </c>
      <c r="AV6">
        <f t="shared" si="37"/>
        <v>52010</v>
      </c>
      <c r="AW6">
        <f t="shared" si="38"/>
        <v>58519.999999999993</v>
      </c>
      <c r="AX6">
        <f t="shared" si="39"/>
        <v>64959.999999999993</v>
      </c>
      <c r="AY6">
        <f t="shared" si="40"/>
        <v>70210</v>
      </c>
      <c r="AZ6">
        <f t="shared" si="41"/>
        <v>75390</v>
      </c>
      <c r="BA6">
        <f t="shared" si="42"/>
        <v>80570</v>
      </c>
      <c r="BB6">
        <f t="shared" si="43"/>
        <v>85750</v>
      </c>
      <c r="BC6">
        <f t="shared" si="44"/>
        <v>91000</v>
      </c>
      <c r="BD6">
        <f t="shared" si="45"/>
        <v>52000</v>
      </c>
      <c r="BE6">
        <f t="shared" si="46"/>
        <v>59440</v>
      </c>
      <c r="BF6">
        <f t="shared" si="47"/>
        <v>66880</v>
      </c>
      <c r="BG6">
        <f t="shared" si="48"/>
        <v>74240</v>
      </c>
      <c r="BH6">
        <f t="shared" si="49"/>
        <v>80240</v>
      </c>
      <c r="BI6">
        <f t="shared" si="50"/>
        <v>86160</v>
      </c>
      <c r="BJ6">
        <f t="shared" si="51"/>
        <v>92080</v>
      </c>
      <c r="BK6">
        <f t="shared" si="52"/>
        <v>98000</v>
      </c>
      <c r="BL6">
        <f t="shared" si="53"/>
        <v>104000</v>
      </c>
    </row>
    <row r="7" spans="1:64">
      <c r="A7" s="41" t="s">
        <v>281</v>
      </c>
      <c r="B7">
        <f>AC7*0.4</f>
        <v>14980</v>
      </c>
      <c r="C7">
        <f t="shared" ref="C7:J11" si="54">AD7*0.4</f>
        <v>17120</v>
      </c>
      <c r="D7">
        <f t="shared" si="54"/>
        <v>19260</v>
      </c>
      <c r="E7">
        <f t="shared" si="54"/>
        <v>21400</v>
      </c>
      <c r="F7">
        <f t="shared" si="54"/>
        <v>23120</v>
      </c>
      <c r="G7">
        <f t="shared" si="54"/>
        <v>24820</v>
      </c>
      <c r="H7">
        <f t="shared" si="54"/>
        <v>26540</v>
      </c>
      <c r="I7">
        <f t="shared" si="54"/>
        <v>28260</v>
      </c>
      <c r="J7">
        <f t="shared" si="54"/>
        <v>29960</v>
      </c>
      <c r="K7">
        <f>0.6*AC7</f>
        <v>22470</v>
      </c>
      <c r="L7">
        <f t="shared" ref="L7:S11" si="55">0.6*AD7</f>
        <v>25680</v>
      </c>
      <c r="M7">
        <f t="shared" si="55"/>
        <v>28890</v>
      </c>
      <c r="N7">
        <f t="shared" si="55"/>
        <v>32100</v>
      </c>
      <c r="O7">
        <f t="shared" si="55"/>
        <v>34680</v>
      </c>
      <c r="P7">
        <f t="shared" si="55"/>
        <v>37230</v>
      </c>
      <c r="Q7">
        <f t="shared" si="55"/>
        <v>39810</v>
      </c>
      <c r="R7">
        <f t="shared" si="55"/>
        <v>42390</v>
      </c>
      <c r="S7">
        <f t="shared" si="55"/>
        <v>44940</v>
      </c>
      <c r="T7">
        <f>0.8*AC7</f>
        <v>29960</v>
      </c>
      <c r="U7">
        <f t="shared" ref="U7:AB11" si="56">0.8*AD7</f>
        <v>34240</v>
      </c>
      <c r="V7">
        <f t="shared" si="56"/>
        <v>38520</v>
      </c>
      <c r="W7">
        <f t="shared" si="56"/>
        <v>42800</v>
      </c>
      <c r="X7">
        <f t="shared" si="56"/>
        <v>46240</v>
      </c>
      <c r="Y7">
        <f t="shared" si="56"/>
        <v>49640</v>
      </c>
      <c r="Z7">
        <f t="shared" si="56"/>
        <v>53080</v>
      </c>
      <c r="AA7">
        <f t="shared" si="56"/>
        <v>56520</v>
      </c>
      <c r="AB7">
        <f t="shared" si="56"/>
        <v>59920</v>
      </c>
      <c r="AC7" s="298">
        <v>37450</v>
      </c>
      <c r="AD7" s="298">
        <v>42800</v>
      </c>
      <c r="AE7" s="298">
        <v>48150</v>
      </c>
      <c r="AF7" s="298">
        <v>53500</v>
      </c>
      <c r="AG7" s="298">
        <v>57800</v>
      </c>
      <c r="AH7" s="298">
        <v>62050</v>
      </c>
      <c r="AI7" s="298">
        <v>66350</v>
      </c>
      <c r="AJ7" s="298">
        <v>70650</v>
      </c>
      <c r="AK7" s="298">
        <v>74900</v>
      </c>
      <c r="AL7">
        <f>AC7*1.2</f>
        <v>44940</v>
      </c>
      <c r="AM7">
        <f t="shared" ref="AM7:AT11" si="57">AD7*1.2</f>
        <v>51360</v>
      </c>
      <c r="AN7">
        <f t="shared" si="57"/>
        <v>57780</v>
      </c>
      <c r="AO7">
        <f t="shared" si="57"/>
        <v>64200</v>
      </c>
      <c r="AP7">
        <f t="shared" si="57"/>
        <v>69360</v>
      </c>
      <c r="AQ7">
        <f t="shared" si="57"/>
        <v>74460</v>
      </c>
      <c r="AR7">
        <f t="shared" si="57"/>
        <v>79620</v>
      </c>
      <c r="AS7">
        <f t="shared" si="57"/>
        <v>84780</v>
      </c>
      <c r="AT7">
        <f t="shared" si="57"/>
        <v>89880</v>
      </c>
      <c r="AU7">
        <f>AC7*1.4</f>
        <v>52430</v>
      </c>
      <c r="AV7">
        <f t="shared" ref="AV7:BC11" si="58">AD7*1.4</f>
        <v>59919.999999999993</v>
      </c>
      <c r="AW7">
        <f t="shared" si="58"/>
        <v>67410</v>
      </c>
      <c r="AX7">
        <f t="shared" si="58"/>
        <v>74900</v>
      </c>
      <c r="AY7">
        <f t="shared" si="58"/>
        <v>80920</v>
      </c>
      <c r="AZ7">
        <f t="shared" si="58"/>
        <v>86870</v>
      </c>
      <c r="BA7">
        <f t="shared" si="58"/>
        <v>92890</v>
      </c>
      <c r="BB7">
        <f t="shared" si="58"/>
        <v>98910</v>
      </c>
      <c r="BC7">
        <f t="shared" si="58"/>
        <v>104860</v>
      </c>
      <c r="BD7">
        <f t="shared" ref="BD7:BL11" si="59">AC7*1.6</f>
        <v>59920</v>
      </c>
      <c r="BE7">
        <f t="shared" si="59"/>
        <v>68480</v>
      </c>
      <c r="BF7">
        <f t="shared" si="59"/>
        <v>77040</v>
      </c>
      <c r="BG7">
        <f t="shared" si="59"/>
        <v>85600</v>
      </c>
      <c r="BH7">
        <f t="shared" si="59"/>
        <v>92480</v>
      </c>
      <c r="BI7">
        <f t="shared" si="59"/>
        <v>99280</v>
      </c>
      <c r="BJ7">
        <f t="shared" si="59"/>
        <v>106160</v>
      </c>
      <c r="BK7">
        <f t="shared" si="59"/>
        <v>113040</v>
      </c>
      <c r="BL7">
        <f t="shared" si="59"/>
        <v>119840</v>
      </c>
    </row>
    <row r="8" spans="1:64">
      <c r="A8" s="41" t="s">
        <v>362</v>
      </c>
      <c r="B8">
        <f t="shared" ref="B8:B20" si="60">AC8*0.4</f>
        <v>13000</v>
      </c>
      <c r="C8">
        <f t="shared" si="54"/>
        <v>14860</v>
      </c>
      <c r="D8">
        <f t="shared" si="54"/>
        <v>16720</v>
      </c>
      <c r="E8">
        <f t="shared" si="54"/>
        <v>18560</v>
      </c>
      <c r="F8">
        <f t="shared" si="54"/>
        <v>20060</v>
      </c>
      <c r="G8">
        <f t="shared" si="54"/>
        <v>21540</v>
      </c>
      <c r="H8">
        <f t="shared" si="54"/>
        <v>23020</v>
      </c>
      <c r="I8">
        <f t="shared" si="54"/>
        <v>24500</v>
      </c>
      <c r="J8">
        <f t="shared" si="54"/>
        <v>26000</v>
      </c>
      <c r="K8">
        <f t="shared" ref="K8:K20" si="61">0.6*AC8</f>
        <v>19500</v>
      </c>
      <c r="L8">
        <f t="shared" si="55"/>
        <v>22290</v>
      </c>
      <c r="M8">
        <f t="shared" si="55"/>
        <v>25080</v>
      </c>
      <c r="N8">
        <f t="shared" si="55"/>
        <v>27840</v>
      </c>
      <c r="O8">
        <f t="shared" si="55"/>
        <v>30090</v>
      </c>
      <c r="P8">
        <f t="shared" si="55"/>
        <v>32310</v>
      </c>
      <c r="Q8">
        <f t="shared" si="55"/>
        <v>34530</v>
      </c>
      <c r="R8">
        <f t="shared" si="55"/>
        <v>36750</v>
      </c>
      <c r="S8">
        <f t="shared" si="55"/>
        <v>39000</v>
      </c>
      <c r="T8">
        <f t="shared" ref="T8:T20" si="62">0.8*AC8</f>
        <v>26000</v>
      </c>
      <c r="U8">
        <f t="shared" si="56"/>
        <v>29720</v>
      </c>
      <c r="V8">
        <f t="shared" si="56"/>
        <v>33440</v>
      </c>
      <c r="W8">
        <f t="shared" si="56"/>
        <v>37120</v>
      </c>
      <c r="X8">
        <f t="shared" si="56"/>
        <v>40120</v>
      </c>
      <c r="Y8">
        <f t="shared" si="56"/>
        <v>43080</v>
      </c>
      <c r="Z8">
        <f t="shared" si="56"/>
        <v>46040</v>
      </c>
      <c r="AA8">
        <f t="shared" si="56"/>
        <v>49000</v>
      </c>
      <c r="AB8">
        <f t="shared" si="56"/>
        <v>52000</v>
      </c>
      <c r="AC8" s="1664">
        <v>32500</v>
      </c>
      <c r="AD8" s="1664">
        <v>37150</v>
      </c>
      <c r="AE8" s="1664">
        <v>41800</v>
      </c>
      <c r="AF8" s="1664">
        <v>46400</v>
      </c>
      <c r="AG8" s="1664">
        <v>50150</v>
      </c>
      <c r="AH8" s="1664">
        <v>53850</v>
      </c>
      <c r="AI8" s="1664">
        <v>57550</v>
      </c>
      <c r="AJ8" s="1664">
        <v>61250</v>
      </c>
      <c r="AK8" s="1664">
        <v>65000</v>
      </c>
      <c r="AL8">
        <f t="shared" ref="AL8:AL9" si="63">AC8*1.2</f>
        <v>39000</v>
      </c>
      <c r="AM8">
        <f t="shared" ref="AM8:AM9" si="64">AD8*1.2</f>
        <v>44580</v>
      </c>
      <c r="AN8">
        <f t="shared" ref="AN8:AN9" si="65">AE8*1.2</f>
        <v>50160</v>
      </c>
      <c r="AO8">
        <f t="shared" ref="AO8:AO9" si="66">AF8*1.2</f>
        <v>55680</v>
      </c>
      <c r="AP8">
        <f t="shared" ref="AP8:AP9" si="67">AG8*1.2</f>
        <v>60180</v>
      </c>
      <c r="AQ8">
        <f t="shared" ref="AQ8:AQ9" si="68">AH8*1.2</f>
        <v>64620</v>
      </c>
      <c r="AR8">
        <f t="shared" ref="AR8:AR9" si="69">AI8*1.2</f>
        <v>69060</v>
      </c>
      <c r="AS8">
        <f t="shared" ref="AS8:AS9" si="70">AJ8*1.2</f>
        <v>73500</v>
      </c>
      <c r="AT8">
        <f t="shared" ref="AT8:AT9" si="71">AK8*1.2</f>
        <v>78000</v>
      </c>
      <c r="AU8">
        <f t="shared" ref="AU8:AU9" si="72">AC8*1.4</f>
        <v>45500</v>
      </c>
      <c r="AV8">
        <f t="shared" ref="AV8:AV9" si="73">AD8*1.4</f>
        <v>52010</v>
      </c>
      <c r="AW8">
        <f t="shared" ref="AW8:AW9" si="74">AE8*1.4</f>
        <v>58519.999999999993</v>
      </c>
      <c r="AX8">
        <f t="shared" ref="AX8:AX9" si="75">AF8*1.4</f>
        <v>64959.999999999993</v>
      </c>
      <c r="AY8">
        <f t="shared" ref="AY8:AY9" si="76">AG8*1.4</f>
        <v>70210</v>
      </c>
      <c r="AZ8">
        <f t="shared" ref="AZ8:AZ9" si="77">AH8*1.4</f>
        <v>75390</v>
      </c>
      <c r="BA8">
        <f t="shared" ref="BA8:BA9" si="78">AI8*1.4</f>
        <v>80570</v>
      </c>
      <c r="BB8">
        <f t="shared" ref="BB8:BB9" si="79">AJ8*1.4</f>
        <v>85750</v>
      </c>
      <c r="BC8">
        <f t="shared" ref="BC8:BC9" si="80">AK8*1.4</f>
        <v>91000</v>
      </c>
      <c r="BD8">
        <f t="shared" si="59"/>
        <v>52000</v>
      </c>
      <c r="BE8">
        <f t="shared" si="59"/>
        <v>59440</v>
      </c>
      <c r="BF8">
        <f t="shared" si="59"/>
        <v>66880</v>
      </c>
      <c r="BG8">
        <f t="shared" si="59"/>
        <v>74240</v>
      </c>
      <c r="BH8">
        <f t="shared" si="59"/>
        <v>80240</v>
      </c>
      <c r="BI8">
        <f t="shared" si="59"/>
        <v>86160</v>
      </c>
      <c r="BJ8">
        <f t="shared" si="59"/>
        <v>92080</v>
      </c>
      <c r="BK8">
        <f t="shared" si="59"/>
        <v>98000</v>
      </c>
      <c r="BL8">
        <f t="shared" si="59"/>
        <v>104000</v>
      </c>
    </row>
    <row r="9" spans="1:64">
      <c r="A9" s="41" t="s">
        <v>371</v>
      </c>
      <c r="B9">
        <f t="shared" si="60"/>
        <v>13000</v>
      </c>
      <c r="C9">
        <f t="shared" si="54"/>
        <v>14860</v>
      </c>
      <c r="D9">
        <f t="shared" si="54"/>
        <v>16720</v>
      </c>
      <c r="E9">
        <f t="shared" si="54"/>
        <v>18560</v>
      </c>
      <c r="F9">
        <f t="shared" si="54"/>
        <v>20060</v>
      </c>
      <c r="G9">
        <f t="shared" si="54"/>
        <v>21540</v>
      </c>
      <c r="H9">
        <f t="shared" si="54"/>
        <v>23020</v>
      </c>
      <c r="I9">
        <f t="shared" si="54"/>
        <v>24500</v>
      </c>
      <c r="J9">
        <f t="shared" si="54"/>
        <v>26000</v>
      </c>
      <c r="K9">
        <f t="shared" si="61"/>
        <v>19500</v>
      </c>
      <c r="L9">
        <f t="shared" si="55"/>
        <v>22290</v>
      </c>
      <c r="M9">
        <f t="shared" si="55"/>
        <v>25080</v>
      </c>
      <c r="N9">
        <f t="shared" si="55"/>
        <v>27840</v>
      </c>
      <c r="O9">
        <f t="shared" si="55"/>
        <v>30090</v>
      </c>
      <c r="P9">
        <f t="shared" si="55"/>
        <v>32310</v>
      </c>
      <c r="Q9">
        <f t="shared" si="55"/>
        <v>34530</v>
      </c>
      <c r="R9">
        <f t="shared" si="55"/>
        <v>36750</v>
      </c>
      <c r="S9">
        <f t="shared" si="55"/>
        <v>39000</v>
      </c>
      <c r="T9">
        <f t="shared" si="62"/>
        <v>26000</v>
      </c>
      <c r="U9">
        <f t="shared" si="56"/>
        <v>29720</v>
      </c>
      <c r="V9">
        <f t="shared" si="56"/>
        <v>33440</v>
      </c>
      <c r="W9">
        <f t="shared" si="56"/>
        <v>37120</v>
      </c>
      <c r="X9">
        <f t="shared" si="56"/>
        <v>40120</v>
      </c>
      <c r="Y9">
        <f t="shared" si="56"/>
        <v>43080</v>
      </c>
      <c r="Z9">
        <f t="shared" si="56"/>
        <v>46040</v>
      </c>
      <c r="AA9">
        <f t="shared" si="56"/>
        <v>49000</v>
      </c>
      <c r="AB9">
        <f t="shared" si="56"/>
        <v>52000</v>
      </c>
      <c r="AC9" s="1664">
        <v>32500</v>
      </c>
      <c r="AD9" s="1664">
        <v>37150</v>
      </c>
      <c r="AE9" s="1664">
        <v>41800</v>
      </c>
      <c r="AF9" s="1664">
        <v>46400</v>
      </c>
      <c r="AG9" s="1664">
        <v>50150</v>
      </c>
      <c r="AH9" s="1664">
        <v>53850</v>
      </c>
      <c r="AI9" s="1664">
        <v>57550</v>
      </c>
      <c r="AJ9" s="1664">
        <v>61250</v>
      </c>
      <c r="AK9" s="1664">
        <v>65000</v>
      </c>
      <c r="AL9">
        <f t="shared" si="63"/>
        <v>39000</v>
      </c>
      <c r="AM9">
        <f t="shared" si="64"/>
        <v>44580</v>
      </c>
      <c r="AN9">
        <f t="shared" si="65"/>
        <v>50160</v>
      </c>
      <c r="AO9">
        <f t="shared" si="66"/>
        <v>55680</v>
      </c>
      <c r="AP9">
        <f t="shared" si="67"/>
        <v>60180</v>
      </c>
      <c r="AQ9">
        <f t="shared" si="68"/>
        <v>64620</v>
      </c>
      <c r="AR9">
        <f t="shared" si="69"/>
        <v>69060</v>
      </c>
      <c r="AS9">
        <f t="shared" si="70"/>
        <v>73500</v>
      </c>
      <c r="AT9">
        <f t="shared" si="71"/>
        <v>78000</v>
      </c>
      <c r="AU9">
        <f t="shared" si="72"/>
        <v>45500</v>
      </c>
      <c r="AV9">
        <f t="shared" si="73"/>
        <v>52010</v>
      </c>
      <c r="AW9">
        <f t="shared" si="74"/>
        <v>58519.999999999993</v>
      </c>
      <c r="AX9">
        <f t="shared" si="75"/>
        <v>64959.999999999993</v>
      </c>
      <c r="AY9">
        <f t="shared" si="76"/>
        <v>70210</v>
      </c>
      <c r="AZ9">
        <f t="shared" si="77"/>
        <v>75390</v>
      </c>
      <c r="BA9">
        <f t="shared" si="78"/>
        <v>80570</v>
      </c>
      <c r="BB9">
        <f t="shared" si="79"/>
        <v>85750</v>
      </c>
      <c r="BC9">
        <f t="shared" si="80"/>
        <v>91000</v>
      </c>
      <c r="BD9">
        <f t="shared" si="59"/>
        <v>52000</v>
      </c>
      <c r="BE9">
        <f t="shared" si="59"/>
        <v>59440</v>
      </c>
      <c r="BF9">
        <f t="shared" si="59"/>
        <v>66880</v>
      </c>
      <c r="BG9">
        <f t="shared" si="59"/>
        <v>74240</v>
      </c>
      <c r="BH9">
        <f t="shared" si="59"/>
        <v>80240</v>
      </c>
      <c r="BI9">
        <f t="shared" si="59"/>
        <v>86160</v>
      </c>
      <c r="BJ9">
        <f t="shared" si="59"/>
        <v>92080</v>
      </c>
      <c r="BK9">
        <f t="shared" si="59"/>
        <v>98000</v>
      </c>
      <c r="BL9">
        <f t="shared" si="59"/>
        <v>104000</v>
      </c>
    </row>
    <row r="10" spans="1:64">
      <c r="A10" s="41" t="s">
        <v>307</v>
      </c>
      <c r="B10">
        <f t="shared" si="60"/>
        <v>15620</v>
      </c>
      <c r="C10">
        <f t="shared" si="54"/>
        <v>17840</v>
      </c>
      <c r="D10">
        <f t="shared" si="54"/>
        <v>20080</v>
      </c>
      <c r="E10">
        <f t="shared" si="54"/>
        <v>22300</v>
      </c>
      <c r="F10">
        <f t="shared" si="54"/>
        <v>24100</v>
      </c>
      <c r="G10">
        <f t="shared" si="54"/>
        <v>25880</v>
      </c>
      <c r="H10">
        <f t="shared" si="54"/>
        <v>27660</v>
      </c>
      <c r="I10">
        <f t="shared" si="54"/>
        <v>29440</v>
      </c>
      <c r="J10">
        <f t="shared" si="54"/>
        <v>31220</v>
      </c>
      <c r="K10">
        <f t="shared" si="61"/>
        <v>23430</v>
      </c>
      <c r="L10">
        <f t="shared" si="55"/>
        <v>26760</v>
      </c>
      <c r="M10">
        <f t="shared" si="55"/>
        <v>30120</v>
      </c>
      <c r="N10">
        <f t="shared" si="55"/>
        <v>33450</v>
      </c>
      <c r="O10">
        <f t="shared" si="55"/>
        <v>36150</v>
      </c>
      <c r="P10">
        <f t="shared" si="55"/>
        <v>38820</v>
      </c>
      <c r="Q10">
        <f t="shared" si="55"/>
        <v>41490</v>
      </c>
      <c r="R10">
        <f t="shared" si="55"/>
        <v>44160</v>
      </c>
      <c r="S10">
        <f t="shared" si="55"/>
        <v>46830</v>
      </c>
      <c r="T10">
        <f t="shared" si="62"/>
        <v>31240</v>
      </c>
      <c r="U10">
        <f t="shared" si="56"/>
        <v>35680</v>
      </c>
      <c r="V10">
        <f t="shared" si="56"/>
        <v>40160</v>
      </c>
      <c r="W10">
        <f t="shared" si="56"/>
        <v>44600</v>
      </c>
      <c r="X10">
        <f t="shared" si="56"/>
        <v>48200</v>
      </c>
      <c r="Y10">
        <f t="shared" si="56"/>
        <v>51760</v>
      </c>
      <c r="Z10">
        <f t="shared" si="56"/>
        <v>55320</v>
      </c>
      <c r="AA10">
        <f t="shared" si="56"/>
        <v>58880</v>
      </c>
      <c r="AB10">
        <f t="shared" si="56"/>
        <v>62440</v>
      </c>
      <c r="AC10" s="298">
        <v>39050</v>
      </c>
      <c r="AD10" s="298">
        <v>44600</v>
      </c>
      <c r="AE10" s="298">
        <v>50200</v>
      </c>
      <c r="AF10" s="298">
        <v>55750</v>
      </c>
      <c r="AG10" s="298">
        <v>60250</v>
      </c>
      <c r="AH10" s="298">
        <v>64700</v>
      </c>
      <c r="AI10" s="298">
        <v>69150</v>
      </c>
      <c r="AJ10" s="298">
        <v>73600</v>
      </c>
      <c r="AK10" s="298">
        <v>78050</v>
      </c>
      <c r="AL10">
        <f t="shared" ref="AL10:AL11" si="81">AC10*1.2</f>
        <v>46860</v>
      </c>
      <c r="AM10">
        <f t="shared" si="57"/>
        <v>53520</v>
      </c>
      <c r="AN10">
        <f t="shared" si="57"/>
        <v>60240</v>
      </c>
      <c r="AO10">
        <f t="shared" si="57"/>
        <v>66900</v>
      </c>
      <c r="AP10">
        <f t="shared" si="57"/>
        <v>72300</v>
      </c>
      <c r="AQ10">
        <f t="shared" si="57"/>
        <v>77640</v>
      </c>
      <c r="AR10">
        <f t="shared" si="57"/>
        <v>82980</v>
      </c>
      <c r="AS10">
        <f t="shared" si="57"/>
        <v>88320</v>
      </c>
      <c r="AT10">
        <f t="shared" si="57"/>
        <v>93660</v>
      </c>
      <c r="AU10">
        <f t="shared" ref="AU10:AU11" si="82">AC10*1.4</f>
        <v>54670</v>
      </c>
      <c r="AV10">
        <f t="shared" si="58"/>
        <v>62439.999999999993</v>
      </c>
      <c r="AW10">
        <f t="shared" si="58"/>
        <v>70280</v>
      </c>
      <c r="AX10">
        <f t="shared" si="58"/>
        <v>78050</v>
      </c>
      <c r="AY10">
        <f t="shared" si="58"/>
        <v>84350</v>
      </c>
      <c r="AZ10">
        <f t="shared" si="58"/>
        <v>90580</v>
      </c>
      <c r="BA10">
        <f t="shared" si="58"/>
        <v>96810</v>
      </c>
      <c r="BB10">
        <f t="shared" si="58"/>
        <v>103040</v>
      </c>
      <c r="BC10">
        <f t="shared" si="58"/>
        <v>109270</v>
      </c>
      <c r="BD10">
        <f t="shared" si="59"/>
        <v>62480</v>
      </c>
      <c r="BE10">
        <f t="shared" si="59"/>
        <v>71360</v>
      </c>
      <c r="BF10">
        <f t="shared" si="59"/>
        <v>80320</v>
      </c>
      <c r="BG10">
        <f t="shared" si="59"/>
        <v>89200</v>
      </c>
      <c r="BH10">
        <f t="shared" si="59"/>
        <v>96400</v>
      </c>
      <c r="BI10">
        <f t="shared" si="59"/>
        <v>103520</v>
      </c>
      <c r="BJ10">
        <f t="shared" si="59"/>
        <v>110640</v>
      </c>
      <c r="BK10">
        <f t="shared" si="59"/>
        <v>117760</v>
      </c>
      <c r="BL10">
        <f t="shared" si="59"/>
        <v>124880</v>
      </c>
    </row>
    <row r="11" spans="1:64">
      <c r="A11" s="41" t="s">
        <v>329</v>
      </c>
      <c r="B11">
        <f t="shared" si="60"/>
        <v>14460</v>
      </c>
      <c r="C11">
        <f t="shared" si="54"/>
        <v>16520</v>
      </c>
      <c r="D11">
        <f t="shared" si="54"/>
        <v>18580</v>
      </c>
      <c r="E11">
        <f t="shared" si="54"/>
        <v>20640</v>
      </c>
      <c r="F11">
        <f t="shared" si="54"/>
        <v>22300</v>
      </c>
      <c r="G11">
        <f t="shared" si="54"/>
        <v>23960</v>
      </c>
      <c r="H11">
        <f t="shared" si="54"/>
        <v>25600</v>
      </c>
      <c r="I11">
        <f t="shared" si="54"/>
        <v>27260</v>
      </c>
      <c r="J11">
        <f t="shared" si="54"/>
        <v>28900</v>
      </c>
      <c r="K11">
        <f t="shared" si="61"/>
        <v>21690</v>
      </c>
      <c r="L11">
        <f t="shared" si="55"/>
        <v>24780</v>
      </c>
      <c r="M11">
        <f t="shared" si="55"/>
        <v>27870</v>
      </c>
      <c r="N11">
        <f t="shared" si="55"/>
        <v>30960</v>
      </c>
      <c r="O11">
        <f t="shared" si="55"/>
        <v>33450</v>
      </c>
      <c r="P11">
        <f t="shared" si="55"/>
        <v>35940</v>
      </c>
      <c r="Q11">
        <f t="shared" si="55"/>
        <v>38400</v>
      </c>
      <c r="R11">
        <f t="shared" si="55"/>
        <v>40890</v>
      </c>
      <c r="S11">
        <f t="shared" si="55"/>
        <v>43350</v>
      </c>
      <c r="T11">
        <f t="shared" si="62"/>
        <v>28920</v>
      </c>
      <c r="U11">
        <f t="shared" si="56"/>
        <v>33040</v>
      </c>
      <c r="V11">
        <f t="shared" si="56"/>
        <v>37160</v>
      </c>
      <c r="W11">
        <f t="shared" si="56"/>
        <v>41280</v>
      </c>
      <c r="X11">
        <f t="shared" si="56"/>
        <v>44600</v>
      </c>
      <c r="Y11">
        <f t="shared" si="56"/>
        <v>47920</v>
      </c>
      <c r="Z11">
        <f t="shared" si="56"/>
        <v>51200</v>
      </c>
      <c r="AA11">
        <f t="shared" si="56"/>
        <v>54520</v>
      </c>
      <c r="AB11">
        <f t="shared" si="56"/>
        <v>57800</v>
      </c>
      <c r="AC11" s="298">
        <v>36150</v>
      </c>
      <c r="AD11" s="298">
        <v>41300</v>
      </c>
      <c r="AE11" s="298">
        <v>46450</v>
      </c>
      <c r="AF11" s="298">
        <v>51600</v>
      </c>
      <c r="AG11" s="298">
        <v>55750</v>
      </c>
      <c r="AH11" s="298">
        <v>59900</v>
      </c>
      <c r="AI11" s="298">
        <v>64000</v>
      </c>
      <c r="AJ11" s="298">
        <v>68150</v>
      </c>
      <c r="AK11" s="298">
        <v>72250</v>
      </c>
      <c r="AL11">
        <f t="shared" si="81"/>
        <v>43380</v>
      </c>
      <c r="AM11">
        <f t="shared" si="57"/>
        <v>49560</v>
      </c>
      <c r="AN11">
        <f t="shared" si="57"/>
        <v>55740</v>
      </c>
      <c r="AO11">
        <f t="shared" si="57"/>
        <v>61920</v>
      </c>
      <c r="AP11">
        <f t="shared" si="57"/>
        <v>66900</v>
      </c>
      <c r="AQ11">
        <f t="shared" si="57"/>
        <v>71880</v>
      </c>
      <c r="AR11">
        <f t="shared" si="57"/>
        <v>76800</v>
      </c>
      <c r="AS11">
        <f t="shared" si="57"/>
        <v>81780</v>
      </c>
      <c r="AT11">
        <f t="shared" si="57"/>
        <v>86700</v>
      </c>
      <c r="AU11">
        <f t="shared" si="82"/>
        <v>50610</v>
      </c>
      <c r="AV11">
        <f t="shared" si="58"/>
        <v>57819.999999999993</v>
      </c>
      <c r="AW11">
        <f t="shared" si="58"/>
        <v>65029.999999999993</v>
      </c>
      <c r="AX11">
        <f t="shared" si="58"/>
        <v>72240</v>
      </c>
      <c r="AY11">
        <f t="shared" si="58"/>
        <v>78050</v>
      </c>
      <c r="AZ11">
        <f t="shared" si="58"/>
        <v>83860</v>
      </c>
      <c r="BA11">
        <f t="shared" si="58"/>
        <v>89600</v>
      </c>
      <c r="BB11">
        <f t="shared" si="58"/>
        <v>95410</v>
      </c>
      <c r="BC11">
        <f t="shared" si="58"/>
        <v>101150</v>
      </c>
      <c r="BD11">
        <f t="shared" si="59"/>
        <v>57840</v>
      </c>
      <c r="BE11">
        <f t="shared" si="59"/>
        <v>66080</v>
      </c>
      <c r="BF11">
        <f t="shared" si="59"/>
        <v>74320</v>
      </c>
      <c r="BG11">
        <f t="shared" si="59"/>
        <v>82560</v>
      </c>
      <c r="BH11">
        <f t="shared" si="59"/>
        <v>89200</v>
      </c>
      <c r="BI11">
        <f t="shared" si="59"/>
        <v>95840</v>
      </c>
      <c r="BJ11">
        <f t="shared" si="59"/>
        <v>102400</v>
      </c>
      <c r="BK11">
        <f t="shared" si="59"/>
        <v>109040</v>
      </c>
      <c r="BL11">
        <f t="shared" si="59"/>
        <v>115600</v>
      </c>
    </row>
    <row r="12" spans="1:64">
      <c r="A12" s="41" t="s">
        <v>387</v>
      </c>
      <c r="B12">
        <f t="shared" si="60"/>
        <v>13000</v>
      </c>
      <c r="C12">
        <f t="shared" ref="C12:C24" si="83">AD12*0.4</f>
        <v>14860</v>
      </c>
      <c r="D12">
        <f t="shared" ref="D12:D24" si="84">AE12*0.4</f>
        <v>16720</v>
      </c>
      <c r="E12">
        <f t="shared" ref="E12:E24" si="85">AF12*0.4</f>
        <v>18560</v>
      </c>
      <c r="F12">
        <f t="shared" ref="F12:F24" si="86">AG12*0.4</f>
        <v>20060</v>
      </c>
      <c r="G12">
        <f t="shared" ref="G12:G24" si="87">AH12*0.4</f>
        <v>21540</v>
      </c>
      <c r="H12">
        <f t="shared" ref="H12:H24" si="88">AI12*0.4</f>
        <v>23020</v>
      </c>
      <c r="I12">
        <f t="shared" ref="I12:I24" si="89">AJ12*0.4</f>
        <v>24500</v>
      </c>
      <c r="J12">
        <f t="shared" ref="J12:J24" si="90">AK12*0.4</f>
        <v>26000</v>
      </c>
      <c r="K12">
        <f t="shared" si="61"/>
        <v>19500</v>
      </c>
      <c r="L12">
        <f t="shared" ref="L12:L24" si="91">0.6*AD12</f>
        <v>22290</v>
      </c>
      <c r="M12">
        <f t="shared" ref="M12:M24" si="92">0.6*AE12</f>
        <v>25080</v>
      </c>
      <c r="N12">
        <f t="shared" ref="N12:N24" si="93">0.6*AF12</f>
        <v>27840</v>
      </c>
      <c r="O12">
        <f t="shared" ref="O12:O24" si="94">0.6*AG12</f>
        <v>30090</v>
      </c>
      <c r="P12">
        <f t="shared" ref="P12:P24" si="95">0.6*AH12</f>
        <v>32310</v>
      </c>
      <c r="Q12">
        <f t="shared" ref="Q12:Q24" si="96">0.6*AI12</f>
        <v>34530</v>
      </c>
      <c r="R12">
        <f t="shared" ref="R12:R24" si="97">0.6*AJ12</f>
        <v>36750</v>
      </c>
      <c r="S12">
        <f t="shared" ref="S12:S24" si="98">0.6*AK12</f>
        <v>39000</v>
      </c>
      <c r="T12">
        <f t="shared" si="62"/>
        <v>26000</v>
      </c>
      <c r="U12">
        <f t="shared" ref="U12:U24" si="99">0.8*AD12</f>
        <v>29720</v>
      </c>
      <c r="V12">
        <f t="shared" ref="V12:V24" si="100">0.8*AE12</f>
        <v>33440</v>
      </c>
      <c r="W12">
        <f t="shared" ref="W12:W24" si="101">0.8*AF12</f>
        <v>37120</v>
      </c>
      <c r="X12">
        <f t="shared" ref="X12:X24" si="102">0.8*AG12</f>
        <v>40120</v>
      </c>
      <c r="Y12">
        <f t="shared" ref="Y12:Y24" si="103">0.8*AH12</f>
        <v>43080</v>
      </c>
      <c r="Z12">
        <f t="shared" ref="Z12:Z24" si="104">0.8*AI12</f>
        <v>46040</v>
      </c>
      <c r="AA12">
        <f t="shared" ref="AA12:AA24" si="105">0.8*AJ12</f>
        <v>49000</v>
      </c>
      <c r="AB12">
        <f t="shared" ref="AB12:AB24" si="106">0.8*AK12</f>
        <v>52000</v>
      </c>
      <c r="AC12" s="1664">
        <v>32500</v>
      </c>
      <c r="AD12" s="1664">
        <v>37150</v>
      </c>
      <c r="AE12" s="1664">
        <v>41800</v>
      </c>
      <c r="AF12" s="1664">
        <v>46400</v>
      </c>
      <c r="AG12" s="1664">
        <v>50150</v>
      </c>
      <c r="AH12" s="1664">
        <v>53850</v>
      </c>
      <c r="AI12" s="1664">
        <v>57550</v>
      </c>
      <c r="AJ12" s="1664">
        <v>61250</v>
      </c>
      <c r="AK12" s="1664">
        <v>65000</v>
      </c>
      <c r="AL12">
        <f t="shared" ref="AL12:AL14" si="107">AC12*1.2</f>
        <v>39000</v>
      </c>
      <c r="AM12">
        <f t="shared" ref="AM12:AM14" si="108">AD12*1.2</f>
        <v>44580</v>
      </c>
      <c r="AN12">
        <f t="shared" ref="AN12:AN14" si="109">AE12*1.2</f>
        <v>50160</v>
      </c>
      <c r="AO12">
        <f t="shared" ref="AO12:AO14" si="110">AF12*1.2</f>
        <v>55680</v>
      </c>
      <c r="AP12">
        <f t="shared" ref="AP12:AP14" si="111">AG12*1.2</f>
        <v>60180</v>
      </c>
      <c r="AQ12">
        <f t="shared" ref="AQ12:AQ14" si="112">AH12*1.2</f>
        <v>64620</v>
      </c>
      <c r="AR12">
        <f t="shared" ref="AR12:AR14" si="113">AI12*1.2</f>
        <v>69060</v>
      </c>
      <c r="AS12">
        <f t="shared" ref="AS12:AS14" si="114">AJ12*1.2</f>
        <v>73500</v>
      </c>
      <c r="AT12">
        <f t="shared" ref="AT12:AT14" si="115">AK12*1.2</f>
        <v>78000</v>
      </c>
      <c r="AU12">
        <f t="shared" ref="AU12:AU14" si="116">AC12*1.4</f>
        <v>45500</v>
      </c>
      <c r="AV12">
        <f t="shared" ref="AV12:AV14" si="117">AD12*1.4</f>
        <v>52010</v>
      </c>
      <c r="AW12">
        <f t="shared" ref="AW12:AW14" si="118">AE12*1.4</f>
        <v>58519.999999999993</v>
      </c>
      <c r="AX12">
        <f t="shared" ref="AX12:AX14" si="119">AF12*1.4</f>
        <v>64959.999999999993</v>
      </c>
      <c r="AY12">
        <f t="shared" ref="AY12:AY14" si="120">AG12*1.4</f>
        <v>70210</v>
      </c>
      <c r="AZ12">
        <f t="shared" ref="AZ12:AZ14" si="121">AH12*1.4</f>
        <v>75390</v>
      </c>
      <c r="BA12">
        <f t="shared" ref="BA12:BA14" si="122">AI12*1.4</f>
        <v>80570</v>
      </c>
      <c r="BB12">
        <f t="shared" ref="BB12:BB14" si="123">AJ12*1.4</f>
        <v>85750</v>
      </c>
      <c r="BC12">
        <f t="shared" ref="BC12:BC14" si="124">AK12*1.4</f>
        <v>91000</v>
      </c>
      <c r="BD12">
        <f t="shared" ref="BD12:BD21" si="125">AC12*1.6</f>
        <v>52000</v>
      </c>
      <c r="BE12">
        <f t="shared" ref="BE12:BE21" si="126">AD12*1.6</f>
        <v>59440</v>
      </c>
      <c r="BF12">
        <f t="shared" ref="BF12:BF21" si="127">AE12*1.6</f>
        <v>66880</v>
      </c>
      <c r="BG12">
        <f t="shared" ref="BG12:BG21" si="128">AF12*1.6</f>
        <v>74240</v>
      </c>
      <c r="BH12">
        <f t="shared" ref="BH12:BH21" si="129">AG12*1.6</f>
        <v>80240</v>
      </c>
      <c r="BI12">
        <f t="shared" ref="BI12:BI21" si="130">AH12*1.6</f>
        <v>86160</v>
      </c>
      <c r="BJ12">
        <f t="shared" ref="BJ12:BJ21" si="131">AI12*1.6</f>
        <v>92080</v>
      </c>
      <c r="BK12">
        <f t="shared" ref="BK12:BK21" si="132">AJ12*1.6</f>
        <v>98000</v>
      </c>
      <c r="BL12">
        <f t="shared" ref="BL12:BL21" si="133">AK12*1.6</f>
        <v>104000</v>
      </c>
    </row>
    <row r="13" spans="1:64">
      <c r="A13" s="41" t="s">
        <v>346</v>
      </c>
      <c r="B13">
        <f t="shared" si="60"/>
        <v>14860</v>
      </c>
      <c r="C13">
        <f t="shared" si="83"/>
        <v>16980</v>
      </c>
      <c r="D13">
        <f t="shared" si="84"/>
        <v>19100</v>
      </c>
      <c r="E13">
        <f t="shared" si="85"/>
        <v>21220</v>
      </c>
      <c r="F13">
        <f t="shared" si="86"/>
        <v>22920</v>
      </c>
      <c r="G13">
        <f t="shared" si="87"/>
        <v>24620</v>
      </c>
      <c r="H13">
        <f t="shared" si="88"/>
        <v>26320</v>
      </c>
      <c r="I13">
        <f t="shared" si="89"/>
        <v>28020</v>
      </c>
      <c r="J13">
        <f t="shared" si="90"/>
        <v>29720</v>
      </c>
      <c r="K13">
        <f t="shared" si="61"/>
        <v>22290</v>
      </c>
      <c r="L13">
        <f t="shared" si="91"/>
        <v>25470</v>
      </c>
      <c r="M13">
        <f t="shared" si="92"/>
        <v>28650</v>
      </c>
      <c r="N13">
        <f t="shared" si="93"/>
        <v>31830</v>
      </c>
      <c r="O13">
        <f t="shared" si="94"/>
        <v>34380</v>
      </c>
      <c r="P13">
        <f t="shared" si="95"/>
        <v>36930</v>
      </c>
      <c r="Q13">
        <f t="shared" si="96"/>
        <v>39480</v>
      </c>
      <c r="R13">
        <f t="shared" si="97"/>
        <v>42030</v>
      </c>
      <c r="S13">
        <f t="shared" si="98"/>
        <v>44580</v>
      </c>
      <c r="T13">
        <f t="shared" si="62"/>
        <v>29720</v>
      </c>
      <c r="U13">
        <f t="shared" si="99"/>
        <v>33960</v>
      </c>
      <c r="V13">
        <f t="shared" si="100"/>
        <v>38200</v>
      </c>
      <c r="W13">
        <f t="shared" si="101"/>
        <v>42440</v>
      </c>
      <c r="X13">
        <f t="shared" si="102"/>
        <v>45840</v>
      </c>
      <c r="Y13">
        <f t="shared" si="103"/>
        <v>49240</v>
      </c>
      <c r="Z13">
        <f t="shared" si="104"/>
        <v>52640</v>
      </c>
      <c r="AA13">
        <f t="shared" si="105"/>
        <v>56040</v>
      </c>
      <c r="AB13">
        <f t="shared" si="106"/>
        <v>59440</v>
      </c>
      <c r="AC13" s="298">
        <v>37150</v>
      </c>
      <c r="AD13" s="298">
        <v>42450</v>
      </c>
      <c r="AE13" s="298">
        <v>47750</v>
      </c>
      <c r="AF13" s="298">
        <v>53050</v>
      </c>
      <c r="AG13" s="298">
        <v>57300</v>
      </c>
      <c r="AH13" s="298">
        <v>61550</v>
      </c>
      <c r="AI13" s="298">
        <v>65800</v>
      </c>
      <c r="AJ13" s="298">
        <v>70050</v>
      </c>
      <c r="AK13" s="298">
        <v>74300</v>
      </c>
      <c r="AL13">
        <f t="shared" si="107"/>
        <v>44580</v>
      </c>
      <c r="AM13">
        <f t="shared" si="108"/>
        <v>50940</v>
      </c>
      <c r="AN13">
        <f t="shared" si="109"/>
        <v>57300</v>
      </c>
      <c r="AO13">
        <f t="shared" si="110"/>
        <v>63660</v>
      </c>
      <c r="AP13">
        <f t="shared" si="111"/>
        <v>68760</v>
      </c>
      <c r="AQ13">
        <f t="shared" si="112"/>
        <v>73860</v>
      </c>
      <c r="AR13">
        <f t="shared" si="113"/>
        <v>78960</v>
      </c>
      <c r="AS13">
        <f t="shared" si="114"/>
        <v>84060</v>
      </c>
      <c r="AT13">
        <f t="shared" si="115"/>
        <v>89160</v>
      </c>
      <c r="AU13">
        <f t="shared" si="116"/>
        <v>52010</v>
      </c>
      <c r="AV13">
        <f t="shared" si="117"/>
        <v>59429.999999999993</v>
      </c>
      <c r="AW13">
        <f t="shared" si="118"/>
        <v>66850</v>
      </c>
      <c r="AX13">
        <f t="shared" si="119"/>
        <v>74270</v>
      </c>
      <c r="AY13">
        <f t="shared" si="120"/>
        <v>80220</v>
      </c>
      <c r="AZ13">
        <f t="shared" si="121"/>
        <v>86170</v>
      </c>
      <c r="BA13">
        <f t="shared" si="122"/>
        <v>92120</v>
      </c>
      <c r="BB13">
        <f t="shared" si="123"/>
        <v>98070</v>
      </c>
      <c r="BC13">
        <f t="shared" si="124"/>
        <v>104020</v>
      </c>
      <c r="BD13">
        <f t="shared" si="125"/>
        <v>59440</v>
      </c>
      <c r="BE13">
        <f t="shared" si="126"/>
        <v>67920</v>
      </c>
      <c r="BF13">
        <f t="shared" si="127"/>
        <v>76400</v>
      </c>
      <c r="BG13">
        <f t="shared" si="128"/>
        <v>84880</v>
      </c>
      <c r="BH13">
        <f t="shared" si="129"/>
        <v>91680</v>
      </c>
      <c r="BI13">
        <f t="shared" si="130"/>
        <v>98480</v>
      </c>
      <c r="BJ13">
        <f t="shared" si="131"/>
        <v>105280</v>
      </c>
      <c r="BK13">
        <f t="shared" si="132"/>
        <v>112080</v>
      </c>
      <c r="BL13">
        <f t="shared" si="133"/>
        <v>118880</v>
      </c>
    </row>
    <row r="14" spans="1:64">
      <c r="A14" s="41" t="s">
        <v>395</v>
      </c>
      <c r="B14">
        <f t="shared" si="60"/>
        <v>13000</v>
      </c>
      <c r="C14">
        <f t="shared" si="83"/>
        <v>14860</v>
      </c>
      <c r="D14">
        <f t="shared" si="84"/>
        <v>16720</v>
      </c>
      <c r="E14">
        <f t="shared" si="85"/>
        <v>18560</v>
      </c>
      <c r="F14">
        <f t="shared" si="86"/>
        <v>20060</v>
      </c>
      <c r="G14">
        <f t="shared" si="87"/>
        <v>21540</v>
      </c>
      <c r="H14">
        <f t="shared" si="88"/>
        <v>23020</v>
      </c>
      <c r="I14">
        <f t="shared" si="89"/>
        <v>24500</v>
      </c>
      <c r="J14">
        <f t="shared" si="90"/>
        <v>26000</v>
      </c>
      <c r="K14">
        <f t="shared" si="61"/>
        <v>19500</v>
      </c>
      <c r="L14">
        <f t="shared" si="91"/>
        <v>22290</v>
      </c>
      <c r="M14">
        <f t="shared" si="92"/>
        <v>25080</v>
      </c>
      <c r="N14">
        <f t="shared" si="93"/>
        <v>27840</v>
      </c>
      <c r="O14">
        <f t="shared" si="94"/>
        <v>30090</v>
      </c>
      <c r="P14">
        <f t="shared" si="95"/>
        <v>32310</v>
      </c>
      <c r="Q14">
        <f t="shared" si="96"/>
        <v>34530</v>
      </c>
      <c r="R14">
        <f t="shared" si="97"/>
        <v>36750</v>
      </c>
      <c r="S14">
        <f t="shared" si="98"/>
        <v>39000</v>
      </c>
      <c r="T14">
        <f t="shared" si="62"/>
        <v>26000</v>
      </c>
      <c r="U14">
        <f t="shared" si="99"/>
        <v>29720</v>
      </c>
      <c r="V14">
        <f t="shared" si="100"/>
        <v>33440</v>
      </c>
      <c r="W14">
        <f t="shared" si="101"/>
        <v>37120</v>
      </c>
      <c r="X14">
        <f t="shared" si="102"/>
        <v>40120</v>
      </c>
      <c r="Y14">
        <f t="shared" si="103"/>
        <v>43080</v>
      </c>
      <c r="Z14">
        <f t="shared" si="104"/>
        <v>46040</v>
      </c>
      <c r="AA14">
        <f t="shared" si="105"/>
        <v>49000</v>
      </c>
      <c r="AB14">
        <f t="shared" si="106"/>
        <v>52000</v>
      </c>
      <c r="AC14" s="1664">
        <v>32500</v>
      </c>
      <c r="AD14" s="1664">
        <v>37150</v>
      </c>
      <c r="AE14" s="1664">
        <v>41800</v>
      </c>
      <c r="AF14" s="1664">
        <v>46400</v>
      </c>
      <c r="AG14" s="1664">
        <v>50150</v>
      </c>
      <c r="AH14" s="1664">
        <v>53850</v>
      </c>
      <c r="AI14" s="1664">
        <v>57550</v>
      </c>
      <c r="AJ14" s="1664">
        <v>61250</v>
      </c>
      <c r="AK14" s="1664">
        <v>65000</v>
      </c>
      <c r="AL14">
        <f t="shared" si="107"/>
        <v>39000</v>
      </c>
      <c r="AM14">
        <f t="shared" si="108"/>
        <v>44580</v>
      </c>
      <c r="AN14">
        <f t="shared" si="109"/>
        <v>50160</v>
      </c>
      <c r="AO14">
        <f t="shared" si="110"/>
        <v>55680</v>
      </c>
      <c r="AP14">
        <f t="shared" si="111"/>
        <v>60180</v>
      </c>
      <c r="AQ14">
        <f t="shared" si="112"/>
        <v>64620</v>
      </c>
      <c r="AR14">
        <f t="shared" si="113"/>
        <v>69060</v>
      </c>
      <c r="AS14">
        <f t="shared" si="114"/>
        <v>73500</v>
      </c>
      <c r="AT14">
        <f t="shared" si="115"/>
        <v>78000</v>
      </c>
      <c r="AU14">
        <f t="shared" si="116"/>
        <v>45500</v>
      </c>
      <c r="AV14">
        <f t="shared" si="117"/>
        <v>52010</v>
      </c>
      <c r="AW14">
        <f t="shared" si="118"/>
        <v>58519.999999999993</v>
      </c>
      <c r="AX14">
        <f t="shared" si="119"/>
        <v>64959.999999999993</v>
      </c>
      <c r="AY14">
        <f t="shared" si="120"/>
        <v>70210</v>
      </c>
      <c r="AZ14">
        <f t="shared" si="121"/>
        <v>75390</v>
      </c>
      <c r="BA14">
        <f t="shared" si="122"/>
        <v>80570</v>
      </c>
      <c r="BB14">
        <f t="shared" si="123"/>
        <v>85750</v>
      </c>
      <c r="BC14">
        <f t="shared" si="124"/>
        <v>91000</v>
      </c>
      <c r="BD14">
        <f t="shared" si="125"/>
        <v>52000</v>
      </c>
      <c r="BE14">
        <f t="shared" si="126"/>
        <v>59440</v>
      </c>
      <c r="BF14">
        <f t="shared" si="127"/>
        <v>66880</v>
      </c>
      <c r="BG14">
        <f t="shared" si="128"/>
        <v>74240</v>
      </c>
      <c r="BH14">
        <f t="shared" si="129"/>
        <v>80240</v>
      </c>
      <c r="BI14">
        <f t="shared" si="130"/>
        <v>86160</v>
      </c>
      <c r="BJ14">
        <f t="shared" si="131"/>
        <v>92080</v>
      </c>
      <c r="BK14">
        <f t="shared" si="132"/>
        <v>98000</v>
      </c>
      <c r="BL14">
        <f t="shared" si="133"/>
        <v>104000</v>
      </c>
    </row>
    <row r="15" spans="1:64">
      <c r="A15" s="41" t="s">
        <v>358</v>
      </c>
      <c r="B15">
        <f t="shared" si="60"/>
        <v>18180</v>
      </c>
      <c r="C15">
        <f t="shared" si="83"/>
        <v>20780</v>
      </c>
      <c r="D15">
        <f t="shared" si="84"/>
        <v>23380</v>
      </c>
      <c r="E15">
        <f t="shared" si="85"/>
        <v>25960</v>
      </c>
      <c r="F15">
        <f t="shared" si="86"/>
        <v>28040</v>
      </c>
      <c r="G15">
        <f t="shared" si="87"/>
        <v>30120</v>
      </c>
      <c r="H15">
        <f t="shared" si="88"/>
        <v>32200</v>
      </c>
      <c r="I15">
        <f t="shared" si="89"/>
        <v>34280</v>
      </c>
      <c r="J15">
        <f t="shared" si="90"/>
        <v>36360</v>
      </c>
      <c r="K15">
        <f t="shared" si="61"/>
        <v>27270</v>
      </c>
      <c r="L15">
        <f t="shared" si="91"/>
        <v>31170</v>
      </c>
      <c r="M15">
        <f t="shared" si="92"/>
        <v>35070</v>
      </c>
      <c r="N15">
        <f t="shared" si="93"/>
        <v>38940</v>
      </c>
      <c r="O15">
        <f t="shared" si="94"/>
        <v>42060</v>
      </c>
      <c r="P15">
        <f t="shared" si="95"/>
        <v>45180</v>
      </c>
      <c r="Q15">
        <f t="shared" si="96"/>
        <v>48300</v>
      </c>
      <c r="R15">
        <f t="shared" si="97"/>
        <v>51420</v>
      </c>
      <c r="S15">
        <f t="shared" si="98"/>
        <v>54540</v>
      </c>
      <c r="T15">
        <f t="shared" si="62"/>
        <v>36360</v>
      </c>
      <c r="U15">
        <f t="shared" si="99"/>
        <v>41560</v>
      </c>
      <c r="V15">
        <f t="shared" si="100"/>
        <v>46760</v>
      </c>
      <c r="W15">
        <f t="shared" si="101"/>
        <v>51920</v>
      </c>
      <c r="X15">
        <f t="shared" si="102"/>
        <v>56080</v>
      </c>
      <c r="Y15">
        <f t="shared" si="103"/>
        <v>60240</v>
      </c>
      <c r="Z15">
        <f t="shared" si="104"/>
        <v>64400</v>
      </c>
      <c r="AA15">
        <f t="shared" si="105"/>
        <v>68560</v>
      </c>
      <c r="AB15">
        <f t="shared" si="106"/>
        <v>72720</v>
      </c>
      <c r="AC15" s="298">
        <v>45450</v>
      </c>
      <c r="AD15" s="298">
        <v>51950</v>
      </c>
      <c r="AE15" s="298">
        <v>58450</v>
      </c>
      <c r="AF15" s="298">
        <v>64900</v>
      </c>
      <c r="AG15" s="298">
        <v>70100</v>
      </c>
      <c r="AH15" s="298">
        <v>75300</v>
      </c>
      <c r="AI15" s="298">
        <v>80500</v>
      </c>
      <c r="AJ15" s="298">
        <v>85700</v>
      </c>
      <c r="AK15" s="298">
        <v>90900</v>
      </c>
      <c r="AL15">
        <f t="shared" ref="AL15:AL37" si="134">AC15*1.2</f>
        <v>54540</v>
      </c>
      <c r="AM15">
        <f t="shared" ref="AM15:AM37" si="135">AD15*1.2</f>
        <v>62340</v>
      </c>
      <c r="AN15">
        <f t="shared" ref="AN15:AN37" si="136">AE15*1.2</f>
        <v>70140</v>
      </c>
      <c r="AO15">
        <f t="shared" ref="AO15:AO37" si="137">AF15*1.2</f>
        <v>77880</v>
      </c>
      <c r="AP15">
        <f t="shared" ref="AP15:AP37" si="138">AG15*1.2</f>
        <v>84120</v>
      </c>
      <c r="AQ15">
        <f t="shared" ref="AQ15:AQ37" si="139">AH15*1.2</f>
        <v>90360</v>
      </c>
      <c r="AR15">
        <f t="shared" ref="AR15:AR37" si="140">AI15*1.2</f>
        <v>96600</v>
      </c>
      <c r="AS15">
        <f t="shared" ref="AS15:AS37" si="141">AJ15*1.2</f>
        <v>102840</v>
      </c>
      <c r="AT15">
        <f t="shared" ref="AT15:AT37" si="142">AK15*1.2</f>
        <v>109080</v>
      </c>
      <c r="AU15">
        <f t="shared" ref="AU15:AU37" si="143">AC15*1.4</f>
        <v>63629.999999999993</v>
      </c>
      <c r="AV15">
        <f t="shared" ref="AV15:AV37" si="144">AD15*1.4</f>
        <v>72730</v>
      </c>
      <c r="AW15">
        <f t="shared" ref="AW15:AW37" si="145">AE15*1.4</f>
        <v>81830</v>
      </c>
      <c r="AX15">
        <f t="shared" ref="AX15:AX37" si="146">AF15*1.4</f>
        <v>90860</v>
      </c>
      <c r="AY15">
        <f t="shared" ref="AY15:AY37" si="147">AG15*1.4</f>
        <v>98140</v>
      </c>
      <c r="AZ15">
        <f t="shared" ref="AZ15:AZ37" si="148">AH15*1.4</f>
        <v>105420</v>
      </c>
      <c r="BA15">
        <f t="shared" ref="BA15:BA37" si="149">AI15*1.4</f>
        <v>112700</v>
      </c>
      <c r="BB15">
        <f t="shared" ref="BB15:BB37" si="150">AJ15*1.4</f>
        <v>119979.99999999999</v>
      </c>
      <c r="BC15">
        <f t="shared" ref="BC15:BC37" si="151">AK15*1.4</f>
        <v>127259.99999999999</v>
      </c>
      <c r="BD15">
        <f t="shared" si="125"/>
        <v>72720</v>
      </c>
      <c r="BE15">
        <f t="shared" si="126"/>
        <v>83120</v>
      </c>
      <c r="BF15">
        <f t="shared" si="127"/>
        <v>93520</v>
      </c>
      <c r="BG15">
        <f t="shared" si="128"/>
        <v>103840</v>
      </c>
      <c r="BH15">
        <f t="shared" si="129"/>
        <v>112160</v>
      </c>
      <c r="BI15">
        <f t="shared" si="130"/>
        <v>120480</v>
      </c>
      <c r="BJ15">
        <f t="shared" si="131"/>
        <v>128800</v>
      </c>
      <c r="BK15">
        <f t="shared" si="132"/>
        <v>137120</v>
      </c>
      <c r="BL15">
        <f t="shared" si="133"/>
        <v>145440</v>
      </c>
    </row>
    <row r="16" spans="1:64">
      <c r="A16" s="41" t="s">
        <v>400</v>
      </c>
      <c r="B16">
        <f t="shared" si="60"/>
        <v>13800</v>
      </c>
      <c r="C16">
        <f t="shared" si="83"/>
        <v>15760</v>
      </c>
      <c r="D16">
        <f t="shared" si="84"/>
        <v>17740</v>
      </c>
      <c r="E16">
        <f t="shared" si="85"/>
        <v>19700</v>
      </c>
      <c r="F16">
        <f t="shared" si="86"/>
        <v>21280</v>
      </c>
      <c r="G16">
        <f t="shared" si="87"/>
        <v>22860</v>
      </c>
      <c r="H16">
        <f t="shared" si="88"/>
        <v>24440</v>
      </c>
      <c r="I16">
        <f t="shared" si="89"/>
        <v>26020</v>
      </c>
      <c r="J16">
        <f t="shared" si="90"/>
        <v>27580</v>
      </c>
      <c r="K16">
        <f t="shared" si="61"/>
        <v>20700</v>
      </c>
      <c r="L16">
        <f t="shared" si="91"/>
        <v>23640</v>
      </c>
      <c r="M16">
        <f t="shared" si="92"/>
        <v>26610</v>
      </c>
      <c r="N16">
        <f t="shared" si="93"/>
        <v>29550</v>
      </c>
      <c r="O16">
        <f t="shared" si="94"/>
        <v>31920</v>
      </c>
      <c r="P16">
        <f t="shared" si="95"/>
        <v>34290</v>
      </c>
      <c r="Q16">
        <f t="shared" si="96"/>
        <v>36660</v>
      </c>
      <c r="R16">
        <f t="shared" si="97"/>
        <v>39030</v>
      </c>
      <c r="S16">
        <f t="shared" si="98"/>
        <v>41370</v>
      </c>
      <c r="T16">
        <f t="shared" si="62"/>
        <v>27600</v>
      </c>
      <c r="U16">
        <f t="shared" si="99"/>
        <v>31520</v>
      </c>
      <c r="V16">
        <f t="shared" si="100"/>
        <v>35480</v>
      </c>
      <c r="W16">
        <f t="shared" si="101"/>
        <v>39400</v>
      </c>
      <c r="X16">
        <f t="shared" si="102"/>
        <v>42560</v>
      </c>
      <c r="Y16">
        <f t="shared" si="103"/>
        <v>45720</v>
      </c>
      <c r="Z16">
        <f t="shared" si="104"/>
        <v>48880</v>
      </c>
      <c r="AA16">
        <f t="shared" si="105"/>
        <v>52040</v>
      </c>
      <c r="AB16">
        <f t="shared" si="106"/>
        <v>55160</v>
      </c>
      <c r="AC16" s="298">
        <v>34500</v>
      </c>
      <c r="AD16" s="298">
        <v>39400</v>
      </c>
      <c r="AE16" s="298">
        <v>44350</v>
      </c>
      <c r="AF16" s="298">
        <v>49250</v>
      </c>
      <c r="AG16" s="298">
        <v>53200</v>
      </c>
      <c r="AH16" s="298">
        <v>57150</v>
      </c>
      <c r="AI16" s="298">
        <v>61100</v>
      </c>
      <c r="AJ16" s="298">
        <v>65050</v>
      </c>
      <c r="AK16" s="298">
        <v>68950</v>
      </c>
      <c r="AL16">
        <f t="shared" si="134"/>
        <v>41400</v>
      </c>
      <c r="AM16">
        <f t="shared" si="135"/>
        <v>47280</v>
      </c>
      <c r="AN16">
        <f t="shared" si="136"/>
        <v>53220</v>
      </c>
      <c r="AO16">
        <f t="shared" si="137"/>
        <v>59100</v>
      </c>
      <c r="AP16">
        <f t="shared" si="138"/>
        <v>63840</v>
      </c>
      <c r="AQ16">
        <f t="shared" si="139"/>
        <v>68580</v>
      </c>
      <c r="AR16">
        <f t="shared" si="140"/>
        <v>73320</v>
      </c>
      <c r="AS16">
        <f t="shared" si="141"/>
        <v>78060</v>
      </c>
      <c r="AT16">
        <f t="shared" si="142"/>
        <v>82740</v>
      </c>
      <c r="AU16">
        <f t="shared" si="143"/>
        <v>48300</v>
      </c>
      <c r="AV16">
        <f t="shared" si="144"/>
        <v>55160</v>
      </c>
      <c r="AW16">
        <f t="shared" si="145"/>
        <v>62089.999999999993</v>
      </c>
      <c r="AX16">
        <f t="shared" si="146"/>
        <v>68950</v>
      </c>
      <c r="AY16">
        <f t="shared" si="147"/>
        <v>74480</v>
      </c>
      <c r="AZ16">
        <f t="shared" si="148"/>
        <v>80010</v>
      </c>
      <c r="BA16">
        <f t="shared" si="149"/>
        <v>85540</v>
      </c>
      <c r="BB16">
        <f t="shared" si="150"/>
        <v>91070</v>
      </c>
      <c r="BC16">
        <f t="shared" si="151"/>
        <v>96530</v>
      </c>
      <c r="BD16">
        <f t="shared" si="125"/>
        <v>55200</v>
      </c>
      <c r="BE16">
        <f t="shared" si="126"/>
        <v>63040</v>
      </c>
      <c r="BF16">
        <f t="shared" si="127"/>
        <v>70960</v>
      </c>
      <c r="BG16">
        <f t="shared" si="128"/>
        <v>78800</v>
      </c>
      <c r="BH16">
        <f t="shared" si="129"/>
        <v>85120</v>
      </c>
      <c r="BI16">
        <f t="shared" si="130"/>
        <v>91440</v>
      </c>
      <c r="BJ16">
        <f t="shared" si="131"/>
        <v>97760</v>
      </c>
      <c r="BK16">
        <f t="shared" si="132"/>
        <v>104080</v>
      </c>
      <c r="BL16">
        <f t="shared" si="133"/>
        <v>110320</v>
      </c>
    </row>
    <row r="17" spans="1:64">
      <c r="A17" s="41" t="s">
        <v>403</v>
      </c>
      <c r="B17">
        <f t="shared" si="60"/>
        <v>14120</v>
      </c>
      <c r="C17">
        <f t="shared" si="83"/>
        <v>16140</v>
      </c>
      <c r="D17">
        <f t="shared" si="84"/>
        <v>18140</v>
      </c>
      <c r="E17">
        <f t="shared" si="85"/>
        <v>20160</v>
      </c>
      <c r="F17">
        <f t="shared" si="86"/>
        <v>21780</v>
      </c>
      <c r="G17">
        <f t="shared" si="87"/>
        <v>23380</v>
      </c>
      <c r="H17">
        <f t="shared" si="88"/>
        <v>25000</v>
      </c>
      <c r="I17">
        <f t="shared" si="89"/>
        <v>26620</v>
      </c>
      <c r="J17">
        <f t="shared" si="90"/>
        <v>28240</v>
      </c>
      <c r="K17">
        <f t="shared" si="61"/>
        <v>21180</v>
      </c>
      <c r="L17">
        <f t="shared" si="91"/>
        <v>24210</v>
      </c>
      <c r="M17">
        <f t="shared" si="92"/>
        <v>27210</v>
      </c>
      <c r="N17">
        <f t="shared" si="93"/>
        <v>30240</v>
      </c>
      <c r="O17">
        <f t="shared" si="94"/>
        <v>32670</v>
      </c>
      <c r="P17">
        <f t="shared" si="95"/>
        <v>35070</v>
      </c>
      <c r="Q17">
        <f t="shared" si="96"/>
        <v>37500</v>
      </c>
      <c r="R17">
        <f t="shared" si="97"/>
        <v>39930</v>
      </c>
      <c r="S17">
        <f t="shared" si="98"/>
        <v>42360</v>
      </c>
      <c r="T17">
        <f t="shared" si="62"/>
        <v>28240</v>
      </c>
      <c r="U17">
        <f t="shared" si="99"/>
        <v>32280</v>
      </c>
      <c r="V17">
        <f t="shared" si="100"/>
        <v>36280</v>
      </c>
      <c r="W17">
        <f t="shared" si="101"/>
        <v>40320</v>
      </c>
      <c r="X17">
        <f t="shared" si="102"/>
        <v>43560</v>
      </c>
      <c r="Y17">
        <f t="shared" si="103"/>
        <v>46760</v>
      </c>
      <c r="Z17">
        <f t="shared" si="104"/>
        <v>50000</v>
      </c>
      <c r="AA17">
        <f t="shared" si="105"/>
        <v>53240</v>
      </c>
      <c r="AB17">
        <f t="shared" si="106"/>
        <v>56480</v>
      </c>
      <c r="AC17" s="298">
        <v>35300</v>
      </c>
      <c r="AD17" s="298">
        <v>40350</v>
      </c>
      <c r="AE17" s="298">
        <v>45350</v>
      </c>
      <c r="AF17" s="298">
        <v>50400</v>
      </c>
      <c r="AG17" s="298">
        <v>54450</v>
      </c>
      <c r="AH17" s="298">
        <v>58450</v>
      </c>
      <c r="AI17" s="298">
        <v>62500</v>
      </c>
      <c r="AJ17" s="298">
        <v>66550</v>
      </c>
      <c r="AK17" s="298">
        <v>70600</v>
      </c>
      <c r="AL17">
        <f t="shared" si="134"/>
        <v>42360</v>
      </c>
      <c r="AM17">
        <f t="shared" si="135"/>
        <v>48420</v>
      </c>
      <c r="AN17">
        <f t="shared" si="136"/>
        <v>54420</v>
      </c>
      <c r="AO17">
        <f t="shared" si="137"/>
        <v>60480</v>
      </c>
      <c r="AP17">
        <f t="shared" si="138"/>
        <v>65340</v>
      </c>
      <c r="AQ17">
        <f t="shared" si="139"/>
        <v>70140</v>
      </c>
      <c r="AR17">
        <f t="shared" si="140"/>
        <v>75000</v>
      </c>
      <c r="AS17">
        <f t="shared" si="141"/>
        <v>79860</v>
      </c>
      <c r="AT17">
        <f t="shared" si="142"/>
        <v>84720</v>
      </c>
      <c r="AU17">
        <f t="shared" si="143"/>
        <v>49420</v>
      </c>
      <c r="AV17">
        <f t="shared" si="144"/>
        <v>56490</v>
      </c>
      <c r="AW17">
        <f t="shared" si="145"/>
        <v>63489.999999999993</v>
      </c>
      <c r="AX17">
        <f t="shared" si="146"/>
        <v>70560</v>
      </c>
      <c r="AY17">
        <f t="shared" si="147"/>
        <v>76230</v>
      </c>
      <c r="AZ17">
        <f t="shared" si="148"/>
        <v>81830</v>
      </c>
      <c r="BA17">
        <f t="shared" si="149"/>
        <v>87500</v>
      </c>
      <c r="BB17">
        <f t="shared" si="150"/>
        <v>93170</v>
      </c>
      <c r="BC17">
        <f t="shared" si="151"/>
        <v>98840</v>
      </c>
      <c r="BD17">
        <f t="shared" si="125"/>
        <v>56480</v>
      </c>
      <c r="BE17">
        <f t="shared" si="126"/>
        <v>64560</v>
      </c>
      <c r="BF17">
        <f t="shared" si="127"/>
        <v>72560</v>
      </c>
      <c r="BG17">
        <f t="shared" si="128"/>
        <v>80640</v>
      </c>
      <c r="BH17">
        <f t="shared" si="129"/>
        <v>87120</v>
      </c>
      <c r="BI17">
        <f t="shared" si="130"/>
        <v>93520</v>
      </c>
      <c r="BJ17">
        <f t="shared" si="131"/>
        <v>100000</v>
      </c>
      <c r="BK17">
        <f t="shared" si="132"/>
        <v>106480</v>
      </c>
      <c r="BL17">
        <f t="shared" si="133"/>
        <v>112960</v>
      </c>
    </row>
    <row r="18" spans="1:64">
      <c r="A18" s="41" t="s">
        <v>369</v>
      </c>
      <c r="B18">
        <f t="shared" si="60"/>
        <v>14100</v>
      </c>
      <c r="C18">
        <f t="shared" si="83"/>
        <v>16100</v>
      </c>
      <c r="D18">
        <f t="shared" si="84"/>
        <v>18120</v>
      </c>
      <c r="E18">
        <f t="shared" si="85"/>
        <v>20120</v>
      </c>
      <c r="F18">
        <f t="shared" si="86"/>
        <v>21740</v>
      </c>
      <c r="G18">
        <f t="shared" si="87"/>
        <v>23340</v>
      </c>
      <c r="H18">
        <f t="shared" si="88"/>
        <v>24960</v>
      </c>
      <c r="I18">
        <f t="shared" si="89"/>
        <v>26560</v>
      </c>
      <c r="J18">
        <f t="shared" si="90"/>
        <v>28180</v>
      </c>
      <c r="K18">
        <f t="shared" si="61"/>
        <v>21150</v>
      </c>
      <c r="L18">
        <f t="shared" si="91"/>
        <v>24150</v>
      </c>
      <c r="M18">
        <f t="shared" si="92"/>
        <v>27180</v>
      </c>
      <c r="N18">
        <f t="shared" si="93"/>
        <v>30180</v>
      </c>
      <c r="O18">
        <f t="shared" si="94"/>
        <v>32610</v>
      </c>
      <c r="P18">
        <f t="shared" si="95"/>
        <v>35010</v>
      </c>
      <c r="Q18">
        <f t="shared" si="96"/>
        <v>37440</v>
      </c>
      <c r="R18">
        <f t="shared" si="97"/>
        <v>39840</v>
      </c>
      <c r="S18">
        <f t="shared" si="98"/>
        <v>42270</v>
      </c>
      <c r="T18">
        <f t="shared" si="62"/>
        <v>28200</v>
      </c>
      <c r="U18">
        <f t="shared" si="99"/>
        <v>32200</v>
      </c>
      <c r="V18">
        <f t="shared" si="100"/>
        <v>36240</v>
      </c>
      <c r="W18">
        <f t="shared" si="101"/>
        <v>40240</v>
      </c>
      <c r="X18">
        <f t="shared" si="102"/>
        <v>43480</v>
      </c>
      <c r="Y18">
        <f t="shared" si="103"/>
        <v>46680</v>
      </c>
      <c r="Z18">
        <f t="shared" si="104"/>
        <v>49920</v>
      </c>
      <c r="AA18">
        <f t="shared" si="105"/>
        <v>53120</v>
      </c>
      <c r="AB18">
        <f t="shared" si="106"/>
        <v>56360</v>
      </c>
      <c r="AC18" s="298">
        <v>35250</v>
      </c>
      <c r="AD18" s="298">
        <v>40250</v>
      </c>
      <c r="AE18" s="298">
        <v>45300</v>
      </c>
      <c r="AF18" s="298">
        <v>50300</v>
      </c>
      <c r="AG18" s="298">
        <v>54350</v>
      </c>
      <c r="AH18" s="298">
        <v>58350</v>
      </c>
      <c r="AI18" s="298">
        <v>62400</v>
      </c>
      <c r="AJ18" s="298">
        <v>66400</v>
      </c>
      <c r="AK18" s="298">
        <v>70450</v>
      </c>
      <c r="AL18">
        <f t="shared" si="134"/>
        <v>42300</v>
      </c>
      <c r="AM18">
        <f t="shared" si="135"/>
        <v>48300</v>
      </c>
      <c r="AN18">
        <f t="shared" si="136"/>
        <v>54360</v>
      </c>
      <c r="AO18">
        <f t="shared" si="137"/>
        <v>60360</v>
      </c>
      <c r="AP18">
        <f t="shared" si="138"/>
        <v>65220</v>
      </c>
      <c r="AQ18">
        <f t="shared" si="139"/>
        <v>70020</v>
      </c>
      <c r="AR18">
        <f t="shared" si="140"/>
        <v>74880</v>
      </c>
      <c r="AS18">
        <f t="shared" si="141"/>
        <v>79680</v>
      </c>
      <c r="AT18">
        <f t="shared" si="142"/>
        <v>84540</v>
      </c>
      <c r="AU18">
        <f t="shared" si="143"/>
        <v>49350</v>
      </c>
      <c r="AV18">
        <f t="shared" si="144"/>
        <v>56350</v>
      </c>
      <c r="AW18">
        <f t="shared" si="145"/>
        <v>63419.999999999993</v>
      </c>
      <c r="AX18">
        <f t="shared" si="146"/>
        <v>70420</v>
      </c>
      <c r="AY18">
        <f t="shared" si="147"/>
        <v>76090</v>
      </c>
      <c r="AZ18">
        <f t="shared" si="148"/>
        <v>81690</v>
      </c>
      <c r="BA18">
        <f t="shared" si="149"/>
        <v>87360</v>
      </c>
      <c r="BB18">
        <f t="shared" si="150"/>
        <v>92960</v>
      </c>
      <c r="BC18">
        <f t="shared" si="151"/>
        <v>98630</v>
      </c>
      <c r="BD18">
        <f t="shared" si="125"/>
        <v>56400</v>
      </c>
      <c r="BE18">
        <f t="shared" si="126"/>
        <v>64400</v>
      </c>
      <c r="BF18">
        <f t="shared" si="127"/>
        <v>72480</v>
      </c>
      <c r="BG18">
        <f t="shared" si="128"/>
        <v>80480</v>
      </c>
      <c r="BH18">
        <f t="shared" si="129"/>
        <v>86960</v>
      </c>
      <c r="BI18">
        <f t="shared" si="130"/>
        <v>93360</v>
      </c>
      <c r="BJ18">
        <f t="shared" si="131"/>
        <v>99840</v>
      </c>
      <c r="BK18">
        <f t="shared" si="132"/>
        <v>106240</v>
      </c>
      <c r="BL18">
        <f t="shared" si="133"/>
        <v>112720</v>
      </c>
    </row>
    <row r="19" spans="1:64">
      <c r="A19" s="41" t="s">
        <v>408</v>
      </c>
      <c r="B19">
        <f t="shared" si="60"/>
        <v>13840</v>
      </c>
      <c r="C19">
        <f t="shared" si="83"/>
        <v>15820</v>
      </c>
      <c r="D19">
        <f t="shared" si="84"/>
        <v>17800</v>
      </c>
      <c r="E19">
        <f t="shared" si="85"/>
        <v>19760</v>
      </c>
      <c r="F19">
        <f t="shared" si="86"/>
        <v>21360</v>
      </c>
      <c r="G19">
        <f t="shared" si="87"/>
        <v>22940</v>
      </c>
      <c r="H19">
        <f t="shared" si="88"/>
        <v>24520</v>
      </c>
      <c r="I19">
        <f t="shared" si="89"/>
        <v>26100</v>
      </c>
      <c r="J19">
        <f t="shared" si="90"/>
        <v>27680</v>
      </c>
      <c r="K19">
        <f t="shared" si="61"/>
        <v>20760</v>
      </c>
      <c r="L19">
        <f t="shared" si="91"/>
        <v>23730</v>
      </c>
      <c r="M19">
        <f t="shared" si="92"/>
        <v>26700</v>
      </c>
      <c r="N19">
        <f t="shared" si="93"/>
        <v>29640</v>
      </c>
      <c r="O19">
        <f t="shared" si="94"/>
        <v>32040</v>
      </c>
      <c r="P19">
        <f t="shared" si="95"/>
        <v>34410</v>
      </c>
      <c r="Q19">
        <f t="shared" si="96"/>
        <v>36780</v>
      </c>
      <c r="R19">
        <f t="shared" si="97"/>
        <v>39150</v>
      </c>
      <c r="S19">
        <f t="shared" si="98"/>
        <v>41520</v>
      </c>
      <c r="T19">
        <f t="shared" si="62"/>
        <v>27680</v>
      </c>
      <c r="U19">
        <f t="shared" si="99"/>
        <v>31640</v>
      </c>
      <c r="V19">
        <f t="shared" si="100"/>
        <v>35600</v>
      </c>
      <c r="W19">
        <f t="shared" si="101"/>
        <v>39520</v>
      </c>
      <c r="X19">
        <f t="shared" si="102"/>
        <v>42720</v>
      </c>
      <c r="Y19">
        <f t="shared" si="103"/>
        <v>45880</v>
      </c>
      <c r="Z19">
        <f t="shared" si="104"/>
        <v>49040</v>
      </c>
      <c r="AA19">
        <f t="shared" si="105"/>
        <v>52200</v>
      </c>
      <c r="AB19">
        <f t="shared" si="106"/>
        <v>55360</v>
      </c>
      <c r="AC19" s="298">
        <v>34600</v>
      </c>
      <c r="AD19" s="298">
        <v>39550</v>
      </c>
      <c r="AE19" s="298">
        <v>44500</v>
      </c>
      <c r="AF19" s="298">
        <v>49400</v>
      </c>
      <c r="AG19" s="298">
        <v>53400</v>
      </c>
      <c r="AH19" s="298">
        <v>57350</v>
      </c>
      <c r="AI19" s="298">
        <v>61300</v>
      </c>
      <c r="AJ19" s="298">
        <v>65250</v>
      </c>
      <c r="AK19" s="298">
        <v>69200</v>
      </c>
      <c r="AL19">
        <f t="shared" si="134"/>
        <v>41520</v>
      </c>
      <c r="AM19">
        <f t="shared" si="135"/>
        <v>47460</v>
      </c>
      <c r="AN19">
        <f t="shared" si="136"/>
        <v>53400</v>
      </c>
      <c r="AO19">
        <f t="shared" si="137"/>
        <v>59280</v>
      </c>
      <c r="AP19">
        <f t="shared" si="138"/>
        <v>64080</v>
      </c>
      <c r="AQ19">
        <f t="shared" si="139"/>
        <v>68820</v>
      </c>
      <c r="AR19">
        <f t="shared" si="140"/>
        <v>73560</v>
      </c>
      <c r="AS19">
        <f t="shared" si="141"/>
        <v>78300</v>
      </c>
      <c r="AT19">
        <f t="shared" si="142"/>
        <v>83040</v>
      </c>
      <c r="AU19">
        <f t="shared" si="143"/>
        <v>48440</v>
      </c>
      <c r="AV19">
        <f t="shared" si="144"/>
        <v>55370</v>
      </c>
      <c r="AW19">
        <f t="shared" si="145"/>
        <v>62299.999999999993</v>
      </c>
      <c r="AX19">
        <f t="shared" si="146"/>
        <v>69160</v>
      </c>
      <c r="AY19">
        <f t="shared" si="147"/>
        <v>74760</v>
      </c>
      <c r="AZ19">
        <f t="shared" si="148"/>
        <v>80290</v>
      </c>
      <c r="BA19">
        <f t="shared" si="149"/>
        <v>85820</v>
      </c>
      <c r="BB19">
        <f t="shared" si="150"/>
        <v>91350</v>
      </c>
      <c r="BC19">
        <f t="shared" si="151"/>
        <v>96880</v>
      </c>
      <c r="BD19">
        <f t="shared" si="125"/>
        <v>55360</v>
      </c>
      <c r="BE19">
        <f t="shared" si="126"/>
        <v>63280</v>
      </c>
      <c r="BF19">
        <f t="shared" si="127"/>
        <v>71200</v>
      </c>
      <c r="BG19">
        <f t="shared" si="128"/>
        <v>79040</v>
      </c>
      <c r="BH19">
        <f t="shared" si="129"/>
        <v>85440</v>
      </c>
      <c r="BI19">
        <f t="shared" si="130"/>
        <v>91760</v>
      </c>
      <c r="BJ19">
        <f t="shared" si="131"/>
        <v>98080</v>
      </c>
      <c r="BK19">
        <f t="shared" si="132"/>
        <v>104400</v>
      </c>
      <c r="BL19">
        <f t="shared" si="133"/>
        <v>110720</v>
      </c>
    </row>
    <row r="20" spans="1:64">
      <c r="A20" s="41" t="s">
        <v>376</v>
      </c>
      <c r="B20">
        <f t="shared" si="60"/>
        <v>14460</v>
      </c>
      <c r="C20">
        <f t="shared" si="83"/>
        <v>16520</v>
      </c>
      <c r="D20">
        <f t="shared" si="84"/>
        <v>18580</v>
      </c>
      <c r="E20">
        <f t="shared" si="85"/>
        <v>20640</v>
      </c>
      <c r="F20">
        <f t="shared" si="86"/>
        <v>22300</v>
      </c>
      <c r="G20">
        <f t="shared" si="87"/>
        <v>23960</v>
      </c>
      <c r="H20">
        <f t="shared" si="88"/>
        <v>25600</v>
      </c>
      <c r="I20">
        <f t="shared" si="89"/>
        <v>27260</v>
      </c>
      <c r="J20">
        <f t="shared" si="90"/>
        <v>28900</v>
      </c>
      <c r="K20">
        <f t="shared" si="61"/>
        <v>21690</v>
      </c>
      <c r="L20">
        <f t="shared" si="91"/>
        <v>24780</v>
      </c>
      <c r="M20">
        <f t="shared" si="92"/>
        <v>27870</v>
      </c>
      <c r="N20">
        <f t="shared" si="93"/>
        <v>30960</v>
      </c>
      <c r="O20">
        <f t="shared" si="94"/>
        <v>33450</v>
      </c>
      <c r="P20">
        <f t="shared" si="95"/>
        <v>35940</v>
      </c>
      <c r="Q20">
        <f t="shared" si="96"/>
        <v>38400</v>
      </c>
      <c r="R20">
        <f t="shared" si="97"/>
        <v>40890</v>
      </c>
      <c r="S20">
        <f t="shared" si="98"/>
        <v>43350</v>
      </c>
      <c r="T20">
        <f t="shared" si="62"/>
        <v>28920</v>
      </c>
      <c r="U20">
        <f t="shared" si="99"/>
        <v>33040</v>
      </c>
      <c r="V20">
        <f t="shared" si="100"/>
        <v>37160</v>
      </c>
      <c r="W20">
        <f t="shared" si="101"/>
        <v>41280</v>
      </c>
      <c r="X20">
        <f t="shared" si="102"/>
        <v>44600</v>
      </c>
      <c r="Y20">
        <f t="shared" si="103"/>
        <v>47920</v>
      </c>
      <c r="Z20">
        <f t="shared" si="104"/>
        <v>51200</v>
      </c>
      <c r="AA20">
        <f t="shared" si="105"/>
        <v>54520</v>
      </c>
      <c r="AB20">
        <f t="shared" si="106"/>
        <v>57800</v>
      </c>
      <c r="AC20" s="298">
        <v>36150</v>
      </c>
      <c r="AD20" s="298">
        <v>41300</v>
      </c>
      <c r="AE20" s="298">
        <v>46450</v>
      </c>
      <c r="AF20" s="298">
        <v>51600</v>
      </c>
      <c r="AG20" s="298">
        <v>55750</v>
      </c>
      <c r="AH20" s="298">
        <v>59900</v>
      </c>
      <c r="AI20" s="298">
        <v>64000</v>
      </c>
      <c r="AJ20" s="298">
        <v>68150</v>
      </c>
      <c r="AK20" s="298">
        <v>72250</v>
      </c>
      <c r="AL20">
        <f t="shared" si="134"/>
        <v>43380</v>
      </c>
      <c r="AM20">
        <f t="shared" si="135"/>
        <v>49560</v>
      </c>
      <c r="AN20">
        <f t="shared" si="136"/>
        <v>55740</v>
      </c>
      <c r="AO20">
        <f t="shared" si="137"/>
        <v>61920</v>
      </c>
      <c r="AP20">
        <f t="shared" si="138"/>
        <v>66900</v>
      </c>
      <c r="AQ20">
        <f t="shared" si="139"/>
        <v>71880</v>
      </c>
      <c r="AR20">
        <f t="shared" si="140"/>
        <v>76800</v>
      </c>
      <c r="AS20">
        <f t="shared" si="141"/>
        <v>81780</v>
      </c>
      <c r="AT20">
        <f t="shared" si="142"/>
        <v>86700</v>
      </c>
      <c r="AU20">
        <f t="shared" si="143"/>
        <v>50610</v>
      </c>
      <c r="AV20">
        <f t="shared" si="144"/>
        <v>57819.999999999993</v>
      </c>
      <c r="AW20">
        <f t="shared" si="145"/>
        <v>65029.999999999993</v>
      </c>
      <c r="AX20">
        <f t="shared" si="146"/>
        <v>72240</v>
      </c>
      <c r="AY20">
        <f t="shared" si="147"/>
        <v>78050</v>
      </c>
      <c r="AZ20">
        <f t="shared" si="148"/>
        <v>83860</v>
      </c>
      <c r="BA20">
        <f t="shared" si="149"/>
        <v>89600</v>
      </c>
      <c r="BB20">
        <f t="shared" si="150"/>
        <v>95410</v>
      </c>
      <c r="BC20">
        <f t="shared" si="151"/>
        <v>101150</v>
      </c>
      <c r="BD20">
        <f t="shared" si="125"/>
        <v>57840</v>
      </c>
      <c r="BE20">
        <f t="shared" si="126"/>
        <v>66080</v>
      </c>
      <c r="BF20">
        <f t="shared" si="127"/>
        <v>74320</v>
      </c>
      <c r="BG20">
        <f t="shared" si="128"/>
        <v>82560</v>
      </c>
      <c r="BH20">
        <f t="shared" si="129"/>
        <v>89200</v>
      </c>
      <c r="BI20">
        <f t="shared" si="130"/>
        <v>95840</v>
      </c>
      <c r="BJ20">
        <f t="shared" si="131"/>
        <v>102400</v>
      </c>
      <c r="BK20">
        <f t="shared" si="132"/>
        <v>109040</v>
      </c>
      <c r="BL20">
        <f t="shared" si="133"/>
        <v>115600</v>
      </c>
    </row>
    <row r="21" spans="1:64">
      <c r="A21" s="41" t="s">
        <v>413</v>
      </c>
      <c r="B21">
        <f t="shared" ref="B21:B75" si="152">AC21*0.4</f>
        <v>13000</v>
      </c>
      <c r="C21">
        <f t="shared" si="83"/>
        <v>14860</v>
      </c>
      <c r="D21">
        <f t="shared" si="84"/>
        <v>16720</v>
      </c>
      <c r="E21">
        <f t="shared" si="85"/>
        <v>18560</v>
      </c>
      <c r="F21">
        <f t="shared" si="86"/>
        <v>20060</v>
      </c>
      <c r="G21">
        <f t="shared" si="87"/>
        <v>21540</v>
      </c>
      <c r="H21">
        <f t="shared" si="88"/>
        <v>23020</v>
      </c>
      <c r="I21">
        <f t="shared" si="89"/>
        <v>24500</v>
      </c>
      <c r="J21">
        <f t="shared" si="90"/>
        <v>26000</v>
      </c>
      <c r="K21">
        <f t="shared" ref="K21:K75" si="153">0.6*AC21</f>
        <v>19500</v>
      </c>
      <c r="L21">
        <f t="shared" si="91"/>
        <v>22290</v>
      </c>
      <c r="M21">
        <f t="shared" si="92"/>
        <v>25080</v>
      </c>
      <c r="N21">
        <f t="shared" si="93"/>
        <v>27840</v>
      </c>
      <c r="O21">
        <f t="shared" si="94"/>
        <v>30090</v>
      </c>
      <c r="P21">
        <f t="shared" si="95"/>
        <v>32310</v>
      </c>
      <c r="Q21">
        <f t="shared" si="96"/>
        <v>34530</v>
      </c>
      <c r="R21">
        <f t="shared" si="97"/>
        <v>36750</v>
      </c>
      <c r="S21">
        <f t="shared" si="98"/>
        <v>39000</v>
      </c>
      <c r="T21">
        <f t="shared" ref="T21:T75" si="154">0.8*AC21</f>
        <v>26000</v>
      </c>
      <c r="U21">
        <f t="shared" si="99"/>
        <v>29720</v>
      </c>
      <c r="V21">
        <f t="shared" si="100"/>
        <v>33440</v>
      </c>
      <c r="W21">
        <f t="shared" si="101"/>
        <v>37120</v>
      </c>
      <c r="X21">
        <f t="shared" si="102"/>
        <v>40120</v>
      </c>
      <c r="Y21">
        <f t="shared" si="103"/>
        <v>43080</v>
      </c>
      <c r="Z21">
        <f t="shared" si="104"/>
        <v>46040</v>
      </c>
      <c r="AA21">
        <f t="shared" si="105"/>
        <v>49000</v>
      </c>
      <c r="AB21">
        <f t="shared" si="106"/>
        <v>52000</v>
      </c>
      <c r="AC21" s="1664">
        <v>32500</v>
      </c>
      <c r="AD21" s="1664">
        <v>37150</v>
      </c>
      <c r="AE21" s="1664">
        <v>41800</v>
      </c>
      <c r="AF21" s="1664">
        <v>46400</v>
      </c>
      <c r="AG21" s="1664">
        <v>50150</v>
      </c>
      <c r="AH21" s="1664">
        <v>53850</v>
      </c>
      <c r="AI21" s="1664">
        <v>57550</v>
      </c>
      <c r="AJ21" s="1664">
        <v>61250</v>
      </c>
      <c r="AK21" s="1664">
        <v>65000</v>
      </c>
      <c r="AL21">
        <f t="shared" si="134"/>
        <v>39000</v>
      </c>
      <c r="AM21">
        <f t="shared" si="135"/>
        <v>44580</v>
      </c>
      <c r="AN21">
        <f t="shared" si="136"/>
        <v>50160</v>
      </c>
      <c r="AO21">
        <f t="shared" si="137"/>
        <v>55680</v>
      </c>
      <c r="AP21">
        <f t="shared" si="138"/>
        <v>60180</v>
      </c>
      <c r="AQ21">
        <f t="shared" si="139"/>
        <v>64620</v>
      </c>
      <c r="AR21">
        <f t="shared" si="140"/>
        <v>69060</v>
      </c>
      <c r="AS21">
        <f t="shared" si="141"/>
        <v>73500</v>
      </c>
      <c r="AT21">
        <f t="shared" si="142"/>
        <v>78000</v>
      </c>
      <c r="AU21">
        <f t="shared" si="143"/>
        <v>45500</v>
      </c>
      <c r="AV21">
        <f t="shared" si="144"/>
        <v>52010</v>
      </c>
      <c r="AW21">
        <f t="shared" si="145"/>
        <v>58519.999999999993</v>
      </c>
      <c r="AX21">
        <f t="shared" si="146"/>
        <v>64959.999999999993</v>
      </c>
      <c r="AY21">
        <f t="shared" si="147"/>
        <v>70210</v>
      </c>
      <c r="AZ21">
        <f t="shared" si="148"/>
        <v>75390</v>
      </c>
      <c r="BA21">
        <f t="shared" si="149"/>
        <v>80570</v>
      </c>
      <c r="BB21">
        <f t="shared" si="150"/>
        <v>85750</v>
      </c>
      <c r="BC21">
        <f t="shared" si="151"/>
        <v>91000</v>
      </c>
      <c r="BD21">
        <f t="shared" si="125"/>
        <v>52000</v>
      </c>
      <c r="BE21">
        <f t="shared" si="126"/>
        <v>59440</v>
      </c>
      <c r="BF21">
        <f t="shared" si="127"/>
        <v>66880</v>
      </c>
      <c r="BG21">
        <f t="shared" si="128"/>
        <v>74240</v>
      </c>
      <c r="BH21">
        <f t="shared" si="129"/>
        <v>80240</v>
      </c>
      <c r="BI21">
        <f t="shared" si="130"/>
        <v>86160</v>
      </c>
      <c r="BJ21">
        <f t="shared" si="131"/>
        <v>92080</v>
      </c>
      <c r="BK21">
        <f t="shared" si="132"/>
        <v>98000</v>
      </c>
      <c r="BL21">
        <f t="shared" si="133"/>
        <v>104000</v>
      </c>
    </row>
    <row r="22" spans="1:64">
      <c r="A22" s="41" t="s">
        <v>381</v>
      </c>
      <c r="B22">
        <f t="shared" si="152"/>
        <v>13700</v>
      </c>
      <c r="C22">
        <f t="shared" si="83"/>
        <v>15660</v>
      </c>
      <c r="D22">
        <f t="shared" si="84"/>
        <v>17620</v>
      </c>
      <c r="E22">
        <f t="shared" si="85"/>
        <v>19560</v>
      </c>
      <c r="F22">
        <f t="shared" si="86"/>
        <v>21140</v>
      </c>
      <c r="G22">
        <f t="shared" si="87"/>
        <v>22700</v>
      </c>
      <c r="H22">
        <f t="shared" si="88"/>
        <v>24260</v>
      </c>
      <c r="I22">
        <f t="shared" si="89"/>
        <v>25820</v>
      </c>
      <c r="J22">
        <f t="shared" si="90"/>
        <v>27400</v>
      </c>
      <c r="K22">
        <f t="shared" si="153"/>
        <v>20550</v>
      </c>
      <c r="L22">
        <f t="shared" si="91"/>
        <v>23490</v>
      </c>
      <c r="M22">
        <f t="shared" si="92"/>
        <v>26430</v>
      </c>
      <c r="N22">
        <f t="shared" si="93"/>
        <v>29340</v>
      </c>
      <c r="O22">
        <f t="shared" si="94"/>
        <v>31710</v>
      </c>
      <c r="P22">
        <f t="shared" si="95"/>
        <v>34050</v>
      </c>
      <c r="Q22">
        <f t="shared" si="96"/>
        <v>36390</v>
      </c>
      <c r="R22">
        <f t="shared" si="97"/>
        <v>38730</v>
      </c>
      <c r="S22">
        <f t="shared" si="98"/>
        <v>41100</v>
      </c>
      <c r="T22">
        <f t="shared" si="154"/>
        <v>27400</v>
      </c>
      <c r="U22">
        <f t="shared" si="99"/>
        <v>31320</v>
      </c>
      <c r="V22">
        <f t="shared" si="100"/>
        <v>35240</v>
      </c>
      <c r="W22">
        <f t="shared" si="101"/>
        <v>39120</v>
      </c>
      <c r="X22">
        <f t="shared" si="102"/>
        <v>42280</v>
      </c>
      <c r="Y22">
        <f t="shared" si="103"/>
        <v>45400</v>
      </c>
      <c r="Z22">
        <f t="shared" si="104"/>
        <v>48520</v>
      </c>
      <c r="AA22">
        <f t="shared" si="105"/>
        <v>51640</v>
      </c>
      <c r="AB22">
        <f t="shared" si="106"/>
        <v>54800</v>
      </c>
      <c r="AC22" s="298">
        <v>34250</v>
      </c>
      <c r="AD22" s="298">
        <v>39150</v>
      </c>
      <c r="AE22" s="298">
        <v>44050</v>
      </c>
      <c r="AF22" s="298">
        <v>48900</v>
      </c>
      <c r="AG22" s="298">
        <v>52850</v>
      </c>
      <c r="AH22" s="298">
        <v>56750</v>
      </c>
      <c r="AI22" s="298">
        <v>60650</v>
      </c>
      <c r="AJ22" s="298">
        <v>64550</v>
      </c>
      <c r="AK22" s="298">
        <v>68500</v>
      </c>
      <c r="AL22">
        <f t="shared" si="134"/>
        <v>41100</v>
      </c>
      <c r="AM22">
        <f t="shared" si="135"/>
        <v>46980</v>
      </c>
      <c r="AN22">
        <f t="shared" si="136"/>
        <v>52860</v>
      </c>
      <c r="AO22">
        <f t="shared" si="137"/>
        <v>58680</v>
      </c>
      <c r="AP22">
        <f t="shared" si="138"/>
        <v>63420</v>
      </c>
      <c r="AQ22">
        <f t="shared" si="139"/>
        <v>68100</v>
      </c>
      <c r="AR22">
        <f t="shared" si="140"/>
        <v>72780</v>
      </c>
      <c r="AS22">
        <f t="shared" si="141"/>
        <v>77460</v>
      </c>
      <c r="AT22">
        <f t="shared" si="142"/>
        <v>82200</v>
      </c>
      <c r="AU22">
        <f t="shared" si="143"/>
        <v>47950</v>
      </c>
      <c r="AV22">
        <f t="shared" si="144"/>
        <v>54810</v>
      </c>
      <c r="AW22">
        <f t="shared" si="145"/>
        <v>61669.999999999993</v>
      </c>
      <c r="AX22">
        <f t="shared" si="146"/>
        <v>68460</v>
      </c>
      <c r="AY22">
        <f t="shared" si="147"/>
        <v>73990</v>
      </c>
      <c r="AZ22">
        <f t="shared" si="148"/>
        <v>79450</v>
      </c>
      <c r="BA22">
        <f t="shared" si="149"/>
        <v>84910</v>
      </c>
      <c r="BB22">
        <f t="shared" si="150"/>
        <v>90370</v>
      </c>
      <c r="BC22">
        <f t="shared" si="151"/>
        <v>95900</v>
      </c>
      <c r="BD22">
        <f t="shared" ref="BD22:BD75" si="155">AC22*1.6</f>
        <v>54800</v>
      </c>
      <c r="BE22">
        <f t="shared" ref="BE22:BE75" si="156">AD22*1.6</f>
        <v>62640</v>
      </c>
      <c r="BF22">
        <f t="shared" ref="BF22:BF75" si="157">AE22*1.6</f>
        <v>70480</v>
      </c>
      <c r="BG22">
        <f t="shared" ref="BG22:BG75" si="158">AF22*1.6</f>
        <v>78240</v>
      </c>
      <c r="BH22">
        <f t="shared" ref="BH22:BH75" si="159">AG22*1.6</f>
        <v>84560</v>
      </c>
      <c r="BI22">
        <f t="shared" ref="BI22:BI75" si="160">AH22*1.6</f>
        <v>90800</v>
      </c>
      <c r="BJ22">
        <f t="shared" ref="BJ22:BJ75" si="161">AI22*1.6</f>
        <v>97040</v>
      </c>
      <c r="BK22">
        <f t="shared" ref="BK22:BK75" si="162">AJ22*1.6</f>
        <v>103280</v>
      </c>
      <c r="BL22">
        <f t="shared" ref="BL22:BL75" si="163">AK22*1.6</f>
        <v>109600</v>
      </c>
    </row>
    <row r="23" spans="1:64">
      <c r="A23" s="41" t="s">
        <v>418</v>
      </c>
      <c r="B23">
        <f t="shared" si="152"/>
        <v>13000</v>
      </c>
      <c r="C23">
        <f t="shared" si="83"/>
        <v>14860</v>
      </c>
      <c r="D23">
        <f t="shared" si="84"/>
        <v>16720</v>
      </c>
      <c r="E23">
        <f t="shared" si="85"/>
        <v>18560</v>
      </c>
      <c r="F23">
        <f t="shared" si="86"/>
        <v>20060</v>
      </c>
      <c r="G23">
        <f t="shared" si="87"/>
        <v>21540</v>
      </c>
      <c r="H23">
        <f t="shared" si="88"/>
        <v>23020</v>
      </c>
      <c r="I23">
        <f t="shared" si="89"/>
        <v>24500</v>
      </c>
      <c r="J23">
        <f t="shared" si="90"/>
        <v>26000</v>
      </c>
      <c r="K23">
        <f t="shared" si="153"/>
        <v>19500</v>
      </c>
      <c r="L23">
        <f t="shared" si="91"/>
        <v>22290</v>
      </c>
      <c r="M23">
        <f t="shared" si="92"/>
        <v>25080</v>
      </c>
      <c r="N23">
        <f t="shared" si="93"/>
        <v>27840</v>
      </c>
      <c r="O23">
        <f t="shared" si="94"/>
        <v>30090</v>
      </c>
      <c r="P23">
        <f t="shared" si="95"/>
        <v>32310</v>
      </c>
      <c r="Q23">
        <f t="shared" si="96"/>
        <v>34530</v>
      </c>
      <c r="R23">
        <f t="shared" si="97"/>
        <v>36750</v>
      </c>
      <c r="S23">
        <f t="shared" si="98"/>
        <v>39000</v>
      </c>
      <c r="T23">
        <f t="shared" si="154"/>
        <v>26000</v>
      </c>
      <c r="U23">
        <f t="shared" si="99"/>
        <v>29720</v>
      </c>
      <c r="V23">
        <f t="shared" si="100"/>
        <v>33440</v>
      </c>
      <c r="W23">
        <f t="shared" si="101"/>
        <v>37120</v>
      </c>
      <c r="X23">
        <f t="shared" si="102"/>
        <v>40120</v>
      </c>
      <c r="Y23">
        <f t="shared" si="103"/>
        <v>43080</v>
      </c>
      <c r="Z23">
        <f t="shared" si="104"/>
        <v>46040</v>
      </c>
      <c r="AA23">
        <f t="shared" si="105"/>
        <v>49000</v>
      </c>
      <c r="AB23">
        <f t="shared" si="106"/>
        <v>52000</v>
      </c>
      <c r="AC23" s="1664">
        <v>32500</v>
      </c>
      <c r="AD23" s="1664">
        <v>37150</v>
      </c>
      <c r="AE23" s="1664">
        <v>41800</v>
      </c>
      <c r="AF23" s="1664">
        <v>46400</v>
      </c>
      <c r="AG23" s="1664">
        <v>50150</v>
      </c>
      <c r="AH23" s="1664">
        <v>53850</v>
      </c>
      <c r="AI23" s="1664">
        <v>57550</v>
      </c>
      <c r="AJ23" s="1664">
        <v>61250</v>
      </c>
      <c r="AK23" s="1664">
        <v>65000</v>
      </c>
      <c r="AL23">
        <f t="shared" si="134"/>
        <v>39000</v>
      </c>
      <c r="AM23">
        <f t="shared" si="135"/>
        <v>44580</v>
      </c>
      <c r="AN23">
        <f t="shared" si="136"/>
        <v>50160</v>
      </c>
      <c r="AO23">
        <f t="shared" si="137"/>
        <v>55680</v>
      </c>
      <c r="AP23">
        <f t="shared" si="138"/>
        <v>60180</v>
      </c>
      <c r="AQ23">
        <f t="shared" si="139"/>
        <v>64620</v>
      </c>
      <c r="AR23">
        <f t="shared" si="140"/>
        <v>69060</v>
      </c>
      <c r="AS23">
        <f t="shared" si="141"/>
        <v>73500</v>
      </c>
      <c r="AT23">
        <f t="shared" si="142"/>
        <v>78000</v>
      </c>
      <c r="AU23">
        <f t="shared" si="143"/>
        <v>45500</v>
      </c>
      <c r="AV23">
        <f t="shared" si="144"/>
        <v>52010</v>
      </c>
      <c r="AW23">
        <f t="shared" si="145"/>
        <v>58519.999999999993</v>
      </c>
      <c r="AX23">
        <f t="shared" si="146"/>
        <v>64959.999999999993</v>
      </c>
      <c r="AY23">
        <f t="shared" si="147"/>
        <v>70210</v>
      </c>
      <c r="AZ23">
        <f t="shared" si="148"/>
        <v>75390</v>
      </c>
      <c r="BA23">
        <f t="shared" si="149"/>
        <v>80570</v>
      </c>
      <c r="BB23">
        <f t="shared" si="150"/>
        <v>85750</v>
      </c>
      <c r="BC23">
        <f t="shared" si="151"/>
        <v>91000</v>
      </c>
      <c r="BD23">
        <f t="shared" si="155"/>
        <v>52000</v>
      </c>
      <c r="BE23">
        <f t="shared" si="156"/>
        <v>59440</v>
      </c>
      <c r="BF23">
        <f t="shared" si="157"/>
        <v>66880</v>
      </c>
      <c r="BG23">
        <f t="shared" si="158"/>
        <v>74240</v>
      </c>
      <c r="BH23">
        <f t="shared" si="159"/>
        <v>80240</v>
      </c>
      <c r="BI23">
        <f t="shared" si="160"/>
        <v>86160</v>
      </c>
      <c r="BJ23">
        <f t="shared" si="161"/>
        <v>92080</v>
      </c>
      <c r="BK23">
        <f t="shared" si="162"/>
        <v>98000</v>
      </c>
      <c r="BL23">
        <f t="shared" si="163"/>
        <v>104000</v>
      </c>
    </row>
    <row r="24" spans="1:64">
      <c r="A24" s="41" t="s">
        <v>421</v>
      </c>
      <c r="B24">
        <f t="shared" si="152"/>
        <v>13000</v>
      </c>
      <c r="C24">
        <f t="shared" si="83"/>
        <v>14860</v>
      </c>
      <c r="D24">
        <f t="shared" si="84"/>
        <v>16720</v>
      </c>
      <c r="E24">
        <f t="shared" si="85"/>
        <v>18560</v>
      </c>
      <c r="F24">
        <f t="shared" si="86"/>
        <v>20060</v>
      </c>
      <c r="G24">
        <f t="shared" si="87"/>
        <v>21540</v>
      </c>
      <c r="H24">
        <f t="shared" si="88"/>
        <v>23020</v>
      </c>
      <c r="I24">
        <f t="shared" si="89"/>
        <v>24500</v>
      </c>
      <c r="J24">
        <f t="shared" si="90"/>
        <v>26000</v>
      </c>
      <c r="K24">
        <f t="shared" si="153"/>
        <v>19500</v>
      </c>
      <c r="L24">
        <f t="shared" si="91"/>
        <v>22290</v>
      </c>
      <c r="M24">
        <f t="shared" si="92"/>
        <v>25080</v>
      </c>
      <c r="N24">
        <f t="shared" si="93"/>
        <v>27840</v>
      </c>
      <c r="O24">
        <f t="shared" si="94"/>
        <v>30090</v>
      </c>
      <c r="P24">
        <f t="shared" si="95"/>
        <v>32310</v>
      </c>
      <c r="Q24">
        <f t="shared" si="96"/>
        <v>34530</v>
      </c>
      <c r="R24">
        <f t="shared" si="97"/>
        <v>36750</v>
      </c>
      <c r="S24">
        <f t="shared" si="98"/>
        <v>39000</v>
      </c>
      <c r="T24">
        <f t="shared" si="154"/>
        <v>26000</v>
      </c>
      <c r="U24">
        <f t="shared" si="99"/>
        <v>29720</v>
      </c>
      <c r="V24">
        <f t="shared" si="100"/>
        <v>33440</v>
      </c>
      <c r="W24">
        <f t="shared" si="101"/>
        <v>37120</v>
      </c>
      <c r="X24">
        <f t="shared" si="102"/>
        <v>40120</v>
      </c>
      <c r="Y24">
        <f t="shared" si="103"/>
        <v>43080</v>
      </c>
      <c r="Z24">
        <f t="shared" si="104"/>
        <v>46040</v>
      </c>
      <c r="AA24">
        <f t="shared" si="105"/>
        <v>49000</v>
      </c>
      <c r="AB24">
        <f t="shared" si="106"/>
        <v>52000</v>
      </c>
      <c r="AC24" s="298">
        <v>32500</v>
      </c>
      <c r="AD24" s="298">
        <v>37150</v>
      </c>
      <c r="AE24" s="298">
        <v>41800</v>
      </c>
      <c r="AF24" s="298">
        <v>46400</v>
      </c>
      <c r="AG24" s="298">
        <v>50150</v>
      </c>
      <c r="AH24" s="298">
        <v>53850</v>
      </c>
      <c r="AI24" s="298">
        <v>57550</v>
      </c>
      <c r="AJ24" s="298">
        <v>61250</v>
      </c>
      <c r="AK24" s="298">
        <v>65000</v>
      </c>
      <c r="AL24">
        <f t="shared" si="134"/>
        <v>39000</v>
      </c>
      <c r="AM24">
        <f t="shared" si="135"/>
        <v>44580</v>
      </c>
      <c r="AN24">
        <f t="shared" si="136"/>
        <v>50160</v>
      </c>
      <c r="AO24">
        <f t="shared" si="137"/>
        <v>55680</v>
      </c>
      <c r="AP24">
        <f t="shared" si="138"/>
        <v>60180</v>
      </c>
      <c r="AQ24">
        <f t="shared" si="139"/>
        <v>64620</v>
      </c>
      <c r="AR24">
        <f t="shared" si="140"/>
        <v>69060</v>
      </c>
      <c r="AS24">
        <f t="shared" si="141"/>
        <v>73500</v>
      </c>
      <c r="AT24">
        <f t="shared" si="142"/>
        <v>78000</v>
      </c>
      <c r="AU24">
        <f t="shared" si="143"/>
        <v>45500</v>
      </c>
      <c r="AV24">
        <f t="shared" si="144"/>
        <v>52010</v>
      </c>
      <c r="AW24">
        <f t="shared" si="145"/>
        <v>58519.999999999993</v>
      </c>
      <c r="AX24">
        <f t="shared" si="146"/>
        <v>64959.999999999993</v>
      </c>
      <c r="AY24">
        <f t="shared" si="147"/>
        <v>70210</v>
      </c>
      <c r="AZ24">
        <f t="shared" si="148"/>
        <v>75390</v>
      </c>
      <c r="BA24">
        <f t="shared" si="149"/>
        <v>80570</v>
      </c>
      <c r="BB24">
        <f t="shared" si="150"/>
        <v>85750</v>
      </c>
      <c r="BC24">
        <f t="shared" si="151"/>
        <v>91000</v>
      </c>
      <c r="BD24">
        <f t="shared" si="155"/>
        <v>52000</v>
      </c>
      <c r="BE24">
        <f t="shared" si="156"/>
        <v>59440</v>
      </c>
      <c r="BF24">
        <f t="shared" si="157"/>
        <v>66880</v>
      </c>
      <c r="BG24">
        <f t="shared" si="158"/>
        <v>74240</v>
      </c>
      <c r="BH24">
        <f t="shared" si="159"/>
        <v>80240</v>
      </c>
      <c r="BI24">
        <f t="shared" si="160"/>
        <v>86160</v>
      </c>
      <c r="BJ24">
        <f t="shared" si="161"/>
        <v>92080</v>
      </c>
      <c r="BK24">
        <f t="shared" si="162"/>
        <v>98000</v>
      </c>
      <c r="BL24">
        <f t="shared" si="163"/>
        <v>104000</v>
      </c>
    </row>
    <row r="25" spans="1:64">
      <c r="A25" s="41" t="s">
        <v>385</v>
      </c>
      <c r="B25">
        <f t="shared" si="152"/>
        <v>14820</v>
      </c>
      <c r="C25">
        <f t="shared" ref="C25:C75" si="164">AD25*0.4</f>
        <v>16940</v>
      </c>
      <c r="D25">
        <f t="shared" ref="D25:D75" si="165">AE25*0.4</f>
        <v>19060</v>
      </c>
      <c r="E25">
        <f t="shared" ref="E25:E75" si="166">AF25*0.4</f>
        <v>21160</v>
      </c>
      <c r="F25">
        <f t="shared" ref="F25:F75" si="167">AG25*0.4</f>
        <v>22860</v>
      </c>
      <c r="G25">
        <f t="shared" ref="G25:G75" si="168">AH25*0.4</f>
        <v>24560</v>
      </c>
      <c r="H25">
        <f t="shared" ref="H25:H75" si="169">AI25*0.4</f>
        <v>26240</v>
      </c>
      <c r="I25">
        <f t="shared" ref="I25:I75" si="170">AJ25*0.4</f>
        <v>27940</v>
      </c>
      <c r="J25">
        <f t="shared" ref="J25:J75" si="171">AK25*0.4</f>
        <v>29640</v>
      </c>
      <c r="K25">
        <f t="shared" si="153"/>
        <v>22230</v>
      </c>
      <c r="L25">
        <f t="shared" ref="L25:L75" si="172">0.6*AD25</f>
        <v>25410</v>
      </c>
      <c r="M25">
        <f t="shared" ref="M25:M75" si="173">0.6*AE25</f>
        <v>28590</v>
      </c>
      <c r="N25">
        <f t="shared" ref="N25:N75" si="174">0.6*AF25</f>
        <v>31740</v>
      </c>
      <c r="O25">
        <f t="shared" ref="O25:O75" si="175">0.6*AG25</f>
        <v>34290</v>
      </c>
      <c r="P25">
        <f t="shared" ref="P25:P75" si="176">0.6*AH25</f>
        <v>36840</v>
      </c>
      <c r="Q25">
        <f t="shared" ref="Q25:Q75" si="177">0.6*AI25</f>
        <v>39360</v>
      </c>
      <c r="R25">
        <f t="shared" ref="R25:R75" si="178">0.6*AJ25</f>
        <v>41910</v>
      </c>
      <c r="S25">
        <f t="shared" ref="S25:S75" si="179">0.6*AK25</f>
        <v>44460</v>
      </c>
      <c r="T25">
        <f t="shared" si="154"/>
        <v>29640</v>
      </c>
      <c r="U25">
        <f t="shared" ref="U25:U75" si="180">0.8*AD25</f>
        <v>33880</v>
      </c>
      <c r="V25">
        <f t="shared" ref="V25:V75" si="181">0.8*AE25</f>
        <v>38120</v>
      </c>
      <c r="W25">
        <f t="shared" ref="W25:W75" si="182">0.8*AF25</f>
        <v>42320</v>
      </c>
      <c r="X25">
        <f t="shared" ref="X25:X75" si="183">0.8*AG25</f>
        <v>45720</v>
      </c>
      <c r="Y25">
        <f t="shared" ref="Y25:Y75" si="184">0.8*AH25</f>
        <v>49120</v>
      </c>
      <c r="Z25">
        <f t="shared" ref="Z25:Z75" si="185">0.8*AI25</f>
        <v>52480</v>
      </c>
      <c r="AA25">
        <f t="shared" ref="AA25:AA75" si="186">0.8*AJ25</f>
        <v>55880</v>
      </c>
      <c r="AB25">
        <f t="shared" ref="AB25:AB75" si="187">0.8*AK25</f>
        <v>59280</v>
      </c>
      <c r="AC25" s="298">
        <v>37050</v>
      </c>
      <c r="AD25" s="298">
        <v>42350</v>
      </c>
      <c r="AE25" s="298">
        <v>47650</v>
      </c>
      <c r="AF25" s="298">
        <v>52900</v>
      </c>
      <c r="AG25" s="298">
        <v>57150</v>
      </c>
      <c r="AH25" s="298">
        <v>61400</v>
      </c>
      <c r="AI25" s="298">
        <v>65600</v>
      </c>
      <c r="AJ25" s="298">
        <v>69850</v>
      </c>
      <c r="AK25" s="298">
        <v>74100</v>
      </c>
      <c r="AL25">
        <f t="shared" si="134"/>
        <v>44460</v>
      </c>
      <c r="AM25">
        <f t="shared" si="135"/>
        <v>50820</v>
      </c>
      <c r="AN25">
        <f t="shared" si="136"/>
        <v>57180</v>
      </c>
      <c r="AO25">
        <f t="shared" si="137"/>
        <v>63480</v>
      </c>
      <c r="AP25">
        <f t="shared" si="138"/>
        <v>68580</v>
      </c>
      <c r="AQ25">
        <f t="shared" si="139"/>
        <v>73680</v>
      </c>
      <c r="AR25">
        <f t="shared" si="140"/>
        <v>78720</v>
      </c>
      <c r="AS25">
        <f t="shared" si="141"/>
        <v>83820</v>
      </c>
      <c r="AT25">
        <f t="shared" si="142"/>
        <v>88920</v>
      </c>
      <c r="AU25">
        <f t="shared" si="143"/>
        <v>51870</v>
      </c>
      <c r="AV25">
        <f t="shared" si="144"/>
        <v>59289.999999999993</v>
      </c>
      <c r="AW25">
        <f t="shared" si="145"/>
        <v>66710</v>
      </c>
      <c r="AX25">
        <f t="shared" si="146"/>
        <v>74060</v>
      </c>
      <c r="AY25">
        <f t="shared" si="147"/>
        <v>80010</v>
      </c>
      <c r="AZ25">
        <f t="shared" si="148"/>
        <v>85960</v>
      </c>
      <c r="BA25">
        <f t="shared" si="149"/>
        <v>91840</v>
      </c>
      <c r="BB25">
        <f t="shared" si="150"/>
        <v>97790</v>
      </c>
      <c r="BC25">
        <f t="shared" si="151"/>
        <v>103740</v>
      </c>
      <c r="BD25">
        <f t="shared" si="155"/>
        <v>59280</v>
      </c>
      <c r="BE25">
        <f t="shared" si="156"/>
        <v>67760</v>
      </c>
      <c r="BF25">
        <f t="shared" si="157"/>
        <v>76240</v>
      </c>
      <c r="BG25">
        <f t="shared" si="158"/>
        <v>84640</v>
      </c>
      <c r="BH25">
        <f t="shared" si="159"/>
        <v>91440</v>
      </c>
      <c r="BI25">
        <f t="shared" si="160"/>
        <v>98240</v>
      </c>
      <c r="BJ25">
        <f t="shared" si="161"/>
        <v>104960</v>
      </c>
      <c r="BK25">
        <f t="shared" si="162"/>
        <v>111760</v>
      </c>
      <c r="BL25">
        <f t="shared" si="163"/>
        <v>118560</v>
      </c>
    </row>
    <row r="26" spans="1:64">
      <c r="A26" s="41" t="s">
        <v>426</v>
      </c>
      <c r="B26">
        <f t="shared" si="152"/>
        <v>13000</v>
      </c>
      <c r="C26">
        <f t="shared" si="164"/>
        <v>14860</v>
      </c>
      <c r="D26">
        <f t="shared" si="165"/>
        <v>16720</v>
      </c>
      <c r="E26">
        <f t="shared" si="166"/>
        <v>18560</v>
      </c>
      <c r="F26">
        <f t="shared" si="167"/>
        <v>20060</v>
      </c>
      <c r="G26">
        <f t="shared" si="168"/>
        <v>21540</v>
      </c>
      <c r="H26">
        <f t="shared" si="169"/>
        <v>23020</v>
      </c>
      <c r="I26">
        <f t="shared" si="170"/>
        <v>24500</v>
      </c>
      <c r="J26">
        <f t="shared" si="171"/>
        <v>26000</v>
      </c>
      <c r="K26">
        <f t="shared" si="153"/>
        <v>19500</v>
      </c>
      <c r="L26">
        <f t="shared" si="172"/>
        <v>22290</v>
      </c>
      <c r="M26">
        <f t="shared" si="173"/>
        <v>25080</v>
      </c>
      <c r="N26">
        <f t="shared" si="174"/>
        <v>27840</v>
      </c>
      <c r="O26">
        <f t="shared" si="175"/>
        <v>30090</v>
      </c>
      <c r="P26">
        <f t="shared" si="176"/>
        <v>32310</v>
      </c>
      <c r="Q26">
        <f t="shared" si="177"/>
        <v>34530</v>
      </c>
      <c r="R26">
        <f t="shared" si="178"/>
        <v>36750</v>
      </c>
      <c r="S26">
        <f t="shared" si="179"/>
        <v>39000</v>
      </c>
      <c r="T26">
        <f t="shared" si="154"/>
        <v>26000</v>
      </c>
      <c r="U26">
        <f t="shared" si="180"/>
        <v>29720</v>
      </c>
      <c r="V26">
        <f t="shared" si="181"/>
        <v>33440</v>
      </c>
      <c r="W26">
        <f t="shared" si="182"/>
        <v>37120</v>
      </c>
      <c r="X26">
        <f t="shared" si="183"/>
        <v>40120</v>
      </c>
      <c r="Y26">
        <f t="shared" si="184"/>
        <v>43080</v>
      </c>
      <c r="Z26">
        <f t="shared" si="185"/>
        <v>46040</v>
      </c>
      <c r="AA26">
        <f t="shared" si="186"/>
        <v>49000</v>
      </c>
      <c r="AB26">
        <f t="shared" si="187"/>
        <v>52000</v>
      </c>
      <c r="AC26" s="1664">
        <v>32500</v>
      </c>
      <c r="AD26" s="1664">
        <v>37150</v>
      </c>
      <c r="AE26" s="1664">
        <v>41800</v>
      </c>
      <c r="AF26" s="1664">
        <v>46400</v>
      </c>
      <c r="AG26" s="1664">
        <v>50150</v>
      </c>
      <c r="AH26" s="1664">
        <v>53850</v>
      </c>
      <c r="AI26" s="1664">
        <v>57550</v>
      </c>
      <c r="AJ26" s="1664">
        <v>61250</v>
      </c>
      <c r="AK26" s="1664">
        <v>65000</v>
      </c>
      <c r="AL26">
        <f t="shared" si="134"/>
        <v>39000</v>
      </c>
      <c r="AM26">
        <f t="shared" si="135"/>
        <v>44580</v>
      </c>
      <c r="AN26">
        <f t="shared" si="136"/>
        <v>50160</v>
      </c>
      <c r="AO26">
        <f t="shared" si="137"/>
        <v>55680</v>
      </c>
      <c r="AP26">
        <f t="shared" si="138"/>
        <v>60180</v>
      </c>
      <c r="AQ26">
        <f t="shared" si="139"/>
        <v>64620</v>
      </c>
      <c r="AR26">
        <f t="shared" si="140"/>
        <v>69060</v>
      </c>
      <c r="AS26">
        <f t="shared" si="141"/>
        <v>73500</v>
      </c>
      <c r="AT26">
        <f t="shared" si="142"/>
        <v>78000</v>
      </c>
      <c r="AU26">
        <f t="shared" si="143"/>
        <v>45500</v>
      </c>
      <c r="AV26">
        <f t="shared" si="144"/>
        <v>52010</v>
      </c>
      <c r="AW26">
        <f t="shared" si="145"/>
        <v>58519.999999999993</v>
      </c>
      <c r="AX26">
        <f t="shared" si="146"/>
        <v>64959.999999999993</v>
      </c>
      <c r="AY26">
        <f t="shared" si="147"/>
        <v>70210</v>
      </c>
      <c r="AZ26">
        <f t="shared" si="148"/>
        <v>75390</v>
      </c>
      <c r="BA26">
        <f t="shared" si="149"/>
        <v>80570</v>
      </c>
      <c r="BB26">
        <f t="shared" si="150"/>
        <v>85750</v>
      </c>
      <c r="BC26">
        <f t="shared" si="151"/>
        <v>91000</v>
      </c>
      <c r="BD26">
        <f t="shared" si="155"/>
        <v>52000</v>
      </c>
      <c r="BE26">
        <f t="shared" si="156"/>
        <v>59440</v>
      </c>
      <c r="BF26">
        <f t="shared" si="157"/>
        <v>66880</v>
      </c>
      <c r="BG26">
        <f t="shared" si="158"/>
        <v>74240</v>
      </c>
      <c r="BH26">
        <f t="shared" si="159"/>
        <v>80240</v>
      </c>
      <c r="BI26">
        <f t="shared" si="160"/>
        <v>86160</v>
      </c>
      <c r="BJ26">
        <f t="shared" si="161"/>
        <v>92080</v>
      </c>
      <c r="BK26">
        <f t="shared" si="162"/>
        <v>98000</v>
      </c>
      <c r="BL26">
        <f t="shared" si="163"/>
        <v>104000</v>
      </c>
    </row>
    <row r="27" spans="1:64">
      <c r="A27" s="41" t="s">
        <v>390</v>
      </c>
      <c r="B27">
        <f t="shared" si="152"/>
        <v>15880</v>
      </c>
      <c r="C27">
        <f t="shared" si="164"/>
        <v>18160</v>
      </c>
      <c r="D27">
        <f t="shared" si="165"/>
        <v>20420</v>
      </c>
      <c r="E27">
        <f t="shared" si="166"/>
        <v>22680</v>
      </c>
      <c r="F27">
        <f t="shared" si="167"/>
        <v>24500</v>
      </c>
      <c r="G27">
        <f t="shared" si="168"/>
        <v>26320</v>
      </c>
      <c r="H27">
        <f t="shared" si="169"/>
        <v>28140</v>
      </c>
      <c r="I27">
        <f t="shared" si="170"/>
        <v>29940</v>
      </c>
      <c r="J27">
        <f t="shared" si="171"/>
        <v>31760</v>
      </c>
      <c r="K27">
        <f t="shared" si="153"/>
        <v>23820</v>
      </c>
      <c r="L27">
        <f t="shared" si="172"/>
        <v>27240</v>
      </c>
      <c r="M27">
        <f t="shared" si="173"/>
        <v>30630</v>
      </c>
      <c r="N27">
        <f t="shared" si="174"/>
        <v>34020</v>
      </c>
      <c r="O27">
        <f t="shared" si="175"/>
        <v>36750</v>
      </c>
      <c r="P27">
        <f t="shared" si="176"/>
        <v>39480</v>
      </c>
      <c r="Q27">
        <f t="shared" si="177"/>
        <v>42210</v>
      </c>
      <c r="R27">
        <f t="shared" si="178"/>
        <v>44910</v>
      </c>
      <c r="S27">
        <f t="shared" si="179"/>
        <v>47640</v>
      </c>
      <c r="T27">
        <f t="shared" si="154"/>
        <v>31760</v>
      </c>
      <c r="U27">
        <f t="shared" si="180"/>
        <v>36320</v>
      </c>
      <c r="V27">
        <f t="shared" si="181"/>
        <v>40840</v>
      </c>
      <c r="W27">
        <f t="shared" si="182"/>
        <v>45360</v>
      </c>
      <c r="X27">
        <f t="shared" si="183"/>
        <v>49000</v>
      </c>
      <c r="Y27">
        <f t="shared" si="184"/>
        <v>52640</v>
      </c>
      <c r="Z27">
        <f t="shared" si="185"/>
        <v>56280</v>
      </c>
      <c r="AA27">
        <f t="shared" si="186"/>
        <v>59880</v>
      </c>
      <c r="AB27">
        <f t="shared" si="187"/>
        <v>63520</v>
      </c>
      <c r="AC27" s="298">
        <v>39700</v>
      </c>
      <c r="AD27" s="298">
        <v>45400</v>
      </c>
      <c r="AE27" s="298">
        <v>51050</v>
      </c>
      <c r="AF27" s="298">
        <v>56700</v>
      </c>
      <c r="AG27" s="298">
        <v>61250</v>
      </c>
      <c r="AH27" s="298">
        <v>65800</v>
      </c>
      <c r="AI27" s="298">
        <v>70350</v>
      </c>
      <c r="AJ27" s="298">
        <v>74850</v>
      </c>
      <c r="AK27" s="298">
        <v>79400</v>
      </c>
      <c r="AL27">
        <f t="shared" si="134"/>
        <v>47640</v>
      </c>
      <c r="AM27">
        <f t="shared" si="135"/>
        <v>54480</v>
      </c>
      <c r="AN27">
        <f t="shared" si="136"/>
        <v>61260</v>
      </c>
      <c r="AO27">
        <f t="shared" si="137"/>
        <v>68040</v>
      </c>
      <c r="AP27">
        <f t="shared" si="138"/>
        <v>73500</v>
      </c>
      <c r="AQ27">
        <f t="shared" si="139"/>
        <v>78960</v>
      </c>
      <c r="AR27">
        <f t="shared" si="140"/>
        <v>84420</v>
      </c>
      <c r="AS27">
        <f t="shared" si="141"/>
        <v>89820</v>
      </c>
      <c r="AT27">
        <f t="shared" si="142"/>
        <v>95280</v>
      </c>
      <c r="AU27">
        <f t="shared" si="143"/>
        <v>55580</v>
      </c>
      <c r="AV27">
        <f t="shared" si="144"/>
        <v>63559.999999999993</v>
      </c>
      <c r="AW27">
        <f t="shared" si="145"/>
        <v>71470</v>
      </c>
      <c r="AX27">
        <f t="shared" si="146"/>
        <v>79380</v>
      </c>
      <c r="AY27">
        <f t="shared" si="147"/>
        <v>85750</v>
      </c>
      <c r="AZ27">
        <f t="shared" si="148"/>
        <v>92120</v>
      </c>
      <c r="BA27">
        <f t="shared" si="149"/>
        <v>98490</v>
      </c>
      <c r="BB27">
        <f t="shared" si="150"/>
        <v>104790</v>
      </c>
      <c r="BC27">
        <f t="shared" si="151"/>
        <v>111160</v>
      </c>
      <c r="BD27">
        <f t="shared" si="155"/>
        <v>63520</v>
      </c>
      <c r="BE27">
        <f t="shared" si="156"/>
        <v>72640</v>
      </c>
      <c r="BF27">
        <f t="shared" si="157"/>
        <v>81680</v>
      </c>
      <c r="BG27">
        <f t="shared" si="158"/>
        <v>90720</v>
      </c>
      <c r="BH27">
        <f t="shared" si="159"/>
        <v>98000</v>
      </c>
      <c r="BI27">
        <f t="shared" si="160"/>
        <v>105280</v>
      </c>
      <c r="BJ27">
        <f t="shared" si="161"/>
        <v>112560</v>
      </c>
      <c r="BK27">
        <f t="shared" si="162"/>
        <v>119760</v>
      </c>
      <c r="BL27">
        <f t="shared" si="163"/>
        <v>127040</v>
      </c>
    </row>
    <row r="28" spans="1:64">
      <c r="A28" s="41" t="s">
        <v>431</v>
      </c>
      <c r="B28">
        <f t="shared" si="152"/>
        <v>13000</v>
      </c>
      <c r="C28">
        <f t="shared" si="164"/>
        <v>14860</v>
      </c>
      <c r="D28">
        <f t="shared" si="165"/>
        <v>16720</v>
      </c>
      <c r="E28">
        <f t="shared" si="166"/>
        <v>18560</v>
      </c>
      <c r="F28">
        <f t="shared" si="167"/>
        <v>20060</v>
      </c>
      <c r="G28">
        <f t="shared" si="168"/>
        <v>21540</v>
      </c>
      <c r="H28">
        <f t="shared" si="169"/>
        <v>23020</v>
      </c>
      <c r="I28">
        <f t="shared" si="170"/>
        <v>24500</v>
      </c>
      <c r="J28">
        <f t="shared" si="171"/>
        <v>26000</v>
      </c>
      <c r="K28">
        <f t="shared" si="153"/>
        <v>19500</v>
      </c>
      <c r="L28">
        <f t="shared" si="172"/>
        <v>22290</v>
      </c>
      <c r="M28">
        <f t="shared" si="173"/>
        <v>25080</v>
      </c>
      <c r="N28">
        <f t="shared" si="174"/>
        <v>27840</v>
      </c>
      <c r="O28">
        <f t="shared" si="175"/>
        <v>30090</v>
      </c>
      <c r="P28">
        <f t="shared" si="176"/>
        <v>32310</v>
      </c>
      <c r="Q28">
        <f t="shared" si="177"/>
        <v>34530</v>
      </c>
      <c r="R28">
        <f t="shared" si="178"/>
        <v>36750</v>
      </c>
      <c r="S28">
        <f t="shared" si="179"/>
        <v>39000</v>
      </c>
      <c r="T28">
        <f t="shared" si="154"/>
        <v>26000</v>
      </c>
      <c r="U28">
        <f t="shared" si="180"/>
        <v>29720</v>
      </c>
      <c r="V28">
        <f t="shared" si="181"/>
        <v>33440</v>
      </c>
      <c r="W28">
        <f t="shared" si="182"/>
        <v>37120</v>
      </c>
      <c r="X28">
        <f t="shared" si="183"/>
        <v>40120</v>
      </c>
      <c r="Y28">
        <f t="shared" si="184"/>
        <v>43080</v>
      </c>
      <c r="Z28">
        <f t="shared" si="185"/>
        <v>46040</v>
      </c>
      <c r="AA28">
        <f t="shared" si="186"/>
        <v>49000</v>
      </c>
      <c r="AB28">
        <f t="shared" si="187"/>
        <v>52000</v>
      </c>
      <c r="AC28" s="1664">
        <v>32500</v>
      </c>
      <c r="AD28" s="1664">
        <v>37150</v>
      </c>
      <c r="AE28" s="1664">
        <v>41800</v>
      </c>
      <c r="AF28" s="1664">
        <v>46400</v>
      </c>
      <c r="AG28" s="1664">
        <v>50150</v>
      </c>
      <c r="AH28" s="1664">
        <v>53850</v>
      </c>
      <c r="AI28" s="1664">
        <v>57550</v>
      </c>
      <c r="AJ28" s="1664">
        <v>61250</v>
      </c>
      <c r="AK28" s="1664">
        <v>65000</v>
      </c>
      <c r="AL28">
        <f t="shared" si="134"/>
        <v>39000</v>
      </c>
      <c r="AM28">
        <f t="shared" si="135"/>
        <v>44580</v>
      </c>
      <c r="AN28">
        <f t="shared" si="136"/>
        <v>50160</v>
      </c>
      <c r="AO28">
        <f t="shared" si="137"/>
        <v>55680</v>
      </c>
      <c r="AP28">
        <f t="shared" si="138"/>
        <v>60180</v>
      </c>
      <c r="AQ28">
        <f t="shared" si="139"/>
        <v>64620</v>
      </c>
      <c r="AR28">
        <f t="shared" si="140"/>
        <v>69060</v>
      </c>
      <c r="AS28">
        <f t="shared" si="141"/>
        <v>73500</v>
      </c>
      <c r="AT28">
        <f t="shared" si="142"/>
        <v>78000</v>
      </c>
      <c r="AU28">
        <f t="shared" si="143"/>
        <v>45500</v>
      </c>
      <c r="AV28">
        <f t="shared" si="144"/>
        <v>52010</v>
      </c>
      <c r="AW28">
        <f t="shared" si="145"/>
        <v>58519.999999999993</v>
      </c>
      <c r="AX28">
        <f t="shared" si="146"/>
        <v>64959.999999999993</v>
      </c>
      <c r="AY28">
        <f t="shared" si="147"/>
        <v>70210</v>
      </c>
      <c r="AZ28">
        <f t="shared" si="148"/>
        <v>75390</v>
      </c>
      <c r="BA28">
        <f t="shared" si="149"/>
        <v>80570</v>
      </c>
      <c r="BB28">
        <f t="shared" si="150"/>
        <v>85750</v>
      </c>
      <c r="BC28">
        <f t="shared" si="151"/>
        <v>91000</v>
      </c>
      <c r="BD28">
        <f t="shared" si="155"/>
        <v>52000</v>
      </c>
      <c r="BE28">
        <f t="shared" si="156"/>
        <v>59440</v>
      </c>
      <c r="BF28">
        <f t="shared" si="157"/>
        <v>66880</v>
      </c>
      <c r="BG28">
        <f t="shared" si="158"/>
        <v>74240</v>
      </c>
      <c r="BH28">
        <f t="shared" si="159"/>
        <v>80240</v>
      </c>
      <c r="BI28">
        <f t="shared" si="160"/>
        <v>86160</v>
      </c>
      <c r="BJ28">
        <f t="shared" si="161"/>
        <v>92080</v>
      </c>
      <c r="BK28">
        <f t="shared" si="162"/>
        <v>98000</v>
      </c>
      <c r="BL28">
        <f t="shared" si="163"/>
        <v>104000</v>
      </c>
    </row>
    <row r="29" spans="1:64">
      <c r="A29" s="41" t="s">
        <v>433</v>
      </c>
      <c r="B29">
        <f t="shared" si="152"/>
        <v>13000</v>
      </c>
      <c r="C29">
        <f t="shared" si="164"/>
        <v>14860</v>
      </c>
      <c r="D29">
        <f t="shared" si="165"/>
        <v>16720</v>
      </c>
      <c r="E29">
        <f t="shared" si="166"/>
        <v>18560</v>
      </c>
      <c r="F29">
        <f t="shared" si="167"/>
        <v>20060</v>
      </c>
      <c r="G29">
        <f t="shared" si="168"/>
        <v>21540</v>
      </c>
      <c r="H29">
        <f t="shared" si="169"/>
        <v>23020</v>
      </c>
      <c r="I29">
        <f t="shared" si="170"/>
        <v>24500</v>
      </c>
      <c r="J29">
        <f t="shared" si="171"/>
        <v>26000</v>
      </c>
      <c r="K29">
        <f t="shared" si="153"/>
        <v>19500</v>
      </c>
      <c r="L29">
        <f t="shared" si="172"/>
        <v>22290</v>
      </c>
      <c r="M29">
        <f t="shared" si="173"/>
        <v>25080</v>
      </c>
      <c r="N29">
        <f t="shared" si="174"/>
        <v>27840</v>
      </c>
      <c r="O29">
        <f t="shared" si="175"/>
        <v>30090</v>
      </c>
      <c r="P29">
        <f t="shared" si="176"/>
        <v>32310</v>
      </c>
      <c r="Q29">
        <f t="shared" si="177"/>
        <v>34530</v>
      </c>
      <c r="R29">
        <f t="shared" si="178"/>
        <v>36750</v>
      </c>
      <c r="S29">
        <f t="shared" si="179"/>
        <v>39000</v>
      </c>
      <c r="T29">
        <f t="shared" si="154"/>
        <v>26000</v>
      </c>
      <c r="U29">
        <f t="shared" si="180"/>
        <v>29720</v>
      </c>
      <c r="V29">
        <f t="shared" si="181"/>
        <v>33440</v>
      </c>
      <c r="W29">
        <f t="shared" si="182"/>
        <v>37120</v>
      </c>
      <c r="X29">
        <f t="shared" si="183"/>
        <v>40120</v>
      </c>
      <c r="Y29">
        <f t="shared" si="184"/>
        <v>43080</v>
      </c>
      <c r="Z29">
        <f t="shared" si="185"/>
        <v>46040</v>
      </c>
      <c r="AA29">
        <f t="shared" si="186"/>
        <v>49000</v>
      </c>
      <c r="AB29">
        <f t="shared" si="187"/>
        <v>52000</v>
      </c>
      <c r="AC29" s="1664">
        <v>32500</v>
      </c>
      <c r="AD29" s="1664">
        <v>37150</v>
      </c>
      <c r="AE29" s="1664">
        <v>41800</v>
      </c>
      <c r="AF29" s="1664">
        <v>46400</v>
      </c>
      <c r="AG29" s="1664">
        <v>50150</v>
      </c>
      <c r="AH29" s="1664">
        <v>53850</v>
      </c>
      <c r="AI29" s="1664">
        <v>57550</v>
      </c>
      <c r="AJ29" s="1664">
        <v>61250</v>
      </c>
      <c r="AK29" s="1664">
        <v>65000</v>
      </c>
      <c r="AL29">
        <f t="shared" si="134"/>
        <v>39000</v>
      </c>
      <c r="AM29">
        <f t="shared" si="135"/>
        <v>44580</v>
      </c>
      <c r="AN29">
        <f t="shared" si="136"/>
        <v>50160</v>
      </c>
      <c r="AO29">
        <f t="shared" si="137"/>
        <v>55680</v>
      </c>
      <c r="AP29">
        <f t="shared" si="138"/>
        <v>60180</v>
      </c>
      <c r="AQ29">
        <f t="shared" si="139"/>
        <v>64620</v>
      </c>
      <c r="AR29">
        <f t="shared" si="140"/>
        <v>69060</v>
      </c>
      <c r="AS29">
        <f t="shared" si="141"/>
        <v>73500</v>
      </c>
      <c r="AT29">
        <f t="shared" si="142"/>
        <v>78000</v>
      </c>
      <c r="AU29">
        <f t="shared" si="143"/>
        <v>45500</v>
      </c>
      <c r="AV29">
        <f t="shared" si="144"/>
        <v>52010</v>
      </c>
      <c r="AW29">
        <f t="shared" si="145"/>
        <v>58519.999999999993</v>
      </c>
      <c r="AX29">
        <f t="shared" si="146"/>
        <v>64959.999999999993</v>
      </c>
      <c r="AY29">
        <f t="shared" si="147"/>
        <v>70210</v>
      </c>
      <c r="AZ29">
        <f t="shared" si="148"/>
        <v>75390</v>
      </c>
      <c r="BA29">
        <f t="shared" si="149"/>
        <v>80570</v>
      </c>
      <c r="BB29">
        <f t="shared" si="150"/>
        <v>85750</v>
      </c>
      <c r="BC29">
        <f t="shared" si="151"/>
        <v>91000</v>
      </c>
      <c r="BD29">
        <f t="shared" si="155"/>
        <v>52000</v>
      </c>
      <c r="BE29">
        <f t="shared" si="156"/>
        <v>59440</v>
      </c>
      <c r="BF29">
        <f t="shared" si="157"/>
        <v>66880</v>
      </c>
      <c r="BG29">
        <f t="shared" si="158"/>
        <v>74240</v>
      </c>
      <c r="BH29">
        <f t="shared" si="159"/>
        <v>80240</v>
      </c>
      <c r="BI29">
        <f t="shared" si="160"/>
        <v>86160</v>
      </c>
      <c r="BJ29">
        <f t="shared" si="161"/>
        <v>92080</v>
      </c>
      <c r="BK29">
        <f t="shared" si="162"/>
        <v>98000</v>
      </c>
      <c r="BL29">
        <f t="shared" si="163"/>
        <v>104000</v>
      </c>
    </row>
    <row r="30" spans="1:64">
      <c r="A30" s="41" t="s">
        <v>435</v>
      </c>
      <c r="B30">
        <f t="shared" si="152"/>
        <v>15340</v>
      </c>
      <c r="C30">
        <f t="shared" si="164"/>
        <v>17540</v>
      </c>
      <c r="D30">
        <f t="shared" si="165"/>
        <v>19740</v>
      </c>
      <c r="E30">
        <f t="shared" si="166"/>
        <v>21920</v>
      </c>
      <c r="F30">
        <f t="shared" si="167"/>
        <v>23680</v>
      </c>
      <c r="G30">
        <f t="shared" si="168"/>
        <v>25440</v>
      </c>
      <c r="H30">
        <f t="shared" si="169"/>
        <v>27180</v>
      </c>
      <c r="I30">
        <f t="shared" si="170"/>
        <v>28940</v>
      </c>
      <c r="J30">
        <f t="shared" si="171"/>
        <v>30700</v>
      </c>
      <c r="K30">
        <f t="shared" si="153"/>
        <v>23010</v>
      </c>
      <c r="L30">
        <f t="shared" si="172"/>
        <v>26310</v>
      </c>
      <c r="M30">
        <f t="shared" si="173"/>
        <v>29610</v>
      </c>
      <c r="N30">
        <f t="shared" si="174"/>
        <v>32880</v>
      </c>
      <c r="O30">
        <f t="shared" si="175"/>
        <v>35520</v>
      </c>
      <c r="P30">
        <f t="shared" si="176"/>
        <v>38160</v>
      </c>
      <c r="Q30">
        <f t="shared" si="177"/>
        <v>40770</v>
      </c>
      <c r="R30">
        <f t="shared" si="178"/>
        <v>43410</v>
      </c>
      <c r="S30">
        <f t="shared" si="179"/>
        <v>46050</v>
      </c>
      <c r="T30">
        <f t="shared" si="154"/>
        <v>30680</v>
      </c>
      <c r="U30">
        <f t="shared" si="180"/>
        <v>35080</v>
      </c>
      <c r="V30">
        <f t="shared" si="181"/>
        <v>39480</v>
      </c>
      <c r="W30">
        <f t="shared" si="182"/>
        <v>43840</v>
      </c>
      <c r="X30">
        <f t="shared" si="183"/>
        <v>47360</v>
      </c>
      <c r="Y30">
        <f t="shared" si="184"/>
        <v>50880</v>
      </c>
      <c r="Z30">
        <f t="shared" si="185"/>
        <v>54360</v>
      </c>
      <c r="AA30">
        <f t="shared" si="186"/>
        <v>57880</v>
      </c>
      <c r="AB30">
        <f t="shared" si="187"/>
        <v>61400</v>
      </c>
      <c r="AC30" s="298">
        <v>38350</v>
      </c>
      <c r="AD30" s="298">
        <v>43850</v>
      </c>
      <c r="AE30" s="298">
        <v>49350</v>
      </c>
      <c r="AF30" s="298">
        <v>54800</v>
      </c>
      <c r="AG30" s="298">
        <v>59200</v>
      </c>
      <c r="AH30" s="298">
        <v>63600</v>
      </c>
      <c r="AI30" s="298">
        <v>67950</v>
      </c>
      <c r="AJ30" s="298">
        <v>72350</v>
      </c>
      <c r="AK30" s="298">
        <v>76750</v>
      </c>
      <c r="AL30">
        <f t="shared" si="134"/>
        <v>46020</v>
      </c>
      <c r="AM30">
        <f t="shared" si="135"/>
        <v>52620</v>
      </c>
      <c r="AN30">
        <f t="shared" si="136"/>
        <v>59220</v>
      </c>
      <c r="AO30">
        <f t="shared" si="137"/>
        <v>65760</v>
      </c>
      <c r="AP30">
        <f t="shared" si="138"/>
        <v>71040</v>
      </c>
      <c r="AQ30">
        <f t="shared" si="139"/>
        <v>76320</v>
      </c>
      <c r="AR30">
        <f t="shared" si="140"/>
        <v>81540</v>
      </c>
      <c r="AS30">
        <f t="shared" si="141"/>
        <v>86820</v>
      </c>
      <c r="AT30">
        <f t="shared" si="142"/>
        <v>92100</v>
      </c>
      <c r="AU30">
        <f t="shared" si="143"/>
        <v>53690</v>
      </c>
      <c r="AV30">
        <f t="shared" si="144"/>
        <v>61389.999999999993</v>
      </c>
      <c r="AW30">
        <f t="shared" si="145"/>
        <v>69090</v>
      </c>
      <c r="AX30">
        <f t="shared" si="146"/>
        <v>76720</v>
      </c>
      <c r="AY30">
        <f t="shared" si="147"/>
        <v>82880</v>
      </c>
      <c r="AZ30">
        <f t="shared" si="148"/>
        <v>89040</v>
      </c>
      <c r="BA30">
        <f t="shared" si="149"/>
        <v>95130</v>
      </c>
      <c r="BB30">
        <f t="shared" si="150"/>
        <v>101290</v>
      </c>
      <c r="BC30">
        <f t="shared" si="151"/>
        <v>107450</v>
      </c>
      <c r="BD30">
        <f t="shared" si="155"/>
        <v>61360</v>
      </c>
      <c r="BE30">
        <f t="shared" si="156"/>
        <v>70160</v>
      </c>
      <c r="BF30">
        <f t="shared" si="157"/>
        <v>78960</v>
      </c>
      <c r="BG30">
        <f t="shared" si="158"/>
        <v>87680</v>
      </c>
      <c r="BH30">
        <f t="shared" si="159"/>
        <v>94720</v>
      </c>
      <c r="BI30">
        <f t="shared" si="160"/>
        <v>101760</v>
      </c>
      <c r="BJ30">
        <f t="shared" si="161"/>
        <v>108720</v>
      </c>
      <c r="BK30">
        <f t="shared" si="162"/>
        <v>115760</v>
      </c>
      <c r="BL30">
        <f t="shared" si="163"/>
        <v>122800</v>
      </c>
    </row>
    <row r="31" spans="1:64">
      <c r="A31" s="41" t="s">
        <v>437</v>
      </c>
      <c r="B31">
        <f t="shared" si="152"/>
        <v>13000</v>
      </c>
      <c r="C31">
        <f t="shared" si="164"/>
        <v>14860</v>
      </c>
      <c r="D31">
        <f t="shared" si="165"/>
        <v>16720</v>
      </c>
      <c r="E31">
        <f t="shared" si="166"/>
        <v>18560</v>
      </c>
      <c r="F31">
        <f t="shared" si="167"/>
        <v>20060</v>
      </c>
      <c r="G31">
        <f t="shared" si="168"/>
        <v>21540</v>
      </c>
      <c r="H31">
        <f t="shared" si="169"/>
        <v>23020</v>
      </c>
      <c r="I31">
        <f t="shared" si="170"/>
        <v>24500</v>
      </c>
      <c r="J31">
        <f t="shared" si="171"/>
        <v>26000</v>
      </c>
      <c r="K31">
        <f t="shared" si="153"/>
        <v>19500</v>
      </c>
      <c r="L31">
        <f t="shared" si="172"/>
        <v>22290</v>
      </c>
      <c r="M31">
        <f t="shared" si="173"/>
        <v>25080</v>
      </c>
      <c r="N31">
        <f t="shared" si="174"/>
        <v>27840</v>
      </c>
      <c r="O31">
        <f t="shared" si="175"/>
        <v>30090</v>
      </c>
      <c r="P31">
        <f t="shared" si="176"/>
        <v>32310</v>
      </c>
      <c r="Q31">
        <f t="shared" si="177"/>
        <v>34530</v>
      </c>
      <c r="R31">
        <f t="shared" si="178"/>
        <v>36750</v>
      </c>
      <c r="S31">
        <f t="shared" si="179"/>
        <v>39000</v>
      </c>
      <c r="T31">
        <f t="shared" si="154"/>
        <v>26000</v>
      </c>
      <c r="U31">
        <f t="shared" si="180"/>
        <v>29720</v>
      </c>
      <c r="V31">
        <f t="shared" si="181"/>
        <v>33440</v>
      </c>
      <c r="W31">
        <f t="shared" si="182"/>
        <v>37120</v>
      </c>
      <c r="X31">
        <f t="shared" si="183"/>
        <v>40120</v>
      </c>
      <c r="Y31">
        <f t="shared" si="184"/>
        <v>43080</v>
      </c>
      <c r="Z31">
        <f t="shared" si="185"/>
        <v>46040</v>
      </c>
      <c r="AA31">
        <f t="shared" si="186"/>
        <v>49000</v>
      </c>
      <c r="AB31">
        <f t="shared" si="187"/>
        <v>52000</v>
      </c>
      <c r="AC31" s="1664">
        <v>32500</v>
      </c>
      <c r="AD31" s="1664">
        <v>37150</v>
      </c>
      <c r="AE31" s="1664">
        <v>41800</v>
      </c>
      <c r="AF31" s="1664">
        <v>46400</v>
      </c>
      <c r="AG31" s="1664">
        <v>50150</v>
      </c>
      <c r="AH31" s="1664">
        <v>53850</v>
      </c>
      <c r="AI31" s="1664">
        <v>57550</v>
      </c>
      <c r="AJ31" s="1664">
        <v>61250</v>
      </c>
      <c r="AK31" s="1664">
        <v>65000</v>
      </c>
      <c r="AL31">
        <f t="shared" si="134"/>
        <v>39000</v>
      </c>
      <c r="AM31">
        <f t="shared" si="135"/>
        <v>44580</v>
      </c>
      <c r="AN31">
        <f t="shared" si="136"/>
        <v>50160</v>
      </c>
      <c r="AO31">
        <f t="shared" si="137"/>
        <v>55680</v>
      </c>
      <c r="AP31">
        <f t="shared" si="138"/>
        <v>60180</v>
      </c>
      <c r="AQ31">
        <f t="shared" si="139"/>
        <v>64620</v>
      </c>
      <c r="AR31">
        <f t="shared" si="140"/>
        <v>69060</v>
      </c>
      <c r="AS31">
        <f t="shared" si="141"/>
        <v>73500</v>
      </c>
      <c r="AT31">
        <f t="shared" si="142"/>
        <v>78000</v>
      </c>
      <c r="AU31">
        <f t="shared" si="143"/>
        <v>45500</v>
      </c>
      <c r="AV31">
        <f t="shared" si="144"/>
        <v>52010</v>
      </c>
      <c r="AW31">
        <f t="shared" si="145"/>
        <v>58519.999999999993</v>
      </c>
      <c r="AX31">
        <f t="shared" si="146"/>
        <v>64959.999999999993</v>
      </c>
      <c r="AY31">
        <f t="shared" si="147"/>
        <v>70210</v>
      </c>
      <c r="AZ31">
        <f t="shared" si="148"/>
        <v>75390</v>
      </c>
      <c r="BA31">
        <f t="shared" si="149"/>
        <v>80570</v>
      </c>
      <c r="BB31">
        <f t="shared" si="150"/>
        <v>85750</v>
      </c>
      <c r="BC31">
        <f t="shared" si="151"/>
        <v>91000</v>
      </c>
      <c r="BD31">
        <f t="shared" si="155"/>
        <v>52000</v>
      </c>
      <c r="BE31">
        <f t="shared" si="156"/>
        <v>59440</v>
      </c>
      <c r="BF31">
        <f t="shared" si="157"/>
        <v>66880</v>
      </c>
      <c r="BG31">
        <f t="shared" si="158"/>
        <v>74240</v>
      </c>
      <c r="BH31">
        <f t="shared" si="159"/>
        <v>80240</v>
      </c>
      <c r="BI31">
        <f t="shared" si="160"/>
        <v>86160</v>
      </c>
      <c r="BJ31">
        <f t="shared" si="161"/>
        <v>92080</v>
      </c>
      <c r="BK31">
        <f t="shared" si="162"/>
        <v>98000</v>
      </c>
      <c r="BL31">
        <f t="shared" si="163"/>
        <v>104000</v>
      </c>
    </row>
    <row r="32" spans="1:64">
      <c r="A32" s="41" t="s">
        <v>393</v>
      </c>
      <c r="B32">
        <f t="shared" si="152"/>
        <v>14960</v>
      </c>
      <c r="C32">
        <f t="shared" si="164"/>
        <v>17100</v>
      </c>
      <c r="D32">
        <f t="shared" si="165"/>
        <v>19240</v>
      </c>
      <c r="E32">
        <f t="shared" si="166"/>
        <v>21360</v>
      </c>
      <c r="F32">
        <f t="shared" si="167"/>
        <v>23080</v>
      </c>
      <c r="G32">
        <f t="shared" si="168"/>
        <v>24780</v>
      </c>
      <c r="H32">
        <f t="shared" si="169"/>
        <v>26480</v>
      </c>
      <c r="I32">
        <f t="shared" si="170"/>
        <v>28200</v>
      </c>
      <c r="J32">
        <f t="shared" si="171"/>
        <v>29920</v>
      </c>
      <c r="K32">
        <f t="shared" si="153"/>
        <v>22440</v>
      </c>
      <c r="L32">
        <f t="shared" si="172"/>
        <v>25650</v>
      </c>
      <c r="M32">
        <f t="shared" si="173"/>
        <v>28860</v>
      </c>
      <c r="N32">
        <f t="shared" si="174"/>
        <v>32040</v>
      </c>
      <c r="O32">
        <f t="shared" si="175"/>
        <v>34620</v>
      </c>
      <c r="P32">
        <f t="shared" si="176"/>
        <v>37170</v>
      </c>
      <c r="Q32">
        <f t="shared" si="177"/>
        <v>39720</v>
      </c>
      <c r="R32">
        <f t="shared" si="178"/>
        <v>42300</v>
      </c>
      <c r="S32">
        <f t="shared" si="179"/>
        <v>44880</v>
      </c>
      <c r="T32">
        <f t="shared" si="154"/>
        <v>29920</v>
      </c>
      <c r="U32">
        <f t="shared" si="180"/>
        <v>34200</v>
      </c>
      <c r="V32">
        <f t="shared" si="181"/>
        <v>38480</v>
      </c>
      <c r="W32">
        <f t="shared" si="182"/>
        <v>42720</v>
      </c>
      <c r="X32">
        <f t="shared" si="183"/>
        <v>46160</v>
      </c>
      <c r="Y32">
        <f t="shared" si="184"/>
        <v>49560</v>
      </c>
      <c r="Z32">
        <f t="shared" si="185"/>
        <v>52960</v>
      </c>
      <c r="AA32">
        <f t="shared" si="186"/>
        <v>56400</v>
      </c>
      <c r="AB32">
        <f t="shared" si="187"/>
        <v>59840</v>
      </c>
      <c r="AC32" s="298">
        <v>37400</v>
      </c>
      <c r="AD32" s="298">
        <v>42750</v>
      </c>
      <c r="AE32" s="298">
        <v>48100</v>
      </c>
      <c r="AF32" s="298">
        <v>53400</v>
      </c>
      <c r="AG32" s="298">
        <v>57700</v>
      </c>
      <c r="AH32" s="298">
        <v>61950</v>
      </c>
      <c r="AI32" s="298">
        <v>66200</v>
      </c>
      <c r="AJ32" s="298">
        <v>70500</v>
      </c>
      <c r="AK32" s="298">
        <v>74800</v>
      </c>
      <c r="AL32">
        <f t="shared" si="134"/>
        <v>44880</v>
      </c>
      <c r="AM32">
        <f t="shared" si="135"/>
        <v>51300</v>
      </c>
      <c r="AN32">
        <f t="shared" si="136"/>
        <v>57720</v>
      </c>
      <c r="AO32">
        <f t="shared" si="137"/>
        <v>64080</v>
      </c>
      <c r="AP32">
        <f t="shared" si="138"/>
        <v>69240</v>
      </c>
      <c r="AQ32">
        <f t="shared" si="139"/>
        <v>74340</v>
      </c>
      <c r="AR32">
        <f t="shared" si="140"/>
        <v>79440</v>
      </c>
      <c r="AS32">
        <f t="shared" si="141"/>
        <v>84600</v>
      </c>
      <c r="AT32">
        <f t="shared" si="142"/>
        <v>89760</v>
      </c>
      <c r="AU32">
        <f t="shared" si="143"/>
        <v>52360</v>
      </c>
      <c r="AV32">
        <f t="shared" si="144"/>
        <v>59849.999999999993</v>
      </c>
      <c r="AW32">
        <f t="shared" si="145"/>
        <v>67340</v>
      </c>
      <c r="AX32">
        <f t="shared" si="146"/>
        <v>74760</v>
      </c>
      <c r="AY32">
        <f t="shared" si="147"/>
        <v>80780</v>
      </c>
      <c r="AZ32">
        <f t="shared" si="148"/>
        <v>86730</v>
      </c>
      <c r="BA32">
        <f t="shared" si="149"/>
        <v>92680</v>
      </c>
      <c r="BB32">
        <f t="shared" si="150"/>
        <v>98700</v>
      </c>
      <c r="BC32">
        <f t="shared" si="151"/>
        <v>104720</v>
      </c>
      <c r="BD32">
        <f t="shared" si="155"/>
        <v>59840</v>
      </c>
      <c r="BE32">
        <f t="shared" si="156"/>
        <v>68400</v>
      </c>
      <c r="BF32">
        <f t="shared" si="157"/>
        <v>76960</v>
      </c>
      <c r="BG32">
        <f t="shared" si="158"/>
        <v>85440</v>
      </c>
      <c r="BH32">
        <f t="shared" si="159"/>
        <v>92320</v>
      </c>
      <c r="BI32">
        <f t="shared" si="160"/>
        <v>99120</v>
      </c>
      <c r="BJ32">
        <f t="shared" si="161"/>
        <v>105920</v>
      </c>
      <c r="BK32">
        <f t="shared" si="162"/>
        <v>112800</v>
      </c>
      <c r="BL32">
        <f t="shared" si="163"/>
        <v>119680</v>
      </c>
    </row>
    <row r="33" spans="1:64">
      <c r="A33" s="41" t="s">
        <v>440</v>
      </c>
      <c r="B33">
        <f t="shared" si="152"/>
        <v>14980</v>
      </c>
      <c r="C33">
        <f t="shared" si="164"/>
        <v>17120</v>
      </c>
      <c r="D33">
        <f t="shared" si="165"/>
        <v>19260</v>
      </c>
      <c r="E33">
        <f t="shared" si="166"/>
        <v>21400</v>
      </c>
      <c r="F33">
        <f t="shared" si="167"/>
        <v>23120</v>
      </c>
      <c r="G33">
        <f t="shared" si="168"/>
        <v>24820</v>
      </c>
      <c r="H33">
        <f t="shared" si="169"/>
        <v>26540</v>
      </c>
      <c r="I33">
        <f t="shared" si="170"/>
        <v>28260</v>
      </c>
      <c r="J33">
        <f t="shared" si="171"/>
        <v>29960</v>
      </c>
      <c r="K33">
        <f t="shared" si="153"/>
        <v>22470</v>
      </c>
      <c r="L33">
        <f t="shared" si="172"/>
        <v>25680</v>
      </c>
      <c r="M33">
        <f t="shared" si="173"/>
        <v>28890</v>
      </c>
      <c r="N33">
        <f t="shared" si="174"/>
        <v>32100</v>
      </c>
      <c r="O33">
        <f t="shared" si="175"/>
        <v>34680</v>
      </c>
      <c r="P33">
        <f t="shared" si="176"/>
        <v>37230</v>
      </c>
      <c r="Q33">
        <f t="shared" si="177"/>
        <v>39810</v>
      </c>
      <c r="R33">
        <f t="shared" si="178"/>
        <v>42390</v>
      </c>
      <c r="S33">
        <f t="shared" si="179"/>
        <v>44940</v>
      </c>
      <c r="T33">
        <f t="shared" si="154"/>
        <v>29960</v>
      </c>
      <c r="U33">
        <f t="shared" si="180"/>
        <v>34240</v>
      </c>
      <c r="V33">
        <f t="shared" si="181"/>
        <v>38520</v>
      </c>
      <c r="W33">
        <f t="shared" si="182"/>
        <v>42800</v>
      </c>
      <c r="X33">
        <f t="shared" si="183"/>
        <v>46240</v>
      </c>
      <c r="Y33">
        <f t="shared" si="184"/>
        <v>49640</v>
      </c>
      <c r="Z33">
        <f t="shared" si="185"/>
        <v>53080</v>
      </c>
      <c r="AA33">
        <f t="shared" si="186"/>
        <v>56520</v>
      </c>
      <c r="AB33">
        <f t="shared" si="187"/>
        <v>59920</v>
      </c>
      <c r="AC33" s="298">
        <v>37450</v>
      </c>
      <c r="AD33" s="298">
        <v>42800</v>
      </c>
      <c r="AE33" s="298">
        <v>48150</v>
      </c>
      <c r="AF33" s="298">
        <v>53500</v>
      </c>
      <c r="AG33" s="298">
        <v>57800</v>
      </c>
      <c r="AH33" s="298">
        <v>62050</v>
      </c>
      <c r="AI33" s="298">
        <v>66350</v>
      </c>
      <c r="AJ33" s="298">
        <v>70650</v>
      </c>
      <c r="AK33" s="298">
        <v>74900</v>
      </c>
      <c r="AL33">
        <f t="shared" si="134"/>
        <v>44940</v>
      </c>
      <c r="AM33">
        <f t="shared" si="135"/>
        <v>51360</v>
      </c>
      <c r="AN33">
        <f t="shared" si="136"/>
        <v>57780</v>
      </c>
      <c r="AO33">
        <f t="shared" si="137"/>
        <v>64200</v>
      </c>
      <c r="AP33">
        <f t="shared" si="138"/>
        <v>69360</v>
      </c>
      <c r="AQ33">
        <f t="shared" si="139"/>
        <v>74460</v>
      </c>
      <c r="AR33">
        <f t="shared" si="140"/>
        <v>79620</v>
      </c>
      <c r="AS33">
        <f t="shared" si="141"/>
        <v>84780</v>
      </c>
      <c r="AT33">
        <f t="shared" si="142"/>
        <v>89880</v>
      </c>
      <c r="AU33">
        <f t="shared" si="143"/>
        <v>52430</v>
      </c>
      <c r="AV33">
        <f t="shared" si="144"/>
        <v>59919.999999999993</v>
      </c>
      <c r="AW33">
        <f t="shared" si="145"/>
        <v>67410</v>
      </c>
      <c r="AX33">
        <f t="shared" si="146"/>
        <v>74900</v>
      </c>
      <c r="AY33">
        <f t="shared" si="147"/>
        <v>80920</v>
      </c>
      <c r="AZ33">
        <f t="shared" si="148"/>
        <v>86870</v>
      </c>
      <c r="BA33">
        <f t="shared" si="149"/>
        <v>92890</v>
      </c>
      <c r="BB33">
        <f t="shared" si="150"/>
        <v>98910</v>
      </c>
      <c r="BC33">
        <f t="shared" si="151"/>
        <v>104860</v>
      </c>
      <c r="BD33">
        <f t="shared" si="155"/>
        <v>59920</v>
      </c>
      <c r="BE33">
        <f t="shared" si="156"/>
        <v>68480</v>
      </c>
      <c r="BF33">
        <f t="shared" si="157"/>
        <v>77040</v>
      </c>
      <c r="BG33">
        <f t="shared" si="158"/>
        <v>85600</v>
      </c>
      <c r="BH33">
        <f t="shared" si="159"/>
        <v>92480</v>
      </c>
      <c r="BI33">
        <f t="shared" si="160"/>
        <v>99280</v>
      </c>
      <c r="BJ33">
        <f t="shared" si="161"/>
        <v>106160</v>
      </c>
      <c r="BK33">
        <f t="shared" si="162"/>
        <v>113040</v>
      </c>
      <c r="BL33">
        <f t="shared" si="163"/>
        <v>119840</v>
      </c>
    </row>
    <row r="34" spans="1:64">
      <c r="A34" s="41" t="s">
        <v>397</v>
      </c>
      <c r="B34">
        <f t="shared" si="152"/>
        <v>15040</v>
      </c>
      <c r="C34">
        <f t="shared" si="164"/>
        <v>17200</v>
      </c>
      <c r="D34">
        <f t="shared" si="165"/>
        <v>19340</v>
      </c>
      <c r="E34">
        <f t="shared" si="166"/>
        <v>21480</v>
      </c>
      <c r="F34">
        <f t="shared" si="167"/>
        <v>23200</v>
      </c>
      <c r="G34">
        <f t="shared" si="168"/>
        <v>24920</v>
      </c>
      <c r="H34">
        <f t="shared" si="169"/>
        <v>26640</v>
      </c>
      <c r="I34">
        <f t="shared" si="170"/>
        <v>28360</v>
      </c>
      <c r="J34">
        <f t="shared" si="171"/>
        <v>30080</v>
      </c>
      <c r="K34">
        <f t="shared" si="153"/>
        <v>22560</v>
      </c>
      <c r="L34">
        <f t="shared" si="172"/>
        <v>25800</v>
      </c>
      <c r="M34">
        <f t="shared" si="173"/>
        <v>29010</v>
      </c>
      <c r="N34">
        <f t="shared" si="174"/>
        <v>32220</v>
      </c>
      <c r="O34">
        <f t="shared" si="175"/>
        <v>34800</v>
      </c>
      <c r="P34">
        <f t="shared" si="176"/>
        <v>37380</v>
      </c>
      <c r="Q34">
        <f t="shared" si="177"/>
        <v>39960</v>
      </c>
      <c r="R34">
        <f t="shared" si="178"/>
        <v>42540</v>
      </c>
      <c r="S34">
        <f t="shared" si="179"/>
        <v>45120</v>
      </c>
      <c r="T34">
        <f t="shared" si="154"/>
        <v>30080</v>
      </c>
      <c r="U34">
        <f t="shared" si="180"/>
        <v>34400</v>
      </c>
      <c r="V34">
        <f t="shared" si="181"/>
        <v>38680</v>
      </c>
      <c r="W34">
        <f t="shared" si="182"/>
        <v>42960</v>
      </c>
      <c r="X34">
        <f t="shared" si="183"/>
        <v>46400</v>
      </c>
      <c r="Y34">
        <f t="shared" si="184"/>
        <v>49840</v>
      </c>
      <c r="Z34">
        <f t="shared" si="185"/>
        <v>53280</v>
      </c>
      <c r="AA34">
        <f t="shared" si="186"/>
        <v>56720</v>
      </c>
      <c r="AB34">
        <f t="shared" si="187"/>
        <v>60160</v>
      </c>
      <c r="AC34" s="298">
        <v>37600</v>
      </c>
      <c r="AD34" s="298">
        <v>43000</v>
      </c>
      <c r="AE34" s="298">
        <v>48350</v>
      </c>
      <c r="AF34" s="298">
        <v>53700</v>
      </c>
      <c r="AG34" s="298">
        <v>58000</v>
      </c>
      <c r="AH34" s="298">
        <v>62300</v>
      </c>
      <c r="AI34" s="298">
        <v>66600</v>
      </c>
      <c r="AJ34" s="298">
        <v>70900</v>
      </c>
      <c r="AK34" s="298">
        <v>75200</v>
      </c>
      <c r="AL34">
        <f t="shared" si="134"/>
        <v>45120</v>
      </c>
      <c r="AM34">
        <f t="shared" si="135"/>
        <v>51600</v>
      </c>
      <c r="AN34">
        <f t="shared" si="136"/>
        <v>58020</v>
      </c>
      <c r="AO34">
        <f t="shared" si="137"/>
        <v>64440</v>
      </c>
      <c r="AP34">
        <f t="shared" si="138"/>
        <v>69600</v>
      </c>
      <c r="AQ34">
        <f t="shared" si="139"/>
        <v>74760</v>
      </c>
      <c r="AR34">
        <f t="shared" si="140"/>
        <v>79920</v>
      </c>
      <c r="AS34">
        <f t="shared" si="141"/>
        <v>85080</v>
      </c>
      <c r="AT34">
        <f t="shared" si="142"/>
        <v>90240</v>
      </c>
      <c r="AU34">
        <f t="shared" si="143"/>
        <v>52640</v>
      </c>
      <c r="AV34">
        <f t="shared" si="144"/>
        <v>60199.999999999993</v>
      </c>
      <c r="AW34">
        <f t="shared" si="145"/>
        <v>67690</v>
      </c>
      <c r="AX34">
        <f t="shared" si="146"/>
        <v>75180</v>
      </c>
      <c r="AY34">
        <f t="shared" si="147"/>
        <v>81200</v>
      </c>
      <c r="AZ34">
        <f t="shared" si="148"/>
        <v>87220</v>
      </c>
      <c r="BA34">
        <f t="shared" si="149"/>
        <v>93240</v>
      </c>
      <c r="BB34">
        <f t="shared" si="150"/>
        <v>99260</v>
      </c>
      <c r="BC34">
        <f t="shared" si="151"/>
        <v>105280</v>
      </c>
      <c r="BD34">
        <f t="shared" si="155"/>
        <v>60160</v>
      </c>
      <c r="BE34">
        <f t="shared" si="156"/>
        <v>68800</v>
      </c>
      <c r="BF34">
        <f t="shared" si="157"/>
        <v>77360</v>
      </c>
      <c r="BG34">
        <f t="shared" si="158"/>
        <v>85920</v>
      </c>
      <c r="BH34">
        <f t="shared" si="159"/>
        <v>92800</v>
      </c>
      <c r="BI34">
        <f t="shared" si="160"/>
        <v>99680</v>
      </c>
      <c r="BJ34">
        <f t="shared" si="161"/>
        <v>106560</v>
      </c>
      <c r="BK34">
        <f t="shared" si="162"/>
        <v>113440</v>
      </c>
      <c r="BL34">
        <f t="shared" si="163"/>
        <v>120320</v>
      </c>
    </row>
    <row r="35" spans="1:64">
      <c r="A35" s="41" t="s">
        <v>443</v>
      </c>
      <c r="B35">
        <f t="shared" si="152"/>
        <v>13080</v>
      </c>
      <c r="C35">
        <f t="shared" si="164"/>
        <v>14940</v>
      </c>
      <c r="D35">
        <f t="shared" si="165"/>
        <v>16800</v>
      </c>
      <c r="E35">
        <f t="shared" si="166"/>
        <v>18660</v>
      </c>
      <c r="F35">
        <f t="shared" si="167"/>
        <v>20160</v>
      </c>
      <c r="G35">
        <f t="shared" si="168"/>
        <v>21660</v>
      </c>
      <c r="H35">
        <f t="shared" si="169"/>
        <v>23140</v>
      </c>
      <c r="I35">
        <f t="shared" si="170"/>
        <v>24640</v>
      </c>
      <c r="J35">
        <f t="shared" si="171"/>
        <v>26140</v>
      </c>
      <c r="K35">
        <f t="shared" si="153"/>
        <v>19620</v>
      </c>
      <c r="L35">
        <f t="shared" si="172"/>
        <v>22410</v>
      </c>
      <c r="M35">
        <f t="shared" si="173"/>
        <v>25200</v>
      </c>
      <c r="N35">
        <f t="shared" si="174"/>
        <v>27990</v>
      </c>
      <c r="O35">
        <f t="shared" si="175"/>
        <v>30240</v>
      </c>
      <c r="P35">
        <f t="shared" si="176"/>
        <v>32490</v>
      </c>
      <c r="Q35">
        <f t="shared" si="177"/>
        <v>34710</v>
      </c>
      <c r="R35">
        <f t="shared" si="178"/>
        <v>36960</v>
      </c>
      <c r="S35">
        <f t="shared" si="179"/>
        <v>39210</v>
      </c>
      <c r="T35">
        <f t="shared" si="154"/>
        <v>26160</v>
      </c>
      <c r="U35">
        <f t="shared" si="180"/>
        <v>29880</v>
      </c>
      <c r="V35">
        <f t="shared" si="181"/>
        <v>33600</v>
      </c>
      <c r="W35">
        <f t="shared" si="182"/>
        <v>37320</v>
      </c>
      <c r="X35">
        <f t="shared" si="183"/>
        <v>40320</v>
      </c>
      <c r="Y35">
        <f t="shared" si="184"/>
        <v>43320</v>
      </c>
      <c r="Z35">
        <f t="shared" si="185"/>
        <v>46280</v>
      </c>
      <c r="AA35">
        <f t="shared" si="186"/>
        <v>49280</v>
      </c>
      <c r="AB35">
        <f t="shared" si="187"/>
        <v>52280</v>
      </c>
      <c r="AC35" s="298">
        <v>32700</v>
      </c>
      <c r="AD35" s="298">
        <v>37350</v>
      </c>
      <c r="AE35" s="298">
        <v>42000</v>
      </c>
      <c r="AF35" s="298">
        <v>46650</v>
      </c>
      <c r="AG35" s="298">
        <v>50400</v>
      </c>
      <c r="AH35" s="298">
        <v>54150</v>
      </c>
      <c r="AI35" s="298">
        <v>57850</v>
      </c>
      <c r="AJ35" s="298">
        <v>61600</v>
      </c>
      <c r="AK35" s="298">
        <v>65350</v>
      </c>
      <c r="AL35">
        <f t="shared" si="134"/>
        <v>39240</v>
      </c>
      <c r="AM35">
        <f t="shared" si="135"/>
        <v>44820</v>
      </c>
      <c r="AN35">
        <f t="shared" si="136"/>
        <v>50400</v>
      </c>
      <c r="AO35">
        <f t="shared" si="137"/>
        <v>55980</v>
      </c>
      <c r="AP35">
        <f t="shared" si="138"/>
        <v>60480</v>
      </c>
      <c r="AQ35">
        <f t="shared" si="139"/>
        <v>64980</v>
      </c>
      <c r="AR35">
        <f t="shared" si="140"/>
        <v>69420</v>
      </c>
      <c r="AS35">
        <f t="shared" si="141"/>
        <v>73920</v>
      </c>
      <c r="AT35">
        <f t="shared" si="142"/>
        <v>78420</v>
      </c>
      <c r="AU35">
        <f t="shared" si="143"/>
        <v>45780</v>
      </c>
      <c r="AV35">
        <f t="shared" si="144"/>
        <v>52290</v>
      </c>
      <c r="AW35">
        <f t="shared" si="145"/>
        <v>58799.999999999993</v>
      </c>
      <c r="AX35">
        <f t="shared" si="146"/>
        <v>65309.999999999993</v>
      </c>
      <c r="AY35">
        <f t="shared" si="147"/>
        <v>70560</v>
      </c>
      <c r="AZ35">
        <f t="shared" si="148"/>
        <v>75810</v>
      </c>
      <c r="BA35">
        <f t="shared" si="149"/>
        <v>80990</v>
      </c>
      <c r="BB35">
        <f t="shared" si="150"/>
        <v>86240</v>
      </c>
      <c r="BC35">
        <f t="shared" si="151"/>
        <v>91490</v>
      </c>
      <c r="BD35">
        <f t="shared" si="155"/>
        <v>52320</v>
      </c>
      <c r="BE35">
        <f t="shared" si="156"/>
        <v>59760</v>
      </c>
      <c r="BF35">
        <f t="shared" si="157"/>
        <v>67200</v>
      </c>
      <c r="BG35">
        <f t="shared" si="158"/>
        <v>74640</v>
      </c>
      <c r="BH35">
        <f t="shared" si="159"/>
        <v>80640</v>
      </c>
      <c r="BI35">
        <f t="shared" si="160"/>
        <v>86640</v>
      </c>
      <c r="BJ35">
        <f t="shared" si="161"/>
        <v>92560</v>
      </c>
      <c r="BK35">
        <f t="shared" si="162"/>
        <v>98560</v>
      </c>
      <c r="BL35">
        <f t="shared" si="163"/>
        <v>104560</v>
      </c>
    </row>
    <row r="36" spans="1:64">
      <c r="A36" s="41" t="s">
        <v>445</v>
      </c>
      <c r="B36">
        <f t="shared" si="152"/>
        <v>13000</v>
      </c>
      <c r="C36">
        <f t="shared" si="164"/>
        <v>14860</v>
      </c>
      <c r="D36">
        <f t="shared" si="165"/>
        <v>16720</v>
      </c>
      <c r="E36">
        <f t="shared" si="166"/>
        <v>18560</v>
      </c>
      <c r="F36">
        <f t="shared" si="167"/>
        <v>20060</v>
      </c>
      <c r="G36">
        <f t="shared" si="168"/>
        <v>21540</v>
      </c>
      <c r="H36">
        <f t="shared" si="169"/>
        <v>23020</v>
      </c>
      <c r="I36">
        <f t="shared" si="170"/>
        <v>24500</v>
      </c>
      <c r="J36">
        <f t="shared" si="171"/>
        <v>26000</v>
      </c>
      <c r="K36">
        <f t="shared" si="153"/>
        <v>19500</v>
      </c>
      <c r="L36">
        <f t="shared" si="172"/>
        <v>22290</v>
      </c>
      <c r="M36">
        <f t="shared" si="173"/>
        <v>25080</v>
      </c>
      <c r="N36">
        <f t="shared" si="174"/>
        <v>27840</v>
      </c>
      <c r="O36">
        <f t="shared" si="175"/>
        <v>30090</v>
      </c>
      <c r="P36">
        <f t="shared" si="176"/>
        <v>32310</v>
      </c>
      <c r="Q36">
        <f t="shared" si="177"/>
        <v>34530</v>
      </c>
      <c r="R36">
        <f t="shared" si="178"/>
        <v>36750</v>
      </c>
      <c r="S36">
        <f t="shared" si="179"/>
        <v>39000</v>
      </c>
      <c r="T36">
        <f t="shared" si="154"/>
        <v>26000</v>
      </c>
      <c r="U36">
        <f t="shared" si="180"/>
        <v>29720</v>
      </c>
      <c r="V36">
        <f t="shared" si="181"/>
        <v>33440</v>
      </c>
      <c r="W36">
        <f t="shared" si="182"/>
        <v>37120</v>
      </c>
      <c r="X36">
        <f t="shared" si="183"/>
        <v>40120</v>
      </c>
      <c r="Y36">
        <f t="shared" si="184"/>
        <v>43080</v>
      </c>
      <c r="Z36">
        <f t="shared" si="185"/>
        <v>46040</v>
      </c>
      <c r="AA36">
        <f t="shared" si="186"/>
        <v>49000</v>
      </c>
      <c r="AB36">
        <f t="shared" si="187"/>
        <v>52000</v>
      </c>
      <c r="AC36" s="1664">
        <v>32500</v>
      </c>
      <c r="AD36" s="1664">
        <v>37150</v>
      </c>
      <c r="AE36" s="1664">
        <v>41800</v>
      </c>
      <c r="AF36" s="1664">
        <v>46400</v>
      </c>
      <c r="AG36" s="1664">
        <v>50150</v>
      </c>
      <c r="AH36" s="1664">
        <v>53850</v>
      </c>
      <c r="AI36" s="1664">
        <v>57550</v>
      </c>
      <c r="AJ36" s="1664">
        <v>61250</v>
      </c>
      <c r="AK36" s="1664">
        <v>65000</v>
      </c>
      <c r="AL36">
        <f t="shared" si="134"/>
        <v>39000</v>
      </c>
      <c r="AM36">
        <f t="shared" si="135"/>
        <v>44580</v>
      </c>
      <c r="AN36">
        <f t="shared" si="136"/>
        <v>50160</v>
      </c>
      <c r="AO36">
        <f t="shared" si="137"/>
        <v>55680</v>
      </c>
      <c r="AP36">
        <f t="shared" si="138"/>
        <v>60180</v>
      </c>
      <c r="AQ36">
        <f t="shared" si="139"/>
        <v>64620</v>
      </c>
      <c r="AR36">
        <f t="shared" si="140"/>
        <v>69060</v>
      </c>
      <c r="AS36">
        <f t="shared" si="141"/>
        <v>73500</v>
      </c>
      <c r="AT36">
        <f t="shared" si="142"/>
        <v>78000</v>
      </c>
      <c r="AU36">
        <f t="shared" si="143"/>
        <v>45500</v>
      </c>
      <c r="AV36">
        <f t="shared" si="144"/>
        <v>52010</v>
      </c>
      <c r="AW36">
        <f t="shared" si="145"/>
        <v>58519.999999999993</v>
      </c>
      <c r="AX36">
        <f t="shared" si="146"/>
        <v>64959.999999999993</v>
      </c>
      <c r="AY36">
        <f t="shared" si="147"/>
        <v>70210</v>
      </c>
      <c r="AZ36">
        <f t="shared" si="148"/>
        <v>75390</v>
      </c>
      <c r="BA36">
        <f t="shared" si="149"/>
        <v>80570</v>
      </c>
      <c r="BB36">
        <f t="shared" si="150"/>
        <v>85750</v>
      </c>
      <c r="BC36">
        <f t="shared" si="151"/>
        <v>91000</v>
      </c>
      <c r="BD36">
        <f t="shared" si="155"/>
        <v>52000</v>
      </c>
      <c r="BE36">
        <f t="shared" si="156"/>
        <v>59440</v>
      </c>
      <c r="BF36">
        <f t="shared" si="157"/>
        <v>66880</v>
      </c>
      <c r="BG36">
        <f t="shared" si="158"/>
        <v>74240</v>
      </c>
      <c r="BH36">
        <f t="shared" si="159"/>
        <v>80240</v>
      </c>
      <c r="BI36">
        <f t="shared" si="160"/>
        <v>86160</v>
      </c>
      <c r="BJ36">
        <f t="shared" si="161"/>
        <v>92080</v>
      </c>
      <c r="BK36">
        <f t="shared" si="162"/>
        <v>98000</v>
      </c>
      <c r="BL36">
        <f t="shared" si="163"/>
        <v>104000</v>
      </c>
    </row>
    <row r="37" spans="1:64">
      <c r="A37" s="41" t="s">
        <v>447</v>
      </c>
      <c r="B37">
        <f t="shared" si="152"/>
        <v>13300</v>
      </c>
      <c r="C37">
        <f t="shared" si="164"/>
        <v>15200</v>
      </c>
      <c r="D37">
        <f t="shared" si="165"/>
        <v>17100</v>
      </c>
      <c r="E37">
        <f t="shared" si="166"/>
        <v>19000</v>
      </c>
      <c r="F37">
        <f t="shared" si="167"/>
        <v>20520</v>
      </c>
      <c r="G37">
        <f t="shared" si="168"/>
        <v>22040</v>
      </c>
      <c r="H37">
        <f t="shared" si="169"/>
        <v>23560</v>
      </c>
      <c r="I37">
        <f t="shared" si="170"/>
        <v>25080</v>
      </c>
      <c r="J37">
        <f t="shared" si="171"/>
        <v>26600</v>
      </c>
      <c r="K37">
        <f t="shared" si="153"/>
        <v>19950</v>
      </c>
      <c r="L37">
        <f t="shared" si="172"/>
        <v>22800</v>
      </c>
      <c r="M37">
        <f t="shared" si="173"/>
        <v>25650</v>
      </c>
      <c r="N37">
        <f t="shared" si="174"/>
        <v>28500</v>
      </c>
      <c r="O37">
        <f t="shared" si="175"/>
        <v>30780</v>
      </c>
      <c r="P37">
        <f t="shared" si="176"/>
        <v>33060</v>
      </c>
      <c r="Q37">
        <f t="shared" si="177"/>
        <v>35340</v>
      </c>
      <c r="R37">
        <f t="shared" si="178"/>
        <v>37620</v>
      </c>
      <c r="S37">
        <f t="shared" si="179"/>
        <v>39900</v>
      </c>
      <c r="T37">
        <f t="shared" si="154"/>
        <v>26600</v>
      </c>
      <c r="U37">
        <f t="shared" si="180"/>
        <v>30400</v>
      </c>
      <c r="V37">
        <f t="shared" si="181"/>
        <v>34200</v>
      </c>
      <c r="W37">
        <f t="shared" si="182"/>
        <v>38000</v>
      </c>
      <c r="X37">
        <f t="shared" si="183"/>
        <v>41040</v>
      </c>
      <c r="Y37">
        <f t="shared" si="184"/>
        <v>44080</v>
      </c>
      <c r="Z37">
        <f t="shared" si="185"/>
        <v>47120</v>
      </c>
      <c r="AA37">
        <f t="shared" si="186"/>
        <v>50160</v>
      </c>
      <c r="AB37">
        <f t="shared" si="187"/>
        <v>53200</v>
      </c>
      <c r="AC37" s="298">
        <v>33250</v>
      </c>
      <c r="AD37" s="298">
        <v>38000</v>
      </c>
      <c r="AE37" s="298">
        <v>42750</v>
      </c>
      <c r="AF37" s="298">
        <v>47500</v>
      </c>
      <c r="AG37" s="298">
        <v>51300</v>
      </c>
      <c r="AH37" s="298">
        <v>55100</v>
      </c>
      <c r="AI37" s="298">
        <v>58900</v>
      </c>
      <c r="AJ37" s="298">
        <v>62700</v>
      </c>
      <c r="AK37" s="298">
        <v>66500</v>
      </c>
      <c r="AL37">
        <f t="shared" si="134"/>
        <v>39900</v>
      </c>
      <c r="AM37">
        <f t="shared" si="135"/>
        <v>45600</v>
      </c>
      <c r="AN37">
        <f t="shared" si="136"/>
        <v>51300</v>
      </c>
      <c r="AO37">
        <f t="shared" si="137"/>
        <v>57000</v>
      </c>
      <c r="AP37">
        <f t="shared" si="138"/>
        <v>61560</v>
      </c>
      <c r="AQ37">
        <f t="shared" si="139"/>
        <v>66120</v>
      </c>
      <c r="AR37">
        <f t="shared" si="140"/>
        <v>70680</v>
      </c>
      <c r="AS37">
        <f t="shared" si="141"/>
        <v>75240</v>
      </c>
      <c r="AT37">
        <f t="shared" si="142"/>
        <v>79800</v>
      </c>
      <c r="AU37">
        <f t="shared" si="143"/>
        <v>46550</v>
      </c>
      <c r="AV37">
        <f t="shared" si="144"/>
        <v>53200</v>
      </c>
      <c r="AW37">
        <f t="shared" si="145"/>
        <v>59849.999999999993</v>
      </c>
      <c r="AX37">
        <f t="shared" si="146"/>
        <v>66500</v>
      </c>
      <c r="AY37">
        <f t="shared" si="147"/>
        <v>71820</v>
      </c>
      <c r="AZ37">
        <f t="shared" si="148"/>
        <v>77140</v>
      </c>
      <c r="BA37">
        <f t="shared" si="149"/>
        <v>82460</v>
      </c>
      <c r="BB37">
        <f t="shared" si="150"/>
        <v>87780</v>
      </c>
      <c r="BC37">
        <f t="shared" si="151"/>
        <v>93100</v>
      </c>
      <c r="BD37">
        <f t="shared" si="155"/>
        <v>53200</v>
      </c>
      <c r="BE37">
        <f t="shared" si="156"/>
        <v>60800</v>
      </c>
      <c r="BF37">
        <f t="shared" si="157"/>
        <v>68400</v>
      </c>
      <c r="BG37">
        <f t="shared" si="158"/>
        <v>76000</v>
      </c>
      <c r="BH37">
        <f t="shared" si="159"/>
        <v>82080</v>
      </c>
      <c r="BI37">
        <f t="shared" si="160"/>
        <v>88160</v>
      </c>
      <c r="BJ37">
        <f t="shared" si="161"/>
        <v>94240</v>
      </c>
      <c r="BK37">
        <f t="shared" si="162"/>
        <v>100320</v>
      </c>
      <c r="BL37">
        <f t="shared" si="163"/>
        <v>106400</v>
      </c>
    </row>
    <row r="38" spans="1:64">
      <c r="A38" s="41" t="s">
        <v>449</v>
      </c>
      <c r="B38">
        <f t="shared" si="152"/>
        <v>13240</v>
      </c>
      <c r="C38">
        <f t="shared" si="164"/>
        <v>15120</v>
      </c>
      <c r="D38">
        <f t="shared" si="165"/>
        <v>17020</v>
      </c>
      <c r="E38">
        <f t="shared" si="166"/>
        <v>18900</v>
      </c>
      <c r="F38">
        <f t="shared" si="167"/>
        <v>20420</v>
      </c>
      <c r="G38">
        <f t="shared" si="168"/>
        <v>21940</v>
      </c>
      <c r="H38">
        <f t="shared" si="169"/>
        <v>23440</v>
      </c>
      <c r="I38">
        <f t="shared" si="170"/>
        <v>24960</v>
      </c>
      <c r="J38">
        <f t="shared" si="171"/>
        <v>26460</v>
      </c>
      <c r="K38">
        <f t="shared" si="153"/>
        <v>19860</v>
      </c>
      <c r="L38">
        <f t="shared" si="172"/>
        <v>22680</v>
      </c>
      <c r="M38">
        <f t="shared" si="173"/>
        <v>25530</v>
      </c>
      <c r="N38">
        <f t="shared" si="174"/>
        <v>28350</v>
      </c>
      <c r="O38">
        <f t="shared" si="175"/>
        <v>30630</v>
      </c>
      <c r="P38">
        <f t="shared" si="176"/>
        <v>32910</v>
      </c>
      <c r="Q38">
        <f t="shared" si="177"/>
        <v>35160</v>
      </c>
      <c r="R38">
        <f t="shared" si="178"/>
        <v>37440</v>
      </c>
      <c r="S38">
        <f t="shared" si="179"/>
        <v>39690</v>
      </c>
      <c r="T38">
        <f t="shared" si="154"/>
        <v>26480</v>
      </c>
      <c r="U38">
        <f t="shared" si="180"/>
        <v>30240</v>
      </c>
      <c r="V38">
        <f t="shared" si="181"/>
        <v>34040</v>
      </c>
      <c r="W38">
        <f t="shared" si="182"/>
        <v>37800</v>
      </c>
      <c r="X38">
        <f t="shared" si="183"/>
        <v>40840</v>
      </c>
      <c r="Y38">
        <f t="shared" si="184"/>
        <v>43880</v>
      </c>
      <c r="Z38">
        <f t="shared" si="185"/>
        <v>46880</v>
      </c>
      <c r="AA38">
        <f t="shared" si="186"/>
        <v>49920</v>
      </c>
      <c r="AB38">
        <f t="shared" si="187"/>
        <v>52920</v>
      </c>
      <c r="AC38" s="298">
        <v>33100</v>
      </c>
      <c r="AD38" s="298">
        <v>37800</v>
      </c>
      <c r="AE38" s="298">
        <v>42550</v>
      </c>
      <c r="AF38" s="298">
        <v>47250</v>
      </c>
      <c r="AG38" s="298">
        <v>51050</v>
      </c>
      <c r="AH38" s="298">
        <v>54850</v>
      </c>
      <c r="AI38" s="298">
        <v>58600</v>
      </c>
      <c r="AJ38" s="298">
        <v>62400</v>
      </c>
      <c r="AK38" s="298">
        <v>66150</v>
      </c>
      <c r="AL38">
        <f t="shared" ref="AL38:AL75" si="188">AC38*1.2</f>
        <v>39720</v>
      </c>
      <c r="AM38">
        <f t="shared" ref="AM38:AM75" si="189">AD38*1.2</f>
        <v>45360</v>
      </c>
      <c r="AN38">
        <f t="shared" ref="AN38:AN75" si="190">AE38*1.2</f>
        <v>51060</v>
      </c>
      <c r="AO38">
        <f t="shared" ref="AO38:AO75" si="191">AF38*1.2</f>
        <v>56700</v>
      </c>
      <c r="AP38">
        <f t="shared" ref="AP38:AP75" si="192">AG38*1.2</f>
        <v>61260</v>
      </c>
      <c r="AQ38">
        <f t="shared" ref="AQ38:AQ75" si="193">AH38*1.2</f>
        <v>65820</v>
      </c>
      <c r="AR38">
        <f t="shared" ref="AR38:AR75" si="194">AI38*1.2</f>
        <v>70320</v>
      </c>
      <c r="AS38">
        <f t="shared" ref="AS38:AS75" si="195">AJ38*1.2</f>
        <v>74880</v>
      </c>
      <c r="AT38">
        <f t="shared" ref="AT38:AT75" si="196">AK38*1.2</f>
        <v>79380</v>
      </c>
      <c r="AU38">
        <f t="shared" ref="AU38:AU75" si="197">AC38*1.4</f>
        <v>46340</v>
      </c>
      <c r="AV38">
        <f t="shared" ref="AV38:AV75" si="198">AD38*1.4</f>
        <v>52920</v>
      </c>
      <c r="AW38">
        <f t="shared" ref="AW38:AW75" si="199">AE38*1.4</f>
        <v>59569.999999999993</v>
      </c>
      <c r="AX38">
        <f t="shared" ref="AX38:AX75" si="200">AF38*1.4</f>
        <v>66150</v>
      </c>
      <c r="AY38">
        <f t="shared" ref="AY38:AY75" si="201">AG38*1.4</f>
        <v>71470</v>
      </c>
      <c r="AZ38">
        <f t="shared" ref="AZ38:AZ75" si="202">AH38*1.4</f>
        <v>76790</v>
      </c>
      <c r="BA38">
        <f t="shared" ref="BA38:BA75" si="203">AI38*1.4</f>
        <v>82040</v>
      </c>
      <c r="BB38">
        <f t="shared" ref="BB38:BB75" si="204">AJ38*1.4</f>
        <v>87360</v>
      </c>
      <c r="BC38">
        <f t="shared" ref="BC38:BC75" si="205">AK38*1.4</f>
        <v>92610</v>
      </c>
      <c r="BD38">
        <f t="shared" si="155"/>
        <v>52960</v>
      </c>
      <c r="BE38">
        <f t="shared" si="156"/>
        <v>60480</v>
      </c>
      <c r="BF38">
        <f t="shared" si="157"/>
        <v>68080</v>
      </c>
      <c r="BG38">
        <f t="shared" si="158"/>
        <v>75600</v>
      </c>
      <c r="BH38">
        <f t="shared" si="159"/>
        <v>81680</v>
      </c>
      <c r="BI38">
        <f t="shared" si="160"/>
        <v>87760</v>
      </c>
      <c r="BJ38">
        <f t="shared" si="161"/>
        <v>93760</v>
      </c>
      <c r="BK38">
        <f t="shared" si="162"/>
        <v>99840</v>
      </c>
      <c r="BL38">
        <f t="shared" si="163"/>
        <v>105840</v>
      </c>
    </row>
    <row r="39" spans="1:64">
      <c r="A39" s="41" t="s">
        <v>399</v>
      </c>
      <c r="B39">
        <f t="shared" si="152"/>
        <v>13840</v>
      </c>
      <c r="C39">
        <f t="shared" si="164"/>
        <v>15820</v>
      </c>
      <c r="D39">
        <f t="shared" si="165"/>
        <v>17800</v>
      </c>
      <c r="E39">
        <f t="shared" si="166"/>
        <v>19760</v>
      </c>
      <c r="F39">
        <f t="shared" si="167"/>
        <v>21360</v>
      </c>
      <c r="G39">
        <f t="shared" si="168"/>
        <v>22940</v>
      </c>
      <c r="H39">
        <f t="shared" si="169"/>
        <v>24520</v>
      </c>
      <c r="I39">
        <f t="shared" si="170"/>
        <v>26100</v>
      </c>
      <c r="J39">
        <f t="shared" si="171"/>
        <v>27680</v>
      </c>
      <c r="K39">
        <f t="shared" si="153"/>
        <v>20760</v>
      </c>
      <c r="L39">
        <f t="shared" si="172"/>
        <v>23730</v>
      </c>
      <c r="M39">
        <f t="shared" si="173"/>
        <v>26700</v>
      </c>
      <c r="N39">
        <f t="shared" si="174"/>
        <v>29640</v>
      </c>
      <c r="O39">
        <f t="shared" si="175"/>
        <v>32040</v>
      </c>
      <c r="P39">
        <f t="shared" si="176"/>
        <v>34410</v>
      </c>
      <c r="Q39">
        <f t="shared" si="177"/>
        <v>36780</v>
      </c>
      <c r="R39">
        <f t="shared" si="178"/>
        <v>39150</v>
      </c>
      <c r="S39">
        <f t="shared" si="179"/>
        <v>41520</v>
      </c>
      <c r="T39">
        <f t="shared" si="154"/>
        <v>27680</v>
      </c>
      <c r="U39">
        <f t="shared" si="180"/>
        <v>31640</v>
      </c>
      <c r="V39">
        <f t="shared" si="181"/>
        <v>35600</v>
      </c>
      <c r="W39">
        <f t="shared" si="182"/>
        <v>39520</v>
      </c>
      <c r="X39">
        <f t="shared" si="183"/>
        <v>42720</v>
      </c>
      <c r="Y39">
        <f t="shared" si="184"/>
        <v>45880</v>
      </c>
      <c r="Z39">
        <f t="shared" si="185"/>
        <v>49040</v>
      </c>
      <c r="AA39">
        <f t="shared" si="186"/>
        <v>52200</v>
      </c>
      <c r="AB39">
        <f t="shared" si="187"/>
        <v>55360</v>
      </c>
      <c r="AC39" s="298">
        <v>34600</v>
      </c>
      <c r="AD39" s="298">
        <v>39550</v>
      </c>
      <c r="AE39" s="298">
        <v>44500</v>
      </c>
      <c r="AF39" s="298">
        <v>49400</v>
      </c>
      <c r="AG39" s="298">
        <v>53400</v>
      </c>
      <c r="AH39" s="298">
        <v>57350</v>
      </c>
      <c r="AI39" s="298">
        <v>61300</v>
      </c>
      <c r="AJ39" s="298">
        <v>65250</v>
      </c>
      <c r="AK39" s="298">
        <v>69200</v>
      </c>
      <c r="AL39">
        <f t="shared" si="188"/>
        <v>41520</v>
      </c>
      <c r="AM39">
        <f t="shared" si="189"/>
        <v>47460</v>
      </c>
      <c r="AN39">
        <f t="shared" si="190"/>
        <v>53400</v>
      </c>
      <c r="AO39">
        <f t="shared" si="191"/>
        <v>59280</v>
      </c>
      <c r="AP39">
        <f t="shared" si="192"/>
        <v>64080</v>
      </c>
      <c r="AQ39">
        <f t="shared" si="193"/>
        <v>68820</v>
      </c>
      <c r="AR39">
        <f t="shared" si="194"/>
        <v>73560</v>
      </c>
      <c r="AS39">
        <f t="shared" si="195"/>
        <v>78300</v>
      </c>
      <c r="AT39">
        <f t="shared" si="196"/>
        <v>83040</v>
      </c>
      <c r="AU39">
        <f t="shared" si="197"/>
        <v>48440</v>
      </c>
      <c r="AV39">
        <f t="shared" si="198"/>
        <v>55370</v>
      </c>
      <c r="AW39">
        <f t="shared" si="199"/>
        <v>62299.999999999993</v>
      </c>
      <c r="AX39">
        <f t="shared" si="200"/>
        <v>69160</v>
      </c>
      <c r="AY39">
        <f t="shared" si="201"/>
        <v>74760</v>
      </c>
      <c r="AZ39">
        <f t="shared" si="202"/>
        <v>80290</v>
      </c>
      <c r="BA39">
        <f t="shared" si="203"/>
        <v>85820</v>
      </c>
      <c r="BB39">
        <f t="shared" si="204"/>
        <v>91350</v>
      </c>
      <c r="BC39">
        <f t="shared" si="205"/>
        <v>96880</v>
      </c>
      <c r="BD39">
        <f t="shared" si="155"/>
        <v>55360</v>
      </c>
      <c r="BE39">
        <f t="shared" si="156"/>
        <v>63280</v>
      </c>
      <c r="BF39">
        <f t="shared" si="157"/>
        <v>71200</v>
      </c>
      <c r="BG39">
        <f t="shared" si="158"/>
        <v>79040</v>
      </c>
      <c r="BH39">
        <f t="shared" si="159"/>
        <v>85440</v>
      </c>
      <c r="BI39">
        <f t="shared" si="160"/>
        <v>91760</v>
      </c>
      <c r="BJ39">
        <f t="shared" si="161"/>
        <v>98080</v>
      </c>
      <c r="BK39">
        <f t="shared" si="162"/>
        <v>104400</v>
      </c>
      <c r="BL39">
        <f t="shared" si="163"/>
        <v>110720</v>
      </c>
    </row>
    <row r="40" spans="1:64">
      <c r="A40" s="41" t="s">
        <v>452</v>
      </c>
      <c r="B40">
        <f t="shared" si="152"/>
        <v>13000</v>
      </c>
      <c r="C40">
        <f t="shared" si="164"/>
        <v>14860</v>
      </c>
      <c r="D40">
        <f t="shared" si="165"/>
        <v>16720</v>
      </c>
      <c r="E40">
        <f t="shared" si="166"/>
        <v>18560</v>
      </c>
      <c r="F40">
        <f t="shared" si="167"/>
        <v>20060</v>
      </c>
      <c r="G40">
        <f t="shared" si="168"/>
        <v>21540</v>
      </c>
      <c r="H40">
        <f t="shared" si="169"/>
        <v>23020</v>
      </c>
      <c r="I40">
        <f t="shared" si="170"/>
        <v>24500</v>
      </c>
      <c r="J40">
        <f t="shared" si="171"/>
        <v>26000</v>
      </c>
      <c r="K40">
        <f t="shared" si="153"/>
        <v>19500</v>
      </c>
      <c r="L40">
        <f t="shared" si="172"/>
        <v>22290</v>
      </c>
      <c r="M40">
        <f t="shared" si="173"/>
        <v>25080</v>
      </c>
      <c r="N40">
        <f t="shared" si="174"/>
        <v>27840</v>
      </c>
      <c r="O40">
        <f t="shared" si="175"/>
        <v>30090</v>
      </c>
      <c r="P40">
        <f t="shared" si="176"/>
        <v>32310</v>
      </c>
      <c r="Q40">
        <f t="shared" si="177"/>
        <v>34530</v>
      </c>
      <c r="R40">
        <f t="shared" si="178"/>
        <v>36750</v>
      </c>
      <c r="S40">
        <f t="shared" si="179"/>
        <v>39000</v>
      </c>
      <c r="T40">
        <f t="shared" si="154"/>
        <v>26000</v>
      </c>
      <c r="U40">
        <f t="shared" si="180"/>
        <v>29720</v>
      </c>
      <c r="V40">
        <f t="shared" si="181"/>
        <v>33440</v>
      </c>
      <c r="W40">
        <f t="shared" si="182"/>
        <v>37120</v>
      </c>
      <c r="X40">
        <f t="shared" si="183"/>
        <v>40120</v>
      </c>
      <c r="Y40">
        <f t="shared" si="184"/>
        <v>43080</v>
      </c>
      <c r="Z40">
        <f t="shared" si="185"/>
        <v>46040</v>
      </c>
      <c r="AA40">
        <f t="shared" si="186"/>
        <v>49000</v>
      </c>
      <c r="AB40">
        <f t="shared" si="187"/>
        <v>52000</v>
      </c>
      <c r="AC40" s="1664">
        <v>32500</v>
      </c>
      <c r="AD40" s="1664">
        <v>37150</v>
      </c>
      <c r="AE40" s="1664">
        <v>41800</v>
      </c>
      <c r="AF40" s="1664">
        <v>46400</v>
      </c>
      <c r="AG40" s="1664">
        <v>50150</v>
      </c>
      <c r="AH40" s="1664">
        <v>53850</v>
      </c>
      <c r="AI40" s="1664">
        <v>57550</v>
      </c>
      <c r="AJ40" s="1664">
        <v>61250</v>
      </c>
      <c r="AK40" s="1664">
        <v>65000</v>
      </c>
      <c r="AL40">
        <f t="shared" si="188"/>
        <v>39000</v>
      </c>
      <c r="AM40">
        <f t="shared" si="189"/>
        <v>44580</v>
      </c>
      <c r="AN40">
        <f t="shared" si="190"/>
        <v>50160</v>
      </c>
      <c r="AO40">
        <f t="shared" si="191"/>
        <v>55680</v>
      </c>
      <c r="AP40">
        <f t="shared" si="192"/>
        <v>60180</v>
      </c>
      <c r="AQ40">
        <f t="shared" si="193"/>
        <v>64620</v>
      </c>
      <c r="AR40">
        <f t="shared" si="194"/>
        <v>69060</v>
      </c>
      <c r="AS40">
        <f t="shared" si="195"/>
        <v>73500</v>
      </c>
      <c r="AT40">
        <f t="shared" si="196"/>
        <v>78000</v>
      </c>
      <c r="AU40">
        <f t="shared" si="197"/>
        <v>45500</v>
      </c>
      <c r="AV40">
        <f t="shared" si="198"/>
        <v>52010</v>
      </c>
      <c r="AW40">
        <f t="shared" si="199"/>
        <v>58519.999999999993</v>
      </c>
      <c r="AX40">
        <f t="shared" si="200"/>
        <v>64959.999999999993</v>
      </c>
      <c r="AY40">
        <f t="shared" si="201"/>
        <v>70210</v>
      </c>
      <c r="AZ40">
        <f t="shared" si="202"/>
        <v>75390</v>
      </c>
      <c r="BA40">
        <f t="shared" si="203"/>
        <v>80570</v>
      </c>
      <c r="BB40">
        <f t="shared" si="204"/>
        <v>85750</v>
      </c>
      <c r="BC40">
        <f t="shared" si="205"/>
        <v>91000</v>
      </c>
      <c r="BD40">
        <f t="shared" si="155"/>
        <v>52000</v>
      </c>
      <c r="BE40">
        <f t="shared" si="156"/>
        <v>59440</v>
      </c>
      <c r="BF40">
        <f t="shared" si="157"/>
        <v>66880</v>
      </c>
      <c r="BG40">
        <f t="shared" si="158"/>
        <v>74240</v>
      </c>
      <c r="BH40">
        <f t="shared" si="159"/>
        <v>80240</v>
      </c>
      <c r="BI40">
        <f t="shared" si="160"/>
        <v>86160</v>
      </c>
      <c r="BJ40">
        <f t="shared" si="161"/>
        <v>92080</v>
      </c>
      <c r="BK40">
        <f t="shared" si="162"/>
        <v>98000</v>
      </c>
      <c r="BL40">
        <f t="shared" si="163"/>
        <v>104000</v>
      </c>
    </row>
    <row r="41" spans="1:64">
      <c r="A41" s="41" t="s">
        <v>454</v>
      </c>
      <c r="B41">
        <f t="shared" si="152"/>
        <v>13000</v>
      </c>
      <c r="C41">
        <f t="shared" si="164"/>
        <v>14860</v>
      </c>
      <c r="D41">
        <f t="shared" si="165"/>
        <v>16720</v>
      </c>
      <c r="E41">
        <f t="shared" si="166"/>
        <v>18560</v>
      </c>
      <c r="F41">
        <f t="shared" si="167"/>
        <v>20060</v>
      </c>
      <c r="G41">
        <f t="shared" si="168"/>
        <v>21540</v>
      </c>
      <c r="H41">
        <f t="shared" si="169"/>
        <v>23020</v>
      </c>
      <c r="I41">
        <f t="shared" si="170"/>
        <v>24500</v>
      </c>
      <c r="J41">
        <f t="shared" si="171"/>
        <v>26000</v>
      </c>
      <c r="K41">
        <f t="shared" si="153"/>
        <v>19500</v>
      </c>
      <c r="L41">
        <f t="shared" si="172"/>
        <v>22290</v>
      </c>
      <c r="M41">
        <f t="shared" si="173"/>
        <v>25080</v>
      </c>
      <c r="N41">
        <f t="shared" si="174"/>
        <v>27840</v>
      </c>
      <c r="O41">
        <f t="shared" si="175"/>
        <v>30090</v>
      </c>
      <c r="P41">
        <f t="shared" si="176"/>
        <v>32310</v>
      </c>
      <c r="Q41">
        <f t="shared" si="177"/>
        <v>34530</v>
      </c>
      <c r="R41">
        <f t="shared" si="178"/>
        <v>36750</v>
      </c>
      <c r="S41">
        <f t="shared" si="179"/>
        <v>39000</v>
      </c>
      <c r="T41">
        <f t="shared" si="154"/>
        <v>26000</v>
      </c>
      <c r="U41">
        <f t="shared" si="180"/>
        <v>29720</v>
      </c>
      <c r="V41">
        <f t="shared" si="181"/>
        <v>33440</v>
      </c>
      <c r="W41">
        <f t="shared" si="182"/>
        <v>37120</v>
      </c>
      <c r="X41">
        <f t="shared" si="183"/>
        <v>40120</v>
      </c>
      <c r="Y41">
        <f t="shared" si="184"/>
        <v>43080</v>
      </c>
      <c r="Z41">
        <f t="shared" si="185"/>
        <v>46040</v>
      </c>
      <c r="AA41">
        <f t="shared" si="186"/>
        <v>49000</v>
      </c>
      <c r="AB41">
        <f t="shared" si="187"/>
        <v>52000</v>
      </c>
      <c r="AC41" s="1664">
        <v>32500</v>
      </c>
      <c r="AD41" s="1664">
        <v>37150</v>
      </c>
      <c r="AE41" s="1664">
        <v>41800</v>
      </c>
      <c r="AF41" s="1664">
        <v>46400</v>
      </c>
      <c r="AG41" s="1664">
        <v>50150</v>
      </c>
      <c r="AH41" s="1664">
        <v>53850</v>
      </c>
      <c r="AI41" s="1664">
        <v>57550</v>
      </c>
      <c r="AJ41" s="1664">
        <v>61250</v>
      </c>
      <c r="AK41" s="1664">
        <v>65000</v>
      </c>
      <c r="AL41">
        <f t="shared" si="188"/>
        <v>39000</v>
      </c>
      <c r="AM41">
        <f t="shared" si="189"/>
        <v>44580</v>
      </c>
      <c r="AN41">
        <f t="shared" si="190"/>
        <v>50160</v>
      </c>
      <c r="AO41">
        <f t="shared" si="191"/>
        <v>55680</v>
      </c>
      <c r="AP41">
        <f t="shared" si="192"/>
        <v>60180</v>
      </c>
      <c r="AQ41">
        <f t="shared" si="193"/>
        <v>64620</v>
      </c>
      <c r="AR41">
        <f t="shared" si="194"/>
        <v>69060</v>
      </c>
      <c r="AS41">
        <f t="shared" si="195"/>
        <v>73500</v>
      </c>
      <c r="AT41">
        <f t="shared" si="196"/>
        <v>78000</v>
      </c>
      <c r="AU41">
        <f t="shared" si="197"/>
        <v>45500</v>
      </c>
      <c r="AV41">
        <f t="shared" si="198"/>
        <v>52010</v>
      </c>
      <c r="AW41">
        <f t="shared" si="199"/>
        <v>58519.999999999993</v>
      </c>
      <c r="AX41">
        <f t="shared" si="200"/>
        <v>64959.999999999993</v>
      </c>
      <c r="AY41">
        <f t="shared" si="201"/>
        <v>70210</v>
      </c>
      <c r="AZ41">
        <f t="shared" si="202"/>
        <v>75390</v>
      </c>
      <c r="BA41">
        <f t="shared" si="203"/>
        <v>80570</v>
      </c>
      <c r="BB41">
        <f t="shared" si="204"/>
        <v>85750</v>
      </c>
      <c r="BC41">
        <f t="shared" si="205"/>
        <v>91000</v>
      </c>
      <c r="BD41">
        <f t="shared" si="155"/>
        <v>52000</v>
      </c>
      <c r="BE41">
        <f t="shared" si="156"/>
        <v>59440</v>
      </c>
      <c r="BF41">
        <f t="shared" si="157"/>
        <v>66880</v>
      </c>
      <c r="BG41">
        <f t="shared" si="158"/>
        <v>74240</v>
      </c>
      <c r="BH41">
        <f t="shared" si="159"/>
        <v>80240</v>
      </c>
      <c r="BI41">
        <f t="shared" si="160"/>
        <v>86160</v>
      </c>
      <c r="BJ41">
        <f t="shared" si="161"/>
        <v>92080</v>
      </c>
      <c r="BK41">
        <f t="shared" si="162"/>
        <v>98000</v>
      </c>
      <c r="BL41">
        <f t="shared" si="163"/>
        <v>104000</v>
      </c>
    </row>
    <row r="42" spans="1:64">
      <c r="A42" s="41" t="s">
        <v>456</v>
      </c>
      <c r="B42">
        <f t="shared" si="152"/>
        <v>13000</v>
      </c>
      <c r="C42">
        <f t="shared" si="164"/>
        <v>14860</v>
      </c>
      <c r="D42">
        <f t="shared" si="165"/>
        <v>16720</v>
      </c>
      <c r="E42">
        <f t="shared" si="166"/>
        <v>18560</v>
      </c>
      <c r="F42">
        <f t="shared" si="167"/>
        <v>20060</v>
      </c>
      <c r="G42">
        <f t="shared" si="168"/>
        <v>21540</v>
      </c>
      <c r="H42">
        <f t="shared" si="169"/>
        <v>23020</v>
      </c>
      <c r="I42">
        <f t="shared" si="170"/>
        <v>24500</v>
      </c>
      <c r="J42">
        <f t="shared" si="171"/>
        <v>26000</v>
      </c>
      <c r="K42">
        <f t="shared" si="153"/>
        <v>19500</v>
      </c>
      <c r="L42">
        <f t="shared" si="172"/>
        <v>22290</v>
      </c>
      <c r="M42">
        <f t="shared" si="173"/>
        <v>25080</v>
      </c>
      <c r="N42">
        <f t="shared" si="174"/>
        <v>27840</v>
      </c>
      <c r="O42">
        <f t="shared" si="175"/>
        <v>30090</v>
      </c>
      <c r="P42">
        <f t="shared" si="176"/>
        <v>32310</v>
      </c>
      <c r="Q42">
        <f t="shared" si="177"/>
        <v>34530</v>
      </c>
      <c r="R42">
        <f t="shared" si="178"/>
        <v>36750</v>
      </c>
      <c r="S42">
        <f t="shared" si="179"/>
        <v>39000</v>
      </c>
      <c r="T42">
        <f t="shared" si="154"/>
        <v>26000</v>
      </c>
      <c r="U42">
        <f t="shared" si="180"/>
        <v>29720</v>
      </c>
      <c r="V42">
        <f t="shared" si="181"/>
        <v>33440</v>
      </c>
      <c r="W42">
        <f t="shared" si="182"/>
        <v>37120</v>
      </c>
      <c r="X42">
        <f t="shared" si="183"/>
        <v>40120</v>
      </c>
      <c r="Y42">
        <f t="shared" si="184"/>
        <v>43080</v>
      </c>
      <c r="Z42">
        <f t="shared" si="185"/>
        <v>46040</v>
      </c>
      <c r="AA42">
        <f t="shared" si="186"/>
        <v>49000</v>
      </c>
      <c r="AB42">
        <f t="shared" si="187"/>
        <v>52000</v>
      </c>
      <c r="AC42" s="1664">
        <v>32500</v>
      </c>
      <c r="AD42" s="1664">
        <v>37150</v>
      </c>
      <c r="AE42" s="1664">
        <v>41800</v>
      </c>
      <c r="AF42" s="1664">
        <v>46400</v>
      </c>
      <c r="AG42" s="1664">
        <v>50150</v>
      </c>
      <c r="AH42" s="1664">
        <v>53850</v>
      </c>
      <c r="AI42" s="1664">
        <v>57550</v>
      </c>
      <c r="AJ42" s="1664">
        <v>61250</v>
      </c>
      <c r="AK42" s="1664">
        <v>65000</v>
      </c>
      <c r="AL42">
        <f t="shared" si="188"/>
        <v>39000</v>
      </c>
      <c r="AM42">
        <f t="shared" si="189"/>
        <v>44580</v>
      </c>
      <c r="AN42">
        <f t="shared" si="190"/>
        <v>50160</v>
      </c>
      <c r="AO42">
        <f t="shared" si="191"/>
        <v>55680</v>
      </c>
      <c r="AP42">
        <f t="shared" si="192"/>
        <v>60180</v>
      </c>
      <c r="AQ42">
        <f t="shared" si="193"/>
        <v>64620</v>
      </c>
      <c r="AR42">
        <f t="shared" si="194"/>
        <v>69060</v>
      </c>
      <c r="AS42">
        <f t="shared" si="195"/>
        <v>73500</v>
      </c>
      <c r="AT42">
        <f t="shared" si="196"/>
        <v>78000</v>
      </c>
      <c r="AU42">
        <f t="shared" si="197"/>
        <v>45500</v>
      </c>
      <c r="AV42">
        <f t="shared" si="198"/>
        <v>52010</v>
      </c>
      <c r="AW42">
        <f t="shared" si="199"/>
        <v>58519.999999999993</v>
      </c>
      <c r="AX42">
        <f t="shared" si="200"/>
        <v>64959.999999999993</v>
      </c>
      <c r="AY42">
        <f t="shared" si="201"/>
        <v>70210</v>
      </c>
      <c r="AZ42">
        <f t="shared" si="202"/>
        <v>75390</v>
      </c>
      <c r="BA42">
        <f t="shared" si="203"/>
        <v>80570</v>
      </c>
      <c r="BB42">
        <f t="shared" si="204"/>
        <v>85750</v>
      </c>
      <c r="BC42">
        <f t="shared" si="205"/>
        <v>91000</v>
      </c>
      <c r="BD42">
        <f t="shared" si="155"/>
        <v>52000</v>
      </c>
      <c r="BE42">
        <f t="shared" si="156"/>
        <v>59440</v>
      </c>
      <c r="BF42">
        <f t="shared" si="157"/>
        <v>66880</v>
      </c>
      <c r="BG42">
        <f t="shared" si="158"/>
        <v>74240</v>
      </c>
      <c r="BH42">
        <f t="shared" si="159"/>
        <v>80240</v>
      </c>
      <c r="BI42">
        <f t="shared" si="160"/>
        <v>86160</v>
      </c>
      <c r="BJ42">
        <f t="shared" si="161"/>
        <v>92080</v>
      </c>
      <c r="BK42">
        <f t="shared" si="162"/>
        <v>98000</v>
      </c>
      <c r="BL42">
        <f t="shared" si="163"/>
        <v>104000</v>
      </c>
    </row>
    <row r="43" spans="1:64">
      <c r="A43" s="41" t="s">
        <v>402</v>
      </c>
      <c r="B43">
        <f t="shared" si="152"/>
        <v>15500</v>
      </c>
      <c r="C43">
        <f t="shared" si="164"/>
        <v>17720</v>
      </c>
      <c r="D43">
        <f t="shared" si="165"/>
        <v>19940</v>
      </c>
      <c r="E43">
        <f t="shared" si="166"/>
        <v>22140</v>
      </c>
      <c r="F43">
        <f t="shared" si="167"/>
        <v>23920</v>
      </c>
      <c r="G43">
        <f t="shared" si="168"/>
        <v>25700</v>
      </c>
      <c r="H43">
        <f t="shared" si="169"/>
        <v>27460</v>
      </c>
      <c r="I43">
        <f t="shared" si="170"/>
        <v>29240</v>
      </c>
      <c r="J43">
        <f t="shared" si="171"/>
        <v>31000</v>
      </c>
      <c r="K43">
        <f t="shared" si="153"/>
        <v>23250</v>
      </c>
      <c r="L43">
        <f t="shared" si="172"/>
        <v>26580</v>
      </c>
      <c r="M43">
        <f t="shared" si="173"/>
        <v>29910</v>
      </c>
      <c r="N43">
        <f t="shared" si="174"/>
        <v>33210</v>
      </c>
      <c r="O43">
        <f t="shared" si="175"/>
        <v>35880</v>
      </c>
      <c r="P43">
        <f t="shared" si="176"/>
        <v>38550</v>
      </c>
      <c r="Q43">
        <f t="shared" si="177"/>
        <v>41190</v>
      </c>
      <c r="R43">
        <f t="shared" si="178"/>
        <v>43860</v>
      </c>
      <c r="S43">
        <f t="shared" si="179"/>
        <v>46500</v>
      </c>
      <c r="T43">
        <f t="shared" si="154"/>
        <v>31000</v>
      </c>
      <c r="U43">
        <f t="shared" si="180"/>
        <v>35440</v>
      </c>
      <c r="V43">
        <f t="shared" si="181"/>
        <v>39880</v>
      </c>
      <c r="W43">
        <f t="shared" si="182"/>
        <v>44280</v>
      </c>
      <c r="X43">
        <f t="shared" si="183"/>
        <v>47840</v>
      </c>
      <c r="Y43">
        <f t="shared" si="184"/>
        <v>51400</v>
      </c>
      <c r="Z43">
        <f t="shared" si="185"/>
        <v>54920</v>
      </c>
      <c r="AA43">
        <f t="shared" si="186"/>
        <v>58480</v>
      </c>
      <c r="AB43">
        <f t="shared" si="187"/>
        <v>62000</v>
      </c>
      <c r="AC43" s="298">
        <v>38750</v>
      </c>
      <c r="AD43" s="298">
        <v>44300</v>
      </c>
      <c r="AE43" s="298">
        <v>49850</v>
      </c>
      <c r="AF43" s="298">
        <v>55350</v>
      </c>
      <c r="AG43" s="298">
        <v>59800</v>
      </c>
      <c r="AH43" s="298">
        <v>64250</v>
      </c>
      <c r="AI43" s="298">
        <v>68650</v>
      </c>
      <c r="AJ43" s="298">
        <v>73100</v>
      </c>
      <c r="AK43" s="298">
        <v>77500</v>
      </c>
      <c r="AL43">
        <f t="shared" si="188"/>
        <v>46500</v>
      </c>
      <c r="AM43">
        <f t="shared" si="189"/>
        <v>53160</v>
      </c>
      <c r="AN43">
        <f t="shared" si="190"/>
        <v>59820</v>
      </c>
      <c r="AO43">
        <f t="shared" si="191"/>
        <v>66420</v>
      </c>
      <c r="AP43">
        <f t="shared" si="192"/>
        <v>71760</v>
      </c>
      <c r="AQ43">
        <f t="shared" si="193"/>
        <v>77100</v>
      </c>
      <c r="AR43">
        <f t="shared" si="194"/>
        <v>82380</v>
      </c>
      <c r="AS43">
        <f t="shared" si="195"/>
        <v>87720</v>
      </c>
      <c r="AT43">
        <f t="shared" si="196"/>
        <v>93000</v>
      </c>
      <c r="AU43">
        <f t="shared" si="197"/>
        <v>54250</v>
      </c>
      <c r="AV43">
        <f t="shared" si="198"/>
        <v>62019.999999999993</v>
      </c>
      <c r="AW43">
        <f t="shared" si="199"/>
        <v>69790</v>
      </c>
      <c r="AX43">
        <f t="shared" si="200"/>
        <v>77490</v>
      </c>
      <c r="AY43">
        <f t="shared" si="201"/>
        <v>83720</v>
      </c>
      <c r="AZ43">
        <f t="shared" si="202"/>
        <v>89950</v>
      </c>
      <c r="BA43">
        <f t="shared" si="203"/>
        <v>96110</v>
      </c>
      <c r="BB43">
        <f t="shared" si="204"/>
        <v>102340</v>
      </c>
      <c r="BC43">
        <f t="shared" si="205"/>
        <v>108500</v>
      </c>
      <c r="BD43">
        <f t="shared" si="155"/>
        <v>62000</v>
      </c>
      <c r="BE43">
        <f t="shared" si="156"/>
        <v>70880</v>
      </c>
      <c r="BF43">
        <f t="shared" si="157"/>
        <v>79760</v>
      </c>
      <c r="BG43">
        <f t="shared" si="158"/>
        <v>88560</v>
      </c>
      <c r="BH43">
        <f t="shared" si="159"/>
        <v>95680</v>
      </c>
      <c r="BI43">
        <f t="shared" si="160"/>
        <v>102800</v>
      </c>
      <c r="BJ43">
        <f t="shared" si="161"/>
        <v>109840</v>
      </c>
      <c r="BK43">
        <f t="shared" si="162"/>
        <v>116960</v>
      </c>
      <c r="BL43">
        <f t="shared" si="163"/>
        <v>124000</v>
      </c>
    </row>
    <row r="44" spans="1:64">
      <c r="A44" s="41" t="s">
        <v>459</v>
      </c>
      <c r="B44">
        <f t="shared" si="152"/>
        <v>13000</v>
      </c>
      <c r="C44">
        <f t="shared" si="164"/>
        <v>14860</v>
      </c>
      <c r="D44">
        <f t="shared" si="165"/>
        <v>16720</v>
      </c>
      <c r="E44">
        <f t="shared" si="166"/>
        <v>18560</v>
      </c>
      <c r="F44">
        <f t="shared" si="167"/>
        <v>20060</v>
      </c>
      <c r="G44">
        <f t="shared" si="168"/>
        <v>21540</v>
      </c>
      <c r="H44">
        <f t="shared" si="169"/>
        <v>23020</v>
      </c>
      <c r="I44">
        <f t="shared" si="170"/>
        <v>24500</v>
      </c>
      <c r="J44">
        <f t="shared" si="171"/>
        <v>26000</v>
      </c>
      <c r="K44">
        <f t="shared" si="153"/>
        <v>19500</v>
      </c>
      <c r="L44">
        <f t="shared" si="172"/>
        <v>22290</v>
      </c>
      <c r="M44">
        <f t="shared" si="173"/>
        <v>25080</v>
      </c>
      <c r="N44">
        <f t="shared" si="174"/>
        <v>27840</v>
      </c>
      <c r="O44">
        <f t="shared" si="175"/>
        <v>30090</v>
      </c>
      <c r="P44">
        <f t="shared" si="176"/>
        <v>32310</v>
      </c>
      <c r="Q44">
        <f t="shared" si="177"/>
        <v>34530</v>
      </c>
      <c r="R44">
        <f t="shared" si="178"/>
        <v>36750</v>
      </c>
      <c r="S44">
        <f t="shared" si="179"/>
        <v>39000</v>
      </c>
      <c r="T44">
        <f t="shared" si="154"/>
        <v>26000</v>
      </c>
      <c r="U44">
        <f t="shared" si="180"/>
        <v>29720</v>
      </c>
      <c r="V44">
        <f t="shared" si="181"/>
        <v>33440</v>
      </c>
      <c r="W44">
        <f t="shared" si="182"/>
        <v>37120</v>
      </c>
      <c r="X44">
        <f t="shared" si="183"/>
        <v>40120</v>
      </c>
      <c r="Y44">
        <f t="shared" si="184"/>
        <v>43080</v>
      </c>
      <c r="Z44">
        <f t="shared" si="185"/>
        <v>46040</v>
      </c>
      <c r="AA44">
        <f t="shared" si="186"/>
        <v>49000</v>
      </c>
      <c r="AB44">
        <f t="shared" si="187"/>
        <v>52000</v>
      </c>
      <c r="AC44" s="1664">
        <v>32500</v>
      </c>
      <c r="AD44" s="1664">
        <v>37150</v>
      </c>
      <c r="AE44" s="1664">
        <v>41800</v>
      </c>
      <c r="AF44" s="1664">
        <v>46400</v>
      </c>
      <c r="AG44" s="1664">
        <v>50150</v>
      </c>
      <c r="AH44" s="1664">
        <v>53850</v>
      </c>
      <c r="AI44" s="1664">
        <v>57550</v>
      </c>
      <c r="AJ44" s="1664">
        <v>61250</v>
      </c>
      <c r="AK44" s="1664">
        <v>65000</v>
      </c>
      <c r="AL44">
        <f t="shared" si="188"/>
        <v>39000</v>
      </c>
      <c r="AM44">
        <f t="shared" si="189"/>
        <v>44580</v>
      </c>
      <c r="AN44">
        <f t="shared" si="190"/>
        <v>50160</v>
      </c>
      <c r="AO44">
        <f t="shared" si="191"/>
        <v>55680</v>
      </c>
      <c r="AP44">
        <f t="shared" si="192"/>
        <v>60180</v>
      </c>
      <c r="AQ44">
        <f t="shared" si="193"/>
        <v>64620</v>
      </c>
      <c r="AR44">
        <f t="shared" si="194"/>
        <v>69060</v>
      </c>
      <c r="AS44">
        <f t="shared" si="195"/>
        <v>73500</v>
      </c>
      <c r="AT44">
        <f t="shared" si="196"/>
        <v>78000</v>
      </c>
      <c r="AU44">
        <f t="shared" si="197"/>
        <v>45500</v>
      </c>
      <c r="AV44">
        <f t="shared" si="198"/>
        <v>52010</v>
      </c>
      <c r="AW44">
        <f t="shared" si="199"/>
        <v>58519.999999999993</v>
      </c>
      <c r="AX44">
        <f t="shared" si="200"/>
        <v>64959.999999999993</v>
      </c>
      <c r="AY44">
        <f t="shared" si="201"/>
        <v>70210</v>
      </c>
      <c r="AZ44">
        <f t="shared" si="202"/>
        <v>75390</v>
      </c>
      <c r="BA44">
        <f t="shared" si="203"/>
        <v>80570</v>
      </c>
      <c r="BB44">
        <f t="shared" si="204"/>
        <v>85750</v>
      </c>
      <c r="BC44">
        <f t="shared" si="205"/>
        <v>91000</v>
      </c>
      <c r="BD44">
        <f t="shared" si="155"/>
        <v>52000</v>
      </c>
      <c r="BE44">
        <f t="shared" si="156"/>
        <v>59440</v>
      </c>
      <c r="BF44">
        <f t="shared" si="157"/>
        <v>66880</v>
      </c>
      <c r="BG44">
        <f t="shared" si="158"/>
        <v>74240</v>
      </c>
      <c r="BH44">
        <f t="shared" si="159"/>
        <v>80240</v>
      </c>
      <c r="BI44">
        <f t="shared" si="160"/>
        <v>86160</v>
      </c>
      <c r="BJ44">
        <f t="shared" si="161"/>
        <v>92080</v>
      </c>
      <c r="BK44">
        <f t="shared" si="162"/>
        <v>98000</v>
      </c>
      <c r="BL44">
        <f t="shared" si="163"/>
        <v>104000</v>
      </c>
    </row>
    <row r="45" spans="1:64">
      <c r="A45" s="41" t="s">
        <v>405</v>
      </c>
      <c r="B45">
        <f t="shared" si="152"/>
        <v>13720</v>
      </c>
      <c r="C45">
        <f t="shared" si="164"/>
        <v>15680</v>
      </c>
      <c r="D45">
        <f t="shared" si="165"/>
        <v>17640</v>
      </c>
      <c r="E45">
        <f t="shared" si="166"/>
        <v>19580</v>
      </c>
      <c r="F45">
        <f t="shared" si="167"/>
        <v>21160</v>
      </c>
      <c r="G45">
        <f t="shared" si="168"/>
        <v>22720</v>
      </c>
      <c r="H45">
        <f t="shared" si="169"/>
        <v>24280</v>
      </c>
      <c r="I45">
        <f t="shared" si="170"/>
        <v>25860</v>
      </c>
      <c r="J45">
        <f t="shared" si="171"/>
        <v>27420</v>
      </c>
      <c r="K45">
        <f t="shared" si="153"/>
        <v>20580</v>
      </c>
      <c r="L45">
        <f t="shared" si="172"/>
        <v>23520</v>
      </c>
      <c r="M45">
        <f t="shared" si="173"/>
        <v>26460</v>
      </c>
      <c r="N45">
        <f t="shared" si="174"/>
        <v>29370</v>
      </c>
      <c r="O45">
        <f t="shared" si="175"/>
        <v>31740</v>
      </c>
      <c r="P45">
        <f t="shared" si="176"/>
        <v>34080</v>
      </c>
      <c r="Q45">
        <f t="shared" si="177"/>
        <v>36420</v>
      </c>
      <c r="R45">
        <f t="shared" si="178"/>
        <v>38790</v>
      </c>
      <c r="S45">
        <f t="shared" si="179"/>
        <v>41130</v>
      </c>
      <c r="T45">
        <f t="shared" si="154"/>
        <v>27440</v>
      </c>
      <c r="U45">
        <f t="shared" si="180"/>
        <v>31360</v>
      </c>
      <c r="V45">
        <f t="shared" si="181"/>
        <v>35280</v>
      </c>
      <c r="W45">
        <f t="shared" si="182"/>
        <v>39160</v>
      </c>
      <c r="X45">
        <f t="shared" si="183"/>
        <v>42320</v>
      </c>
      <c r="Y45">
        <f t="shared" si="184"/>
        <v>45440</v>
      </c>
      <c r="Z45">
        <f t="shared" si="185"/>
        <v>48560</v>
      </c>
      <c r="AA45">
        <f t="shared" si="186"/>
        <v>51720</v>
      </c>
      <c r="AB45">
        <f t="shared" si="187"/>
        <v>54840</v>
      </c>
      <c r="AC45" s="298">
        <v>34300</v>
      </c>
      <c r="AD45" s="298">
        <v>39200</v>
      </c>
      <c r="AE45" s="298">
        <v>44100</v>
      </c>
      <c r="AF45" s="298">
        <v>48950</v>
      </c>
      <c r="AG45" s="298">
        <v>52900</v>
      </c>
      <c r="AH45" s="298">
        <v>56800</v>
      </c>
      <c r="AI45" s="298">
        <v>60700</v>
      </c>
      <c r="AJ45" s="298">
        <v>64650</v>
      </c>
      <c r="AK45" s="298">
        <v>68550</v>
      </c>
      <c r="AL45">
        <f t="shared" si="188"/>
        <v>41160</v>
      </c>
      <c r="AM45">
        <f t="shared" si="189"/>
        <v>47040</v>
      </c>
      <c r="AN45">
        <f t="shared" si="190"/>
        <v>52920</v>
      </c>
      <c r="AO45">
        <f t="shared" si="191"/>
        <v>58740</v>
      </c>
      <c r="AP45">
        <f t="shared" si="192"/>
        <v>63480</v>
      </c>
      <c r="AQ45">
        <f t="shared" si="193"/>
        <v>68160</v>
      </c>
      <c r="AR45">
        <f t="shared" si="194"/>
        <v>72840</v>
      </c>
      <c r="AS45">
        <f t="shared" si="195"/>
        <v>77580</v>
      </c>
      <c r="AT45">
        <f t="shared" si="196"/>
        <v>82260</v>
      </c>
      <c r="AU45">
        <f t="shared" si="197"/>
        <v>48020</v>
      </c>
      <c r="AV45">
        <f t="shared" si="198"/>
        <v>54880</v>
      </c>
      <c r="AW45">
        <f t="shared" si="199"/>
        <v>61739.999999999993</v>
      </c>
      <c r="AX45">
        <f t="shared" si="200"/>
        <v>68530</v>
      </c>
      <c r="AY45">
        <f t="shared" si="201"/>
        <v>74060</v>
      </c>
      <c r="AZ45">
        <f t="shared" si="202"/>
        <v>79520</v>
      </c>
      <c r="BA45">
        <f t="shared" si="203"/>
        <v>84980</v>
      </c>
      <c r="BB45">
        <f t="shared" si="204"/>
        <v>90510</v>
      </c>
      <c r="BC45">
        <f t="shared" si="205"/>
        <v>95970</v>
      </c>
      <c r="BD45">
        <f t="shared" si="155"/>
        <v>54880</v>
      </c>
      <c r="BE45">
        <f t="shared" si="156"/>
        <v>62720</v>
      </c>
      <c r="BF45">
        <f t="shared" si="157"/>
        <v>70560</v>
      </c>
      <c r="BG45">
        <f t="shared" si="158"/>
        <v>78320</v>
      </c>
      <c r="BH45">
        <f t="shared" si="159"/>
        <v>84640</v>
      </c>
      <c r="BI45">
        <f t="shared" si="160"/>
        <v>90880</v>
      </c>
      <c r="BJ45">
        <f t="shared" si="161"/>
        <v>97120</v>
      </c>
      <c r="BK45">
        <f t="shared" si="162"/>
        <v>103440</v>
      </c>
      <c r="BL45">
        <f t="shared" si="163"/>
        <v>109680</v>
      </c>
    </row>
    <row r="46" spans="1:64">
      <c r="A46" s="41" t="s">
        <v>462</v>
      </c>
      <c r="B46">
        <f t="shared" si="152"/>
        <v>13500</v>
      </c>
      <c r="C46">
        <f t="shared" si="164"/>
        <v>15420</v>
      </c>
      <c r="D46">
        <f t="shared" si="165"/>
        <v>17340</v>
      </c>
      <c r="E46">
        <f t="shared" si="166"/>
        <v>19260</v>
      </c>
      <c r="F46">
        <f t="shared" si="167"/>
        <v>20820</v>
      </c>
      <c r="G46">
        <f t="shared" si="168"/>
        <v>22360</v>
      </c>
      <c r="H46">
        <f t="shared" si="169"/>
        <v>23900</v>
      </c>
      <c r="I46">
        <f t="shared" si="170"/>
        <v>25440</v>
      </c>
      <c r="J46">
        <f t="shared" si="171"/>
        <v>26980</v>
      </c>
      <c r="K46">
        <f t="shared" si="153"/>
        <v>20250</v>
      </c>
      <c r="L46">
        <f t="shared" si="172"/>
        <v>23130</v>
      </c>
      <c r="M46">
        <f t="shared" si="173"/>
        <v>26010</v>
      </c>
      <c r="N46">
        <f t="shared" si="174"/>
        <v>28890</v>
      </c>
      <c r="O46">
        <f t="shared" si="175"/>
        <v>31230</v>
      </c>
      <c r="P46">
        <f t="shared" si="176"/>
        <v>33540</v>
      </c>
      <c r="Q46">
        <f t="shared" si="177"/>
        <v>35850</v>
      </c>
      <c r="R46">
        <f t="shared" si="178"/>
        <v>38160</v>
      </c>
      <c r="S46">
        <f t="shared" si="179"/>
        <v>40470</v>
      </c>
      <c r="T46">
        <f t="shared" si="154"/>
        <v>27000</v>
      </c>
      <c r="U46">
        <f t="shared" si="180"/>
        <v>30840</v>
      </c>
      <c r="V46">
        <f t="shared" si="181"/>
        <v>34680</v>
      </c>
      <c r="W46">
        <f t="shared" si="182"/>
        <v>38520</v>
      </c>
      <c r="X46">
        <f t="shared" si="183"/>
        <v>41640</v>
      </c>
      <c r="Y46">
        <f t="shared" si="184"/>
        <v>44720</v>
      </c>
      <c r="Z46">
        <f t="shared" si="185"/>
        <v>47800</v>
      </c>
      <c r="AA46">
        <f t="shared" si="186"/>
        <v>50880</v>
      </c>
      <c r="AB46">
        <f t="shared" si="187"/>
        <v>53960</v>
      </c>
      <c r="AC46" s="298">
        <v>33750</v>
      </c>
      <c r="AD46" s="298">
        <v>38550</v>
      </c>
      <c r="AE46" s="298">
        <v>43350</v>
      </c>
      <c r="AF46" s="298">
        <v>48150</v>
      </c>
      <c r="AG46" s="298">
        <v>52050</v>
      </c>
      <c r="AH46" s="298">
        <v>55900</v>
      </c>
      <c r="AI46" s="298">
        <v>59750</v>
      </c>
      <c r="AJ46" s="298">
        <v>63600</v>
      </c>
      <c r="AK46" s="298">
        <v>67450</v>
      </c>
      <c r="AL46">
        <f t="shared" si="188"/>
        <v>40500</v>
      </c>
      <c r="AM46">
        <f t="shared" si="189"/>
        <v>46260</v>
      </c>
      <c r="AN46">
        <f t="shared" si="190"/>
        <v>52020</v>
      </c>
      <c r="AO46">
        <f t="shared" si="191"/>
        <v>57780</v>
      </c>
      <c r="AP46">
        <f t="shared" si="192"/>
        <v>62460</v>
      </c>
      <c r="AQ46">
        <f t="shared" si="193"/>
        <v>67080</v>
      </c>
      <c r="AR46">
        <f t="shared" si="194"/>
        <v>71700</v>
      </c>
      <c r="AS46">
        <f t="shared" si="195"/>
        <v>76320</v>
      </c>
      <c r="AT46">
        <f t="shared" si="196"/>
        <v>80940</v>
      </c>
      <c r="AU46">
        <f t="shared" si="197"/>
        <v>47250</v>
      </c>
      <c r="AV46">
        <f t="shared" si="198"/>
        <v>53970</v>
      </c>
      <c r="AW46">
        <f t="shared" si="199"/>
        <v>60689.999999999993</v>
      </c>
      <c r="AX46">
        <f t="shared" si="200"/>
        <v>67410</v>
      </c>
      <c r="AY46">
        <f t="shared" si="201"/>
        <v>72870</v>
      </c>
      <c r="AZ46">
        <f t="shared" si="202"/>
        <v>78260</v>
      </c>
      <c r="BA46">
        <f t="shared" si="203"/>
        <v>83650</v>
      </c>
      <c r="BB46">
        <f t="shared" si="204"/>
        <v>89040</v>
      </c>
      <c r="BC46">
        <f t="shared" si="205"/>
        <v>94430</v>
      </c>
      <c r="BD46">
        <f t="shared" si="155"/>
        <v>54000</v>
      </c>
      <c r="BE46">
        <f t="shared" si="156"/>
        <v>61680</v>
      </c>
      <c r="BF46">
        <f t="shared" si="157"/>
        <v>69360</v>
      </c>
      <c r="BG46">
        <f t="shared" si="158"/>
        <v>77040</v>
      </c>
      <c r="BH46">
        <f t="shared" si="159"/>
        <v>83280</v>
      </c>
      <c r="BI46">
        <f t="shared" si="160"/>
        <v>89440</v>
      </c>
      <c r="BJ46">
        <f t="shared" si="161"/>
        <v>95600</v>
      </c>
      <c r="BK46">
        <f t="shared" si="162"/>
        <v>101760</v>
      </c>
      <c r="BL46">
        <f t="shared" si="163"/>
        <v>107920</v>
      </c>
    </row>
    <row r="47" spans="1:64">
      <c r="A47" s="41" t="s">
        <v>407</v>
      </c>
      <c r="B47">
        <f t="shared" si="152"/>
        <v>15620</v>
      </c>
      <c r="C47">
        <f t="shared" si="164"/>
        <v>17840</v>
      </c>
      <c r="D47">
        <f t="shared" si="165"/>
        <v>20080</v>
      </c>
      <c r="E47">
        <f t="shared" si="166"/>
        <v>22300</v>
      </c>
      <c r="F47">
        <f t="shared" si="167"/>
        <v>24100</v>
      </c>
      <c r="G47">
        <f t="shared" si="168"/>
        <v>25880</v>
      </c>
      <c r="H47">
        <f t="shared" si="169"/>
        <v>27660</v>
      </c>
      <c r="I47">
        <f t="shared" si="170"/>
        <v>29440</v>
      </c>
      <c r="J47">
        <f t="shared" si="171"/>
        <v>31220</v>
      </c>
      <c r="K47">
        <f t="shared" si="153"/>
        <v>23430</v>
      </c>
      <c r="L47">
        <f t="shared" si="172"/>
        <v>26760</v>
      </c>
      <c r="M47">
        <f t="shared" si="173"/>
        <v>30120</v>
      </c>
      <c r="N47">
        <f t="shared" si="174"/>
        <v>33450</v>
      </c>
      <c r="O47">
        <f t="shared" si="175"/>
        <v>36150</v>
      </c>
      <c r="P47">
        <f t="shared" si="176"/>
        <v>38820</v>
      </c>
      <c r="Q47">
        <f t="shared" si="177"/>
        <v>41490</v>
      </c>
      <c r="R47">
        <f t="shared" si="178"/>
        <v>44160</v>
      </c>
      <c r="S47">
        <f t="shared" si="179"/>
        <v>46830</v>
      </c>
      <c r="T47">
        <f t="shared" si="154"/>
        <v>31240</v>
      </c>
      <c r="U47">
        <f t="shared" si="180"/>
        <v>35680</v>
      </c>
      <c r="V47">
        <f t="shared" si="181"/>
        <v>40160</v>
      </c>
      <c r="W47">
        <f t="shared" si="182"/>
        <v>44600</v>
      </c>
      <c r="X47">
        <f t="shared" si="183"/>
        <v>48200</v>
      </c>
      <c r="Y47">
        <f t="shared" si="184"/>
        <v>51760</v>
      </c>
      <c r="Z47">
        <f t="shared" si="185"/>
        <v>55320</v>
      </c>
      <c r="AA47">
        <f t="shared" si="186"/>
        <v>58880</v>
      </c>
      <c r="AB47">
        <f t="shared" si="187"/>
        <v>62440</v>
      </c>
      <c r="AC47" s="298">
        <v>39050</v>
      </c>
      <c r="AD47" s="298">
        <v>44600</v>
      </c>
      <c r="AE47" s="298">
        <v>50200</v>
      </c>
      <c r="AF47" s="298">
        <v>55750</v>
      </c>
      <c r="AG47" s="298">
        <v>60250</v>
      </c>
      <c r="AH47" s="298">
        <v>64700</v>
      </c>
      <c r="AI47" s="298">
        <v>69150</v>
      </c>
      <c r="AJ47" s="298">
        <v>73600</v>
      </c>
      <c r="AK47" s="298">
        <v>78050</v>
      </c>
      <c r="AL47">
        <f t="shared" si="188"/>
        <v>46860</v>
      </c>
      <c r="AM47">
        <f t="shared" si="189"/>
        <v>53520</v>
      </c>
      <c r="AN47">
        <f t="shared" si="190"/>
        <v>60240</v>
      </c>
      <c r="AO47">
        <f t="shared" si="191"/>
        <v>66900</v>
      </c>
      <c r="AP47">
        <f t="shared" si="192"/>
        <v>72300</v>
      </c>
      <c r="AQ47">
        <f t="shared" si="193"/>
        <v>77640</v>
      </c>
      <c r="AR47">
        <f t="shared" si="194"/>
        <v>82980</v>
      </c>
      <c r="AS47">
        <f t="shared" si="195"/>
        <v>88320</v>
      </c>
      <c r="AT47">
        <f t="shared" si="196"/>
        <v>93660</v>
      </c>
      <c r="AU47">
        <f t="shared" si="197"/>
        <v>54670</v>
      </c>
      <c r="AV47">
        <f t="shared" si="198"/>
        <v>62439.999999999993</v>
      </c>
      <c r="AW47">
        <f t="shared" si="199"/>
        <v>70280</v>
      </c>
      <c r="AX47">
        <f t="shared" si="200"/>
        <v>78050</v>
      </c>
      <c r="AY47">
        <f t="shared" si="201"/>
        <v>84350</v>
      </c>
      <c r="AZ47">
        <f t="shared" si="202"/>
        <v>90580</v>
      </c>
      <c r="BA47">
        <f t="shared" si="203"/>
        <v>96810</v>
      </c>
      <c r="BB47">
        <f t="shared" si="204"/>
        <v>103040</v>
      </c>
      <c r="BC47">
        <f t="shared" si="205"/>
        <v>109270</v>
      </c>
      <c r="BD47">
        <f t="shared" si="155"/>
        <v>62480</v>
      </c>
      <c r="BE47">
        <f t="shared" si="156"/>
        <v>71360</v>
      </c>
      <c r="BF47">
        <f t="shared" si="157"/>
        <v>80320</v>
      </c>
      <c r="BG47">
        <f t="shared" si="158"/>
        <v>89200</v>
      </c>
      <c r="BH47">
        <f t="shared" si="159"/>
        <v>96400</v>
      </c>
      <c r="BI47">
        <f t="shared" si="160"/>
        <v>103520</v>
      </c>
      <c r="BJ47">
        <f t="shared" si="161"/>
        <v>110640</v>
      </c>
      <c r="BK47">
        <f t="shared" si="162"/>
        <v>117760</v>
      </c>
      <c r="BL47">
        <f t="shared" si="163"/>
        <v>124880</v>
      </c>
    </row>
    <row r="48" spans="1:64">
      <c r="A48" s="41" t="s">
        <v>410</v>
      </c>
      <c r="B48">
        <f t="shared" si="152"/>
        <v>15500</v>
      </c>
      <c r="C48">
        <f t="shared" si="164"/>
        <v>17720</v>
      </c>
      <c r="D48">
        <f t="shared" si="165"/>
        <v>19940</v>
      </c>
      <c r="E48">
        <f t="shared" si="166"/>
        <v>22140</v>
      </c>
      <c r="F48">
        <f t="shared" si="167"/>
        <v>23920</v>
      </c>
      <c r="G48">
        <f t="shared" si="168"/>
        <v>25700</v>
      </c>
      <c r="H48">
        <f t="shared" si="169"/>
        <v>27460</v>
      </c>
      <c r="I48">
        <f t="shared" si="170"/>
        <v>29240</v>
      </c>
      <c r="J48">
        <f t="shared" si="171"/>
        <v>31000</v>
      </c>
      <c r="K48">
        <f t="shared" si="153"/>
        <v>23250</v>
      </c>
      <c r="L48">
        <f t="shared" si="172"/>
        <v>26580</v>
      </c>
      <c r="M48">
        <f t="shared" si="173"/>
        <v>29910</v>
      </c>
      <c r="N48">
        <f t="shared" si="174"/>
        <v>33210</v>
      </c>
      <c r="O48">
        <f t="shared" si="175"/>
        <v>35880</v>
      </c>
      <c r="P48">
        <f t="shared" si="176"/>
        <v>38550</v>
      </c>
      <c r="Q48">
        <f t="shared" si="177"/>
        <v>41190</v>
      </c>
      <c r="R48">
        <f t="shared" si="178"/>
        <v>43860</v>
      </c>
      <c r="S48">
        <f t="shared" si="179"/>
        <v>46500</v>
      </c>
      <c r="T48">
        <f t="shared" si="154"/>
        <v>31000</v>
      </c>
      <c r="U48">
        <f t="shared" si="180"/>
        <v>35440</v>
      </c>
      <c r="V48">
        <f t="shared" si="181"/>
        <v>39880</v>
      </c>
      <c r="W48">
        <f t="shared" si="182"/>
        <v>44280</v>
      </c>
      <c r="X48">
        <f t="shared" si="183"/>
        <v>47840</v>
      </c>
      <c r="Y48">
        <f t="shared" si="184"/>
        <v>51400</v>
      </c>
      <c r="Z48">
        <f t="shared" si="185"/>
        <v>54920</v>
      </c>
      <c r="AA48">
        <f t="shared" si="186"/>
        <v>58480</v>
      </c>
      <c r="AB48">
        <f t="shared" si="187"/>
        <v>62000</v>
      </c>
      <c r="AC48" s="298">
        <v>38750</v>
      </c>
      <c r="AD48" s="298">
        <v>44300</v>
      </c>
      <c r="AE48" s="298">
        <v>49850</v>
      </c>
      <c r="AF48" s="298">
        <v>55350</v>
      </c>
      <c r="AG48" s="298">
        <v>59800</v>
      </c>
      <c r="AH48" s="298">
        <v>64250</v>
      </c>
      <c r="AI48" s="298">
        <v>68650</v>
      </c>
      <c r="AJ48" s="298">
        <v>73100</v>
      </c>
      <c r="AK48" s="298">
        <v>77500</v>
      </c>
      <c r="AL48">
        <f t="shared" si="188"/>
        <v>46500</v>
      </c>
      <c r="AM48">
        <f t="shared" si="189"/>
        <v>53160</v>
      </c>
      <c r="AN48">
        <f t="shared" si="190"/>
        <v>59820</v>
      </c>
      <c r="AO48">
        <f t="shared" si="191"/>
        <v>66420</v>
      </c>
      <c r="AP48">
        <f t="shared" si="192"/>
        <v>71760</v>
      </c>
      <c r="AQ48">
        <f t="shared" si="193"/>
        <v>77100</v>
      </c>
      <c r="AR48">
        <f t="shared" si="194"/>
        <v>82380</v>
      </c>
      <c r="AS48">
        <f t="shared" si="195"/>
        <v>87720</v>
      </c>
      <c r="AT48">
        <f t="shared" si="196"/>
        <v>93000</v>
      </c>
      <c r="AU48">
        <f t="shared" si="197"/>
        <v>54250</v>
      </c>
      <c r="AV48">
        <f t="shared" si="198"/>
        <v>62019.999999999993</v>
      </c>
      <c r="AW48">
        <f t="shared" si="199"/>
        <v>69790</v>
      </c>
      <c r="AX48">
        <f t="shared" si="200"/>
        <v>77490</v>
      </c>
      <c r="AY48">
        <f t="shared" si="201"/>
        <v>83720</v>
      </c>
      <c r="AZ48">
        <f t="shared" si="202"/>
        <v>89950</v>
      </c>
      <c r="BA48">
        <f t="shared" si="203"/>
        <v>96110</v>
      </c>
      <c r="BB48">
        <f t="shared" si="204"/>
        <v>102340</v>
      </c>
      <c r="BC48">
        <f t="shared" si="205"/>
        <v>108500</v>
      </c>
      <c r="BD48">
        <f t="shared" si="155"/>
        <v>62000</v>
      </c>
      <c r="BE48">
        <f t="shared" si="156"/>
        <v>70880</v>
      </c>
      <c r="BF48">
        <f t="shared" si="157"/>
        <v>79760</v>
      </c>
      <c r="BG48">
        <f t="shared" si="158"/>
        <v>88560</v>
      </c>
      <c r="BH48">
        <f t="shared" si="159"/>
        <v>95680</v>
      </c>
      <c r="BI48">
        <f t="shared" si="160"/>
        <v>102800</v>
      </c>
      <c r="BJ48">
        <f t="shared" si="161"/>
        <v>109840</v>
      </c>
      <c r="BK48">
        <f t="shared" si="162"/>
        <v>116960</v>
      </c>
      <c r="BL48">
        <f t="shared" si="163"/>
        <v>124000</v>
      </c>
    </row>
    <row r="49" spans="1:64">
      <c r="A49" s="41" t="s">
        <v>466</v>
      </c>
      <c r="B49">
        <f t="shared" si="152"/>
        <v>13140</v>
      </c>
      <c r="C49">
        <f t="shared" si="164"/>
        <v>15020</v>
      </c>
      <c r="D49">
        <f t="shared" si="165"/>
        <v>16900</v>
      </c>
      <c r="E49">
        <f t="shared" si="166"/>
        <v>18760</v>
      </c>
      <c r="F49">
        <f t="shared" si="167"/>
        <v>20280</v>
      </c>
      <c r="G49">
        <f t="shared" si="168"/>
        <v>21780</v>
      </c>
      <c r="H49">
        <f t="shared" si="169"/>
        <v>23280</v>
      </c>
      <c r="I49">
        <f t="shared" si="170"/>
        <v>24780</v>
      </c>
      <c r="J49">
        <f t="shared" si="171"/>
        <v>26280</v>
      </c>
      <c r="K49">
        <f t="shared" si="153"/>
        <v>19710</v>
      </c>
      <c r="L49">
        <f t="shared" si="172"/>
        <v>22530</v>
      </c>
      <c r="M49">
        <f t="shared" si="173"/>
        <v>25350</v>
      </c>
      <c r="N49">
        <f t="shared" si="174"/>
        <v>28140</v>
      </c>
      <c r="O49">
        <f t="shared" si="175"/>
        <v>30420</v>
      </c>
      <c r="P49">
        <f t="shared" si="176"/>
        <v>32670</v>
      </c>
      <c r="Q49">
        <f t="shared" si="177"/>
        <v>34920</v>
      </c>
      <c r="R49">
        <f t="shared" si="178"/>
        <v>37170</v>
      </c>
      <c r="S49">
        <f t="shared" si="179"/>
        <v>39420</v>
      </c>
      <c r="T49">
        <f t="shared" si="154"/>
        <v>26280</v>
      </c>
      <c r="U49">
        <f t="shared" si="180"/>
        <v>30040</v>
      </c>
      <c r="V49">
        <f t="shared" si="181"/>
        <v>33800</v>
      </c>
      <c r="W49">
        <f t="shared" si="182"/>
        <v>37520</v>
      </c>
      <c r="X49">
        <f t="shared" si="183"/>
        <v>40560</v>
      </c>
      <c r="Y49">
        <f t="shared" si="184"/>
        <v>43560</v>
      </c>
      <c r="Z49">
        <f t="shared" si="185"/>
        <v>46560</v>
      </c>
      <c r="AA49">
        <f t="shared" si="186"/>
        <v>49560</v>
      </c>
      <c r="AB49">
        <f t="shared" si="187"/>
        <v>52560</v>
      </c>
      <c r="AC49" s="298">
        <v>32850</v>
      </c>
      <c r="AD49" s="298">
        <v>37550</v>
      </c>
      <c r="AE49" s="298">
        <v>42250</v>
      </c>
      <c r="AF49" s="298">
        <v>46900</v>
      </c>
      <c r="AG49" s="298">
        <v>50700</v>
      </c>
      <c r="AH49" s="298">
        <v>54450</v>
      </c>
      <c r="AI49" s="298">
        <v>58200</v>
      </c>
      <c r="AJ49" s="298">
        <v>61950</v>
      </c>
      <c r="AK49" s="298">
        <v>65700</v>
      </c>
      <c r="AL49">
        <f t="shared" si="188"/>
        <v>39420</v>
      </c>
      <c r="AM49">
        <f t="shared" si="189"/>
        <v>45060</v>
      </c>
      <c r="AN49">
        <f t="shared" si="190"/>
        <v>50700</v>
      </c>
      <c r="AO49">
        <f t="shared" si="191"/>
        <v>56280</v>
      </c>
      <c r="AP49">
        <f t="shared" si="192"/>
        <v>60840</v>
      </c>
      <c r="AQ49">
        <f t="shared" si="193"/>
        <v>65340</v>
      </c>
      <c r="AR49">
        <f t="shared" si="194"/>
        <v>69840</v>
      </c>
      <c r="AS49">
        <f t="shared" si="195"/>
        <v>74340</v>
      </c>
      <c r="AT49">
        <f t="shared" si="196"/>
        <v>78840</v>
      </c>
      <c r="AU49">
        <f t="shared" si="197"/>
        <v>45990</v>
      </c>
      <c r="AV49">
        <f t="shared" si="198"/>
        <v>52570</v>
      </c>
      <c r="AW49">
        <f t="shared" si="199"/>
        <v>59149.999999999993</v>
      </c>
      <c r="AX49">
        <f t="shared" si="200"/>
        <v>65660</v>
      </c>
      <c r="AY49">
        <f t="shared" si="201"/>
        <v>70980</v>
      </c>
      <c r="AZ49">
        <f t="shared" si="202"/>
        <v>76230</v>
      </c>
      <c r="BA49">
        <f t="shared" si="203"/>
        <v>81480</v>
      </c>
      <c r="BB49">
        <f t="shared" si="204"/>
        <v>86730</v>
      </c>
      <c r="BC49">
        <f t="shared" si="205"/>
        <v>91980</v>
      </c>
      <c r="BD49">
        <f t="shared" si="155"/>
        <v>52560</v>
      </c>
      <c r="BE49">
        <f t="shared" si="156"/>
        <v>60080</v>
      </c>
      <c r="BF49">
        <f t="shared" si="157"/>
        <v>67600</v>
      </c>
      <c r="BG49">
        <f t="shared" si="158"/>
        <v>75040</v>
      </c>
      <c r="BH49">
        <f t="shared" si="159"/>
        <v>81120</v>
      </c>
      <c r="BI49">
        <f t="shared" si="160"/>
        <v>87120</v>
      </c>
      <c r="BJ49">
        <f t="shared" si="161"/>
        <v>93120</v>
      </c>
      <c r="BK49">
        <f t="shared" si="162"/>
        <v>99120</v>
      </c>
      <c r="BL49">
        <f t="shared" si="163"/>
        <v>105120</v>
      </c>
    </row>
    <row r="50" spans="1:64">
      <c r="A50" s="41" t="s">
        <v>412</v>
      </c>
      <c r="B50">
        <f t="shared" si="152"/>
        <v>18540</v>
      </c>
      <c r="C50">
        <f t="shared" si="164"/>
        <v>21200</v>
      </c>
      <c r="D50">
        <f t="shared" si="165"/>
        <v>23840</v>
      </c>
      <c r="E50">
        <f t="shared" si="166"/>
        <v>26480</v>
      </c>
      <c r="F50">
        <f t="shared" si="167"/>
        <v>28600</v>
      </c>
      <c r="G50">
        <f t="shared" si="168"/>
        <v>30720</v>
      </c>
      <c r="H50">
        <f t="shared" si="169"/>
        <v>32840</v>
      </c>
      <c r="I50">
        <f t="shared" si="170"/>
        <v>34960</v>
      </c>
      <c r="J50">
        <f t="shared" si="171"/>
        <v>37080</v>
      </c>
      <c r="K50">
        <f t="shared" si="153"/>
        <v>27810</v>
      </c>
      <c r="L50">
        <f t="shared" si="172"/>
        <v>31800</v>
      </c>
      <c r="M50">
        <f t="shared" si="173"/>
        <v>35760</v>
      </c>
      <c r="N50">
        <f t="shared" si="174"/>
        <v>39720</v>
      </c>
      <c r="O50">
        <f t="shared" si="175"/>
        <v>42900</v>
      </c>
      <c r="P50">
        <f t="shared" si="176"/>
        <v>46080</v>
      </c>
      <c r="Q50">
        <f t="shared" si="177"/>
        <v>49260</v>
      </c>
      <c r="R50">
        <f t="shared" si="178"/>
        <v>52440</v>
      </c>
      <c r="S50">
        <f t="shared" si="179"/>
        <v>55620</v>
      </c>
      <c r="T50">
        <f t="shared" si="154"/>
        <v>37080</v>
      </c>
      <c r="U50">
        <f t="shared" si="180"/>
        <v>42400</v>
      </c>
      <c r="V50">
        <f t="shared" si="181"/>
        <v>47680</v>
      </c>
      <c r="W50">
        <f t="shared" si="182"/>
        <v>52960</v>
      </c>
      <c r="X50">
        <f t="shared" si="183"/>
        <v>57200</v>
      </c>
      <c r="Y50">
        <f t="shared" si="184"/>
        <v>61440</v>
      </c>
      <c r="Z50">
        <f t="shared" si="185"/>
        <v>65680</v>
      </c>
      <c r="AA50">
        <f t="shared" si="186"/>
        <v>69920</v>
      </c>
      <c r="AB50">
        <f t="shared" si="187"/>
        <v>74160</v>
      </c>
      <c r="AC50" s="298">
        <v>46350</v>
      </c>
      <c r="AD50" s="298">
        <v>53000</v>
      </c>
      <c r="AE50" s="298">
        <v>59600</v>
      </c>
      <c r="AF50" s="298">
        <v>66200</v>
      </c>
      <c r="AG50" s="298">
        <v>71500</v>
      </c>
      <c r="AH50" s="298">
        <v>76800</v>
      </c>
      <c r="AI50" s="298">
        <v>82100</v>
      </c>
      <c r="AJ50" s="298">
        <v>87400</v>
      </c>
      <c r="AK50" s="298">
        <v>92700</v>
      </c>
      <c r="AL50">
        <f t="shared" si="188"/>
        <v>55620</v>
      </c>
      <c r="AM50">
        <f t="shared" si="189"/>
        <v>63600</v>
      </c>
      <c r="AN50">
        <f t="shared" si="190"/>
        <v>71520</v>
      </c>
      <c r="AO50">
        <f t="shared" si="191"/>
        <v>79440</v>
      </c>
      <c r="AP50">
        <f t="shared" si="192"/>
        <v>85800</v>
      </c>
      <c r="AQ50">
        <f t="shared" si="193"/>
        <v>92160</v>
      </c>
      <c r="AR50">
        <f t="shared" si="194"/>
        <v>98520</v>
      </c>
      <c r="AS50">
        <f t="shared" si="195"/>
        <v>104880</v>
      </c>
      <c r="AT50">
        <f t="shared" si="196"/>
        <v>111240</v>
      </c>
      <c r="AU50">
        <f t="shared" si="197"/>
        <v>64889.999999999993</v>
      </c>
      <c r="AV50">
        <f t="shared" si="198"/>
        <v>74200</v>
      </c>
      <c r="AW50">
        <f t="shared" si="199"/>
        <v>83440</v>
      </c>
      <c r="AX50">
        <f t="shared" si="200"/>
        <v>92680</v>
      </c>
      <c r="AY50">
        <f t="shared" si="201"/>
        <v>100100</v>
      </c>
      <c r="AZ50">
        <f t="shared" si="202"/>
        <v>107520</v>
      </c>
      <c r="BA50">
        <f t="shared" si="203"/>
        <v>114939.99999999999</v>
      </c>
      <c r="BB50">
        <f t="shared" si="204"/>
        <v>122359.99999999999</v>
      </c>
      <c r="BC50">
        <f t="shared" si="205"/>
        <v>129779.99999999999</v>
      </c>
      <c r="BD50">
        <f t="shared" si="155"/>
        <v>74160</v>
      </c>
      <c r="BE50">
        <f t="shared" si="156"/>
        <v>84800</v>
      </c>
      <c r="BF50">
        <f t="shared" si="157"/>
        <v>95360</v>
      </c>
      <c r="BG50">
        <f t="shared" si="158"/>
        <v>105920</v>
      </c>
      <c r="BH50">
        <f t="shared" si="159"/>
        <v>114400</v>
      </c>
      <c r="BI50">
        <f t="shared" si="160"/>
        <v>122880</v>
      </c>
      <c r="BJ50">
        <f t="shared" si="161"/>
        <v>131360</v>
      </c>
      <c r="BK50">
        <f t="shared" si="162"/>
        <v>139840</v>
      </c>
      <c r="BL50">
        <f t="shared" si="163"/>
        <v>148320</v>
      </c>
    </row>
    <row r="51" spans="1:64">
      <c r="A51" s="41" t="s">
        <v>469</v>
      </c>
      <c r="B51">
        <f t="shared" si="152"/>
        <v>13660</v>
      </c>
      <c r="C51">
        <f t="shared" si="164"/>
        <v>15600</v>
      </c>
      <c r="D51">
        <f t="shared" si="165"/>
        <v>17560</v>
      </c>
      <c r="E51">
        <f t="shared" si="166"/>
        <v>19500</v>
      </c>
      <c r="F51">
        <f t="shared" si="167"/>
        <v>21060</v>
      </c>
      <c r="G51">
        <f t="shared" si="168"/>
        <v>22620</v>
      </c>
      <c r="H51">
        <f t="shared" si="169"/>
        <v>24180</v>
      </c>
      <c r="I51">
        <f t="shared" si="170"/>
        <v>25740</v>
      </c>
      <c r="J51">
        <f t="shared" si="171"/>
        <v>27300</v>
      </c>
      <c r="K51">
        <f t="shared" si="153"/>
        <v>20490</v>
      </c>
      <c r="L51">
        <f t="shared" si="172"/>
        <v>23400</v>
      </c>
      <c r="M51">
        <f t="shared" si="173"/>
        <v>26340</v>
      </c>
      <c r="N51">
        <f t="shared" si="174"/>
        <v>29250</v>
      </c>
      <c r="O51">
        <f t="shared" si="175"/>
        <v>31590</v>
      </c>
      <c r="P51">
        <f t="shared" si="176"/>
        <v>33930</v>
      </c>
      <c r="Q51">
        <f t="shared" si="177"/>
        <v>36270</v>
      </c>
      <c r="R51">
        <f t="shared" si="178"/>
        <v>38610</v>
      </c>
      <c r="S51">
        <f t="shared" si="179"/>
        <v>40950</v>
      </c>
      <c r="T51">
        <f t="shared" si="154"/>
        <v>27320</v>
      </c>
      <c r="U51">
        <f t="shared" si="180"/>
        <v>31200</v>
      </c>
      <c r="V51">
        <f t="shared" si="181"/>
        <v>35120</v>
      </c>
      <c r="W51">
        <f t="shared" si="182"/>
        <v>39000</v>
      </c>
      <c r="X51">
        <f t="shared" si="183"/>
        <v>42120</v>
      </c>
      <c r="Y51">
        <f t="shared" si="184"/>
        <v>45240</v>
      </c>
      <c r="Z51">
        <f t="shared" si="185"/>
        <v>48360</v>
      </c>
      <c r="AA51">
        <f t="shared" si="186"/>
        <v>51480</v>
      </c>
      <c r="AB51">
        <f t="shared" si="187"/>
        <v>54600</v>
      </c>
      <c r="AC51" s="298">
        <v>34150</v>
      </c>
      <c r="AD51" s="298">
        <v>39000</v>
      </c>
      <c r="AE51" s="298">
        <v>43900</v>
      </c>
      <c r="AF51" s="298">
        <v>48750</v>
      </c>
      <c r="AG51" s="298">
        <v>52650</v>
      </c>
      <c r="AH51" s="298">
        <v>56550</v>
      </c>
      <c r="AI51" s="298">
        <v>60450</v>
      </c>
      <c r="AJ51" s="298">
        <v>64350</v>
      </c>
      <c r="AK51" s="298">
        <v>68250</v>
      </c>
      <c r="AL51">
        <f t="shared" si="188"/>
        <v>40980</v>
      </c>
      <c r="AM51">
        <f t="shared" si="189"/>
        <v>46800</v>
      </c>
      <c r="AN51">
        <f t="shared" si="190"/>
        <v>52680</v>
      </c>
      <c r="AO51">
        <f t="shared" si="191"/>
        <v>58500</v>
      </c>
      <c r="AP51">
        <f t="shared" si="192"/>
        <v>63180</v>
      </c>
      <c r="AQ51">
        <f t="shared" si="193"/>
        <v>67860</v>
      </c>
      <c r="AR51">
        <f t="shared" si="194"/>
        <v>72540</v>
      </c>
      <c r="AS51">
        <f t="shared" si="195"/>
        <v>77220</v>
      </c>
      <c r="AT51">
        <f t="shared" si="196"/>
        <v>81900</v>
      </c>
      <c r="AU51">
        <f t="shared" si="197"/>
        <v>47810</v>
      </c>
      <c r="AV51">
        <f t="shared" si="198"/>
        <v>54600</v>
      </c>
      <c r="AW51">
        <f t="shared" si="199"/>
        <v>61459.999999999993</v>
      </c>
      <c r="AX51">
        <f t="shared" si="200"/>
        <v>68250</v>
      </c>
      <c r="AY51">
        <f t="shared" si="201"/>
        <v>73710</v>
      </c>
      <c r="AZ51">
        <f t="shared" si="202"/>
        <v>79170</v>
      </c>
      <c r="BA51">
        <f t="shared" si="203"/>
        <v>84630</v>
      </c>
      <c r="BB51">
        <f t="shared" si="204"/>
        <v>90090</v>
      </c>
      <c r="BC51">
        <f t="shared" si="205"/>
        <v>95550</v>
      </c>
      <c r="BD51">
        <f t="shared" si="155"/>
        <v>54640</v>
      </c>
      <c r="BE51">
        <f t="shared" si="156"/>
        <v>62400</v>
      </c>
      <c r="BF51">
        <f t="shared" si="157"/>
        <v>70240</v>
      </c>
      <c r="BG51">
        <f t="shared" si="158"/>
        <v>78000</v>
      </c>
      <c r="BH51">
        <f t="shared" si="159"/>
        <v>84240</v>
      </c>
      <c r="BI51">
        <f t="shared" si="160"/>
        <v>90480</v>
      </c>
      <c r="BJ51">
        <f t="shared" si="161"/>
        <v>96720</v>
      </c>
      <c r="BK51">
        <f t="shared" si="162"/>
        <v>102960</v>
      </c>
      <c r="BL51">
        <f t="shared" si="163"/>
        <v>109200</v>
      </c>
    </row>
    <row r="52" spans="1:64">
      <c r="A52" s="41" t="s">
        <v>471</v>
      </c>
      <c r="B52">
        <f t="shared" si="152"/>
        <v>13700</v>
      </c>
      <c r="C52">
        <f t="shared" si="164"/>
        <v>15660</v>
      </c>
      <c r="D52">
        <f t="shared" si="165"/>
        <v>17620</v>
      </c>
      <c r="E52">
        <f t="shared" si="166"/>
        <v>19560</v>
      </c>
      <c r="F52">
        <f t="shared" si="167"/>
        <v>21140</v>
      </c>
      <c r="G52">
        <f t="shared" si="168"/>
        <v>22700</v>
      </c>
      <c r="H52">
        <f t="shared" si="169"/>
        <v>24260</v>
      </c>
      <c r="I52">
        <f t="shared" si="170"/>
        <v>25820</v>
      </c>
      <c r="J52">
        <f t="shared" si="171"/>
        <v>27400</v>
      </c>
      <c r="K52">
        <f t="shared" si="153"/>
        <v>20550</v>
      </c>
      <c r="L52">
        <f t="shared" si="172"/>
        <v>23490</v>
      </c>
      <c r="M52">
        <f t="shared" si="173"/>
        <v>26430</v>
      </c>
      <c r="N52">
        <f t="shared" si="174"/>
        <v>29340</v>
      </c>
      <c r="O52">
        <f t="shared" si="175"/>
        <v>31710</v>
      </c>
      <c r="P52">
        <f t="shared" si="176"/>
        <v>34050</v>
      </c>
      <c r="Q52">
        <f t="shared" si="177"/>
        <v>36390</v>
      </c>
      <c r="R52">
        <f t="shared" si="178"/>
        <v>38730</v>
      </c>
      <c r="S52">
        <f t="shared" si="179"/>
        <v>41100</v>
      </c>
      <c r="T52">
        <f t="shared" si="154"/>
        <v>27400</v>
      </c>
      <c r="U52">
        <f t="shared" si="180"/>
        <v>31320</v>
      </c>
      <c r="V52">
        <f t="shared" si="181"/>
        <v>35240</v>
      </c>
      <c r="W52">
        <f t="shared" si="182"/>
        <v>39120</v>
      </c>
      <c r="X52">
        <f t="shared" si="183"/>
        <v>42280</v>
      </c>
      <c r="Y52">
        <f t="shared" si="184"/>
        <v>45400</v>
      </c>
      <c r="Z52">
        <f t="shared" si="185"/>
        <v>48520</v>
      </c>
      <c r="AA52">
        <f t="shared" si="186"/>
        <v>51640</v>
      </c>
      <c r="AB52">
        <f t="shared" si="187"/>
        <v>54800</v>
      </c>
      <c r="AC52" s="298">
        <v>34250</v>
      </c>
      <c r="AD52" s="298">
        <v>39150</v>
      </c>
      <c r="AE52" s="298">
        <v>44050</v>
      </c>
      <c r="AF52" s="298">
        <v>48900</v>
      </c>
      <c r="AG52" s="298">
        <v>52850</v>
      </c>
      <c r="AH52" s="298">
        <v>56750</v>
      </c>
      <c r="AI52" s="298">
        <v>60650</v>
      </c>
      <c r="AJ52" s="298">
        <v>64550</v>
      </c>
      <c r="AK52" s="298">
        <v>68500</v>
      </c>
      <c r="AL52">
        <f t="shared" si="188"/>
        <v>41100</v>
      </c>
      <c r="AM52">
        <f t="shared" si="189"/>
        <v>46980</v>
      </c>
      <c r="AN52">
        <f t="shared" si="190"/>
        <v>52860</v>
      </c>
      <c r="AO52">
        <f t="shared" si="191"/>
        <v>58680</v>
      </c>
      <c r="AP52">
        <f t="shared" si="192"/>
        <v>63420</v>
      </c>
      <c r="AQ52">
        <f t="shared" si="193"/>
        <v>68100</v>
      </c>
      <c r="AR52">
        <f t="shared" si="194"/>
        <v>72780</v>
      </c>
      <c r="AS52">
        <f t="shared" si="195"/>
        <v>77460</v>
      </c>
      <c r="AT52">
        <f t="shared" si="196"/>
        <v>82200</v>
      </c>
      <c r="AU52">
        <f t="shared" si="197"/>
        <v>47950</v>
      </c>
      <c r="AV52">
        <f t="shared" si="198"/>
        <v>54810</v>
      </c>
      <c r="AW52">
        <f t="shared" si="199"/>
        <v>61669.999999999993</v>
      </c>
      <c r="AX52">
        <f t="shared" si="200"/>
        <v>68460</v>
      </c>
      <c r="AY52">
        <f t="shared" si="201"/>
        <v>73990</v>
      </c>
      <c r="AZ52">
        <f t="shared" si="202"/>
        <v>79450</v>
      </c>
      <c r="BA52">
        <f t="shared" si="203"/>
        <v>84910</v>
      </c>
      <c r="BB52">
        <f t="shared" si="204"/>
        <v>90370</v>
      </c>
      <c r="BC52">
        <f t="shared" si="205"/>
        <v>95900</v>
      </c>
      <c r="BD52">
        <f t="shared" si="155"/>
        <v>54800</v>
      </c>
      <c r="BE52">
        <f t="shared" si="156"/>
        <v>62640</v>
      </c>
      <c r="BF52">
        <f t="shared" si="157"/>
        <v>70480</v>
      </c>
      <c r="BG52">
        <f t="shared" si="158"/>
        <v>78240</v>
      </c>
      <c r="BH52">
        <f t="shared" si="159"/>
        <v>84560</v>
      </c>
      <c r="BI52">
        <f t="shared" si="160"/>
        <v>90800</v>
      </c>
      <c r="BJ52">
        <f t="shared" si="161"/>
        <v>97040</v>
      </c>
      <c r="BK52">
        <f t="shared" si="162"/>
        <v>103280</v>
      </c>
      <c r="BL52">
        <f t="shared" si="163"/>
        <v>109600</v>
      </c>
    </row>
    <row r="53" spans="1:64">
      <c r="A53" s="41" t="s">
        <v>473</v>
      </c>
      <c r="B53">
        <f t="shared" si="152"/>
        <v>13000</v>
      </c>
      <c r="C53">
        <f t="shared" si="164"/>
        <v>14860</v>
      </c>
      <c r="D53">
        <f t="shared" si="165"/>
        <v>16720</v>
      </c>
      <c r="E53">
        <f t="shared" si="166"/>
        <v>18560</v>
      </c>
      <c r="F53">
        <f t="shared" si="167"/>
        <v>20060</v>
      </c>
      <c r="G53">
        <f t="shared" si="168"/>
        <v>21540</v>
      </c>
      <c r="H53">
        <f t="shared" si="169"/>
        <v>23020</v>
      </c>
      <c r="I53">
        <f t="shared" si="170"/>
        <v>24500</v>
      </c>
      <c r="J53">
        <f t="shared" si="171"/>
        <v>26000</v>
      </c>
      <c r="K53">
        <f t="shared" si="153"/>
        <v>19500</v>
      </c>
      <c r="L53">
        <f t="shared" si="172"/>
        <v>22290</v>
      </c>
      <c r="M53">
        <f t="shared" si="173"/>
        <v>25080</v>
      </c>
      <c r="N53">
        <f t="shared" si="174"/>
        <v>27840</v>
      </c>
      <c r="O53">
        <f t="shared" si="175"/>
        <v>30090</v>
      </c>
      <c r="P53">
        <f t="shared" si="176"/>
        <v>32310</v>
      </c>
      <c r="Q53">
        <f t="shared" si="177"/>
        <v>34530</v>
      </c>
      <c r="R53">
        <f t="shared" si="178"/>
        <v>36750</v>
      </c>
      <c r="S53">
        <f t="shared" si="179"/>
        <v>39000</v>
      </c>
      <c r="T53">
        <f t="shared" si="154"/>
        <v>26000</v>
      </c>
      <c r="U53">
        <f t="shared" si="180"/>
        <v>29720</v>
      </c>
      <c r="V53">
        <f t="shared" si="181"/>
        <v>33440</v>
      </c>
      <c r="W53">
        <f t="shared" si="182"/>
        <v>37120</v>
      </c>
      <c r="X53">
        <f t="shared" si="183"/>
        <v>40120</v>
      </c>
      <c r="Y53">
        <f t="shared" si="184"/>
        <v>43080</v>
      </c>
      <c r="Z53">
        <f t="shared" si="185"/>
        <v>46040</v>
      </c>
      <c r="AA53">
        <f t="shared" si="186"/>
        <v>49000</v>
      </c>
      <c r="AB53">
        <f t="shared" si="187"/>
        <v>52000</v>
      </c>
      <c r="AC53" s="1664">
        <v>32500</v>
      </c>
      <c r="AD53" s="1664">
        <v>37150</v>
      </c>
      <c r="AE53" s="1664">
        <v>41800</v>
      </c>
      <c r="AF53" s="1664">
        <v>46400</v>
      </c>
      <c r="AG53" s="1664">
        <v>50150</v>
      </c>
      <c r="AH53" s="1664">
        <v>53850</v>
      </c>
      <c r="AI53" s="1664">
        <v>57550</v>
      </c>
      <c r="AJ53" s="1664">
        <v>61250</v>
      </c>
      <c r="AK53" s="1664">
        <v>65000</v>
      </c>
      <c r="AL53">
        <f t="shared" si="188"/>
        <v>39000</v>
      </c>
      <c r="AM53">
        <f t="shared" si="189"/>
        <v>44580</v>
      </c>
      <c r="AN53">
        <f t="shared" si="190"/>
        <v>50160</v>
      </c>
      <c r="AO53">
        <f t="shared" si="191"/>
        <v>55680</v>
      </c>
      <c r="AP53">
        <f t="shared" si="192"/>
        <v>60180</v>
      </c>
      <c r="AQ53">
        <f t="shared" si="193"/>
        <v>64620</v>
      </c>
      <c r="AR53">
        <f t="shared" si="194"/>
        <v>69060</v>
      </c>
      <c r="AS53">
        <f t="shared" si="195"/>
        <v>73500</v>
      </c>
      <c r="AT53">
        <f t="shared" si="196"/>
        <v>78000</v>
      </c>
      <c r="AU53">
        <f t="shared" si="197"/>
        <v>45500</v>
      </c>
      <c r="AV53">
        <f t="shared" si="198"/>
        <v>52010</v>
      </c>
      <c r="AW53">
        <f t="shared" si="199"/>
        <v>58519.999999999993</v>
      </c>
      <c r="AX53">
        <f t="shared" si="200"/>
        <v>64959.999999999993</v>
      </c>
      <c r="AY53">
        <f t="shared" si="201"/>
        <v>70210</v>
      </c>
      <c r="AZ53">
        <f t="shared" si="202"/>
        <v>75390</v>
      </c>
      <c r="BA53">
        <f t="shared" si="203"/>
        <v>80570</v>
      </c>
      <c r="BB53">
        <f t="shared" si="204"/>
        <v>85750</v>
      </c>
      <c r="BC53">
        <f t="shared" si="205"/>
        <v>91000</v>
      </c>
      <c r="BD53">
        <f t="shared" si="155"/>
        <v>52000</v>
      </c>
      <c r="BE53">
        <f t="shared" si="156"/>
        <v>59440</v>
      </c>
      <c r="BF53">
        <f t="shared" si="157"/>
        <v>66880</v>
      </c>
      <c r="BG53">
        <f t="shared" si="158"/>
        <v>74240</v>
      </c>
      <c r="BH53">
        <f t="shared" si="159"/>
        <v>80240</v>
      </c>
      <c r="BI53">
        <f t="shared" si="160"/>
        <v>86160</v>
      </c>
      <c r="BJ53">
        <f t="shared" si="161"/>
        <v>92080</v>
      </c>
      <c r="BK53">
        <f t="shared" si="162"/>
        <v>98000</v>
      </c>
      <c r="BL53">
        <f t="shared" si="163"/>
        <v>104000</v>
      </c>
    </row>
    <row r="54" spans="1:64">
      <c r="A54" s="41" t="s">
        <v>415</v>
      </c>
      <c r="B54">
        <f t="shared" si="152"/>
        <v>13820</v>
      </c>
      <c r="C54">
        <f t="shared" si="164"/>
        <v>15780</v>
      </c>
      <c r="D54">
        <f t="shared" si="165"/>
        <v>17760</v>
      </c>
      <c r="E54">
        <f t="shared" si="166"/>
        <v>19720</v>
      </c>
      <c r="F54">
        <f t="shared" si="167"/>
        <v>21300</v>
      </c>
      <c r="G54">
        <f t="shared" si="168"/>
        <v>22880</v>
      </c>
      <c r="H54">
        <f t="shared" si="169"/>
        <v>24460</v>
      </c>
      <c r="I54">
        <f t="shared" si="170"/>
        <v>26040</v>
      </c>
      <c r="J54">
        <f t="shared" si="171"/>
        <v>27620</v>
      </c>
      <c r="K54">
        <f t="shared" si="153"/>
        <v>20730</v>
      </c>
      <c r="L54">
        <f t="shared" si="172"/>
        <v>23670</v>
      </c>
      <c r="M54">
        <f t="shared" si="173"/>
        <v>26640</v>
      </c>
      <c r="N54">
        <f t="shared" si="174"/>
        <v>29580</v>
      </c>
      <c r="O54">
        <f t="shared" si="175"/>
        <v>31950</v>
      </c>
      <c r="P54">
        <f t="shared" si="176"/>
        <v>34320</v>
      </c>
      <c r="Q54">
        <f t="shared" si="177"/>
        <v>36690</v>
      </c>
      <c r="R54">
        <f t="shared" si="178"/>
        <v>39060</v>
      </c>
      <c r="S54">
        <f t="shared" si="179"/>
        <v>41430</v>
      </c>
      <c r="T54">
        <f t="shared" si="154"/>
        <v>27640</v>
      </c>
      <c r="U54">
        <f t="shared" si="180"/>
        <v>31560</v>
      </c>
      <c r="V54">
        <f t="shared" si="181"/>
        <v>35520</v>
      </c>
      <c r="W54">
        <f t="shared" si="182"/>
        <v>39440</v>
      </c>
      <c r="X54">
        <f t="shared" si="183"/>
        <v>42600</v>
      </c>
      <c r="Y54">
        <f t="shared" si="184"/>
        <v>45760</v>
      </c>
      <c r="Z54">
        <f t="shared" si="185"/>
        <v>48920</v>
      </c>
      <c r="AA54">
        <f t="shared" si="186"/>
        <v>52080</v>
      </c>
      <c r="AB54">
        <f t="shared" si="187"/>
        <v>55240</v>
      </c>
      <c r="AC54" s="298">
        <v>34550</v>
      </c>
      <c r="AD54" s="298">
        <v>39450</v>
      </c>
      <c r="AE54" s="298">
        <v>44400</v>
      </c>
      <c r="AF54" s="298">
        <v>49300</v>
      </c>
      <c r="AG54" s="298">
        <v>53250</v>
      </c>
      <c r="AH54" s="298">
        <v>57200</v>
      </c>
      <c r="AI54" s="298">
        <v>61150</v>
      </c>
      <c r="AJ54" s="298">
        <v>65100</v>
      </c>
      <c r="AK54" s="298">
        <v>69050</v>
      </c>
      <c r="AL54">
        <f t="shared" si="188"/>
        <v>41460</v>
      </c>
      <c r="AM54">
        <f t="shared" si="189"/>
        <v>47340</v>
      </c>
      <c r="AN54">
        <f t="shared" si="190"/>
        <v>53280</v>
      </c>
      <c r="AO54">
        <f t="shared" si="191"/>
        <v>59160</v>
      </c>
      <c r="AP54">
        <f t="shared" si="192"/>
        <v>63900</v>
      </c>
      <c r="AQ54">
        <f t="shared" si="193"/>
        <v>68640</v>
      </c>
      <c r="AR54">
        <f t="shared" si="194"/>
        <v>73380</v>
      </c>
      <c r="AS54">
        <f t="shared" si="195"/>
        <v>78120</v>
      </c>
      <c r="AT54">
        <f t="shared" si="196"/>
        <v>82860</v>
      </c>
      <c r="AU54">
        <f t="shared" si="197"/>
        <v>48370</v>
      </c>
      <c r="AV54">
        <f t="shared" si="198"/>
        <v>55230</v>
      </c>
      <c r="AW54">
        <f t="shared" si="199"/>
        <v>62159.999999999993</v>
      </c>
      <c r="AX54">
        <f t="shared" si="200"/>
        <v>69020</v>
      </c>
      <c r="AY54">
        <f t="shared" si="201"/>
        <v>74550</v>
      </c>
      <c r="AZ54">
        <f t="shared" si="202"/>
        <v>80080</v>
      </c>
      <c r="BA54">
        <f t="shared" si="203"/>
        <v>85610</v>
      </c>
      <c r="BB54">
        <f t="shared" si="204"/>
        <v>91140</v>
      </c>
      <c r="BC54">
        <f t="shared" si="205"/>
        <v>96670</v>
      </c>
      <c r="BD54">
        <f t="shared" si="155"/>
        <v>55280</v>
      </c>
      <c r="BE54">
        <f t="shared" si="156"/>
        <v>63120</v>
      </c>
      <c r="BF54">
        <f t="shared" si="157"/>
        <v>71040</v>
      </c>
      <c r="BG54">
        <f t="shared" si="158"/>
        <v>78880</v>
      </c>
      <c r="BH54">
        <f t="shared" si="159"/>
        <v>85200</v>
      </c>
      <c r="BI54">
        <f t="shared" si="160"/>
        <v>91520</v>
      </c>
      <c r="BJ54">
        <f t="shared" si="161"/>
        <v>97840</v>
      </c>
      <c r="BK54">
        <f t="shared" si="162"/>
        <v>104160</v>
      </c>
      <c r="BL54">
        <f t="shared" si="163"/>
        <v>110480</v>
      </c>
    </row>
    <row r="55" spans="1:64">
      <c r="A55" s="41" t="s">
        <v>476</v>
      </c>
      <c r="B55">
        <f t="shared" si="152"/>
        <v>13000</v>
      </c>
      <c r="C55">
        <f t="shared" si="164"/>
        <v>14860</v>
      </c>
      <c r="D55">
        <f t="shared" si="165"/>
        <v>16720</v>
      </c>
      <c r="E55">
        <f t="shared" si="166"/>
        <v>18560</v>
      </c>
      <c r="F55">
        <f t="shared" si="167"/>
        <v>20060</v>
      </c>
      <c r="G55">
        <f t="shared" si="168"/>
        <v>21540</v>
      </c>
      <c r="H55">
        <f t="shared" si="169"/>
        <v>23020</v>
      </c>
      <c r="I55">
        <f t="shared" si="170"/>
        <v>24500</v>
      </c>
      <c r="J55">
        <f t="shared" si="171"/>
        <v>26000</v>
      </c>
      <c r="K55">
        <f t="shared" si="153"/>
        <v>19500</v>
      </c>
      <c r="L55">
        <f t="shared" si="172"/>
        <v>22290</v>
      </c>
      <c r="M55">
        <f t="shared" si="173"/>
        <v>25080</v>
      </c>
      <c r="N55">
        <f t="shared" si="174"/>
        <v>27840</v>
      </c>
      <c r="O55">
        <f t="shared" si="175"/>
        <v>30090</v>
      </c>
      <c r="P55">
        <f t="shared" si="176"/>
        <v>32310</v>
      </c>
      <c r="Q55">
        <f t="shared" si="177"/>
        <v>34530</v>
      </c>
      <c r="R55">
        <f t="shared" si="178"/>
        <v>36750</v>
      </c>
      <c r="S55">
        <f t="shared" si="179"/>
        <v>39000</v>
      </c>
      <c r="T55">
        <f t="shared" si="154"/>
        <v>26000</v>
      </c>
      <c r="U55">
        <f t="shared" si="180"/>
        <v>29720</v>
      </c>
      <c r="V55">
        <f t="shared" si="181"/>
        <v>33440</v>
      </c>
      <c r="W55">
        <f t="shared" si="182"/>
        <v>37120</v>
      </c>
      <c r="X55">
        <f t="shared" si="183"/>
        <v>40120</v>
      </c>
      <c r="Y55">
        <f t="shared" si="184"/>
        <v>43080</v>
      </c>
      <c r="Z55">
        <f t="shared" si="185"/>
        <v>46040</v>
      </c>
      <c r="AA55">
        <f t="shared" si="186"/>
        <v>49000</v>
      </c>
      <c r="AB55">
        <f t="shared" si="187"/>
        <v>52000</v>
      </c>
      <c r="AC55" s="1664">
        <v>32500</v>
      </c>
      <c r="AD55" s="1664">
        <v>37150</v>
      </c>
      <c r="AE55" s="1664">
        <v>41800</v>
      </c>
      <c r="AF55" s="1664">
        <v>46400</v>
      </c>
      <c r="AG55" s="1664">
        <v>50150</v>
      </c>
      <c r="AH55" s="1664">
        <v>53850</v>
      </c>
      <c r="AI55" s="1664">
        <v>57550</v>
      </c>
      <c r="AJ55" s="1664">
        <v>61250</v>
      </c>
      <c r="AK55" s="1664">
        <v>65000</v>
      </c>
      <c r="AL55">
        <f t="shared" si="188"/>
        <v>39000</v>
      </c>
      <c r="AM55">
        <f t="shared" si="189"/>
        <v>44580</v>
      </c>
      <c r="AN55">
        <f t="shared" si="190"/>
        <v>50160</v>
      </c>
      <c r="AO55">
        <f t="shared" si="191"/>
        <v>55680</v>
      </c>
      <c r="AP55">
        <f t="shared" si="192"/>
        <v>60180</v>
      </c>
      <c r="AQ55">
        <f t="shared" si="193"/>
        <v>64620</v>
      </c>
      <c r="AR55">
        <f t="shared" si="194"/>
        <v>69060</v>
      </c>
      <c r="AS55">
        <f t="shared" si="195"/>
        <v>73500</v>
      </c>
      <c r="AT55">
        <f t="shared" si="196"/>
        <v>78000</v>
      </c>
      <c r="AU55">
        <f t="shared" si="197"/>
        <v>45500</v>
      </c>
      <c r="AV55">
        <f t="shared" si="198"/>
        <v>52010</v>
      </c>
      <c r="AW55">
        <f t="shared" si="199"/>
        <v>58519.999999999993</v>
      </c>
      <c r="AX55">
        <f t="shared" si="200"/>
        <v>64959.999999999993</v>
      </c>
      <c r="AY55">
        <f t="shared" si="201"/>
        <v>70210</v>
      </c>
      <c r="AZ55">
        <f t="shared" si="202"/>
        <v>75390</v>
      </c>
      <c r="BA55">
        <f t="shared" si="203"/>
        <v>80570</v>
      </c>
      <c r="BB55">
        <f t="shared" si="204"/>
        <v>85750</v>
      </c>
      <c r="BC55">
        <f t="shared" si="205"/>
        <v>91000</v>
      </c>
      <c r="BD55">
        <f t="shared" si="155"/>
        <v>52000</v>
      </c>
      <c r="BE55">
        <f t="shared" si="156"/>
        <v>59440</v>
      </c>
      <c r="BF55">
        <f t="shared" si="157"/>
        <v>66880</v>
      </c>
      <c r="BG55">
        <f t="shared" si="158"/>
        <v>74240</v>
      </c>
      <c r="BH55">
        <f t="shared" si="159"/>
        <v>80240</v>
      </c>
      <c r="BI55">
        <f t="shared" si="160"/>
        <v>86160</v>
      </c>
      <c r="BJ55">
        <f t="shared" si="161"/>
        <v>92080</v>
      </c>
      <c r="BK55">
        <f t="shared" si="162"/>
        <v>98000</v>
      </c>
      <c r="BL55">
        <f t="shared" si="163"/>
        <v>104000</v>
      </c>
    </row>
    <row r="56" spans="1:64">
      <c r="A56" s="41" t="s">
        <v>417</v>
      </c>
      <c r="B56">
        <f t="shared" si="152"/>
        <v>13240</v>
      </c>
      <c r="C56">
        <f t="shared" si="164"/>
        <v>15120</v>
      </c>
      <c r="D56">
        <f t="shared" si="165"/>
        <v>17020</v>
      </c>
      <c r="E56">
        <f t="shared" si="166"/>
        <v>18900</v>
      </c>
      <c r="F56">
        <f t="shared" si="167"/>
        <v>20420</v>
      </c>
      <c r="G56">
        <f t="shared" si="168"/>
        <v>21940</v>
      </c>
      <c r="H56">
        <f t="shared" si="169"/>
        <v>23440</v>
      </c>
      <c r="I56">
        <f t="shared" si="170"/>
        <v>24960</v>
      </c>
      <c r="J56">
        <f t="shared" si="171"/>
        <v>26460</v>
      </c>
      <c r="K56">
        <f t="shared" si="153"/>
        <v>19860</v>
      </c>
      <c r="L56">
        <f t="shared" si="172"/>
        <v>22680</v>
      </c>
      <c r="M56">
        <f t="shared" si="173"/>
        <v>25530</v>
      </c>
      <c r="N56">
        <f t="shared" si="174"/>
        <v>28350</v>
      </c>
      <c r="O56">
        <f t="shared" si="175"/>
        <v>30630</v>
      </c>
      <c r="P56">
        <f t="shared" si="176"/>
        <v>32910</v>
      </c>
      <c r="Q56">
        <f t="shared" si="177"/>
        <v>35160</v>
      </c>
      <c r="R56">
        <f t="shared" si="178"/>
        <v>37440</v>
      </c>
      <c r="S56">
        <f t="shared" si="179"/>
        <v>39690</v>
      </c>
      <c r="T56">
        <f t="shared" si="154"/>
        <v>26480</v>
      </c>
      <c r="U56">
        <f t="shared" si="180"/>
        <v>30240</v>
      </c>
      <c r="V56">
        <f t="shared" si="181"/>
        <v>34040</v>
      </c>
      <c r="W56">
        <f t="shared" si="182"/>
        <v>37800</v>
      </c>
      <c r="X56">
        <f t="shared" si="183"/>
        <v>40840</v>
      </c>
      <c r="Y56">
        <f t="shared" si="184"/>
        <v>43880</v>
      </c>
      <c r="Z56">
        <f t="shared" si="185"/>
        <v>46880</v>
      </c>
      <c r="AA56">
        <f t="shared" si="186"/>
        <v>49920</v>
      </c>
      <c r="AB56">
        <f t="shared" si="187"/>
        <v>52920</v>
      </c>
      <c r="AC56" s="298">
        <v>33100</v>
      </c>
      <c r="AD56" s="298">
        <v>37800</v>
      </c>
      <c r="AE56" s="298">
        <v>42550</v>
      </c>
      <c r="AF56" s="298">
        <v>47250</v>
      </c>
      <c r="AG56" s="298">
        <v>51050</v>
      </c>
      <c r="AH56" s="298">
        <v>54850</v>
      </c>
      <c r="AI56" s="298">
        <v>58600</v>
      </c>
      <c r="AJ56" s="298">
        <v>62400</v>
      </c>
      <c r="AK56" s="298">
        <v>66150</v>
      </c>
      <c r="AL56">
        <f t="shared" si="188"/>
        <v>39720</v>
      </c>
      <c r="AM56">
        <f t="shared" si="189"/>
        <v>45360</v>
      </c>
      <c r="AN56">
        <f t="shared" si="190"/>
        <v>51060</v>
      </c>
      <c r="AO56">
        <f t="shared" si="191"/>
        <v>56700</v>
      </c>
      <c r="AP56">
        <f t="shared" si="192"/>
        <v>61260</v>
      </c>
      <c r="AQ56">
        <f t="shared" si="193"/>
        <v>65820</v>
      </c>
      <c r="AR56">
        <f t="shared" si="194"/>
        <v>70320</v>
      </c>
      <c r="AS56">
        <f t="shared" si="195"/>
        <v>74880</v>
      </c>
      <c r="AT56">
        <f t="shared" si="196"/>
        <v>79380</v>
      </c>
      <c r="AU56">
        <f t="shared" si="197"/>
        <v>46340</v>
      </c>
      <c r="AV56">
        <f t="shared" si="198"/>
        <v>52920</v>
      </c>
      <c r="AW56">
        <f t="shared" si="199"/>
        <v>59569.999999999993</v>
      </c>
      <c r="AX56">
        <f t="shared" si="200"/>
        <v>66150</v>
      </c>
      <c r="AY56">
        <f t="shared" si="201"/>
        <v>71470</v>
      </c>
      <c r="AZ56">
        <f t="shared" si="202"/>
        <v>76790</v>
      </c>
      <c r="BA56">
        <f t="shared" si="203"/>
        <v>82040</v>
      </c>
      <c r="BB56">
        <f t="shared" si="204"/>
        <v>87360</v>
      </c>
      <c r="BC56">
        <f t="shared" si="205"/>
        <v>92610</v>
      </c>
      <c r="BD56">
        <f t="shared" si="155"/>
        <v>52960</v>
      </c>
      <c r="BE56">
        <f t="shared" si="156"/>
        <v>60480</v>
      </c>
      <c r="BF56">
        <f t="shared" si="157"/>
        <v>68080</v>
      </c>
      <c r="BG56">
        <f t="shared" si="158"/>
        <v>75600</v>
      </c>
      <c r="BH56">
        <f t="shared" si="159"/>
        <v>81680</v>
      </c>
      <c r="BI56">
        <f t="shared" si="160"/>
        <v>87760</v>
      </c>
      <c r="BJ56">
        <f t="shared" si="161"/>
        <v>93760</v>
      </c>
      <c r="BK56">
        <f t="shared" si="162"/>
        <v>99840</v>
      </c>
      <c r="BL56">
        <f t="shared" si="163"/>
        <v>105840</v>
      </c>
    </row>
    <row r="57" spans="1:64">
      <c r="A57" s="41" t="s">
        <v>477</v>
      </c>
      <c r="B57">
        <f t="shared" si="152"/>
        <v>13000</v>
      </c>
      <c r="C57">
        <f t="shared" si="164"/>
        <v>14860</v>
      </c>
      <c r="D57">
        <f t="shared" si="165"/>
        <v>16720</v>
      </c>
      <c r="E57">
        <f t="shared" si="166"/>
        <v>18560</v>
      </c>
      <c r="F57">
        <f t="shared" si="167"/>
        <v>20060</v>
      </c>
      <c r="G57">
        <f t="shared" si="168"/>
        <v>21540</v>
      </c>
      <c r="H57">
        <f t="shared" si="169"/>
        <v>23020</v>
      </c>
      <c r="I57">
        <f t="shared" si="170"/>
        <v>24500</v>
      </c>
      <c r="J57">
        <f t="shared" si="171"/>
        <v>26000</v>
      </c>
      <c r="K57">
        <f t="shared" si="153"/>
        <v>19500</v>
      </c>
      <c r="L57">
        <f t="shared" si="172"/>
        <v>22290</v>
      </c>
      <c r="M57">
        <f t="shared" si="173"/>
        <v>25080</v>
      </c>
      <c r="N57">
        <f t="shared" si="174"/>
        <v>27840</v>
      </c>
      <c r="O57">
        <f t="shared" si="175"/>
        <v>30090</v>
      </c>
      <c r="P57">
        <f t="shared" si="176"/>
        <v>32310</v>
      </c>
      <c r="Q57">
        <f t="shared" si="177"/>
        <v>34530</v>
      </c>
      <c r="R57">
        <f t="shared" si="178"/>
        <v>36750</v>
      </c>
      <c r="S57">
        <f t="shared" si="179"/>
        <v>39000</v>
      </c>
      <c r="T57">
        <f t="shared" si="154"/>
        <v>26000</v>
      </c>
      <c r="U57">
        <f t="shared" si="180"/>
        <v>29720</v>
      </c>
      <c r="V57">
        <f t="shared" si="181"/>
        <v>33440</v>
      </c>
      <c r="W57">
        <f t="shared" si="182"/>
        <v>37120</v>
      </c>
      <c r="X57">
        <f t="shared" si="183"/>
        <v>40120</v>
      </c>
      <c r="Y57">
        <f t="shared" si="184"/>
        <v>43080</v>
      </c>
      <c r="Z57">
        <f t="shared" si="185"/>
        <v>46040</v>
      </c>
      <c r="AA57">
        <f t="shared" si="186"/>
        <v>49000</v>
      </c>
      <c r="AB57">
        <f t="shared" si="187"/>
        <v>52000</v>
      </c>
      <c r="AC57" s="1664">
        <v>32500</v>
      </c>
      <c r="AD57" s="1664">
        <v>37150</v>
      </c>
      <c r="AE57" s="1664">
        <v>41800</v>
      </c>
      <c r="AF57" s="1664">
        <v>46400</v>
      </c>
      <c r="AG57" s="1664">
        <v>50150</v>
      </c>
      <c r="AH57" s="1664">
        <v>53850</v>
      </c>
      <c r="AI57" s="1664">
        <v>57550</v>
      </c>
      <c r="AJ57" s="1664">
        <v>61250</v>
      </c>
      <c r="AK57" s="1664">
        <v>65000</v>
      </c>
      <c r="AL57">
        <f t="shared" si="188"/>
        <v>39000</v>
      </c>
      <c r="AM57">
        <f t="shared" si="189"/>
        <v>44580</v>
      </c>
      <c r="AN57">
        <f t="shared" si="190"/>
        <v>50160</v>
      </c>
      <c r="AO57">
        <f t="shared" si="191"/>
        <v>55680</v>
      </c>
      <c r="AP57">
        <f t="shared" si="192"/>
        <v>60180</v>
      </c>
      <c r="AQ57">
        <f t="shared" si="193"/>
        <v>64620</v>
      </c>
      <c r="AR57">
        <f t="shared" si="194"/>
        <v>69060</v>
      </c>
      <c r="AS57">
        <f t="shared" si="195"/>
        <v>73500</v>
      </c>
      <c r="AT57">
        <f t="shared" si="196"/>
        <v>78000</v>
      </c>
      <c r="AU57">
        <f t="shared" si="197"/>
        <v>45500</v>
      </c>
      <c r="AV57">
        <f t="shared" si="198"/>
        <v>52010</v>
      </c>
      <c r="AW57">
        <f t="shared" si="199"/>
        <v>58519.999999999993</v>
      </c>
      <c r="AX57">
        <f t="shared" si="200"/>
        <v>64959.999999999993</v>
      </c>
      <c r="AY57">
        <f t="shared" si="201"/>
        <v>70210</v>
      </c>
      <c r="AZ57">
        <f t="shared" si="202"/>
        <v>75390</v>
      </c>
      <c r="BA57">
        <f t="shared" si="203"/>
        <v>80570</v>
      </c>
      <c r="BB57">
        <f t="shared" si="204"/>
        <v>85750</v>
      </c>
      <c r="BC57">
        <f t="shared" si="205"/>
        <v>91000</v>
      </c>
      <c r="BD57">
        <f t="shared" si="155"/>
        <v>52000</v>
      </c>
      <c r="BE57">
        <f t="shared" si="156"/>
        <v>59440</v>
      </c>
      <c r="BF57">
        <f t="shared" si="157"/>
        <v>66880</v>
      </c>
      <c r="BG57">
        <f t="shared" si="158"/>
        <v>74240</v>
      </c>
      <c r="BH57">
        <f t="shared" si="159"/>
        <v>80240</v>
      </c>
      <c r="BI57">
        <f t="shared" si="160"/>
        <v>86160</v>
      </c>
      <c r="BJ57">
        <f t="shared" si="161"/>
        <v>92080</v>
      </c>
      <c r="BK57">
        <f t="shared" si="162"/>
        <v>98000</v>
      </c>
      <c r="BL57">
        <f t="shared" si="163"/>
        <v>104000</v>
      </c>
    </row>
    <row r="58" spans="1:64">
      <c r="A58" s="41" t="s">
        <v>423</v>
      </c>
      <c r="B58">
        <f t="shared" si="152"/>
        <v>18540</v>
      </c>
      <c r="C58">
        <f t="shared" si="164"/>
        <v>21200</v>
      </c>
      <c r="D58">
        <f t="shared" si="165"/>
        <v>23840</v>
      </c>
      <c r="E58">
        <f t="shared" si="166"/>
        <v>26480</v>
      </c>
      <c r="F58">
        <f t="shared" si="167"/>
        <v>28600</v>
      </c>
      <c r="G58">
        <f t="shared" si="168"/>
        <v>30720</v>
      </c>
      <c r="H58">
        <f t="shared" si="169"/>
        <v>32840</v>
      </c>
      <c r="I58">
        <f t="shared" si="170"/>
        <v>34960</v>
      </c>
      <c r="J58">
        <f t="shared" si="171"/>
        <v>37080</v>
      </c>
      <c r="K58">
        <f t="shared" si="153"/>
        <v>27810</v>
      </c>
      <c r="L58">
        <f t="shared" si="172"/>
        <v>31800</v>
      </c>
      <c r="M58">
        <f t="shared" si="173"/>
        <v>35760</v>
      </c>
      <c r="N58">
        <f t="shared" si="174"/>
        <v>39720</v>
      </c>
      <c r="O58">
        <f t="shared" si="175"/>
        <v>42900</v>
      </c>
      <c r="P58">
        <f t="shared" si="176"/>
        <v>46080</v>
      </c>
      <c r="Q58">
        <f t="shared" si="177"/>
        <v>49260</v>
      </c>
      <c r="R58">
        <f t="shared" si="178"/>
        <v>52440</v>
      </c>
      <c r="S58">
        <f t="shared" si="179"/>
        <v>55620</v>
      </c>
      <c r="T58">
        <f t="shared" si="154"/>
        <v>37080</v>
      </c>
      <c r="U58">
        <f t="shared" si="180"/>
        <v>42400</v>
      </c>
      <c r="V58">
        <f t="shared" si="181"/>
        <v>47680</v>
      </c>
      <c r="W58">
        <f t="shared" si="182"/>
        <v>52960</v>
      </c>
      <c r="X58">
        <f t="shared" si="183"/>
        <v>57200</v>
      </c>
      <c r="Y58">
        <f t="shared" si="184"/>
        <v>61440</v>
      </c>
      <c r="Z58">
        <f t="shared" si="185"/>
        <v>65680</v>
      </c>
      <c r="AA58">
        <f t="shared" si="186"/>
        <v>69920</v>
      </c>
      <c r="AB58">
        <f t="shared" si="187"/>
        <v>74160</v>
      </c>
      <c r="AC58" s="298">
        <v>46350</v>
      </c>
      <c r="AD58" s="298">
        <v>53000</v>
      </c>
      <c r="AE58" s="298">
        <v>59600</v>
      </c>
      <c r="AF58" s="298">
        <v>66200</v>
      </c>
      <c r="AG58" s="298">
        <v>71500</v>
      </c>
      <c r="AH58" s="298">
        <v>76800</v>
      </c>
      <c r="AI58" s="298">
        <v>82100</v>
      </c>
      <c r="AJ58" s="298">
        <v>87400</v>
      </c>
      <c r="AK58" s="298">
        <v>92700</v>
      </c>
      <c r="AL58">
        <f t="shared" si="188"/>
        <v>55620</v>
      </c>
      <c r="AM58">
        <f t="shared" si="189"/>
        <v>63600</v>
      </c>
      <c r="AN58">
        <f t="shared" si="190"/>
        <v>71520</v>
      </c>
      <c r="AO58">
        <f t="shared" si="191"/>
        <v>79440</v>
      </c>
      <c r="AP58">
        <f t="shared" si="192"/>
        <v>85800</v>
      </c>
      <c r="AQ58">
        <f t="shared" si="193"/>
        <v>92160</v>
      </c>
      <c r="AR58">
        <f t="shared" si="194"/>
        <v>98520</v>
      </c>
      <c r="AS58">
        <f t="shared" si="195"/>
        <v>104880</v>
      </c>
      <c r="AT58">
        <f t="shared" si="196"/>
        <v>111240</v>
      </c>
      <c r="AU58">
        <f t="shared" si="197"/>
        <v>64889.999999999993</v>
      </c>
      <c r="AV58">
        <f t="shared" si="198"/>
        <v>74200</v>
      </c>
      <c r="AW58">
        <f t="shared" si="199"/>
        <v>83440</v>
      </c>
      <c r="AX58">
        <f t="shared" si="200"/>
        <v>92680</v>
      </c>
      <c r="AY58">
        <f t="shared" si="201"/>
        <v>100100</v>
      </c>
      <c r="AZ58">
        <f t="shared" si="202"/>
        <v>107520</v>
      </c>
      <c r="BA58">
        <f t="shared" si="203"/>
        <v>114939.99999999999</v>
      </c>
      <c r="BB58">
        <f t="shared" si="204"/>
        <v>122359.99999999999</v>
      </c>
      <c r="BC58">
        <f t="shared" si="205"/>
        <v>129779.99999999999</v>
      </c>
      <c r="BD58">
        <f t="shared" si="155"/>
        <v>74160</v>
      </c>
      <c r="BE58">
        <f t="shared" si="156"/>
        <v>84800</v>
      </c>
      <c r="BF58">
        <f t="shared" si="157"/>
        <v>95360</v>
      </c>
      <c r="BG58">
        <f t="shared" si="158"/>
        <v>105920</v>
      </c>
      <c r="BH58">
        <f t="shared" si="159"/>
        <v>114400</v>
      </c>
      <c r="BI58">
        <f t="shared" si="160"/>
        <v>122880</v>
      </c>
      <c r="BJ58">
        <f t="shared" si="161"/>
        <v>131360</v>
      </c>
      <c r="BK58">
        <f t="shared" si="162"/>
        <v>139840</v>
      </c>
      <c r="BL58">
        <f t="shared" si="163"/>
        <v>148320</v>
      </c>
    </row>
    <row r="59" spans="1:64">
      <c r="A59" s="41" t="s">
        <v>478</v>
      </c>
      <c r="B59">
        <f t="shared" si="152"/>
        <v>14380</v>
      </c>
      <c r="C59">
        <f t="shared" si="164"/>
        <v>16420</v>
      </c>
      <c r="D59">
        <f t="shared" si="165"/>
        <v>18480</v>
      </c>
      <c r="E59">
        <f t="shared" si="166"/>
        <v>20520</v>
      </c>
      <c r="F59">
        <f t="shared" si="167"/>
        <v>22180</v>
      </c>
      <c r="G59">
        <f t="shared" si="168"/>
        <v>23820</v>
      </c>
      <c r="H59">
        <f t="shared" si="169"/>
        <v>25460</v>
      </c>
      <c r="I59">
        <f t="shared" si="170"/>
        <v>27100</v>
      </c>
      <c r="J59">
        <f t="shared" si="171"/>
        <v>28740</v>
      </c>
      <c r="K59">
        <f t="shared" si="153"/>
        <v>21570</v>
      </c>
      <c r="L59">
        <f t="shared" si="172"/>
        <v>24630</v>
      </c>
      <c r="M59">
        <f t="shared" si="173"/>
        <v>27720</v>
      </c>
      <c r="N59">
        <f t="shared" si="174"/>
        <v>30780</v>
      </c>
      <c r="O59">
        <f t="shared" si="175"/>
        <v>33270</v>
      </c>
      <c r="P59">
        <f t="shared" si="176"/>
        <v>35730</v>
      </c>
      <c r="Q59">
        <f t="shared" si="177"/>
        <v>38190</v>
      </c>
      <c r="R59">
        <f t="shared" si="178"/>
        <v>40650</v>
      </c>
      <c r="S59">
        <f t="shared" si="179"/>
        <v>43110</v>
      </c>
      <c r="T59">
        <f t="shared" si="154"/>
        <v>28760</v>
      </c>
      <c r="U59">
        <f t="shared" si="180"/>
        <v>32840</v>
      </c>
      <c r="V59">
        <f t="shared" si="181"/>
        <v>36960</v>
      </c>
      <c r="W59">
        <f t="shared" si="182"/>
        <v>41040</v>
      </c>
      <c r="X59">
        <f t="shared" si="183"/>
        <v>44360</v>
      </c>
      <c r="Y59">
        <f t="shared" si="184"/>
        <v>47640</v>
      </c>
      <c r="Z59">
        <f t="shared" si="185"/>
        <v>50920</v>
      </c>
      <c r="AA59">
        <f t="shared" si="186"/>
        <v>54200</v>
      </c>
      <c r="AB59">
        <f t="shared" si="187"/>
        <v>57480</v>
      </c>
      <c r="AC59" s="298">
        <v>35950</v>
      </c>
      <c r="AD59" s="298">
        <v>41050</v>
      </c>
      <c r="AE59" s="298">
        <v>46200</v>
      </c>
      <c r="AF59" s="298">
        <v>51300</v>
      </c>
      <c r="AG59" s="298">
        <v>55450</v>
      </c>
      <c r="AH59" s="298">
        <v>59550</v>
      </c>
      <c r="AI59" s="298">
        <v>63650</v>
      </c>
      <c r="AJ59" s="298">
        <v>67750</v>
      </c>
      <c r="AK59" s="298">
        <v>71850</v>
      </c>
      <c r="AL59">
        <f t="shared" si="188"/>
        <v>43140</v>
      </c>
      <c r="AM59">
        <f t="shared" si="189"/>
        <v>49260</v>
      </c>
      <c r="AN59">
        <f t="shared" si="190"/>
        <v>55440</v>
      </c>
      <c r="AO59">
        <f t="shared" si="191"/>
        <v>61560</v>
      </c>
      <c r="AP59">
        <f t="shared" si="192"/>
        <v>66540</v>
      </c>
      <c r="AQ59">
        <f t="shared" si="193"/>
        <v>71460</v>
      </c>
      <c r="AR59">
        <f t="shared" si="194"/>
        <v>76380</v>
      </c>
      <c r="AS59">
        <f t="shared" si="195"/>
        <v>81300</v>
      </c>
      <c r="AT59">
        <f t="shared" si="196"/>
        <v>86220</v>
      </c>
      <c r="AU59">
        <f t="shared" si="197"/>
        <v>50330</v>
      </c>
      <c r="AV59">
        <f t="shared" si="198"/>
        <v>57469.999999999993</v>
      </c>
      <c r="AW59">
        <f t="shared" si="199"/>
        <v>64679.999999999993</v>
      </c>
      <c r="AX59">
        <f t="shared" si="200"/>
        <v>71820</v>
      </c>
      <c r="AY59">
        <f t="shared" si="201"/>
        <v>77630</v>
      </c>
      <c r="AZ59">
        <f t="shared" si="202"/>
        <v>83370</v>
      </c>
      <c r="BA59">
        <f t="shared" si="203"/>
        <v>89110</v>
      </c>
      <c r="BB59">
        <f t="shared" si="204"/>
        <v>94850</v>
      </c>
      <c r="BC59">
        <f t="shared" si="205"/>
        <v>100590</v>
      </c>
      <c r="BD59">
        <f t="shared" si="155"/>
        <v>57520</v>
      </c>
      <c r="BE59">
        <f t="shared" si="156"/>
        <v>65680</v>
      </c>
      <c r="BF59">
        <f t="shared" si="157"/>
        <v>73920</v>
      </c>
      <c r="BG59">
        <f t="shared" si="158"/>
        <v>82080</v>
      </c>
      <c r="BH59">
        <f t="shared" si="159"/>
        <v>88720</v>
      </c>
      <c r="BI59">
        <f t="shared" si="160"/>
        <v>95280</v>
      </c>
      <c r="BJ59">
        <f t="shared" si="161"/>
        <v>101840</v>
      </c>
      <c r="BK59">
        <f t="shared" si="162"/>
        <v>108400</v>
      </c>
      <c r="BL59">
        <f t="shared" si="163"/>
        <v>114960</v>
      </c>
    </row>
    <row r="60" spans="1:64">
      <c r="A60" s="41" t="s">
        <v>479</v>
      </c>
      <c r="B60">
        <f t="shared" si="152"/>
        <v>13000</v>
      </c>
      <c r="C60">
        <f t="shared" si="164"/>
        <v>14860</v>
      </c>
      <c r="D60">
        <f t="shared" si="165"/>
        <v>16720</v>
      </c>
      <c r="E60">
        <f t="shared" si="166"/>
        <v>18560</v>
      </c>
      <c r="F60">
        <f t="shared" si="167"/>
        <v>20060</v>
      </c>
      <c r="G60">
        <f t="shared" si="168"/>
        <v>21540</v>
      </c>
      <c r="H60">
        <f t="shared" si="169"/>
        <v>23020</v>
      </c>
      <c r="I60">
        <f t="shared" si="170"/>
        <v>24500</v>
      </c>
      <c r="J60">
        <f t="shared" si="171"/>
        <v>26000</v>
      </c>
      <c r="K60">
        <f t="shared" si="153"/>
        <v>19500</v>
      </c>
      <c r="L60">
        <f t="shared" si="172"/>
        <v>22290</v>
      </c>
      <c r="M60">
        <f t="shared" si="173"/>
        <v>25080</v>
      </c>
      <c r="N60">
        <f t="shared" si="174"/>
        <v>27840</v>
      </c>
      <c r="O60">
        <f t="shared" si="175"/>
        <v>30090</v>
      </c>
      <c r="P60">
        <f t="shared" si="176"/>
        <v>32310</v>
      </c>
      <c r="Q60">
        <f t="shared" si="177"/>
        <v>34530</v>
      </c>
      <c r="R60">
        <f t="shared" si="178"/>
        <v>36750</v>
      </c>
      <c r="S60">
        <f t="shared" si="179"/>
        <v>39000</v>
      </c>
      <c r="T60">
        <f t="shared" si="154"/>
        <v>26000</v>
      </c>
      <c r="U60">
        <f t="shared" si="180"/>
        <v>29720</v>
      </c>
      <c r="V60">
        <f t="shared" si="181"/>
        <v>33440</v>
      </c>
      <c r="W60">
        <f t="shared" si="182"/>
        <v>37120</v>
      </c>
      <c r="X60">
        <f t="shared" si="183"/>
        <v>40120</v>
      </c>
      <c r="Y60">
        <f t="shared" si="184"/>
        <v>43080</v>
      </c>
      <c r="Z60">
        <f t="shared" si="185"/>
        <v>46040</v>
      </c>
      <c r="AA60">
        <f t="shared" si="186"/>
        <v>49000</v>
      </c>
      <c r="AB60">
        <f t="shared" si="187"/>
        <v>52000</v>
      </c>
      <c r="AC60" s="1664">
        <v>32500</v>
      </c>
      <c r="AD60" s="1664">
        <v>37150</v>
      </c>
      <c r="AE60" s="1664">
        <v>41800</v>
      </c>
      <c r="AF60" s="1664">
        <v>46400</v>
      </c>
      <c r="AG60" s="1664">
        <v>50150</v>
      </c>
      <c r="AH60" s="1664">
        <v>53850</v>
      </c>
      <c r="AI60" s="1664">
        <v>57550</v>
      </c>
      <c r="AJ60" s="1664">
        <v>61250</v>
      </c>
      <c r="AK60" s="1664">
        <v>65000</v>
      </c>
      <c r="AL60">
        <f t="shared" si="188"/>
        <v>39000</v>
      </c>
      <c r="AM60">
        <f t="shared" si="189"/>
        <v>44580</v>
      </c>
      <c r="AN60">
        <f t="shared" si="190"/>
        <v>50160</v>
      </c>
      <c r="AO60">
        <f t="shared" si="191"/>
        <v>55680</v>
      </c>
      <c r="AP60">
        <f t="shared" si="192"/>
        <v>60180</v>
      </c>
      <c r="AQ60">
        <f t="shared" si="193"/>
        <v>64620</v>
      </c>
      <c r="AR60">
        <f t="shared" si="194"/>
        <v>69060</v>
      </c>
      <c r="AS60">
        <f t="shared" si="195"/>
        <v>73500</v>
      </c>
      <c r="AT60">
        <f t="shared" si="196"/>
        <v>78000</v>
      </c>
      <c r="AU60">
        <f t="shared" si="197"/>
        <v>45500</v>
      </c>
      <c r="AV60">
        <f t="shared" si="198"/>
        <v>52010</v>
      </c>
      <c r="AW60">
        <f t="shared" si="199"/>
        <v>58519.999999999993</v>
      </c>
      <c r="AX60">
        <f t="shared" si="200"/>
        <v>64959.999999999993</v>
      </c>
      <c r="AY60">
        <f t="shared" si="201"/>
        <v>70210</v>
      </c>
      <c r="AZ60">
        <f t="shared" si="202"/>
        <v>75390</v>
      </c>
      <c r="BA60">
        <f t="shared" si="203"/>
        <v>80570</v>
      </c>
      <c r="BB60">
        <f t="shared" si="204"/>
        <v>85750</v>
      </c>
      <c r="BC60">
        <f t="shared" si="205"/>
        <v>91000</v>
      </c>
      <c r="BD60">
        <f t="shared" si="155"/>
        <v>52000</v>
      </c>
      <c r="BE60">
        <f t="shared" si="156"/>
        <v>59440</v>
      </c>
      <c r="BF60">
        <f t="shared" si="157"/>
        <v>66880</v>
      </c>
      <c r="BG60">
        <f t="shared" si="158"/>
        <v>74240</v>
      </c>
      <c r="BH60">
        <f t="shared" si="159"/>
        <v>80240</v>
      </c>
      <c r="BI60">
        <f t="shared" si="160"/>
        <v>86160</v>
      </c>
      <c r="BJ60">
        <f t="shared" si="161"/>
        <v>92080</v>
      </c>
      <c r="BK60">
        <f t="shared" si="162"/>
        <v>98000</v>
      </c>
      <c r="BL60">
        <f t="shared" si="163"/>
        <v>104000</v>
      </c>
    </row>
    <row r="61" spans="1:64">
      <c r="A61" s="41" t="s">
        <v>480</v>
      </c>
      <c r="B61">
        <f t="shared" si="152"/>
        <v>13000</v>
      </c>
      <c r="C61">
        <f t="shared" si="164"/>
        <v>14860</v>
      </c>
      <c r="D61">
        <f t="shared" si="165"/>
        <v>16720</v>
      </c>
      <c r="E61">
        <f t="shared" si="166"/>
        <v>18560</v>
      </c>
      <c r="F61">
        <f t="shared" si="167"/>
        <v>20060</v>
      </c>
      <c r="G61">
        <f t="shared" si="168"/>
        <v>21540</v>
      </c>
      <c r="H61">
        <f t="shared" si="169"/>
        <v>23020</v>
      </c>
      <c r="I61">
        <f t="shared" si="170"/>
        <v>24500</v>
      </c>
      <c r="J61">
        <f t="shared" si="171"/>
        <v>26000</v>
      </c>
      <c r="K61">
        <f t="shared" si="153"/>
        <v>19500</v>
      </c>
      <c r="L61">
        <f t="shared" si="172"/>
        <v>22290</v>
      </c>
      <c r="M61">
        <f t="shared" si="173"/>
        <v>25080</v>
      </c>
      <c r="N61">
        <f t="shared" si="174"/>
        <v>27840</v>
      </c>
      <c r="O61">
        <f t="shared" si="175"/>
        <v>30090</v>
      </c>
      <c r="P61">
        <f t="shared" si="176"/>
        <v>32310</v>
      </c>
      <c r="Q61">
        <f t="shared" si="177"/>
        <v>34530</v>
      </c>
      <c r="R61">
        <f t="shared" si="178"/>
        <v>36750</v>
      </c>
      <c r="S61">
        <f t="shared" si="179"/>
        <v>39000</v>
      </c>
      <c r="T61">
        <f t="shared" si="154"/>
        <v>26000</v>
      </c>
      <c r="U61">
        <f t="shared" si="180"/>
        <v>29720</v>
      </c>
      <c r="V61">
        <f t="shared" si="181"/>
        <v>33440</v>
      </c>
      <c r="W61">
        <f t="shared" si="182"/>
        <v>37120</v>
      </c>
      <c r="X61">
        <f t="shared" si="183"/>
        <v>40120</v>
      </c>
      <c r="Y61">
        <f t="shared" si="184"/>
        <v>43080</v>
      </c>
      <c r="Z61">
        <f t="shared" si="185"/>
        <v>46040</v>
      </c>
      <c r="AA61">
        <f t="shared" si="186"/>
        <v>49000</v>
      </c>
      <c r="AB61">
        <f t="shared" si="187"/>
        <v>52000</v>
      </c>
      <c r="AC61" s="1664">
        <v>32500</v>
      </c>
      <c r="AD61" s="1664">
        <v>37150</v>
      </c>
      <c r="AE61" s="1664">
        <v>41800</v>
      </c>
      <c r="AF61" s="1664">
        <v>46400</v>
      </c>
      <c r="AG61" s="1664">
        <v>50150</v>
      </c>
      <c r="AH61" s="1664">
        <v>53850</v>
      </c>
      <c r="AI61" s="1664">
        <v>57550</v>
      </c>
      <c r="AJ61" s="1664">
        <v>61250</v>
      </c>
      <c r="AK61" s="1664">
        <v>65000</v>
      </c>
      <c r="AL61">
        <f t="shared" si="188"/>
        <v>39000</v>
      </c>
      <c r="AM61">
        <f t="shared" si="189"/>
        <v>44580</v>
      </c>
      <c r="AN61">
        <f t="shared" si="190"/>
        <v>50160</v>
      </c>
      <c r="AO61">
        <f t="shared" si="191"/>
        <v>55680</v>
      </c>
      <c r="AP61">
        <f t="shared" si="192"/>
        <v>60180</v>
      </c>
      <c r="AQ61">
        <f t="shared" si="193"/>
        <v>64620</v>
      </c>
      <c r="AR61">
        <f t="shared" si="194"/>
        <v>69060</v>
      </c>
      <c r="AS61">
        <f t="shared" si="195"/>
        <v>73500</v>
      </c>
      <c r="AT61">
        <f t="shared" si="196"/>
        <v>78000</v>
      </c>
      <c r="AU61">
        <f t="shared" si="197"/>
        <v>45500</v>
      </c>
      <c r="AV61">
        <f t="shared" si="198"/>
        <v>52010</v>
      </c>
      <c r="AW61">
        <f t="shared" si="199"/>
        <v>58519.999999999993</v>
      </c>
      <c r="AX61">
        <f t="shared" si="200"/>
        <v>64959.999999999993</v>
      </c>
      <c r="AY61">
        <f t="shared" si="201"/>
        <v>70210</v>
      </c>
      <c r="AZ61">
        <f t="shared" si="202"/>
        <v>75390</v>
      </c>
      <c r="BA61">
        <f t="shared" si="203"/>
        <v>80570</v>
      </c>
      <c r="BB61">
        <f t="shared" si="204"/>
        <v>85750</v>
      </c>
      <c r="BC61">
        <f t="shared" si="205"/>
        <v>91000</v>
      </c>
      <c r="BD61">
        <f t="shared" si="155"/>
        <v>52000</v>
      </c>
      <c r="BE61">
        <f t="shared" si="156"/>
        <v>59440</v>
      </c>
      <c r="BF61">
        <f t="shared" si="157"/>
        <v>66880</v>
      </c>
      <c r="BG61">
        <f t="shared" si="158"/>
        <v>74240</v>
      </c>
      <c r="BH61">
        <f t="shared" si="159"/>
        <v>80240</v>
      </c>
      <c r="BI61">
        <f t="shared" si="160"/>
        <v>86160</v>
      </c>
      <c r="BJ61">
        <f t="shared" si="161"/>
        <v>92080</v>
      </c>
      <c r="BK61">
        <f t="shared" si="162"/>
        <v>98000</v>
      </c>
      <c r="BL61">
        <f t="shared" si="163"/>
        <v>104000</v>
      </c>
    </row>
    <row r="62" spans="1:64">
      <c r="A62" s="41" t="s">
        <v>420</v>
      </c>
      <c r="B62">
        <f t="shared" si="152"/>
        <v>13280</v>
      </c>
      <c r="C62">
        <f t="shared" si="164"/>
        <v>15180</v>
      </c>
      <c r="D62">
        <f t="shared" si="165"/>
        <v>17080</v>
      </c>
      <c r="E62">
        <f t="shared" si="166"/>
        <v>18960</v>
      </c>
      <c r="F62">
        <f t="shared" si="167"/>
        <v>20480</v>
      </c>
      <c r="G62">
        <f t="shared" si="168"/>
        <v>21980</v>
      </c>
      <c r="H62">
        <f t="shared" si="169"/>
        <v>23520</v>
      </c>
      <c r="I62">
        <f t="shared" si="170"/>
        <v>25020</v>
      </c>
      <c r="J62">
        <f t="shared" si="171"/>
        <v>26560</v>
      </c>
      <c r="K62">
        <f t="shared" si="153"/>
        <v>19920</v>
      </c>
      <c r="L62">
        <f t="shared" si="172"/>
        <v>22770</v>
      </c>
      <c r="M62">
        <f t="shared" si="173"/>
        <v>25620</v>
      </c>
      <c r="N62">
        <f t="shared" si="174"/>
        <v>28440</v>
      </c>
      <c r="O62">
        <f t="shared" si="175"/>
        <v>30720</v>
      </c>
      <c r="P62">
        <f t="shared" si="176"/>
        <v>32970</v>
      </c>
      <c r="Q62">
        <f t="shared" si="177"/>
        <v>35280</v>
      </c>
      <c r="R62">
        <f t="shared" si="178"/>
        <v>37530</v>
      </c>
      <c r="S62">
        <f t="shared" si="179"/>
        <v>39840</v>
      </c>
      <c r="T62">
        <f t="shared" si="154"/>
        <v>26560</v>
      </c>
      <c r="U62">
        <f t="shared" si="180"/>
        <v>30360</v>
      </c>
      <c r="V62">
        <f t="shared" si="181"/>
        <v>34160</v>
      </c>
      <c r="W62">
        <f t="shared" si="182"/>
        <v>37920</v>
      </c>
      <c r="X62">
        <f t="shared" si="183"/>
        <v>40960</v>
      </c>
      <c r="Y62">
        <f t="shared" si="184"/>
        <v>43960</v>
      </c>
      <c r="Z62">
        <f t="shared" si="185"/>
        <v>47040</v>
      </c>
      <c r="AA62">
        <f t="shared" si="186"/>
        <v>50040</v>
      </c>
      <c r="AB62">
        <f t="shared" si="187"/>
        <v>53120</v>
      </c>
      <c r="AC62" s="298">
        <v>33200</v>
      </c>
      <c r="AD62" s="298">
        <v>37950</v>
      </c>
      <c r="AE62" s="298">
        <v>42700</v>
      </c>
      <c r="AF62" s="298">
        <v>47400</v>
      </c>
      <c r="AG62" s="298">
        <v>51200</v>
      </c>
      <c r="AH62" s="298">
        <v>54950</v>
      </c>
      <c r="AI62" s="298">
        <v>58800</v>
      </c>
      <c r="AJ62" s="298">
        <v>62550</v>
      </c>
      <c r="AK62" s="298">
        <v>66400</v>
      </c>
      <c r="AL62">
        <f t="shared" si="188"/>
        <v>39840</v>
      </c>
      <c r="AM62">
        <f t="shared" si="189"/>
        <v>45540</v>
      </c>
      <c r="AN62">
        <f t="shared" si="190"/>
        <v>51240</v>
      </c>
      <c r="AO62">
        <f t="shared" si="191"/>
        <v>56880</v>
      </c>
      <c r="AP62">
        <f t="shared" si="192"/>
        <v>61440</v>
      </c>
      <c r="AQ62">
        <f t="shared" si="193"/>
        <v>65940</v>
      </c>
      <c r="AR62">
        <f t="shared" si="194"/>
        <v>70560</v>
      </c>
      <c r="AS62">
        <f t="shared" si="195"/>
        <v>75060</v>
      </c>
      <c r="AT62">
        <f t="shared" si="196"/>
        <v>79680</v>
      </c>
      <c r="AU62">
        <f t="shared" si="197"/>
        <v>46480</v>
      </c>
      <c r="AV62">
        <f t="shared" si="198"/>
        <v>53130</v>
      </c>
      <c r="AW62">
        <f t="shared" si="199"/>
        <v>59779.999999999993</v>
      </c>
      <c r="AX62">
        <f t="shared" si="200"/>
        <v>66360</v>
      </c>
      <c r="AY62">
        <f t="shared" si="201"/>
        <v>71680</v>
      </c>
      <c r="AZ62">
        <f t="shared" si="202"/>
        <v>76930</v>
      </c>
      <c r="BA62">
        <f t="shared" si="203"/>
        <v>82320</v>
      </c>
      <c r="BB62">
        <f t="shared" si="204"/>
        <v>87570</v>
      </c>
      <c r="BC62">
        <f t="shared" si="205"/>
        <v>92960</v>
      </c>
      <c r="BD62">
        <f t="shared" si="155"/>
        <v>53120</v>
      </c>
      <c r="BE62">
        <f t="shared" si="156"/>
        <v>60720</v>
      </c>
      <c r="BF62">
        <f t="shared" si="157"/>
        <v>68320</v>
      </c>
      <c r="BG62">
        <f t="shared" si="158"/>
        <v>75840</v>
      </c>
      <c r="BH62">
        <f t="shared" si="159"/>
        <v>81920</v>
      </c>
      <c r="BI62">
        <f t="shared" si="160"/>
        <v>87920</v>
      </c>
      <c r="BJ62">
        <f t="shared" si="161"/>
        <v>94080</v>
      </c>
      <c r="BK62">
        <f t="shared" si="162"/>
        <v>100080</v>
      </c>
      <c r="BL62">
        <f t="shared" si="163"/>
        <v>106240</v>
      </c>
    </row>
    <row r="63" spans="1:64">
      <c r="A63" s="41" t="s">
        <v>481</v>
      </c>
      <c r="B63">
        <f t="shared" si="152"/>
        <v>13000</v>
      </c>
      <c r="C63">
        <f t="shared" si="164"/>
        <v>14860</v>
      </c>
      <c r="D63">
        <f t="shared" si="165"/>
        <v>16720</v>
      </c>
      <c r="E63">
        <f t="shared" si="166"/>
        <v>18560</v>
      </c>
      <c r="F63">
        <f t="shared" si="167"/>
        <v>20060</v>
      </c>
      <c r="G63">
        <f t="shared" si="168"/>
        <v>21540</v>
      </c>
      <c r="H63">
        <f t="shared" si="169"/>
        <v>23020</v>
      </c>
      <c r="I63">
        <f t="shared" si="170"/>
        <v>24500</v>
      </c>
      <c r="J63">
        <f t="shared" si="171"/>
        <v>26000</v>
      </c>
      <c r="K63">
        <f t="shared" si="153"/>
        <v>19500</v>
      </c>
      <c r="L63">
        <f t="shared" si="172"/>
        <v>22290</v>
      </c>
      <c r="M63">
        <f t="shared" si="173"/>
        <v>25080</v>
      </c>
      <c r="N63">
        <f t="shared" si="174"/>
        <v>27840</v>
      </c>
      <c r="O63">
        <f t="shared" si="175"/>
        <v>30090</v>
      </c>
      <c r="P63">
        <f t="shared" si="176"/>
        <v>32310</v>
      </c>
      <c r="Q63">
        <f t="shared" si="177"/>
        <v>34530</v>
      </c>
      <c r="R63">
        <f t="shared" si="178"/>
        <v>36750</v>
      </c>
      <c r="S63">
        <f t="shared" si="179"/>
        <v>39000</v>
      </c>
      <c r="T63">
        <f t="shared" si="154"/>
        <v>26000</v>
      </c>
      <c r="U63">
        <f t="shared" si="180"/>
        <v>29720</v>
      </c>
      <c r="V63">
        <f t="shared" si="181"/>
        <v>33440</v>
      </c>
      <c r="W63">
        <f t="shared" si="182"/>
        <v>37120</v>
      </c>
      <c r="X63">
        <f t="shared" si="183"/>
        <v>40120</v>
      </c>
      <c r="Y63">
        <f t="shared" si="184"/>
        <v>43080</v>
      </c>
      <c r="Z63">
        <f t="shared" si="185"/>
        <v>46040</v>
      </c>
      <c r="AA63">
        <f t="shared" si="186"/>
        <v>49000</v>
      </c>
      <c r="AB63">
        <f t="shared" si="187"/>
        <v>52000</v>
      </c>
      <c r="AC63" s="1664">
        <v>32500</v>
      </c>
      <c r="AD63" s="1664">
        <v>37150</v>
      </c>
      <c r="AE63" s="1664">
        <v>41800</v>
      </c>
      <c r="AF63" s="1664">
        <v>46400</v>
      </c>
      <c r="AG63" s="1664">
        <v>50150</v>
      </c>
      <c r="AH63" s="1664">
        <v>53850</v>
      </c>
      <c r="AI63" s="1664">
        <v>57550</v>
      </c>
      <c r="AJ63" s="1664">
        <v>61250</v>
      </c>
      <c r="AK63" s="1664">
        <v>65000</v>
      </c>
      <c r="AL63">
        <f t="shared" si="188"/>
        <v>39000</v>
      </c>
      <c r="AM63">
        <f t="shared" si="189"/>
        <v>44580</v>
      </c>
      <c r="AN63">
        <f t="shared" si="190"/>
        <v>50160</v>
      </c>
      <c r="AO63">
        <f t="shared" si="191"/>
        <v>55680</v>
      </c>
      <c r="AP63">
        <f t="shared" si="192"/>
        <v>60180</v>
      </c>
      <c r="AQ63">
        <f t="shared" si="193"/>
        <v>64620</v>
      </c>
      <c r="AR63">
        <f t="shared" si="194"/>
        <v>69060</v>
      </c>
      <c r="AS63">
        <f t="shared" si="195"/>
        <v>73500</v>
      </c>
      <c r="AT63">
        <f t="shared" si="196"/>
        <v>78000</v>
      </c>
      <c r="AU63">
        <f t="shared" si="197"/>
        <v>45500</v>
      </c>
      <c r="AV63">
        <f t="shared" si="198"/>
        <v>52010</v>
      </c>
      <c r="AW63">
        <f t="shared" si="199"/>
        <v>58519.999999999993</v>
      </c>
      <c r="AX63">
        <f t="shared" si="200"/>
        <v>64959.999999999993</v>
      </c>
      <c r="AY63">
        <f t="shared" si="201"/>
        <v>70210</v>
      </c>
      <c r="AZ63">
        <f t="shared" si="202"/>
        <v>75390</v>
      </c>
      <c r="BA63">
        <f t="shared" si="203"/>
        <v>80570</v>
      </c>
      <c r="BB63">
        <f t="shared" si="204"/>
        <v>85750</v>
      </c>
      <c r="BC63">
        <f t="shared" si="205"/>
        <v>91000</v>
      </c>
      <c r="BD63">
        <f t="shared" si="155"/>
        <v>52000</v>
      </c>
      <c r="BE63">
        <f t="shared" si="156"/>
        <v>59440</v>
      </c>
      <c r="BF63">
        <f t="shared" si="157"/>
        <v>66880</v>
      </c>
      <c r="BG63">
        <f t="shared" si="158"/>
        <v>74240</v>
      </c>
      <c r="BH63">
        <f t="shared" si="159"/>
        <v>80240</v>
      </c>
      <c r="BI63">
        <f t="shared" si="160"/>
        <v>86160</v>
      </c>
      <c r="BJ63">
        <f t="shared" si="161"/>
        <v>92080</v>
      </c>
      <c r="BK63">
        <f t="shared" si="162"/>
        <v>98000</v>
      </c>
      <c r="BL63">
        <f t="shared" si="163"/>
        <v>104000</v>
      </c>
    </row>
    <row r="64" spans="1:64">
      <c r="A64" s="41" t="s">
        <v>482</v>
      </c>
      <c r="B64">
        <f t="shared" si="152"/>
        <v>13680</v>
      </c>
      <c r="C64">
        <f t="shared" si="164"/>
        <v>15640</v>
      </c>
      <c r="D64">
        <f t="shared" si="165"/>
        <v>17600</v>
      </c>
      <c r="E64">
        <f t="shared" si="166"/>
        <v>19540</v>
      </c>
      <c r="F64">
        <f t="shared" si="167"/>
        <v>21120</v>
      </c>
      <c r="G64">
        <f t="shared" si="168"/>
        <v>22680</v>
      </c>
      <c r="H64">
        <f t="shared" si="169"/>
        <v>24240</v>
      </c>
      <c r="I64">
        <f t="shared" si="170"/>
        <v>25800</v>
      </c>
      <c r="J64">
        <f t="shared" si="171"/>
        <v>27360</v>
      </c>
      <c r="K64">
        <f t="shared" si="153"/>
        <v>20520</v>
      </c>
      <c r="L64">
        <f t="shared" si="172"/>
        <v>23460</v>
      </c>
      <c r="M64">
        <f t="shared" si="173"/>
        <v>26400</v>
      </c>
      <c r="N64">
        <f t="shared" si="174"/>
        <v>29310</v>
      </c>
      <c r="O64">
        <f t="shared" si="175"/>
        <v>31680</v>
      </c>
      <c r="P64">
        <f t="shared" si="176"/>
        <v>34020</v>
      </c>
      <c r="Q64">
        <f t="shared" si="177"/>
        <v>36360</v>
      </c>
      <c r="R64">
        <f t="shared" si="178"/>
        <v>38700</v>
      </c>
      <c r="S64">
        <f t="shared" si="179"/>
        <v>41040</v>
      </c>
      <c r="T64">
        <f t="shared" si="154"/>
        <v>27360</v>
      </c>
      <c r="U64">
        <f t="shared" si="180"/>
        <v>31280</v>
      </c>
      <c r="V64">
        <f t="shared" si="181"/>
        <v>35200</v>
      </c>
      <c r="W64">
        <f t="shared" si="182"/>
        <v>39080</v>
      </c>
      <c r="X64">
        <f t="shared" si="183"/>
        <v>42240</v>
      </c>
      <c r="Y64">
        <f t="shared" si="184"/>
        <v>45360</v>
      </c>
      <c r="Z64">
        <f t="shared" si="185"/>
        <v>48480</v>
      </c>
      <c r="AA64">
        <f t="shared" si="186"/>
        <v>51600</v>
      </c>
      <c r="AB64">
        <f t="shared" si="187"/>
        <v>54720</v>
      </c>
      <c r="AC64" s="298">
        <v>34200</v>
      </c>
      <c r="AD64" s="298">
        <v>39100</v>
      </c>
      <c r="AE64" s="298">
        <v>44000</v>
      </c>
      <c r="AF64" s="298">
        <v>48850</v>
      </c>
      <c r="AG64" s="298">
        <v>52800</v>
      </c>
      <c r="AH64" s="298">
        <v>56700</v>
      </c>
      <c r="AI64" s="298">
        <v>60600</v>
      </c>
      <c r="AJ64" s="298">
        <v>64500</v>
      </c>
      <c r="AK64" s="298">
        <v>68400</v>
      </c>
      <c r="AL64">
        <f t="shared" si="188"/>
        <v>41040</v>
      </c>
      <c r="AM64">
        <f t="shared" si="189"/>
        <v>46920</v>
      </c>
      <c r="AN64">
        <f t="shared" si="190"/>
        <v>52800</v>
      </c>
      <c r="AO64">
        <f t="shared" si="191"/>
        <v>58620</v>
      </c>
      <c r="AP64">
        <f t="shared" si="192"/>
        <v>63360</v>
      </c>
      <c r="AQ64">
        <f t="shared" si="193"/>
        <v>68040</v>
      </c>
      <c r="AR64">
        <f t="shared" si="194"/>
        <v>72720</v>
      </c>
      <c r="AS64">
        <f t="shared" si="195"/>
        <v>77400</v>
      </c>
      <c r="AT64">
        <f t="shared" si="196"/>
        <v>82080</v>
      </c>
      <c r="AU64">
        <f t="shared" si="197"/>
        <v>47880</v>
      </c>
      <c r="AV64">
        <f t="shared" si="198"/>
        <v>54740</v>
      </c>
      <c r="AW64">
        <f t="shared" si="199"/>
        <v>61599.999999999993</v>
      </c>
      <c r="AX64">
        <f t="shared" si="200"/>
        <v>68390</v>
      </c>
      <c r="AY64">
        <f t="shared" si="201"/>
        <v>73920</v>
      </c>
      <c r="AZ64">
        <f t="shared" si="202"/>
        <v>79380</v>
      </c>
      <c r="BA64">
        <f t="shared" si="203"/>
        <v>84840</v>
      </c>
      <c r="BB64">
        <f t="shared" si="204"/>
        <v>90300</v>
      </c>
      <c r="BC64">
        <f t="shared" si="205"/>
        <v>95760</v>
      </c>
      <c r="BD64">
        <f t="shared" si="155"/>
        <v>54720</v>
      </c>
      <c r="BE64">
        <f t="shared" si="156"/>
        <v>62560</v>
      </c>
      <c r="BF64">
        <f t="shared" si="157"/>
        <v>70400</v>
      </c>
      <c r="BG64">
        <f t="shared" si="158"/>
        <v>78160</v>
      </c>
      <c r="BH64">
        <f t="shared" si="159"/>
        <v>84480</v>
      </c>
      <c r="BI64">
        <f t="shared" si="160"/>
        <v>90720</v>
      </c>
      <c r="BJ64">
        <f t="shared" si="161"/>
        <v>96960</v>
      </c>
      <c r="BK64">
        <f t="shared" si="162"/>
        <v>103200</v>
      </c>
      <c r="BL64">
        <f t="shared" si="163"/>
        <v>109440</v>
      </c>
    </row>
    <row r="65" spans="1:64">
      <c r="A65" s="41" t="s">
        <v>483</v>
      </c>
      <c r="B65">
        <f t="shared" si="152"/>
        <v>13360</v>
      </c>
      <c r="C65">
        <f t="shared" si="164"/>
        <v>15280</v>
      </c>
      <c r="D65">
        <f t="shared" si="165"/>
        <v>17180</v>
      </c>
      <c r="E65">
        <f t="shared" si="166"/>
        <v>19080</v>
      </c>
      <c r="F65">
        <f t="shared" si="167"/>
        <v>20620</v>
      </c>
      <c r="G65">
        <f t="shared" si="168"/>
        <v>22140</v>
      </c>
      <c r="H65">
        <f t="shared" si="169"/>
        <v>23660</v>
      </c>
      <c r="I65">
        <f t="shared" si="170"/>
        <v>25200</v>
      </c>
      <c r="J65">
        <f t="shared" si="171"/>
        <v>26720</v>
      </c>
      <c r="K65">
        <f t="shared" si="153"/>
        <v>20040</v>
      </c>
      <c r="L65">
        <f t="shared" si="172"/>
        <v>22920</v>
      </c>
      <c r="M65">
        <f t="shared" si="173"/>
        <v>25770</v>
      </c>
      <c r="N65">
        <f t="shared" si="174"/>
        <v>28620</v>
      </c>
      <c r="O65">
        <f t="shared" si="175"/>
        <v>30930</v>
      </c>
      <c r="P65">
        <f t="shared" si="176"/>
        <v>33210</v>
      </c>
      <c r="Q65">
        <f t="shared" si="177"/>
        <v>35490</v>
      </c>
      <c r="R65">
        <f t="shared" si="178"/>
        <v>37800</v>
      </c>
      <c r="S65">
        <f t="shared" si="179"/>
        <v>40080</v>
      </c>
      <c r="T65">
        <f t="shared" si="154"/>
        <v>26720</v>
      </c>
      <c r="U65">
        <f t="shared" si="180"/>
        <v>30560</v>
      </c>
      <c r="V65">
        <f t="shared" si="181"/>
        <v>34360</v>
      </c>
      <c r="W65">
        <f t="shared" si="182"/>
        <v>38160</v>
      </c>
      <c r="X65">
        <f t="shared" si="183"/>
        <v>41240</v>
      </c>
      <c r="Y65">
        <f t="shared" si="184"/>
        <v>44280</v>
      </c>
      <c r="Z65">
        <f t="shared" si="185"/>
        <v>47320</v>
      </c>
      <c r="AA65">
        <f t="shared" si="186"/>
        <v>50400</v>
      </c>
      <c r="AB65">
        <f t="shared" si="187"/>
        <v>53440</v>
      </c>
      <c r="AC65" s="298">
        <v>33400</v>
      </c>
      <c r="AD65" s="298">
        <v>38200</v>
      </c>
      <c r="AE65" s="298">
        <v>42950</v>
      </c>
      <c r="AF65" s="298">
        <v>47700</v>
      </c>
      <c r="AG65" s="298">
        <v>51550</v>
      </c>
      <c r="AH65" s="298">
        <v>55350</v>
      </c>
      <c r="AI65" s="298">
        <v>59150</v>
      </c>
      <c r="AJ65" s="298">
        <v>63000</v>
      </c>
      <c r="AK65" s="298">
        <v>66800</v>
      </c>
      <c r="AL65">
        <f t="shared" si="188"/>
        <v>40080</v>
      </c>
      <c r="AM65">
        <f t="shared" si="189"/>
        <v>45840</v>
      </c>
      <c r="AN65">
        <f t="shared" si="190"/>
        <v>51540</v>
      </c>
      <c r="AO65">
        <f t="shared" si="191"/>
        <v>57240</v>
      </c>
      <c r="AP65">
        <f t="shared" si="192"/>
        <v>61860</v>
      </c>
      <c r="AQ65">
        <f t="shared" si="193"/>
        <v>66420</v>
      </c>
      <c r="AR65">
        <f t="shared" si="194"/>
        <v>70980</v>
      </c>
      <c r="AS65">
        <f t="shared" si="195"/>
        <v>75600</v>
      </c>
      <c r="AT65">
        <f t="shared" si="196"/>
        <v>80160</v>
      </c>
      <c r="AU65">
        <f t="shared" si="197"/>
        <v>46760</v>
      </c>
      <c r="AV65">
        <f t="shared" si="198"/>
        <v>53480</v>
      </c>
      <c r="AW65">
        <f t="shared" si="199"/>
        <v>60129.999999999993</v>
      </c>
      <c r="AX65">
        <f t="shared" si="200"/>
        <v>66780</v>
      </c>
      <c r="AY65">
        <f t="shared" si="201"/>
        <v>72170</v>
      </c>
      <c r="AZ65">
        <f t="shared" si="202"/>
        <v>77490</v>
      </c>
      <c r="BA65">
        <f t="shared" si="203"/>
        <v>82810</v>
      </c>
      <c r="BB65">
        <f t="shared" si="204"/>
        <v>88200</v>
      </c>
      <c r="BC65">
        <f t="shared" si="205"/>
        <v>93520</v>
      </c>
      <c r="BD65">
        <f t="shared" si="155"/>
        <v>53440</v>
      </c>
      <c r="BE65">
        <f t="shared" si="156"/>
        <v>61120</v>
      </c>
      <c r="BF65">
        <f t="shared" si="157"/>
        <v>68720</v>
      </c>
      <c r="BG65">
        <f t="shared" si="158"/>
        <v>76320</v>
      </c>
      <c r="BH65">
        <f t="shared" si="159"/>
        <v>82480</v>
      </c>
      <c r="BI65">
        <f t="shared" si="160"/>
        <v>88560</v>
      </c>
      <c r="BJ65">
        <f t="shared" si="161"/>
        <v>94640</v>
      </c>
      <c r="BK65">
        <f t="shared" si="162"/>
        <v>100800</v>
      </c>
      <c r="BL65">
        <f t="shared" si="163"/>
        <v>106880</v>
      </c>
    </row>
    <row r="66" spans="1:64">
      <c r="A66" s="41" t="s">
        <v>484</v>
      </c>
      <c r="B66">
        <f t="shared" si="152"/>
        <v>13000</v>
      </c>
      <c r="C66">
        <f t="shared" si="164"/>
        <v>14860</v>
      </c>
      <c r="D66">
        <f t="shared" si="165"/>
        <v>16720</v>
      </c>
      <c r="E66">
        <f t="shared" si="166"/>
        <v>18560</v>
      </c>
      <c r="F66">
        <f t="shared" si="167"/>
        <v>20060</v>
      </c>
      <c r="G66">
        <f t="shared" si="168"/>
        <v>21540</v>
      </c>
      <c r="H66">
        <f t="shared" si="169"/>
        <v>23020</v>
      </c>
      <c r="I66">
        <f t="shared" si="170"/>
        <v>24500</v>
      </c>
      <c r="J66">
        <f t="shared" si="171"/>
        <v>26000</v>
      </c>
      <c r="K66">
        <f t="shared" si="153"/>
        <v>19500</v>
      </c>
      <c r="L66">
        <f t="shared" si="172"/>
        <v>22290</v>
      </c>
      <c r="M66">
        <f t="shared" si="173"/>
        <v>25080</v>
      </c>
      <c r="N66">
        <f t="shared" si="174"/>
        <v>27840</v>
      </c>
      <c r="O66">
        <f t="shared" si="175"/>
        <v>30090</v>
      </c>
      <c r="P66">
        <f t="shared" si="176"/>
        <v>32310</v>
      </c>
      <c r="Q66">
        <f t="shared" si="177"/>
        <v>34530</v>
      </c>
      <c r="R66">
        <f t="shared" si="178"/>
        <v>36750</v>
      </c>
      <c r="S66">
        <f t="shared" si="179"/>
        <v>39000</v>
      </c>
      <c r="T66">
        <f t="shared" si="154"/>
        <v>26000</v>
      </c>
      <c r="U66">
        <f t="shared" si="180"/>
        <v>29720</v>
      </c>
      <c r="V66">
        <f t="shared" si="181"/>
        <v>33440</v>
      </c>
      <c r="W66">
        <f t="shared" si="182"/>
        <v>37120</v>
      </c>
      <c r="X66">
        <f t="shared" si="183"/>
        <v>40120</v>
      </c>
      <c r="Y66">
        <f t="shared" si="184"/>
        <v>43080</v>
      </c>
      <c r="Z66">
        <f t="shared" si="185"/>
        <v>46040</v>
      </c>
      <c r="AA66">
        <f t="shared" si="186"/>
        <v>49000</v>
      </c>
      <c r="AB66">
        <f t="shared" si="187"/>
        <v>52000</v>
      </c>
      <c r="AC66" s="1664">
        <v>32500</v>
      </c>
      <c r="AD66" s="1664">
        <v>37150</v>
      </c>
      <c r="AE66" s="1664">
        <v>41800</v>
      </c>
      <c r="AF66" s="1664">
        <v>46400</v>
      </c>
      <c r="AG66" s="1664">
        <v>50150</v>
      </c>
      <c r="AH66" s="1664">
        <v>53850</v>
      </c>
      <c r="AI66" s="1664">
        <v>57550</v>
      </c>
      <c r="AJ66" s="1664">
        <v>61250</v>
      </c>
      <c r="AK66" s="1664">
        <v>65000</v>
      </c>
      <c r="AL66">
        <f t="shared" si="188"/>
        <v>39000</v>
      </c>
      <c r="AM66">
        <f t="shared" si="189"/>
        <v>44580</v>
      </c>
      <c r="AN66">
        <f t="shared" si="190"/>
        <v>50160</v>
      </c>
      <c r="AO66">
        <f t="shared" si="191"/>
        <v>55680</v>
      </c>
      <c r="AP66">
        <f t="shared" si="192"/>
        <v>60180</v>
      </c>
      <c r="AQ66">
        <f t="shared" si="193"/>
        <v>64620</v>
      </c>
      <c r="AR66">
        <f t="shared" si="194"/>
        <v>69060</v>
      </c>
      <c r="AS66">
        <f t="shared" si="195"/>
        <v>73500</v>
      </c>
      <c r="AT66">
        <f t="shared" si="196"/>
        <v>78000</v>
      </c>
      <c r="AU66">
        <f t="shared" si="197"/>
        <v>45500</v>
      </c>
      <c r="AV66">
        <f t="shared" si="198"/>
        <v>52010</v>
      </c>
      <c r="AW66">
        <f t="shared" si="199"/>
        <v>58519.999999999993</v>
      </c>
      <c r="AX66">
        <f t="shared" si="200"/>
        <v>64959.999999999993</v>
      </c>
      <c r="AY66">
        <f t="shared" si="201"/>
        <v>70210</v>
      </c>
      <c r="AZ66">
        <f t="shared" si="202"/>
        <v>75390</v>
      </c>
      <c r="BA66">
        <f t="shared" si="203"/>
        <v>80570</v>
      </c>
      <c r="BB66">
        <f t="shared" si="204"/>
        <v>85750</v>
      </c>
      <c r="BC66">
        <f t="shared" si="205"/>
        <v>91000</v>
      </c>
      <c r="BD66">
        <f t="shared" si="155"/>
        <v>52000</v>
      </c>
      <c r="BE66">
        <f t="shared" si="156"/>
        <v>59440</v>
      </c>
      <c r="BF66">
        <f t="shared" si="157"/>
        <v>66880</v>
      </c>
      <c r="BG66">
        <f t="shared" si="158"/>
        <v>74240</v>
      </c>
      <c r="BH66">
        <f t="shared" si="159"/>
        <v>80240</v>
      </c>
      <c r="BI66">
        <f t="shared" si="160"/>
        <v>86160</v>
      </c>
      <c r="BJ66">
        <f t="shared" si="161"/>
        <v>92080</v>
      </c>
      <c r="BK66">
        <f t="shared" si="162"/>
        <v>98000</v>
      </c>
      <c r="BL66">
        <f t="shared" si="163"/>
        <v>104000</v>
      </c>
    </row>
    <row r="67" spans="1:64">
      <c r="A67" s="41" t="s">
        <v>485</v>
      </c>
      <c r="B67">
        <f t="shared" si="152"/>
        <v>15360</v>
      </c>
      <c r="C67">
        <f t="shared" si="164"/>
        <v>17540</v>
      </c>
      <c r="D67">
        <f t="shared" si="165"/>
        <v>19740</v>
      </c>
      <c r="E67">
        <f t="shared" si="166"/>
        <v>21920</v>
      </c>
      <c r="F67">
        <f t="shared" si="167"/>
        <v>23680</v>
      </c>
      <c r="G67">
        <f t="shared" si="168"/>
        <v>25440</v>
      </c>
      <c r="H67">
        <f t="shared" si="169"/>
        <v>27200</v>
      </c>
      <c r="I67">
        <f t="shared" si="170"/>
        <v>28940</v>
      </c>
      <c r="J67">
        <f t="shared" si="171"/>
        <v>30700</v>
      </c>
      <c r="K67">
        <f t="shared" si="153"/>
        <v>23040</v>
      </c>
      <c r="L67">
        <f t="shared" si="172"/>
        <v>26310</v>
      </c>
      <c r="M67">
        <f t="shared" si="173"/>
        <v>29610</v>
      </c>
      <c r="N67">
        <f t="shared" si="174"/>
        <v>32880</v>
      </c>
      <c r="O67">
        <f t="shared" si="175"/>
        <v>35520</v>
      </c>
      <c r="P67">
        <f t="shared" si="176"/>
        <v>38160</v>
      </c>
      <c r="Q67">
        <f t="shared" si="177"/>
        <v>40800</v>
      </c>
      <c r="R67">
        <f t="shared" si="178"/>
        <v>43410</v>
      </c>
      <c r="S67">
        <f t="shared" si="179"/>
        <v>46050</v>
      </c>
      <c r="T67">
        <f t="shared" si="154"/>
        <v>30720</v>
      </c>
      <c r="U67">
        <f t="shared" si="180"/>
        <v>35080</v>
      </c>
      <c r="V67">
        <f t="shared" si="181"/>
        <v>39480</v>
      </c>
      <c r="W67">
        <f t="shared" si="182"/>
        <v>43840</v>
      </c>
      <c r="X67">
        <f t="shared" si="183"/>
        <v>47360</v>
      </c>
      <c r="Y67">
        <f t="shared" si="184"/>
        <v>50880</v>
      </c>
      <c r="Z67">
        <f t="shared" si="185"/>
        <v>54400</v>
      </c>
      <c r="AA67">
        <f t="shared" si="186"/>
        <v>57880</v>
      </c>
      <c r="AB67">
        <f t="shared" si="187"/>
        <v>61400</v>
      </c>
      <c r="AC67" s="298">
        <v>38400</v>
      </c>
      <c r="AD67" s="298">
        <v>43850</v>
      </c>
      <c r="AE67" s="298">
        <v>49350</v>
      </c>
      <c r="AF67" s="298">
        <v>54800</v>
      </c>
      <c r="AG67" s="298">
        <v>59200</v>
      </c>
      <c r="AH67" s="298">
        <v>63600</v>
      </c>
      <c r="AI67" s="298">
        <v>68000</v>
      </c>
      <c r="AJ67" s="298">
        <v>72350</v>
      </c>
      <c r="AK67" s="298">
        <v>76750</v>
      </c>
      <c r="AL67">
        <f t="shared" si="188"/>
        <v>46080</v>
      </c>
      <c r="AM67">
        <f t="shared" si="189"/>
        <v>52620</v>
      </c>
      <c r="AN67">
        <f t="shared" si="190"/>
        <v>59220</v>
      </c>
      <c r="AO67">
        <f t="shared" si="191"/>
        <v>65760</v>
      </c>
      <c r="AP67">
        <f t="shared" si="192"/>
        <v>71040</v>
      </c>
      <c r="AQ67">
        <f t="shared" si="193"/>
        <v>76320</v>
      </c>
      <c r="AR67">
        <f t="shared" si="194"/>
        <v>81600</v>
      </c>
      <c r="AS67">
        <f t="shared" si="195"/>
        <v>86820</v>
      </c>
      <c r="AT67">
        <f t="shared" si="196"/>
        <v>92100</v>
      </c>
      <c r="AU67">
        <f t="shared" si="197"/>
        <v>53760</v>
      </c>
      <c r="AV67">
        <f t="shared" si="198"/>
        <v>61389.999999999993</v>
      </c>
      <c r="AW67">
        <f t="shared" si="199"/>
        <v>69090</v>
      </c>
      <c r="AX67">
        <f t="shared" si="200"/>
        <v>76720</v>
      </c>
      <c r="AY67">
        <f t="shared" si="201"/>
        <v>82880</v>
      </c>
      <c r="AZ67">
        <f t="shared" si="202"/>
        <v>89040</v>
      </c>
      <c r="BA67">
        <f t="shared" si="203"/>
        <v>95200</v>
      </c>
      <c r="BB67">
        <f t="shared" si="204"/>
        <v>101290</v>
      </c>
      <c r="BC67">
        <f t="shared" si="205"/>
        <v>107450</v>
      </c>
      <c r="BD67">
        <f t="shared" si="155"/>
        <v>61440</v>
      </c>
      <c r="BE67">
        <f t="shared" si="156"/>
        <v>70160</v>
      </c>
      <c r="BF67">
        <f t="shared" si="157"/>
        <v>78960</v>
      </c>
      <c r="BG67">
        <f t="shared" si="158"/>
        <v>87680</v>
      </c>
      <c r="BH67">
        <f t="shared" si="159"/>
        <v>94720</v>
      </c>
      <c r="BI67">
        <f t="shared" si="160"/>
        <v>101760</v>
      </c>
      <c r="BJ67">
        <f t="shared" si="161"/>
        <v>108800</v>
      </c>
      <c r="BK67">
        <f t="shared" si="162"/>
        <v>115760</v>
      </c>
      <c r="BL67">
        <f t="shared" si="163"/>
        <v>122800</v>
      </c>
    </row>
    <row r="68" spans="1:64">
      <c r="A68" s="41" t="s">
        <v>486</v>
      </c>
      <c r="B68">
        <f t="shared" si="152"/>
        <v>13000</v>
      </c>
      <c r="C68">
        <f t="shared" si="164"/>
        <v>14860</v>
      </c>
      <c r="D68">
        <f t="shared" si="165"/>
        <v>16720</v>
      </c>
      <c r="E68">
        <f t="shared" si="166"/>
        <v>18560</v>
      </c>
      <c r="F68">
        <f t="shared" si="167"/>
        <v>20060</v>
      </c>
      <c r="G68">
        <f t="shared" si="168"/>
        <v>21540</v>
      </c>
      <c r="H68">
        <f t="shared" si="169"/>
        <v>23020</v>
      </c>
      <c r="I68">
        <f t="shared" si="170"/>
        <v>24500</v>
      </c>
      <c r="J68">
        <f t="shared" si="171"/>
        <v>26000</v>
      </c>
      <c r="K68">
        <f t="shared" si="153"/>
        <v>19500</v>
      </c>
      <c r="L68">
        <f t="shared" si="172"/>
        <v>22290</v>
      </c>
      <c r="M68">
        <f t="shared" si="173"/>
        <v>25080</v>
      </c>
      <c r="N68">
        <f t="shared" si="174"/>
        <v>27840</v>
      </c>
      <c r="O68">
        <f t="shared" si="175"/>
        <v>30090</v>
      </c>
      <c r="P68">
        <f t="shared" si="176"/>
        <v>32310</v>
      </c>
      <c r="Q68">
        <f t="shared" si="177"/>
        <v>34530</v>
      </c>
      <c r="R68">
        <f t="shared" si="178"/>
        <v>36750</v>
      </c>
      <c r="S68">
        <f t="shared" si="179"/>
        <v>39000</v>
      </c>
      <c r="T68">
        <f t="shared" si="154"/>
        <v>26000</v>
      </c>
      <c r="U68">
        <f t="shared" si="180"/>
        <v>29720</v>
      </c>
      <c r="V68">
        <f t="shared" si="181"/>
        <v>33440</v>
      </c>
      <c r="W68">
        <f t="shared" si="182"/>
        <v>37120</v>
      </c>
      <c r="X68">
        <f t="shared" si="183"/>
        <v>40120</v>
      </c>
      <c r="Y68">
        <f t="shared" si="184"/>
        <v>43080</v>
      </c>
      <c r="Z68">
        <f t="shared" si="185"/>
        <v>46040</v>
      </c>
      <c r="AA68">
        <f t="shared" si="186"/>
        <v>49000</v>
      </c>
      <c r="AB68">
        <f t="shared" si="187"/>
        <v>52000</v>
      </c>
      <c r="AC68" s="1664">
        <v>32500</v>
      </c>
      <c r="AD68" s="1664">
        <v>37150</v>
      </c>
      <c r="AE68" s="1664">
        <v>41800</v>
      </c>
      <c r="AF68" s="1664">
        <v>46400</v>
      </c>
      <c r="AG68" s="1664">
        <v>50150</v>
      </c>
      <c r="AH68" s="1664">
        <v>53850</v>
      </c>
      <c r="AI68" s="1664">
        <v>57550</v>
      </c>
      <c r="AJ68" s="1664">
        <v>61250</v>
      </c>
      <c r="AK68" s="1664">
        <v>65000</v>
      </c>
      <c r="AL68">
        <f t="shared" si="188"/>
        <v>39000</v>
      </c>
      <c r="AM68">
        <f t="shared" si="189"/>
        <v>44580</v>
      </c>
      <c r="AN68">
        <f t="shared" si="190"/>
        <v>50160</v>
      </c>
      <c r="AO68">
        <f t="shared" si="191"/>
        <v>55680</v>
      </c>
      <c r="AP68">
        <f t="shared" si="192"/>
        <v>60180</v>
      </c>
      <c r="AQ68">
        <f t="shared" si="193"/>
        <v>64620</v>
      </c>
      <c r="AR68">
        <f t="shared" si="194"/>
        <v>69060</v>
      </c>
      <c r="AS68">
        <f t="shared" si="195"/>
        <v>73500</v>
      </c>
      <c r="AT68">
        <f t="shared" si="196"/>
        <v>78000</v>
      </c>
      <c r="AU68">
        <f t="shared" si="197"/>
        <v>45500</v>
      </c>
      <c r="AV68">
        <f t="shared" si="198"/>
        <v>52010</v>
      </c>
      <c r="AW68">
        <f t="shared" si="199"/>
        <v>58519.999999999993</v>
      </c>
      <c r="AX68">
        <f t="shared" si="200"/>
        <v>64959.999999999993</v>
      </c>
      <c r="AY68">
        <f t="shared" si="201"/>
        <v>70210</v>
      </c>
      <c r="AZ68">
        <f t="shared" si="202"/>
        <v>75390</v>
      </c>
      <c r="BA68">
        <f t="shared" si="203"/>
        <v>80570</v>
      </c>
      <c r="BB68">
        <f t="shared" si="204"/>
        <v>85750</v>
      </c>
      <c r="BC68">
        <f t="shared" si="205"/>
        <v>91000</v>
      </c>
      <c r="BD68">
        <f t="shared" si="155"/>
        <v>52000</v>
      </c>
      <c r="BE68">
        <f t="shared" si="156"/>
        <v>59440</v>
      </c>
      <c r="BF68">
        <f t="shared" si="157"/>
        <v>66880</v>
      </c>
      <c r="BG68">
        <f t="shared" si="158"/>
        <v>74240</v>
      </c>
      <c r="BH68">
        <f t="shared" si="159"/>
        <v>80240</v>
      </c>
      <c r="BI68">
        <f t="shared" si="160"/>
        <v>86160</v>
      </c>
      <c r="BJ68">
        <f t="shared" si="161"/>
        <v>92080</v>
      </c>
      <c r="BK68">
        <f t="shared" si="162"/>
        <v>98000</v>
      </c>
      <c r="BL68">
        <f t="shared" si="163"/>
        <v>104000</v>
      </c>
    </row>
    <row r="69" spans="1:64">
      <c r="A69" s="41" t="s">
        <v>425</v>
      </c>
      <c r="B69">
        <f t="shared" si="152"/>
        <v>15500</v>
      </c>
      <c r="C69">
        <f t="shared" si="164"/>
        <v>17720</v>
      </c>
      <c r="D69">
        <f t="shared" si="165"/>
        <v>19940</v>
      </c>
      <c r="E69">
        <f t="shared" si="166"/>
        <v>22140</v>
      </c>
      <c r="F69">
        <f t="shared" si="167"/>
        <v>23920</v>
      </c>
      <c r="G69">
        <f t="shared" si="168"/>
        <v>25700</v>
      </c>
      <c r="H69">
        <f t="shared" si="169"/>
        <v>27460</v>
      </c>
      <c r="I69">
        <f t="shared" si="170"/>
        <v>29240</v>
      </c>
      <c r="J69">
        <f t="shared" si="171"/>
        <v>31000</v>
      </c>
      <c r="K69">
        <f t="shared" si="153"/>
        <v>23250</v>
      </c>
      <c r="L69">
        <f t="shared" si="172"/>
        <v>26580</v>
      </c>
      <c r="M69">
        <f t="shared" si="173"/>
        <v>29910</v>
      </c>
      <c r="N69">
        <f t="shared" si="174"/>
        <v>33210</v>
      </c>
      <c r="O69">
        <f t="shared" si="175"/>
        <v>35880</v>
      </c>
      <c r="P69">
        <f t="shared" si="176"/>
        <v>38550</v>
      </c>
      <c r="Q69">
        <f t="shared" si="177"/>
        <v>41190</v>
      </c>
      <c r="R69">
        <f t="shared" si="178"/>
        <v>43860</v>
      </c>
      <c r="S69">
        <f t="shared" si="179"/>
        <v>46500</v>
      </c>
      <c r="T69">
        <f t="shared" si="154"/>
        <v>31000</v>
      </c>
      <c r="U69">
        <f t="shared" si="180"/>
        <v>35440</v>
      </c>
      <c r="V69">
        <f t="shared" si="181"/>
        <v>39880</v>
      </c>
      <c r="W69">
        <f t="shared" si="182"/>
        <v>44280</v>
      </c>
      <c r="X69">
        <f t="shared" si="183"/>
        <v>47840</v>
      </c>
      <c r="Y69">
        <f t="shared" si="184"/>
        <v>51400</v>
      </c>
      <c r="Z69">
        <f t="shared" si="185"/>
        <v>54920</v>
      </c>
      <c r="AA69">
        <f t="shared" si="186"/>
        <v>58480</v>
      </c>
      <c r="AB69">
        <f t="shared" si="187"/>
        <v>62000</v>
      </c>
      <c r="AC69" s="298">
        <v>38750</v>
      </c>
      <c r="AD69" s="298">
        <v>44300</v>
      </c>
      <c r="AE69" s="298">
        <v>49850</v>
      </c>
      <c r="AF69" s="298">
        <v>55350</v>
      </c>
      <c r="AG69" s="298">
        <v>59800</v>
      </c>
      <c r="AH69" s="298">
        <v>64250</v>
      </c>
      <c r="AI69" s="298">
        <v>68650</v>
      </c>
      <c r="AJ69" s="298">
        <v>73100</v>
      </c>
      <c r="AK69" s="298">
        <v>77500</v>
      </c>
      <c r="AL69">
        <f t="shared" si="188"/>
        <v>46500</v>
      </c>
      <c r="AM69">
        <f t="shared" si="189"/>
        <v>53160</v>
      </c>
      <c r="AN69">
        <f t="shared" si="190"/>
        <v>59820</v>
      </c>
      <c r="AO69">
        <f t="shared" si="191"/>
        <v>66420</v>
      </c>
      <c r="AP69">
        <f t="shared" si="192"/>
        <v>71760</v>
      </c>
      <c r="AQ69">
        <f t="shared" si="193"/>
        <v>77100</v>
      </c>
      <c r="AR69">
        <f t="shared" si="194"/>
        <v>82380</v>
      </c>
      <c r="AS69">
        <f t="shared" si="195"/>
        <v>87720</v>
      </c>
      <c r="AT69">
        <f t="shared" si="196"/>
        <v>93000</v>
      </c>
      <c r="AU69">
        <f t="shared" si="197"/>
        <v>54250</v>
      </c>
      <c r="AV69">
        <f t="shared" si="198"/>
        <v>62019.999999999993</v>
      </c>
      <c r="AW69">
        <f t="shared" si="199"/>
        <v>69790</v>
      </c>
      <c r="AX69">
        <f t="shared" si="200"/>
        <v>77490</v>
      </c>
      <c r="AY69">
        <f t="shared" si="201"/>
        <v>83720</v>
      </c>
      <c r="AZ69">
        <f t="shared" si="202"/>
        <v>89950</v>
      </c>
      <c r="BA69">
        <f t="shared" si="203"/>
        <v>96110</v>
      </c>
      <c r="BB69">
        <f t="shared" si="204"/>
        <v>102340</v>
      </c>
      <c r="BC69">
        <f t="shared" si="205"/>
        <v>108500</v>
      </c>
      <c r="BD69">
        <f t="shared" si="155"/>
        <v>62000</v>
      </c>
      <c r="BE69">
        <f t="shared" si="156"/>
        <v>70880</v>
      </c>
      <c r="BF69">
        <f t="shared" si="157"/>
        <v>79760</v>
      </c>
      <c r="BG69">
        <f t="shared" si="158"/>
        <v>88560</v>
      </c>
      <c r="BH69">
        <f t="shared" si="159"/>
        <v>95680</v>
      </c>
      <c r="BI69">
        <f t="shared" si="160"/>
        <v>102800</v>
      </c>
      <c r="BJ69">
        <f t="shared" si="161"/>
        <v>109840</v>
      </c>
      <c r="BK69">
        <f t="shared" si="162"/>
        <v>116960</v>
      </c>
      <c r="BL69">
        <f t="shared" si="163"/>
        <v>124000</v>
      </c>
    </row>
    <row r="70" spans="1:64">
      <c r="A70" s="41" t="s">
        <v>428</v>
      </c>
      <c r="B70">
        <f t="shared" si="152"/>
        <v>15500</v>
      </c>
      <c r="C70">
        <f t="shared" si="164"/>
        <v>17720</v>
      </c>
      <c r="D70">
        <f t="shared" si="165"/>
        <v>19940</v>
      </c>
      <c r="E70">
        <f t="shared" si="166"/>
        <v>22140</v>
      </c>
      <c r="F70">
        <f t="shared" si="167"/>
        <v>23920</v>
      </c>
      <c r="G70">
        <f t="shared" si="168"/>
        <v>25700</v>
      </c>
      <c r="H70">
        <f t="shared" si="169"/>
        <v>27460</v>
      </c>
      <c r="I70">
        <f t="shared" si="170"/>
        <v>29240</v>
      </c>
      <c r="J70">
        <f t="shared" si="171"/>
        <v>31000</v>
      </c>
      <c r="K70">
        <f t="shared" si="153"/>
        <v>23250</v>
      </c>
      <c r="L70">
        <f t="shared" si="172"/>
        <v>26580</v>
      </c>
      <c r="M70">
        <f t="shared" si="173"/>
        <v>29910</v>
      </c>
      <c r="N70">
        <f t="shared" si="174"/>
        <v>33210</v>
      </c>
      <c r="O70">
        <f t="shared" si="175"/>
        <v>35880</v>
      </c>
      <c r="P70">
        <f t="shared" si="176"/>
        <v>38550</v>
      </c>
      <c r="Q70">
        <f t="shared" si="177"/>
        <v>41190</v>
      </c>
      <c r="R70">
        <f t="shared" si="178"/>
        <v>43860</v>
      </c>
      <c r="S70">
        <f t="shared" si="179"/>
        <v>46500</v>
      </c>
      <c r="T70">
        <f t="shared" si="154"/>
        <v>31000</v>
      </c>
      <c r="U70">
        <f t="shared" si="180"/>
        <v>35440</v>
      </c>
      <c r="V70">
        <f t="shared" si="181"/>
        <v>39880</v>
      </c>
      <c r="W70">
        <f t="shared" si="182"/>
        <v>44280</v>
      </c>
      <c r="X70">
        <f t="shared" si="183"/>
        <v>47840</v>
      </c>
      <c r="Y70">
        <f t="shared" si="184"/>
        <v>51400</v>
      </c>
      <c r="Z70">
        <f t="shared" si="185"/>
        <v>54920</v>
      </c>
      <c r="AA70">
        <f t="shared" si="186"/>
        <v>58480</v>
      </c>
      <c r="AB70">
        <f t="shared" si="187"/>
        <v>62000</v>
      </c>
      <c r="AC70" s="298">
        <v>38750</v>
      </c>
      <c r="AD70" s="298">
        <v>44300</v>
      </c>
      <c r="AE70" s="298">
        <v>49850</v>
      </c>
      <c r="AF70" s="298">
        <v>55350</v>
      </c>
      <c r="AG70" s="298">
        <v>59800</v>
      </c>
      <c r="AH70" s="298">
        <v>64250</v>
      </c>
      <c r="AI70" s="298">
        <v>68650</v>
      </c>
      <c r="AJ70" s="298">
        <v>73100</v>
      </c>
      <c r="AK70" s="298">
        <v>77500</v>
      </c>
      <c r="AL70">
        <f t="shared" si="188"/>
        <v>46500</v>
      </c>
      <c r="AM70">
        <f t="shared" si="189"/>
        <v>53160</v>
      </c>
      <c r="AN70">
        <f t="shared" si="190"/>
        <v>59820</v>
      </c>
      <c r="AO70">
        <f t="shared" si="191"/>
        <v>66420</v>
      </c>
      <c r="AP70">
        <f t="shared" si="192"/>
        <v>71760</v>
      </c>
      <c r="AQ70">
        <f t="shared" si="193"/>
        <v>77100</v>
      </c>
      <c r="AR70">
        <f t="shared" si="194"/>
        <v>82380</v>
      </c>
      <c r="AS70">
        <f t="shared" si="195"/>
        <v>87720</v>
      </c>
      <c r="AT70">
        <f t="shared" si="196"/>
        <v>93000</v>
      </c>
      <c r="AU70">
        <f t="shared" si="197"/>
        <v>54250</v>
      </c>
      <c r="AV70">
        <f t="shared" si="198"/>
        <v>62019.999999999993</v>
      </c>
      <c r="AW70">
        <f t="shared" si="199"/>
        <v>69790</v>
      </c>
      <c r="AX70">
        <f t="shared" si="200"/>
        <v>77490</v>
      </c>
      <c r="AY70">
        <f t="shared" si="201"/>
        <v>83720</v>
      </c>
      <c r="AZ70">
        <f t="shared" si="202"/>
        <v>89950</v>
      </c>
      <c r="BA70">
        <f t="shared" si="203"/>
        <v>96110</v>
      </c>
      <c r="BB70">
        <f t="shared" si="204"/>
        <v>102340</v>
      </c>
      <c r="BC70">
        <f t="shared" si="205"/>
        <v>108500</v>
      </c>
      <c r="BD70">
        <f t="shared" si="155"/>
        <v>62000</v>
      </c>
      <c r="BE70">
        <f t="shared" si="156"/>
        <v>70880</v>
      </c>
      <c r="BF70">
        <f t="shared" si="157"/>
        <v>79760</v>
      </c>
      <c r="BG70">
        <f t="shared" si="158"/>
        <v>88560</v>
      </c>
      <c r="BH70">
        <f t="shared" si="159"/>
        <v>95680</v>
      </c>
      <c r="BI70">
        <f t="shared" si="160"/>
        <v>102800</v>
      </c>
      <c r="BJ70">
        <f t="shared" si="161"/>
        <v>109840</v>
      </c>
      <c r="BK70">
        <f t="shared" si="162"/>
        <v>116960</v>
      </c>
      <c r="BL70">
        <f t="shared" si="163"/>
        <v>124000</v>
      </c>
    </row>
    <row r="71" spans="1:64">
      <c r="A71" s="41" t="s">
        <v>487</v>
      </c>
      <c r="B71">
        <f t="shared" si="152"/>
        <v>13280</v>
      </c>
      <c r="C71">
        <f t="shared" si="164"/>
        <v>15180</v>
      </c>
      <c r="D71">
        <f t="shared" si="165"/>
        <v>17080</v>
      </c>
      <c r="E71">
        <f t="shared" si="166"/>
        <v>18960</v>
      </c>
      <c r="F71">
        <f t="shared" si="167"/>
        <v>20480</v>
      </c>
      <c r="G71">
        <f t="shared" si="168"/>
        <v>22000</v>
      </c>
      <c r="H71">
        <f t="shared" si="169"/>
        <v>23520</v>
      </c>
      <c r="I71">
        <f t="shared" si="170"/>
        <v>25040</v>
      </c>
      <c r="J71">
        <f t="shared" si="171"/>
        <v>26560</v>
      </c>
      <c r="K71">
        <f t="shared" si="153"/>
        <v>19920</v>
      </c>
      <c r="L71">
        <f t="shared" si="172"/>
        <v>22770</v>
      </c>
      <c r="M71">
        <f t="shared" si="173"/>
        <v>25620</v>
      </c>
      <c r="N71">
        <f t="shared" si="174"/>
        <v>28440</v>
      </c>
      <c r="O71">
        <f t="shared" si="175"/>
        <v>30720</v>
      </c>
      <c r="P71">
        <f t="shared" si="176"/>
        <v>33000</v>
      </c>
      <c r="Q71">
        <f t="shared" si="177"/>
        <v>35280</v>
      </c>
      <c r="R71">
        <f t="shared" si="178"/>
        <v>37560</v>
      </c>
      <c r="S71">
        <f t="shared" si="179"/>
        <v>39840</v>
      </c>
      <c r="T71">
        <f t="shared" si="154"/>
        <v>26560</v>
      </c>
      <c r="U71">
        <f t="shared" si="180"/>
        <v>30360</v>
      </c>
      <c r="V71">
        <f t="shared" si="181"/>
        <v>34160</v>
      </c>
      <c r="W71">
        <f t="shared" si="182"/>
        <v>37920</v>
      </c>
      <c r="X71">
        <f t="shared" si="183"/>
        <v>40960</v>
      </c>
      <c r="Y71">
        <f t="shared" si="184"/>
        <v>44000</v>
      </c>
      <c r="Z71">
        <f t="shared" si="185"/>
        <v>47040</v>
      </c>
      <c r="AA71">
        <f t="shared" si="186"/>
        <v>50080</v>
      </c>
      <c r="AB71">
        <f t="shared" si="187"/>
        <v>53120</v>
      </c>
      <c r="AC71" s="298">
        <v>33200</v>
      </c>
      <c r="AD71" s="298">
        <v>37950</v>
      </c>
      <c r="AE71" s="298">
        <v>42700</v>
      </c>
      <c r="AF71" s="298">
        <v>47400</v>
      </c>
      <c r="AG71" s="298">
        <v>51200</v>
      </c>
      <c r="AH71" s="298">
        <v>55000</v>
      </c>
      <c r="AI71" s="298">
        <v>58800</v>
      </c>
      <c r="AJ71" s="298">
        <v>62600</v>
      </c>
      <c r="AK71" s="298">
        <v>66400</v>
      </c>
      <c r="AL71">
        <f t="shared" si="188"/>
        <v>39840</v>
      </c>
      <c r="AM71">
        <f t="shared" si="189"/>
        <v>45540</v>
      </c>
      <c r="AN71">
        <f t="shared" si="190"/>
        <v>51240</v>
      </c>
      <c r="AO71">
        <f t="shared" si="191"/>
        <v>56880</v>
      </c>
      <c r="AP71">
        <f t="shared" si="192"/>
        <v>61440</v>
      </c>
      <c r="AQ71">
        <f t="shared" si="193"/>
        <v>66000</v>
      </c>
      <c r="AR71">
        <f t="shared" si="194"/>
        <v>70560</v>
      </c>
      <c r="AS71">
        <f t="shared" si="195"/>
        <v>75120</v>
      </c>
      <c r="AT71">
        <f t="shared" si="196"/>
        <v>79680</v>
      </c>
      <c r="AU71">
        <f t="shared" si="197"/>
        <v>46480</v>
      </c>
      <c r="AV71">
        <f t="shared" si="198"/>
        <v>53130</v>
      </c>
      <c r="AW71">
        <f t="shared" si="199"/>
        <v>59779.999999999993</v>
      </c>
      <c r="AX71">
        <f t="shared" si="200"/>
        <v>66360</v>
      </c>
      <c r="AY71">
        <f t="shared" si="201"/>
        <v>71680</v>
      </c>
      <c r="AZ71">
        <f t="shared" si="202"/>
        <v>77000</v>
      </c>
      <c r="BA71">
        <f t="shared" si="203"/>
        <v>82320</v>
      </c>
      <c r="BB71">
        <f t="shared" si="204"/>
        <v>87640</v>
      </c>
      <c r="BC71">
        <f t="shared" si="205"/>
        <v>92960</v>
      </c>
      <c r="BD71">
        <f t="shared" si="155"/>
        <v>53120</v>
      </c>
      <c r="BE71">
        <f t="shared" si="156"/>
        <v>60720</v>
      </c>
      <c r="BF71">
        <f t="shared" si="157"/>
        <v>68320</v>
      </c>
      <c r="BG71">
        <f t="shared" si="158"/>
        <v>75840</v>
      </c>
      <c r="BH71">
        <f t="shared" si="159"/>
        <v>81920</v>
      </c>
      <c r="BI71">
        <f t="shared" si="160"/>
        <v>88000</v>
      </c>
      <c r="BJ71">
        <f t="shared" si="161"/>
        <v>94080</v>
      </c>
      <c r="BK71">
        <f t="shared" si="162"/>
        <v>100160</v>
      </c>
      <c r="BL71">
        <f t="shared" si="163"/>
        <v>106240</v>
      </c>
    </row>
    <row r="72" spans="1:64">
      <c r="A72" s="41" t="s">
        <v>488</v>
      </c>
      <c r="B72">
        <f t="shared" si="152"/>
        <v>13000</v>
      </c>
      <c r="C72">
        <f t="shared" si="164"/>
        <v>14860</v>
      </c>
      <c r="D72">
        <f t="shared" si="165"/>
        <v>16720</v>
      </c>
      <c r="E72">
        <f t="shared" si="166"/>
        <v>18560</v>
      </c>
      <c r="F72">
        <f t="shared" si="167"/>
        <v>20060</v>
      </c>
      <c r="G72">
        <f t="shared" si="168"/>
        <v>21540</v>
      </c>
      <c r="H72">
        <f t="shared" si="169"/>
        <v>23020</v>
      </c>
      <c r="I72">
        <f t="shared" si="170"/>
        <v>24500</v>
      </c>
      <c r="J72">
        <f t="shared" si="171"/>
        <v>26000</v>
      </c>
      <c r="K72">
        <f t="shared" si="153"/>
        <v>19500</v>
      </c>
      <c r="L72">
        <f t="shared" si="172"/>
        <v>22290</v>
      </c>
      <c r="M72">
        <f t="shared" si="173"/>
        <v>25080</v>
      </c>
      <c r="N72">
        <f t="shared" si="174"/>
        <v>27840</v>
      </c>
      <c r="O72">
        <f t="shared" si="175"/>
        <v>30090</v>
      </c>
      <c r="P72">
        <f t="shared" si="176"/>
        <v>32310</v>
      </c>
      <c r="Q72">
        <f t="shared" si="177"/>
        <v>34530</v>
      </c>
      <c r="R72">
        <f t="shared" si="178"/>
        <v>36750</v>
      </c>
      <c r="S72">
        <f t="shared" si="179"/>
        <v>39000</v>
      </c>
      <c r="T72">
        <f t="shared" si="154"/>
        <v>26000</v>
      </c>
      <c r="U72">
        <f t="shared" si="180"/>
        <v>29720</v>
      </c>
      <c r="V72">
        <f t="shared" si="181"/>
        <v>33440</v>
      </c>
      <c r="W72">
        <f t="shared" si="182"/>
        <v>37120</v>
      </c>
      <c r="X72">
        <f t="shared" si="183"/>
        <v>40120</v>
      </c>
      <c r="Y72">
        <f t="shared" si="184"/>
        <v>43080</v>
      </c>
      <c r="Z72">
        <f t="shared" si="185"/>
        <v>46040</v>
      </c>
      <c r="AA72">
        <f t="shared" si="186"/>
        <v>49000</v>
      </c>
      <c r="AB72">
        <f t="shared" si="187"/>
        <v>52000</v>
      </c>
      <c r="AC72" s="1664">
        <v>32500</v>
      </c>
      <c r="AD72" s="1664">
        <v>37150</v>
      </c>
      <c r="AE72" s="1664">
        <v>41800</v>
      </c>
      <c r="AF72" s="1664">
        <v>46400</v>
      </c>
      <c r="AG72" s="1664">
        <v>50150</v>
      </c>
      <c r="AH72" s="1664">
        <v>53850</v>
      </c>
      <c r="AI72" s="1664">
        <v>57550</v>
      </c>
      <c r="AJ72" s="1664">
        <v>61250</v>
      </c>
      <c r="AK72" s="1664">
        <v>65000</v>
      </c>
      <c r="AL72">
        <f t="shared" si="188"/>
        <v>39000</v>
      </c>
      <c r="AM72">
        <f t="shared" si="189"/>
        <v>44580</v>
      </c>
      <c r="AN72">
        <f t="shared" si="190"/>
        <v>50160</v>
      </c>
      <c r="AO72">
        <f t="shared" si="191"/>
        <v>55680</v>
      </c>
      <c r="AP72">
        <f t="shared" si="192"/>
        <v>60180</v>
      </c>
      <c r="AQ72">
        <f t="shared" si="193"/>
        <v>64620</v>
      </c>
      <c r="AR72">
        <f t="shared" si="194"/>
        <v>69060</v>
      </c>
      <c r="AS72">
        <f t="shared" si="195"/>
        <v>73500</v>
      </c>
      <c r="AT72">
        <f t="shared" si="196"/>
        <v>78000</v>
      </c>
      <c r="AU72">
        <f t="shared" si="197"/>
        <v>45500</v>
      </c>
      <c r="AV72">
        <f t="shared" si="198"/>
        <v>52010</v>
      </c>
      <c r="AW72">
        <f t="shared" si="199"/>
        <v>58519.999999999993</v>
      </c>
      <c r="AX72">
        <f t="shared" si="200"/>
        <v>64959.999999999993</v>
      </c>
      <c r="AY72">
        <f t="shared" si="201"/>
        <v>70210</v>
      </c>
      <c r="AZ72">
        <f t="shared" si="202"/>
        <v>75390</v>
      </c>
      <c r="BA72">
        <f t="shared" si="203"/>
        <v>80570</v>
      </c>
      <c r="BB72">
        <f t="shared" si="204"/>
        <v>85750</v>
      </c>
      <c r="BC72">
        <f t="shared" si="205"/>
        <v>91000</v>
      </c>
      <c r="BD72">
        <f t="shared" si="155"/>
        <v>52000</v>
      </c>
      <c r="BE72">
        <f t="shared" si="156"/>
        <v>59440</v>
      </c>
      <c r="BF72">
        <f t="shared" si="157"/>
        <v>66880</v>
      </c>
      <c r="BG72">
        <f t="shared" si="158"/>
        <v>74240</v>
      </c>
      <c r="BH72">
        <f t="shared" si="159"/>
        <v>80240</v>
      </c>
      <c r="BI72">
        <f t="shared" si="160"/>
        <v>86160</v>
      </c>
      <c r="BJ72">
        <f t="shared" si="161"/>
        <v>92080</v>
      </c>
      <c r="BK72">
        <f t="shared" si="162"/>
        <v>98000</v>
      </c>
      <c r="BL72">
        <f t="shared" si="163"/>
        <v>104000</v>
      </c>
    </row>
    <row r="73" spans="1:64">
      <c r="A73" s="41" t="s">
        <v>430</v>
      </c>
      <c r="B73">
        <f t="shared" si="152"/>
        <v>14520</v>
      </c>
      <c r="C73">
        <f t="shared" si="164"/>
        <v>16580</v>
      </c>
      <c r="D73">
        <f t="shared" si="165"/>
        <v>18660</v>
      </c>
      <c r="E73">
        <f t="shared" si="166"/>
        <v>20720</v>
      </c>
      <c r="F73">
        <f t="shared" si="167"/>
        <v>22380</v>
      </c>
      <c r="G73">
        <f t="shared" si="168"/>
        <v>24040</v>
      </c>
      <c r="H73">
        <f t="shared" si="169"/>
        <v>25700</v>
      </c>
      <c r="I73">
        <f t="shared" si="170"/>
        <v>27360</v>
      </c>
      <c r="J73">
        <f t="shared" si="171"/>
        <v>29020</v>
      </c>
      <c r="K73">
        <f t="shared" si="153"/>
        <v>21780</v>
      </c>
      <c r="L73">
        <f t="shared" si="172"/>
        <v>24870</v>
      </c>
      <c r="M73">
        <f t="shared" si="173"/>
        <v>27990</v>
      </c>
      <c r="N73">
        <f t="shared" si="174"/>
        <v>31080</v>
      </c>
      <c r="O73">
        <f t="shared" si="175"/>
        <v>33570</v>
      </c>
      <c r="P73">
        <f t="shared" si="176"/>
        <v>36060</v>
      </c>
      <c r="Q73">
        <f t="shared" si="177"/>
        <v>38550</v>
      </c>
      <c r="R73">
        <f t="shared" si="178"/>
        <v>41040</v>
      </c>
      <c r="S73">
        <f t="shared" si="179"/>
        <v>43530</v>
      </c>
      <c r="T73">
        <f t="shared" si="154"/>
        <v>29040</v>
      </c>
      <c r="U73">
        <f t="shared" si="180"/>
        <v>33160</v>
      </c>
      <c r="V73">
        <f t="shared" si="181"/>
        <v>37320</v>
      </c>
      <c r="W73">
        <f t="shared" si="182"/>
        <v>41440</v>
      </c>
      <c r="X73">
        <f t="shared" si="183"/>
        <v>44760</v>
      </c>
      <c r="Y73">
        <f t="shared" si="184"/>
        <v>48080</v>
      </c>
      <c r="Z73">
        <f t="shared" si="185"/>
        <v>51400</v>
      </c>
      <c r="AA73">
        <f t="shared" si="186"/>
        <v>54720</v>
      </c>
      <c r="AB73">
        <f t="shared" si="187"/>
        <v>58040</v>
      </c>
      <c r="AC73" s="298">
        <v>36300</v>
      </c>
      <c r="AD73" s="298">
        <v>41450</v>
      </c>
      <c r="AE73" s="298">
        <v>46650</v>
      </c>
      <c r="AF73" s="298">
        <v>51800</v>
      </c>
      <c r="AG73" s="298">
        <v>55950</v>
      </c>
      <c r="AH73" s="298">
        <v>60100</v>
      </c>
      <c r="AI73" s="298">
        <v>64250</v>
      </c>
      <c r="AJ73" s="298">
        <v>68400</v>
      </c>
      <c r="AK73" s="298">
        <v>72550</v>
      </c>
      <c r="AL73">
        <f t="shared" si="188"/>
        <v>43560</v>
      </c>
      <c r="AM73">
        <f t="shared" si="189"/>
        <v>49740</v>
      </c>
      <c r="AN73">
        <f t="shared" si="190"/>
        <v>55980</v>
      </c>
      <c r="AO73">
        <f t="shared" si="191"/>
        <v>62160</v>
      </c>
      <c r="AP73">
        <f t="shared" si="192"/>
        <v>67140</v>
      </c>
      <c r="AQ73">
        <f t="shared" si="193"/>
        <v>72120</v>
      </c>
      <c r="AR73">
        <f t="shared" si="194"/>
        <v>77100</v>
      </c>
      <c r="AS73">
        <f t="shared" si="195"/>
        <v>82080</v>
      </c>
      <c r="AT73">
        <f t="shared" si="196"/>
        <v>87060</v>
      </c>
      <c r="AU73">
        <f t="shared" si="197"/>
        <v>50820</v>
      </c>
      <c r="AV73">
        <f t="shared" si="198"/>
        <v>58029.999999999993</v>
      </c>
      <c r="AW73">
        <f t="shared" si="199"/>
        <v>65309.999999999993</v>
      </c>
      <c r="AX73">
        <f t="shared" si="200"/>
        <v>72520</v>
      </c>
      <c r="AY73">
        <f t="shared" si="201"/>
        <v>78330</v>
      </c>
      <c r="AZ73">
        <f t="shared" si="202"/>
        <v>84140</v>
      </c>
      <c r="BA73">
        <f t="shared" si="203"/>
        <v>89950</v>
      </c>
      <c r="BB73">
        <f t="shared" si="204"/>
        <v>95760</v>
      </c>
      <c r="BC73">
        <f t="shared" si="205"/>
        <v>101570</v>
      </c>
      <c r="BD73">
        <f t="shared" si="155"/>
        <v>58080</v>
      </c>
      <c r="BE73">
        <f t="shared" si="156"/>
        <v>66320</v>
      </c>
      <c r="BF73">
        <f t="shared" si="157"/>
        <v>74640</v>
      </c>
      <c r="BG73">
        <f t="shared" si="158"/>
        <v>82880</v>
      </c>
      <c r="BH73">
        <f t="shared" si="159"/>
        <v>89520</v>
      </c>
      <c r="BI73">
        <f t="shared" si="160"/>
        <v>96160</v>
      </c>
      <c r="BJ73">
        <f t="shared" si="161"/>
        <v>102800</v>
      </c>
      <c r="BK73">
        <f t="shared" si="162"/>
        <v>109440</v>
      </c>
      <c r="BL73">
        <f t="shared" si="163"/>
        <v>116080</v>
      </c>
    </row>
    <row r="74" spans="1:64">
      <c r="A74" s="41" t="s">
        <v>489</v>
      </c>
      <c r="B74">
        <f t="shared" si="152"/>
        <v>13000</v>
      </c>
      <c r="C74">
        <f t="shared" si="164"/>
        <v>14860</v>
      </c>
      <c r="D74">
        <f t="shared" si="165"/>
        <v>16720</v>
      </c>
      <c r="E74">
        <f t="shared" si="166"/>
        <v>18560</v>
      </c>
      <c r="F74">
        <f t="shared" si="167"/>
        <v>20060</v>
      </c>
      <c r="G74">
        <f t="shared" si="168"/>
        <v>21540</v>
      </c>
      <c r="H74">
        <f t="shared" si="169"/>
        <v>23020</v>
      </c>
      <c r="I74">
        <f t="shared" si="170"/>
        <v>24500</v>
      </c>
      <c r="J74">
        <f t="shared" si="171"/>
        <v>26000</v>
      </c>
      <c r="K74">
        <f t="shared" si="153"/>
        <v>19500</v>
      </c>
      <c r="L74">
        <f t="shared" si="172"/>
        <v>22290</v>
      </c>
      <c r="M74">
        <f t="shared" si="173"/>
        <v>25080</v>
      </c>
      <c r="N74">
        <f t="shared" si="174"/>
        <v>27840</v>
      </c>
      <c r="O74">
        <f t="shared" si="175"/>
        <v>30090</v>
      </c>
      <c r="P74">
        <f t="shared" si="176"/>
        <v>32310</v>
      </c>
      <c r="Q74">
        <f t="shared" si="177"/>
        <v>34530</v>
      </c>
      <c r="R74">
        <f t="shared" si="178"/>
        <v>36750</v>
      </c>
      <c r="S74">
        <f t="shared" si="179"/>
        <v>39000</v>
      </c>
      <c r="T74">
        <f t="shared" si="154"/>
        <v>26000</v>
      </c>
      <c r="U74">
        <f t="shared" si="180"/>
        <v>29720</v>
      </c>
      <c r="V74">
        <f t="shared" si="181"/>
        <v>33440</v>
      </c>
      <c r="W74">
        <f t="shared" si="182"/>
        <v>37120</v>
      </c>
      <c r="X74">
        <f t="shared" si="183"/>
        <v>40120</v>
      </c>
      <c r="Y74">
        <f t="shared" si="184"/>
        <v>43080</v>
      </c>
      <c r="Z74">
        <f t="shared" si="185"/>
        <v>46040</v>
      </c>
      <c r="AA74">
        <f t="shared" si="186"/>
        <v>49000</v>
      </c>
      <c r="AB74">
        <f t="shared" si="187"/>
        <v>52000</v>
      </c>
      <c r="AC74" s="298">
        <v>32500</v>
      </c>
      <c r="AD74" s="298">
        <v>37150</v>
      </c>
      <c r="AE74" s="298">
        <v>41800</v>
      </c>
      <c r="AF74" s="298">
        <v>46400</v>
      </c>
      <c r="AG74" s="298">
        <v>50150</v>
      </c>
      <c r="AH74" s="298">
        <v>53850</v>
      </c>
      <c r="AI74" s="298">
        <v>57550</v>
      </c>
      <c r="AJ74" s="298">
        <v>61250</v>
      </c>
      <c r="AK74" s="298">
        <v>65000</v>
      </c>
      <c r="AL74">
        <f t="shared" si="188"/>
        <v>39000</v>
      </c>
      <c r="AM74">
        <f t="shared" si="189"/>
        <v>44580</v>
      </c>
      <c r="AN74">
        <f t="shared" si="190"/>
        <v>50160</v>
      </c>
      <c r="AO74">
        <f t="shared" si="191"/>
        <v>55680</v>
      </c>
      <c r="AP74">
        <f t="shared" si="192"/>
        <v>60180</v>
      </c>
      <c r="AQ74">
        <f t="shared" si="193"/>
        <v>64620</v>
      </c>
      <c r="AR74">
        <f t="shared" si="194"/>
        <v>69060</v>
      </c>
      <c r="AS74">
        <f t="shared" si="195"/>
        <v>73500</v>
      </c>
      <c r="AT74">
        <f t="shared" si="196"/>
        <v>78000</v>
      </c>
      <c r="AU74">
        <f t="shared" si="197"/>
        <v>45500</v>
      </c>
      <c r="AV74">
        <f t="shared" si="198"/>
        <v>52010</v>
      </c>
      <c r="AW74">
        <f t="shared" si="199"/>
        <v>58519.999999999993</v>
      </c>
      <c r="AX74">
        <f t="shared" si="200"/>
        <v>64959.999999999993</v>
      </c>
      <c r="AY74">
        <f t="shared" si="201"/>
        <v>70210</v>
      </c>
      <c r="AZ74">
        <f t="shared" si="202"/>
        <v>75390</v>
      </c>
      <c r="BA74">
        <f t="shared" si="203"/>
        <v>80570</v>
      </c>
      <c r="BB74">
        <f t="shared" si="204"/>
        <v>85750</v>
      </c>
      <c r="BC74">
        <f t="shared" si="205"/>
        <v>91000</v>
      </c>
      <c r="BD74">
        <f t="shared" si="155"/>
        <v>52000</v>
      </c>
      <c r="BE74">
        <f t="shared" si="156"/>
        <v>59440</v>
      </c>
      <c r="BF74">
        <f t="shared" si="157"/>
        <v>66880</v>
      </c>
      <c r="BG74">
        <f t="shared" si="158"/>
        <v>74240</v>
      </c>
      <c r="BH74">
        <f t="shared" si="159"/>
        <v>80240</v>
      </c>
      <c r="BI74">
        <f t="shared" si="160"/>
        <v>86160</v>
      </c>
      <c r="BJ74">
        <f t="shared" si="161"/>
        <v>92080</v>
      </c>
      <c r="BK74">
        <f t="shared" si="162"/>
        <v>98000</v>
      </c>
      <c r="BL74">
        <f t="shared" si="163"/>
        <v>104000</v>
      </c>
    </row>
    <row r="75" spans="1:64">
      <c r="A75" s="41" t="s">
        <v>7376</v>
      </c>
      <c r="B75">
        <f t="shared" si="152"/>
        <v>13000</v>
      </c>
      <c r="C75">
        <f t="shared" si="164"/>
        <v>14860</v>
      </c>
      <c r="D75">
        <f t="shared" si="165"/>
        <v>16720</v>
      </c>
      <c r="E75">
        <f t="shared" si="166"/>
        <v>18560</v>
      </c>
      <c r="F75">
        <f t="shared" si="167"/>
        <v>20060</v>
      </c>
      <c r="G75">
        <f t="shared" si="168"/>
        <v>21540</v>
      </c>
      <c r="H75">
        <f t="shared" si="169"/>
        <v>23020</v>
      </c>
      <c r="I75">
        <f t="shared" si="170"/>
        <v>24500</v>
      </c>
      <c r="J75">
        <f t="shared" si="171"/>
        <v>26000</v>
      </c>
      <c r="K75">
        <f t="shared" si="153"/>
        <v>19500</v>
      </c>
      <c r="L75">
        <f t="shared" si="172"/>
        <v>22290</v>
      </c>
      <c r="M75">
        <f t="shared" si="173"/>
        <v>25080</v>
      </c>
      <c r="N75">
        <f t="shared" si="174"/>
        <v>27840</v>
      </c>
      <c r="O75">
        <f t="shared" si="175"/>
        <v>30090</v>
      </c>
      <c r="P75">
        <f t="shared" si="176"/>
        <v>32310</v>
      </c>
      <c r="Q75">
        <f t="shared" si="177"/>
        <v>34530</v>
      </c>
      <c r="R75">
        <f t="shared" si="178"/>
        <v>36750</v>
      </c>
      <c r="S75">
        <f t="shared" si="179"/>
        <v>39000</v>
      </c>
      <c r="T75">
        <f t="shared" si="154"/>
        <v>26000</v>
      </c>
      <c r="U75">
        <f t="shared" si="180"/>
        <v>29720</v>
      </c>
      <c r="V75">
        <f t="shared" si="181"/>
        <v>33440</v>
      </c>
      <c r="W75">
        <f t="shared" si="182"/>
        <v>37120</v>
      </c>
      <c r="X75">
        <f t="shared" si="183"/>
        <v>40120</v>
      </c>
      <c r="Y75">
        <f t="shared" si="184"/>
        <v>43080</v>
      </c>
      <c r="Z75">
        <f t="shared" si="185"/>
        <v>46040</v>
      </c>
      <c r="AA75">
        <f t="shared" si="186"/>
        <v>49000</v>
      </c>
      <c r="AB75">
        <f t="shared" si="187"/>
        <v>52000</v>
      </c>
      <c r="AC75" s="1664">
        <v>32500</v>
      </c>
      <c r="AD75" s="1664">
        <v>37150</v>
      </c>
      <c r="AE75" s="1664">
        <v>41800</v>
      </c>
      <c r="AF75" s="1664">
        <v>46400</v>
      </c>
      <c r="AG75" s="1664">
        <v>50150</v>
      </c>
      <c r="AH75" s="1664">
        <v>53850</v>
      </c>
      <c r="AI75" s="1664">
        <v>57550</v>
      </c>
      <c r="AJ75" s="1664">
        <v>61250</v>
      </c>
      <c r="AK75" s="1664">
        <v>65000</v>
      </c>
      <c r="AL75">
        <f t="shared" si="188"/>
        <v>39000</v>
      </c>
      <c r="AM75">
        <f t="shared" si="189"/>
        <v>44580</v>
      </c>
      <c r="AN75">
        <f t="shared" si="190"/>
        <v>50160</v>
      </c>
      <c r="AO75">
        <f t="shared" si="191"/>
        <v>55680</v>
      </c>
      <c r="AP75">
        <f t="shared" si="192"/>
        <v>60180</v>
      </c>
      <c r="AQ75">
        <f t="shared" si="193"/>
        <v>64620</v>
      </c>
      <c r="AR75">
        <f t="shared" si="194"/>
        <v>69060</v>
      </c>
      <c r="AS75">
        <f t="shared" si="195"/>
        <v>73500</v>
      </c>
      <c r="AT75">
        <f t="shared" si="196"/>
        <v>78000</v>
      </c>
      <c r="AU75">
        <f t="shared" si="197"/>
        <v>45500</v>
      </c>
      <c r="AV75">
        <f t="shared" si="198"/>
        <v>52010</v>
      </c>
      <c r="AW75">
        <f t="shared" si="199"/>
        <v>58519.999999999993</v>
      </c>
      <c r="AX75">
        <f t="shared" si="200"/>
        <v>64959.999999999993</v>
      </c>
      <c r="AY75">
        <f t="shared" si="201"/>
        <v>70210</v>
      </c>
      <c r="AZ75">
        <f t="shared" si="202"/>
        <v>75390</v>
      </c>
      <c r="BA75">
        <f t="shared" si="203"/>
        <v>80570</v>
      </c>
      <c r="BB75">
        <f t="shared" si="204"/>
        <v>85750</v>
      </c>
      <c r="BC75">
        <f t="shared" si="205"/>
        <v>91000</v>
      </c>
      <c r="BD75">
        <f t="shared" si="155"/>
        <v>52000</v>
      </c>
      <c r="BE75">
        <f t="shared" si="156"/>
        <v>59440</v>
      </c>
      <c r="BF75">
        <f t="shared" si="157"/>
        <v>66880</v>
      </c>
      <c r="BG75">
        <f t="shared" si="158"/>
        <v>74240</v>
      </c>
      <c r="BH75">
        <f t="shared" si="159"/>
        <v>80240</v>
      </c>
      <c r="BI75">
        <f t="shared" si="160"/>
        <v>86160</v>
      </c>
      <c r="BJ75">
        <f t="shared" si="161"/>
        <v>92080</v>
      </c>
      <c r="BK75">
        <f t="shared" si="162"/>
        <v>98000</v>
      </c>
      <c r="BL75">
        <f t="shared" si="163"/>
        <v>104000</v>
      </c>
    </row>
    <row r="77" spans="1:64">
      <c r="A77" s="41" t="s">
        <v>7393</v>
      </c>
    </row>
    <row r="78" spans="1:64">
      <c r="A78" s="41" t="s">
        <v>7378</v>
      </c>
    </row>
    <row r="79" spans="1:64">
      <c r="AC79" t="s">
        <v>3830</v>
      </c>
    </row>
    <row r="80" spans="1:64">
      <c r="B80" t="s">
        <v>7379</v>
      </c>
    </row>
    <row r="81" spans="1:2">
      <c r="B81" t="s">
        <v>7394</v>
      </c>
    </row>
    <row r="82" spans="1:2">
      <c r="B82" t="s">
        <v>7381</v>
      </c>
    </row>
    <row r="83" spans="1:2">
      <c r="B83" t="s">
        <v>7382</v>
      </c>
    </row>
    <row r="85" spans="1:2">
      <c r="A85" s="41" t="s">
        <v>7395</v>
      </c>
      <c r="B85" t="s">
        <v>7396</v>
      </c>
    </row>
    <row r="86" spans="1:2">
      <c r="B86" t="s">
        <v>7397</v>
      </c>
    </row>
    <row r="88" spans="1:2">
      <c r="B88" t="s">
        <v>7398</v>
      </c>
    </row>
  </sheetData>
  <sheetProtection algorithmName="SHA-512" hashValue="XMTr97HHQUWjKlljnBvE3N6yQ5SAmiQti23Liv5Gn1KH6N9GycDman6pezFo0Bs0XJsBPayf/dsQD8S4oe6/lg==" saltValue="yQJf5fpq/UIi6hE3H8zS3A==" spinCount="100000" sheet="1" objects="1" scenarios="1" selectLockedCells="1"/>
  <mergeCells count="7">
    <mergeCell ref="K1:S1"/>
    <mergeCell ref="B1:J1"/>
    <mergeCell ref="BD1:BL1"/>
    <mergeCell ref="AU1:BC1"/>
    <mergeCell ref="AL1:AT1"/>
    <mergeCell ref="AC1:AK1"/>
    <mergeCell ref="T1:AB1"/>
  </mergeCells>
  <pageMargins left="0.7" right="0.7" top="0.75" bottom="0.75" header="0.3" footer="0.3"/>
  <pageSetup fitToWidth="2"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F8F6-1913-4D08-8A14-40A40D8BA8B4}">
  <sheetPr codeName="Sheet32"/>
  <dimension ref="A1:I627"/>
  <sheetViews>
    <sheetView workbookViewId="0"/>
  </sheetViews>
  <sheetFormatPr defaultColWidth="9.140625" defaultRowHeight="15"/>
  <cols>
    <col min="1" max="1" width="79.42578125" customWidth="1"/>
    <col min="2" max="2" width="35.140625" style="50" customWidth="1"/>
    <col min="3" max="3" width="59.28515625" customWidth="1"/>
    <col min="4" max="4" width="30.28515625" style="50" customWidth="1"/>
    <col min="5" max="5" width="12" style="367" customWidth="1"/>
    <col min="6" max="6" width="31.42578125" style="359" customWidth="1"/>
    <col min="7" max="7" width="32" customWidth="1"/>
    <col min="8" max="8" width="8.85546875" style="438" customWidth="1"/>
  </cols>
  <sheetData>
    <row r="1" spans="1:8" ht="15.75" thickBot="1">
      <c r="A1" s="347" t="s">
        <v>490</v>
      </c>
      <c r="B1" s="357" t="s">
        <v>491</v>
      </c>
      <c r="C1" s="347" t="s">
        <v>492</v>
      </c>
      <c r="D1" s="357" t="s">
        <v>493</v>
      </c>
      <c r="E1" s="364" t="s">
        <v>494</v>
      </c>
      <c r="F1" s="358" t="s">
        <v>220</v>
      </c>
      <c r="G1" s="347" t="s">
        <v>495</v>
      </c>
    </row>
    <row r="2" spans="1:8" s="42" customFormat="1">
      <c r="A2" s="1795" t="s">
        <v>496</v>
      </c>
      <c r="B2" s="1795"/>
      <c r="C2" s="1795"/>
      <c r="D2" s="1795"/>
      <c r="E2" s="1795"/>
      <c r="F2" s="360"/>
      <c r="G2" s="355"/>
      <c r="H2" s="501"/>
    </row>
    <row r="3" spans="1:8" s="39" customFormat="1">
      <c r="A3" s="348" t="s">
        <v>497</v>
      </c>
      <c r="B3" s="349" t="s">
        <v>498</v>
      </c>
      <c r="C3" s="349" t="s">
        <v>499</v>
      </c>
      <c r="D3" s="349" t="s">
        <v>500</v>
      </c>
      <c r="E3" s="365" t="s">
        <v>501</v>
      </c>
      <c r="F3" s="941"/>
      <c r="G3" s="350"/>
      <c r="H3" s="500"/>
    </row>
    <row r="4" spans="1:8" s="39" customFormat="1">
      <c r="A4" s="348" t="s">
        <v>502</v>
      </c>
      <c r="B4" s="349" t="s">
        <v>498</v>
      </c>
      <c r="C4" s="349" t="s">
        <v>503</v>
      </c>
      <c r="D4" s="349" t="s">
        <v>503</v>
      </c>
      <c r="E4" s="366" t="s">
        <v>501</v>
      </c>
      <c r="F4" s="1751"/>
      <c r="G4" s="350"/>
      <c r="H4" s="500"/>
    </row>
    <row r="5" spans="1:8" s="39" customFormat="1">
      <c r="A5" s="348" t="s">
        <v>504</v>
      </c>
      <c r="B5" s="349" t="s">
        <v>498</v>
      </c>
      <c r="C5" s="349" t="s">
        <v>505</v>
      </c>
      <c r="D5" s="349" t="s">
        <v>506</v>
      </c>
      <c r="E5" s="365" t="s">
        <v>501</v>
      </c>
      <c r="F5" s="1751"/>
      <c r="G5" s="350"/>
      <c r="H5" s="500"/>
    </row>
    <row r="6" spans="1:8" s="39" customFormat="1">
      <c r="A6" s="348" t="s">
        <v>507</v>
      </c>
      <c r="B6" s="349" t="s">
        <v>498</v>
      </c>
      <c r="C6" s="349" t="s">
        <v>508</v>
      </c>
      <c r="D6" s="349" t="s">
        <v>509</v>
      </c>
      <c r="E6" s="365" t="s">
        <v>501</v>
      </c>
      <c r="F6" s="361"/>
      <c r="G6" s="350"/>
      <c r="H6" s="500"/>
    </row>
    <row r="7" spans="1:8" s="39" customFormat="1">
      <c r="A7" s="349" t="s">
        <v>510</v>
      </c>
      <c r="B7" s="635" t="s">
        <v>498</v>
      </c>
      <c r="C7" s="349" t="s">
        <v>511</v>
      </c>
      <c r="D7" s="349" t="s">
        <v>512</v>
      </c>
      <c r="E7" s="363" t="s">
        <v>501</v>
      </c>
      <c r="F7" s="361"/>
      <c r="G7" s="350"/>
      <c r="H7" s="500"/>
    </row>
    <row r="8" spans="1:8" s="39" customFormat="1">
      <c r="A8" s="349" t="s">
        <v>513</v>
      </c>
      <c r="B8" s="349" t="s">
        <v>498</v>
      </c>
      <c r="C8" s="349" t="s">
        <v>514</v>
      </c>
      <c r="D8" s="349" t="s">
        <v>515</v>
      </c>
      <c r="E8" s="363" t="s">
        <v>501</v>
      </c>
      <c r="F8" s="361"/>
      <c r="G8" s="350"/>
      <c r="H8" s="500"/>
    </row>
    <row r="9" spans="1:8" s="42" customFormat="1">
      <c r="A9" s="1792" t="s">
        <v>516</v>
      </c>
      <c r="B9" s="1792"/>
      <c r="C9" s="1792"/>
      <c r="D9" s="1792"/>
      <c r="E9" s="1792"/>
      <c r="F9" s="360"/>
      <c r="G9" s="355"/>
      <c r="H9" s="501"/>
    </row>
    <row r="10" spans="1:8" s="42" customFormat="1">
      <c r="A10" s="1793" t="s">
        <v>517</v>
      </c>
      <c r="B10" s="1793"/>
      <c r="C10" s="1793"/>
      <c r="D10" s="1793"/>
      <c r="E10" s="1793"/>
      <c r="F10" s="362"/>
      <c r="G10" s="356"/>
      <c r="H10" s="501"/>
    </row>
    <row r="11" spans="1:8" s="39" customFormat="1">
      <c r="A11" s="348" t="s">
        <v>518</v>
      </c>
      <c r="B11" s="349" t="s">
        <v>498</v>
      </c>
      <c r="C11" s="349" t="s">
        <v>519</v>
      </c>
      <c r="D11" s="350" t="s">
        <v>173</v>
      </c>
      <c r="E11" s="363" t="s">
        <v>173</v>
      </c>
      <c r="F11" s="369"/>
      <c r="G11" s="350"/>
      <c r="H11" s="500"/>
    </row>
    <row r="12" spans="1:8" s="39" customFormat="1">
      <c r="A12" s="348" t="s">
        <v>520</v>
      </c>
      <c r="B12" s="349" t="s">
        <v>498</v>
      </c>
      <c r="C12" s="350" t="s">
        <v>521</v>
      </c>
      <c r="D12" s="348" t="s">
        <v>520</v>
      </c>
      <c r="E12" s="354" t="s">
        <v>173</v>
      </c>
      <c r="F12" s="22" t="b">
        <f>IF(Is_project_a_Scattered_Site?="YES",TRUE,FALSE)</f>
        <v>0</v>
      </c>
      <c r="G12" s="350"/>
      <c r="H12" s="500"/>
    </row>
    <row r="13" spans="1:8" s="39" customFormat="1">
      <c r="A13" s="348" t="s">
        <v>522</v>
      </c>
      <c r="B13" s="349" t="s">
        <v>173</v>
      </c>
      <c r="C13" s="350" t="s">
        <v>173</v>
      </c>
      <c r="D13" s="350" t="s">
        <v>173</v>
      </c>
      <c r="E13" s="354" t="s">
        <v>173</v>
      </c>
      <c r="F13" s="371" t="str">
        <f>IF('3. Project Location'!H6="","",'3. Project Location'!H6)</f>
        <v/>
      </c>
      <c r="G13" s="350"/>
      <c r="H13" s="500"/>
    </row>
    <row r="14" spans="1:8" s="39" customFormat="1">
      <c r="A14" s="348" t="s">
        <v>523</v>
      </c>
      <c r="B14" s="349" t="s">
        <v>524</v>
      </c>
      <c r="C14" s="349" t="s">
        <v>525</v>
      </c>
      <c r="D14" s="349" t="s">
        <v>526</v>
      </c>
      <c r="E14" s="363" t="s">
        <v>527</v>
      </c>
      <c r="F14" s="22" t="str">
        <f>IF(Property_address="","",Property_address)</f>
        <v/>
      </c>
      <c r="G14" s="350"/>
      <c r="H14" s="500"/>
    </row>
    <row r="15" spans="1:8" s="39" customFormat="1">
      <c r="A15" s="348" t="s">
        <v>528</v>
      </c>
      <c r="B15" s="349" t="s">
        <v>524</v>
      </c>
      <c r="C15" s="349" t="s">
        <v>528</v>
      </c>
      <c r="D15" s="349" t="s">
        <v>528</v>
      </c>
      <c r="E15" s="363" t="s">
        <v>527</v>
      </c>
      <c r="F15" s="22" t="str">
        <f>IF(Property_City="","",Property_City)</f>
        <v/>
      </c>
      <c r="G15" s="350"/>
      <c r="H15" s="500"/>
    </row>
    <row r="16" spans="1:8" s="39" customFormat="1">
      <c r="A16" s="350" t="s">
        <v>244</v>
      </c>
      <c r="B16" s="349" t="s">
        <v>524</v>
      </c>
      <c r="C16" s="350" t="s">
        <v>244</v>
      </c>
      <c r="D16" s="354" t="s">
        <v>244</v>
      </c>
      <c r="E16" s="363" t="s">
        <v>527</v>
      </c>
      <c r="F16" s="368" t="s">
        <v>472</v>
      </c>
      <c r="G16" s="350"/>
      <c r="H16" s="500"/>
    </row>
    <row r="17" spans="1:8" s="39" customFormat="1">
      <c r="A17" s="348" t="s">
        <v>529</v>
      </c>
      <c r="B17" s="349" t="s">
        <v>524</v>
      </c>
      <c r="C17" s="349" t="s">
        <v>529</v>
      </c>
      <c r="D17" s="349" t="s">
        <v>530</v>
      </c>
      <c r="E17" s="363" t="s">
        <v>527</v>
      </c>
      <c r="F17" s="368" t="str">
        <f>IF(Property_County="","",Property_County&amp;" "&amp;"County")</f>
        <v/>
      </c>
      <c r="G17" s="350"/>
      <c r="H17" s="500"/>
    </row>
    <row r="18" spans="1:8" s="39" customFormat="1">
      <c r="A18" s="354" t="s">
        <v>531</v>
      </c>
      <c r="B18" s="349" t="s">
        <v>524</v>
      </c>
      <c r="C18" s="350" t="s">
        <v>532</v>
      </c>
      <c r="D18" s="354" t="s">
        <v>533</v>
      </c>
      <c r="E18" s="363" t="s">
        <v>527</v>
      </c>
      <c r="F18" s="22" t="str">
        <f>IF(Property_Zip_Code="","",Property_Zip_Code)</f>
        <v/>
      </c>
      <c r="G18" s="350"/>
      <c r="H18" s="500"/>
    </row>
    <row r="19" spans="1:8" s="39" customFormat="1">
      <c r="A19" s="354" t="s">
        <v>534</v>
      </c>
      <c r="B19" s="349" t="s">
        <v>524</v>
      </c>
      <c r="C19" s="350" t="s">
        <v>535</v>
      </c>
      <c r="D19" s="354" t="s">
        <v>536</v>
      </c>
      <c r="E19" s="363" t="s">
        <v>537</v>
      </c>
      <c r="F19" s="22" t="b">
        <f>IF('3. Project Location'!D13&lt;&gt;"YES",FALSE,TRUE)</f>
        <v>0</v>
      </c>
      <c r="G19" s="350" t="s">
        <v>538</v>
      </c>
      <c r="H19" s="500"/>
    </row>
    <row r="20" spans="1:8" s="39" customFormat="1">
      <c r="A20" s="354" t="s">
        <v>539</v>
      </c>
      <c r="B20" s="349" t="s">
        <v>524</v>
      </c>
      <c r="C20" s="350" t="s">
        <v>173</v>
      </c>
      <c r="D20" s="354" t="s">
        <v>539</v>
      </c>
      <c r="E20" s="363" t="s">
        <v>527</v>
      </c>
      <c r="F20" s="22" t="str">
        <f>IF(Property_Census_Tract="","",Property_Census_Tract)</f>
        <v/>
      </c>
      <c r="G20" s="350" t="s">
        <v>540</v>
      </c>
      <c r="H20" s="500"/>
    </row>
    <row r="21" spans="1:8" s="39" customFormat="1">
      <c r="A21" s="354" t="s">
        <v>541</v>
      </c>
      <c r="B21" s="349" t="s">
        <v>524</v>
      </c>
      <c r="C21" s="350" t="s">
        <v>542</v>
      </c>
      <c r="D21" s="354" t="s">
        <v>543</v>
      </c>
      <c r="E21" s="363" t="s">
        <v>544</v>
      </c>
      <c r="F21" s="22" t="b">
        <f>IF('3. Project Location'!F13&lt;&gt;"YES",FALSE,TRUE)</f>
        <v>0</v>
      </c>
      <c r="G21" s="350" t="s">
        <v>545</v>
      </c>
      <c r="H21" s="500"/>
    </row>
    <row r="22" spans="1:8" s="39" customFormat="1">
      <c r="A22" s="354" t="s">
        <v>546</v>
      </c>
      <c r="B22" s="354" t="s">
        <v>173</v>
      </c>
      <c r="C22" s="350" t="s">
        <v>173</v>
      </c>
      <c r="D22" s="354" t="s">
        <v>173</v>
      </c>
      <c r="E22" s="363" t="s">
        <v>173</v>
      </c>
      <c r="F22" s="370"/>
      <c r="G22" s="350"/>
      <c r="H22" s="500"/>
    </row>
    <row r="23" spans="1:8" s="39" customFormat="1">
      <c r="A23" s="350" t="s">
        <v>547</v>
      </c>
      <c r="B23" s="349" t="s">
        <v>524</v>
      </c>
      <c r="C23" s="350" t="s">
        <v>548</v>
      </c>
      <c r="D23" s="354" t="s">
        <v>549</v>
      </c>
      <c r="E23" s="363" t="s">
        <v>527</v>
      </c>
      <c r="F23" s="22" t="str">
        <f>IF(Revitalization="Yes","True","False")</f>
        <v>False</v>
      </c>
      <c r="G23" s="350"/>
      <c r="H23" s="500"/>
    </row>
    <row r="24" spans="1:8" s="42" customFormat="1">
      <c r="A24" s="1793" t="s">
        <v>550</v>
      </c>
      <c r="B24" s="1793"/>
      <c r="C24" s="1793"/>
      <c r="D24" s="1793"/>
      <c r="E24" s="1793"/>
      <c r="F24" s="362"/>
      <c r="G24" s="356"/>
      <c r="H24" s="501"/>
    </row>
    <row r="25" spans="1:8" s="39" customFormat="1">
      <c r="A25" s="354" t="s">
        <v>550</v>
      </c>
      <c r="B25" s="354" t="s">
        <v>551</v>
      </c>
      <c r="C25" s="354" t="s">
        <v>550</v>
      </c>
      <c r="D25" s="354" t="s">
        <v>550</v>
      </c>
      <c r="E25" s="363" t="s">
        <v>527</v>
      </c>
      <c r="F25" s="22" t="str">
        <f>IF(Political_Jurisdiction="","",Political_Jurisdiction)</f>
        <v/>
      </c>
      <c r="G25" s="350"/>
      <c r="H25" s="500"/>
    </row>
    <row r="26" spans="1:8" s="39" customFormat="1">
      <c r="A26" s="354" t="s">
        <v>552</v>
      </c>
      <c r="B26" s="354" t="s">
        <v>551</v>
      </c>
      <c r="C26" s="354" t="s">
        <v>552</v>
      </c>
      <c r="D26" s="354" t="s">
        <v>552</v>
      </c>
      <c r="E26" s="363" t="s">
        <v>527</v>
      </c>
      <c r="F26" s="22" t="str">
        <f>IF(Jurisdiction_CEO_First_Name="","",Jurisdiction_CEO_First_Name)</f>
        <v/>
      </c>
      <c r="G26" s="350"/>
      <c r="H26" s="500"/>
    </row>
    <row r="27" spans="1:8" s="39" customFormat="1">
      <c r="A27" s="354" t="s">
        <v>553</v>
      </c>
      <c r="B27" s="354" t="s">
        <v>551</v>
      </c>
      <c r="C27" s="354" t="s">
        <v>553</v>
      </c>
      <c r="D27" s="354" t="s">
        <v>553</v>
      </c>
      <c r="E27" s="363" t="s">
        <v>527</v>
      </c>
      <c r="F27" s="22" t="str">
        <f>IF(Jurisdiction_CEO_Last_Name="","",Jurisdiction_CEO_Last_Name)</f>
        <v/>
      </c>
      <c r="G27" s="350"/>
      <c r="H27" s="500"/>
    </row>
    <row r="28" spans="1:8" s="39" customFormat="1">
      <c r="A28" s="350" t="s">
        <v>554</v>
      </c>
      <c r="B28" s="354" t="s">
        <v>551</v>
      </c>
      <c r="C28" s="350" t="s">
        <v>554</v>
      </c>
      <c r="D28" s="350" t="s">
        <v>555</v>
      </c>
      <c r="E28" s="363" t="s">
        <v>527</v>
      </c>
      <c r="F28" s="22" t="str">
        <f>IF(Jurisdiction_Title="","",Jurisdiction_Title)</f>
        <v/>
      </c>
      <c r="G28" s="350"/>
      <c r="H28" s="500"/>
    </row>
    <row r="29" spans="1:8" s="39" customFormat="1">
      <c r="A29" s="354" t="s">
        <v>556</v>
      </c>
      <c r="B29" s="354" t="s">
        <v>551</v>
      </c>
      <c r="C29" s="354" t="s">
        <v>556</v>
      </c>
      <c r="D29" s="354" t="s">
        <v>556</v>
      </c>
      <c r="E29" s="363" t="s">
        <v>527</v>
      </c>
      <c r="F29" s="22" t="str">
        <f>IF(Jurisdiction_Street_Address="","",Jurisdiction_Street_Address)</f>
        <v/>
      </c>
      <c r="G29" s="350"/>
      <c r="H29" s="500"/>
    </row>
    <row r="30" spans="1:8" s="39" customFormat="1">
      <c r="A30" s="354" t="s">
        <v>557</v>
      </c>
      <c r="B30" s="354" t="s">
        <v>551</v>
      </c>
      <c r="C30" s="354" t="s">
        <v>557</v>
      </c>
      <c r="D30" s="354" t="s">
        <v>557</v>
      </c>
      <c r="E30" s="363" t="s">
        <v>527</v>
      </c>
      <c r="F30" s="22" t="str">
        <f>IF(Jurisdiction_City="","",Jurisdiction_City)</f>
        <v/>
      </c>
      <c r="G30" s="350"/>
      <c r="H30" s="500"/>
    </row>
    <row r="31" spans="1:8" s="39" customFormat="1">
      <c r="A31" s="354" t="s">
        <v>558</v>
      </c>
      <c r="B31" s="354" t="s">
        <v>551</v>
      </c>
      <c r="C31" s="354" t="s">
        <v>558</v>
      </c>
      <c r="D31" s="354" t="s">
        <v>558</v>
      </c>
      <c r="E31" s="363" t="s">
        <v>527</v>
      </c>
      <c r="F31" s="22" t="str">
        <f>IF(Jurisdiction_Zip_Code="","",Jurisdiction_Zip_Code)</f>
        <v/>
      </c>
      <c r="G31" s="350"/>
      <c r="H31" s="500"/>
    </row>
    <row r="32" spans="1:8" s="39" customFormat="1">
      <c r="A32" s="354" t="s">
        <v>559</v>
      </c>
      <c r="B32" s="354" t="s">
        <v>551</v>
      </c>
      <c r="C32" s="354" t="s">
        <v>559</v>
      </c>
      <c r="D32" s="354" t="s">
        <v>559</v>
      </c>
      <c r="E32" s="363" t="s">
        <v>527</v>
      </c>
      <c r="F32" s="22" t="str">
        <f>IF(Jurisdiction_Phone="","",Jurisdiction_Phone)</f>
        <v/>
      </c>
      <c r="G32" s="350"/>
      <c r="H32" s="500"/>
    </row>
    <row r="33" spans="1:8" s="39" customFormat="1">
      <c r="A33" s="354" t="s">
        <v>560</v>
      </c>
      <c r="B33" s="354" t="s">
        <v>551</v>
      </c>
      <c r="C33" s="354" t="s">
        <v>561</v>
      </c>
      <c r="D33" s="354" t="s">
        <v>561</v>
      </c>
      <c r="E33" s="363" t="s">
        <v>527</v>
      </c>
      <c r="F33" s="22" t="str">
        <f>IF(Jurisdiction_E_Mail_Address="","",Jurisdiction_E_Mail_Address)</f>
        <v/>
      </c>
      <c r="G33" s="350"/>
      <c r="H33" s="500"/>
    </row>
    <row r="34" spans="1:8" s="39" customFormat="1">
      <c r="A34" s="354"/>
      <c r="B34" s="354"/>
      <c r="C34" s="354"/>
      <c r="D34" s="354"/>
      <c r="E34" s="363"/>
      <c r="F34" s="354"/>
      <c r="G34" s="350"/>
      <c r="H34" s="500"/>
    </row>
    <row r="35" spans="1:8" s="39" customFormat="1">
      <c r="A35" s="354" t="s">
        <v>562</v>
      </c>
      <c r="B35" s="640" t="s">
        <v>563</v>
      </c>
      <c r="C35" s="354" t="s">
        <v>564</v>
      </c>
      <c r="D35" s="354" t="s">
        <v>562</v>
      </c>
      <c r="E35" s="363" t="s">
        <v>527</v>
      </c>
      <c r="F35" s="22">
        <f>'3. Project Location'!D25</f>
        <v>0</v>
      </c>
      <c r="G35" s="350"/>
      <c r="H35" s="500"/>
    </row>
    <row r="36" spans="1:8" s="39" customFormat="1">
      <c r="A36" s="354" t="s">
        <v>565</v>
      </c>
      <c r="B36" s="640" t="s">
        <v>563</v>
      </c>
      <c r="C36" s="354" t="s">
        <v>566</v>
      </c>
      <c r="D36" s="354" t="s">
        <v>565</v>
      </c>
      <c r="E36" s="363" t="s">
        <v>527</v>
      </c>
      <c r="F36" s="22" t="str">
        <f>'3. Project Location'!D26</f>
        <v/>
      </c>
      <c r="G36" s="350"/>
      <c r="H36" s="500"/>
    </row>
    <row r="37" spans="1:8" s="39" customFormat="1">
      <c r="A37" s="354" t="s">
        <v>567</v>
      </c>
      <c r="B37" s="640" t="s">
        <v>563</v>
      </c>
      <c r="C37" s="354" t="s">
        <v>568</v>
      </c>
      <c r="D37" s="354" t="s">
        <v>567</v>
      </c>
      <c r="E37" s="363" t="s">
        <v>527</v>
      </c>
      <c r="F37" s="22">
        <f>'3. Project Location'!D27</f>
        <v>0</v>
      </c>
      <c r="G37" s="350"/>
      <c r="H37" s="500"/>
    </row>
    <row r="38" spans="1:8" s="42" customFormat="1">
      <c r="A38" s="1792" t="s">
        <v>569</v>
      </c>
      <c r="B38" s="1792"/>
      <c r="C38" s="1792"/>
      <c r="D38" s="1792"/>
      <c r="E38" s="1792"/>
      <c r="F38" s="360"/>
      <c r="G38" s="355"/>
      <c r="H38" s="501"/>
    </row>
    <row r="39" spans="1:8" s="42" customFormat="1">
      <c r="A39" s="1793" t="s">
        <v>570</v>
      </c>
      <c r="B39" s="1793"/>
      <c r="C39" s="1793"/>
      <c r="D39" s="1793"/>
      <c r="E39" s="1793"/>
      <c r="F39" s="362"/>
      <c r="G39" s="356"/>
      <c r="H39" s="501"/>
    </row>
    <row r="40" spans="1:8" s="39" customFormat="1">
      <c r="A40" s="354" t="s">
        <v>227</v>
      </c>
      <c r="B40" s="354" t="s">
        <v>524</v>
      </c>
      <c r="C40" s="350" t="s">
        <v>571</v>
      </c>
      <c r="D40" s="354" t="s">
        <v>572</v>
      </c>
      <c r="E40" s="363" t="s">
        <v>527</v>
      </c>
      <c r="F40" s="423" t="str">
        <f>IF(Project_Type="","",Project_Type)</f>
        <v/>
      </c>
      <c r="G40" s="350"/>
      <c r="H40" s="500"/>
    </row>
    <row r="41" spans="1:8" s="39" customFormat="1">
      <c r="A41" s="354" t="s">
        <v>573</v>
      </c>
      <c r="B41" s="354" t="s">
        <v>524</v>
      </c>
      <c r="C41" s="350" t="s">
        <v>574</v>
      </c>
      <c r="D41" s="354" t="s">
        <v>17</v>
      </c>
      <c r="E41" s="363" t="s">
        <v>527</v>
      </c>
      <c r="F41" s="669" t="s">
        <v>575</v>
      </c>
      <c r="G41" s="670" t="s">
        <v>576</v>
      </c>
    </row>
    <row r="42" spans="1:8" s="39" customFormat="1">
      <c r="A42" s="348" t="s">
        <v>577</v>
      </c>
      <c r="B42" s="354" t="s">
        <v>524</v>
      </c>
      <c r="C42" s="349" t="s">
        <v>578</v>
      </c>
      <c r="D42" s="349" t="s">
        <v>579</v>
      </c>
      <c r="E42" s="363" t="s">
        <v>527</v>
      </c>
      <c r="F42" s="424">
        <f>New_Construction_Units</f>
        <v>0</v>
      </c>
      <c r="G42" s="350"/>
      <c r="H42" s="500"/>
    </row>
    <row r="43" spans="1:8" s="39" customFormat="1">
      <c r="A43" s="348" t="s">
        <v>580</v>
      </c>
      <c r="B43" s="349" t="s">
        <v>524</v>
      </c>
      <c r="C43" s="349" t="s">
        <v>581</v>
      </c>
      <c r="D43" s="349" t="s">
        <v>582</v>
      </c>
      <c r="E43" s="363" t="s">
        <v>527</v>
      </c>
      <c r="F43" s="22">
        <f>Acquisition_Rehab_Units</f>
        <v>0</v>
      </c>
      <c r="G43" s="350"/>
      <c r="H43" s="500"/>
    </row>
    <row r="44" spans="1:8" s="39" customFormat="1">
      <c r="A44" s="348" t="s">
        <v>583</v>
      </c>
      <c r="B44" s="349" t="s">
        <v>524</v>
      </c>
      <c r="C44" s="349" t="s">
        <v>584</v>
      </c>
      <c r="D44" s="349" t="s">
        <v>585</v>
      </c>
      <c r="E44" s="363" t="s">
        <v>527</v>
      </c>
      <c r="F44" s="378">
        <f>Adaptive_Reuse_Units</f>
        <v>0</v>
      </c>
      <c r="G44" s="350"/>
      <c r="H44" s="500"/>
    </row>
    <row r="45" spans="1:8" s="39" customFormat="1">
      <c r="A45" s="348" t="s">
        <v>586</v>
      </c>
      <c r="B45" s="349" t="s">
        <v>173</v>
      </c>
      <c r="C45" s="349" t="s">
        <v>173</v>
      </c>
      <c r="D45" s="349" t="s">
        <v>173</v>
      </c>
      <c r="E45" s="363" t="s">
        <v>173</v>
      </c>
      <c r="F45" s="377"/>
      <c r="G45" s="350" t="s">
        <v>587</v>
      </c>
      <c r="H45" s="500"/>
    </row>
    <row r="46" spans="1:8" s="39" customFormat="1">
      <c r="A46" s="348" t="s">
        <v>588</v>
      </c>
      <c r="B46" s="349" t="s">
        <v>173</v>
      </c>
      <c r="C46" s="349" t="s">
        <v>173</v>
      </c>
      <c r="D46" s="349" t="s">
        <v>173</v>
      </c>
      <c r="E46" s="363" t="s">
        <v>173</v>
      </c>
      <c r="F46" s="350"/>
      <c r="G46" s="350" t="s">
        <v>587</v>
      </c>
      <c r="H46" s="500"/>
    </row>
    <row r="47" spans="1:8" s="39" customFormat="1">
      <c r="A47" s="348" t="s">
        <v>589</v>
      </c>
      <c r="B47" s="349" t="s">
        <v>173</v>
      </c>
      <c r="C47" s="349" t="s">
        <v>173</v>
      </c>
      <c r="D47" s="349" t="s">
        <v>590</v>
      </c>
      <c r="E47" s="363" t="s">
        <v>527</v>
      </c>
      <c r="F47" t="b">
        <f>IF(Will_this_project_be_receiving_project_based_federal_rental_assistance?="Yes","True",FALSE)</f>
        <v>0</v>
      </c>
      <c r="G47" s="350"/>
      <c r="H47" s="500"/>
    </row>
    <row r="48" spans="1:8" s="39" customFormat="1">
      <c r="A48" s="348" t="s">
        <v>591</v>
      </c>
      <c r="B48" s="349" t="s">
        <v>592</v>
      </c>
      <c r="C48" s="349" t="s">
        <v>593</v>
      </c>
      <c r="D48" s="349" t="s">
        <v>593</v>
      </c>
      <c r="E48" s="363" t="s">
        <v>527</v>
      </c>
      <c r="F48" t="str">
        <f>IF(If_yes__provide_the_subsidy_source="","",If_yes__provide_the_subsidy_source)</f>
        <v/>
      </c>
      <c r="G48" s="350"/>
      <c r="H48" s="500"/>
    </row>
    <row r="49" spans="1:8" s="39" customFormat="1">
      <c r="A49" s="348" t="s">
        <v>594</v>
      </c>
      <c r="B49" s="349" t="s">
        <v>524</v>
      </c>
      <c r="C49" s="349" t="s">
        <v>595</v>
      </c>
      <c r="D49" s="349" t="s">
        <v>596</v>
      </c>
      <c r="E49" s="363" t="s">
        <v>527</v>
      </c>
      <c r="F49" t="str">
        <f>IF(And_Number_of_Units="","",And_Number_of_Units)</f>
        <v/>
      </c>
      <c r="G49" s="350"/>
      <c r="H49" s="500"/>
    </row>
    <row r="50" spans="1:8" s="39" customFormat="1">
      <c r="A50" s="418"/>
      <c r="B50" s="419"/>
      <c r="C50" s="419"/>
      <c r="D50" s="419"/>
      <c r="E50" s="420"/>
      <c r="F50" s="419"/>
      <c r="G50" s="422"/>
      <c r="H50" s="500"/>
    </row>
    <row r="51" spans="1:8" s="39" customFormat="1">
      <c r="A51" s="348" t="s">
        <v>597</v>
      </c>
      <c r="B51" s="349" t="s">
        <v>592</v>
      </c>
      <c r="C51" s="349" t="s">
        <v>598</v>
      </c>
      <c r="D51" s="349" t="s">
        <v>597</v>
      </c>
      <c r="E51" s="363" t="s">
        <v>527</v>
      </c>
      <c r="F51" s="52" t="str">
        <f>IF(HUD_RAD="","",(HUD_RAD))</f>
        <v/>
      </c>
      <c r="G51" s="350"/>
      <c r="H51" s="500"/>
    </row>
    <row r="52" spans="1:8" s="39" customFormat="1">
      <c r="A52" s="350" t="s">
        <v>599</v>
      </c>
      <c r="B52" s="349" t="s">
        <v>592</v>
      </c>
      <c r="C52" s="349" t="s">
        <v>600</v>
      </c>
      <c r="D52" s="349" t="s">
        <v>600</v>
      </c>
      <c r="E52" s="363" t="s">
        <v>527</v>
      </c>
      <c r="F52">
        <f>HUD_RAD_Number_of_Units</f>
        <v>0</v>
      </c>
      <c r="G52" s="350"/>
      <c r="H52" s="500"/>
    </row>
    <row r="53" spans="1:8" s="39" customFormat="1">
      <c r="A53" s="348" t="s">
        <v>601</v>
      </c>
      <c r="B53" s="349" t="s">
        <v>524</v>
      </c>
      <c r="C53" s="349" t="s">
        <v>602</v>
      </c>
      <c r="D53" s="349" t="s">
        <v>603</v>
      </c>
      <c r="E53" s="363" t="s">
        <v>527</v>
      </c>
      <c r="F53" t="str">
        <f>IF(RD_Rental_Assistance="Yes","True","False")</f>
        <v>False</v>
      </c>
      <c r="G53" s="350"/>
      <c r="H53" s="500"/>
    </row>
    <row r="54" spans="1:8" s="39" customFormat="1">
      <c r="A54" s="350" t="s">
        <v>604</v>
      </c>
      <c r="B54" s="349" t="s">
        <v>592</v>
      </c>
      <c r="C54" s="349" t="s">
        <v>605</v>
      </c>
      <c r="D54" s="349" t="s">
        <v>605</v>
      </c>
      <c r="E54" s="363" t="s">
        <v>527</v>
      </c>
      <c r="F54">
        <f>RD_Rental_Assistance_Number_of_Units</f>
        <v>0</v>
      </c>
      <c r="G54" s="350"/>
      <c r="H54" s="500"/>
    </row>
    <row r="55" spans="1:8" s="39" customFormat="1">
      <c r="A55" s="348" t="s">
        <v>606</v>
      </c>
      <c r="B55" s="350" t="s">
        <v>173</v>
      </c>
      <c r="C55" s="350" t="s">
        <v>173</v>
      </c>
      <c r="D55" s="350" t="s">
        <v>607</v>
      </c>
      <c r="E55" s="363" t="s">
        <v>527</v>
      </c>
      <c r="F55" t="str">
        <f>IF(Section_221_d__3__BMIR="Yes","True","False")</f>
        <v>False</v>
      </c>
      <c r="G55" s="350"/>
      <c r="H55" s="500"/>
    </row>
    <row r="56" spans="1:8" s="39" customFormat="1">
      <c r="A56" s="350" t="s">
        <v>608</v>
      </c>
      <c r="B56" s="349" t="s">
        <v>592</v>
      </c>
      <c r="C56" s="349" t="s">
        <v>609</v>
      </c>
      <c r="D56" s="349" t="s">
        <v>609</v>
      </c>
      <c r="E56" s="363" t="s">
        <v>527</v>
      </c>
      <c r="F56">
        <f>Section_221_d__3__BMIR_Number_of_Units</f>
        <v>0</v>
      </c>
      <c r="G56" s="350"/>
      <c r="H56" s="500"/>
    </row>
    <row r="57" spans="1:8" s="39" customFormat="1">
      <c r="A57" s="348" t="s">
        <v>610</v>
      </c>
      <c r="B57" s="349" t="s">
        <v>173</v>
      </c>
      <c r="C57" s="349" t="s">
        <v>173</v>
      </c>
      <c r="D57" s="349" t="s">
        <v>611</v>
      </c>
      <c r="E57" s="363" t="s">
        <v>527</v>
      </c>
      <c r="F57" t="str">
        <f>IF(Section_236="Yes","true","False")</f>
        <v>False</v>
      </c>
      <c r="G57" s="350"/>
      <c r="H57" s="500"/>
    </row>
    <row r="58" spans="1:8" s="39" customFormat="1">
      <c r="A58" s="350" t="s">
        <v>612</v>
      </c>
      <c r="B58" s="349" t="s">
        <v>592</v>
      </c>
      <c r="C58" s="349" t="s">
        <v>613</v>
      </c>
      <c r="D58" s="349" t="s">
        <v>613</v>
      </c>
      <c r="E58" s="363" t="s">
        <v>527</v>
      </c>
      <c r="F58">
        <f>Section_236_Number_of_Units</f>
        <v>0</v>
      </c>
      <c r="G58" s="350"/>
      <c r="H58" s="500"/>
    </row>
    <row r="59" spans="1:8" s="39" customFormat="1">
      <c r="A59" s="348" t="s">
        <v>614</v>
      </c>
      <c r="B59" s="349" t="s">
        <v>173</v>
      </c>
      <c r="C59" s="349" t="s">
        <v>173</v>
      </c>
      <c r="D59" s="349" t="s">
        <v>615</v>
      </c>
      <c r="E59" s="363" t="s">
        <v>527</v>
      </c>
      <c r="F59" t="str">
        <f>IF(Section_8_Rent_Supplemental_or_Rental_Assistance_Payment="Yes","True","False")</f>
        <v>False</v>
      </c>
      <c r="G59" s="350"/>
      <c r="H59" s="500"/>
    </row>
    <row r="60" spans="1:8" s="39" customFormat="1">
      <c r="A60" s="350" t="s">
        <v>616</v>
      </c>
      <c r="B60" s="349" t="s">
        <v>592</v>
      </c>
      <c r="C60" s="349" t="s">
        <v>617</v>
      </c>
      <c r="D60" s="349" t="s">
        <v>618</v>
      </c>
      <c r="E60" s="365" t="s">
        <v>527</v>
      </c>
      <c r="F60">
        <f>Section_8_Rent_Supplemental_or_Rental_Assistance_Payment_Number_of_Units</f>
        <v>0</v>
      </c>
      <c r="G60" s="350"/>
      <c r="H60" s="500"/>
    </row>
    <row r="61" spans="1:8" s="39" customFormat="1">
      <c r="A61" s="348" t="s">
        <v>619</v>
      </c>
      <c r="B61" s="349" t="s">
        <v>592</v>
      </c>
      <c r="C61" s="349" t="s">
        <v>620</v>
      </c>
      <c r="D61" s="349" t="s">
        <v>621</v>
      </c>
      <c r="E61" s="365" t="s">
        <v>527</v>
      </c>
      <c r="F61" s="52" t="str">
        <f>IF(Section_8_Housing_Assistance_Payment_Contract="","",Section_8_Housing_Assistance_Payment_Contract)</f>
        <v/>
      </c>
      <c r="G61" s="350" t="s">
        <v>622</v>
      </c>
      <c r="H61" s="500"/>
    </row>
    <row r="62" spans="1:8" s="39" customFormat="1">
      <c r="A62" s="350" t="s">
        <v>623</v>
      </c>
      <c r="B62" s="349" t="s">
        <v>592</v>
      </c>
      <c r="C62" s="349" t="s">
        <v>624</v>
      </c>
      <c r="D62" s="349" t="s">
        <v>625</v>
      </c>
      <c r="E62" s="365" t="s">
        <v>527</v>
      </c>
      <c r="F62">
        <f>Section_8_Housing_Assistance_Payment_Contract_Number_of_Units</f>
        <v>0</v>
      </c>
      <c r="G62" s="350"/>
      <c r="H62" s="500"/>
    </row>
    <row r="63" spans="1:8" s="39" customFormat="1">
      <c r="A63" s="348" t="s">
        <v>626</v>
      </c>
      <c r="B63" s="349" t="s">
        <v>592</v>
      </c>
      <c r="C63" s="349" t="s">
        <v>365</v>
      </c>
      <c r="D63" s="349" t="s">
        <v>365</v>
      </c>
      <c r="E63" s="365" t="s">
        <v>527</v>
      </c>
      <c r="F63" s="52" t="str">
        <f>IF(Other="","",Other)</f>
        <v/>
      </c>
      <c r="G63" s="350" t="s">
        <v>622</v>
      </c>
      <c r="H63" s="500"/>
    </row>
    <row r="64" spans="1:8" s="39" customFormat="1">
      <c r="A64" s="350" t="s">
        <v>627</v>
      </c>
      <c r="B64" s="349" t="s">
        <v>592</v>
      </c>
      <c r="C64" s="349" t="s">
        <v>628</v>
      </c>
      <c r="D64" s="349" t="s">
        <v>629</v>
      </c>
      <c r="E64" s="365" t="s">
        <v>527</v>
      </c>
      <c r="F64">
        <f>Other_Number_of_Units</f>
        <v>0</v>
      </c>
      <c r="G64" s="350"/>
      <c r="H64" s="500"/>
    </row>
    <row r="65" spans="1:8" s="39" customFormat="1">
      <c r="A65" s="421"/>
      <c r="B65" s="422"/>
      <c r="C65" s="422"/>
      <c r="D65" s="422"/>
      <c r="E65" s="422"/>
      <c r="F65" s="422"/>
      <c r="G65" s="422"/>
      <c r="H65" s="500"/>
    </row>
    <row r="66" spans="1:8" s="39" customFormat="1">
      <c r="A66" s="348" t="s">
        <v>630</v>
      </c>
      <c r="B66" s="349" t="s">
        <v>173</v>
      </c>
      <c r="C66" s="349" t="s">
        <v>173</v>
      </c>
      <c r="D66" s="349" t="s">
        <v>631</v>
      </c>
      <c r="E66" s="365" t="s">
        <v>527</v>
      </c>
      <c r="F66" t="str">
        <f>IF(Is_HUD_approval_for_transfer_of_physical_asset_required?="Yes","true","False")</f>
        <v>False</v>
      </c>
      <c r="G66" s="350" t="s">
        <v>632</v>
      </c>
      <c r="H66" s="500"/>
    </row>
    <row r="67" spans="1:8" s="39" customFormat="1">
      <c r="A67" s="348" t="s">
        <v>633</v>
      </c>
      <c r="B67" s="349" t="s">
        <v>592</v>
      </c>
      <c r="C67" s="349" t="s">
        <v>634</v>
      </c>
      <c r="D67" s="349" t="s">
        <v>635</v>
      </c>
      <c r="E67" s="365" t="s">
        <v>527</v>
      </c>
      <c r="F67" s="52" t="str">
        <f>IF(Is_RD_approval_for_transfer_of_physical_asset_required?="","",Is_RD_approval_for_transfer_of_physical_asset_required?)</f>
        <v/>
      </c>
      <c r="G67" s="350"/>
      <c r="H67" s="500"/>
    </row>
    <row r="68" spans="1:8" s="39" customFormat="1">
      <c r="A68" s="348" t="s">
        <v>636</v>
      </c>
      <c r="B68" s="349" t="s">
        <v>592</v>
      </c>
      <c r="C68" s="349" t="s">
        <v>637</v>
      </c>
      <c r="D68" s="349" t="s">
        <v>638</v>
      </c>
      <c r="E68" s="365" t="s">
        <v>527</v>
      </c>
      <c r="F68" s="52" t="str">
        <f>IF(Is_WHEDA_approval_for_transfer_of_physical_asset_required?="","",Is_WHEDA_approval_for_transfer_of_physical_asset_required?)</f>
        <v/>
      </c>
      <c r="G68" s="350"/>
      <c r="H68" s="500"/>
    </row>
    <row r="69" spans="1:8" s="39" customFormat="1">
      <c r="A69" s="348" t="s">
        <v>639</v>
      </c>
      <c r="B69" s="349" t="s">
        <v>592</v>
      </c>
      <c r="C69" s="349" t="s">
        <v>640</v>
      </c>
      <c r="D69" s="349" t="s">
        <v>641</v>
      </c>
      <c r="E69" s="365" t="s">
        <v>527</v>
      </c>
      <c r="F69" s="52" t="str">
        <f>IF(Any_existing_LURA?="","",Any_existing_LURA?)</f>
        <v/>
      </c>
      <c r="G69" s="350"/>
      <c r="H69" s="500"/>
    </row>
    <row r="70" spans="1:8" s="39" customFormat="1">
      <c r="A70" s="351" t="s">
        <v>642</v>
      </c>
      <c r="B70" s="352" t="s">
        <v>592</v>
      </c>
      <c r="C70" s="352" t="s">
        <v>643</v>
      </c>
      <c r="D70" s="349" t="s">
        <v>644</v>
      </c>
      <c r="E70" s="365" t="s">
        <v>527</v>
      </c>
      <c r="F70" t="str">
        <f>IF(LURA_Project_Number="","",LURA_Project_Number)</f>
        <v/>
      </c>
      <c r="G70" s="353"/>
      <c r="H70" s="500"/>
    </row>
    <row r="71" spans="1:8" s="42" customFormat="1">
      <c r="A71" s="1793" t="s">
        <v>645</v>
      </c>
      <c r="B71" s="1793"/>
      <c r="C71" s="1793"/>
      <c r="D71" s="1793"/>
      <c r="E71" s="1793"/>
      <c r="F71" s="362"/>
      <c r="G71" s="356"/>
      <c r="H71" s="501"/>
    </row>
    <row r="72" spans="1:8" s="42" customFormat="1">
      <c r="A72" s="348" t="s">
        <v>280</v>
      </c>
      <c r="B72" s="349" t="s">
        <v>173</v>
      </c>
      <c r="C72" s="349" t="s">
        <v>173</v>
      </c>
      <c r="D72" s="349" t="s">
        <v>173</v>
      </c>
      <c r="E72" s="349" t="s">
        <v>173</v>
      </c>
      <c r="F72" t="str">
        <f>IF(Family="Yes","True","False")</f>
        <v>False</v>
      </c>
      <c r="G72" s="350"/>
      <c r="H72" s="501"/>
    </row>
    <row r="73" spans="1:8" s="39" customFormat="1">
      <c r="A73" s="348" t="s">
        <v>646</v>
      </c>
      <c r="B73" s="349" t="s">
        <v>592</v>
      </c>
      <c r="C73" s="349" t="s">
        <v>646</v>
      </c>
      <c r="D73" s="365" t="s">
        <v>647</v>
      </c>
      <c r="E73" s="365" t="s">
        <v>527</v>
      </c>
      <c r="F73">
        <f>Family_Number_of_Units</f>
        <v>0</v>
      </c>
      <c r="G73" s="350"/>
      <c r="H73" s="500"/>
    </row>
    <row r="74" spans="1:8" s="39" customFormat="1">
      <c r="A74" s="348" t="s">
        <v>648</v>
      </c>
      <c r="B74" s="349" t="s">
        <v>173</v>
      </c>
      <c r="C74" s="349" t="s">
        <v>173</v>
      </c>
      <c r="D74" s="349" t="s">
        <v>173</v>
      </c>
      <c r="E74" s="349" t="s">
        <v>173</v>
      </c>
      <c r="F74" t="str">
        <f>IF(Elderly="Yes","True","False")</f>
        <v>False</v>
      </c>
      <c r="G74" s="350"/>
      <c r="H74" s="500"/>
    </row>
    <row r="75" spans="1:8" s="39" customFormat="1">
      <c r="A75" s="348" t="s">
        <v>649</v>
      </c>
      <c r="B75" s="349" t="s">
        <v>592</v>
      </c>
      <c r="C75" s="349" t="s">
        <v>649</v>
      </c>
      <c r="D75" s="365" t="s">
        <v>650</v>
      </c>
      <c r="E75" s="365" t="s">
        <v>527</v>
      </c>
      <c r="F75">
        <f>Age_Restricted_Number_of_Units</f>
        <v>0</v>
      </c>
      <c r="G75" s="350"/>
      <c r="H75" s="500"/>
    </row>
    <row r="76" spans="1:8" s="39" customFormat="1">
      <c r="A76" s="348" t="s">
        <v>651</v>
      </c>
      <c r="B76" s="349" t="s">
        <v>173</v>
      </c>
      <c r="C76" s="349" t="s">
        <v>173</v>
      </c>
      <c r="D76" s="349" t="s">
        <v>173</v>
      </c>
      <c r="E76" s="349" t="s">
        <v>173</v>
      </c>
      <c r="F76" t="str">
        <f>IF(Homeless="Yes","True","False")</f>
        <v>False</v>
      </c>
      <c r="G76" s="350"/>
      <c r="H76" s="500"/>
    </row>
    <row r="77" spans="1:8" s="39" customFormat="1">
      <c r="A77" s="348" t="s">
        <v>652</v>
      </c>
      <c r="B77" s="349" t="s">
        <v>592</v>
      </c>
      <c r="C77" s="349" t="s">
        <v>652</v>
      </c>
      <c r="D77" s="365" t="s">
        <v>653</v>
      </c>
      <c r="E77" s="365" t="s">
        <v>527</v>
      </c>
      <c r="F77">
        <f>Homeless_Number_of_Units</f>
        <v>0</v>
      </c>
      <c r="G77" s="350"/>
      <c r="H77" s="500"/>
    </row>
    <row r="78" spans="1:8" s="39" customFormat="1">
      <c r="A78" s="348" t="s">
        <v>654</v>
      </c>
      <c r="B78" s="349" t="s">
        <v>173</v>
      </c>
      <c r="C78" s="349" t="s">
        <v>173</v>
      </c>
      <c r="D78" s="349" t="s">
        <v>173</v>
      </c>
      <c r="E78" s="349" t="s">
        <v>173</v>
      </c>
      <c r="F78" t="str">
        <f>IF(Supportive_Housing="Yes","True","False")</f>
        <v>False</v>
      </c>
      <c r="G78" s="350"/>
      <c r="H78" s="500"/>
    </row>
    <row r="79" spans="1:8" s="39" customFormat="1">
      <c r="A79" s="348" t="s">
        <v>655</v>
      </c>
      <c r="B79" s="349" t="s">
        <v>592</v>
      </c>
      <c r="C79" s="349" t="s">
        <v>656</v>
      </c>
      <c r="D79" s="365" t="s">
        <v>657</v>
      </c>
      <c r="E79" s="365" t="s">
        <v>527</v>
      </c>
      <c r="F79">
        <f>Supportive_Housing_Number_of_Units</f>
        <v>0</v>
      </c>
      <c r="G79" s="350"/>
      <c r="H79" s="500"/>
    </row>
    <row r="80" spans="1:8" s="39" customFormat="1">
      <c r="A80" s="348" t="s">
        <v>658</v>
      </c>
      <c r="B80" s="349" t="s">
        <v>173</v>
      </c>
      <c r="C80" s="349" t="s">
        <v>173</v>
      </c>
      <c r="D80" s="349" t="s">
        <v>173</v>
      </c>
      <c r="E80" s="349" t="s">
        <v>173</v>
      </c>
      <c r="F80" t="str">
        <f>IF(Single_Room_Occupancy="Yes","True","False")</f>
        <v>False</v>
      </c>
      <c r="G80" s="350"/>
      <c r="H80" s="500"/>
    </row>
    <row r="81" spans="1:8" s="39" customFormat="1">
      <c r="A81" s="348" t="s">
        <v>659</v>
      </c>
      <c r="B81" s="349" t="s">
        <v>592</v>
      </c>
      <c r="C81" s="349" t="s">
        <v>659</v>
      </c>
      <c r="D81" s="349" t="s">
        <v>659</v>
      </c>
      <c r="E81" s="365" t="s">
        <v>527</v>
      </c>
      <c r="F81">
        <f>Single_Room_Occupancy_Number_of_Units</f>
        <v>0</v>
      </c>
      <c r="G81" s="350"/>
      <c r="H81" s="500"/>
    </row>
    <row r="82" spans="1:8" s="39" customFormat="1">
      <c r="A82" s="348" t="s">
        <v>660</v>
      </c>
      <c r="B82" s="349" t="s">
        <v>173</v>
      </c>
      <c r="C82" s="349" t="s">
        <v>173</v>
      </c>
      <c r="D82" s="349" t="s">
        <v>173</v>
      </c>
      <c r="E82" s="349" t="s">
        <v>173</v>
      </c>
      <c r="F82" t="str">
        <f>IF(CBRF="Yes","True","False")</f>
        <v>False</v>
      </c>
      <c r="G82" s="350"/>
      <c r="H82" s="500"/>
    </row>
    <row r="83" spans="1:8" s="39" customFormat="1">
      <c r="A83" s="348" t="s">
        <v>661</v>
      </c>
      <c r="B83" s="349" t="s">
        <v>592</v>
      </c>
      <c r="C83" s="349" t="s">
        <v>661</v>
      </c>
      <c r="D83" s="349" t="s">
        <v>661</v>
      </c>
      <c r="E83" s="365" t="s">
        <v>527</v>
      </c>
      <c r="F83">
        <f>CBRF_Number_of_Units</f>
        <v>0</v>
      </c>
      <c r="G83" s="350"/>
      <c r="H83" s="500"/>
    </row>
    <row r="84" spans="1:8" s="39" customFormat="1">
      <c r="A84" s="348" t="s">
        <v>662</v>
      </c>
      <c r="B84" s="349" t="s">
        <v>173</v>
      </c>
      <c r="C84" s="349" t="s">
        <v>173</v>
      </c>
      <c r="D84" s="349" t="s">
        <v>173</v>
      </c>
      <c r="E84" s="349" t="s">
        <v>173</v>
      </c>
      <c r="F84" t="str">
        <f>IF(RCAC="Yes","True","False")</f>
        <v>False</v>
      </c>
      <c r="G84" s="350"/>
      <c r="H84" s="500"/>
    </row>
    <row r="85" spans="1:8" s="39" customFormat="1">
      <c r="A85" s="348" t="s">
        <v>663</v>
      </c>
      <c r="B85" s="349" t="s">
        <v>592</v>
      </c>
      <c r="C85" s="349" t="s">
        <v>663</v>
      </c>
      <c r="D85" s="349" t="s">
        <v>663</v>
      </c>
      <c r="E85" s="365" t="s">
        <v>527</v>
      </c>
      <c r="F85">
        <f>RCAC_Number_of_Units</f>
        <v>0</v>
      </c>
      <c r="G85" s="350"/>
      <c r="H85" s="500"/>
    </row>
    <row r="86" spans="1:8" s="39" customFormat="1">
      <c r="A86" s="350" t="s">
        <v>664</v>
      </c>
      <c r="B86" s="349" t="s">
        <v>592</v>
      </c>
      <c r="C86" s="350" t="s">
        <v>665</v>
      </c>
      <c r="D86" s="350" t="s">
        <v>665</v>
      </c>
      <c r="E86" s="350" t="s">
        <v>527</v>
      </c>
      <c r="F86" s="52" t="str">
        <f>IF(AND(F73=0,F75=0,F77=0,F79=0,F81=0,F83=0,F85=0),"",IF(AND(F73&gt;F75,F73&gt;F77,F73&gt;F79,F73&gt;F81,F73&gt;F83,F73&gt;F85),"Family",IF(AND(F75&gt;F73,F75&gt;F77,F75&gt;F79,F75&gt;F81,F75&gt;F83,F75&gt;F85),"Elderly",IF(AND(F77&gt;F73,F77&gt;F75,F77&gt;F79,F77&gt;F81,F77&gt;F83,F77&gt;F85),"Homeless",IF(AND(F79&gt;F73,F79&gt;F75,F79&gt;F77,F79&gt;F81,F79&gt;F83,F79&gt;F85),"Supportive Housing",IF(AND(F81&gt;F73,F81&gt;F75,F81&gt;F77,F81&gt;F79,F81&gt;F83,F81&gt;F85),"Single Room Occupancy",IF(AND(F83&gt;F73,F83&gt;F75,F83&gt;F77,F83&gt;F79,F83&gt;F81,F83&gt;F85),"CBRF",IF(AND(F85&gt;F73,F85&gt;F75,F85&gt;F77,F85&gt;F79,F85&gt;F81,F85&gt;F83),"RCAC",IF(MATCH(F73,F75),"Family","")))))))))</f>
        <v/>
      </c>
      <c r="G86" s="350" t="s">
        <v>666</v>
      </c>
      <c r="H86" s="500"/>
    </row>
    <row r="87" spans="1:8" s="42" customFormat="1">
      <c r="A87" s="1793" t="s">
        <v>667</v>
      </c>
      <c r="B87" s="1793"/>
      <c r="C87" s="1793"/>
      <c r="D87" s="1793"/>
      <c r="E87" s="1793"/>
      <c r="F87" s="362"/>
      <c r="G87" s="356"/>
      <c r="H87" s="501"/>
    </row>
    <row r="88" spans="1:8" s="39" customFormat="1">
      <c r="A88" s="348" t="s">
        <v>668</v>
      </c>
      <c r="B88" s="349" t="s">
        <v>551</v>
      </c>
      <c r="C88" s="349" t="s">
        <v>669</v>
      </c>
      <c r="D88" s="349" t="s">
        <v>670</v>
      </c>
      <c r="E88" s="365" t="s">
        <v>527</v>
      </c>
      <c r="F88" s="52" t="str">
        <f>IF(Is_this_an_application_for_additional_credit?="","",Is_this_an_application_for_additional_credit?)</f>
        <v/>
      </c>
      <c r="G88" s="350"/>
      <c r="H88" s="500"/>
    </row>
    <row r="89" spans="1:8" s="39" customFormat="1">
      <c r="A89" s="348" t="s">
        <v>671</v>
      </c>
      <c r="B89" s="349" t="s">
        <v>551</v>
      </c>
      <c r="C89" s="349" t="s">
        <v>672</v>
      </c>
      <c r="D89" s="349" t="s">
        <v>673</v>
      </c>
      <c r="E89" s="365" t="s">
        <v>527</v>
      </c>
      <c r="F89" t="str">
        <f>IF(If_yes__list_name_of_project_and_WHEDA_application_number="","",If_yes__list_name_of_project_and_WHEDA_application_number)</f>
        <v/>
      </c>
      <c r="G89" s="350"/>
      <c r="H89" s="500"/>
    </row>
    <row r="90" spans="1:8" s="39" customFormat="1">
      <c r="A90" s="348" t="s">
        <v>674</v>
      </c>
      <c r="B90" s="349" t="s">
        <v>551</v>
      </c>
      <c r="C90" s="349" t="s">
        <v>675</v>
      </c>
      <c r="D90" s="349" t="s">
        <v>676</v>
      </c>
      <c r="E90" s="365" t="s">
        <v>527</v>
      </c>
      <c r="F90" s="52" t="str">
        <f>IF(Is_this_a_credit_application_for_a_property_that_has_completed_its_HTC_compliance_period?="","",Is_this_a_credit_application_for_a_property_that_has_completed_its_HTC_compliance_period?)</f>
        <v/>
      </c>
      <c r="G90" s="350"/>
      <c r="H90" s="500"/>
    </row>
    <row r="91" spans="1:8" s="39" customFormat="1">
      <c r="A91" s="348" t="s">
        <v>671</v>
      </c>
      <c r="B91" s="349" t="s">
        <v>551</v>
      </c>
      <c r="C91" s="349" t="s">
        <v>677</v>
      </c>
      <c r="D91" s="349" t="s">
        <v>678</v>
      </c>
      <c r="E91" s="365" t="s">
        <v>527</v>
      </c>
      <c r="F91" t="str">
        <f>IF(Name_Project_App_Nunber="","",Name_Project_App_Nunber)</f>
        <v/>
      </c>
      <c r="G91" s="350"/>
      <c r="H91" s="500"/>
    </row>
    <row r="92" spans="1:8" s="39" customFormat="1">
      <c r="A92" s="348" t="s">
        <v>679</v>
      </c>
      <c r="B92" s="349" t="s">
        <v>173</v>
      </c>
      <c r="C92" s="349" t="s">
        <v>173</v>
      </c>
      <c r="D92" s="349" t="s">
        <v>173</v>
      </c>
      <c r="E92" s="365" t="s">
        <v>173</v>
      </c>
      <c r="F92" s="425">
        <f>'4. Project Description'!D51</f>
        <v>0</v>
      </c>
      <c r="G92" s="350"/>
      <c r="H92" s="500"/>
    </row>
    <row r="93" spans="1:8" s="39" customFormat="1">
      <c r="A93" s="421"/>
      <c r="B93" s="422"/>
      <c r="C93" s="422"/>
      <c r="D93" s="422"/>
      <c r="E93" s="422"/>
      <c r="F93" s="422"/>
      <c r="G93" s="422"/>
      <c r="H93" s="500"/>
    </row>
    <row r="94" spans="1:8" s="39" customFormat="1">
      <c r="A94" s="348" t="s">
        <v>680</v>
      </c>
      <c r="B94" s="349" t="s">
        <v>551</v>
      </c>
      <c r="C94" s="349" t="s">
        <v>681</v>
      </c>
      <c r="D94" s="349" t="s">
        <v>680</v>
      </c>
      <c r="E94" s="365" t="s">
        <v>527</v>
      </c>
      <c r="F94" s="52" t="str">
        <f>IF(Set_Aside="","",Set_Aside)</f>
        <v/>
      </c>
      <c r="G94" s="350"/>
      <c r="H94" s="500"/>
    </row>
    <row r="95" spans="1:8" s="39" customFormat="1">
      <c r="A95" s="348" t="s">
        <v>682</v>
      </c>
      <c r="B95" s="349" t="s">
        <v>551</v>
      </c>
      <c r="C95" s="349" t="s">
        <v>683</v>
      </c>
      <c r="D95" s="349" t="s">
        <v>684</v>
      </c>
      <c r="E95" s="365" t="s">
        <v>527</v>
      </c>
      <c r="F95" s="52" t="str">
        <f>IF(Credit_percentage_applied_for="","",Credit_percentage_applied_for)</f>
        <v/>
      </c>
      <c r="G95" s="350"/>
      <c r="H95" s="500"/>
    </row>
    <row r="96" spans="1:8" s="39" customFormat="1">
      <c r="A96" s="348" t="s">
        <v>685</v>
      </c>
      <c r="B96" s="349" t="s">
        <v>173</v>
      </c>
      <c r="C96" s="349" t="s">
        <v>173</v>
      </c>
      <c r="D96" s="349" t="s">
        <v>173</v>
      </c>
      <c r="E96" s="365" t="s">
        <v>173</v>
      </c>
      <c r="F96" s="426"/>
      <c r="G96" s="350"/>
      <c r="H96" s="500"/>
    </row>
    <row r="97" spans="1:8" s="39" customFormat="1">
      <c r="A97" s="348" t="s">
        <v>686</v>
      </c>
      <c r="B97" s="349" t="s">
        <v>173</v>
      </c>
      <c r="C97" s="349" t="s">
        <v>173</v>
      </c>
      <c r="D97" s="349" t="s">
        <v>173</v>
      </c>
      <c r="E97" s="365" t="s">
        <v>173</v>
      </c>
      <c r="F97" s="426"/>
      <c r="G97" s="350"/>
      <c r="H97" s="500"/>
    </row>
    <row r="98" spans="1:8" s="39" customFormat="1">
      <c r="A98" s="421"/>
      <c r="B98" s="422"/>
      <c r="C98" s="422"/>
      <c r="D98" s="422"/>
      <c r="E98" s="422"/>
      <c r="F98" s="422"/>
      <c r="G98" s="422"/>
      <c r="H98" s="500"/>
    </row>
    <row r="99" spans="1:8" s="39" customFormat="1">
      <c r="A99" s="348" t="s">
        <v>687</v>
      </c>
      <c r="B99" s="349" t="s">
        <v>551</v>
      </c>
      <c r="C99" s="349" t="s">
        <v>688</v>
      </c>
      <c r="D99" s="349" t="s">
        <v>689</v>
      </c>
      <c r="E99" s="365" t="s">
        <v>527</v>
      </c>
      <c r="F99" s="52" t="str" cm="1">
        <f t="array" ref="F99">IFERROR(INDEX('ProLink Mapping'!N25:P25,MATCH(TRUE,'ProLink Mapping'!N25:P25&lt;&gt;"",0)),"")</f>
        <v/>
      </c>
      <c r="G99" s="350"/>
      <c r="H99" s="500"/>
    </row>
    <row r="100" spans="1:8" s="42" customFormat="1">
      <c r="A100" s="1793" t="s">
        <v>690</v>
      </c>
      <c r="B100" s="1793"/>
      <c r="C100" s="1793"/>
      <c r="D100" s="1793"/>
      <c r="E100" s="1793"/>
      <c r="F100" s="362"/>
      <c r="G100" s="356"/>
      <c r="H100" s="501"/>
    </row>
    <row r="101" spans="1:8" s="39" customFormat="1">
      <c r="A101" s="348" t="s">
        <v>691</v>
      </c>
      <c r="B101" s="349" t="s">
        <v>524</v>
      </c>
      <c r="C101" s="349" t="s">
        <v>173</v>
      </c>
      <c r="D101" s="349" t="s">
        <v>692</v>
      </c>
      <c r="E101" s="365" t="s">
        <v>527</v>
      </c>
      <c r="F101" t="str">
        <f>IF(Elevator_Building="Yes","True","False")</f>
        <v>False</v>
      </c>
      <c r="G101" s="350" t="s">
        <v>693</v>
      </c>
      <c r="H101" s="500"/>
    </row>
    <row r="102" spans="1:8" s="39" customFormat="1">
      <c r="A102" s="348" t="s">
        <v>694</v>
      </c>
      <c r="B102" s="349" t="s">
        <v>695</v>
      </c>
      <c r="C102" s="349" t="s">
        <v>696</v>
      </c>
      <c r="D102" s="349" t="s">
        <v>697</v>
      </c>
      <c r="E102" s="365" t="s">
        <v>527</v>
      </c>
      <c r="F102">
        <f>IF(Elevator_Building="",Number_of_Stories_No_Elevator,Number_of_Stories_Elevator)</f>
        <v>0</v>
      </c>
      <c r="G102" s="350"/>
      <c r="H102" s="500"/>
    </row>
    <row r="103" spans="1:8" s="39" customFormat="1">
      <c r="A103" s="348" t="s">
        <v>698</v>
      </c>
      <c r="B103" s="349" t="s">
        <v>173</v>
      </c>
      <c r="C103" s="349" t="s">
        <v>173</v>
      </c>
      <c r="D103" s="349" t="s">
        <v>173</v>
      </c>
      <c r="E103" s="365" t="s">
        <v>173</v>
      </c>
      <c r="F103" s="44" t="str">
        <f>IF(Non_elevator_Building="Yes","True","False")</f>
        <v>False</v>
      </c>
      <c r="G103" s="350"/>
      <c r="H103" s="500"/>
    </row>
    <row r="104" spans="1:8" s="39" customFormat="1">
      <c r="A104" s="348" t="s">
        <v>699</v>
      </c>
      <c r="B104" s="349" t="s">
        <v>173</v>
      </c>
      <c r="C104" s="349" t="s">
        <v>173</v>
      </c>
      <c r="D104" s="349" t="s">
        <v>173</v>
      </c>
      <c r="E104" s="365" t="s">
        <v>173</v>
      </c>
      <c r="F104" s="427">
        <f>Number_of_Stories_No_Elevator</f>
        <v>0</v>
      </c>
      <c r="G104" s="350"/>
      <c r="H104" s="500"/>
    </row>
    <row r="105" spans="1:8" s="39" customFormat="1">
      <c r="A105" s="348" t="s">
        <v>700</v>
      </c>
      <c r="B105" s="349" t="s">
        <v>173</v>
      </c>
      <c r="C105" s="349" t="s">
        <v>173</v>
      </c>
      <c r="D105" s="349" t="s">
        <v>173</v>
      </c>
      <c r="E105" s="365" t="s">
        <v>173</v>
      </c>
      <c r="F105" t="str">
        <f>IF(Row_House_Town_House="Yes","True","False")</f>
        <v>False</v>
      </c>
      <c r="G105" s="350"/>
      <c r="H105" s="500"/>
    </row>
    <row r="106" spans="1:8" s="39" customFormat="1">
      <c r="A106" s="348" t="s">
        <v>701</v>
      </c>
      <c r="B106" s="349" t="s">
        <v>173</v>
      </c>
      <c r="C106" s="349" t="s">
        <v>173</v>
      </c>
      <c r="D106" s="349" t="s">
        <v>173</v>
      </c>
      <c r="E106" s="365" t="s">
        <v>173</v>
      </c>
      <c r="F106" t="str">
        <f>IF(Detached_Single_Family="Yes","True","False")</f>
        <v>False</v>
      </c>
      <c r="G106" s="350"/>
      <c r="H106" s="500"/>
    </row>
    <row r="107" spans="1:8" s="39" customFormat="1">
      <c r="A107" s="348" t="s">
        <v>702</v>
      </c>
      <c r="B107" s="349" t="s">
        <v>173</v>
      </c>
      <c r="C107" s="349" t="s">
        <v>173</v>
      </c>
      <c r="D107" s="349" t="s">
        <v>173</v>
      </c>
      <c r="E107" s="365" t="s">
        <v>173</v>
      </c>
      <c r="F107" t="str">
        <f>IF(Detached_Two_Family__Duplex="Yes","True","False")</f>
        <v>False</v>
      </c>
      <c r="G107" s="350"/>
      <c r="H107" s="500"/>
    </row>
    <row r="108" spans="1:8" s="39" customFormat="1">
      <c r="A108" s="348" t="s">
        <v>703</v>
      </c>
      <c r="B108" s="349" t="s">
        <v>173</v>
      </c>
      <c r="C108" s="349" t="s">
        <v>173</v>
      </c>
      <c r="D108" s="349" t="s">
        <v>173</v>
      </c>
      <c r="E108" s="365" t="s">
        <v>173</v>
      </c>
      <c r="F108" s="427"/>
      <c r="G108" s="350"/>
      <c r="H108" s="500"/>
    </row>
    <row r="109" spans="1:8" s="39" customFormat="1">
      <c r="A109" s="348" t="s">
        <v>704</v>
      </c>
      <c r="B109" s="349" t="s">
        <v>695</v>
      </c>
      <c r="C109" s="348" t="s">
        <v>704</v>
      </c>
      <c r="D109" s="349" t="s">
        <v>258</v>
      </c>
      <c r="E109" s="365" t="s">
        <v>527</v>
      </c>
      <c r="F109" s="52" t="str" cm="1">
        <f t="array" ref="F109">IFERROR(INDEX('ProLink Mapping'!D38:H38,MATCH(TRUE,'ProLink Mapping'!D38:H38&lt;&gt;"",0)),"")</f>
        <v>Apartments</v>
      </c>
      <c r="G109" s="350" t="s">
        <v>705</v>
      </c>
      <c r="H109" s="500"/>
    </row>
    <row r="110" spans="1:8" s="42" customFormat="1">
      <c r="A110" s="1793" t="s">
        <v>706</v>
      </c>
      <c r="B110" s="1793"/>
      <c r="C110" s="1793"/>
      <c r="D110" s="1793"/>
      <c r="E110" s="1793"/>
      <c r="F110" s="362"/>
      <c r="G110" s="356"/>
      <c r="H110" s="501"/>
    </row>
    <row r="111" spans="1:8" s="39" customFormat="1">
      <c r="A111" s="348" t="s">
        <v>707</v>
      </c>
      <c r="B111" s="349" t="s">
        <v>173</v>
      </c>
      <c r="C111" s="349" t="s">
        <v>173</v>
      </c>
      <c r="D111" s="349" t="s">
        <v>173</v>
      </c>
      <c r="E111" s="365" t="s">
        <v>173</v>
      </c>
      <c r="F111" s="428" t="str">
        <f>IF('4. Project Description'!D72="","",'4. Project Description'!D72)</f>
        <v/>
      </c>
      <c r="G111" s="350"/>
      <c r="H111" s="500"/>
    </row>
    <row r="112" spans="1:8" s="39" customFormat="1">
      <c r="A112" s="348" t="s">
        <v>708</v>
      </c>
      <c r="B112" s="349" t="s">
        <v>173</v>
      </c>
      <c r="C112" s="349" t="s">
        <v>173</v>
      </c>
      <c r="D112" s="349" t="s">
        <v>173</v>
      </c>
      <c r="E112" s="365" t="s">
        <v>173</v>
      </c>
      <c r="F112" s="428">
        <f>'4. Project Description'!D73</f>
        <v>0</v>
      </c>
      <c r="G112" s="350"/>
      <c r="H112" s="500"/>
    </row>
    <row r="113" spans="1:8" s="39" customFormat="1">
      <c r="A113" s="348" t="s">
        <v>709</v>
      </c>
      <c r="B113" s="349" t="s">
        <v>173</v>
      </c>
      <c r="C113" s="349" t="s">
        <v>173</v>
      </c>
      <c r="D113" s="349" t="s">
        <v>173</v>
      </c>
      <c r="E113" s="365" t="s">
        <v>173</v>
      </c>
      <c r="F113" s="428">
        <f>'4. Project Description'!D74</f>
        <v>0</v>
      </c>
      <c r="G113" s="350"/>
      <c r="H113" s="500"/>
    </row>
    <row r="114" spans="1:8" s="39" customFormat="1">
      <c r="A114" s="348" t="s">
        <v>710</v>
      </c>
      <c r="B114" s="349" t="s">
        <v>173</v>
      </c>
      <c r="C114" s="349" t="s">
        <v>173</v>
      </c>
      <c r="D114" s="349" t="s">
        <v>173</v>
      </c>
      <c r="E114" s="365" t="s">
        <v>173</v>
      </c>
      <c r="F114" s="428">
        <f>'4. Project Description'!D75</f>
        <v>0</v>
      </c>
      <c r="G114" s="350"/>
      <c r="H114" s="500"/>
    </row>
    <row r="115" spans="1:8" s="42" customFormat="1">
      <c r="A115" s="1793" t="s">
        <v>711</v>
      </c>
      <c r="B115" s="1793"/>
      <c r="C115" s="1793"/>
      <c r="D115" s="1793"/>
      <c r="E115" s="1793"/>
      <c r="F115" s="362"/>
      <c r="G115" s="356"/>
      <c r="H115" s="501"/>
    </row>
    <row r="116" spans="1:8" s="39" customFormat="1">
      <c r="A116" s="348" t="s">
        <v>712</v>
      </c>
      <c r="B116" s="349" t="s">
        <v>713</v>
      </c>
      <c r="C116" s="349" t="s">
        <v>712</v>
      </c>
      <c r="D116" s="349" t="s">
        <v>712</v>
      </c>
      <c r="E116" s="365" t="s">
        <v>527</v>
      </c>
      <c r="F116" s="52" t="str">
        <f>IF(Rental="","",Rental)</f>
        <v/>
      </c>
      <c r="G116" s="350"/>
      <c r="H116" s="500"/>
    </row>
    <row r="117" spans="1:8" s="39" customFormat="1">
      <c r="A117" s="348" t="s">
        <v>714</v>
      </c>
      <c r="B117" s="349" t="s">
        <v>713</v>
      </c>
      <c r="C117" s="349" t="s">
        <v>714</v>
      </c>
      <c r="D117" s="348" t="s">
        <v>714</v>
      </c>
      <c r="E117" s="365" t="s">
        <v>527</v>
      </c>
      <c r="F117" s="52" t="str">
        <f>IF(Rental_Targeted_For_Eventual_Resident_Ownership="","",Rental_Targeted_For_Eventual_Resident_Ownership)</f>
        <v/>
      </c>
      <c r="G117" s="350"/>
      <c r="H117" s="500"/>
    </row>
    <row r="118" spans="1:8" s="42" customFormat="1">
      <c r="A118" s="1793" t="s">
        <v>715</v>
      </c>
      <c r="B118" s="1793"/>
      <c r="C118" s="1793"/>
      <c r="D118" s="1793"/>
      <c r="E118" s="1793"/>
      <c r="F118" s="362"/>
      <c r="G118" s="356"/>
      <c r="H118" s="501"/>
    </row>
    <row r="119" spans="1:8" s="39" customFormat="1">
      <c r="A119" s="348" t="s">
        <v>716</v>
      </c>
      <c r="B119" s="349" t="s">
        <v>173</v>
      </c>
      <c r="C119" s="349" t="s">
        <v>173</v>
      </c>
      <c r="D119" s="349" t="s">
        <v>173</v>
      </c>
      <c r="E119" s="349" t="s">
        <v>173</v>
      </c>
      <c r="F119" s="428">
        <f>Construction_Loan_Closing</f>
        <v>0</v>
      </c>
      <c r="G119" s="350"/>
      <c r="H119" s="500"/>
    </row>
    <row r="120" spans="1:8" s="39" customFormat="1">
      <c r="A120" s="348" t="s">
        <v>717</v>
      </c>
      <c r="B120" s="349" t="s">
        <v>718</v>
      </c>
      <c r="C120" s="349" t="s">
        <v>719</v>
      </c>
      <c r="D120" s="349" t="s">
        <v>719</v>
      </c>
      <c r="E120" s="365" t="s">
        <v>527</v>
      </c>
      <c r="F120" s="54" t="str">
        <f>IF(Construction_Start_Date="","",Construction_Start_Date)</f>
        <v/>
      </c>
      <c r="G120" s="350"/>
      <c r="H120" s="500"/>
    </row>
    <row r="121" spans="1:8" s="39" customFormat="1">
      <c r="A121" s="348" t="s">
        <v>720</v>
      </c>
      <c r="B121" s="349" t="s">
        <v>718</v>
      </c>
      <c r="C121" s="349" t="s">
        <v>721</v>
      </c>
      <c r="D121" s="349" t="s">
        <v>721</v>
      </c>
      <c r="E121" s="365" t="s">
        <v>527</v>
      </c>
      <c r="F121" s="54" t="str">
        <f>IF(Construction_Complete="","",Construction_Complete)</f>
        <v/>
      </c>
      <c r="G121" s="350"/>
      <c r="H121" s="500"/>
    </row>
    <row r="122" spans="1:8" s="39" customFormat="1">
      <c r="A122" s="348" t="s">
        <v>722</v>
      </c>
      <c r="B122" s="349" t="s">
        <v>723</v>
      </c>
      <c r="C122" s="349" t="s">
        <v>724</v>
      </c>
      <c r="D122" s="349" t="s">
        <v>725</v>
      </c>
      <c r="E122" s="349" t="s">
        <v>173</v>
      </c>
      <c r="F122" s="1687" t="str">
        <f>IF(Date_first_building_is_to_be_placed_in_service="", "", Date_first_building_is_to_be_placed_in_service)</f>
        <v/>
      </c>
      <c r="G122" s="350"/>
      <c r="H122" s="500"/>
    </row>
    <row r="123" spans="1:8" s="39" customFormat="1">
      <c r="A123" s="348" t="s">
        <v>726</v>
      </c>
      <c r="B123" s="349" t="s">
        <v>173</v>
      </c>
      <c r="C123" s="349" t="s">
        <v>173</v>
      </c>
      <c r="D123" s="349" t="s">
        <v>173</v>
      </c>
      <c r="E123" s="349" t="s">
        <v>173</v>
      </c>
      <c r="F123" s="428">
        <f>Date_last_building_is_to_be_placed_in_service</f>
        <v>0</v>
      </c>
      <c r="G123" s="350"/>
      <c r="H123" s="500"/>
    </row>
    <row r="124" spans="1:8" s="39" customFormat="1">
      <c r="A124" s="348" t="s">
        <v>727</v>
      </c>
      <c r="B124" s="349" t="s">
        <v>173</v>
      </c>
      <c r="C124" s="349" t="s">
        <v>173</v>
      </c>
      <c r="D124" s="349" t="s">
        <v>173</v>
      </c>
      <c r="E124" s="349" t="s">
        <v>173</v>
      </c>
      <c r="F124" s="428">
        <f>'4. Project Description'!D93</f>
        <v>0</v>
      </c>
      <c r="G124" s="350"/>
      <c r="H124" s="500"/>
    </row>
    <row r="125" spans="1:8" s="39" customFormat="1">
      <c r="A125" s="348" t="s">
        <v>728</v>
      </c>
      <c r="B125" s="349" t="s">
        <v>173</v>
      </c>
      <c r="C125" s="349" t="s">
        <v>173</v>
      </c>
      <c r="D125" s="349" t="s">
        <v>173</v>
      </c>
      <c r="E125" s="349" t="s">
        <v>173</v>
      </c>
      <c r="F125" s="428">
        <f>'4. Project Description'!F93</f>
        <v>0</v>
      </c>
      <c r="G125" s="350"/>
      <c r="H125" s="500"/>
    </row>
    <row r="126" spans="1:8" s="39" customFormat="1">
      <c r="A126" s="421"/>
      <c r="B126" s="422"/>
      <c r="C126" s="422"/>
      <c r="D126" s="422"/>
      <c r="E126" s="422"/>
      <c r="F126" s="422"/>
      <c r="G126" s="422"/>
      <c r="H126" s="500"/>
    </row>
    <row r="127" spans="1:8" s="39" customFormat="1">
      <c r="A127" s="348" t="s">
        <v>729</v>
      </c>
      <c r="B127" s="349" t="s">
        <v>173</v>
      </c>
      <c r="C127" s="349" t="s">
        <v>173</v>
      </c>
      <c r="D127" s="349" t="s">
        <v>173</v>
      </c>
      <c r="E127" s="349" t="s">
        <v>173</v>
      </c>
      <c r="F127" s="428">
        <f>'4. Project Description'!F87</f>
        <v>0</v>
      </c>
      <c r="G127" s="350"/>
      <c r="H127" s="500"/>
    </row>
    <row r="128" spans="1:8" s="39" customFormat="1">
      <c r="A128" s="348" t="s">
        <v>730</v>
      </c>
      <c r="B128" s="349" t="s">
        <v>173</v>
      </c>
      <c r="C128" s="349" t="s">
        <v>173</v>
      </c>
      <c r="D128" s="349" t="s">
        <v>173</v>
      </c>
      <c r="E128" s="349" t="s">
        <v>173</v>
      </c>
      <c r="F128" s="428">
        <f>'4. Project Description'!F88</f>
        <v>0</v>
      </c>
      <c r="G128" s="350"/>
      <c r="H128" s="500"/>
    </row>
    <row r="129" spans="1:8" s="39" customFormat="1">
      <c r="A129" s="348" t="s">
        <v>731</v>
      </c>
      <c r="B129" s="349" t="s">
        <v>173</v>
      </c>
      <c r="C129" s="349" t="s">
        <v>173</v>
      </c>
      <c r="D129" s="349" t="s">
        <v>173</v>
      </c>
      <c r="E129" s="349" t="s">
        <v>173</v>
      </c>
      <c r="F129" s="428">
        <f>'4. Project Description'!F89</f>
        <v>0</v>
      </c>
      <c r="G129" s="350"/>
      <c r="H129" s="500"/>
    </row>
    <row r="130" spans="1:8" s="39" customFormat="1">
      <c r="A130" s="348"/>
      <c r="B130" s="349"/>
      <c r="C130" s="349"/>
      <c r="D130" s="349"/>
      <c r="E130" s="349"/>
      <c r="F130" s="428"/>
      <c r="G130" s="350"/>
      <c r="H130" s="500"/>
    </row>
    <row r="131" spans="1:8" s="504" customFormat="1">
      <c r="A131" s="1792" t="s">
        <v>732</v>
      </c>
      <c r="B131" s="1792"/>
      <c r="C131" s="1792"/>
      <c r="D131" s="1792"/>
      <c r="E131" s="1792"/>
      <c r="F131" s="1690"/>
      <c r="G131" s="1690"/>
      <c r="H131" s="507"/>
    </row>
    <row r="132" spans="1:8" s="505" customFormat="1">
      <c r="A132" s="1793" t="s">
        <v>733</v>
      </c>
      <c r="B132" s="1793"/>
      <c r="C132" s="1793"/>
      <c r="D132" s="1793"/>
      <c r="E132" s="1793"/>
      <c r="F132" s="1691"/>
      <c r="G132" s="1691"/>
      <c r="H132" s="508"/>
    </row>
    <row r="133" spans="1:8" s="506" customFormat="1">
      <c r="A133" s="348" t="s">
        <v>734</v>
      </c>
      <c r="B133" s="348" t="s">
        <v>718</v>
      </c>
      <c r="C133" s="348" t="s">
        <v>735</v>
      </c>
      <c r="D133" s="348" t="s">
        <v>735</v>
      </c>
      <c r="E133" s="348" t="s">
        <v>527</v>
      </c>
      <c r="F133" t="str">
        <f>IF(Developer_Name = "","",UPPER(Developer_Name))</f>
        <v/>
      </c>
      <c r="G133" s="348"/>
      <c r="H133" s="502"/>
    </row>
    <row r="134" spans="1:8" s="506" customFormat="1">
      <c r="A134" s="348" t="s">
        <v>736</v>
      </c>
      <c r="B134" s="348" t="s">
        <v>718</v>
      </c>
      <c r="C134" s="348" t="s">
        <v>737</v>
      </c>
      <c r="D134" s="348" t="s">
        <v>737</v>
      </c>
      <c r="E134" s="348" t="s">
        <v>527</v>
      </c>
      <c r="F134" t="str">
        <f>UPPER(DEV_Contact_First_Name&amp;" "&amp;DEV_Contact_Last_Name)</f>
        <v xml:space="preserve"> </v>
      </c>
      <c r="G134" s="348"/>
      <c r="H134" s="502"/>
    </row>
    <row r="135" spans="1:8" s="506" customFormat="1">
      <c r="A135" s="348" t="s">
        <v>738</v>
      </c>
      <c r="B135" s="348" t="s">
        <v>718</v>
      </c>
      <c r="C135" s="348" t="s">
        <v>739</v>
      </c>
      <c r="D135" s="348" t="s">
        <v>739</v>
      </c>
      <c r="E135" s="348" t="s">
        <v>527</v>
      </c>
      <c r="F135" t="str">
        <f>IF(DEV_Telephone_Number="","",DEV_Telephone_Number)</f>
        <v/>
      </c>
      <c r="G135" s="348"/>
      <c r="H135" s="502"/>
    </row>
    <row r="136" spans="1:8" s="506" customFormat="1">
      <c r="A136" s="348" t="s">
        <v>740</v>
      </c>
      <c r="B136" s="348" t="s">
        <v>741</v>
      </c>
      <c r="C136" s="348" t="s">
        <v>742</v>
      </c>
      <c r="D136" s="348" t="s">
        <v>742</v>
      </c>
      <c r="E136" s="348" t="s">
        <v>527</v>
      </c>
      <c r="F136" s="52" t="str">
        <f>IF(Judgements="","",Judgements)</f>
        <v/>
      </c>
      <c r="G136" s="348"/>
      <c r="H136" s="502"/>
    </row>
    <row r="137" spans="1:8" s="506" customFormat="1">
      <c r="A137" s="348" t="s">
        <v>743</v>
      </c>
      <c r="B137" s="348" t="s">
        <v>741</v>
      </c>
      <c r="C137" s="348" t="s">
        <v>744</v>
      </c>
      <c r="D137" s="348" t="s">
        <v>744</v>
      </c>
      <c r="E137" s="348" t="s">
        <v>527</v>
      </c>
      <c r="F137" s="52" t="str">
        <f>IF(Litigation="","",Litigation)</f>
        <v/>
      </c>
      <c r="G137" s="348"/>
      <c r="H137" s="502"/>
    </row>
    <row r="138" spans="1:8" s="506" customFormat="1">
      <c r="A138" s="348" t="s">
        <v>745</v>
      </c>
      <c r="B138" s="348" t="s">
        <v>741</v>
      </c>
      <c r="C138" s="348" t="s">
        <v>746</v>
      </c>
      <c r="D138" s="348" t="s">
        <v>746</v>
      </c>
      <c r="E138" s="348" t="s">
        <v>527</v>
      </c>
      <c r="F138" s="52" t="str">
        <f>IF(Environmental_Issues="","",Environmental_Issues)</f>
        <v/>
      </c>
      <c r="G138" s="348"/>
      <c r="H138" s="502"/>
    </row>
    <row r="139" spans="1:8" s="506" customFormat="1">
      <c r="A139" s="348" t="s">
        <v>747</v>
      </c>
      <c r="B139" s="348" t="s">
        <v>741</v>
      </c>
      <c r="C139" s="348" t="s">
        <v>748</v>
      </c>
      <c r="D139" s="348" t="s">
        <v>748</v>
      </c>
      <c r="E139" s="348" t="s">
        <v>527</v>
      </c>
      <c r="F139" t="str">
        <f>IF(Explanation="","",Explanation)</f>
        <v/>
      </c>
      <c r="G139" s="348"/>
      <c r="H139" s="502"/>
    </row>
    <row r="140" spans="1:8" s="506" customFormat="1">
      <c r="A140" s="421"/>
      <c r="B140" s="422"/>
      <c r="C140" s="422"/>
      <c r="D140" s="422"/>
      <c r="E140" s="422"/>
      <c r="F140" s="422"/>
      <c r="G140" s="422" t="s">
        <v>749</v>
      </c>
      <c r="H140" s="502"/>
    </row>
    <row r="141" spans="1:8" s="504" customFormat="1">
      <c r="A141" s="1792" t="s">
        <v>750</v>
      </c>
      <c r="B141" s="1792"/>
      <c r="C141" s="1792"/>
      <c r="D141" s="1792"/>
      <c r="E141" s="1792"/>
      <c r="F141" s="1690"/>
      <c r="G141" s="1690"/>
      <c r="H141" s="507"/>
    </row>
    <row r="142" spans="1:8" s="505" customFormat="1">
      <c r="A142" s="1793" t="s">
        <v>751</v>
      </c>
      <c r="B142" s="1793"/>
      <c r="C142" s="1793"/>
      <c r="D142" s="1793"/>
      <c r="E142" s="1793"/>
      <c r="F142" s="1691"/>
      <c r="G142" s="1691"/>
      <c r="H142" s="508"/>
    </row>
    <row r="143" spans="1:8" s="506" customFormat="1">
      <c r="A143" s="348" t="s">
        <v>752</v>
      </c>
      <c r="B143" s="348"/>
      <c r="C143" s="348"/>
      <c r="D143" s="348"/>
      <c r="E143" s="348"/>
      <c r="F143" s="452"/>
      <c r="G143" s="348"/>
      <c r="H143" s="502"/>
    </row>
    <row r="144" spans="1:8" s="506" customFormat="1">
      <c r="A144" s="348" t="s">
        <v>753</v>
      </c>
      <c r="B144" s="348" t="s">
        <v>754</v>
      </c>
      <c r="C144" s="348" t="s">
        <v>753</v>
      </c>
      <c r="D144" s="348" t="s">
        <v>753</v>
      </c>
      <c r="E144" s="348" t="s">
        <v>755</v>
      </c>
      <c r="F144">
        <f>Total_Buildable_Acreage</f>
        <v>0</v>
      </c>
      <c r="G144" s="348"/>
      <c r="H144" s="502"/>
    </row>
    <row r="145" spans="1:8" s="506" customFormat="1">
      <c r="A145" s="348" t="s">
        <v>756</v>
      </c>
      <c r="B145" s="348" t="s">
        <v>754</v>
      </c>
      <c r="C145" s="348" t="s">
        <v>757</v>
      </c>
      <c r="D145" s="348" t="s">
        <v>758</v>
      </c>
      <c r="E145" s="348" t="s">
        <v>755</v>
      </c>
      <c r="F145" s="52" t="str">
        <f>IF(Demotition_Required="","",Demotition_Required)</f>
        <v/>
      </c>
      <c r="G145" s="348"/>
      <c r="H145" s="502"/>
    </row>
    <row r="146" spans="1:8" s="506" customFormat="1">
      <c r="A146" s="348" t="s">
        <v>759</v>
      </c>
      <c r="B146" s="348" t="s">
        <v>754</v>
      </c>
      <c r="C146" s="348" t="s">
        <v>760</v>
      </c>
      <c r="D146" s="348" t="s">
        <v>761</v>
      </c>
      <c r="E146" s="348" t="s">
        <v>755</v>
      </c>
      <c r="F146" s="52" t="str">
        <f>IF(Buildings_Occupied="","",Buildings_Occupied)</f>
        <v/>
      </c>
      <c r="G146" s="348"/>
      <c r="H146" s="502"/>
    </row>
    <row r="147" spans="1:8" s="506" customFormat="1">
      <c r="A147" s="348" t="s">
        <v>762</v>
      </c>
      <c r="B147" s="348" t="s">
        <v>754</v>
      </c>
      <c r="C147" s="348" t="s">
        <v>763</v>
      </c>
      <c r="D147" s="348" t="s">
        <v>764</v>
      </c>
      <c r="E147" s="348" t="s">
        <v>765</v>
      </c>
      <c r="F147" s="52" t="str">
        <f>IF(Temporary_Displaced="","",Temporary_Displaced)</f>
        <v/>
      </c>
      <c r="G147" s="348"/>
      <c r="H147" s="502"/>
    </row>
    <row r="148" spans="1:8" s="506" customFormat="1">
      <c r="A148" s="348" t="s">
        <v>766</v>
      </c>
      <c r="B148" s="348" t="s">
        <v>754</v>
      </c>
      <c r="C148" s="348" t="s">
        <v>767</v>
      </c>
      <c r="D148" s="348" t="s">
        <v>768</v>
      </c>
      <c r="E148" s="348" t="s">
        <v>765</v>
      </c>
      <c r="F148" s="52" t="str">
        <f>IF(Permanently_Displaced="","",Permanently_Displaced)</f>
        <v/>
      </c>
      <c r="G148" s="348"/>
      <c r="H148" s="502"/>
    </row>
    <row r="149" spans="1:8" s="506" customFormat="1">
      <c r="A149" s="348" t="s">
        <v>769</v>
      </c>
      <c r="B149" s="348" t="s">
        <v>754</v>
      </c>
      <c r="C149" s="348" t="s">
        <v>770</v>
      </c>
      <c r="D149" s="348" t="s">
        <v>771</v>
      </c>
      <c r="E149" s="348" t="s">
        <v>765</v>
      </c>
      <c r="F149" s="52" t="str">
        <f>IF(Flood_Zone="","",Flood_Zone)</f>
        <v/>
      </c>
      <c r="G149" s="348"/>
      <c r="H149" s="502"/>
    </row>
    <row r="150" spans="1:8" s="505" customFormat="1">
      <c r="A150" s="1793" t="s">
        <v>772</v>
      </c>
      <c r="B150" s="1793"/>
      <c r="C150" s="1793"/>
      <c r="D150" s="1793"/>
      <c r="E150" s="1793"/>
      <c r="F150" s="1691"/>
      <c r="G150" s="1691"/>
      <c r="H150" s="508"/>
    </row>
    <row r="151" spans="1:8" s="506" customFormat="1">
      <c r="A151" s="348" t="s">
        <v>773</v>
      </c>
      <c r="B151" s="348"/>
      <c r="C151" s="348"/>
      <c r="D151" s="348"/>
      <c r="E151" s="348"/>
      <c r="F151" s="348"/>
      <c r="G151" s="348"/>
      <c r="H151" s="502"/>
    </row>
    <row r="152" spans="1:8" s="504" customFormat="1">
      <c r="A152" s="1792" t="s">
        <v>774</v>
      </c>
      <c r="B152" s="1792"/>
      <c r="C152" s="1792"/>
      <c r="D152" s="1792"/>
      <c r="E152" s="1792"/>
      <c r="F152" s="1690"/>
      <c r="G152" s="1690"/>
      <c r="H152" s="507"/>
    </row>
    <row r="153" spans="1:8" s="505" customFormat="1">
      <c r="A153" s="1793" t="s">
        <v>775</v>
      </c>
      <c r="B153" s="1793"/>
      <c r="C153" s="1793"/>
      <c r="D153" s="1793"/>
      <c r="E153" s="1793"/>
      <c r="F153" s="1691"/>
      <c r="G153" s="1691"/>
      <c r="H153" s="508"/>
    </row>
    <row r="154" spans="1:8" s="506" customFormat="1">
      <c r="A154" s="348" t="s">
        <v>773</v>
      </c>
      <c r="B154" s="348"/>
      <c r="C154" s="348"/>
      <c r="D154" s="348"/>
      <c r="E154" s="348"/>
      <c r="F154" s="348"/>
      <c r="G154" s="348"/>
      <c r="H154" s="502"/>
    </row>
    <row r="155" spans="1:8" s="504" customFormat="1">
      <c r="A155" s="1792" t="s">
        <v>776</v>
      </c>
      <c r="B155" s="1792"/>
      <c r="C155" s="1792"/>
      <c r="D155" s="1792"/>
      <c r="E155" s="1792"/>
      <c r="F155" s="1690"/>
      <c r="G155" s="1690"/>
      <c r="H155" s="507"/>
    </row>
    <row r="156" spans="1:8" s="505" customFormat="1">
      <c r="A156" s="1793" t="s">
        <v>777</v>
      </c>
      <c r="B156" s="1793"/>
      <c r="C156" s="1793"/>
      <c r="D156" s="1793"/>
      <c r="E156" s="1793"/>
      <c r="F156" s="1691"/>
      <c r="G156" s="1691"/>
      <c r="H156" s="508"/>
    </row>
    <row r="157" spans="1:8" s="506" customFormat="1">
      <c r="A157" s="348" t="s">
        <v>773</v>
      </c>
      <c r="B157" s="348"/>
      <c r="C157" s="348"/>
      <c r="D157" s="348"/>
      <c r="E157" s="348"/>
      <c r="F157" s="348"/>
      <c r="G157" s="348"/>
      <c r="H157" s="502"/>
    </row>
    <row r="158" spans="1:8" s="504" customFormat="1">
      <c r="A158" s="1792" t="s">
        <v>778</v>
      </c>
      <c r="B158" s="1792"/>
      <c r="C158" s="1792"/>
      <c r="D158" s="1792"/>
      <c r="E158" s="1792"/>
      <c r="F158" s="1690"/>
      <c r="G158" s="1690"/>
      <c r="H158" s="507"/>
    </row>
    <row r="159" spans="1:8" s="505" customFormat="1">
      <c r="A159" s="1793" t="s">
        <v>779</v>
      </c>
      <c r="B159" s="1793"/>
      <c r="C159" s="1793"/>
      <c r="D159" s="1793"/>
      <c r="E159" s="1793"/>
      <c r="F159" s="1691"/>
      <c r="G159" s="1691"/>
      <c r="H159" s="508"/>
    </row>
    <row r="160" spans="1:8" s="506" customFormat="1">
      <c r="A160" s="348" t="s">
        <v>780</v>
      </c>
      <c r="B160" s="348" t="s">
        <v>781</v>
      </c>
      <c r="C160" s="348" t="s">
        <v>780</v>
      </c>
      <c r="D160" s="348" t="s">
        <v>780</v>
      </c>
      <c r="E160" s="348" t="s">
        <v>755</v>
      </c>
      <c r="F160" t="str">
        <f>UPPER(IF(Owner_Name = "","",Owner_Name))</f>
        <v/>
      </c>
      <c r="G160" s="348"/>
      <c r="H160" s="502"/>
    </row>
    <row r="161" spans="1:8" s="506" customFormat="1">
      <c r="A161" s="348" t="s">
        <v>782</v>
      </c>
      <c r="B161" s="348" t="s">
        <v>781</v>
      </c>
      <c r="C161" s="348" t="s">
        <v>782</v>
      </c>
      <c r="D161" s="348" t="s">
        <v>783</v>
      </c>
      <c r="E161" s="348" t="s">
        <v>755</v>
      </c>
      <c r="F161" t="str">
        <f>IF(Ownership_Contact_Person_First_Name="","",Ownership_Contact_Person_First_Name)</f>
        <v/>
      </c>
      <c r="G161" s="348"/>
      <c r="H161" s="502"/>
    </row>
    <row r="162" spans="1:8" s="506" customFormat="1">
      <c r="A162" s="348" t="s">
        <v>782</v>
      </c>
      <c r="B162" s="348" t="s">
        <v>781</v>
      </c>
      <c r="C162" s="348" t="s">
        <v>782</v>
      </c>
      <c r="D162" s="348" t="s">
        <v>784</v>
      </c>
      <c r="E162" s="348" t="s">
        <v>755</v>
      </c>
      <c r="F162" t="str">
        <f>IF(Ownership_Contact_Person_Last_Name="","",Ownership_Contact_Person_Last_Name)</f>
        <v/>
      </c>
      <c r="G162" s="348"/>
      <c r="H162" s="502"/>
    </row>
    <row r="163" spans="1:8" s="506" customFormat="1">
      <c r="A163" s="348" t="s">
        <v>528</v>
      </c>
      <c r="B163" s="348" t="s">
        <v>785</v>
      </c>
      <c r="C163" s="348" t="s">
        <v>528</v>
      </c>
      <c r="D163" s="348" t="s">
        <v>786</v>
      </c>
      <c r="E163" s="348" t="s">
        <v>765</v>
      </c>
      <c r="F163" t="str">
        <f>IF(Owner_City="","",Owner_City)</f>
        <v/>
      </c>
      <c r="G163" s="348"/>
      <c r="H163" s="502"/>
    </row>
    <row r="164" spans="1:8" s="506" customFormat="1">
      <c r="A164" s="348" t="s">
        <v>244</v>
      </c>
      <c r="B164" s="348" t="s">
        <v>785</v>
      </c>
      <c r="C164" s="348" t="s">
        <v>787</v>
      </c>
      <c r="D164" s="348" t="s">
        <v>788</v>
      </c>
      <c r="E164" s="348" t="s">
        <v>501</v>
      </c>
      <c r="F164" s="52" t="str">
        <f>IF(Owner_State="","",Owner_State)</f>
        <v/>
      </c>
      <c r="G164" s="348"/>
      <c r="H164" s="502"/>
    </row>
    <row r="165" spans="1:8" s="506" customFormat="1">
      <c r="A165" s="348" t="s">
        <v>789</v>
      </c>
      <c r="B165" s="348" t="s">
        <v>785</v>
      </c>
      <c r="C165" s="348" t="s">
        <v>790</v>
      </c>
      <c r="D165" s="348" t="s">
        <v>791</v>
      </c>
      <c r="E165" s="348" t="s">
        <v>792</v>
      </c>
      <c r="F165" t="str">
        <f>IF(Owner_Zip="","",Owner_Zip)</f>
        <v/>
      </c>
      <c r="G165" s="348"/>
      <c r="H165" s="502"/>
    </row>
    <row r="166" spans="1:8" s="506" customFormat="1">
      <c r="A166" s="1792" t="s">
        <v>793</v>
      </c>
      <c r="B166" s="1792"/>
      <c r="C166" s="1792"/>
      <c r="D166" s="1792"/>
      <c r="E166" s="1792"/>
      <c r="F166" s="348"/>
      <c r="G166" s="348"/>
      <c r="H166" s="502"/>
    </row>
    <row r="167" spans="1:8" s="506" customFormat="1">
      <c r="A167" s="1793"/>
      <c r="B167" s="1793"/>
      <c r="C167" s="1793"/>
      <c r="D167" s="1793"/>
      <c r="E167" s="1793"/>
      <c r="F167" s="348"/>
      <c r="G167" s="348"/>
      <c r="H167" s="502"/>
    </row>
    <row r="168" spans="1:8">
      <c r="A168" s="1792" t="s">
        <v>794</v>
      </c>
      <c r="B168" s="1792"/>
      <c r="C168" s="1792"/>
      <c r="D168" s="1792"/>
      <c r="E168" s="1792"/>
      <c r="F168" s="1690"/>
      <c r="G168" s="1690"/>
    </row>
    <row r="169" spans="1:8" s="506" customFormat="1">
      <c r="A169" s="348" t="s">
        <v>795</v>
      </c>
      <c r="B169" s="348" t="s">
        <v>741</v>
      </c>
      <c r="C169" s="348" t="s">
        <v>795</v>
      </c>
      <c r="D169" s="348" t="s">
        <v>795</v>
      </c>
      <c r="E169" s="348" t="s">
        <v>527</v>
      </c>
      <c r="F169" s="395" t="b">
        <f>IF('10. Project and Unit Amenities'!D19&lt;&gt;"YES",FALSE,TRUE)</f>
        <v>0</v>
      </c>
      <c r="G169" s="348"/>
      <c r="H169" s="502"/>
    </row>
    <row r="170" spans="1:8" s="506" customFormat="1">
      <c r="A170" s="348" t="s">
        <v>796</v>
      </c>
      <c r="B170" s="348" t="s">
        <v>741</v>
      </c>
      <c r="C170" s="348" t="s">
        <v>797</v>
      </c>
      <c r="D170" s="348" t="s">
        <v>797</v>
      </c>
      <c r="E170" s="348" t="s">
        <v>527</v>
      </c>
      <c r="F170" s="395">
        <f>ROUND('10. Project and Unit Amenities'!J26,0)</f>
        <v>0</v>
      </c>
      <c r="G170" s="348"/>
      <c r="H170" s="502"/>
    </row>
    <row r="171" spans="1:8" s="506" customFormat="1">
      <c r="A171" s="348"/>
      <c r="B171" s="348"/>
      <c r="C171" s="348"/>
      <c r="D171" s="348"/>
      <c r="E171" s="348"/>
      <c r="F171" s="348"/>
      <c r="G171" s="348"/>
      <c r="H171" s="502"/>
    </row>
    <row r="172" spans="1:8" s="506" customFormat="1">
      <c r="A172" s="1792" t="s">
        <v>217</v>
      </c>
      <c r="B172" s="1792"/>
      <c r="C172" s="1792"/>
      <c r="D172" s="1792"/>
      <c r="E172" s="1792"/>
      <c r="F172" s="1690"/>
      <c r="G172" s="1690"/>
      <c r="H172" s="502"/>
    </row>
    <row r="173" spans="1:8" s="506" customFormat="1">
      <c r="A173" s="348" t="s">
        <v>798</v>
      </c>
      <c r="B173" s="348" t="s">
        <v>741</v>
      </c>
      <c r="C173" s="348" t="s">
        <v>799</v>
      </c>
      <c r="D173" s="348" t="s">
        <v>800</v>
      </c>
      <c r="E173" s="348" t="s">
        <v>527</v>
      </c>
      <c r="F173" s="395">
        <f>'12. Funding Sources'!I44</f>
        <v>0</v>
      </c>
      <c r="G173" s="348" t="s">
        <v>801</v>
      </c>
      <c r="H173" s="502"/>
    </row>
    <row r="174" spans="1:8" s="506" customFormat="1">
      <c r="A174" s="348" t="s">
        <v>802</v>
      </c>
      <c r="B174" s="348" t="s">
        <v>741</v>
      </c>
      <c r="C174" s="348" t="s">
        <v>799</v>
      </c>
      <c r="D174" s="348" t="s">
        <v>803</v>
      </c>
      <c r="E174" s="348" t="s">
        <v>527</v>
      </c>
      <c r="F174" s="395">
        <f>'12. Funding Sources'!I46</f>
        <v>0</v>
      </c>
      <c r="G174" s="348" t="s">
        <v>804</v>
      </c>
      <c r="H174" s="502"/>
    </row>
    <row r="175" spans="1:8" s="506" customFormat="1">
      <c r="A175" s="348" t="s">
        <v>805</v>
      </c>
      <c r="B175" s="348" t="s">
        <v>741</v>
      </c>
      <c r="C175" s="348" t="s">
        <v>799</v>
      </c>
      <c r="D175" s="348" t="s">
        <v>805</v>
      </c>
      <c r="E175" s="348" t="s">
        <v>527</v>
      </c>
      <c r="F175" s="395">
        <f>IF('12. Funding Sources'!E78="N/A For 9% Transactions", "", '12. Funding Sources'!E78)</f>
        <v>0</v>
      </c>
      <c r="G175" s="348"/>
      <c r="H175" s="502"/>
    </row>
    <row r="176" spans="1:8" s="506" customFormat="1">
      <c r="A176" s="348" t="s">
        <v>806</v>
      </c>
      <c r="B176" s="348" t="s">
        <v>741</v>
      </c>
      <c r="C176" s="348" t="s">
        <v>799</v>
      </c>
      <c r="D176" s="348" t="s">
        <v>806</v>
      </c>
      <c r="E176" s="348" t="s">
        <v>527</v>
      </c>
      <c r="F176" s="395">
        <f>IF('12. Funding Sources'!E78="N/A For 9% Transactions", "", '12. Funding Sources'!F78)</f>
        <v>0</v>
      </c>
      <c r="G176" s="348"/>
      <c r="H176" s="502"/>
    </row>
    <row r="177" spans="1:8">
      <c r="A177" s="1792" t="s">
        <v>807</v>
      </c>
      <c r="B177" s="1792"/>
      <c r="C177" s="1792"/>
      <c r="D177" s="1792"/>
      <c r="E177" s="1792"/>
      <c r="F177" s="1690"/>
      <c r="G177" s="1690"/>
    </row>
    <row r="178" spans="1:8" s="513" customFormat="1">
      <c r="A178" s="511"/>
      <c r="B178" s="511"/>
      <c r="C178" s="511"/>
      <c r="D178" s="511"/>
      <c r="E178" s="511"/>
      <c r="F178" s="511"/>
      <c r="G178" s="511"/>
      <c r="H178" s="512"/>
    </row>
    <row r="179" spans="1:8" s="506" customFormat="1">
      <c r="A179" s="348" t="s">
        <v>808</v>
      </c>
      <c r="B179" s="348" t="s">
        <v>809</v>
      </c>
      <c r="C179" s="348" t="s">
        <v>810</v>
      </c>
      <c r="D179" s="348" t="s">
        <v>810</v>
      </c>
      <c r="E179" s="348" t="s">
        <v>765</v>
      </c>
      <c r="F179" s="515">
        <f>'14. Project Costs'!H159</f>
        <v>0</v>
      </c>
      <c r="G179" s="348"/>
      <c r="H179" s="502"/>
    </row>
    <row r="180" spans="1:8" s="506" customFormat="1">
      <c r="A180" s="348" t="s">
        <v>811</v>
      </c>
      <c r="B180" s="348" t="s">
        <v>809</v>
      </c>
      <c r="C180" s="348" t="s">
        <v>812</v>
      </c>
      <c r="D180" s="348" t="s">
        <v>812</v>
      </c>
      <c r="E180" s="348" t="s">
        <v>765</v>
      </c>
      <c r="F180" s="515">
        <f>'14. Project Costs'!M159</f>
        <v>0</v>
      </c>
      <c r="G180" s="348"/>
      <c r="H180" s="502"/>
    </row>
    <row r="181" spans="1:8" s="506" customFormat="1">
      <c r="A181" s="348" t="s">
        <v>813</v>
      </c>
      <c r="B181" s="348" t="s">
        <v>809</v>
      </c>
      <c r="C181" s="348" t="s">
        <v>814</v>
      </c>
      <c r="D181" s="348" t="s">
        <v>814</v>
      </c>
      <c r="E181" s="348" t="s">
        <v>765</v>
      </c>
      <c r="F181" s="515">
        <f>'14. Project Costs'!N159</f>
        <v>0</v>
      </c>
      <c r="G181" s="348"/>
      <c r="H181" s="502"/>
    </row>
    <row r="182" spans="1:8" s="506" customFormat="1">
      <c r="A182" s="348" t="s">
        <v>815</v>
      </c>
      <c r="B182" s="348" t="s">
        <v>809</v>
      </c>
      <c r="C182" s="348" t="s">
        <v>816</v>
      </c>
      <c r="D182" s="348" t="s">
        <v>816</v>
      </c>
      <c r="E182" s="348" t="s">
        <v>765</v>
      </c>
      <c r="F182" s="514">
        <f>PC_SFT_Accting_Fees_4</f>
        <v>0</v>
      </c>
      <c r="G182" s="348"/>
      <c r="H182" s="502"/>
    </row>
    <row r="183" spans="1:8" s="506" customFormat="1">
      <c r="A183" s="348" t="s">
        <v>817</v>
      </c>
      <c r="B183" s="348" t="s">
        <v>809</v>
      </c>
      <c r="C183" s="348" t="s">
        <v>818</v>
      </c>
      <c r="D183" s="348" t="s">
        <v>819</v>
      </c>
      <c r="E183" s="348" t="s">
        <v>765</v>
      </c>
      <c r="F183" s="515">
        <f>'14. Project Costs'!G159</f>
        <v>0</v>
      </c>
      <c r="G183" s="348"/>
      <c r="H183" s="502"/>
    </row>
    <row r="184" spans="1:8" s="506" customFormat="1">
      <c r="A184" s="348" t="s">
        <v>820</v>
      </c>
      <c r="B184" s="348" t="s">
        <v>809</v>
      </c>
      <c r="C184" s="348" t="s">
        <v>821</v>
      </c>
      <c r="D184" s="348" t="s">
        <v>821</v>
      </c>
      <c r="E184" s="348" t="s">
        <v>527</v>
      </c>
      <c r="F184" s="514">
        <f>PC_SFT_Accting_Fees_Total</f>
        <v>0</v>
      </c>
      <c r="G184" s="348"/>
      <c r="H184" s="502"/>
    </row>
    <row r="185" spans="1:8" s="506" customFormat="1">
      <c r="A185" s="348"/>
      <c r="B185" s="348"/>
      <c r="C185" s="348"/>
      <c r="D185" s="348"/>
      <c r="E185" s="348"/>
      <c r="F185" s="348"/>
      <c r="G185" s="348"/>
      <c r="H185" s="502"/>
    </row>
    <row r="186" spans="1:8">
      <c r="A186" s="1792" t="s">
        <v>822</v>
      </c>
      <c r="B186" s="1792"/>
      <c r="C186" s="1792"/>
      <c r="D186" s="1792"/>
      <c r="E186" s="1792"/>
      <c r="F186" s="1690"/>
      <c r="G186" s="1690"/>
    </row>
    <row r="187" spans="1:8">
      <c r="A187" s="1800" t="s">
        <v>823</v>
      </c>
      <c r="B187" s="1801"/>
      <c r="C187" s="1801"/>
      <c r="D187" s="1801"/>
      <c r="E187" s="1801"/>
      <c r="F187" s="1693"/>
      <c r="G187" s="1693"/>
    </row>
    <row r="188" spans="1:8">
      <c r="A188" s="348" t="s">
        <v>824</v>
      </c>
      <c r="B188" s="348" t="s">
        <v>825</v>
      </c>
      <c r="C188" s="348" t="s">
        <v>824</v>
      </c>
      <c r="D188" s="348"/>
      <c r="E188" s="348"/>
      <c r="F188" s="636">
        <f>'15. Credit Calculation'!H8</f>
        <v>0</v>
      </c>
      <c r="G188" s="348"/>
    </row>
    <row r="189" spans="1:8">
      <c r="A189" s="348" t="s">
        <v>826</v>
      </c>
      <c r="B189" s="348" t="s">
        <v>825</v>
      </c>
      <c r="C189" s="348" t="s">
        <v>826</v>
      </c>
      <c r="D189" s="348"/>
      <c r="E189" s="348"/>
      <c r="F189" s="636">
        <f>'15. Credit Calculation'!P8</f>
        <v>0</v>
      </c>
      <c r="G189" s="348"/>
    </row>
    <row r="190" spans="1:8">
      <c r="A190" s="348" t="s">
        <v>827</v>
      </c>
      <c r="B190" s="348" t="s">
        <v>825</v>
      </c>
      <c r="C190" s="348" t="s">
        <v>827</v>
      </c>
      <c r="D190" s="348"/>
      <c r="E190" s="348"/>
      <c r="F190" s="58">
        <f>'15. Credit Calculation'!H9</f>
        <v>0</v>
      </c>
      <c r="G190" s="348"/>
    </row>
    <row r="191" spans="1:8">
      <c r="A191" s="348" t="s">
        <v>828</v>
      </c>
      <c r="B191" s="348" t="s">
        <v>825</v>
      </c>
      <c r="C191" s="348" t="s">
        <v>828</v>
      </c>
      <c r="D191" s="348"/>
      <c r="E191" s="348"/>
      <c r="F191" s="58">
        <f>'15. Credit Calculation'!P9</f>
        <v>0</v>
      </c>
      <c r="G191" s="348"/>
    </row>
    <row r="192" spans="1:8">
      <c r="A192" s="348" t="s">
        <v>829</v>
      </c>
      <c r="B192" s="348" t="s">
        <v>825</v>
      </c>
      <c r="C192" s="348" t="s">
        <v>829</v>
      </c>
      <c r="D192" s="348"/>
      <c r="E192" s="348"/>
      <c r="F192" s="636">
        <f>'15. Credit Calculation'!H10</f>
        <v>0</v>
      </c>
      <c r="G192" s="348"/>
    </row>
    <row r="193" spans="1:7">
      <c r="A193" s="348" t="s">
        <v>830</v>
      </c>
      <c r="B193" s="348" t="s">
        <v>825</v>
      </c>
      <c r="C193" s="348" t="s">
        <v>830</v>
      </c>
      <c r="D193" s="348"/>
      <c r="E193" s="348"/>
      <c r="F193" s="636">
        <f>'15. Credit Calculation'!P10</f>
        <v>0</v>
      </c>
      <c r="G193" s="348"/>
    </row>
    <row r="194" spans="1:7">
      <c r="A194" s="348" t="s">
        <v>831</v>
      </c>
      <c r="B194" s="348" t="s">
        <v>825</v>
      </c>
      <c r="C194" s="348" t="s">
        <v>831</v>
      </c>
      <c r="D194" s="348"/>
      <c r="E194" s="348"/>
      <c r="F194" s="636">
        <f>'15. Credit Calculation'!H12</f>
        <v>0</v>
      </c>
      <c r="G194" s="348"/>
    </row>
    <row r="195" spans="1:7">
      <c r="A195" s="348" t="s">
        <v>832</v>
      </c>
      <c r="B195" s="348" t="s">
        <v>825</v>
      </c>
      <c r="C195" s="348" t="s">
        <v>832</v>
      </c>
      <c r="D195" s="348"/>
      <c r="E195" s="348"/>
      <c r="F195" s="636">
        <f>'15. Credit Calculation'!P12</f>
        <v>0</v>
      </c>
      <c r="G195" s="348"/>
    </row>
    <row r="196" spans="1:7">
      <c r="A196" s="1800" t="s">
        <v>833</v>
      </c>
      <c r="B196" s="1801"/>
      <c r="C196" s="1801"/>
      <c r="D196" s="1801"/>
      <c r="E196" s="1801"/>
      <c r="F196" s="1693"/>
      <c r="G196" s="1693"/>
    </row>
    <row r="197" spans="1:7">
      <c r="A197" s="354" t="s">
        <v>834</v>
      </c>
      <c r="B197" s="354" t="s">
        <v>825</v>
      </c>
      <c r="C197" s="354" t="s">
        <v>834</v>
      </c>
      <c r="D197" s="348"/>
      <c r="E197" s="348"/>
      <c r="F197" s="636">
        <f>'15. Credit Calculation'!H15</f>
        <v>0</v>
      </c>
      <c r="G197" s="348"/>
    </row>
    <row r="198" spans="1:7">
      <c r="A198" s="354" t="s">
        <v>835</v>
      </c>
      <c r="B198" s="354" t="s">
        <v>825</v>
      </c>
      <c r="C198" s="354" t="s">
        <v>835</v>
      </c>
      <c r="D198" s="348"/>
      <c r="E198" s="348"/>
      <c r="F198" s="636">
        <f>'15. Credit Calculation'!P15</f>
        <v>0</v>
      </c>
      <c r="G198" s="348"/>
    </row>
    <row r="199" spans="1:7">
      <c r="A199" s="354" t="s">
        <v>836</v>
      </c>
      <c r="B199" s="354" t="s">
        <v>825</v>
      </c>
      <c r="C199" s="354" t="s">
        <v>836</v>
      </c>
      <c r="D199" s="348"/>
      <c r="E199" s="348"/>
      <c r="F199" s="636">
        <f>'15. Credit Calculation'!H16</f>
        <v>0</v>
      </c>
      <c r="G199" s="348"/>
    </row>
    <row r="200" spans="1:7">
      <c r="A200" s="354" t="s">
        <v>837</v>
      </c>
      <c r="B200" s="354" t="s">
        <v>825</v>
      </c>
      <c r="C200" s="354" t="s">
        <v>837</v>
      </c>
      <c r="D200" s="348"/>
      <c r="E200" s="348"/>
      <c r="F200" s="636">
        <f>'15. Credit Calculation'!P16</f>
        <v>0</v>
      </c>
      <c r="G200" s="348"/>
    </row>
    <row r="201" spans="1:7">
      <c r="A201" s="354" t="s">
        <v>838</v>
      </c>
      <c r="B201" s="354" t="s">
        <v>825</v>
      </c>
      <c r="C201" s="354" t="s">
        <v>838</v>
      </c>
      <c r="D201" s="348"/>
      <c r="E201" s="348"/>
      <c r="F201"/>
      <c r="G201" s="348"/>
    </row>
    <row r="202" spans="1:7">
      <c r="A202" s="354" t="s">
        <v>839</v>
      </c>
      <c r="B202" s="354" t="s">
        <v>825</v>
      </c>
      <c r="C202" s="354" t="s">
        <v>839</v>
      </c>
      <c r="D202" s="348"/>
      <c r="E202" s="348"/>
      <c r="F202"/>
      <c r="G202" s="348"/>
    </row>
    <row r="203" spans="1:7">
      <c r="A203" s="354" t="s">
        <v>840</v>
      </c>
      <c r="B203" s="354" t="s">
        <v>825</v>
      </c>
      <c r="C203" s="354" t="s">
        <v>840</v>
      </c>
      <c r="D203" s="348"/>
      <c r="E203" s="348"/>
      <c r="F203" s="636">
        <f>'15. Credit Calculation'!H18</f>
        <v>0</v>
      </c>
      <c r="G203" s="348"/>
    </row>
    <row r="204" spans="1:7">
      <c r="A204" s="354" t="s">
        <v>841</v>
      </c>
      <c r="B204" s="354" t="s">
        <v>825</v>
      </c>
      <c r="C204" s="354" t="s">
        <v>841</v>
      </c>
      <c r="D204" s="348"/>
      <c r="E204" s="348"/>
      <c r="F204" s="636">
        <f>'15. Credit Calculation'!P18</f>
        <v>0</v>
      </c>
      <c r="G204" s="348"/>
    </row>
    <row r="205" spans="1:7">
      <c r="A205" s="354" t="s">
        <v>842</v>
      </c>
      <c r="B205" s="354" t="s">
        <v>825</v>
      </c>
      <c r="C205" s="354" t="s">
        <v>842</v>
      </c>
      <c r="D205" s="348"/>
      <c r="E205" s="348"/>
      <c r="F205" s="636">
        <f>'15. Credit Calculation'!H19</f>
        <v>0</v>
      </c>
      <c r="G205" s="348"/>
    </row>
    <row r="206" spans="1:7">
      <c r="A206" s="354" t="s">
        <v>843</v>
      </c>
      <c r="B206" s="354" t="s">
        <v>825</v>
      </c>
      <c r="C206" s="354" t="s">
        <v>843</v>
      </c>
      <c r="D206" s="348"/>
      <c r="E206" s="348"/>
      <c r="F206" s="636">
        <f>'15. Credit Calculation'!P19</f>
        <v>0</v>
      </c>
      <c r="G206" s="348"/>
    </row>
    <row r="207" spans="1:7">
      <c r="A207" s="354" t="s">
        <v>844</v>
      </c>
      <c r="B207" s="354" t="s">
        <v>825</v>
      </c>
      <c r="C207" s="354" t="s">
        <v>844</v>
      </c>
      <c r="D207" s="348"/>
      <c r="E207" s="348"/>
      <c r="F207" s="636">
        <f>'15. Credit Calculation'!H20</f>
        <v>0</v>
      </c>
      <c r="G207" s="348"/>
    </row>
    <row r="208" spans="1:7">
      <c r="A208" s="354" t="s">
        <v>845</v>
      </c>
      <c r="B208" s="354" t="s">
        <v>825</v>
      </c>
      <c r="C208" s="354" t="s">
        <v>845</v>
      </c>
      <c r="D208" s="348"/>
      <c r="E208" s="348"/>
      <c r="F208" s="636">
        <f>'15. Credit Calculation'!P20</f>
        <v>0</v>
      </c>
      <c r="G208" s="348"/>
    </row>
    <row r="209" spans="1:7">
      <c r="A209" s="354" t="s">
        <v>846</v>
      </c>
      <c r="B209" s="354" t="s">
        <v>825</v>
      </c>
      <c r="C209" s="354" t="s">
        <v>846</v>
      </c>
      <c r="D209" s="348"/>
      <c r="E209" s="348"/>
      <c r="F209" s="636">
        <f>'15. Credit Calculation'!H21</f>
        <v>0</v>
      </c>
      <c r="G209" s="348"/>
    </row>
    <row r="210" spans="1:7">
      <c r="A210" s="354" t="s">
        <v>847</v>
      </c>
      <c r="B210" s="354" t="s">
        <v>825</v>
      </c>
      <c r="C210" s="354" t="s">
        <v>847</v>
      </c>
      <c r="D210" s="348"/>
      <c r="E210" s="348"/>
      <c r="F210" s="636">
        <f>'15. Credit Calculation'!P21</f>
        <v>0</v>
      </c>
      <c r="G210" s="348"/>
    </row>
    <row r="211" spans="1:7">
      <c r="A211" s="354" t="s">
        <v>848</v>
      </c>
      <c r="B211" s="354" t="s">
        <v>825</v>
      </c>
      <c r="C211" s="354" t="s">
        <v>848</v>
      </c>
      <c r="D211" s="348"/>
      <c r="E211" s="348"/>
      <c r="F211" s="636">
        <f>'15. Credit Calculation'!H22</f>
        <v>0</v>
      </c>
      <c r="G211" s="348"/>
    </row>
    <row r="212" spans="1:7">
      <c r="A212" s="354" t="s">
        <v>849</v>
      </c>
      <c r="B212" s="354" t="s">
        <v>825</v>
      </c>
      <c r="C212" s="354" t="s">
        <v>849</v>
      </c>
      <c r="D212" s="348"/>
      <c r="E212" s="348"/>
      <c r="F212" s="636">
        <f>'15. Credit Calculation'!P22</f>
        <v>0</v>
      </c>
      <c r="G212" s="348"/>
    </row>
    <row r="213" spans="1:7">
      <c r="A213" s="354" t="s">
        <v>850</v>
      </c>
      <c r="B213" s="354" t="s">
        <v>825</v>
      </c>
      <c r="C213" s="354" t="s">
        <v>850</v>
      </c>
      <c r="D213" s="348"/>
      <c r="E213" s="348"/>
      <c r="F213" s="636">
        <f>'15. Credit Calculation'!H23</f>
        <v>0</v>
      </c>
      <c r="G213" s="348"/>
    </row>
    <row r="214" spans="1:7">
      <c r="A214" s="354" t="s">
        <v>851</v>
      </c>
      <c r="B214" s="354" t="s">
        <v>825</v>
      </c>
      <c r="C214" s="354" t="s">
        <v>851</v>
      </c>
      <c r="D214" s="348"/>
      <c r="E214" s="348"/>
      <c r="F214" s="636">
        <f>'15. Credit Calculation'!P23</f>
        <v>0</v>
      </c>
      <c r="G214" s="348"/>
    </row>
    <row r="215" spans="1:7">
      <c r="A215" s="354" t="s">
        <v>852</v>
      </c>
      <c r="B215" s="354" t="s">
        <v>825</v>
      </c>
      <c r="C215" s="354" t="s">
        <v>852</v>
      </c>
      <c r="D215" s="348"/>
      <c r="E215" s="348"/>
      <c r="F215" s="58">
        <f>'15. Credit Calculation'!H24</f>
        <v>0</v>
      </c>
      <c r="G215" s="348"/>
    </row>
    <row r="216" spans="1:7">
      <c r="A216" s="354" t="s">
        <v>853</v>
      </c>
      <c r="B216" s="354" t="s">
        <v>825</v>
      </c>
      <c r="C216" s="354" t="s">
        <v>853</v>
      </c>
      <c r="D216" s="348"/>
      <c r="E216" s="348"/>
      <c r="F216" s="58">
        <f>'15. Credit Calculation'!P24</f>
        <v>0</v>
      </c>
      <c r="G216" s="348"/>
    </row>
    <row r="217" spans="1:7">
      <c r="A217" s="354" t="s">
        <v>854</v>
      </c>
      <c r="B217" s="354" t="s">
        <v>825</v>
      </c>
      <c r="C217" s="354" t="s">
        <v>854</v>
      </c>
      <c r="D217" s="348"/>
      <c r="E217" s="348"/>
      <c r="F217" s="636">
        <f>'15. Credit Calculation'!H25</f>
        <v>0</v>
      </c>
      <c r="G217" s="348"/>
    </row>
    <row r="218" spans="1:7">
      <c r="A218" s="354" t="s">
        <v>855</v>
      </c>
      <c r="B218" s="354" t="s">
        <v>825</v>
      </c>
      <c r="C218" s="354" t="s">
        <v>855</v>
      </c>
      <c r="D218" s="348"/>
      <c r="E218" s="348"/>
      <c r="F218" s="636">
        <f>'15. Credit Calculation'!P25</f>
        <v>0</v>
      </c>
      <c r="G218" s="348"/>
    </row>
    <row r="219" spans="1:7">
      <c r="A219" s="354" t="s">
        <v>856</v>
      </c>
      <c r="B219" s="354" t="s">
        <v>825</v>
      </c>
      <c r="C219" s="354" t="s">
        <v>856</v>
      </c>
      <c r="D219" s="348"/>
      <c r="E219" s="348"/>
      <c r="F219" s="639">
        <f>IF('15. Credit Calculation'!H26="4%", 0.04, IF('15. Credit Calculation'!H26="9%", 0.09, '15. Credit Calculation'!H26))</f>
        <v>0</v>
      </c>
      <c r="G219" s="348"/>
    </row>
    <row r="220" spans="1:7">
      <c r="A220" s="354" t="s">
        <v>857</v>
      </c>
      <c r="B220" s="354" t="s">
        <v>825</v>
      </c>
      <c r="C220" s="354" t="s">
        <v>857</v>
      </c>
      <c r="D220" s="348"/>
      <c r="E220" s="348"/>
      <c r="F220" s="58">
        <f>'15. Credit Calculation'!P26</f>
        <v>0</v>
      </c>
      <c r="G220" s="348"/>
    </row>
    <row r="221" spans="1:7">
      <c r="A221" s="354" t="s">
        <v>858</v>
      </c>
      <c r="B221" s="354" t="s">
        <v>825</v>
      </c>
      <c r="C221" s="354" t="s">
        <v>858</v>
      </c>
      <c r="D221" s="348"/>
      <c r="E221" s="348"/>
      <c r="F221" s="636">
        <f>'15. Credit Calculation'!H27</f>
        <v>0</v>
      </c>
      <c r="G221" s="348"/>
    </row>
    <row r="222" spans="1:7">
      <c r="A222" s="354" t="s">
        <v>859</v>
      </c>
      <c r="B222" s="354" t="s">
        <v>825</v>
      </c>
      <c r="C222" s="354" t="s">
        <v>859</v>
      </c>
      <c r="D222" s="348"/>
      <c r="E222" s="348"/>
      <c r="F222" s="636">
        <f>'15. Credit Calculation'!P27</f>
        <v>0</v>
      </c>
      <c r="G222" s="348"/>
    </row>
    <row r="223" spans="1:7">
      <c r="A223" s="354" t="s">
        <v>860</v>
      </c>
      <c r="B223" s="354" t="s">
        <v>825</v>
      </c>
      <c r="C223" s="354" t="s">
        <v>860</v>
      </c>
      <c r="D223" s="348"/>
      <c r="E223" s="348"/>
      <c r="F223" s="636">
        <f>'15. Credit Calculation'!H28</f>
        <v>0</v>
      </c>
      <c r="G223" s="348"/>
    </row>
    <row r="224" spans="1:7">
      <c r="A224" s="354" t="s">
        <v>861</v>
      </c>
      <c r="B224" s="354" t="s">
        <v>825</v>
      </c>
      <c r="C224" s="354" t="s">
        <v>861</v>
      </c>
      <c r="D224" s="348"/>
      <c r="E224" s="348"/>
      <c r="F224" s="636">
        <f>'15. Credit Calculation'!P28</f>
        <v>0</v>
      </c>
      <c r="G224" s="348"/>
    </row>
    <row r="225" spans="1:7">
      <c r="A225" s="1800" t="s">
        <v>862</v>
      </c>
      <c r="B225" s="1801"/>
      <c r="C225" s="1801"/>
      <c r="D225" s="1801"/>
      <c r="E225" s="1801"/>
      <c r="F225" s="1693"/>
      <c r="G225" s="1693"/>
    </row>
    <row r="226" spans="1:7">
      <c r="A226" s="354" t="s">
        <v>863</v>
      </c>
      <c r="B226" s="354" t="s">
        <v>825</v>
      </c>
      <c r="C226" s="354" t="s">
        <v>863</v>
      </c>
      <c r="D226" s="348"/>
      <c r="E226" s="348"/>
      <c r="F226">
        <f>'15. Credit Calculation'!H32</f>
        <v>0</v>
      </c>
      <c r="G226" s="348"/>
    </row>
    <row r="227" spans="1:7">
      <c r="A227" s="354" t="s">
        <v>864</v>
      </c>
      <c r="B227" s="354" t="s">
        <v>825</v>
      </c>
      <c r="C227" s="354" t="s">
        <v>864</v>
      </c>
      <c r="D227" s="348"/>
      <c r="E227" s="348"/>
      <c r="F227">
        <f>'15. Credit Calculation'!P32</f>
        <v>0</v>
      </c>
      <c r="G227" s="348"/>
    </row>
    <row r="228" spans="1:7">
      <c r="A228" s="354" t="s">
        <v>865</v>
      </c>
      <c r="B228" s="354" t="s">
        <v>825</v>
      </c>
      <c r="C228" s="354" t="s">
        <v>865</v>
      </c>
      <c r="D228" s="348"/>
      <c r="E228" s="348"/>
      <c r="F228">
        <f>'15. Credit Calculation'!H33</f>
        <v>0</v>
      </c>
      <c r="G228" s="348"/>
    </row>
    <row r="229" spans="1:7">
      <c r="A229" s="354" t="s">
        <v>866</v>
      </c>
      <c r="B229" s="354" t="s">
        <v>825</v>
      </c>
      <c r="C229" s="354" t="s">
        <v>866</v>
      </c>
      <c r="D229" s="348"/>
      <c r="E229" s="348"/>
      <c r="F229">
        <f>'15. Credit Calculation'!P33</f>
        <v>0</v>
      </c>
      <c r="G229" s="348"/>
    </row>
    <row r="230" spans="1:7">
      <c r="A230" s="354" t="s">
        <v>867</v>
      </c>
      <c r="B230" s="354" t="s">
        <v>825</v>
      </c>
      <c r="C230" s="354" t="s">
        <v>867</v>
      </c>
      <c r="D230" s="348"/>
      <c r="E230" s="348"/>
      <c r="F230">
        <f>'15. Credit Calculation'!H34</f>
        <v>0</v>
      </c>
      <c r="G230" s="348"/>
    </row>
    <row r="231" spans="1:7">
      <c r="A231" s="354" t="s">
        <v>868</v>
      </c>
      <c r="B231" s="354" t="s">
        <v>825</v>
      </c>
      <c r="C231" s="354" t="s">
        <v>868</v>
      </c>
      <c r="D231" s="348"/>
      <c r="E231" s="348"/>
      <c r="F231">
        <f>'15. Credit Calculation'!P34</f>
        <v>0</v>
      </c>
      <c r="G231" s="348"/>
    </row>
    <row r="232" spans="1:7">
      <c r="A232" s="354" t="s">
        <v>869</v>
      </c>
      <c r="B232" s="354" t="s">
        <v>825</v>
      </c>
      <c r="C232" s="354" t="s">
        <v>869</v>
      </c>
      <c r="D232" s="348"/>
      <c r="E232" s="348"/>
      <c r="F232">
        <f>'15. Credit Calculation'!H35</f>
        <v>0</v>
      </c>
      <c r="G232" s="348"/>
    </row>
    <row r="233" spans="1:7">
      <c r="A233" s="354" t="s">
        <v>870</v>
      </c>
      <c r="B233" s="354" t="s">
        <v>825</v>
      </c>
      <c r="C233" s="354" t="s">
        <v>870</v>
      </c>
      <c r="D233" s="348"/>
      <c r="E233" s="348"/>
      <c r="F233">
        <f>'15. Credit Calculation'!P35</f>
        <v>0</v>
      </c>
      <c r="G233" s="348"/>
    </row>
    <row r="234" spans="1:7">
      <c r="A234" s="354" t="s">
        <v>871</v>
      </c>
      <c r="B234" s="354" t="s">
        <v>825</v>
      </c>
      <c r="C234" s="354" t="s">
        <v>871</v>
      </c>
      <c r="D234" s="348"/>
      <c r="E234" s="348"/>
      <c r="F234">
        <f>'15. Credit Calculation'!H36</f>
        <v>0</v>
      </c>
      <c r="G234" s="348"/>
    </row>
    <row r="235" spans="1:7">
      <c r="A235" s="354" t="s">
        <v>872</v>
      </c>
      <c r="B235" s="354" t="s">
        <v>825</v>
      </c>
      <c r="C235" s="354" t="s">
        <v>872</v>
      </c>
      <c r="D235" s="348"/>
      <c r="E235" s="348"/>
      <c r="F235">
        <f>'15. Credit Calculation'!P36</f>
        <v>0</v>
      </c>
      <c r="G235" s="348"/>
    </row>
    <row r="236" spans="1:7">
      <c r="A236" s="354" t="s">
        <v>873</v>
      </c>
      <c r="B236" s="354" t="s">
        <v>825</v>
      </c>
      <c r="C236" s="354" t="s">
        <v>873</v>
      </c>
      <c r="D236" s="348"/>
      <c r="E236" s="348"/>
      <c r="F236" s="359">
        <f>'15. Credit Calculation'!H37</f>
        <v>0</v>
      </c>
      <c r="G236" s="348"/>
    </row>
    <row r="237" spans="1:7">
      <c r="A237" s="354" t="s">
        <v>874</v>
      </c>
      <c r="B237" s="354" t="s">
        <v>825</v>
      </c>
      <c r="C237" s="354" t="s">
        <v>874</v>
      </c>
      <c r="D237" s="348"/>
      <c r="E237" s="348"/>
      <c r="F237">
        <f>'15. Credit Calculation'!P37</f>
        <v>0</v>
      </c>
      <c r="G237" s="348"/>
    </row>
    <row r="238" spans="1:7">
      <c r="A238" s="354" t="s">
        <v>875</v>
      </c>
      <c r="B238" s="354" t="s">
        <v>825</v>
      </c>
      <c r="C238" s="354" t="s">
        <v>875</v>
      </c>
      <c r="D238" s="348"/>
      <c r="E238" s="348"/>
      <c r="F238">
        <f>'15. Credit Calculation'!H38</f>
        <v>0</v>
      </c>
      <c r="G238" s="348"/>
    </row>
    <row r="239" spans="1:7">
      <c r="A239" s="354" t="s">
        <v>876</v>
      </c>
      <c r="B239" s="354" t="s">
        <v>825</v>
      </c>
      <c r="C239" s="354" t="s">
        <v>876</v>
      </c>
      <c r="D239" s="348"/>
      <c r="E239" s="348"/>
      <c r="F239">
        <f>'15. Credit Calculation'!P38</f>
        <v>0</v>
      </c>
      <c r="G239" s="348"/>
    </row>
    <row r="240" spans="1:7">
      <c r="A240" s="354" t="s">
        <v>877</v>
      </c>
      <c r="B240" s="354" t="s">
        <v>825</v>
      </c>
      <c r="C240" s="354" t="s">
        <v>877</v>
      </c>
      <c r="D240" s="348"/>
      <c r="E240" s="348"/>
      <c r="F240">
        <f>'15. Credit Calculation'!H39</f>
        <v>10</v>
      </c>
      <c r="G240" s="348"/>
    </row>
    <row r="241" spans="1:7">
      <c r="A241" s="354" t="s">
        <v>878</v>
      </c>
      <c r="B241" s="354" t="s">
        <v>825</v>
      </c>
      <c r="C241" s="354" t="s">
        <v>878</v>
      </c>
      <c r="D241" s="348"/>
      <c r="E241" s="348"/>
      <c r="F241" t="str">
        <f>'15. Credit Calculation'!P39</f>
        <v xml:space="preserve"> </v>
      </c>
      <c r="G241" s="348"/>
    </row>
    <row r="242" spans="1:7">
      <c r="A242" s="354" t="s">
        <v>879</v>
      </c>
      <c r="B242" s="354" t="s">
        <v>825</v>
      </c>
      <c r="C242" s="354" t="s">
        <v>879</v>
      </c>
      <c r="D242" s="348"/>
      <c r="E242" s="348"/>
      <c r="F242">
        <f>'15. Credit Calculation'!H40</f>
        <v>0</v>
      </c>
      <c r="G242" s="348"/>
    </row>
    <row r="243" spans="1:7">
      <c r="A243" s="354" t="s">
        <v>880</v>
      </c>
      <c r="B243" s="354" t="s">
        <v>825</v>
      </c>
      <c r="C243" s="354" t="s">
        <v>880</v>
      </c>
      <c r="D243" s="348"/>
      <c r="E243" s="348"/>
      <c r="F243"/>
      <c r="G243" s="348"/>
    </row>
    <row r="244" spans="1:7">
      <c r="A244" s="354" t="s">
        <v>881</v>
      </c>
      <c r="B244" s="354" t="s">
        <v>825</v>
      </c>
      <c r="C244" s="354" t="s">
        <v>881</v>
      </c>
      <c r="D244" s="348"/>
      <c r="E244" s="348"/>
      <c r="F244" s="637">
        <f>'15. Credit Calculation'!H41</f>
        <v>0</v>
      </c>
      <c r="G244" s="348"/>
    </row>
    <row r="245" spans="1:7">
      <c r="A245" s="354" t="s">
        <v>882</v>
      </c>
      <c r="B245" s="354" t="s">
        <v>825</v>
      </c>
      <c r="C245" s="354" t="s">
        <v>882</v>
      </c>
      <c r="D245" s="348"/>
      <c r="E245" s="348"/>
      <c r="F245" s="637">
        <f>'15. Credit Calculation'!P41</f>
        <v>0</v>
      </c>
      <c r="G245" s="348"/>
    </row>
    <row r="246" spans="1:7">
      <c r="A246" s="354" t="s">
        <v>883</v>
      </c>
      <c r="B246" s="354" t="s">
        <v>825</v>
      </c>
      <c r="C246" s="354" t="s">
        <v>883</v>
      </c>
      <c r="D246" s="348"/>
      <c r="E246" s="348"/>
      <c r="F246">
        <f>'15. Credit Calculation'!H42</f>
        <v>0</v>
      </c>
      <c r="G246" s="348"/>
    </row>
    <row r="247" spans="1:7">
      <c r="A247" s="354" t="s">
        <v>884</v>
      </c>
      <c r="B247" s="354" t="s">
        <v>825</v>
      </c>
      <c r="C247" s="354" t="s">
        <v>884</v>
      </c>
      <c r="D247" s="348"/>
      <c r="E247" s="348"/>
      <c r="F247">
        <f>'15. Credit Calculation'!P42</f>
        <v>0</v>
      </c>
      <c r="G247" s="348"/>
    </row>
    <row r="248" spans="1:7">
      <c r="A248" s="354" t="s">
        <v>885</v>
      </c>
      <c r="B248" s="354" t="s">
        <v>825</v>
      </c>
      <c r="C248" s="354" t="s">
        <v>885</v>
      </c>
      <c r="D248" s="348"/>
      <c r="E248" s="348"/>
      <c r="F248" s="58">
        <f>'15. Credit Calculation'!H43</f>
        <v>0.99990000000000001</v>
      </c>
      <c r="G248" s="348"/>
    </row>
    <row r="249" spans="1:7">
      <c r="A249" s="354" t="s">
        <v>886</v>
      </c>
      <c r="B249" s="354" t="s">
        <v>825</v>
      </c>
      <c r="C249" s="354" t="s">
        <v>886</v>
      </c>
      <c r="D249" s="348"/>
      <c r="E249" s="348"/>
      <c r="F249" s="58">
        <f>'15. Credit Calculation'!P43</f>
        <v>0</v>
      </c>
      <c r="G249" s="348"/>
    </row>
    <row r="250" spans="1:7">
      <c r="A250" s="354" t="s">
        <v>887</v>
      </c>
      <c r="B250" s="354" t="s">
        <v>825</v>
      </c>
      <c r="C250" s="354" t="s">
        <v>887</v>
      </c>
      <c r="D250" s="348"/>
      <c r="E250" s="348"/>
      <c r="F250">
        <f>'15. Credit Calculation'!H44</f>
        <v>0</v>
      </c>
      <c r="G250" s="348"/>
    </row>
    <row r="251" spans="1:7">
      <c r="A251" s="354" t="s">
        <v>888</v>
      </c>
      <c r="B251" s="354" t="s">
        <v>825</v>
      </c>
      <c r="C251" s="354" t="s">
        <v>888</v>
      </c>
      <c r="D251" s="348"/>
      <c r="E251" s="348"/>
      <c r="F251">
        <f>'15. Credit Calculation'!P44</f>
        <v>0</v>
      </c>
      <c r="G251" s="348"/>
    </row>
    <row r="252" spans="1:7">
      <c r="A252" s="1800" t="s">
        <v>889</v>
      </c>
      <c r="B252" s="1801"/>
      <c r="C252" s="1801"/>
      <c r="D252" s="1801"/>
      <c r="E252" s="1801"/>
      <c r="F252" s="1693"/>
      <c r="G252" s="1693"/>
    </row>
    <row r="253" spans="1:7">
      <c r="A253" s="354" t="s">
        <v>890</v>
      </c>
      <c r="B253" s="354" t="s">
        <v>825</v>
      </c>
      <c r="C253" s="354" t="s">
        <v>890</v>
      </c>
      <c r="D253" s="348"/>
      <c r="E253" s="348"/>
      <c r="F253">
        <f>'15. Credit Calculation'!H46</f>
        <v>0</v>
      </c>
      <c r="G253" s="348"/>
    </row>
    <row r="254" spans="1:7">
      <c r="A254" s="354" t="s">
        <v>891</v>
      </c>
      <c r="B254" s="354" t="s">
        <v>825</v>
      </c>
      <c r="C254" s="354" t="s">
        <v>891</v>
      </c>
      <c r="D254" s="348"/>
      <c r="E254" s="348"/>
      <c r="F254">
        <f>'15. Credit Calculation'!P46</f>
        <v>0</v>
      </c>
      <c r="G254" s="348"/>
    </row>
    <row r="255" spans="1:7">
      <c r="A255" s="354" t="s">
        <v>892</v>
      </c>
      <c r="B255" s="354" t="s">
        <v>825</v>
      </c>
      <c r="C255" s="354" t="s">
        <v>892</v>
      </c>
      <c r="D255" s="348"/>
      <c r="E255" s="348"/>
      <c r="F255">
        <f>'15. Credit Calculation'!H48</f>
        <v>0</v>
      </c>
      <c r="G255" s="348"/>
    </row>
    <row r="256" spans="1:7">
      <c r="A256" s="354" t="s">
        <v>893</v>
      </c>
      <c r="B256" s="354" t="s">
        <v>825</v>
      </c>
      <c r="C256" s="354" t="s">
        <v>893</v>
      </c>
      <c r="D256" s="348"/>
      <c r="E256" s="348"/>
      <c r="F256">
        <f>'15. Credit Calculation'!P48</f>
        <v>0</v>
      </c>
      <c r="G256" s="348"/>
    </row>
    <row r="257" spans="1:8">
      <c r="A257" s="354" t="s">
        <v>894</v>
      </c>
      <c r="B257" s="354" t="s">
        <v>825</v>
      </c>
      <c r="C257" s="354" t="s">
        <v>894</v>
      </c>
      <c r="D257" s="348"/>
      <c r="E257" s="348"/>
      <c r="F257"/>
      <c r="G257" s="914" t="s">
        <v>895</v>
      </c>
    </row>
    <row r="258" spans="1:8">
      <c r="A258" s="354" t="s">
        <v>896</v>
      </c>
      <c r="B258" s="354" t="s">
        <v>825</v>
      </c>
      <c r="C258" s="354" t="s">
        <v>896</v>
      </c>
      <c r="D258" s="348"/>
      <c r="E258" s="348"/>
      <c r="F258"/>
      <c r="G258" s="914" t="s">
        <v>895</v>
      </c>
    </row>
    <row r="259" spans="1:8">
      <c r="A259" s="354" t="s">
        <v>897</v>
      </c>
      <c r="B259" s="354" t="s">
        <v>825</v>
      </c>
      <c r="C259" s="354" t="s">
        <v>897</v>
      </c>
      <c r="D259" s="348"/>
      <c r="E259" s="348"/>
      <c r="F259"/>
      <c r="G259" s="348"/>
    </row>
    <row r="260" spans="1:8">
      <c r="A260" s="354" t="s">
        <v>898</v>
      </c>
      <c r="B260" s="354" t="s">
        <v>825</v>
      </c>
      <c r="C260" s="354" t="s">
        <v>898</v>
      </c>
      <c r="D260" s="348"/>
      <c r="E260" s="348"/>
      <c r="F260"/>
      <c r="G260" s="348"/>
    </row>
    <row r="261" spans="1:8">
      <c r="A261" s="354" t="s">
        <v>899</v>
      </c>
      <c r="B261" s="354" t="s">
        <v>825</v>
      </c>
      <c r="C261" s="354" t="s">
        <v>899</v>
      </c>
      <c r="D261" s="348"/>
      <c r="E261" s="348"/>
      <c r="F261"/>
      <c r="G261" s="914" t="s">
        <v>895</v>
      </c>
    </row>
    <row r="262" spans="1:8">
      <c r="A262" s="354" t="s">
        <v>900</v>
      </c>
      <c r="B262" s="354" t="s">
        <v>825</v>
      </c>
      <c r="C262" s="354" t="s">
        <v>900</v>
      </c>
      <c r="D262" s="348"/>
      <c r="E262" s="348"/>
      <c r="F262"/>
      <c r="G262" s="914" t="s">
        <v>895</v>
      </c>
    </row>
    <row r="263" spans="1:8">
      <c r="A263" s="354" t="s">
        <v>901</v>
      </c>
      <c r="B263" s="354" t="s">
        <v>825</v>
      </c>
      <c r="C263" s="354" t="s">
        <v>901</v>
      </c>
      <c r="D263" s="348"/>
      <c r="E263" s="348"/>
      <c r="F263">
        <f>Federal_Credits</f>
        <v>0</v>
      </c>
      <c r="G263" s="348"/>
    </row>
    <row r="264" spans="1:8">
      <c r="A264" s="354" t="s">
        <v>902</v>
      </c>
      <c r="B264" s="354" t="s">
        <v>825</v>
      </c>
      <c r="C264" s="354" t="s">
        <v>902</v>
      </c>
      <c r="D264" s="348"/>
      <c r="E264" s="348"/>
      <c r="F264">
        <f>State_Credits</f>
        <v>0</v>
      </c>
      <c r="G264" s="348"/>
    </row>
    <row r="265" spans="1:8">
      <c r="A265" s="1800" t="s">
        <v>889</v>
      </c>
      <c r="B265" s="1801"/>
      <c r="C265" s="1801"/>
      <c r="D265" s="1801"/>
      <c r="E265" s="1801"/>
      <c r="F265" s="1693"/>
      <c r="G265" s="1693"/>
    </row>
    <row r="266" spans="1:8" s="506" customFormat="1">
      <c r="A266" s="491" t="s">
        <v>903</v>
      </c>
      <c r="B266" s="348" t="s">
        <v>809</v>
      </c>
      <c r="C266" s="348" t="s">
        <v>903</v>
      </c>
      <c r="D266" s="348" t="s">
        <v>903</v>
      </c>
      <c r="E266" s="348" t="s">
        <v>527</v>
      </c>
      <c r="F266" s="489">
        <f>'15. Credit Calculation'!H10</f>
        <v>0</v>
      </c>
      <c r="G266" s="348"/>
      <c r="H266" s="502"/>
    </row>
    <row r="267" spans="1:8" s="506" customFormat="1">
      <c r="A267" s="492" t="s">
        <v>904</v>
      </c>
      <c r="B267" s="490" t="s">
        <v>809</v>
      </c>
      <c r="C267" s="490" t="s">
        <v>904</v>
      </c>
      <c r="D267" s="490" t="s">
        <v>905</v>
      </c>
      <c r="E267" s="490" t="s">
        <v>527</v>
      </c>
      <c r="F267" s="489">
        <f>'15. Credit Calculation'!H25</f>
        <v>0</v>
      </c>
      <c r="G267" s="348"/>
      <c r="H267" s="502"/>
    </row>
    <row r="268" spans="1:8" s="506" customFormat="1">
      <c r="A268" s="492" t="s">
        <v>906</v>
      </c>
      <c r="B268" s="490" t="s">
        <v>809</v>
      </c>
      <c r="C268" s="490" t="s">
        <v>906</v>
      </c>
      <c r="D268" s="490" t="s">
        <v>906</v>
      </c>
      <c r="E268" s="490" t="s">
        <v>527</v>
      </c>
      <c r="F268" s="489">
        <f>'15. Credit Calculation'!P10</f>
        <v>0</v>
      </c>
      <c r="G268" s="348"/>
      <c r="H268" s="502"/>
    </row>
    <row r="269" spans="1:8" s="506" customFormat="1">
      <c r="A269" s="492" t="s">
        <v>907</v>
      </c>
      <c r="B269" s="490" t="s">
        <v>809</v>
      </c>
      <c r="C269" s="490" t="s">
        <v>907</v>
      </c>
      <c r="D269" s="490" t="s">
        <v>907</v>
      </c>
      <c r="E269" s="490" t="s">
        <v>527</v>
      </c>
      <c r="F269" s="489">
        <f>'15. Credit Calculation'!P23</f>
        <v>0</v>
      </c>
      <c r="G269" s="348"/>
      <c r="H269" s="502"/>
    </row>
    <row r="270" spans="1:8" s="506" customFormat="1">
      <c r="A270" s="491" t="s">
        <v>908</v>
      </c>
      <c r="B270" s="348" t="s">
        <v>741</v>
      </c>
      <c r="C270" s="348" t="s">
        <v>908</v>
      </c>
      <c r="D270" s="348" t="s">
        <v>908</v>
      </c>
      <c r="E270" s="348" t="s">
        <v>527</v>
      </c>
      <c r="F270" s="489">
        <f>Federal_Credits</f>
        <v>0</v>
      </c>
      <c r="G270" s="348"/>
      <c r="H270" s="502"/>
    </row>
    <row r="271" spans="1:8" s="506" customFormat="1">
      <c r="A271" s="491" t="s">
        <v>909</v>
      </c>
      <c r="B271" s="348" t="s">
        <v>741</v>
      </c>
      <c r="C271" s="348" t="s">
        <v>909</v>
      </c>
      <c r="D271" s="348" t="s">
        <v>909</v>
      </c>
      <c r="E271" s="348" t="s">
        <v>527</v>
      </c>
      <c r="F271" s="489">
        <f>State_Credits</f>
        <v>0</v>
      </c>
      <c r="G271" s="348"/>
      <c r="H271" s="502"/>
    </row>
    <row r="272" spans="1:8" s="491" customFormat="1"/>
    <row r="273" spans="1:7" s="348" customFormat="1">
      <c r="A273" s="1796" t="s">
        <v>910</v>
      </c>
      <c r="B273" s="1797"/>
      <c r="C273" s="1797"/>
      <c r="D273" s="1797"/>
      <c r="E273" s="1797"/>
      <c r="F273" s="493"/>
      <c r="G273" s="503"/>
    </row>
    <row r="274" spans="1:7" s="348" customFormat="1">
      <c r="A274" s="1798" t="s">
        <v>911</v>
      </c>
      <c r="B274" s="1799"/>
      <c r="C274" s="1799"/>
      <c r="D274" s="1799"/>
      <c r="E274" s="1799"/>
      <c r="F274" s="1692"/>
      <c r="G274" s="1692"/>
    </row>
    <row r="275" spans="1:7" s="348" customFormat="1">
      <c r="A275" s="491" t="s">
        <v>912</v>
      </c>
      <c r="B275" s="348" t="s">
        <v>913</v>
      </c>
      <c r="C275" s="348" t="s">
        <v>912</v>
      </c>
      <c r="D275" s="348" t="s">
        <v>912</v>
      </c>
      <c r="E275" s="348" t="s">
        <v>527</v>
      </c>
      <c r="F275" s="765">
        <f>Effective_Gross_Income</f>
        <v>0</v>
      </c>
    </row>
    <row r="276" spans="1:7" s="348" customFormat="1">
      <c r="A276" s="491"/>
    </row>
    <row r="277" spans="1:7">
      <c r="A277" s="1796" t="s">
        <v>914</v>
      </c>
      <c r="B277" s="1797"/>
      <c r="C277" s="1797"/>
      <c r="D277" s="1797"/>
      <c r="E277" s="1797"/>
      <c r="F277" s="493"/>
      <c r="G277" s="503"/>
    </row>
    <row r="278" spans="1:7">
      <c r="A278" s="1798" t="s">
        <v>915</v>
      </c>
      <c r="B278" s="1799"/>
      <c r="C278" s="1799"/>
      <c r="D278" s="1799"/>
      <c r="E278" s="1799"/>
      <c r="F278" s="1692"/>
      <c r="G278" s="1692"/>
    </row>
    <row r="279" spans="1:7">
      <c r="A279" s="348" t="s">
        <v>916</v>
      </c>
      <c r="B279" s="348" t="s">
        <v>917</v>
      </c>
      <c r="C279" s="348" t="s">
        <v>918</v>
      </c>
      <c r="D279" s="348" t="s">
        <v>919</v>
      </c>
      <c r="E279" s="348" t="s">
        <v>527</v>
      </c>
      <c r="F279">
        <f>'20. Instructions Scoring Sum'!F25</f>
        <v>0</v>
      </c>
    </row>
    <row r="280" spans="1:7">
      <c r="A280" s="348" t="s">
        <v>920</v>
      </c>
      <c r="B280" s="348" t="s">
        <v>917</v>
      </c>
      <c r="C280" s="348" t="s">
        <v>921</v>
      </c>
      <c r="D280" s="348" t="s">
        <v>922</v>
      </c>
      <c r="E280" s="348" t="s">
        <v>527</v>
      </c>
      <c r="F280">
        <f>Lower_Income_Area_Points</f>
        <v>0</v>
      </c>
    </row>
    <row r="281" spans="1:7">
      <c r="A281" s="348" t="s">
        <v>923</v>
      </c>
      <c r="B281" s="348" t="s">
        <v>917</v>
      </c>
      <c r="C281" s="348" t="s">
        <v>924</v>
      </c>
      <c r="D281" s="348" t="s">
        <v>925</v>
      </c>
      <c r="E281" s="348" t="s">
        <v>527</v>
      </c>
      <c r="F281">
        <f>'20. Instructions Scoring Sum'!F34</f>
        <v>0</v>
      </c>
    </row>
    <row r="282" spans="1:7">
      <c r="A282" s="348" t="s">
        <v>926</v>
      </c>
      <c r="B282" s="348" t="s">
        <v>917</v>
      </c>
      <c r="C282" s="348" t="s">
        <v>927</v>
      </c>
      <c r="D282" s="348" t="s">
        <v>928</v>
      </c>
      <c r="E282" s="348" t="s">
        <v>527</v>
      </c>
      <c r="F282">
        <f>Energy_Points</f>
        <v>0</v>
      </c>
    </row>
    <row r="283" spans="1:7">
      <c r="A283" s="348" t="s">
        <v>929</v>
      </c>
      <c r="B283" s="348" t="s">
        <v>917</v>
      </c>
      <c r="C283" s="348" t="s">
        <v>930</v>
      </c>
      <c r="D283" s="348" t="s">
        <v>931</v>
      </c>
      <c r="E283" s="348" t="s">
        <v>527</v>
      </c>
      <c r="F283" s="496">
        <f>'20. Instructions Scoring Sum'!F38</f>
        <v>0</v>
      </c>
      <c r="G283" t="s">
        <v>932</v>
      </c>
    </row>
    <row r="284" spans="1:7">
      <c r="A284" s="348" t="s">
        <v>933</v>
      </c>
      <c r="B284" s="348" t="s">
        <v>917</v>
      </c>
      <c r="C284" s="348" t="s">
        <v>934</v>
      </c>
      <c r="D284" s="348" t="s">
        <v>935</v>
      </c>
      <c r="E284" s="348" t="s">
        <v>527</v>
      </c>
      <c r="F284">
        <f>Mixed_Income_Points</f>
        <v>0</v>
      </c>
      <c r="G284" t="s">
        <v>932</v>
      </c>
    </row>
    <row r="285" spans="1:7">
      <c r="A285" s="348" t="s">
        <v>936</v>
      </c>
      <c r="B285" s="348" t="s">
        <v>917</v>
      </c>
      <c r="C285" s="348" t="s">
        <v>937</v>
      </c>
      <c r="D285" s="348" t="s">
        <v>938</v>
      </c>
      <c r="E285" s="348" t="s">
        <v>527</v>
      </c>
      <c r="F285" s="496">
        <f>'20. Instructions Scoring Sum'!F29</f>
        <v>0</v>
      </c>
    </row>
    <row r="286" spans="1:7">
      <c r="A286" s="348" t="s">
        <v>939</v>
      </c>
      <c r="B286" s="348" t="s">
        <v>917</v>
      </c>
      <c r="C286" s="348" t="s">
        <v>940</v>
      </c>
      <c r="D286" s="348" t="s">
        <v>941</v>
      </c>
      <c r="E286" s="348" t="s">
        <v>527</v>
      </c>
      <c r="F286">
        <f>Serves_Large_Family_Points</f>
        <v>0</v>
      </c>
    </row>
    <row r="287" spans="1:7">
      <c r="A287" s="348" t="s">
        <v>942</v>
      </c>
      <c r="B287" s="348" t="s">
        <v>917</v>
      </c>
      <c r="C287" s="348" t="s">
        <v>943</v>
      </c>
      <c r="D287" s="348" t="s">
        <v>944</v>
      </c>
      <c r="E287" s="348" t="s">
        <v>527</v>
      </c>
      <c r="F287">
        <f>'20. Instructions Scoring Sum'!F30</f>
        <v>0</v>
      </c>
    </row>
    <row r="288" spans="1:7">
      <c r="A288" s="348" t="s">
        <v>945</v>
      </c>
      <c r="B288" s="348" t="s">
        <v>917</v>
      </c>
      <c r="C288" s="348" t="s">
        <v>946</v>
      </c>
      <c r="D288" s="348" t="s">
        <v>947</v>
      </c>
      <c r="E288" s="348" t="s">
        <v>527</v>
      </c>
      <c r="F288">
        <f>Serve_Low_Income_Ponts</f>
        <v>0</v>
      </c>
    </row>
    <row r="289" spans="1:7">
      <c r="A289" s="348" t="s">
        <v>948</v>
      </c>
      <c r="B289" s="348" t="s">
        <v>917</v>
      </c>
      <c r="C289" s="348" t="s">
        <v>949</v>
      </c>
      <c r="D289" s="348" t="s">
        <v>950</v>
      </c>
      <c r="E289" s="348" t="s">
        <v>527</v>
      </c>
      <c r="F289">
        <f>'20. Instructions Scoring Sum'!F31</f>
        <v>0</v>
      </c>
    </row>
    <row r="290" spans="1:7">
      <c r="A290" s="348" t="s">
        <v>951</v>
      </c>
      <c r="B290" s="348" t="s">
        <v>917</v>
      </c>
      <c r="C290" s="348" t="s">
        <v>952</v>
      </c>
      <c r="D290" s="348" t="s">
        <v>953</v>
      </c>
      <c r="E290" s="348" t="s">
        <v>527</v>
      </c>
      <c r="F290">
        <f>Supportive_Housing_Points</f>
        <v>0</v>
      </c>
    </row>
    <row r="291" spans="1:7">
      <c r="A291" s="348" t="s">
        <v>954</v>
      </c>
      <c r="B291" s="348" t="s">
        <v>917</v>
      </c>
      <c r="C291" s="348" t="s">
        <v>955</v>
      </c>
      <c r="D291" s="348" t="s">
        <v>956</v>
      </c>
      <c r="E291" s="348" t="s">
        <v>527</v>
      </c>
      <c r="F291">
        <f>'20. Instructions Scoring Sum'!F32</f>
        <v>0</v>
      </c>
    </row>
    <row r="292" spans="1:7">
      <c r="A292" s="348" t="s">
        <v>957</v>
      </c>
      <c r="B292" s="348" t="s">
        <v>917</v>
      </c>
      <c r="C292" s="348" t="s">
        <v>958</v>
      </c>
      <c r="D292" s="348" t="s">
        <v>959</v>
      </c>
      <c r="E292" s="348" t="s">
        <v>527</v>
      </c>
      <c r="F292">
        <f>Veterans_Housing_Points</f>
        <v>0</v>
      </c>
    </row>
    <row r="293" spans="1:7">
      <c r="A293" s="348" t="s">
        <v>960</v>
      </c>
      <c r="B293" s="348" t="s">
        <v>917</v>
      </c>
      <c r="C293" s="348" t="s">
        <v>961</v>
      </c>
      <c r="D293" s="348" t="s">
        <v>962</v>
      </c>
      <c r="E293" s="348" t="s">
        <v>527</v>
      </c>
      <c r="F293">
        <f>'20. Instructions Scoring Sum'!F27</f>
        <v>0</v>
      </c>
    </row>
    <row r="294" spans="1:7">
      <c r="A294" s="348" t="s">
        <v>963</v>
      </c>
      <c r="B294" s="348" t="s">
        <v>917</v>
      </c>
      <c r="C294" s="348" t="s">
        <v>964</v>
      </c>
      <c r="D294" s="348" t="s">
        <v>965</v>
      </c>
      <c r="E294" s="348" t="s">
        <v>527</v>
      </c>
      <c r="F294">
        <f>Rehab_Neighborhood_Points</f>
        <v>0</v>
      </c>
    </row>
    <row r="295" spans="1:7">
      <c r="A295" s="348" t="s">
        <v>966</v>
      </c>
      <c r="B295" s="348" t="s">
        <v>917</v>
      </c>
      <c r="C295" s="348" t="s">
        <v>967</v>
      </c>
      <c r="D295" s="348" t="s">
        <v>968</v>
      </c>
      <c r="E295" s="348" t="s">
        <v>527</v>
      </c>
      <c r="F295">
        <f>'20. Instructions Scoring Sum'!F35</f>
        <v>0</v>
      </c>
    </row>
    <row r="296" spans="1:7">
      <c r="A296" s="348" t="s">
        <v>969</v>
      </c>
      <c r="B296" s="348" t="s">
        <v>917</v>
      </c>
      <c r="C296" s="348" t="s">
        <v>970</v>
      </c>
      <c r="D296" s="348" t="s">
        <v>971</v>
      </c>
      <c r="E296" s="348" t="s">
        <v>527</v>
      </c>
      <c r="F296">
        <f>Universal_Design_Points</f>
        <v>0</v>
      </c>
    </row>
    <row r="297" spans="1:7">
      <c r="A297" s="348" t="s">
        <v>972</v>
      </c>
      <c r="B297" s="348" t="s">
        <v>917</v>
      </c>
      <c r="C297" s="348" t="s">
        <v>973</v>
      </c>
      <c r="D297" s="348" t="s">
        <v>974</v>
      </c>
      <c r="E297" s="348" t="s">
        <v>527</v>
      </c>
      <c r="F297" s="496">
        <f>'20. Instructions Scoring Sum'!F40</f>
        <v>0</v>
      </c>
      <c r="G297" t="s">
        <v>932</v>
      </c>
    </row>
    <row r="298" spans="1:7">
      <c r="A298" s="348" t="s">
        <v>975</v>
      </c>
      <c r="B298" s="348" t="s">
        <v>917</v>
      </c>
      <c r="C298" s="348" t="s">
        <v>976</v>
      </c>
      <c r="D298" s="348" t="s">
        <v>977</v>
      </c>
      <c r="E298" s="348" t="s">
        <v>527</v>
      </c>
      <c r="F298">
        <f>Financial_Leverage_Points</f>
        <v>0</v>
      </c>
      <c r="G298" t="s">
        <v>932</v>
      </c>
    </row>
    <row r="299" spans="1:7">
      <c r="A299" s="348" t="s">
        <v>978</v>
      </c>
      <c r="B299" s="348" t="s">
        <v>917</v>
      </c>
      <c r="C299" s="348" t="s">
        <v>979</v>
      </c>
      <c r="D299" s="348" t="s">
        <v>980</v>
      </c>
      <c r="E299" s="348" t="s">
        <v>527</v>
      </c>
      <c r="F299">
        <f>'20. Instructions Scoring Sum'!F36</f>
        <v>0</v>
      </c>
    </row>
    <row r="300" spans="1:7">
      <c r="A300" s="348" t="s">
        <v>981</v>
      </c>
      <c r="B300" s="348" t="s">
        <v>917</v>
      </c>
      <c r="C300" s="348" t="s">
        <v>982</v>
      </c>
      <c r="D300" s="348" t="s">
        <v>983</v>
      </c>
      <c r="E300" s="348" t="s">
        <v>527</v>
      </c>
      <c r="F300">
        <f>Eventual_Tenant_Own_Points</f>
        <v>0</v>
      </c>
    </row>
    <row r="301" spans="1:7">
      <c r="A301" s="348" t="s">
        <v>984</v>
      </c>
      <c r="B301" s="348" t="s">
        <v>917</v>
      </c>
      <c r="C301" s="348" t="s">
        <v>985</v>
      </c>
      <c r="D301" s="348" t="s">
        <v>986</v>
      </c>
      <c r="E301" s="348" t="s">
        <v>527</v>
      </c>
      <c r="F301">
        <f>'20. Instructions Scoring Sum'!F41</f>
        <v>0</v>
      </c>
      <c r="G301" s="348" t="s">
        <v>987</v>
      </c>
    </row>
    <row r="302" spans="1:7">
      <c r="A302" s="348" t="s">
        <v>988</v>
      </c>
      <c r="B302" s="348" t="s">
        <v>917</v>
      </c>
      <c r="C302" s="348" t="s">
        <v>989</v>
      </c>
      <c r="D302" s="348" t="s">
        <v>990</v>
      </c>
      <c r="E302" s="348" t="s">
        <v>527</v>
      </c>
      <c r="F302">
        <f>Development_Team_Points</f>
        <v>0</v>
      </c>
    </row>
    <row r="303" spans="1:7">
      <c r="A303" s="348" t="s">
        <v>991</v>
      </c>
      <c r="B303" s="348" t="s">
        <v>917</v>
      </c>
      <c r="C303" s="348" t="s">
        <v>992</v>
      </c>
      <c r="D303" s="348" t="s">
        <v>993</v>
      </c>
      <c r="E303" s="348" t="s">
        <v>527</v>
      </c>
      <c r="F303">
        <f>'20. Instructions Scoring Sum'!F24</f>
        <v>0</v>
      </c>
    </row>
    <row r="304" spans="1:7">
      <c r="A304" s="348" t="s">
        <v>994</v>
      </c>
      <c r="B304" s="348" t="s">
        <v>917</v>
      </c>
      <c r="C304" s="348" t="s">
        <v>995</v>
      </c>
      <c r="D304" s="348" t="s">
        <v>996</v>
      </c>
      <c r="E304" s="348" t="s">
        <v>527</v>
      </c>
      <c r="F304">
        <f>Areas_Economic_Opp_Points</f>
        <v>0</v>
      </c>
    </row>
    <row r="305" spans="1:7">
      <c r="A305" s="348" t="s">
        <v>997</v>
      </c>
      <c r="B305" s="348" t="s">
        <v>917</v>
      </c>
      <c r="C305" s="348" t="s">
        <v>998</v>
      </c>
      <c r="D305" s="348" t="s">
        <v>999</v>
      </c>
      <c r="E305" s="348" t="s">
        <v>527</v>
      </c>
      <c r="F305">
        <f>'20. Instructions Scoring Sum'!F42</f>
        <v>0</v>
      </c>
      <c r="G305" t="s">
        <v>932</v>
      </c>
    </row>
    <row r="306" spans="1:7">
      <c r="A306" s="348" t="s">
        <v>1000</v>
      </c>
      <c r="B306" s="348" t="s">
        <v>917</v>
      </c>
      <c r="C306" s="348" t="s">
        <v>1001</v>
      </c>
      <c r="D306" s="348" t="s">
        <v>1002</v>
      </c>
      <c r="E306" s="348" t="s">
        <v>527</v>
      </c>
      <c r="F306">
        <f>Rural_Areas_Points</f>
        <v>0</v>
      </c>
      <c r="G306" t="s">
        <v>932</v>
      </c>
    </row>
    <row r="307" spans="1:7">
      <c r="A307" s="348" t="s">
        <v>1003</v>
      </c>
      <c r="B307" s="348" t="s">
        <v>917</v>
      </c>
      <c r="C307" s="348" t="s">
        <v>1004</v>
      </c>
      <c r="D307" s="348" t="s">
        <v>1005</v>
      </c>
      <c r="E307" s="348" t="s">
        <v>527</v>
      </c>
      <c r="F307">
        <f>'20. Instructions Scoring Sum'!F26</f>
        <v>0</v>
      </c>
    </row>
    <row r="308" spans="1:7">
      <c r="A308" s="348" t="s">
        <v>1006</v>
      </c>
      <c r="B308" s="348" t="s">
        <v>917</v>
      </c>
      <c r="C308" s="348" t="s">
        <v>1007</v>
      </c>
      <c r="D308" s="348" t="s">
        <v>1008</v>
      </c>
      <c r="E308" s="348" t="s">
        <v>527</v>
      </c>
      <c r="F308">
        <f>Workforce_Housing_Points</f>
        <v>0</v>
      </c>
    </row>
    <row r="309" spans="1:7">
      <c r="A309" s="348" t="s">
        <v>1009</v>
      </c>
      <c r="B309" s="348" t="s">
        <v>917</v>
      </c>
      <c r="C309" s="348" t="s">
        <v>1010</v>
      </c>
      <c r="D309" s="348" t="s">
        <v>1011</v>
      </c>
      <c r="E309" s="348" t="s">
        <v>527</v>
      </c>
      <c r="F309">
        <f>'20. Instructions Scoring Sum'!F37</f>
        <v>0</v>
      </c>
    </row>
    <row r="310" spans="1:7">
      <c r="A310" s="348" t="s">
        <v>1012</v>
      </c>
      <c r="B310" s="348" t="s">
        <v>917</v>
      </c>
      <c r="C310" s="348" t="s">
        <v>1013</v>
      </c>
      <c r="D310" s="348" t="s">
        <v>1014</v>
      </c>
      <c r="E310" s="348" t="s">
        <v>527</v>
      </c>
      <c r="F310">
        <f>Community_Service_Facilities_Points</f>
        <v>0</v>
      </c>
    </row>
    <row r="311" spans="1:7">
      <c r="A311" s="348"/>
      <c r="B311" s="348" t="s">
        <v>917</v>
      </c>
      <c r="C311" s="348" t="s">
        <v>1015</v>
      </c>
      <c r="D311" s="348" t="s">
        <v>1015</v>
      </c>
      <c r="E311" s="348" t="s">
        <v>527</v>
      </c>
      <c r="F311">
        <f>'20. Instructions Scoring Sum'!F43</f>
        <v>0</v>
      </c>
    </row>
    <row r="312" spans="1:7">
      <c r="A312" s="348"/>
      <c r="B312" s="348" t="s">
        <v>917</v>
      </c>
      <c r="C312" s="348" t="s">
        <v>1016</v>
      </c>
      <c r="D312" s="348" t="s">
        <v>1016</v>
      </c>
      <c r="E312" s="348" t="s">
        <v>527</v>
      </c>
      <c r="F312">
        <f>Total_Points</f>
        <v>0</v>
      </c>
    </row>
    <row r="313" spans="1:7">
      <c r="A313" s="348" t="s">
        <v>1017</v>
      </c>
      <c r="B313" s="348" t="s">
        <v>917</v>
      </c>
      <c r="C313" s="348" t="s">
        <v>1018</v>
      </c>
      <c r="D313" s="348" t="s">
        <v>1019</v>
      </c>
      <c r="E313" s="348" t="s">
        <v>527</v>
      </c>
      <c r="F313">
        <f>'20. Instructions Scoring Sum'!F23</f>
        <v>0</v>
      </c>
      <c r="G313" s="348" t="s">
        <v>1020</v>
      </c>
    </row>
    <row r="314" spans="1:7">
      <c r="A314" s="348" t="s">
        <v>1021</v>
      </c>
      <c r="B314" s="348" t="s">
        <v>917</v>
      </c>
      <c r="C314" s="348" t="s">
        <v>1022</v>
      </c>
      <c r="D314" s="348" t="s">
        <v>1019</v>
      </c>
      <c r="E314" s="348" t="s">
        <v>527</v>
      </c>
      <c r="F314">
        <f>'20. Instructions Scoring Sum'!G23</f>
        <v>0</v>
      </c>
      <c r="G314" s="348" t="s">
        <v>1020</v>
      </c>
    </row>
    <row r="315" spans="1:7">
      <c r="A315" s="348" t="s">
        <v>1017</v>
      </c>
      <c r="B315" s="348" t="s">
        <v>917</v>
      </c>
      <c r="C315" s="348" t="s">
        <v>1023</v>
      </c>
      <c r="D315" s="348" t="s">
        <v>1019</v>
      </c>
      <c r="E315" s="348" t="s">
        <v>527</v>
      </c>
      <c r="F315" s="496">
        <f>'20. Instructions Scoring Sum'!F28</f>
        <v>0</v>
      </c>
      <c r="G315" s="348" t="s">
        <v>1020</v>
      </c>
    </row>
    <row r="316" spans="1:7">
      <c r="A316" s="348" t="s">
        <v>1021</v>
      </c>
      <c r="B316" s="348" t="s">
        <v>917</v>
      </c>
      <c r="C316" s="348" t="s">
        <v>1024</v>
      </c>
      <c r="D316" s="348" t="s">
        <v>1019</v>
      </c>
      <c r="E316" s="348" t="s">
        <v>527</v>
      </c>
      <c r="F316" s="496">
        <f>'20. Instructions Scoring Sum'!G28</f>
        <v>0</v>
      </c>
      <c r="G316" s="348" t="s">
        <v>1020</v>
      </c>
    </row>
    <row r="317" spans="1:7">
      <c r="A317" s="348" t="s">
        <v>1017</v>
      </c>
      <c r="B317" s="348" t="s">
        <v>917</v>
      </c>
      <c r="C317" s="348" t="s">
        <v>1025</v>
      </c>
      <c r="D317" s="348" t="s">
        <v>1019</v>
      </c>
      <c r="E317" s="348" t="s">
        <v>527</v>
      </c>
      <c r="F317">
        <f>'20. Instructions Scoring Sum'!F33</f>
        <v>0</v>
      </c>
      <c r="G317" s="348" t="s">
        <v>1020</v>
      </c>
    </row>
    <row r="318" spans="1:7">
      <c r="A318" s="348" t="s">
        <v>1021</v>
      </c>
      <c r="B318" s="348" t="s">
        <v>917</v>
      </c>
      <c r="C318" s="348" t="s">
        <v>1026</v>
      </c>
      <c r="D318" s="348" t="s">
        <v>1019</v>
      </c>
      <c r="E318" s="348" t="s">
        <v>527</v>
      </c>
      <c r="F318">
        <f>'20. Instructions Scoring Sum'!G33</f>
        <v>0</v>
      </c>
      <c r="G318" s="348" t="s">
        <v>1020</v>
      </c>
    </row>
    <row r="319" spans="1:7">
      <c r="A319" s="348" t="s">
        <v>1017</v>
      </c>
      <c r="B319" s="348" t="s">
        <v>917</v>
      </c>
      <c r="C319" s="348" t="s">
        <v>1027</v>
      </c>
      <c r="D319" s="348" t="s">
        <v>1019</v>
      </c>
      <c r="E319" s="348" t="s">
        <v>527</v>
      </c>
      <c r="F319" s="496">
        <f>'20. Instructions Scoring Sum'!F39</f>
        <v>0</v>
      </c>
      <c r="G319" s="348" t="s">
        <v>1020</v>
      </c>
    </row>
    <row r="320" spans="1:7">
      <c r="A320" s="348" t="s">
        <v>1021</v>
      </c>
      <c r="B320" s="348" t="s">
        <v>917</v>
      </c>
      <c r="C320" s="348" t="s">
        <v>1028</v>
      </c>
      <c r="D320" s="348" t="s">
        <v>1019</v>
      </c>
      <c r="E320" s="348" t="s">
        <v>527</v>
      </c>
      <c r="F320">
        <f>'20. Instructions Scoring Sum'!G39</f>
        <v>0</v>
      </c>
      <c r="G320" s="348" t="s">
        <v>1020</v>
      </c>
    </row>
    <row r="321" spans="1:7">
      <c r="A321" s="348" t="s">
        <v>1017</v>
      </c>
      <c r="B321" s="348" t="s">
        <v>917</v>
      </c>
      <c r="C321" s="348" t="s">
        <v>1029</v>
      </c>
      <c r="D321" s="348" t="s">
        <v>1019</v>
      </c>
      <c r="E321" s="348" t="s">
        <v>527</v>
      </c>
      <c r="F321" s="496">
        <f>'20. Instructions Scoring Sum'!F38</f>
        <v>0</v>
      </c>
      <c r="G321" s="348" t="s">
        <v>1020</v>
      </c>
    </row>
    <row r="322" spans="1:7">
      <c r="A322" s="348" t="s">
        <v>1021</v>
      </c>
      <c r="B322" s="348" t="s">
        <v>917</v>
      </c>
      <c r="C322" s="348" t="s">
        <v>1030</v>
      </c>
      <c r="D322" s="348" t="s">
        <v>1019</v>
      </c>
      <c r="E322" s="348" t="s">
        <v>527</v>
      </c>
      <c r="F322" s="496">
        <f>'20. Instructions Scoring Sum'!G38</f>
        <v>0</v>
      </c>
      <c r="G322" s="348" t="s">
        <v>1020</v>
      </c>
    </row>
    <row r="323" spans="1:7">
      <c r="A323" s="348" t="s">
        <v>1017</v>
      </c>
      <c r="B323" s="348" t="s">
        <v>917</v>
      </c>
      <c r="C323" s="348" t="s">
        <v>1031</v>
      </c>
      <c r="D323" s="348" t="s">
        <v>1019</v>
      </c>
      <c r="E323" s="348" t="s">
        <v>527</v>
      </c>
      <c r="F323" s="1636">
        <f>'20. Instructions Scoring Sum'!F40</f>
        <v>0</v>
      </c>
      <c r="G323" s="348" t="s">
        <v>1020</v>
      </c>
    </row>
    <row r="324" spans="1:7">
      <c r="A324" s="348" t="s">
        <v>1021</v>
      </c>
      <c r="B324" s="348" t="s">
        <v>917</v>
      </c>
      <c r="C324" s="348" t="s">
        <v>1032</v>
      </c>
      <c r="D324" s="348" t="s">
        <v>1019</v>
      </c>
      <c r="E324" s="348" t="s">
        <v>527</v>
      </c>
      <c r="F324">
        <f>'20. Instructions Scoring Sum'!G40</f>
        <v>0</v>
      </c>
      <c r="G324" s="348" t="s">
        <v>1020</v>
      </c>
    </row>
    <row r="325" spans="1:7">
      <c r="A325" s="348" t="s">
        <v>1017</v>
      </c>
      <c r="B325" s="348" t="s">
        <v>917</v>
      </c>
      <c r="C325" s="348" t="s">
        <v>1033</v>
      </c>
      <c r="D325" s="348" t="s">
        <v>1019</v>
      </c>
      <c r="E325" s="348" t="s">
        <v>527</v>
      </c>
      <c r="F325">
        <f>'20. Instructions Scoring Sum'!F42</f>
        <v>0</v>
      </c>
      <c r="G325" s="348" t="s">
        <v>1020</v>
      </c>
    </row>
    <row r="326" spans="1:7">
      <c r="A326" s="348" t="s">
        <v>1021</v>
      </c>
      <c r="B326" s="348" t="s">
        <v>917</v>
      </c>
      <c r="C326" s="348" t="s">
        <v>1034</v>
      </c>
      <c r="D326" s="348" t="s">
        <v>1019</v>
      </c>
      <c r="E326" s="348" t="s">
        <v>527</v>
      </c>
      <c r="F326">
        <f>'20. Instructions Scoring Sum'!G42</f>
        <v>0</v>
      </c>
      <c r="G326" s="348" t="s">
        <v>1020</v>
      </c>
    </row>
    <row r="327" spans="1:7">
      <c r="A327" s="1792" t="s">
        <v>1035</v>
      </c>
      <c r="B327" s="1792"/>
      <c r="C327" s="1792"/>
      <c r="D327" s="1792"/>
      <c r="E327" s="1792"/>
      <c r="F327" s="1690"/>
      <c r="G327" s="1690"/>
    </row>
    <row r="328" spans="1:7">
      <c r="A328" s="1794" t="s">
        <v>1036</v>
      </c>
      <c r="B328" s="1793"/>
      <c r="C328" s="1793"/>
      <c r="D328" s="1793"/>
      <c r="E328" s="1793"/>
      <c r="F328" s="1691"/>
      <c r="G328" s="1691"/>
    </row>
    <row r="329" spans="1:7">
      <c r="A329" s="348" t="s">
        <v>1037</v>
      </c>
      <c r="B329" s="348" t="s">
        <v>917</v>
      </c>
      <c r="C329" s="348" t="s">
        <v>1038</v>
      </c>
      <c r="D329" s="348" t="s">
        <v>1039</v>
      </c>
      <c r="E329" s="348" t="s">
        <v>527</v>
      </c>
      <c r="F329" s="359" t="b">
        <v>0</v>
      </c>
      <c r="G329" s="348" t="s">
        <v>1040</v>
      </c>
    </row>
    <row r="330" spans="1:7">
      <c r="A330" s="348" t="s">
        <v>1041</v>
      </c>
      <c r="B330" s="348" t="s">
        <v>917</v>
      </c>
      <c r="C330" s="348" t="s">
        <v>1038</v>
      </c>
      <c r="D330" s="348" t="s">
        <v>1042</v>
      </c>
      <c r="E330" s="348" t="s">
        <v>527</v>
      </c>
      <c r="F330" s="497">
        <f>'21. Location Score'!D109</f>
        <v>0</v>
      </c>
    </row>
    <row r="331" spans="1:7">
      <c r="A331" s="348" t="s">
        <v>1043</v>
      </c>
      <c r="B331" s="348" t="s">
        <v>917</v>
      </c>
      <c r="C331" s="348" t="s">
        <v>1038</v>
      </c>
      <c r="D331" s="348" t="s">
        <v>1044</v>
      </c>
      <c r="E331" s="348" t="s">
        <v>527</v>
      </c>
      <c r="F331" s="359" t="b">
        <f>IF('21. Location Score'!C86&lt;&gt;"YES",FALSE,TRUE)</f>
        <v>0</v>
      </c>
    </row>
    <row r="332" spans="1:7">
      <c r="A332" s="348" t="s">
        <v>1045</v>
      </c>
      <c r="B332" s="348" t="s">
        <v>917</v>
      </c>
      <c r="C332" s="348" t="s">
        <v>1038</v>
      </c>
      <c r="D332" s="348" t="s">
        <v>1046</v>
      </c>
      <c r="E332" s="348" t="s">
        <v>527</v>
      </c>
      <c r="F332" s="497">
        <f>IF(F331,2,0)</f>
        <v>0</v>
      </c>
    </row>
    <row r="333" spans="1:7">
      <c r="A333" s="348" t="s">
        <v>1047</v>
      </c>
      <c r="B333" s="348" t="s">
        <v>917</v>
      </c>
      <c r="C333" s="348" t="s">
        <v>1038</v>
      </c>
      <c r="D333" s="348" t="s">
        <v>1048</v>
      </c>
      <c r="E333" s="348" t="s">
        <v>527</v>
      </c>
      <c r="F333" s="359" t="b">
        <f>IF('21. Location Score'!C94&lt;&gt;"YES",FALSE,TRUE)</f>
        <v>0</v>
      </c>
    </row>
    <row r="334" spans="1:7">
      <c r="A334" s="348" t="s">
        <v>1049</v>
      </c>
      <c r="B334" s="348" t="s">
        <v>917</v>
      </c>
      <c r="C334" s="348" t="s">
        <v>1038</v>
      </c>
      <c r="D334" s="348" t="s">
        <v>1050</v>
      </c>
      <c r="E334" s="348" t="s">
        <v>527</v>
      </c>
      <c r="F334" s="497">
        <f>IF(F333,1,0)</f>
        <v>0</v>
      </c>
    </row>
    <row r="335" spans="1:7">
      <c r="A335" s="348" t="s">
        <v>1051</v>
      </c>
      <c r="B335" s="348" t="s">
        <v>917</v>
      </c>
      <c r="C335" s="348" t="s">
        <v>1038</v>
      </c>
      <c r="D335" s="348" t="s">
        <v>1052</v>
      </c>
      <c r="E335" s="348" t="s">
        <v>527</v>
      </c>
      <c r="F335" s="497">
        <f>'21. Location Score'!E109</f>
        <v>0</v>
      </c>
    </row>
    <row r="336" spans="1:7">
      <c r="A336" s="348" t="s">
        <v>1053</v>
      </c>
      <c r="B336" s="348" t="s">
        <v>917</v>
      </c>
      <c r="C336" s="348" t="s">
        <v>1038</v>
      </c>
      <c r="D336" s="348" t="s">
        <v>1054</v>
      </c>
      <c r="E336" s="348" t="s">
        <v>527</v>
      </c>
      <c r="F336" s="367" t="str">
        <f>IF(INDEX('21. Location Score'!I113:O121,1,1,1)=0,"",INDEX('21. Location Score'!I113:O121,1,1,1))</f>
        <v/>
      </c>
      <c r="G336" s="499"/>
    </row>
    <row r="337" spans="1:9">
      <c r="A337" s="348" t="s">
        <v>1055</v>
      </c>
      <c r="B337" s="348" t="s">
        <v>917</v>
      </c>
      <c r="C337" s="348" t="s">
        <v>1056</v>
      </c>
      <c r="D337" s="348" t="s">
        <v>1057</v>
      </c>
      <c r="E337" s="348" t="s">
        <v>527</v>
      </c>
      <c r="F337" s="367" t="str">
        <f>IF(INDEX('21. Location Score'!C113:G121,1,1,1)=0,"",INDEX('21. Location Score'!C113:G121,1,1,1))</f>
        <v/>
      </c>
      <c r="G337" s="499" t="s">
        <v>1020</v>
      </c>
    </row>
    <row r="338" spans="1:9">
      <c r="A338" s="348" t="s">
        <v>1058</v>
      </c>
      <c r="B338" s="348" t="s">
        <v>917</v>
      </c>
      <c r="C338" s="348" t="s">
        <v>1056</v>
      </c>
      <c r="D338" s="348" t="s">
        <v>1059</v>
      </c>
      <c r="E338" s="348" t="s">
        <v>527</v>
      </c>
      <c r="F338" s="367" t="str">
        <f>IF(INDEX('21. Location Score'!I123:O123,1,1,1)=0,"",INDEX('21. Location Score'!I123:O123,1,1,1))</f>
        <v/>
      </c>
      <c r="G338" s="499" t="s">
        <v>1020</v>
      </c>
    </row>
    <row r="339" spans="1:9">
      <c r="A339" s="1792" t="s">
        <v>1060</v>
      </c>
      <c r="B339" s="1792"/>
      <c r="C339" s="1792"/>
      <c r="D339" s="1792"/>
      <c r="E339" s="1792"/>
      <c r="F339" s="1690"/>
      <c r="G339" s="1690"/>
      <c r="I339" s="498"/>
    </row>
    <row r="340" spans="1:9">
      <c r="A340" s="1794" t="s">
        <v>1061</v>
      </c>
      <c r="B340" s="1793"/>
      <c r="C340" s="1793"/>
      <c r="D340" s="1793"/>
      <c r="E340" s="1793"/>
      <c r="F340" s="1691"/>
      <c r="G340" s="1691"/>
    </row>
    <row r="341" spans="1:9">
      <c r="A341" s="348" t="s">
        <v>1037</v>
      </c>
      <c r="B341" s="348" t="s">
        <v>917</v>
      </c>
      <c r="C341" s="348" t="s">
        <v>1062</v>
      </c>
      <c r="D341" s="348" t="s">
        <v>1063</v>
      </c>
      <c r="E341" s="348" t="s">
        <v>527</v>
      </c>
      <c r="F341" s="359" t="b">
        <v>0</v>
      </c>
      <c r="G341" s="348" t="s">
        <v>1040</v>
      </c>
    </row>
    <row r="342" spans="1:9">
      <c r="A342" s="348" t="s">
        <v>1041</v>
      </c>
      <c r="B342" s="348" t="s">
        <v>917</v>
      </c>
      <c r="C342" s="348" t="s">
        <v>1062</v>
      </c>
      <c r="D342" s="348" t="s">
        <v>1064</v>
      </c>
      <c r="E342" s="348" t="s">
        <v>527</v>
      </c>
      <c r="F342" s="497">
        <f>'23. Building Design Score'!D66</f>
        <v>0</v>
      </c>
    </row>
    <row r="343" spans="1:9">
      <c r="A343" s="348" t="s">
        <v>1065</v>
      </c>
      <c r="B343" s="348" t="s">
        <v>917</v>
      </c>
      <c r="C343" s="348" t="s">
        <v>1062</v>
      </c>
      <c r="D343" s="348" t="s">
        <v>1066</v>
      </c>
      <c r="E343" s="348" t="s">
        <v>527</v>
      </c>
      <c r="G343" s="914" t="s">
        <v>1067</v>
      </c>
    </row>
    <row r="344" spans="1:9">
      <c r="A344" s="348" t="s">
        <v>1068</v>
      </c>
      <c r="B344" s="348" t="s">
        <v>917</v>
      </c>
      <c r="C344" s="348" t="s">
        <v>1062</v>
      </c>
      <c r="D344" s="348" t="s">
        <v>1069</v>
      </c>
      <c r="E344" s="348" t="s">
        <v>527</v>
      </c>
      <c r="F344" s="1451">
        <f>'23. Building Design Score'!S30</f>
        <v>0</v>
      </c>
      <c r="G344" s="914" t="s">
        <v>1070</v>
      </c>
    </row>
    <row r="345" spans="1:9">
      <c r="A345" s="348" t="s">
        <v>1071</v>
      </c>
      <c r="B345" s="348" t="s">
        <v>917</v>
      </c>
      <c r="C345" s="348" t="s">
        <v>1062</v>
      </c>
      <c r="D345" s="348" t="s">
        <v>1072</v>
      </c>
      <c r="E345" s="348" t="s">
        <v>527</v>
      </c>
      <c r="F345" s="1451" t="b">
        <f>IF('23. Building Design Score'!C34&lt;&gt;"YES",FALSE,TRUE)</f>
        <v>0</v>
      </c>
      <c r="G345" s="914"/>
    </row>
    <row r="346" spans="1:9">
      <c r="A346" s="348" t="s">
        <v>1073</v>
      </c>
      <c r="B346" s="348" t="s">
        <v>917</v>
      </c>
      <c r="C346" s="348" t="s">
        <v>1062</v>
      </c>
      <c r="D346" s="348" t="s">
        <v>1074</v>
      </c>
      <c r="E346" s="348" t="s">
        <v>527</v>
      </c>
      <c r="F346" s="1451">
        <f>'23. Building Design Score'!S34</f>
        <v>0</v>
      </c>
      <c r="G346" s="914"/>
    </row>
    <row r="347" spans="1:9">
      <c r="A347" s="348" t="s">
        <v>1075</v>
      </c>
      <c r="B347" s="348" t="s">
        <v>917</v>
      </c>
      <c r="C347" s="348" t="s">
        <v>1062</v>
      </c>
      <c r="D347" s="348" t="s">
        <v>1076</v>
      </c>
      <c r="E347" s="348" t="s">
        <v>527</v>
      </c>
      <c r="F347" s="1451" t="b">
        <f>IF('23. Building Design Score'!C35&lt;&gt;"YES",FALSE,TRUE)</f>
        <v>0</v>
      </c>
      <c r="G347" s="914"/>
    </row>
    <row r="348" spans="1:9">
      <c r="A348" s="348" t="s">
        <v>1077</v>
      </c>
      <c r="B348" s="348" t="s">
        <v>917</v>
      </c>
      <c r="C348" s="348" t="s">
        <v>1062</v>
      </c>
      <c r="D348" s="348" t="s">
        <v>1078</v>
      </c>
      <c r="E348" s="348" t="s">
        <v>527</v>
      </c>
      <c r="F348" s="1451">
        <f>'23. Building Design Score'!S35</f>
        <v>0</v>
      </c>
      <c r="G348" s="914"/>
    </row>
    <row r="349" spans="1:9">
      <c r="A349" s="348" t="s">
        <v>1079</v>
      </c>
      <c r="B349" s="348" t="s">
        <v>917</v>
      </c>
      <c r="C349" s="348" t="s">
        <v>1062</v>
      </c>
      <c r="D349" s="348" t="s">
        <v>1080</v>
      </c>
      <c r="E349" s="348" t="s">
        <v>527</v>
      </c>
      <c r="F349" s="1451" t="b">
        <f>IF('23. Building Design Score'!C36&lt;&gt;"YES",FALSE,TRUE)</f>
        <v>0</v>
      </c>
      <c r="G349" s="914"/>
    </row>
    <row r="350" spans="1:9">
      <c r="A350" s="348" t="s">
        <v>1081</v>
      </c>
      <c r="B350" s="348" t="s">
        <v>917</v>
      </c>
      <c r="C350" s="348" t="s">
        <v>1062</v>
      </c>
      <c r="D350" s="348" t="s">
        <v>1082</v>
      </c>
      <c r="E350" s="348" t="s">
        <v>527</v>
      </c>
      <c r="F350" s="1451">
        <f>'23. Building Design Score'!S36</f>
        <v>0</v>
      </c>
      <c r="G350" s="914"/>
    </row>
    <row r="351" spans="1:9">
      <c r="A351" s="348" t="s">
        <v>1083</v>
      </c>
      <c r="B351" s="348" t="s">
        <v>917</v>
      </c>
      <c r="C351" s="348" t="s">
        <v>1062</v>
      </c>
      <c r="D351" s="348" t="s">
        <v>1084</v>
      </c>
      <c r="E351" s="348" t="s">
        <v>527</v>
      </c>
      <c r="F351" s="1451">
        <f>'23. Building Design Score'!S54</f>
        <v>0</v>
      </c>
      <c r="G351" s="914"/>
    </row>
    <row r="352" spans="1:9">
      <c r="A352" s="348" t="s">
        <v>1085</v>
      </c>
      <c r="B352" s="348" t="s">
        <v>917</v>
      </c>
      <c r="C352" s="348" t="s">
        <v>1062</v>
      </c>
      <c r="D352" s="348" t="s">
        <v>1086</v>
      </c>
      <c r="E352" s="348" t="s">
        <v>527</v>
      </c>
      <c r="G352" s="914" t="s">
        <v>1067</v>
      </c>
    </row>
    <row r="353" spans="1:7">
      <c r="A353" s="348" t="s">
        <v>1087</v>
      </c>
      <c r="B353" s="348" t="s">
        <v>917</v>
      </c>
      <c r="C353" s="348" t="s">
        <v>1062</v>
      </c>
      <c r="D353" s="348" t="s">
        <v>1088</v>
      </c>
      <c r="E353" s="348" t="s">
        <v>527</v>
      </c>
      <c r="F353" s="1451">
        <f>'23. Building Design Score'!S62</f>
        <v>0</v>
      </c>
      <c r="G353" s="914" t="s">
        <v>1070</v>
      </c>
    </row>
    <row r="354" spans="1:7">
      <c r="A354" s="348" t="s">
        <v>1089</v>
      </c>
      <c r="B354" s="348" t="s">
        <v>917</v>
      </c>
      <c r="C354" s="348" t="s">
        <v>1062</v>
      </c>
      <c r="D354" s="348" t="s">
        <v>1090</v>
      </c>
      <c r="E354" s="348" t="s">
        <v>527</v>
      </c>
      <c r="G354" s="348" t="s">
        <v>187</v>
      </c>
    </row>
    <row r="355" spans="1:7">
      <c r="A355" s="348" t="s">
        <v>1091</v>
      </c>
      <c r="B355" s="348" t="s">
        <v>917</v>
      </c>
      <c r="C355" s="348" t="s">
        <v>1062</v>
      </c>
      <c r="D355" s="348" t="s">
        <v>1092</v>
      </c>
      <c r="E355" s="348" t="s">
        <v>527</v>
      </c>
      <c r="G355" s="348" t="s">
        <v>187</v>
      </c>
    </row>
    <row r="356" spans="1:7">
      <c r="A356" s="348" t="s">
        <v>1051</v>
      </c>
      <c r="B356" s="348" t="s">
        <v>917</v>
      </c>
      <c r="C356" s="348" t="s">
        <v>1062</v>
      </c>
      <c r="D356" s="348" t="s">
        <v>1093</v>
      </c>
      <c r="E356" s="348" t="s">
        <v>527</v>
      </c>
      <c r="F356" s="497">
        <f>'23. Building Design Score'!E66</f>
        <v>0</v>
      </c>
      <c r="G356" s="498"/>
    </row>
    <row r="357" spans="1:7">
      <c r="A357" s="348" t="s">
        <v>1053</v>
      </c>
      <c r="B357" s="348" t="s">
        <v>917</v>
      </c>
      <c r="C357" s="348" t="s">
        <v>1062</v>
      </c>
      <c r="D357" s="348" t="s">
        <v>1094</v>
      </c>
      <c r="E357" s="348" t="s">
        <v>527</v>
      </c>
      <c r="F357" s="1452" t="str">
        <f>IF('23. Building Design Score'!J70&lt;&gt;0,'23. Building Design Score'!J70,"")</f>
        <v/>
      </c>
      <c r="G357" s="498"/>
    </row>
    <row r="358" spans="1:7">
      <c r="A358" s="348" t="s">
        <v>1095</v>
      </c>
      <c r="B358" s="348" t="s">
        <v>917</v>
      </c>
      <c r="C358" s="348" t="s">
        <v>1062</v>
      </c>
      <c r="D358" s="348" t="s">
        <v>1096</v>
      </c>
      <c r="E358" s="348" t="s">
        <v>527</v>
      </c>
      <c r="F358" s="1452" t="str">
        <f>IF('23. Building Design Score'!C70&lt;&gt;0,'23. Building Design Score'!C70,"")</f>
        <v/>
      </c>
      <c r="G358" s="498"/>
    </row>
    <row r="359" spans="1:7">
      <c r="A359" s="348" t="s">
        <v>1097</v>
      </c>
      <c r="B359" s="348" t="s">
        <v>917</v>
      </c>
      <c r="C359" s="348" t="s">
        <v>1062</v>
      </c>
      <c r="D359" s="348" t="s">
        <v>1098</v>
      </c>
      <c r="E359" s="348" t="s">
        <v>527</v>
      </c>
      <c r="F359" s="1452" t="str">
        <f>IF('23. Building Design Score'!J80&lt;&gt;0,'23. Building Design Score'!J80,"")</f>
        <v/>
      </c>
      <c r="G359" s="498"/>
    </row>
    <row r="360" spans="1:7">
      <c r="A360" s="1802" t="s">
        <v>1099</v>
      </c>
      <c r="B360" s="1802"/>
      <c r="C360" s="1802"/>
      <c r="D360" s="1802"/>
      <c r="E360" s="1802"/>
      <c r="F360" s="1690"/>
      <c r="G360" s="1690"/>
    </row>
    <row r="361" spans="1:7">
      <c r="A361" s="1803" t="s">
        <v>1100</v>
      </c>
      <c r="B361" s="1804"/>
      <c r="C361" s="1804"/>
      <c r="D361" s="1804"/>
      <c r="E361" s="1804"/>
      <c r="F361" s="1691"/>
      <c r="G361" s="1691"/>
    </row>
    <row r="362" spans="1:7">
      <c r="A362" s="915" t="s">
        <v>1037</v>
      </c>
      <c r="B362" s="915" t="s">
        <v>917</v>
      </c>
      <c r="C362" s="915" t="s">
        <v>1101</v>
      </c>
      <c r="D362" s="915" t="s">
        <v>1102</v>
      </c>
      <c r="E362" s="915" t="s">
        <v>527</v>
      </c>
      <c r="F362" s="359" t="b">
        <v>0</v>
      </c>
      <c r="G362" s="348" t="s">
        <v>1040</v>
      </c>
    </row>
    <row r="363" spans="1:7">
      <c r="A363" s="915" t="s">
        <v>1041</v>
      </c>
      <c r="B363" s="915" t="s">
        <v>917</v>
      </c>
      <c r="C363" s="915" t="s">
        <v>1101</v>
      </c>
      <c r="D363" s="915" t="s">
        <v>1103</v>
      </c>
      <c r="E363" s="915" t="s">
        <v>527</v>
      </c>
      <c r="F363" s="309"/>
      <c r="G363" s="348" t="s">
        <v>1104</v>
      </c>
    </row>
    <row r="364" spans="1:7">
      <c r="A364" s="915" t="s">
        <v>1051</v>
      </c>
      <c r="B364" s="915" t="s">
        <v>917</v>
      </c>
      <c r="C364" s="915" t="s">
        <v>1101</v>
      </c>
      <c r="D364" s="915" t="s">
        <v>1105</v>
      </c>
      <c r="E364" s="915" t="s">
        <v>527</v>
      </c>
      <c r="F364" s="497"/>
      <c r="G364" s="348" t="s">
        <v>1104</v>
      </c>
    </row>
    <row r="365" spans="1:7">
      <c r="A365" s="915" t="s">
        <v>1053</v>
      </c>
      <c r="B365" s="915" t="s">
        <v>917</v>
      </c>
      <c r="C365" s="915" t="s">
        <v>1101</v>
      </c>
      <c r="D365" s="915" t="s">
        <v>1106</v>
      </c>
      <c r="E365" s="915" t="s">
        <v>527</v>
      </c>
      <c r="G365" s="348" t="s">
        <v>1104</v>
      </c>
    </row>
    <row r="366" spans="1:7">
      <c r="A366" s="1792" t="s">
        <v>1107</v>
      </c>
      <c r="B366" s="1792"/>
      <c r="C366" s="1792"/>
      <c r="D366" s="1792"/>
      <c r="E366" s="1792"/>
      <c r="F366" s="1690"/>
      <c r="G366" s="1690"/>
    </row>
    <row r="367" spans="1:7">
      <c r="A367" s="1794" t="s">
        <v>1108</v>
      </c>
      <c r="B367" s="1793"/>
      <c r="C367" s="1793"/>
      <c r="D367" s="1793"/>
      <c r="E367" s="1793"/>
      <c r="F367" s="1691"/>
      <c r="G367" s="1691"/>
    </row>
    <row r="368" spans="1:7">
      <c r="A368" s="348" t="s">
        <v>1037</v>
      </c>
      <c r="B368" s="348" t="s">
        <v>917</v>
      </c>
      <c r="C368" s="348" t="s">
        <v>1109</v>
      </c>
      <c r="D368" s="348" t="s">
        <v>1110</v>
      </c>
      <c r="E368" s="348" t="s">
        <v>527</v>
      </c>
      <c r="F368" s="359" t="b">
        <f>IF('22. Tenants Served Score'!D28&gt;0,TRUE,FALSE)</f>
        <v>0</v>
      </c>
    </row>
    <row r="369" spans="1:7">
      <c r="A369" s="348" t="s">
        <v>1111</v>
      </c>
      <c r="B369" s="348" t="s">
        <v>917</v>
      </c>
      <c r="C369" s="348" t="s">
        <v>1112</v>
      </c>
      <c r="D369" s="348" t="s">
        <v>1113</v>
      </c>
      <c r="E369" s="348" t="s">
        <v>527</v>
      </c>
      <c r="F369" s="359">
        <f>'22. Tenants Served Score'!C19</f>
        <v>0</v>
      </c>
    </row>
    <row r="370" spans="1:7">
      <c r="A370" s="348" t="s">
        <v>1114</v>
      </c>
      <c r="B370" s="348" t="s">
        <v>917</v>
      </c>
      <c r="C370" s="348" t="s">
        <v>1112</v>
      </c>
      <c r="D370" s="348" t="s">
        <v>1115</v>
      </c>
      <c r="E370" s="348" t="s">
        <v>527</v>
      </c>
      <c r="F370" s="1637">
        <f>'22. Tenants Served Score'!E19</f>
        <v>0</v>
      </c>
    </row>
    <row r="371" spans="1:7">
      <c r="A371" s="348" t="s">
        <v>1116</v>
      </c>
      <c r="B371" s="348" t="s">
        <v>917</v>
      </c>
      <c r="C371" s="348" t="s">
        <v>1112</v>
      </c>
      <c r="D371" s="348" t="s">
        <v>1117</v>
      </c>
      <c r="E371" s="348" t="s">
        <v>527</v>
      </c>
      <c r="F371" s="1638">
        <f>'22. Tenants Served Score'!G19</f>
        <v>0</v>
      </c>
    </row>
    <row r="372" spans="1:7">
      <c r="A372" s="348" t="s">
        <v>1118</v>
      </c>
      <c r="B372" s="348" t="s">
        <v>917</v>
      </c>
      <c r="C372" s="348" t="s">
        <v>1112</v>
      </c>
      <c r="D372" s="348" t="s">
        <v>1119</v>
      </c>
      <c r="E372" s="348" t="s">
        <v>527</v>
      </c>
      <c r="F372" s="359">
        <f>'22. Tenants Served Score'!I19</f>
        <v>0</v>
      </c>
    </row>
    <row r="373" spans="1:7">
      <c r="A373" s="348" t="s">
        <v>1120</v>
      </c>
      <c r="B373" s="348" t="s">
        <v>917</v>
      </c>
      <c r="C373" s="348" t="s">
        <v>1112</v>
      </c>
      <c r="D373" s="348" t="s">
        <v>1121</v>
      </c>
      <c r="E373" s="348" t="s">
        <v>527</v>
      </c>
      <c r="F373" s="359" t="b">
        <f>IF(isQualifiedSenior="Yes", TRUE, FALSE)</f>
        <v>0</v>
      </c>
    </row>
    <row r="374" spans="1:7">
      <c r="A374" s="348" t="s">
        <v>1122</v>
      </c>
      <c r="B374" s="348" t="s">
        <v>917</v>
      </c>
      <c r="C374" s="348" t="s">
        <v>1112</v>
      </c>
      <c r="D374" s="348" t="s">
        <v>1123</v>
      </c>
      <c r="E374" s="348" t="s">
        <v>527</v>
      </c>
      <c r="F374" s="359">
        <f>'22. Tenants Served Score'!D24</f>
        <v>0</v>
      </c>
    </row>
    <row r="375" spans="1:7">
      <c r="A375" s="348" t="s">
        <v>1124</v>
      </c>
      <c r="B375" s="348" t="s">
        <v>917</v>
      </c>
      <c r="C375" s="348" t="s">
        <v>1112</v>
      </c>
      <c r="D375" s="348" t="s">
        <v>1117</v>
      </c>
      <c r="E375" s="348" t="s">
        <v>527</v>
      </c>
      <c r="F375" s="1638">
        <f>'22. Tenants Served Score'!E24</f>
        <v>0</v>
      </c>
    </row>
    <row r="376" spans="1:7">
      <c r="A376" s="348" t="s">
        <v>1125</v>
      </c>
      <c r="B376" s="348" t="s">
        <v>917</v>
      </c>
      <c r="C376" s="348" t="s">
        <v>1112</v>
      </c>
      <c r="D376" s="348" t="s">
        <v>1119</v>
      </c>
      <c r="E376" s="348" t="s">
        <v>527</v>
      </c>
      <c r="F376" s="359">
        <f>'22. Tenants Served Score'!G24</f>
        <v>0</v>
      </c>
    </row>
    <row r="377" spans="1:7">
      <c r="A377" s="348" t="s">
        <v>1041</v>
      </c>
      <c r="B377" s="348" t="s">
        <v>917</v>
      </c>
      <c r="C377" s="348" t="s">
        <v>1112</v>
      </c>
      <c r="D377" s="348" t="s">
        <v>1126</v>
      </c>
      <c r="E377" s="348" t="s">
        <v>527</v>
      </c>
      <c r="F377" s="309">
        <f>'22. Tenants Served Score'!D28</f>
        <v>0</v>
      </c>
    </row>
    <row r="378" spans="1:7">
      <c r="A378" s="348" t="s">
        <v>1051</v>
      </c>
      <c r="B378" s="348" t="s">
        <v>917</v>
      </c>
      <c r="C378" s="348" t="s">
        <v>1112</v>
      </c>
      <c r="D378" s="348" t="s">
        <v>1127</v>
      </c>
      <c r="E378" s="348" t="s">
        <v>527</v>
      </c>
      <c r="F378" s="497">
        <f>'22. Tenants Served Score'!E28</f>
        <v>0</v>
      </c>
    </row>
    <row r="379" spans="1:7">
      <c r="A379" s="348" t="s">
        <v>1053</v>
      </c>
      <c r="B379" s="348" t="s">
        <v>917</v>
      </c>
      <c r="C379" s="348" t="s">
        <v>1112</v>
      </c>
      <c r="D379" s="348" t="s">
        <v>1128</v>
      </c>
      <c r="E379" s="348" t="s">
        <v>527</v>
      </c>
      <c r="F379" s="359" t="str">
        <f>IF('22. Tenants Served Score'!J32&lt;&gt;0,'22. Tenants Served Score'!J32,"")</f>
        <v/>
      </c>
    </row>
    <row r="380" spans="1:7">
      <c r="A380" s="348" t="s">
        <v>1129</v>
      </c>
      <c r="B380" s="348" t="s">
        <v>917</v>
      </c>
      <c r="C380" s="348" t="s">
        <v>1112</v>
      </c>
      <c r="D380" s="348" t="s">
        <v>1130</v>
      </c>
      <c r="E380" s="348" t="s">
        <v>527</v>
      </c>
      <c r="F380" s="359" t="str">
        <f>IF('22. Tenants Served Score'!C32&lt;&gt;0,'22. Tenants Served Score'!C32,"")</f>
        <v/>
      </c>
    </row>
    <row r="381" spans="1:7">
      <c r="A381" s="348" t="s">
        <v>1131</v>
      </c>
      <c r="B381" s="348" t="s">
        <v>917</v>
      </c>
      <c r="C381" s="348" t="s">
        <v>1112</v>
      </c>
      <c r="D381" s="348" t="s">
        <v>1132</v>
      </c>
      <c r="E381" s="348" t="s">
        <v>527</v>
      </c>
      <c r="F381" s="359" t="str">
        <f>IF('22. Tenants Served Score'!J42&lt;&gt;0,'22. Tenants Served Score'!J42,"")</f>
        <v/>
      </c>
    </row>
    <row r="382" spans="1:7">
      <c r="A382" s="1792" t="s">
        <v>1133</v>
      </c>
      <c r="B382" s="1792"/>
      <c r="C382" s="1792"/>
      <c r="D382" s="1792"/>
      <c r="E382" s="1792"/>
      <c r="F382" s="1690"/>
      <c r="G382" s="1690"/>
    </row>
    <row r="383" spans="1:7">
      <c r="A383" s="1794" t="s">
        <v>1134</v>
      </c>
      <c r="B383" s="1793"/>
      <c r="C383" s="1793"/>
      <c r="D383" s="1793"/>
      <c r="E383" s="1793"/>
      <c r="F383" s="1691"/>
      <c r="G383" s="1691"/>
    </row>
    <row r="384" spans="1:7">
      <c r="A384" s="348" t="s">
        <v>1037</v>
      </c>
      <c r="B384" s="348" t="s">
        <v>917</v>
      </c>
      <c r="C384" s="348" t="s">
        <v>1135</v>
      </c>
      <c r="D384" s="348" t="s">
        <v>1136</v>
      </c>
      <c r="E384" s="348" t="s">
        <v>527</v>
      </c>
      <c r="F384" s="359" t="b">
        <f>IF('22. Tenants Served Score'!D59&gt;0,TRUE,FALSE)</f>
        <v>0</v>
      </c>
    </row>
    <row r="385" spans="1:7">
      <c r="A385" s="348" t="s">
        <v>1137</v>
      </c>
      <c r="B385" s="348" t="s">
        <v>917</v>
      </c>
      <c r="C385" s="348" t="s">
        <v>1135</v>
      </c>
      <c r="D385" s="348" t="s">
        <v>1138</v>
      </c>
      <c r="E385" s="348" t="s">
        <v>527</v>
      </c>
      <c r="F385" s="1637">
        <f>'22. Tenants Served Score'!E54</f>
        <v>0</v>
      </c>
    </row>
    <row r="386" spans="1:7">
      <c r="A386" s="348" t="s">
        <v>1139</v>
      </c>
      <c r="B386" s="348" t="s">
        <v>917</v>
      </c>
      <c r="C386" s="348" t="s">
        <v>1135</v>
      </c>
      <c r="D386" s="348" t="s">
        <v>1140</v>
      </c>
      <c r="E386" s="348" t="s">
        <v>527</v>
      </c>
      <c r="F386" s="1639">
        <f>'22. Tenants Served Score'!G54</f>
        <v>0</v>
      </c>
    </row>
    <row r="387" spans="1:7">
      <c r="A387" s="348" t="s">
        <v>1141</v>
      </c>
      <c r="B387" s="348" t="s">
        <v>917</v>
      </c>
      <c r="C387" s="348" t="s">
        <v>1135</v>
      </c>
      <c r="D387" s="348" t="s">
        <v>1142</v>
      </c>
      <c r="E387" s="348" t="s">
        <v>527</v>
      </c>
      <c r="F387" s="1640">
        <f>'22. Tenants Served Score'!K54</f>
        <v>0</v>
      </c>
    </row>
    <row r="388" spans="1:7">
      <c r="A388" s="348" t="s">
        <v>1143</v>
      </c>
      <c r="B388" s="348" t="s">
        <v>917</v>
      </c>
      <c r="C388" s="348" t="s">
        <v>1135</v>
      </c>
      <c r="D388" s="348" t="s">
        <v>1144</v>
      </c>
      <c r="E388" s="348" t="s">
        <v>527</v>
      </c>
      <c r="F388" s="1637">
        <f>'22. Tenants Served Score'!E55</f>
        <v>0</v>
      </c>
    </row>
    <row r="389" spans="1:7">
      <c r="A389" s="348" t="s">
        <v>1145</v>
      </c>
      <c r="B389" s="348" t="s">
        <v>917</v>
      </c>
      <c r="C389" s="348" t="s">
        <v>1135</v>
      </c>
      <c r="D389" s="348" t="s">
        <v>1146</v>
      </c>
      <c r="E389" s="348" t="s">
        <v>527</v>
      </c>
      <c r="F389" s="1639">
        <f>'22. Tenants Served Score'!G55</f>
        <v>0</v>
      </c>
    </row>
    <row r="390" spans="1:7">
      <c r="A390" s="348" t="s">
        <v>1147</v>
      </c>
      <c r="B390" s="348" t="s">
        <v>917</v>
      </c>
      <c r="C390" s="348" t="s">
        <v>1135</v>
      </c>
      <c r="D390" s="348" t="s">
        <v>1148</v>
      </c>
      <c r="E390" s="348" t="s">
        <v>527</v>
      </c>
      <c r="F390" s="1640">
        <f>'22. Tenants Served Score'!K55</f>
        <v>0</v>
      </c>
    </row>
    <row r="391" spans="1:7">
      <c r="A391" s="348" t="s">
        <v>1149</v>
      </c>
      <c r="B391" s="348" t="s">
        <v>917</v>
      </c>
      <c r="C391" s="348" t="s">
        <v>1135</v>
      </c>
      <c r="D391" s="348" t="s">
        <v>1150</v>
      </c>
      <c r="E391" s="348" t="s">
        <v>527</v>
      </c>
      <c r="F391" s="1637">
        <f>'22. Tenants Served Score'!E56</f>
        <v>0</v>
      </c>
    </row>
    <row r="392" spans="1:7">
      <c r="A392" s="348" t="s">
        <v>1151</v>
      </c>
      <c r="B392" s="348" t="s">
        <v>917</v>
      </c>
      <c r="C392" s="348" t="s">
        <v>1135</v>
      </c>
      <c r="D392" s="348" t="s">
        <v>1152</v>
      </c>
      <c r="E392" s="348" t="s">
        <v>527</v>
      </c>
      <c r="F392" s="1639">
        <f>'22. Tenants Served Score'!G56</f>
        <v>0</v>
      </c>
    </row>
    <row r="393" spans="1:7">
      <c r="A393" s="348" t="s">
        <v>1153</v>
      </c>
      <c r="B393" s="348" t="s">
        <v>917</v>
      </c>
      <c r="C393" s="348" t="s">
        <v>1135</v>
      </c>
      <c r="D393" s="348" t="s">
        <v>1154</v>
      </c>
      <c r="E393" s="348" t="s">
        <v>527</v>
      </c>
      <c r="F393" s="1640">
        <f>'22. Tenants Served Score'!K56</f>
        <v>0</v>
      </c>
    </row>
    <row r="394" spans="1:7">
      <c r="A394" s="348" t="s">
        <v>1041</v>
      </c>
      <c r="B394" s="348" t="s">
        <v>917</v>
      </c>
      <c r="C394" s="348" t="s">
        <v>1135</v>
      </c>
      <c r="D394" s="348" t="s">
        <v>1155</v>
      </c>
      <c r="E394" s="348" t="s">
        <v>527</v>
      </c>
      <c r="F394" s="497">
        <f>'22. Tenants Served Score'!D59</f>
        <v>0</v>
      </c>
    </row>
    <row r="395" spans="1:7">
      <c r="A395" s="348" t="s">
        <v>1051</v>
      </c>
      <c r="B395" s="348" t="s">
        <v>917</v>
      </c>
      <c r="C395" s="348" t="s">
        <v>1135</v>
      </c>
      <c r="D395" s="348" t="s">
        <v>1156</v>
      </c>
      <c r="E395" s="348" t="s">
        <v>527</v>
      </c>
      <c r="F395" s="497">
        <f>'22. Tenants Served Score'!E59</f>
        <v>0</v>
      </c>
    </row>
    <row r="396" spans="1:7">
      <c r="A396" s="348" t="s">
        <v>1053</v>
      </c>
      <c r="B396" s="348" t="s">
        <v>917</v>
      </c>
      <c r="C396" s="348" t="s">
        <v>1135</v>
      </c>
      <c r="D396" s="348" t="s">
        <v>1157</v>
      </c>
      <c r="E396" s="348" t="s">
        <v>527</v>
      </c>
      <c r="F396" s="359" t="str">
        <f>IF('22. Tenants Served Score'!J63&lt;&gt;0,'22. Tenants Served Score'!J63,"")</f>
        <v/>
      </c>
    </row>
    <row r="397" spans="1:7">
      <c r="A397" s="348" t="s">
        <v>1158</v>
      </c>
      <c r="B397" s="348" t="s">
        <v>917</v>
      </c>
      <c r="C397" s="348" t="s">
        <v>1135</v>
      </c>
      <c r="D397" s="348" t="s">
        <v>1159</v>
      </c>
      <c r="E397" s="348" t="s">
        <v>527</v>
      </c>
      <c r="F397" s="359" t="str">
        <f>IF('22. Tenants Served Score'!C63&lt;&gt;0,'22. Tenants Served Score'!C63,"")</f>
        <v/>
      </c>
    </row>
    <row r="398" spans="1:7">
      <c r="A398" s="348" t="s">
        <v>1160</v>
      </c>
      <c r="B398" s="348" t="s">
        <v>917</v>
      </c>
      <c r="C398" s="348" t="s">
        <v>1135</v>
      </c>
      <c r="D398" s="348" t="s">
        <v>1161</v>
      </c>
      <c r="E398" s="348" t="s">
        <v>527</v>
      </c>
      <c r="F398" s="359" t="str">
        <f>IF('22. Tenants Served Score'!J73&lt;&gt;0,'22. Tenants Served Score'!J73,"")</f>
        <v/>
      </c>
    </row>
    <row r="399" spans="1:7">
      <c r="A399" s="1792" t="s">
        <v>1162</v>
      </c>
      <c r="B399" s="1792"/>
      <c r="C399" s="1792"/>
      <c r="D399" s="1792"/>
      <c r="E399" s="1792"/>
      <c r="F399" s="1690"/>
      <c r="G399" s="1690"/>
    </row>
    <row r="400" spans="1:7">
      <c r="A400" s="1794" t="s">
        <v>1163</v>
      </c>
      <c r="B400" s="1793"/>
      <c r="C400" s="1793"/>
      <c r="D400" s="1793"/>
      <c r="E400" s="1793"/>
      <c r="F400" s="1691"/>
      <c r="G400" s="1691"/>
    </row>
    <row r="401" spans="1:8" s="506" customFormat="1">
      <c r="A401" s="421" t="s">
        <v>1164</v>
      </c>
      <c r="B401" s="422" t="s">
        <v>741</v>
      </c>
      <c r="C401" s="422" t="s">
        <v>1164</v>
      </c>
      <c r="D401" s="422" t="s">
        <v>1164</v>
      </c>
      <c r="E401" s="422" t="s">
        <v>527</v>
      </c>
      <c r="F401" s="495">
        <f>Supportive_Housing_Number_of_Units</f>
        <v>0</v>
      </c>
      <c r="G401" s="516"/>
      <c r="H401" s="502"/>
    </row>
    <row r="402" spans="1:8">
      <c r="A402" s="348" t="s">
        <v>1037</v>
      </c>
      <c r="B402" s="348" t="s">
        <v>917</v>
      </c>
      <c r="C402" s="348" t="s">
        <v>1165</v>
      </c>
      <c r="D402" s="348" t="s">
        <v>1166</v>
      </c>
      <c r="E402" s="348" t="s">
        <v>527</v>
      </c>
      <c r="F402" s="359" t="b">
        <f>IF('22. Tenants Served Score'!D96&gt;0,TRUE,FALSE)</f>
        <v>0</v>
      </c>
    </row>
    <row r="403" spans="1:8">
      <c r="A403" s="348" t="s">
        <v>1167</v>
      </c>
      <c r="B403" s="348" t="s">
        <v>917</v>
      </c>
      <c r="C403" s="348" t="s">
        <v>1165</v>
      </c>
      <c r="D403" s="348" t="s">
        <v>1168</v>
      </c>
      <c r="E403" s="348" t="s">
        <v>527</v>
      </c>
      <c r="F403" s="359">
        <f>'22. Tenants Served Score'!C93</f>
        <v>0</v>
      </c>
    </row>
    <row r="404" spans="1:8">
      <c r="A404" s="348" t="s">
        <v>1169</v>
      </c>
      <c r="B404" s="348" t="s">
        <v>917</v>
      </c>
      <c r="C404" s="348" t="s">
        <v>1165</v>
      </c>
      <c r="D404" s="348" t="s">
        <v>1170</v>
      </c>
      <c r="E404" s="348" t="s">
        <v>527</v>
      </c>
      <c r="F404" s="1637">
        <f>'22. Tenants Served Score'!E93</f>
        <v>0</v>
      </c>
    </row>
    <row r="405" spans="1:8">
      <c r="A405" s="348" t="s">
        <v>1171</v>
      </c>
      <c r="B405" s="348" t="s">
        <v>917</v>
      </c>
      <c r="C405" s="348" t="s">
        <v>1165</v>
      </c>
      <c r="D405" s="348" t="s">
        <v>1172</v>
      </c>
      <c r="E405" s="348" t="s">
        <v>527</v>
      </c>
      <c r="F405" s="1638">
        <f>'22. Tenants Served Score'!F93</f>
        <v>0</v>
      </c>
    </row>
    <row r="406" spans="1:8">
      <c r="A406" s="348" t="s">
        <v>1173</v>
      </c>
      <c r="B406" s="348" t="s">
        <v>917</v>
      </c>
      <c r="C406" s="348" t="s">
        <v>1165</v>
      </c>
      <c r="D406" s="348" t="s">
        <v>1174</v>
      </c>
      <c r="E406" s="348" t="s">
        <v>527</v>
      </c>
      <c r="F406" s="359">
        <f>'22. Tenants Served Score'!H93</f>
        <v>0</v>
      </c>
    </row>
    <row r="407" spans="1:8">
      <c r="A407" s="348" t="s">
        <v>1041</v>
      </c>
      <c r="B407" s="348" t="s">
        <v>917</v>
      </c>
      <c r="C407" s="348" t="s">
        <v>1165</v>
      </c>
      <c r="D407" s="348" t="s">
        <v>1175</v>
      </c>
      <c r="E407" s="348" t="s">
        <v>527</v>
      </c>
      <c r="F407" s="497">
        <f>'22. Tenants Served Score'!D96</f>
        <v>0</v>
      </c>
    </row>
    <row r="408" spans="1:8">
      <c r="A408" s="348" t="s">
        <v>1051</v>
      </c>
      <c r="B408" s="348" t="s">
        <v>917</v>
      </c>
      <c r="C408" s="348" t="s">
        <v>1165</v>
      </c>
      <c r="D408" s="348" t="s">
        <v>1176</v>
      </c>
      <c r="E408" s="348" t="s">
        <v>527</v>
      </c>
      <c r="F408" s="497">
        <f>'22. Tenants Served Score'!E96</f>
        <v>0</v>
      </c>
    </row>
    <row r="409" spans="1:8">
      <c r="A409" s="348" t="s">
        <v>1053</v>
      </c>
      <c r="B409" s="348" t="s">
        <v>917</v>
      </c>
      <c r="C409" s="348" t="s">
        <v>1165</v>
      </c>
      <c r="D409" s="348" t="s">
        <v>1177</v>
      </c>
      <c r="E409" s="348" t="s">
        <v>527</v>
      </c>
      <c r="F409" s="359" t="str">
        <f>IF('22. Tenants Served Score'!J101&lt;&gt;0,'22. Tenants Served Score'!J101,"")</f>
        <v/>
      </c>
    </row>
    <row r="410" spans="1:8">
      <c r="A410" s="348" t="s">
        <v>1178</v>
      </c>
      <c r="B410" s="348" t="s">
        <v>917</v>
      </c>
      <c r="C410" s="348" t="s">
        <v>1165</v>
      </c>
      <c r="D410" s="348" t="s">
        <v>1179</v>
      </c>
      <c r="E410" s="348" t="s">
        <v>527</v>
      </c>
      <c r="F410" s="359" t="str">
        <f>IF('22. Tenants Served Score'!C101&lt;&gt;0,'22. Tenants Served Score'!C101,"")</f>
        <v/>
      </c>
    </row>
    <row r="411" spans="1:8">
      <c r="A411" s="348" t="s">
        <v>1180</v>
      </c>
      <c r="B411" s="348" t="s">
        <v>917</v>
      </c>
      <c r="C411" s="348" t="s">
        <v>1165</v>
      </c>
      <c r="D411" s="348" t="s">
        <v>1181</v>
      </c>
      <c r="E411" s="348" t="s">
        <v>527</v>
      </c>
      <c r="F411" s="359" t="str">
        <f>IF('22. Tenants Served Score'!J111&lt;&gt;0,'22. Tenants Served Score'!J111,"")</f>
        <v/>
      </c>
    </row>
    <row r="412" spans="1:8">
      <c r="A412" s="1792" t="s">
        <v>1182</v>
      </c>
      <c r="B412" s="1792"/>
      <c r="C412" s="1792"/>
      <c r="D412" s="1792"/>
      <c r="E412" s="1792"/>
      <c r="F412" s="1690"/>
      <c r="G412" s="1690"/>
    </row>
    <row r="413" spans="1:8">
      <c r="A413" s="1794" t="s">
        <v>1183</v>
      </c>
      <c r="B413" s="1793"/>
      <c r="C413" s="1793"/>
      <c r="D413" s="1793"/>
      <c r="E413" s="1793"/>
      <c r="F413" s="1691"/>
      <c r="G413" s="1691"/>
    </row>
    <row r="414" spans="1:8" s="506" customFormat="1">
      <c r="A414" s="421" t="s">
        <v>1184</v>
      </c>
      <c r="B414" s="422" t="s">
        <v>741</v>
      </c>
      <c r="C414" s="422" t="s">
        <v>1184</v>
      </c>
      <c r="D414" s="422" t="s">
        <v>1184</v>
      </c>
      <c r="E414" s="422" t="s">
        <v>527</v>
      </c>
      <c r="F414" s="495">
        <f>'22. Tenants Served Score'!D123</f>
        <v>0</v>
      </c>
      <c r="G414" s="495"/>
      <c r="H414" s="502"/>
    </row>
    <row r="415" spans="1:8">
      <c r="A415" s="348" t="s">
        <v>1037</v>
      </c>
      <c r="B415" s="348" t="s">
        <v>917</v>
      </c>
      <c r="C415" s="348" t="s">
        <v>1185</v>
      </c>
      <c r="D415" s="348" t="s">
        <v>1186</v>
      </c>
      <c r="E415" s="348" t="s">
        <v>527</v>
      </c>
      <c r="F415" s="359" t="b">
        <f>IF('22. Tenants Served Score'!D132&gt;0,TRUE,FALSE)</f>
        <v>0</v>
      </c>
    </row>
    <row r="416" spans="1:8">
      <c r="A416" s="348" t="s">
        <v>1187</v>
      </c>
      <c r="B416" s="348" t="s">
        <v>917</v>
      </c>
      <c r="C416" s="348" t="s">
        <v>1185</v>
      </c>
      <c r="D416" s="348" t="s">
        <v>1188</v>
      </c>
      <c r="E416" s="348" t="s">
        <v>527</v>
      </c>
      <c r="F416" s="359">
        <f>'22. Tenants Served Score'!D123</f>
        <v>0</v>
      </c>
    </row>
    <row r="417" spans="1:7">
      <c r="A417" s="348" t="s">
        <v>1189</v>
      </c>
      <c r="B417" s="348" t="s">
        <v>917</v>
      </c>
      <c r="C417" s="348" t="s">
        <v>1185</v>
      </c>
      <c r="D417" s="348" t="s">
        <v>1190</v>
      </c>
      <c r="E417" s="348" t="s">
        <v>527</v>
      </c>
      <c r="F417" s="1641">
        <f>'22. Tenants Served Score'!F123</f>
        <v>0</v>
      </c>
    </row>
    <row r="418" spans="1:7">
      <c r="A418" s="348" t="s">
        <v>1191</v>
      </c>
      <c r="B418" s="348" t="s">
        <v>917</v>
      </c>
      <c r="C418" s="348" t="s">
        <v>1185</v>
      </c>
      <c r="D418" s="348" t="s">
        <v>1192</v>
      </c>
      <c r="E418" s="348" t="s">
        <v>527</v>
      </c>
      <c r="F418" s="1638" cm="1">
        <f t="array" ref="F418:G418">'22. Tenants Served Score'!I123:J123</f>
        <v>0</v>
      </c>
      <c r="G418">
        <v>0</v>
      </c>
    </row>
    <row r="419" spans="1:7">
      <c r="A419" s="348" t="s">
        <v>1041</v>
      </c>
      <c r="B419" s="348" t="s">
        <v>917</v>
      </c>
      <c r="C419" s="348" t="s">
        <v>1185</v>
      </c>
      <c r="D419" s="348" t="s">
        <v>1193</v>
      </c>
      <c r="E419" s="348" t="s">
        <v>527</v>
      </c>
      <c r="F419" s="497">
        <f>'22. Tenants Served Score'!D132</f>
        <v>0</v>
      </c>
    </row>
    <row r="420" spans="1:7">
      <c r="A420" s="348" t="s">
        <v>1051</v>
      </c>
      <c r="B420" s="348" t="s">
        <v>917</v>
      </c>
      <c r="C420" s="348" t="s">
        <v>1185</v>
      </c>
      <c r="D420" s="348" t="s">
        <v>1194</v>
      </c>
      <c r="E420" s="348" t="s">
        <v>527</v>
      </c>
      <c r="F420" s="497">
        <f>'22. Tenants Served Score'!E132</f>
        <v>0</v>
      </c>
    </row>
    <row r="421" spans="1:7">
      <c r="A421" s="348" t="s">
        <v>1053</v>
      </c>
      <c r="B421" s="348" t="s">
        <v>917</v>
      </c>
      <c r="C421" s="348" t="s">
        <v>1185</v>
      </c>
      <c r="D421" s="348" t="s">
        <v>1195</v>
      </c>
      <c r="E421" s="348" t="s">
        <v>527</v>
      </c>
      <c r="F421" s="359" t="str">
        <f>IF('22. Tenants Served Score'!J137&lt;&gt;0,'22. Tenants Served Score'!J137,"")</f>
        <v/>
      </c>
    </row>
    <row r="422" spans="1:7">
      <c r="A422" s="348" t="s">
        <v>1196</v>
      </c>
      <c r="B422" s="348" t="s">
        <v>917</v>
      </c>
      <c r="C422" s="348" t="s">
        <v>1185</v>
      </c>
      <c r="D422" s="348" t="s">
        <v>1197</v>
      </c>
      <c r="E422" s="348" t="s">
        <v>527</v>
      </c>
      <c r="F422" s="359" t="str">
        <f>IF('22. Tenants Served Score'!C137&lt;&gt;0,'22. Tenants Served Score'!C137,"")</f>
        <v/>
      </c>
    </row>
    <row r="423" spans="1:7">
      <c r="A423" s="348" t="s">
        <v>1198</v>
      </c>
      <c r="B423" s="348" t="s">
        <v>917</v>
      </c>
      <c r="C423" s="348" t="s">
        <v>1185</v>
      </c>
      <c r="D423" s="348" t="s">
        <v>1199</v>
      </c>
      <c r="E423" s="348" t="s">
        <v>527</v>
      </c>
      <c r="F423" s="359" t="str">
        <f>IF('22. Tenants Served Score'!J147&lt;&gt;0,'22. Tenants Served Score'!J147,"")</f>
        <v/>
      </c>
    </row>
    <row r="424" spans="1:7">
      <c r="A424" s="1792" t="s">
        <v>1200</v>
      </c>
      <c r="B424" s="1792"/>
      <c r="C424" s="1792"/>
      <c r="D424" s="1792"/>
      <c r="E424" s="1792"/>
      <c r="F424" s="1690"/>
      <c r="G424" s="1690"/>
    </row>
    <row r="425" spans="1:7">
      <c r="A425" s="1794" t="s">
        <v>1201</v>
      </c>
      <c r="B425" s="1793"/>
      <c r="C425" s="1793"/>
      <c r="D425" s="1793"/>
      <c r="E425" s="1793"/>
      <c r="F425" s="1691"/>
      <c r="G425" s="1691"/>
    </row>
    <row r="426" spans="1:7">
      <c r="A426" s="348" t="s">
        <v>1037</v>
      </c>
      <c r="B426" s="348" t="s">
        <v>917</v>
      </c>
      <c r="C426" s="348" t="s">
        <v>1202</v>
      </c>
      <c r="D426" s="348" t="s">
        <v>1203</v>
      </c>
      <c r="E426" s="348" t="s">
        <v>527</v>
      </c>
      <c r="F426" s="359" t="b">
        <f>IF('21. Location Score'!F158&lt;&gt;"YES",FALSE,TRUE)</f>
        <v>0</v>
      </c>
    </row>
    <row r="427" spans="1:7">
      <c r="A427" s="348" t="s">
        <v>1041</v>
      </c>
      <c r="B427" s="348" t="s">
        <v>917</v>
      </c>
      <c r="C427" s="348" t="s">
        <v>1202</v>
      </c>
      <c r="D427" s="348" t="s">
        <v>1204</v>
      </c>
      <c r="E427" s="348" t="s">
        <v>527</v>
      </c>
      <c r="F427" s="359">
        <f>'21. Location Score'!D200</f>
        <v>0</v>
      </c>
    </row>
    <row r="428" spans="1:7">
      <c r="A428" s="348" t="s">
        <v>1051</v>
      </c>
      <c r="B428" s="348" t="s">
        <v>917</v>
      </c>
      <c r="C428" s="348" t="s">
        <v>1202</v>
      </c>
      <c r="D428" s="348" t="s">
        <v>1205</v>
      </c>
      <c r="E428" s="348" t="s">
        <v>527</v>
      </c>
      <c r="F428" s="359">
        <f>'21. Location Score'!E200</f>
        <v>0</v>
      </c>
    </row>
    <row r="429" spans="1:7">
      <c r="A429" s="348" t="s">
        <v>1053</v>
      </c>
      <c r="B429" s="348" t="s">
        <v>917</v>
      </c>
      <c r="C429" s="348" t="s">
        <v>1202</v>
      </c>
      <c r="D429" s="348" t="s">
        <v>1206</v>
      </c>
      <c r="E429" s="348" t="s">
        <v>527</v>
      </c>
      <c r="F429" s="359" t="str">
        <f>IF('21. Location Score'!I205&lt;&gt;0,'21. Location Score'!I205,"")</f>
        <v/>
      </c>
    </row>
    <row r="430" spans="1:7">
      <c r="A430" s="348" t="s">
        <v>1207</v>
      </c>
      <c r="B430" s="348" t="s">
        <v>917</v>
      </c>
      <c r="C430" s="348" t="s">
        <v>1208</v>
      </c>
      <c r="D430" s="348" t="s">
        <v>1209</v>
      </c>
      <c r="E430" s="348" t="s">
        <v>527</v>
      </c>
      <c r="F430" s="359" t="str">
        <f>IF('21. Location Score'!C205&lt;&gt;0,'21. Location Score'!C205,"")</f>
        <v/>
      </c>
    </row>
    <row r="431" spans="1:7">
      <c r="A431" s="348" t="s">
        <v>1210</v>
      </c>
      <c r="B431" s="348" t="s">
        <v>917</v>
      </c>
      <c r="C431" s="348" t="s">
        <v>1208</v>
      </c>
      <c r="D431" s="348" t="s">
        <v>1211</v>
      </c>
      <c r="E431" s="348" t="s">
        <v>527</v>
      </c>
      <c r="F431" s="359" t="str">
        <f>IF('21. Location Score'!I215&lt;&gt;0,'21. Location Score'!I215,"")</f>
        <v/>
      </c>
    </row>
    <row r="432" spans="1:7">
      <c r="A432" s="1792" t="s">
        <v>1212</v>
      </c>
      <c r="B432" s="1792"/>
      <c r="C432" s="1792"/>
      <c r="D432" s="1792"/>
      <c r="E432" s="1792"/>
      <c r="F432" s="1690"/>
      <c r="G432" s="1690"/>
    </row>
    <row r="433" spans="1:7">
      <c r="A433" s="1794" t="s">
        <v>1213</v>
      </c>
      <c r="B433" s="1793"/>
      <c r="C433" s="1793"/>
      <c r="D433" s="1793"/>
      <c r="E433" s="1793"/>
      <c r="F433" s="1691"/>
      <c r="G433" s="1691"/>
    </row>
    <row r="434" spans="1:7">
      <c r="A434" s="348" t="s">
        <v>1214</v>
      </c>
      <c r="B434" s="348" t="s">
        <v>917</v>
      </c>
      <c r="C434" s="348" t="s">
        <v>1215</v>
      </c>
      <c r="D434" s="348" t="s">
        <v>1216</v>
      </c>
      <c r="E434" s="348" t="s">
        <v>527</v>
      </c>
      <c r="F434" s="359" t="b">
        <v>0</v>
      </c>
      <c r="G434" s="348" t="s">
        <v>1040</v>
      </c>
    </row>
    <row r="435" spans="1:7">
      <c r="A435" s="348" t="s">
        <v>1217</v>
      </c>
      <c r="B435" s="348" t="s">
        <v>917</v>
      </c>
      <c r="C435" s="348" t="s">
        <v>1215</v>
      </c>
      <c r="D435" s="348" t="s">
        <v>1218</v>
      </c>
      <c r="E435" s="348" t="s">
        <v>527</v>
      </c>
      <c r="F435" s="359">
        <f>'23. Building Design Score'!D133</f>
        <v>0</v>
      </c>
    </row>
    <row r="436" spans="1:7">
      <c r="A436" s="348" t="s">
        <v>1219</v>
      </c>
      <c r="B436" s="348" t="s">
        <v>917</v>
      </c>
      <c r="C436" s="348" t="s">
        <v>1215</v>
      </c>
      <c r="D436" s="348" t="s">
        <v>1220</v>
      </c>
      <c r="E436" s="348" t="s">
        <v>527</v>
      </c>
      <c r="F436" s="359">
        <f>'23. Building Design Score'!D143</f>
        <v>0</v>
      </c>
    </row>
    <row r="437" spans="1:7">
      <c r="A437" s="348" t="s">
        <v>1221</v>
      </c>
      <c r="B437" s="348" t="s">
        <v>917</v>
      </c>
      <c r="C437" s="348" t="s">
        <v>1215</v>
      </c>
      <c r="D437" s="348" t="s">
        <v>1222</v>
      </c>
      <c r="E437" s="348" t="s">
        <v>527</v>
      </c>
      <c r="F437" s="359">
        <f>'23. Building Design Score'!E143</f>
        <v>0</v>
      </c>
      <c r="G437" s="498"/>
    </row>
    <row r="438" spans="1:7">
      <c r="A438" s="348" t="s">
        <v>1223</v>
      </c>
      <c r="B438" s="348" t="s">
        <v>917</v>
      </c>
      <c r="C438" s="348" t="s">
        <v>1215</v>
      </c>
      <c r="D438" s="348" t="s">
        <v>1224</v>
      </c>
      <c r="E438" s="348" t="s">
        <v>527</v>
      </c>
      <c r="F438" s="359" t="str">
        <f>IF('23. Building Design Score'!C147&lt;&gt;0,'23. Building Design Score'!C147,"")</f>
        <v/>
      </c>
      <c r="G438" s="498"/>
    </row>
    <row r="439" spans="1:7">
      <c r="A439" s="348" t="s">
        <v>1225</v>
      </c>
      <c r="B439" s="348" t="s">
        <v>917</v>
      </c>
      <c r="C439" s="348" t="s">
        <v>1215</v>
      </c>
      <c r="D439" s="348" t="s">
        <v>1226</v>
      </c>
      <c r="E439" s="348" t="s">
        <v>527</v>
      </c>
      <c r="F439" s="359" t="str">
        <f>IF('23. Building Design Score'!J157&lt;&gt;0,'23. Building Design Score'!J157,"")</f>
        <v/>
      </c>
      <c r="G439" s="498"/>
    </row>
    <row r="440" spans="1:7">
      <c r="A440" s="351" t="s">
        <v>1227</v>
      </c>
      <c r="B440" s="351" t="s">
        <v>917</v>
      </c>
      <c r="C440" s="348" t="s">
        <v>1215</v>
      </c>
      <c r="D440" s="351" t="s">
        <v>1228</v>
      </c>
      <c r="E440" s="351" t="s">
        <v>527</v>
      </c>
      <c r="F440" s="509" t="str">
        <f>IF('23. Building Design Score'!J147&lt;&gt;0,'23. Building Design Score'!J147,"")</f>
        <v/>
      </c>
      <c r="G440" s="541"/>
    </row>
    <row r="441" spans="1:7">
      <c r="A441" s="348" t="s">
        <v>1229</v>
      </c>
      <c r="B441" s="348" t="s">
        <v>917</v>
      </c>
      <c r="C441" s="348" t="s">
        <v>1230</v>
      </c>
      <c r="D441" s="348" t="s">
        <v>1231</v>
      </c>
      <c r="E441" s="348" t="s">
        <v>527</v>
      </c>
      <c r="F441" s="359" t="b">
        <f>IF('23. Building Design Score'!C96&lt;&gt;"YES",FALSE,TRUE)</f>
        <v>0</v>
      </c>
    </row>
    <row r="442" spans="1:7">
      <c r="A442" s="348" t="s">
        <v>1232</v>
      </c>
      <c r="B442" s="348" t="s">
        <v>917</v>
      </c>
      <c r="C442" s="348" t="s">
        <v>1230</v>
      </c>
      <c r="D442" s="348" t="s">
        <v>1233</v>
      </c>
      <c r="E442" s="348" t="s">
        <v>527</v>
      </c>
      <c r="F442" s="359" t="str">
        <f>IF('23. Building Design Score'!C96="Yes",'23. Building Design Score'!D96,"0")</f>
        <v>0</v>
      </c>
    </row>
    <row r="443" spans="1:7">
      <c r="A443" s="348" t="s">
        <v>1234</v>
      </c>
      <c r="B443" s="348" t="s">
        <v>917</v>
      </c>
      <c r="C443" s="348" t="s">
        <v>1230</v>
      </c>
      <c r="D443" s="348" t="s">
        <v>1235</v>
      </c>
      <c r="E443" s="348" t="s">
        <v>527</v>
      </c>
      <c r="F443" s="359" t="b">
        <f>IF('23. Building Design Score'!C101&lt;&gt;"YES",FALSE,TRUE)</f>
        <v>0</v>
      </c>
    </row>
    <row r="444" spans="1:7">
      <c r="A444" s="348" t="s">
        <v>1236</v>
      </c>
      <c r="B444" s="348" t="s">
        <v>917</v>
      </c>
      <c r="C444" s="348" t="s">
        <v>1230</v>
      </c>
      <c r="D444" s="348" t="s">
        <v>1237</v>
      </c>
      <c r="E444" s="348" t="s">
        <v>527</v>
      </c>
      <c r="F444" s="359" t="str">
        <f>IF('23. Building Design Score'!C101="Yes",'23. Building Design Score'!D101,"0")</f>
        <v>0</v>
      </c>
    </row>
    <row r="445" spans="1:7">
      <c r="A445" s="348" t="s">
        <v>1238</v>
      </c>
      <c r="B445" s="348" t="s">
        <v>917</v>
      </c>
      <c r="C445" s="348" t="s">
        <v>1230</v>
      </c>
      <c r="D445" s="348" t="s">
        <v>1239</v>
      </c>
      <c r="E445" s="348" t="s">
        <v>527</v>
      </c>
      <c r="F445" s="359" t="b">
        <f>IF('23. Building Design Score'!C102&lt;&gt;"YES",FALSE,TRUE)</f>
        <v>0</v>
      </c>
    </row>
    <row r="446" spans="1:7">
      <c r="A446" s="348" t="s">
        <v>1240</v>
      </c>
      <c r="B446" s="348" t="s">
        <v>917</v>
      </c>
      <c r="C446" s="348" t="s">
        <v>1230</v>
      </c>
      <c r="D446" s="348" t="s">
        <v>1241</v>
      </c>
      <c r="E446" s="348" t="s">
        <v>527</v>
      </c>
      <c r="F446" s="359">
        <f>IF('23. Building Design Score'!C102="Yes",'23. Building Design Score'!D102,0)</f>
        <v>0</v>
      </c>
    </row>
    <row r="447" spans="1:7">
      <c r="A447" s="348" t="s">
        <v>1242</v>
      </c>
      <c r="B447" s="348" t="s">
        <v>917</v>
      </c>
      <c r="C447" s="348" t="s">
        <v>1230</v>
      </c>
      <c r="D447" s="348" t="s">
        <v>1243</v>
      </c>
      <c r="E447" s="348" t="s">
        <v>527</v>
      </c>
      <c r="F447" s="359" t="b">
        <f>IF('23. Building Design Score'!C103&lt;&gt;"YES",FALSE,TRUE)</f>
        <v>0</v>
      </c>
    </row>
    <row r="448" spans="1:7">
      <c r="A448" s="351" t="s">
        <v>1244</v>
      </c>
      <c r="B448" s="351" t="s">
        <v>917</v>
      </c>
      <c r="C448" s="348" t="s">
        <v>1230</v>
      </c>
      <c r="D448" s="351" t="s">
        <v>1245</v>
      </c>
      <c r="E448" s="351" t="s">
        <v>527</v>
      </c>
      <c r="F448" s="509">
        <f>IF('23. Building Design Score'!C103="Yes",'23. Building Design Score'!D103,0)</f>
        <v>0</v>
      </c>
      <c r="G448" s="510"/>
    </row>
    <row r="449" spans="1:6">
      <c r="A449" s="348" t="s">
        <v>1246</v>
      </c>
      <c r="B449" s="348" t="s">
        <v>917</v>
      </c>
      <c r="C449" s="348" t="s">
        <v>1247</v>
      </c>
      <c r="D449" s="348" t="s">
        <v>1248</v>
      </c>
      <c r="E449" s="348" t="s">
        <v>527</v>
      </c>
      <c r="F449" s="359" t="b">
        <f>IF('23. Building Design Score'!C109&lt;&gt;"YES",FALSE,TRUE)</f>
        <v>0</v>
      </c>
    </row>
    <row r="450" spans="1:6">
      <c r="A450" s="348" t="s">
        <v>1249</v>
      </c>
      <c r="B450" s="348" t="s">
        <v>917</v>
      </c>
      <c r="C450" s="348" t="s">
        <v>1247</v>
      </c>
      <c r="D450" s="348" t="s">
        <v>1250</v>
      </c>
      <c r="E450" s="348" t="s">
        <v>527</v>
      </c>
      <c r="F450" s="359">
        <f>IF('23. Building Design Score'!C109="Yes",INDEX('23. Building Design Score'!D109:D109,1,1,1),0)</f>
        <v>0</v>
      </c>
    </row>
    <row r="451" spans="1:6">
      <c r="A451" s="348" t="s">
        <v>1251</v>
      </c>
      <c r="B451" s="348" t="s">
        <v>917</v>
      </c>
      <c r="C451" s="348" t="s">
        <v>1247</v>
      </c>
      <c r="D451" s="348" t="s">
        <v>1252</v>
      </c>
      <c r="E451" s="348" t="s">
        <v>527</v>
      </c>
      <c r="F451" s="359" t="b">
        <f>IF('23. Building Design Score'!C110&lt;&gt;"YES",FALSE,TRUE)</f>
        <v>0</v>
      </c>
    </row>
    <row r="452" spans="1:6">
      <c r="A452" s="348" t="s">
        <v>1253</v>
      </c>
      <c r="B452" s="348" t="s">
        <v>917</v>
      </c>
      <c r="C452" s="348" t="s">
        <v>1247</v>
      </c>
      <c r="D452" s="348" t="s">
        <v>1254</v>
      </c>
      <c r="E452" s="348" t="s">
        <v>527</v>
      </c>
      <c r="F452" s="359">
        <f>IF('23. Building Design Score'!C110="Yes",INDEX('23. Building Design Score'!D110:D116,1,1,1),0)</f>
        <v>0</v>
      </c>
    </row>
    <row r="453" spans="1:6">
      <c r="A453" s="348" t="s">
        <v>1255</v>
      </c>
      <c r="B453" s="348" t="s">
        <v>917</v>
      </c>
      <c r="C453" s="348" t="s">
        <v>1247</v>
      </c>
      <c r="D453" s="348" t="s">
        <v>1256</v>
      </c>
      <c r="E453" s="348" t="s">
        <v>527</v>
      </c>
      <c r="F453" s="359" t="b">
        <f>IF('23. Building Design Score'!C111&lt;&gt;"YES",FALSE,TRUE)</f>
        <v>0</v>
      </c>
    </row>
    <row r="454" spans="1:6" ht="15.75" customHeight="1">
      <c r="A454" s="348" t="s">
        <v>1257</v>
      </c>
      <c r="B454" s="348" t="s">
        <v>917</v>
      </c>
      <c r="C454" s="348" t="s">
        <v>1247</v>
      </c>
      <c r="D454" s="348" t="s">
        <v>1258</v>
      </c>
      <c r="E454" s="348" t="s">
        <v>527</v>
      </c>
      <c r="F454" s="359">
        <f>IF('23. Building Design Score'!C111="Yes",INDEX('23. Building Design Score'!D111,1,1,1),0)</f>
        <v>0</v>
      </c>
    </row>
    <row r="455" spans="1:6">
      <c r="A455" s="348" t="s">
        <v>1259</v>
      </c>
      <c r="B455" s="348" t="s">
        <v>917</v>
      </c>
      <c r="C455" s="348" t="s">
        <v>1247</v>
      </c>
      <c r="D455" s="348" t="s">
        <v>1260</v>
      </c>
      <c r="E455" s="348" t="s">
        <v>527</v>
      </c>
      <c r="F455" s="359" t="b">
        <f>IF('23. Building Design Score'!C112&lt;&gt;"YES",FALSE,TRUE)</f>
        <v>0</v>
      </c>
    </row>
    <row r="456" spans="1:6">
      <c r="A456" s="348" t="s">
        <v>1261</v>
      </c>
      <c r="B456" s="348" t="s">
        <v>917</v>
      </c>
      <c r="C456" s="348" t="s">
        <v>1247</v>
      </c>
      <c r="D456" s="348" t="s">
        <v>1262</v>
      </c>
      <c r="E456" s="348" t="s">
        <v>527</v>
      </c>
      <c r="F456" s="359">
        <f>IF('23. Building Design Score'!C112="Yes",INDEX('23. Building Design Score'!D112,1,1,1),0)</f>
        <v>0</v>
      </c>
    </row>
    <row r="457" spans="1:6">
      <c r="A457" s="348" t="s">
        <v>1263</v>
      </c>
      <c r="B457" s="348" t="s">
        <v>917</v>
      </c>
      <c r="C457" s="348" t="s">
        <v>1247</v>
      </c>
      <c r="D457" s="348" t="s">
        <v>1264</v>
      </c>
      <c r="E457" s="348" t="s">
        <v>527</v>
      </c>
      <c r="F457" s="359" t="b">
        <f>IF('23. Building Design Score'!C113&lt;&gt;"YES",FALSE,TRUE)</f>
        <v>0</v>
      </c>
    </row>
    <row r="458" spans="1:6">
      <c r="A458" s="348" t="s">
        <v>1265</v>
      </c>
      <c r="B458" s="348" t="s">
        <v>917</v>
      </c>
      <c r="C458" s="348" t="s">
        <v>1247</v>
      </c>
      <c r="D458" s="348" t="s">
        <v>1266</v>
      </c>
      <c r="E458" s="348" t="s">
        <v>527</v>
      </c>
      <c r="F458" s="359">
        <f>IF('23. Building Design Score'!C113="Yes",INDEX('23. Building Design Score'!D113,1,1,1),0)</f>
        <v>0</v>
      </c>
    </row>
    <row r="459" spans="1:6">
      <c r="A459" s="348" t="s">
        <v>1267</v>
      </c>
      <c r="B459" s="348" t="s">
        <v>917</v>
      </c>
      <c r="C459" s="348" t="s">
        <v>1247</v>
      </c>
      <c r="D459" s="348" t="s">
        <v>1268</v>
      </c>
      <c r="E459" s="348" t="s">
        <v>527</v>
      </c>
      <c r="F459" s="359" t="b">
        <f>IF('23. Building Design Score'!C114&lt;&gt;"YES",FALSE,TRUE)</f>
        <v>0</v>
      </c>
    </row>
    <row r="460" spans="1:6">
      <c r="A460" s="348" t="s">
        <v>1269</v>
      </c>
      <c r="B460" s="348" t="s">
        <v>917</v>
      </c>
      <c r="C460" s="348" t="s">
        <v>1247</v>
      </c>
      <c r="D460" s="348" t="s">
        <v>1270</v>
      </c>
      <c r="E460" s="348" t="s">
        <v>527</v>
      </c>
      <c r="F460" s="359">
        <f>IF('23. Building Design Score'!C114="Yes",INDEX('23. Building Design Score'!D114,1,1,1),0)</f>
        <v>0</v>
      </c>
    </row>
    <row r="461" spans="1:6">
      <c r="A461" s="348" t="s">
        <v>1271</v>
      </c>
      <c r="B461" s="348" t="s">
        <v>917</v>
      </c>
      <c r="C461" s="348" t="s">
        <v>1247</v>
      </c>
      <c r="D461" s="348" t="s">
        <v>1272</v>
      </c>
      <c r="E461" s="348" t="s">
        <v>527</v>
      </c>
      <c r="F461" s="359" t="b">
        <f>IF('23. Building Design Score'!C115&lt;&gt;"YES",FALSE,TRUE)</f>
        <v>0</v>
      </c>
    </row>
    <row r="462" spans="1:6">
      <c r="A462" s="348" t="s">
        <v>1273</v>
      </c>
      <c r="B462" s="348" t="s">
        <v>917</v>
      </c>
      <c r="C462" s="348" t="s">
        <v>1247</v>
      </c>
      <c r="D462" s="348" t="s">
        <v>1274</v>
      </c>
      <c r="E462" s="348" t="s">
        <v>527</v>
      </c>
      <c r="F462" s="359">
        <f>IF('23. Building Design Score'!C115="Yes",INDEX('23. Building Design Score'!D115,1,1,1),0)</f>
        <v>0</v>
      </c>
    </row>
    <row r="463" spans="1:6">
      <c r="A463" s="348" t="s">
        <v>1275</v>
      </c>
      <c r="B463" s="348" t="s">
        <v>917</v>
      </c>
      <c r="C463" s="348" t="s">
        <v>1247</v>
      </c>
      <c r="D463" s="348" t="s">
        <v>1276</v>
      </c>
      <c r="E463" s="348" t="s">
        <v>527</v>
      </c>
      <c r="F463" s="359" t="b">
        <f>IF('23. Building Design Score'!C116&lt;&gt;"YES",FALSE,TRUE)</f>
        <v>0</v>
      </c>
    </row>
    <row r="464" spans="1:6">
      <c r="A464" s="348" t="s">
        <v>1277</v>
      </c>
      <c r="B464" s="348" t="s">
        <v>917</v>
      </c>
      <c r="C464" s="348" t="s">
        <v>1247</v>
      </c>
      <c r="D464" s="348" t="s">
        <v>1278</v>
      </c>
      <c r="E464" s="348" t="s">
        <v>527</v>
      </c>
      <c r="F464" s="359">
        <f>IF('23. Building Design Score'!C116="Yes",INDEX('23. Building Design Score'!D116,1,1,1),0)</f>
        <v>0</v>
      </c>
    </row>
    <row r="465" spans="1:7">
      <c r="A465" s="348" t="s">
        <v>1279</v>
      </c>
      <c r="B465" s="348" t="s">
        <v>917</v>
      </c>
      <c r="C465" s="348" t="s">
        <v>1247</v>
      </c>
      <c r="D465" s="348" t="s">
        <v>1280</v>
      </c>
      <c r="E465" s="348" t="s">
        <v>527</v>
      </c>
      <c r="F465" s="359" t="b">
        <f>IF('23. Building Design Score'!C117&lt;&gt;"YES",FALSE,TRUE)</f>
        <v>0</v>
      </c>
    </row>
    <row r="466" spans="1:7">
      <c r="A466" s="348" t="s">
        <v>1281</v>
      </c>
      <c r="B466" s="348" t="s">
        <v>917</v>
      </c>
      <c r="C466" s="348" t="s">
        <v>1247</v>
      </c>
      <c r="D466" s="348" t="s">
        <v>1282</v>
      </c>
      <c r="E466" s="348" t="s">
        <v>527</v>
      </c>
      <c r="F466" s="359">
        <f>IF('23. Building Design Score'!C117="Yes",'23. Building Design Score'!D117,0)</f>
        <v>0</v>
      </c>
    </row>
    <row r="467" spans="1:7">
      <c r="A467" s="348" t="s">
        <v>1283</v>
      </c>
      <c r="B467" s="348" t="s">
        <v>917</v>
      </c>
      <c r="C467" s="348" t="s">
        <v>1247</v>
      </c>
      <c r="D467" s="348" t="s">
        <v>1284</v>
      </c>
      <c r="E467" s="348" t="s">
        <v>527</v>
      </c>
      <c r="F467" s="359" t="b">
        <f>IF('23. Building Design Score'!C118&lt;&gt;"YES",FALSE,TRUE)</f>
        <v>0</v>
      </c>
    </row>
    <row r="468" spans="1:7">
      <c r="A468" s="348" t="s">
        <v>1285</v>
      </c>
      <c r="B468" s="348" t="s">
        <v>917</v>
      </c>
      <c r="C468" s="348" t="s">
        <v>1247</v>
      </c>
      <c r="D468" s="348" t="s">
        <v>1286</v>
      </c>
      <c r="E468" s="348" t="s">
        <v>527</v>
      </c>
      <c r="F468" s="359">
        <f>IF('23. Building Design Score'!C118="Yes",INDEX('23. Building Design Score'!D118,1,1,1),0)</f>
        <v>0</v>
      </c>
    </row>
    <row r="469" spans="1:7">
      <c r="A469" s="348" t="s">
        <v>1287</v>
      </c>
      <c r="B469" s="348" t="s">
        <v>917</v>
      </c>
      <c r="C469" s="348" t="s">
        <v>1247</v>
      </c>
      <c r="D469" s="348" t="s">
        <v>1288</v>
      </c>
      <c r="E469" s="348" t="s">
        <v>527</v>
      </c>
      <c r="F469" s="359" t="b">
        <f>IF('23. Building Design Score'!C119&lt;&gt;"YES",FALSE,TRUE)</f>
        <v>0</v>
      </c>
    </row>
    <row r="470" spans="1:7">
      <c r="A470" s="351" t="s">
        <v>1289</v>
      </c>
      <c r="B470" s="351" t="s">
        <v>917</v>
      </c>
      <c r="C470" s="348" t="s">
        <v>1247</v>
      </c>
      <c r="D470" s="351" t="s">
        <v>1290</v>
      </c>
      <c r="E470" s="351" t="s">
        <v>527</v>
      </c>
      <c r="F470" s="509">
        <f>IF('23. Building Design Score'!C119="Yes",'23. Building Design Score'!D119,0)</f>
        <v>0</v>
      </c>
      <c r="G470" s="510"/>
    </row>
    <row r="471" spans="1:7">
      <c r="A471" s="348" t="s">
        <v>1291</v>
      </c>
      <c r="B471" s="348" t="s">
        <v>917</v>
      </c>
      <c r="C471" s="348" t="s">
        <v>1292</v>
      </c>
      <c r="D471" s="348" t="s">
        <v>1293</v>
      </c>
      <c r="E471" s="348" t="s">
        <v>527</v>
      </c>
      <c r="F471" s="359" t="b">
        <f>IF('23. Building Design Score'!C125&lt;&gt;"YES",FALSE,TRUE)</f>
        <v>0</v>
      </c>
    </row>
    <row r="472" spans="1:7">
      <c r="A472" s="348" t="s">
        <v>1294</v>
      </c>
      <c r="B472" s="348" t="s">
        <v>917</v>
      </c>
      <c r="C472" s="348" t="s">
        <v>1292</v>
      </c>
      <c r="D472" s="348" t="s">
        <v>1295</v>
      </c>
      <c r="E472" s="348" t="s">
        <v>527</v>
      </c>
      <c r="F472" s="359">
        <f>IF('23. Building Design Score'!C125="Yes",'23. Building Design Score'!D125,0)</f>
        <v>0</v>
      </c>
    </row>
    <row r="473" spans="1:7">
      <c r="A473" s="348" t="s">
        <v>1296</v>
      </c>
      <c r="B473" s="348" t="s">
        <v>917</v>
      </c>
      <c r="C473" s="348" t="s">
        <v>1292</v>
      </c>
      <c r="D473" s="348" t="s">
        <v>1297</v>
      </c>
      <c r="E473" s="348" t="s">
        <v>527</v>
      </c>
      <c r="F473" s="359" t="b">
        <f>IF('23. Building Design Score'!C126&lt;&gt;"YES",FALSE,TRUE)</f>
        <v>0</v>
      </c>
    </row>
    <row r="474" spans="1:7">
      <c r="A474" s="348" t="s">
        <v>1298</v>
      </c>
      <c r="B474" s="348" t="s">
        <v>917</v>
      </c>
      <c r="C474" s="348" t="s">
        <v>1292</v>
      </c>
      <c r="D474" s="348" t="s">
        <v>1299</v>
      </c>
      <c r="E474" s="348" t="s">
        <v>527</v>
      </c>
      <c r="F474" s="359">
        <f>IF('23. Building Design Score'!C126="Yes",'23. Building Design Score'!D126,0)</f>
        <v>0</v>
      </c>
    </row>
    <row r="475" spans="1:7">
      <c r="A475" s="348" t="s">
        <v>1300</v>
      </c>
      <c r="B475" s="348" t="s">
        <v>917</v>
      </c>
      <c r="C475" s="348" t="s">
        <v>1292</v>
      </c>
      <c r="D475" s="348" t="s">
        <v>1301</v>
      </c>
      <c r="E475" s="348" t="s">
        <v>527</v>
      </c>
      <c r="F475" s="359" t="b">
        <f>IF('23. Building Design Score'!C127&lt;&gt;"YES",FALSE,TRUE)</f>
        <v>0</v>
      </c>
    </row>
    <row r="476" spans="1:7">
      <c r="A476" s="348" t="s">
        <v>1302</v>
      </c>
      <c r="B476" s="348" t="s">
        <v>917</v>
      </c>
      <c r="C476" s="348" t="s">
        <v>1292</v>
      </c>
      <c r="D476" s="348" t="s">
        <v>1303</v>
      </c>
      <c r="E476" s="348" t="s">
        <v>527</v>
      </c>
      <c r="F476" s="359">
        <f>IF('23. Building Design Score'!C127="Yes",'23. Building Design Score'!D127,0)</f>
        <v>0</v>
      </c>
    </row>
    <row r="477" spans="1:7">
      <c r="A477" s="348" t="s">
        <v>1304</v>
      </c>
      <c r="B477" s="348" t="s">
        <v>917</v>
      </c>
      <c r="C477" s="348" t="s">
        <v>1292</v>
      </c>
      <c r="D477" s="348" t="s">
        <v>1305</v>
      </c>
      <c r="E477" s="348" t="s">
        <v>527</v>
      </c>
      <c r="F477" s="359" t="b">
        <f>IF('23. Building Design Score'!C128&lt;&gt;"YES",FALSE,TRUE)</f>
        <v>0</v>
      </c>
    </row>
    <row r="478" spans="1:7">
      <c r="A478" s="348" t="s">
        <v>1306</v>
      </c>
      <c r="B478" s="348" t="s">
        <v>917</v>
      </c>
      <c r="C478" s="348" t="s">
        <v>1292</v>
      </c>
      <c r="D478" s="348" t="s">
        <v>1307</v>
      </c>
      <c r="E478" s="348" t="s">
        <v>527</v>
      </c>
      <c r="F478" s="359">
        <f>IF('23. Building Design Score'!C128="Yes",'23. Building Design Score'!D128,0)</f>
        <v>0</v>
      </c>
    </row>
    <row r="479" spans="1:7">
      <c r="A479" s="348" t="s">
        <v>1308</v>
      </c>
      <c r="B479" s="348" t="s">
        <v>917</v>
      </c>
      <c r="C479" s="348" t="s">
        <v>1292</v>
      </c>
      <c r="D479" s="348" t="s">
        <v>1309</v>
      </c>
      <c r="E479" s="348" t="s">
        <v>527</v>
      </c>
      <c r="F479" s="359" t="b">
        <f>IF('23. Building Design Score'!C129&lt;&gt;"YES",FALSE,TRUE)</f>
        <v>0</v>
      </c>
    </row>
    <row r="480" spans="1:7">
      <c r="A480" s="348" t="s">
        <v>1310</v>
      </c>
      <c r="B480" s="348" t="s">
        <v>917</v>
      </c>
      <c r="C480" s="348" t="s">
        <v>1292</v>
      </c>
      <c r="D480" s="348" t="s">
        <v>1311</v>
      </c>
      <c r="E480" s="348" t="s">
        <v>527</v>
      </c>
      <c r="F480" s="359">
        <f>IF('23. Building Design Score'!C129="Yes",'23. Building Design Score'!D129,0)</f>
        <v>0</v>
      </c>
    </row>
    <row r="481" spans="1:7">
      <c r="A481" s="348" t="s">
        <v>1312</v>
      </c>
      <c r="B481" s="348" t="s">
        <v>917</v>
      </c>
      <c r="C481" s="348" t="s">
        <v>1292</v>
      </c>
      <c r="D481" s="348" t="s">
        <v>1313</v>
      </c>
      <c r="E481" s="348" t="s">
        <v>527</v>
      </c>
      <c r="F481" s="359" t="b">
        <f>IF('23. Building Design Score'!C130&lt;&gt;"YES",FALSE,TRUE)</f>
        <v>0</v>
      </c>
    </row>
    <row r="482" spans="1:7">
      <c r="A482" s="348" t="s">
        <v>1314</v>
      </c>
      <c r="B482" s="348" t="s">
        <v>917</v>
      </c>
      <c r="C482" s="348" t="s">
        <v>1292</v>
      </c>
      <c r="D482" s="348" t="s">
        <v>1315</v>
      </c>
      <c r="E482" s="348" t="s">
        <v>527</v>
      </c>
      <c r="F482" s="359">
        <f>IF('23. Building Design Score'!C130="Yes",'23. Building Design Score'!D130,0)</f>
        <v>0</v>
      </c>
    </row>
    <row r="483" spans="1:7">
      <c r="A483" s="348" t="s">
        <v>1316</v>
      </c>
      <c r="B483" s="348" t="s">
        <v>917</v>
      </c>
      <c r="C483" s="348" t="s">
        <v>1292</v>
      </c>
      <c r="D483" s="348" t="s">
        <v>1317</v>
      </c>
      <c r="E483" s="348" t="s">
        <v>527</v>
      </c>
      <c r="F483" s="359" t="b">
        <f>IF('23. Building Design Score'!C131&lt;&gt;"YES",FALSE,TRUE)</f>
        <v>0</v>
      </c>
    </row>
    <row r="484" spans="1:7">
      <c r="A484" s="348" t="s">
        <v>1318</v>
      </c>
      <c r="B484" s="348" t="s">
        <v>917</v>
      </c>
      <c r="C484" s="348" t="s">
        <v>1292</v>
      </c>
      <c r="D484" s="348" t="s">
        <v>1319</v>
      </c>
      <c r="E484" s="348" t="s">
        <v>527</v>
      </c>
      <c r="F484" s="359">
        <f>IF('23. Building Design Score'!C131="Yes",INDEX('23. Building Design Score'!M138:M139,1,1,1),0)</f>
        <v>0</v>
      </c>
    </row>
    <row r="485" spans="1:7">
      <c r="A485" s="348" t="s">
        <v>1320</v>
      </c>
      <c r="B485" s="348" t="s">
        <v>917</v>
      </c>
      <c r="C485" s="348" t="s">
        <v>1292</v>
      </c>
      <c r="D485" s="348" t="s">
        <v>1321</v>
      </c>
      <c r="E485" s="348" t="s">
        <v>527</v>
      </c>
      <c r="F485" s="359" t="b">
        <f>IF('23. Building Design Score'!C132&lt;&gt;"YES",FALSE,TRUE)</f>
        <v>0</v>
      </c>
    </row>
    <row r="486" spans="1:7">
      <c r="A486" s="348" t="s">
        <v>1322</v>
      </c>
      <c r="B486" s="348" t="s">
        <v>917</v>
      </c>
      <c r="C486" s="348" t="s">
        <v>1292</v>
      </c>
      <c r="D486" s="348" t="s">
        <v>1323</v>
      </c>
      <c r="E486" s="348" t="s">
        <v>527</v>
      </c>
      <c r="F486" s="359">
        <f>IF('23. Building Design Score'!C132="Yes",'23. Building Design Score'!D132,0)</f>
        <v>0</v>
      </c>
    </row>
    <row r="487" spans="1:7">
      <c r="A487" s="1792" t="s">
        <v>1324</v>
      </c>
      <c r="B487" s="1792"/>
      <c r="C487" s="1792"/>
      <c r="D487" s="1792"/>
      <c r="E487" s="1792"/>
      <c r="F487" s="1690"/>
      <c r="G487" s="1690"/>
    </row>
    <row r="488" spans="1:7">
      <c r="A488" s="1794" t="s">
        <v>1325</v>
      </c>
      <c r="B488" s="1793"/>
      <c r="C488" s="1793"/>
      <c r="D488" s="1793"/>
      <c r="E488" s="1793"/>
      <c r="F488" s="1691"/>
      <c r="G488" s="1691"/>
    </row>
    <row r="489" spans="1:7">
      <c r="A489" s="348" t="s">
        <v>1326</v>
      </c>
      <c r="B489" s="348" t="s">
        <v>917</v>
      </c>
      <c r="C489" s="348" t="s">
        <v>1327</v>
      </c>
      <c r="D489" s="348" t="s">
        <v>1328</v>
      </c>
      <c r="E489" s="348" t="s">
        <v>527</v>
      </c>
      <c r="F489" s="359" t="b">
        <v>0</v>
      </c>
      <c r="G489" s="348" t="s">
        <v>1040</v>
      </c>
    </row>
    <row r="490" spans="1:7">
      <c r="A490" s="348" t="s">
        <v>1329</v>
      </c>
      <c r="B490" s="348" t="s">
        <v>917</v>
      </c>
      <c r="C490" s="348" t="s">
        <v>1327</v>
      </c>
      <c r="D490" s="348" t="s">
        <v>1330</v>
      </c>
      <c r="E490" s="348" t="s">
        <v>527</v>
      </c>
      <c r="F490" s="359" cm="1">
        <f t="array" ref="F490:G490">'24. Development Process Score'!E50:F50</f>
        <v>0</v>
      </c>
      <c r="G490">
        <v>0</v>
      </c>
    </row>
    <row r="491" spans="1:7">
      <c r="A491" s="348" t="s">
        <v>1331</v>
      </c>
      <c r="B491" s="348" t="s">
        <v>917</v>
      </c>
      <c r="C491" s="348" t="s">
        <v>1327</v>
      </c>
      <c r="D491" s="348" t="s">
        <v>1332</v>
      </c>
      <c r="E491" s="348" t="s">
        <v>527</v>
      </c>
      <c r="F491" s="359">
        <f>INDEX('24. Development Process Score'!G50:H50,1,1,1)</f>
        <v>0</v>
      </c>
      <c r="G491" s="498" t="s">
        <v>1333</v>
      </c>
    </row>
    <row r="492" spans="1:7">
      <c r="A492" s="348" t="s">
        <v>1334</v>
      </c>
      <c r="B492" s="348" t="s">
        <v>917</v>
      </c>
      <c r="C492" s="348" t="s">
        <v>1327</v>
      </c>
      <c r="D492" s="348" t="s">
        <v>1335</v>
      </c>
      <c r="E492" s="348" t="s">
        <v>527</v>
      </c>
      <c r="F492" s="359" t="str">
        <f>IF('24. Development Process Score'!L55&lt;&gt;0,'24. Development Process Score'!L55,"")</f>
        <v/>
      </c>
      <c r="G492" s="541" t="s">
        <v>1336</v>
      </c>
    </row>
    <row r="493" spans="1:7">
      <c r="A493" s="1792" t="s">
        <v>1337</v>
      </c>
      <c r="B493" s="1792"/>
      <c r="C493" s="1792"/>
      <c r="D493" s="1792"/>
      <c r="E493" s="1792"/>
      <c r="F493" s="1690"/>
      <c r="G493" s="1690"/>
    </row>
    <row r="494" spans="1:7">
      <c r="A494" s="1794" t="s">
        <v>1338</v>
      </c>
      <c r="B494" s="1793"/>
      <c r="C494" s="1793"/>
      <c r="D494" s="1793"/>
      <c r="E494" s="1793"/>
      <c r="F494" s="1691"/>
      <c r="G494" s="1691"/>
    </row>
    <row r="495" spans="1:7">
      <c r="A495" s="348" t="s">
        <v>1339</v>
      </c>
      <c r="B495" s="348" t="s">
        <v>917</v>
      </c>
      <c r="C495" s="348" t="s">
        <v>1340</v>
      </c>
      <c r="D495" s="348" t="s">
        <v>1341</v>
      </c>
      <c r="E495" s="348" t="s">
        <v>527</v>
      </c>
      <c r="F495" s="359" t="b">
        <f>IF('23. Building Design Score'!F160&lt;&gt;"Yes",FALSE,TRUE)</f>
        <v>0</v>
      </c>
    </row>
    <row r="496" spans="1:7">
      <c r="A496" s="348" t="s">
        <v>1342</v>
      </c>
      <c r="B496" s="348" t="s">
        <v>917</v>
      </c>
      <c r="C496" s="348" t="s">
        <v>1340</v>
      </c>
      <c r="D496" s="348" t="s">
        <v>1343</v>
      </c>
      <c r="E496" s="348" t="s">
        <v>527</v>
      </c>
      <c r="F496" s="359">
        <f>'23. Building Design Score'!D188</f>
        <v>0</v>
      </c>
    </row>
    <row r="497" spans="1:7">
      <c r="A497" s="348" t="s">
        <v>1344</v>
      </c>
      <c r="B497" s="348" t="s">
        <v>917</v>
      </c>
      <c r="C497" s="348" t="s">
        <v>1340</v>
      </c>
      <c r="D497" s="348" t="s">
        <v>1345</v>
      </c>
      <c r="E497" s="348" t="s">
        <v>527</v>
      </c>
      <c r="F497" s="359">
        <f>'23. Building Design Score'!E188</f>
        <v>0</v>
      </c>
    </row>
    <row r="498" spans="1:7">
      <c r="A498" s="348" t="s">
        <v>1346</v>
      </c>
      <c r="B498" s="348" t="s">
        <v>917</v>
      </c>
      <c r="C498" s="348" t="s">
        <v>1340</v>
      </c>
      <c r="D498" s="348" t="s">
        <v>1347</v>
      </c>
      <c r="E498" s="348" t="s">
        <v>527</v>
      </c>
      <c r="F498" s="359" t="str">
        <f>IF(INDEX('23. Building Design Score'!J192:O200,1,1,1)=0,"",INDEX('23. Building Design Score'!J192:O200,1,1,1))</f>
        <v/>
      </c>
    </row>
    <row r="499" spans="1:7">
      <c r="A499" s="348" t="s">
        <v>1348</v>
      </c>
      <c r="B499" s="348" t="s">
        <v>917</v>
      </c>
      <c r="C499" s="348" t="s">
        <v>1340</v>
      </c>
      <c r="D499" s="348" t="s">
        <v>1349</v>
      </c>
      <c r="E499" s="348" t="s">
        <v>527</v>
      </c>
      <c r="F499" s="359" t="str">
        <f>IF('23. Building Design Score'!C192&lt;&gt;0,'23. Building Design Score'!C192,"")</f>
        <v/>
      </c>
    </row>
    <row r="500" spans="1:7">
      <c r="A500" s="348" t="s">
        <v>1350</v>
      </c>
      <c r="B500" s="348" t="s">
        <v>917</v>
      </c>
      <c r="C500" s="348" t="s">
        <v>1340</v>
      </c>
      <c r="D500" s="348" t="s">
        <v>1351</v>
      </c>
      <c r="E500" s="348" t="s">
        <v>527</v>
      </c>
      <c r="F500" s="359" t="str">
        <f>IF('23. Building Design Score'!J202&lt;&gt;0,'23. Building Design Score'!J202,"")</f>
        <v/>
      </c>
    </row>
    <row r="501" spans="1:7">
      <c r="A501" s="1792" t="s">
        <v>1324</v>
      </c>
      <c r="B501" s="1792"/>
      <c r="C501" s="1792"/>
      <c r="D501" s="1792"/>
      <c r="E501" s="1792"/>
      <c r="F501" s="1690"/>
      <c r="G501" s="1690"/>
    </row>
    <row r="502" spans="1:7">
      <c r="A502" s="1794" t="s">
        <v>1352</v>
      </c>
      <c r="B502" s="1793"/>
      <c r="C502" s="1793"/>
      <c r="D502" s="1793"/>
      <c r="E502" s="1793"/>
      <c r="F502" s="1691"/>
      <c r="G502" s="1691"/>
    </row>
    <row r="503" spans="1:7">
      <c r="A503" s="348" t="s">
        <v>1353</v>
      </c>
      <c r="B503" s="348" t="s">
        <v>917</v>
      </c>
      <c r="C503" s="348" t="s">
        <v>1354</v>
      </c>
      <c r="D503" s="348" t="s">
        <v>1355</v>
      </c>
      <c r="E503" s="348" t="s">
        <v>527</v>
      </c>
      <c r="F503" s="359" t="b">
        <f>IF('24. Development Process Score'!O91&lt;&gt;"YES",FALSE,TRUE)</f>
        <v>0</v>
      </c>
    </row>
    <row r="504" spans="1:7">
      <c r="A504" s="348" t="s">
        <v>1356</v>
      </c>
      <c r="B504" s="348" t="s">
        <v>917</v>
      </c>
      <c r="C504" s="348" t="s">
        <v>1354</v>
      </c>
      <c r="D504" s="348" t="s">
        <v>1357</v>
      </c>
      <c r="E504" s="348" t="s">
        <v>527</v>
      </c>
      <c r="F504" s="359">
        <f>'24. Development Process Score'!O91</f>
        <v>0</v>
      </c>
    </row>
    <row r="505" spans="1:7">
      <c r="A505" s="348" t="s">
        <v>1358</v>
      </c>
      <c r="B505" s="348" t="s">
        <v>917</v>
      </c>
      <c r="C505" s="348" t="s">
        <v>1354</v>
      </c>
      <c r="D505" s="348" t="s">
        <v>1359</v>
      </c>
      <c r="E505" s="348" t="s">
        <v>527</v>
      </c>
      <c r="F505" s="359">
        <f>IF(AND('24. Development Process Score'!O77="Yes", '24. Development Process Score'!O79&lt;&gt;"Yes"), 3, IF(AND('24. Development Process Score'!O79="Yes", '24. Development Process Score'!O77&lt;&gt;"Yes"), 2, 0))</f>
        <v>0</v>
      </c>
    </row>
    <row r="506" spans="1:7">
      <c r="A506" s="348" t="s">
        <v>1360</v>
      </c>
      <c r="B506" s="348" t="s">
        <v>917</v>
      </c>
      <c r="C506" s="348" t="s">
        <v>1354</v>
      </c>
      <c r="D506" s="348" t="s">
        <v>1361</v>
      </c>
      <c r="E506" s="348" t="s">
        <v>527</v>
      </c>
      <c r="F506" s="359">
        <f>IF(AND('24. Development Process Score'!O83="Yes", '24. Development Process Score'!O84&lt;&gt;"Yes"), 2, IF(AND('24. Development Process Score'!O84="Yes", '24. Development Process Score'!O83&lt;&gt;"Yes"), 1, 0))</f>
        <v>0</v>
      </c>
      <c r="G506" s="348" t="s">
        <v>1362</v>
      </c>
    </row>
    <row r="507" spans="1:7">
      <c r="A507" s="348" t="s">
        <v>1363</v>
      </c>
      <c r="B507" s="348" t="s">
        <v>917</v>
      </c>
      <c r="C507" s="348" t="s">
        <v>1354</v>
      </c>
      <c r="D507" s="348" t="s">
        <v>1364</v>
      </c>
      <c r="E507" s="348" t="s">
        <v>527</v>
      </c>
      <c r="F507" s="359">
        <f>IF('24. Development Process Score'!O86="Yes", 2, 0)</f>
        <v>0</v>
      </c>
    </row>
    <row r="508" spans="1:7">
      <c r="A508" s="348" t="s">
        <v>1365</v>
      </c>
      <c r="B508" s="348" t="s">
        <v>917</v>
      </c>
      <c r="C508" s="348" t="s">
        <v>1354</v>
      </c>
      <c r="D508" s="348" t="s">
        <v>1366</v>
      </c>
      <c r="E508" s="348" t="s">
        <v>527</v>
      </c>
      <c r="F508" s="359">
        <f>'24. Development Process Score'!O90</f>
        <v>0</v>
      </c>
    </row>
    <row r="509" spans="1:7">
      <c r="A509" s="348" t="s">
        <v>1367</v>
      </c>
      <c r="B509" s="348" t="s">
        <v>917</v>
      </c>
      <c r="C509" s="348" t="s">
        <v>1354</v>
      </c>
      <c r="D509" s="348" t="s">
        <v>1368</v>
      </c>
      <c r="E509" s="348" t="s">
        <v>527</v>
      </c>
      <c r="F509" s="359">
        <f>IF(AND('24. Development Process Score'!Q77="Yes", '24. Development Process Score'!Q79&lt;&gt;"Yes"), 3, IF(AND('24. Development Process Score'!Q79="Yes", '24. Development Process Score'!Q77&lt;&gt;"Yes"), 2, 0))</f>
        <v>0</v>
      </c>
    </row>
    <row r="510" spans="1:7">
      <c r="A510" s="348" t="s">
        <v>1369</v>
      </c>
      <c r="B510" s="348" t="s">
        <v>917</v>
      </c>
      <c r="C510" s="348" t="s">
        <v>1354</v>
      </c>
      <c r="D510" s="348" t="s">
        <v>1370</v>
      </c>
      <c r="E510" s="348" t="s">
        <v>527</v>
      </c>
      <c r="F510" s="359">
        <f>IF(AND('24. Development Process Score'!Q83="Yes", '24. Development Process Score'!Q84&lt;&gt;"Yes"), 2, IF(AND('24. Development Process Score'!Q84="Yes", '24. Development Process Score'!Q83&lt;&gt;"Yes"), 1, 0))</f>
        <v>0</v>
      </c>
      <c r="G510" s="348" t="s">
        <v>1362</v>
      </c>
    </row>
    <row r="511" spans="1:7">
      <c r="A511" s="348" t="s">
        <v>1371</v>
      </c>
      <c r="B511" s="348" t="s">
        <v>917</v>
      </c>
      <c r="C511" s="348" t="s">
        <v>1354</v>
      </c>
      <c r="D511" s="348" t="s">
        <v>1372</v>
      </c>
      <c r="E511" s="348" t="s">
        <v>527</v>
      </c>
      <c r="F511" s="359">
        <f>IF('24. Development Process Score'!Q86="Yes", 2, 0)</f>
        <v>0</v>
      </c>
    </row>
    <row r="512" spans="1:7">
      <c r="A512" s="348" t="s">
        <v>1373</v>
      </c>
      <c r="B512" s="348" t="s">
        <v>917</v>
      </c>
      <c r="C512" s="348" t="s">
        <v>1354</v>
      </c>
      <c r="D512" s="348" t="s">
        <v>1374</v>
      </c>
      <c r="E512" s="348" t="s">
        <v>527</v>
      </c>
      <c r="F512" s="359">
        <f>'24. Development Process Score'!Q90</f>
        <v>0</v>
      </c>
    </row>
    <row r="513" spans="1:7">
      <c r="A513" s="348" t="s">
        <v>1375</v>
      </c>
      <c r="B513" s="348" t="s">
        <v>917</v>
      </c>
      <c r="C513" s="348" t="s">
        <v>1354</v>
      </c>
      <c r="D513" s="348" t="s">
        <v>1376</v>
      </c>
      <c r="E513" s="348" t="s">
        <v>527</v>
      </c>
      <c r="F513" s="359">
        <f>IF(AND('24. Development Process Score'!S77="Yes", '24. Development Process Score'!S79&lt;&gt;"Yes"), 3, IF(AND('24. Development Process Score'!S79="Yes", '24. Development Process Score'!S77&lt;&gt;"Yes"), 2, 0))</f>
        <v>0</v>
      </c>
    </row>
    <row r="514" spans="1:7">
      <c r="A514" s="348" t="s">
        <v>1377</v>
      </c>
      <c r="B514" s="348" t="s">
        <v>917</v>
      </c>
      <c r="C514" s="348" t="s">
        <v>1354</v>
      </c>
      <c r="D514" s="348" t="s">
        <v>1378</v>
      </c>
      <c r="E514" s="348" t="s">
        <v>527</v>
      </c>
      <c r="F514" s="359">
        <f>IF(AND('24. Development Process Score'!S83="Yes", '24. Development Process Score'!S84&lt;&gt;"Yes"), 2, IF(AND('24. Development Process Score'!S84="Yes", '24. Development Process Score'!S83&lt;&gt;"Yes"), 1, 0))</f>
        <v>0</v>
      </c>
      <c r="G514" s="348" t="s">
        <v>1362</v>
      </c>
    </row>
    <row r="515" spans="1:7">
      <c r="A515" s="348" t="s">
        <v>1379</v>
      </c>
      <c r="B515" s="348" t="s">
        <v>917</v>
      </c>
      <c r="C515" s="348" t="s">
        <v>1354</v>
      </c>
      <c r="D515" s="348" t="s">
        <v>1380</v>
      </c>
      <c r="E515" s="348" t="s">
        <v>527</v>
      </c>
      <c r="F515" s="359">
        <f>IF('24. Development Process Score'!S86="Yes", 2, 0)</f>
        <v>0</v>
      </c>
    </row>
    <row r="516" spans="1:7">
      <c r="A516" s="348" t="s">
        <v>1381</v>
      </c>
      <c r="B516" s="348" t="s">
        <v>917</v>
      </c>
      <c r="C516" s="348" t="s">
        <v>1354</v>
      </c>
      <c r="D516" s="348" t="s">
        <v>1382</v>
      </c>
      <c r="E516" s="348" t="s">
        <v>527</v>
      </c>
      <c r="F516" s="359">
        <f>'24. Development Process Score'!S90</f>
        <v>0</v>
      </c>
    </row>
    <row r="517" spans="1:7">
      <c r="A517" s="348" t="s">
        <v>1344</v>
      </c>
      <c r="B517" s="348" t="s">
        <v>917</v>
      </c>
      <c r="C517" s="348" t="s">
        <v>1354</v>
      </c>
      <c r="D517" s="348" t="s">
        <v>1383</v>
      </c>
      <c r="E517" s="348" t="s">
        <v>527</v>
      </c>
      <c r="F517" s="359">
        <f>INDEX('24. Development Process Score'!O91:P91,1,1,1)</f>
        <v>0</v>
      </c>
    </row>
    <row r="518" spans="1:7">
      <c r="A518" s="348" t="s">
        <v>1384</v>
      </c>
      <c r="B518" s="348" t="s">
        <v>917</v>
      </c>
      <c r="C518" s="348" t="s">
        <v>1354</v>
      </c>
      <c r="D518" s="348" t="s">
        <v>1385</v>
      </c>
      <c r="E518" s="348" t="s">
        <v>527</v>
      </c>
      <c r="F518" s="359" t="str">
        <f>IF(INDEX('24. Development Process Score'!L98:T106,1,1,1)=0,"",INDEX('24. Development Process Score'!L98:T106,1,1,1))</f>
        <v/>
      </c>
    </row>
    <row r="519" spans="1:7">
      <c r="A519" s="348" t="s">
        <v>1386</v>
      </c>
      <c r="B519" s="348" t="s">
        <v>917</v>
      </c>
      <c r="C519" s="348" t="s">
        <v>1354</v>
      </c>
      <c r="D519" s="348" t="s">
        <v>1387</v>
      </c>
      <c r="E519" s="348" t="s">
        <v>527</v>
      </c>
      <c r="F519" s="359" t="str">
        <f>IF('24. Development Process Score'!C98&lt;&gt;0,'24. Development Process Score'!C98,"")</f>
        <v/>
      </c>
    </row>
    <row r="520" spans="1:7">
      <c r="A520" s="348" t="s">
        <v>1388</v>
      </c>
      <c r="B520" s="348" t="s">
        <v>917</v>
      </c>
      <c r="C520" s="348" t="s">
        <v>1354</v>
      </c>
      <c r="D520" s="348" t="s">
        <v>1389</v>
      </c>
      <c r="E520" s="348" t="s">
        <v>527</v>
      </c>
      <c r="F520" s="359" t="str">
        <f>IF('24. Development Process Score'!L108&lt;&gt;0,'24. Development Process Score'!L108,"")</f>
        <v/>
      </c>
    </row>
    <row r="521" spans="1:7">
      <c r="A521" s="1792" t="s">
        <v>201</v>
      </c>
      <c r="B521" s="1792"/>
      <c r="C521" s="1792"/>
      <c r="D521" s="1792"/>
      <c r="E521" s="1792"/>
      <c r="F521" s="1690"/>
      <c r="G521" s="1690"/>
    </row>
    <row r="522" spans="1:7">
      <c r="A522" s="1794" t="s">
        <v>1390</v>
      </c>
      <c r="B522" s="1793"/>
      <c r="C522" s="1793"/>
      <c r="D522" s="1793"/>
      <c r="E522" s="1793"/>
      <c r="F522" s="1691"/>
      <c r="G522" s="1691"/>
    </row>
    <row r="523" spans="1:7">
      <c r="A523" s="348" t="s">
        <v>1391</v>
      </c>
      <c r="B523" s="348" t="s">
        <v>917</v>
      </c>
      <c r="C523" s="348" t="s">
        <v>1392</v>
      </c>
      <c r="D523" s="348" t="s">
        <v>1393</v>
      </c>
      <c r="E523" s="348" t="s">
        <v>527</v>
      </c>
      <c r="F523" s="359" t="b">
        <v>0</v>
      </c>
      <c r="G523" s="348" t="s">
        <v>1040</v>
      </c>
    </row>
    <row r="524" spans="1:7">
      <c r="A524" s="348" t="s">
        <v>1394</v>
      </c>
      <c r="B524" s="348" t="s">
        <v>917</v>
      </c>
      <c r="C524" s="348" t="s">
        <v>1392</v>
      </c>
      <c r="D524" s="348" t="s">
        <v>1395</v>
      </c>
      <c r="E524" s="348" t="s">
        <v>527</v>
      </c>
      <c r="F524" s="359">
        <f>'21. Location Score'!D63</f>
        <v>0</v>
      </c>
    </row>
    <row r="525" spans="1:7">
      <c r="A525" s="348" t="s">
        <v>1396</v>
      </c>
      <c r="B525" s="348" t="s">
        <v>917</v>
      </c>
      <c r="C525" s="348" t="s">
        <v>1392</v>
      </c>
      <c r="D525" s="348" t="s">
        <v>1397</v>
      </c>
      <c r="E525" s="348" t="s">
        <v>527</v>
      </c>
      <c r="F525" s="359">
        <f>'21. Location Score'!C17</f>
        <v>0</v>
      </c>
    </row>
    <row r="526" spans="1:7">
      <c r="A526" s="348" t="s">
        <v>1398</v>
      </c>
      <c r="B526" s="348" t="s">
        <v>917</v>
      </c>
      <c r="C526" s="348" t="s">
        <v>1392</v>
      </c>
      <c r="D526" s="348" t="s">
        <v>1399</v>
      </c>
      <c r="E526" s="348" t="s">
        <v>527</v>
      </c>
      <c r="F526" s="359">
        <f>'21. Location Score'!C20</f>
        <v>0</v>
      </c>
    </row>
    <row r="527" spans="1:7">
      <c r="A527" s="348" t="s">
        <v>1400</v>
      </c>
      <c r="B527" s="348" t="s">
        <v>917</v>
      </c>
      <c r="C527" s="348" t="s">
        <v>1392</v>
      </c>
      <c r="D527" s="348" t="s">
        <v>1401</v>
      </c>
      <c r="E527" s="348" t="s">
        <v>527</v>
      </c>
      <c r="F527" s="359">
        <f>'21. Location Score'!C28</f>
        <v>0</v>
      </c>
    </row>
    <row r="528" spans="1:7">
      <c r="A528" s="348" t="s">
        <v>1402</v>
      </c>
      <c r="B528" s="348" t="s">
        <v>917</v>
      </c>
      <c r="C528" s="348" t="s">
        <v>1392</v>
      </c>
      <c r="D528" s="348" t="s">
        <v>1403</v>
      </c>
      <c r="E528" s="348" t="s">
        <v>527</v>
      </c>
      <c r="F528" s="359">
        <f>IF('24. Development Process Score'!H113="Yes", 5, 0)</f>
        <v>0</v>
      </c>
    </row>
    <row r="529" spans="1:7">
      <c r="A529" s="348" t="s">
        <v>1404</v>
      </c>
      <c r="B529" s="348" t="s">
        <v>917</v>
      </c>
      <c r="C529" s="348" t="s">
        <v>1392</v>
      </c>
      <c r="D529" s="348" t="s">
        <v>1405</v>
      </c>
      <c r="E529" s="348" t="s">
        <v>527</v>
      </c>
      <c r="F529" s="359">
        <f>'21. Location Score'!C49</f>
        <v>0</v>
      </c>
    </row>
    <row r="530" spans="1:7">
      <c r="A530" s="348" t="s">
        <v>1406</v>
      </c>
      <c r="B530" s="348" t="s">
        <v>917</v>
      </c>
      <c r="C530" s="348" t="s">
        <v>1392</v>
      </c>
      <c r="D530" s="348" t="s">
        <v>1407</v>
      </c>
      <c r="E530" s="348" t="s">
        <v>527</v>
      </c>
      <c r="F530" s="359">
        <f>IF('21. Location Score'!C50="N/A", 0, '21. Location Score'!C50)</f>
        <v>0</v>
      </c>
    </row>
    <row r="531" spans="1:7">
      <c r="A531" s="348" t="s">
        <v>1408</v>
      </c>
      <c r="B531" s="348" t="s">
        <v>917</v>
      </c>
      <c r="C531" s="348" t="s">
        <v>1392</v>
      </c>
      <c r="D531" s="348" t="s">
        <v>1409</v>
      </c>
      <c r="E531" s="348" t="s">
        <v>527</v>
      </c>
      <c r="F531" s="359">
        <f>IF(ISNUMBER('21. Location Score'!C51),'21. Location Score'!C51,0)</f>
        <v>0</v>
      </c>
    </row>
    <row r="532" spans="1:7">
      <c r="A532" s="348" t="s">
        <v>1410</v>
      </c>
      <c r="B532" s="348" t="s">
        <v>917</v>
      </c>
      <c r="C532" s="348" t="s">
        <v>1392</v>
      </c>
      <c r="D532" s="348" t="s">
        <v>1411</v>
      </c>
      <c r="E532" s="348" t="s">
        <v>527</v>
      </c>
      <c r="F532" s="359">
        <f>IF(ISNUMBER('21. Location Score'!C52),'21. Location Score'!C52,0)</f>
        <v>0</v>
      </c>
    </row>
    <row r="533" spans="1:7">
      <c r="A533" s="348" t="s">
        <v>1412</v>
      </c>
      <c r="B533" s="348" t="s">
        <v>917</v>
      </c>
      <c r="C533" s="348" t="s">
        <v>1392</v>
      </c>
      <c r="D533" s="348" t="s">
        <v>1413</v>
      </c>
      <c r="E533" s="348" t="s">
        <v>527</v>
      </c>
      <c r="F533" s="359">
        <f>IF(ISNUMBER('21. Location Score'!C53),'21. Location Score'!C53,0)</f>
        <v>0</v>
      </c>
    </row>
    <row r="534" spans="1:7">
      <c r="A534" s="348" t="s">
        <v>1414</v>
      </c>
      <c r="B534" s="348" t="s">
        <v>917</v>
      </c>
      <c r="C534" s="348" t="s">
        <v>1392</v>
      </c>
      <c r="D534" s="348" t="s">
        <v>1415</v>
      </c>
      <c r="E534" s="348" t="s">
        <v>527</v>
      </c>
      <c r="F534" s="359">
        <f>IF(ISNUMBER('21. Location Score'!C54),'21. Location Score'!C54,0)</f>
        <v>0</v>
      </c>
    </row>
    <row r="535" spans="1:7">
      <c r="A535" s="348" t="s">
        <v>1416</v>
      </c>
      <c r="B535" s="348" t="s">
        <v>917</v>
      </c>
      <c r="C535" s="348" t="s">
        <v>1392</v>
      </c>
      <c r="D535" s="348" t="s">
        <v>1417</v>
      </c>
      <c r="E535" s="348" t="s">
        <v>527</v>
      </c>
      <c r="F535" s="359">
        <f>IF(ISNUMBER('21. Location Score'!C55),'21. Location Score'!C55,0)</f>
        <v>0</v>
      </c>
    </row>
    <row r="536" spans="1:7">
      <c r="A536" s="348" t="s">
        <v>1418</v>
      </c>
      <c r="B536" s="348" t="s">
        <v>917</v>
      </c>
      <c r="C536" s="348" t="s">
        <v>1392</v>
      </c>
      <c r="D536" s="348" t="s">
        <v>1419</v>
      </c>
      <c r="E536" s="348" t="s">
        <v>527</v>
      </c>
      <c r="F536" s="359">
        <f>IF('23. Building Design Score'!C248="Yes", 1, 0)</f>
        <v>0</v>
      </c>
    </row>
    <row r="537" spans="1:7">
      <c r="A537" s="348" t="s">
        <v>1420</v>
      </c>
      <c r="B537" s="348" t="s">
        <v>917</v>
      </c>
      <c r="C537" s="348" t="s">
        <v>1392</v>
      </c>
      <c r="D537" s="348" t="s">
        <v>1421</v>
      </c>
      <c r="E537" s="348" t="s">
        <v>527</v>
      </c>
      <c r="F537" s="359">
        <f>IF('23. Building Design Score'!C250="Yes", 1, 0)</f>
        <v>0</v>
      </c>
    </row>
    <row r="538" spans="1:7">
      <c r="A538" s="348" t="s">
        <v>1422</v>
      </c>
      <c r="B538" s="348" t="s">
        <v>917</v>
      </c>
      <c r="C538" s="348" t="s">
        <v>1392</v>
      </c>
      <c r="D538" s="348" t="s">
        <v>1423</v>
      </c>
      <c r="E538" s="348" t="s">
        <v>527</v>
      </c>
      <c r="F538" s="359">
        <f>'23. Building Design Score'!E253</f>
        <v>0</v>
      </c>
    </row>
    <row r="539" spans="1:7">
      <c r="A539" s="348" t="s">
        <v>1424</v>
      </c>
      <c r="B539" s="348" t="s">
        <v>917</v>
      </c>
      <c r="C539" s="348" t="s">
        <v>1392</v>
      </c>
      <c r="D539" s="348" t="s">
        <v>1425</v>
      </c>
      <c r="E539" s="348" t="s">
        <v>527</v>
      </c>
      <c r="F539" s="359" t="str">
        <f>IF(INDEX('23. Building Design Score'!J257:O266,1,1,1)=0,"",INDEX('23. Building Design Score'!J257:O266,1,1,1))</f>
        <v/>
      </c>
    </row>
    <row r="540" spans="1:7">
      <c r="A540" s="348" t="s">
        <v>1426</v>
      </c>
      <c r="B540" s="348" t="s">
        <v>917</v>
      </c>
      <c r="C540" s="348" t="s">
        <v>1427</v>
      </c>
      <c r="D540" s="348" t="s">
        <v>1428</v>
      </c>
      <c r="E540" s="348" t="s">
        <v>527</v>
      </c>
      <c r="F540" s="359" t="str">
        <f>IF(INDEX('23. Building Design Score'!C257:H267,1,1,1)=0,"",INDEX('23. Building Design Score'!C257:H267,1,1,1))</f>
        <v/>
      </c>
      <c r="G540" s="348" t="s">
        <v>1020</v>
      </c>
    </row>
    <row r="541" spans="1:7">
      <c r="A541" s="348" t="s">
        <v>1429</v>
      </c>
      <c r="B541" s="348" t="s">
        <v>917</v>
      </c>
      <c r="C541" s="348" t="s">
        <v>1427</v>
      </c>
      <c r="D541" s="348" t="s">
        <v>1430</v>
      </c>
      <c r="E541" s="348" t="s">
        <v>527</v>
      </c>
      <c r="F541" s="359" t="str">
        <f>IF(INDEX('23. Building Design Score'!J267:O267,1,1,1)=0,"",INDEX('23. Building Design Score'!J267:O267,1,1,1))</f>
        <v/>
      </c>
      <c r="G541" s="348" t="s">
        <v>1020</v>
      </c>
    </row>
    <row r="542" spans="1:7">
      <c r="A542" s="1792" t="s">
        <v>1431</v>
      </c>
      <c r="B542" s="1792"/>
      <c r="C542" s="1792"/>
      <c r="D542" s="1792"/>
      <c r="E542" s="1792"/>
      <c r="F542" s="1690"/>
      <c r="G542" s="1690"/>
    </row>
    <row r="543" spans="1:7">
      <c r="A543" s="1794" t="s">
        <v>1432</v>
      </c>
      <c r="B543" s="1793"/>
      <c r="C543" s="1793"/>
      <c r="D543" s="1793"/>
      <c r="E543" s="1793"/>
      <c r="F543" s="1691"/>
      <c r="G543" s="1691"/>
    </row>
    <row r="544" spans="1:7">
      <c r="A544" s="348" t="s">
        <v>1433</v>
      </c>
      <c r="B544" s="348" t="s">
        <v>917</v>
      </c>
      <c r="C544" s="499" t="s">
        <v>1434</v>
      </c>
      <c r="D544" s="348" t="s">
        <v>1435</v>
      </c>
      <c r="E544" s="348" t="s">
        <v>527</v>
      </c>
      <c r="F544" s="359" t="b">
        <v>0</v>
      </c>
      <c r="G544" s="348" t="s">
        <v>1040</v>
      </c>
    </row>
    <row r="545" spans="1:7">
      <c r="A545" s="348" t="s">
        <v>1436</v>
      </c>
      <c r="B545" s="348" t="s">
        <v>917</v>
      </c>
      <c r="C545" s="499" t="s">
        <v>1434</v>
      </c>
      <c r="D545" s="348" t="s">
        <v>1437</v>
      </c>
      <c r="E545" s="348" t="s">
        <v>527</v>
      </c>
      <c r="G545" s="348" t="s">
        <v>1438</v>
      </c>
    </row>
    <row r="546" spans="1:7">
      <c r="A546" s="348" t="s">
        <v>1439</v>
      </c>
      <c r="B546" s="348" t="s">
        <v>917</v>
      </c>
      <c r="C546" s="499" t="s">
        <v>1434</v>
      </c>
      <c r="D546" s="348" t="s">
        <v>1440</v>
      </c>
      <c r="E546" s="348" t="s">
        <v>527</v>
      </c>
      <c r="G546" s="348" t="s">
        <v>1438</v>
      </c>
    </row>
    <row r="547" spans="1:7">
      <c r="A547" s="348" t="s">
        <v>1441</v>
      </c>
      <c r="B547" s="348" t="s">
        <v>917</v>
      </c>
      <c r="C547" s="499" t="s">
        <v>1434</v>
      </c>
      <c r="D547" s="348" t="s">
        <v>1442</v>
      </c>
      <c r="E547" s="348" t="s">
        <v>527</v>
      </c>
      <c r="G547" s="348" t="s">
        <v>1438</v>
      </c>
    </row>
    <row r="548" spans="1:7">
      <c r="A548" s="1792" t="s">
        <v>1443</v>
      </c>
      <c r="B548" s="1792"/>
      <c r="C548" s="1792"/>
      <c r="D548" s="1792"/>
      <c r="E548" s="1792"/>
      <c r="F548" s="1690"/>
      <c r="G548" s="1690"/>
    </row>
    <row r="549" spans="1:7">
      <c r="A549" s="1794" t="s">
        <v>1444</v>
      </c>
      <c r="B549" s="1793"/>
      <c r="C549" s="1793"/>
      <c r="D549" s="1793"/>
      <c r="E549" s="1793"/>
      <c r="F549" s="1691"/>
      <c r="G549" s="1691"/>
    </row>
    <row r="550" spans="1:7">
      <c r="A550" s="348" t="s">
        <v>1445</v>
      </c>
      <c r="B550" s="348" t="s">
        <v>917</v>
      </c>
      <c r="C550" s="348" t="s">
        <v>1446</v>
      </c>
      <c r="D550" s="348" t="s">
        <v>1447</v>
      </c>
      <c r="E550" s="348" t="s">
        <v>527</v>
      </c>
      <c r="F550" s="359" t="b">
        <v>0</v>
      </c>
      <c r="G550" s="348" t="s">
        <v>1040</v>
      </c>
    </row>
    <row r="551" spans="1:7">
      <c r="A551" s="348" t="s">
        <v>1448</v>
      </c>
      <c r="B551" s="348" t="s">
        <v>917</v>
      </c>
      <c r="C551" s="348" t="s">
        <v>1446</v>
      </c>
      <c r="D551" s="348" t="s">
        <v>1449</v>
      </c>
      <c r="E551" s="348" t="s">
        <v>527</v>
      </c>
      <c r="F551" s="359">
        <f>IF('21. Location Score'!D141&lt;&gt;"",'21. Location Score'!D141,0)</f>
        <v>0</v>
      </c>
    </row>
    <row r="552" spans="1:7">
      <c r="A552" s="348" t="s">
        <v>1450</v>
      </c>
      <c r="B552" s="348" t="s">
        <v>917</v>
      </c>
      <c r="C552" s="348" t="s">
        <v>1446</v>
      </c>
      <c r="D552" s="348" t="s">
        <v>1451</v>
      </c>
      <c r="E552" s="348" t="s">
        <v>527</v>
      </c>
      <c r="F552" s="359">
        <f>'21. Location Score'!C129</f>
        <v>0</v>
      </c>
    </row>
    <row r="553" spans="1:7">
      <c r="A553" s="348" t="s">
        <v>1452</v>
      </c>
      <c r="B553" s="348" t="s">
        <v>917</v>
      </c>
      <c r="C553" s="348" t="s">
        <v>1446</v>
      </c>
      <c r="D553" s="348" t="s">
        <v>1453</v>
      </c>
      <c r="E553" s="348" t="s">
        <v>527</v>
      </c>
      <c r="F553" s="359">
        <f>'21. Location Score'!C133</f>
        <v>0</v>
      </c>
    </row>
    <row r="554" spans="1:7">
      <c r="A554" s="348" t="s">
        <v>1454</v>
      </c>
      <c r="B554" s="348" t="s">
        <v>917</v>
      </c>
      <c r="C554" s="348" t="s">
        <v>1446</v>
      </c>
      <c r="D554" s="348" t="s">
        <v>1455</v>
      </c>
      <c r="E554" s="348" t="s">
        <v>527</v>
      </c>
      <c r="G554" s="348" t="s">
        <v>1438</v>
      </c>
    </row>
    <row r="555" spans="1:7">
      <c r="A555" s="348" t="s">
        <v>1456</v>
      </c>
      <c r="B555" s="348" t="s">
        <v>917</v>
      </c>
      <c r="C555" s="348" t="s">
        <v>1446</v>
      </c>
      <c r="D555" s="348" t="s">
        <v>1457</v>
      </c>
      <c r="E555" s="348" t="s">
        <v>527</v>
      </c>
      <c r="F555" s="359">
        <f>'21. Location Score'!E141</f>
        <v>0</v>
      </c>
    </row>
    <row r="556" spans="1:7">
      <c r="A556" s="348" t="s">
        <v>1458</v>
      </c>
      <c r="B556" s="348" t="s">
        <v>917</v>
      </c>
      <c r="C556" s="348" t="s">
        <v>1446</v>
      </c>
      <c r="D556" s="348" t="s">
        <v>1459</v>
      </c>
      <c r="E556" s="348" t="s">
        <v>527</v>
      </c>
      <c r="F556" s="359" t="str">
        <f>IF('21. Location Score'!I145&lt;&gt;0,'21. Location Score'!I145,"")</f>
        <v/>
      </c>
    </row>
    <row r="557" spans="1:7">
      <c r="A557" s="348" t="s">
        <v>1460</v>
      </c>
      <c r="B557" s="348" t="s">
        <v>917</v>
      </c>
      <c r="C557" s="348" t="s">
        <v>1446</v>
      </c>
      <c r="D557" s="348" t="s">
        <v>1461</v>
      </c>
      <c r="E557" s="348" t="s">
        <v>527</v>
      </c>
      <c r="F557" s="359" t="str">
        <f>IF('21. Location Score'!C145&lt;&gt;0,'21. Location Score'!C145,"")</f>
        <v/>
      </c>
    </row>
    <row r="558" spans="1:7">
      <c r="A558" s="348" t="s">
        <v>1462</v>
      </c>
      <c r="B558" s="348" t="s">
        <v>917</v>
      </c>
      <c r="C558" s="348" t="s">
        <v>1446</v>
      </c>
      <c r="D558" s="348" t="s">
        <v>1463</v>
      </c>
      <c r="E558" s="348" t="s">
        <v>527</v>
      </c>
      <c r="F558" s="359" t="str">
        <f>IF('21. Location Score'!I155&lt;&gt;0,'21. Location Score'!I155,"")</f>
        <v/>
      </c>
    </row>
    <row r="559" spans="1:7">
      <c r="A559" s="1792" t="s">
        <v>1464</v>
      </c>
      <c r="B559" s="1792"/>
      <c r="C559" s="1792"/>
      <c r="D559" s="1792"/>
      <c r="E559" s="1792"/>
      <c r="F559" s="1690"/>
      <c r="G559" s="1690"/>
    </row>
    <row r="560" spans="1:7">
      <c r="A560" s="1794" t="s">
        <v>1465</v>
      </c>
      <c r="B560" s="1793"/>
      <c r="C560" s="1793"/>
      <c r="D560" s="1793"/>
      <c r="E560" s="1793"/>
      <c r="F560" s="1691"/>
      <c r="G560" s="1691"/>
    </row>
    <row r="561" spans="1:7">
      <c r="A561" s="348" t="s">
        <v>1466</v>
      </c>
      <c r="B561" s="348" t="s">
        <v>917</v>
      </c>
      <c r="C561" s="348" t="s">
        <v>1467</v>
      </c>
      <c r="D561" s="348" t="s">
        <v>1468</v>
      </c>
      <c r="E561" s="348" t="s">
        <v>527</v>
      </c>
      <c r="F561" s="359" t="b">
        <v>0</v>
      </c>
      <c r="G561" s="348" t="s">
        <v>1040</v>
      </c>
    </row>
    <row r="562" spans="1:7">
      <c r="A562" s="348" t="s">
        <v>1469</v>
      </c>
      <c r="B562" s="348" t="s">
        <v>917</v>
      </c>
      <c r="C562" s="348" t="s">
        <v>1467</v>
      </c>
      <c r="D562" s="348" t="s">
        <v>1470</v>
      </c>
      <c r="E562" s="348" t="s">
        <v>527</v>
      </c>
      <c r="F562" s="359">
        <f>IF('23. Building Design Score'!D227&lt;&gt;"",'23. Building Design Score'!D227,0)</f>
        <v>0</v>
      </c>
    </row>
    <row r="563" spans="1:7">
      <c r="A563" s="348" t="s">
        <v>1471</v>
      </c>
      <c r="B563" s="348" t="s">
        <v>917</v>
      </c>
      <c r="C563" s="348" t="s">
        <v>1467</v>
      </c>
      <c r="D563" s="348" t="s">
        <v>1472</v>
      </c>
      <c r="E563" s="348" t="s">
        <v>527</v>
      </c>
      <c r="F563" s="359">
        <f>IF('23. Building Design Score'!E227&lt;&gt;"",'23. Building Design Score'!E227,0)</f>
        <v>0</v>
      </c>
    </row>
    <row r="564" spans="1:7">
      <c r="A564" s="348" t="s">
        <v>1473</v>
      </c>
      <c r="B564" s="348" t="s">
        <v>917</v>
      </c>
      <c r="C564" s="348" t="s">
        <v>1467</v>
      </c>
      <c r="D564" s="348" t="s">
        <v>1474</v>
      </c>
      <c r="E564" s="348" t="s">
        <v>527</v>
      </c>
      <c r="F564" s="359" t="str">
        <f>IF('23. Building Design Score'!J231&lt;&gt;0,'23. Building Design Score'!J231,"")</f>
        <v/>
      </c>
    </row>
    <row r="565" spans="1:7">
      <c r="A565" s="348" t="s">
        <v>1475</v>
      </c>
      <c r="B565" s="348" t="s">
        <v>917</v>
      </c>
      <c r="C565" s="348" t="s">
        <v>1467</v>
      </c>
      <c r="D565" s="348" t="s">
        <v>1476</v>
      </c>
      <c r="E565" s="348" t="s">
        <v>527</v>
      </c>
      <c r="F565" s="359" t="str">
        <f>IF('23. Building Design Score'!C231&lt;&gt;0,'23. Building Design Score'!C231,"")</f>
        <v/>
      </c>
    </row>
    <row r="566" spans="1:7">
      <c r="A566" s="348" t="s">
        <v>1477</v>
      </c>
      <c r="B566" s="348" t="s">
        <v>917</v>
      </c>
      <c r="C566" s="348" t="s">
        <v>1467</v>
      </c>
      <c r="D566" s="348" t="s">
        <v>1478</v>
      </c>
      <c r="E566" s="348" t="s">
        <v>527</v>
      </c>
      <c r="F566" s="359" t="str">
        <f>IF('23. Building Design Score'!J241&lt;&gt;0,'23. Building Design Score'!J241,"")</f>
        <v/>
      </c>
    </row>
    <row r="567" spans="1:7">
      <c r="A567" s="1792" t="s">
        <v>1479</v>
      </c>
      <c r="B567" s="1792"/>
      <c r="C567" s="1792"/>
      <c r="D567" s="1792"/>
      <c r="E567" s="1792"/>
      <c r="F567" s="1690"/>
      <c r="G567" s="1690"/>
    </row>
    <row r="568" spans="1:7">
      <c r="A568" s="1794" t="s">
        <v>1479</v>
      </c>
      <c r="B568" s="1793"/>
      <c r="C568" s="1793"/>
      <c r="D568" s="1793"/>
      <c r="E568" s="1793"/>
      <c r="F568" s="1691"/>
      <c r="G568" s="1691"/>
    </row>
    <row r="569" spans="1:7">
      <c r="A569" s="348" t="s">
        <v>1480</v>
      </c>
      <c r="B569" s="348" t="s">
        <v>917</v>
      </c>
      <c r="C569" s="348" t="s">
        <v>1479</v>
      </c>
      <c r="D569" s="348" t="s">
        <v>1481</v>
      </c>
      <c r="E569" s="348" t="s">
        <v>527</v>
      </c>
      <c r="F569" s="359" t="b">
        <f>IF('23. Building Design Score'!C248&lt;&gt;"Yes",FALSE,TRUE)</f>
        <v>0</v>
      </c>
      <c r="G569" s="348"/>
    </row>
    <row r="570" spans="1:7">
      <c r="A570" s="348" t="s">
        <v>1482</v>
      </c>
      <c r="B570" s="348" t="s">
        <v>917</v>
      </c>
      <c r="C570" s="348" t="s">
        <v>1479</v>
      </c>
      <c r="D570" s="348" t="s">
        <v>1483</v>
      </c>
      <c r="E570" s="348" t="s">
        <v>527</v>
      </c>
      <c r="F570" s="359">
        <f>'23. Building Design Score'!S247</f>
        <v>0</v>
      </c>
    </row>
    <row r="571" spans="1:7">
      <c r="A571" s="348" t="s">
        <v>1484</v>
      </c>
      <c r="B571" s="348" t="s">
        <v>917</v>
      </c>
      <c r="C571" s="348" t="s">
        <v>1479</v>
      </c>
      <c r="D571" s="348" t="s">
        <v>1485</v>
      </c>
      <c r="E571" s="348" t="s">
        <v>527</v>
      </c>
      <c r="F571" s="359" t="b">
        <f>IF('23. Building Design Score'!C250&lt;&gt;"Yes",FALSE,TRUE)</f>
        <v>0</v>
      </c>
    </row>
    <row r="572" spans="1:7">
      <c r="A572" s="348" t="s">
        <v>1486</v>
      </c>
      <c r="B572" s="348" t="s">
        <v>917</v>
      </c>
      <c r="C572" s="348" t="s">
        <v>1479</v>
      </c>
      <c r="D572" s="348" t="s">
        <v>1487</v>
      </c>
      <c r="E572" s="348" t="s">
        <v>527</v>
      </c>
      <c r="F572" s="359">
        <f>'23. Building Design Score'!S248</f>
        <v>0</v>
      </c>
    </row>
    <row r="573" spans="1:7">
      <c r="A573" s="348" t="s">
        <v>1488</v>
      </c>
      <c r="B573" s="348" t="s">
        <v>917</v>
      </c>
      <c r="C573" s="348" t="s">
        <v>1479</v>
      </c>
      <c r="D573" s="348" t="s">
        <v>1489</v>
      </c>
      <c r="E573" s="348" t="s">
        <v>527</v>
      </c>
      <c r="F573" s="359">
        <f>'23. Building Design Score'!D253</f>
        <v>0</v>
      </c>
    </row>
    <row r="574" spans="1:7">
      <c r="A574" s="348" t="s">
        <v>1490</v>
      </c>
      <c r="B574" s="348" t="s">
        <v>917</v>
      </c>
      <c r="C574" s="348" t="s">
        <v>1479</v>
      </c>
      <c r="D574" s="348" t="s">
        <v>1491</v>
      </c>
      <c r="E574" s="348" t="s">
        <v>527</v>
      </c>
      <c r="F574" s="359">
        <f>'23. Building Design Score'!E253</f>
        <v>0</v>
      </c>
    </row>
    <row r="575" spans="1:7">
      <c r="A575" s="348" t="s">
        <v>1492</v>
      </c>
      <c r="B575" s="348" t="s">
        <v>917</v>
      </c>
      <c r="C575" s="348" t="s">
        <v>1479</v>
      </c>
      <c r="D575" s="348" t="s">
        <v>1493</v>
      </c>
      <c r="E575" s="348" t="s">
        <v>527</v>
      </c>
      <c r="F575" s="359" t="str">
        <f>IF('23. Building Design Score'!C257&lt;&gt;0,'23. Building Design Score'!C257,"")</f>
        <v/>
      </c>
    </row>
    <row r="576" spans="1:7">
      <c r="A576" s="348" t="s">
        <v>1494</v>
      </c>
      <c r="B576" s="348" t="s">
        <v>917</v>
      </c>
      <c r="C576" s="348" t="s">
        <v>1479</v>
      </c>
      <c r="D576" s="348" t="s">
        <v>1495</v>
      </c>
      <c r="E576" s="348" t="s">
        <v>527</v>
      </c>
      <c r="F576" s="359" t="str">
        <f>IF('23. Building Design Score'!J257&lt;&gt;0,'23. Building Design Score'!J257,"")</f>
        <v/>
      </c>
    </row>
    <row r="577" spans="1:7">
      <c r="A577" s="348" t="s">
        <v>1496</v>
      </c>
      <c r="B577" s="348" t="s">
        <v>917</v>
      </c>
      <c r="C577" s="348" t="s">
        <v>1479</v>
      </c>
      <c r="D577" s="348" t="s">
        <v>1497</v>
      </c>
      <c r="E577" s="348" t="s">
        <v>527</v>
      </c>
      <c r="F577" s="359" t="str">
        <f>IF('23. Building Design Score'!J267&lt;&gt;0,'23. Building Design Score'!J267,"")</f>
        <v/>
      </c>
    </row>
    <row r="578" spans="1:7">
      <c r="A578" s="1792" t="s">
        <v>1498</v>
      </c>
      <c r="B578" s="1792"/>
      <c r="C578" s="1792"/>
      <c r="D578" s="1792"/>
      <c r="E578" s="1792"/>
      <c r="F578" s="1690"/>
      <c r="G578" s="1690"/>
    </row>
    <row r="579" spans="1:7">
      <c r="A579" s="1794" t="s">
        <v>1498</v>
      </c>
      <c r="B579" s="1793"/>
      <c r="C579" s="1793"/>
      <c r="D579" s="1793"/>
      <c r="E579" s="1793"/>
      <c r="F579" s="1691"/>
      <c r="G579" s="1691"/>
    </row>
    <row r="580" spans="1:7">
      <c r="A580" s="348" t="s">
        <v>1499</v>
      </c>
      <c r="B580" s="348" t="s">
        <v>917</v>
      </c>
      <c r="C580" s="348" t="s">
        <v>1498</v>
      </c>
      <c r="D580" s="348" t="s">
        <v>1500</v>
      </c>
      <c r="E580" s="348" t="s">
        <v>527</v>
      </c>
      <c r="F580" s="359" t="str">
        <f>'24. Development Process Score'!G14</f>
        <v>Input Project Details</v>
      </c>
      <c r="G580" s="348"/>
    </row>
    <row r="581" spans="1:7">
      <c r="A581" s="348" t="s">
        <v>1501</v>
      </c>
      <c r="B581" s="348" t="s">
        <v>917</v>
      </c>
      <c r="C581" s="348" t="s">
        <v>1498</v>
      </c>
      <c r="D581" s="348" t="s">
        <v>1502</v>
      </c>
      <c r="E581" s="348" t="s">
        <v>527</v>
      </c>
      <c r="F581" s="359" t="str">
        <f>'24. Development Process Score'!G15</f>
        <v/>
      </c>
    </row>
    <row r="582" spans="1:7">
      <c r="A582" s="348" t="s">
        <v>1503</v>
      </c>
      <c r="B582" s="348" t="s">
        <v>917</v>
      </c>
      <c r="C582" s="348" t="s">
        <v>1498</v>
      </c>
      <c r="D582" s="348" t="s">
        <v>1504</v>
      </c>
      <c r="E582" s="348" t="s">
        <v>527</v>
      </c>
      <c r="F582" s="1640">
        <f>'24. Development Process Score'!G16</f>
        <v>0</v>
      </c>
    </row>
    <row r="583" spans="1:7">
      <c r="A583" s="348" t="s">
        <v>1505</v>
      </c>
      <c r="B583" s="348" t="s">
        <v>917</v>
      </c>
      <c r="C583" s="348" t="s">
        <v>1498</v>
      </c>
      <c r="D583" s="348" t="s">
        <v>1506</v>
      </c>
      <c r="E583" s="348" t="s">
        <v>527</v>
      </c>
      <c r="F583" s="359">
        <f>'24. Development Process Score'!G17</f>
        <v>0</v>
      </c>
    </row>
    <row r="584" spans="1:7">
      <c r="A584" s="348" t="s">
        <v>1507</v>
      </c>
      <c r="B584" s="348" t="s">
        <v>917</v>
      </c>
      <c r="C584" s="348" t="s">
        <v>1498</v>
      </c>
      <c r="D584" s="348" t="s">
        <v>1508</v>
      </c>
      <c r="E584" s="348" t="s">
        <v>527</v>
      </c>
      <c r="F584" s="1642">
        <f>'24. Development Process Score'!G18</f>
        <v>0</v>
      </c>
    </row>
    <row r="585" spans="1:7">
      <c r="A585" s="348" t="s">
        <v>1509</v>
      </c>
      <c r="B585" s="348" t="s">
        <v>917</v>
      </c>
      <c r="C585" s="348" t="s">
        <v>1498</v>
      </c>
      <c r="D585" s="348" t="s">
        <v>1510</v>
      </c>
      <c r="E585" s="348" t="s">
        <v>527</v>
      </c>
      <c r="F585" s="1640">
        <f>'24. Development Process Score'!G21</f>
        <v>0</v>
      </c>
    </row>
    <row r="586" spans="1:7">
      <c r="A586" s="348" t="s">
        <v>1511</v>
      </c>
      <c r="B586" s="348" t="s">
        <v>917</v>
      </c>
      <c r="C586" s="348" t="s">
        <v>1498</v>
      </c>
      <c r="D586" s="348" t="s">
        <v>1512</v>
      </c>
      <c r="E586" s="348" t="s">
        <v>527</v>
      </c>
      <c r="F586" s="359" t="b">
        <f>IF('24. Development Process Score'!G22&lt;&gt;"Yes",FALSE,TRUE)</f>
        <v>0</v>
      </c>
    </row>
    <row r="587" spans="1:7">
      <c r="A587" s="348" t="s">
        <v>1513</v>
      </c>
      <c r="B587" s="348" t="s">
        <v>917</v>
      </c>
      <c r="C587" s="348" t="s">
        <v>1498</v>
      </c>
      <c r="D587" s="348" t="s">
        <v>1514</v>
      </c>
      <c r="E587" s="348" t="s">
        <v>527</v>
      </c>
      <c r="F587" s="1637">
        <f>'24. Development Process Score'!O15</f>
        <v>0</v>
      </c>
    </row>
    <row r="588" spans="1:7">
      <c r="A588" s="348" t="s">
        <v>1515</v>
      </c>
      <c r="B588" s="348" t="s">
        <v>917</v>
      </c>
      <c r="C588" s="348" t="s">
        <v>1498</v>
      </c>
      <c r="D588" s="348" t="s">
        <v>1516</v>
      </c>
      <c r="E588" s="348" t="s">
        <v>527</v>
      </c>
      <c r="F588" s="359">
        <f>'24. Development Process Score'!Q15</f>
        <v>0</v>
      </c>
    </row>
    <row r="589" spans="1:7">
      <c r="A589" s="348" t="s">
        <v>1517</v>
      </c>
      <c r="B589" s="348" t="s">
        <v>917</v>
      </c>
      <c r="C589" s="348" t="s">
        <v>1498</v>
      </c>
      <c r="D589" s="348" t="s">
        <v>1518</v>
      </c>
      <c r="E589" s="348" t="s">
        <v>527</v>
      </c>
      <c r="F589" s="1637">
        <f>'24. Development Process Score'!O16</f>
        <v>0</v>
      </c>
    </row>
    <row r="590" spans="1:7">
      <c r="A590" s="348" t="s">
        <v>1519</v>
      </c>
      <c r="B590" s="348" t="s">
        <v>917</v>
      </c>
      <c r="C590" s="348" t="s">
        <v>1498</v>
      </c>
      <c r="D590" s="348" t="s">
        <v>1520</v>
      </c>
      <c r="E590" s="348" t="s">
        <v>527</v>
      </c>
      <c r="F590" s="359">
        <f>'24. Development Process Score'!Q16</f>
        <v>0</v>
      </c>
    </row>
    <row r="591" spans="1:7">
      <c r="A591" s="348" t="s">
        <v>1521</v>
      </c>
      <c r="B591" s="348" t="s">
        <v>917</v>
      </c>
      <c r="C591" s="348" t="s">
        <v>1498</v>
      </c>
      <c r="D591" s="348" t="s">
        <v>1522</v>
      </c>
      <c r="E591" s="348" t="s">
        <v>527</v>
      </c>
      <c r="F591" s="1637">
        <f>'24. Development Process Score'!O17</f>
        <v>0</v>
      </c>
    </row>
    <row r="592" spans="1:7">
      <c r="A592" s="348" t="s">
        <v>1523</v>
      </c>
      <c r="B592" s="348" t="s">
        <v>917</v>
      </c>
      <c r="C592" s="348" t="s">
        <v>1498</v>
      </c>
      <c r="D592" s="348" t="s">
        <v>1524</v>
      </c>
      <c r="E592" s="348" t="s">
        <v>527</v>
      </c>
      <c r="F592" s="359">
        <f>'24. Development Process Score'!Q17</f>
        <v>0</v>
      </c>
    </row>
    <row r="593" spans="1:7">
      <c r="A593" s="348" t="s">
        <v>1525</v>
      </c>
      <c r="B593" s="348" t="s">
        <v>917</v>
      </c>
      <c r="C593" s="348" t="s">
        <v>1498</v>
      </c>
      <c r="D593" s="348" t="s">
        <v>1526</v>
      </c>
      <c r="E593" s="348" t="s">
        <v>527</v>
      </c>
      <c r="F593" s="1637">
        <f>'24. Development Process Score'!O18</f>
        <v>0</v>
      </c>
    </row>
    <row r="594" spans="1:7">
      <c r="A594" s="348" t="s">
        <v>1527</v>
      </c>
      <c r="B594" s="348" t="s">
        <v>917</v>
      </c>
      <c r="C594" s="348" t="s">
        <v>1498</v>
      </c>
      <c r="D594" s="348" t="s">
        <v>1528</v>
      </c>
      <c r="E594" s="348" t="s">
        <v>527</v>
      </c>
      <c r="F594" s="359">
        <f>'24. Development Process Score'!Q18</f>
        <v>0</v>
      </c>
    </row>
    <row r="595" spans="1:7">
      <c r="A595" s="348" t="s">
        <v>1529</v>
      </c>
      <c r="B595" s="348" t="s">
        <v>917</v>
      </c>
      <c r="C595" s="348" t="s">
        <v>1498</v>
      </c>
      <c r="D595" s="348" t="s">
        <v>1530</v>
      </c>
      <c r="E595" s="348" t="s">
        <v>527</v>
      </c>
      <c r="F595" s="1637">
        <f>'24. Development Process Score'!O19</f>
        <v>0</v>
      </c>
    </row>
    <row r="596" spans="1:7">
      <c r="A596" s="348" t="s">
        <v>1531</v>
      </c>
      <c r="B596" s="348" t="s">
        <v>917</v>
      </c>
      <c r="C596" s="348" t="s">
        <v>1498</v>
      </c>
      <c r="D596" s="348" t="s">
        <v>1532</v>
      </c>
      <c r="E596" s="348" t="s">
        <v>527</v>
      </c>
      <c r="F596" s="359">
        <f>'24. Development Process Score'!Q19</f>
        <v>0</v>
      </c>
    </row>
    <row r="597" spans="1:7">
      <c r="A597" s="348" t="s">
        <v>1533</v>
      </c>
      <c r="B597" s="348" t="s">
        <v>917</v>
      </c>
      <c r="C597" s="348" t="s">
        <v>1498</v>
      </c>
      <c r="D597" s="348" t="s">
        <v>1534</v>
      </c>
      <c r="E597" s="348" t="s">
        <v>527</v>
      </c>
      <c r="F597" s="1637">
        <f>'24. Development Process Score'!O20</f>
        <v>0</v>
      </c>
    </row>
    <row r="598" spans="1:7">
      <c r="A598" s="348" t="s">
        <v>1535</v>
      </c>
      <c r="B598" s="348" t="s">
        <v>917</v>
      </c>
      <c r="C598" s="348" t="s">
        <v>1498</v>
      </c>
      <c r="D598" s="348" t="s">
        <v>1536</v>
      </c>
      <c r="E598" s="348" t="s">
        <v>527</v>
      </c>
      <c r="F598" s="359">
        <f>'24. Development Process Score'!Q20</f>
        <v>0</v>
      </c>
    </row>
    <row r="599" spans="1:7">
      <c r="A599" s="348" t="s">
        <v>1537</v>
      </c>
      <c r="B599" s="348" t="s">
        <v>917</v>
      </c>
      <c r="C599" s="348" t="s">
        <v>1498</v>
      </c>
      <c r="D599" s="348" t="s">
        <v>1538</v>
      </c>
      <c r="E599" s="348" t="s">
        <v>527</v>
      </c>
      <c r="F599" s="1637">
        <f>'24. Development Process Score'!O21</f>
        <v>0</v>
      </c>
    </row>
    <row r="600" spans="1:7">
      <c r="A600" s="348" t="s">
        <v>1539</v>
      </c>
      <c r="B600" s="348" t="s">
        <v>917</v>
      </c>
      <c r="C600" s="348" t="s">
        <v>1498</v>
      </c>
      <c r="D600" s="348" t="s">
        <v>1540</v>
      </c>
      <c r="E600" s="348" t="s">
        <v>527</v>
      </c>
      <c r="F600" s="359">
        <f>'24. Development Process Score'!Q21</f>
        <v>0</v>
      </c>
    </row>
    <row r="601" spans="1:7">
      <c r="A601" s="348" t="s">
        <v>1541</v>
      </c>
      <c r="B601" s="348" t="s">
        <v>917</v>
      </c>
      <c r="C601" s="348" t="s">
        <v>1498</v>
      </c>
      <c r="D601" s="348" t="s">
        <v>1542</v>
      </c>
      <c r="E601" s="348" t="s">
        <v>527</v>
      </c>
      <c r="G601" s="348" t="s">
        <v>1543</v>
      </c>
    </row>
    <row r="602" spans="1:7">
      <c r="A602" s="348" t="s">
        <v>1544</v>
      </c>
      <c r="B602" s="348" t="s">
        <v>917</v>
      </c>
      <c r="C602" s="348" t="s">
        <v>1498</v>
      </c>
      <c r="D602" s="348" t="s">
        <v>1545</v>
      </c>
      <c r="E602" s="348" t="s">
        <v>527</v>
      </c>
      <c r="G602" s="348" t="s">
        <v>1543</v>
      </c>
    </row>
    <row r="603" spans="1:7">
      <c r="A603" s="348" t="s">
        <v>1546</v>
      </c>
      <c r="B603" s="348" t="s">
        <v>917</v>
      </c>
      <c r="C603" s="348" t="s">
        <v>1498</v>
      </c>
      <c r="D603" s="348" t="s">
        <v>1542</v>
      </c>
      <c r="E603" s="348" t="s">
        <v>527</v>
      </c>
      <c r="G603" s="348" t="s">
        <v>1543</v>
      </c>
    </row>
    <row r="604" spans="1:7">
      <c r="A604" s="348" t="s">
        <v>1547</v>
      </c>
      <c r="B604" s="348" t="s">
        <v>917</v>
      </c>
      <c r="C604" s="348" t="s">
        <v>1498</v>
      </c>
      <c r="D604" s="348" t="s">
        <v>1545</v>
      </c>
      <c r="E604" s="348" t="s">
        <v>527</v>
      </c>
      <c r="G604" s="348" t="s">
        <v>1543</v>
      </c>
    </row>
    <row r="605" spans="1:7">
      <c r="A605" s="348" t="s">
        <v>1548</v>
      </c>
      <c r="B605" s="348" t="s">
        <v>917</v>
      </c>
      <c r="C605" s="348" t="s">
        <v>1498</v>
      </c>
      <c r="D605" s="348" t="s">
        <v>1542</v>
      </c>
      <c r="E605" s="348" t="s">
        <v>527</v>
      </c>
      <c r="G605" s="348" t="s">
        <v>1543</v>
      </c>
    </row>
    <row r="606" spans="1:7">
      <c r="A606" s="348" t="s">
        <v>1549</v>
      </c>
      <c r="B606" s="348" t="s">
        <v>917</v>
      </c>
      <c r="C606" s="348" t="s">
        <v>1498</v>
      </c>
      <c r="D606" s="348" t="s">
        <v>1545</v>
      </c>
      <c r="E606" s="348" t="s">
        <v>527</v>
      </c>
      <c r="G606" s="348" t="s">
        <v>1543</v>
      </c>
    </row>
    <row r="607" spans="1:7">
      <c r="A607" s="348" t="s">
        <v>1550</v>
      </c>
      <c r="B607" s="348" t="s">
        <v>917</v>
      </c>
      <c r="C607" s="348" t="s">
        <v>1498</v>
      </c>
      <c r="D607" s="348" t="s">
        <v>1542</v>
      </c>
      <c r="E607" s="348" t="s">
        <v>527</v>
      </c>
      <c r="G607" s="348" t="s">
        <v>1543</v>
      </c>
    </row>
    <row r="608" spans="1:7">
      <c r="A608" s="348" t="s">
        <v>1551</v>
      </c>
      <c r="B608" s="348" t="s">
        <v>917</v>
      </c>
      <c r="C608" s="348" t="s">
        <v>1498</v>
      </c>
      <c r="D608" s="348" t="s">
        <v>1545</v>
      </c>
      <c r="E608" s="348" t="s">
        <v>527</v>
      </c>
      <c r="G608" s="348" t="s">
        <v>1543</v>
      </c>
    </row>
    <row r="609" spans="1:7">
      <c r="A609" s="348" t="s">
        <v>1552</v>
      </c>
      <c r="B609" s="348" t="s">
        <v>917</v>
      </c>
      <c r="C609" s="348" t="s">
        <v>1498</v>
      </c>
      <c r="D609" s="348" t="s">
        <v>1542</v>
      </c>
      <c r="E609" s="348" t="s">
        <v>527</v>
      </c>
      <c r="G609" s="348" t="s">
        <v>1543</v>
      </c>
    </row>
    <row r="610" spans="1:7">
      <c r="A610" s="348" t="s">
        <v>1553</v>
      </c>
      <c r="B610" s="348" t="s">
        <v>917</v>
      </c>
      <c r="C610" s="348" t="s">
        <v>1498</v>
      </c>
      <c r="D610" s="348" t="s">
        <v>1545</v>
      </c>
      <c r="E610" s="348" t="s">
        <v>527</v>
      </c>
      <c r="G610" s="348" t="s">
        <v>1543</v>
      </c>
    </row>
    <row r="611" spans="1:7">
      <c r="A611" s="348" t="s">
        <v>1554</v>
      </c>
      <c r="B611" s="348" t="s">
        <v>917</v>
      </c>
      <c r="C611" s="348" t="s">
        <v>1498</v>
      </c>
      <c r="D611" s="348" t="s">
        <v>1542</v>
      </c>
      <c r="E611" s="348" t="s">
        <v>527</v>
      </c>
      <c r="G611" s="348" t="s">
        <v>1543</v>
      </c>
    </row>
    <row r="612" spans="1:7">
      <c r="A612" s="348" t="s">
        <v>1555</v>
      </c>
      <c r="B612" s="348" t="s">
        <v>917</v>
      </c>
      <c r="C612" s="348" t="s">
        <v>1498</v>
      </c>
      <c r="D612" s="348" t="s">
        <v>1545</v>
      </c>
      <c r="E612" s="348" t="s">
        <v>527</v>
      </c>
      <c r="G612" s="348" t="s">
        <v>1543</v>
      </c>
    </row>
    <row r="613" spans="1:7">
      <c r="A613" s="348" t="s">
        <v>1556</v>
      </c>
      <c r="B613" s="348" t="s">
        <v>917</v>
      </c>
      <c r="C613" s="348" t="s">
        <v>1498</v>
      </c>
      <c r="D613" s="348" t="s">
        <v>1542</v>
      </c>
      <c r="E613" s="348" t="s">
        <v>527</v>
      </c>
      <c r="G613" s="348" t="s">
        <v>1543</v>
      </c>
    </row>
    <row r="614" spans="1:7">
      <c r="A614" s="348" t="s">
        <v>1557</v>
      </c>
      <c r="B614" s="348" t="s">
        <v>917</v>
      </c>
      <c r="C614" s="348" t="s">
        <v>1498</v>
      </c>
      <c r="D614" s="348" t="s">
        <v>1545</v>
      </c>
      <c r="E614" s="348" t="s">
        <v>527</v>
      </c>
      <c r="G614" s="348" t="s">
        <v>1543</v>
      </c>
    </row>
    <row r="615" spans="1:7">
      <c r="A615" s="348" t="s">
        <v>1558</v>
      </c>
      <c r="B615" s="348" t="s">
        <v>917</v>
      </c>
      <c r="C615" s="348" t="s">
        <v>1498</v>
      </c>
      <c r="D615" s="348" t="s">
        <v>1559</v>
      </c>
      <c r="E615" s="348" t="s">
        <v>527</v>
      </c>
      <c r="F615" s="359">
        <f>'24. Development Process Score'!E50</f>
        <v>0</v>
      </c>
    </row>
    <row r="616" spans="1:7">
      <c r="A616" s="348" t="s">
        <v>1560</v>
      </c>
      <c r="B616" s="348" t="s">
        <v>917</v>
      </c>
      <c r="C616" s="348" t="s">
        <v>1498</v>
      </c>
      <c r="D616" s="348" t="s">
        <v>1561</v>
      </c>
      <c r="E616" s="348" t="s">
        <v>527</v>
      </c>
      <c r="F616" s="359">
        <f>'24. Development Process Score'!G50</f>
        <v>0</v>
      </c>
    </row>
    <row r="617" spans="1:7">
      <c r="A617" s="348" t="s">
        <v>1562</v>
      </c>
      <c r="B617" s="348" t="s">
        <v>917</v>
      </c>
      <c r="C617" s="348" t="s">
        <v>1498</v>
      </c>
      <c r="D617" s="348" t="s">
        <v>1563</v>
      </c>
      <c r="E617" s="348" t="s">
        <v>527</v>
      </c>
      <c r="F617" s="359" t="str">
        <f>IF('24. Development Process Score'!C55&lt;&gt;0,'24. Development Process Score'!C55,"")</f>
        <v/>
      </c>
    </row>
    <row r="618" spans="1:7">
      <c r="A618" s="348" t="s">
        <v>1564</v>
      </c>
      <c r="B618" s="348" t="s">
        <v>917</v>
      </c>
      <c r="C618" s="348" t="s">
        <v>1498</v>
      </c>
      <c r="D618" s="348" t="s">
        <v>1565</v>
      </c>
      <c r="E618" s="348" t="s">
        <v>527</v>
      </c>
      <c r="F618" s="359" t="str">
        <f>IF('24. Development Process Score'!L55&lt;&gt;0,'24. Development Process Score'!L55,"")</f>
        <v/>
      </c>
    </row>
    <row r="619" spans="1:7">
      <c r="A619" s="348" t="s">
        <v>1566</v>
      </c>
      <c r="B619" s="348" t="s">
        <v>917</v>
      </c>
      <c r="C619" s="348" t="s">
        <v>1498</v>
      </c>
      <c r="D619" s="348" t="s">
        <v>1567</v>
      </c>
      <c r="E619" s="348" t="s">
        <v>527</v>
      </c>
      <c r="F619" s="359" t="str">
        <f>IF('24. Development Process Score'!L65&lt;&gt;0,'24. Development Process Score'!L65,"")</f>
        <v/>
      </c>
    </row>
    <row r="620" spans="1:7">
      <c r="A620" s="1792" t="s">
        <v>1568</v>
      </c>
      <c r="B620" s="1792"/>
      <c r="C620" s="1792"/>
      <c r="D620" s="1792"/>
      <c r="E620" s="1792"/>
      <c r="F620" s="1690"/>
      <c r="G620" s="1690"/>
    </row>
    <row r="621" spans="1:7">
      <c r="A621" s="1794" t="s">
        <v>1568</v>
      </c>
      <c r="B621" s="1793"/>
      <c r="C621" s="1793"/>
      <c r="D621" s="1793"/>
      <c r="E621" s="1793"/>
      <c r="F621" s="1691"/>
      <c r="G621" s="1691"/>
    </row>
    <row r="622" spans="1:7">
      <c r="A622" s="348" t="s">
        <v>1569</v>
      </c>
      <c r="B622" s="348" t="s">
        <v>917</v>
      </c>
      <c r="C622" s="348" t="s">
        <v>1568</v>
      </c>
      <c r="D622" s="348" t="s">
        <v>1570</v>
      </c>
      <c r="E622" s="348" t="s">
        <v>527</v>
      </c>
      <c r="F622" s="359" t="b">
        <f>IF('24. Development Process Score'!H113&lt;&gt;"Yes",FALSE,TRUE)</f>
        <v>0</v>
      </c>
      <c r="G622" s="348"/>
    </row>
    <row r="623" spans="1:7">
      <c r="A623" s="348" t="s">
        <v>1571</v>
      </c>
      <c r="B623" s="348" t="s">
        <v>917</v>
      </c>
      <c r="C623" s="348" t="s">
        <v>1568</v>
      </c>
      <c r="D623" s="348" t="s">
        <v>1572</v>
      </c>
      <c r="E623" s="348" t="s">
        <v>527</v>
      </c>
      <c r="F623" s="359">
        <f>'24. Development Process Score'!E124</f>
        <v>0</v>
      </c>
    </row>
    <row r="624" spans="1:7">
      <c r="A624" s="348" t="s">
        <v>1573</v>
      </c>
      <c r="B624" s="348" t="s">
        <v>917</v>
      </c>
      <c r="C624" s="348" t="s">
        <v>1568</v>
      </c>
      <c r="D624" s="348" t="s">
        <v>1574</v>
      </c>
      <c r="E624" s="348" t="s">
        <v>527</v>
      </c>
      <c r="F624" s="1640">
        <f>'24. Development Process Score'!G124</f>
        <v>0</v>
      </c>
    </row>
    <row r="625" spans="1:6">
      <c r="A625" s="348" t="s">
        <v>1575</v>
      </c>
      <c r="B625" s="348" t="s">
        <v>917</v>
      </c>
      <c r="C625" s="348" t="s">
        <v>1568</v>
      </c>
      <c r="D625" s="348" t="s">
        <v>1576</v>
      </c>
      <c r="E625" s="348" t="s">
        <v>527</v>
      </c>
      <c r="F625" s="359" t="str">
        <f>IF('24. Development Process Score'!C128&lt;&gt;0,'24. Development Process Score'!C128,"")</f>
        <v/>
      </c>
    </row>
    <row r="626" spans="1:6">
      <c r="A626" s="348" t="s">
        <v>1577</v>
      </c>
      <c r="B626" s="348" t="s">
        <v>917</v>
      </c>
      <c r="C626" s="348" t="s">
        <v>1568</v>
      </c>
      <c r="D626" s="348" t="s">
        <v>1578</v>
      </c>
      <c r="E626" s="348" t="s">
        <v>527</v>
      </c>
      <c r="F626" s="1642" t="str">
        <f>IF('24. Development Process Score'!L128&lt;&gt;0,'24. Development Process Score'!L128,"")</f>
        <v/>
      </c>
    </row>
    <row r="627" spans="1:6">
      <c r="A627" s="348" t="s">
        <v>1579</v>
      </c>
      <c r="B627" s="348" t="s">
        <v>917</v>
      </c>
      <c r="C627" s="348" t="s">
        <v>1568</v>
      </c>
      <c r="D627" s="348" t="s">
        <v>1580</v>
      </c>
      <c r="E627" s="348" t="s">
        <v>527</v>
      </c>
      <c r="F627" s="1640" t="str">
        <f>IF('24. Development Process Score'!L138&lt;&gt;0,'24. Development Process Score'!L138,"")</f>
        <v/>
      </c>
    </row>
  </sheetData>
  <sheetProtection algorithmName="SHA-512" hashValue="PEl6TX9Kkp+IgnLtO4xDnxnWlffLT0CD8CpR9d16uAtlU6wXVOudflzQOq2Iyw3/qyb/DS3DYL6i48/Ul1sz5Q==" saltValue="0OBhb3OOspLqTuRFXukFiQ==" spinCount="100000" sheet="1" objects="1" scenarios="1" selectLockedCells="1"/>
  <sortState xmlns:xlrd2="http://schemas.microsoft.com/office/spreadsheetml/2017/richdata2" ref="A279:C310">
    <sortCondition ref="A279:A310"/>
  </sortState>
  <mergeCells count="76">
    <mergeCell ref="A620:E620"/>
    <mergeCell ref="A621:E621"/>
    <mergeCell ref="A400:E400"/>
    <mergeCell ref="A432:E432"/>
    <mergeCell ref="A494:E494"/>
    <mergeCell ref="A501:E501"/>
    <mergeCell ref="A502:E502"/>
    <mergeCell ref="A425:E425"/>
    <mergeCell ref="A412:E412"/>
    <mergeCell ref="A413:E413"/>
    <mergeCell ref="A424:E424"/>
    <mergeCell ref="A579:E579"/>
    <mergeCell ref="A273:E273"/>
    <mergeCell ref="A274:E274"/>
    <mergeCell ref="A487:E487"/>
    <mergeCell ref="A488:E488"/>
    <mergeCell ref="A327:E327"/>
    <mergeCell ref="A328:E328"/>
    <mergeCell ref="A339:E339"/>
    <mergeCell ref="A340:E340"/>
    <mergeCell ref="A360:E360"/>
    <mergeCell ref="A361:E361"/>
    <mergeCell ref="A366:E366"/>
    <mergeCell ref="A367:E367"/>
    <mergeCell ref="A382:E382"/>
    <mergeCell ref="A383:E383"/>
    <mergeCell ref="A399:E399"/>
    <mergeCell ref="A156:E156"/>
    <mergeCell ref="A158:E158"/>
    <mergeCell ref="A277:E277"/>
    <mergeCell ref="A278:E278"/>
    <mergeCell ref="A159:E159"/>
    <mergeCell ref="A166:E166"/>
    <mergeCell ref="A167:E167"/>
    <mergeCell ref="A186:E186"/>
    <mergeCell ref="A187:E187"/>
    <mergeCell ref="A177:E177"/>
    <mergeCell ref="A168:E168"/>
    <mergeCell ref="A172:E172"/>
    <mergeCell ref="A196:E196"/>
    <mergeCell ref="A225:E225"/>
    <mergeCell ref="A252:E252"/>
    <mergeCell ref="A265:E265"/>
    <mergeCell ref="A71:E71"/>
    <mergeCell ref="A2:E2"/>
    <mergeCell ref="A9:E9"/>
    <mergeCell ref="A10:E10"/>
    <mergeCell ref="A24:E24"/>
    <mergeCell ref="A38:E38"/>
    <mergeCell ref="A39:E39"/>
    <mergeCell ref="A87:E87"/>
    <mergeCell ref="A100:E100"/>
    <mergeCell ref="A110:E110"/>
    <mergeCell ref="A115:E115"/>
    <mergeCell ref="A118:E118"/>
    <mergeCell ref="A131:E131"/>
    <mergeCell ref="A132:E132"/>
    <mergeCell ref="A141:E141"/>
    <mergeCell ref="A142:E142"/>
    <mergeCell ref="A150:E150"/>
    <mergeCell ref="A152:E152"/>
    <mergeCell ref="A153:E153"/>
    <mergeCell ref="A567:E567"/>
    <mergeCell ref="A568:E568"/>
    <mergeCell ref="A578:E578"/>
    <mergeCell ref="A433:E433"/>
    <mergeCell ref="A493:E493"/>
    <mergeCell ref="A521:E521"/>
    <mergeCell ref="A522:E522"/>
    <mergeCell ref="A560:E560"/>
    <mergeCell ref="A542:E542"/>
    <mergeCell ref="A543:E543"/>
    <mergeCell ref="A548:E548"/>
    <mergeCell ref="A549:E549"/>
    <mergeCell ref="A559:E559"/>
    <mergeCell ref="A155:E155"/>
  </mergeCells>
  <dataValidations count="27">
    <dataValidation type="list" errorStyle="warning" showInputMessage="1" showErrorMessage="1" errorTitle="SmartDox" error="The value you entered for the dropdown is not valid." sqref="F8" xr:uid="{4A838A48-23CC-418A-9572-BB21D1E175BB}">
      <formula1>SD_D_Blank</formula1>
    </dataValidation>
    <dataValidation type="list" errorStyle="warning" showInputMessage="1" showErrorMessage="1" errorTitle="SmartDox" error="The value you entered for the dropdown is not valid." sqref="F164 F16" xr:uid="{030AE097-F754-4729-A07A-5271F79389BD}">
      <formula1>SD_D_PL_State_Name</formula1>
    </dataValidation>
    <dataValidation type="list" errorStyle="warning" showInputMessage="1" showErrorMessage="1" errorTitle="SmartDox" error="The value you entered for the dropdown is not valid." sqref="F147" xr:uid="{E42CC689-120B-4658-83E6-1BDFE1E8B680}">
      <formula1>SD_D_PL_UDF_143_Name</formula1>
    </dataValidation>
    <dataValidation type="list" errorStyle="warning" showInputMessage="1" showErrorMessage="1" errorTitle="SmartDox" error="The value you entered for the dropdown is not valid." sqref="F148" xr:uid="{C70CB174-EF3F-4819-B904-D328480C62F9}">
      <formula1>SD_D_PL_UDF_144_Name</formula1>
    </dataValidation>
    <dataValidation type="list" errorStyle="warning" showInputMessage="1" showErrorMessage="1" errorTitle="SmartDox" error="The value you entered for the dropdown is not valid." sqref="F149" xr:uid="{8BAF94E4-5BAE-40E1-9FA9-345EB266A8A8}">
      <formula1>SD_D_PL_UDF_141_Name</formula1>
    </dataValidation>
    <dataValidation type="list" errorStyle="warning" showInputMessage="1" showErrorMessage="1" errorTitle="SmartDox" error="The value you entered for the dropdown is not valid." sqref="F146" xr:uid="{5F27BAA6-8659-4930-9846-5FDA44AC64A3}">
      <formula1>SD_D_PL_UDF_142_Name</formula1>
    </dataValidation>
    <dataValidation type="list" errorStyle="warning" showInputMessage="1" showErrorMessage="1" errorTitle="SmartDox" error="The value you entered for the dropdown is not valid." sqref="F145" xr:uid="{AE485587-8678-454D-9A00-436CCC81067D}">
      <formula1>SD_D_PL_UDF_140_Name</formula1>
    </dataValidation>
    <dataValidation type="list" errorStyle="warning" showInputMessage="1" showErrorMessage="1" errorTitle="SmartDox" error="The value you entered for the dropdown is not valid." sqref="F17" xr:uid="{B76AFEAA-EF82-4A5E-9894-DD5E5B1A9805}">
      <formula1>SD_D_PL_Jurisdiction_Name</formula1>
    </dataValidation>
    <dataValidation type="list" errorStyle="warning" showInputMessage="1" showErrorMessage="1" errorTitle="SmartDox" error="The value you entered for the dropdown is not valid." sqref="F86" xr:uid="{02328950-2E8A-43A1-A9BD-5FA94A53EE24}">
      <formula1>SD_D_PL_TargetType_Name</formula1>
    </dataValidation>
    <dataValidation type="list" errorStyle="warning" showInputMessage="1" showErrorMessage="1" errorTitle="SmartDox" error="The value you entered for the dropdown is not valid." sqref="F40" xr:uid="{6D207844-9385-4EFB-B7CE-D0247B023856}">
      <formula1>SD_D_PL_BldgAllocType_Name</formula1>
    </dataValidation>
    <dataValidation type="list" errorStyle="warning" showInputMessage="1" showErrorMessage="1" errorTitle="SmartDox" error="The value you entered for the dropdown is not valid." sqref="F116" xr:uid="{1A0CC923-FE99-4DB2-B30F-E6C84B3EFA10}">
      <formula1>SD_D_PL_UDF_112_Name</formula1>
    </dataValidation>
    <dataValidation type="list" errorStyle="warning" showInputMessage="1" showErrorMessage="1" errorTitle="SmartDox" error="The value you entered for the dropdown is not valid." sqref="F117" xr:uid="{87D801D1-E15B-44E0-8D6C-D58DD1D554A6}">
      <formula1>SD_D_PL_UDF_113_Name</formula1>
    </dataValidation>
    <dataValidation type="list" errorStyle="warning" showInputMessage="1" showErrorMessage="1" errorTitle="SmartDox" error="The value you entered for the dropdown is not valid." sqref="F51" xr:uid="{5FAC6507-87C3-40E5-9C36-1D769DBAF4AB}">
      <formula1>SD_D_PL_UDF_168_Name</formula1>
    </dataValidation>
    <dataValidation type="list" errorStyle="warning" showInputMessage="1" showErrorMessage="1" errorTitle="SmartDox" error="The value you entered for the dropdown is not valid." sqref="F61" xr:uid="{9687E4EF-0AAD-433E-9D1A-911D8E0891FA}">
      <formula1>SD_D_PL_UDF_169_Name</formula1>
    </dataValidation>
    <dataValidation type="list" errorStyle="warning" showInputMessage="1" showErrorMessage="1" errorTitle="SmartDox" error="The value you entered for the dropdown is not valid." sqref="F63" xr:uid="{669EC443-2A1F-425B-9601-1CF031302CEF}">
      <formula1>SD_D_PL_UDF_170_Name</formula1>
    </dataValidation>
    <dataValidation type="list" errorStyle="warning" showInputMessage="1" showErrorMessage="1" errorTitle="SmartDox" error="The value you entered for the dropdown is not valid." sqref="F67" xr:uid="{014E1639-E3A1-46AF-9870-3263EAC638F1}">
      <formula1>SD_D_PL_UDF_171_Name</formula1>
    </dataValidation>
    <dataValidation type="list" errorStyle="warning" showInputMessage="1" showErrorMessage="1" errorTitle="SmartDox" error="The value you entered for the dropdown is not valid." sqref="F68" xr:uid="{6B4AB56B-5A49-494A-B625-431AC5EF394E}">
      <formula1>SD_D_PL_UDF_172_Name</formula1>
    </dataValidation>
    <dataValidation type="list" errorStyle="warning" showInputMessage="1" showErrorMessage="1" errorTitle="SmartDox" error="The value you entered for the dropdown is not valid." sqref="F69" xr:uid="{DC76CFE2-4DC3-49FA-A1FA-1B5A9B1970F0}">
      <formula1>SD_D_PL_UDF_173_Name</formula1>
    </dataValidation>
    <dataValidation type="list" errorStyle="warning" showInputMessage="1" showErrorMessage="1" errorTitle="SmartDox" error="The value you entered for the dropdown is not valid." sqref="F41" xr:uid="{730F9FB3-E920-470C-87A1-AD9E032EA828}">
      <formula1>SD_D_PL_CarryOverAllocationIs_Name</formula1>
    </dataValidation>
    <dataValidation type="list" errorStyle="warning" showInputMessage="1" showErrorMessage="1" errorTitle="SmartDox" error="The value you entered for the dropdown is not valid." sqref="F109" xr:uid="{37D9041B-4E5B-4506-A57C-023E45A8A23E}">
      <formula1>SD_D_PL_BuildingType_Name</formula1>
    </dataValidation>
    <dataValidation type="list" errorStyle="warning" showInputMessage="1" showErrorMessage="1" errorTitle="SmartDox" error="The value you entered for the dropdown is not valid." sqref="F88" xr:uid="{A41FD9E3-B33C-48C5-8EC7-A40A3BA3E151}">
      <formula1>SD_D_PL_UDF_114_Name</formula1>
    </dataValidation>
    <dataValidation type="list" errorStyle="warning" showInputMessage="1" showErrorMessage="1" errorTitle="SmartDox" error="The value you entered for the dropdown is not valid." sqref="F90" xr:uid="{0BF5FB8C-1D41-4967-8D69-750B14893E73}">
      <formula1>SD_D_PL_UDF_123_Name</formula1>
    </dataValidation>
    <dataValidation type="list" errorStyle="warning" showInputMessage="1" showErrorMessage="1" errorTitle="SmartDox" error="The value you entered for the dropdown is not valid." sqref="F94" xr:uid="{07641545-D202-4748-8632-4423613E2DFA}">
      <formula1>SD_D_PL_UDF_125_Name</formula1>
    </dataValidation>
    <dataValidation type="list" errorStyle="warning" showInputMessage="1" showErrorMessage="1" errorTitle="SmartDox" error="The value you entered for the dropdown is not valid." sqref="F99" xr:uid="{1C41663E-9B97-444C-8191-C4597B9116B0}">
      <formula1>SD_D_PL_UDF_126_Name</formula1>
    </dataValidation>
    <dataValidation type="list" errorStyle="warning" showInputMessage="1" showErrorMessage="1" errorTitle="SmartDox" error="The value you entered for the dropdown is not valid." sqref="F136" xr:uid="{CC1ECF8F-282C-4233-80EA-7D89EE75B3B1}">
      <formula1>SD_D_PL_UDF_181_Name</formula1>
    </dataValidation>
    <dataValidation type="list" errorStyle="warning" showInputMessage="1" showErrorMessage="1" errorTitle="SmartDox" error="The value you entered for the dropdown is not valid." sqref="F137" xr:uid="{6572F3AF-82C6-48B2-A8B3-566D8F871FDF}">
      <formula1>SD_D_PL_UDF_182_Name</formula1>
    </dataValidation>
    <dataValidation type="list" errorStyle="warning" showInputMessage="1" showErrorMessage="1" errorTitle="SmartDox" error="The value you entered for the dropdown is not valid." sqref="F138" xr:uid="{96962F1F-E7C3-447A-88BF-68FE2CCDDF75}">
      <formula1>SD_D_PL_UDF_183_Name</formula1>
    </dataValidation>
  </dataValidations>
  <pageMargins left="0.7" right="0.7" top="0.75" bottom="0.75" header="0.3" footer="0.3"/>
  <pageSetup orientation="portrait" horizontalDpi="1200" verticalDpi="1200" r:id="rId1"/>
  <ignoredErrors>
    <ignoredError sqref="F450 F452 F470 F474 F476 F484"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C000-8704-49DE-A0F6-1EEC3E0AE290}">
  <sheetPr codeName="Sheet23">
    <pageSetUpPr fitToPage="1"/>
  </sheetPr>
  <dimension ref="A1:BQ137"/>
  <sheetViews>
    <sheetView workbookViewId="0">
      <selection activeCell="F1" sqref="F1"/>
    </sheetView>
  </sheetViews>
  <sheetFormatPr defaultColWidth="9.140625" defaultRowHeight="15"/>
  <cols>
    <col min="1" max="1" width="4.42578125" style="3" customWidth="1"/>
    <col min="2" max="2" width="12.42578125" customWidth="1"/>
    <col min="3" max="3" width="40.5703125" customWidth="1"/>
    <col min="4" max="4" width="25.28515625" customWidth="1"/>
    <col min="5" max="5" width="18.140625" customWidth="1"/>
    <col min="6" max="6" width="50" customWidth="1"/>
    <col min="7" max="7" width="30.7109375" customWidth="1"/>
    <col min="8" max="8" width="16.5703125" bestFit="1" customWidth="1"/>
    <col min="9" max="9" width="14.85546875" bestFit="1" customWidth="1"/>
    <col min="10" max="10" width="11.7109375" customWidth="1"/>
    <col min="11" max="11" width="18.5703125" customWidth="1"/>
    <col min="12" max="12" width="18.28515625" customWidth="1"/>
    <col min="13" max="13" width="15.42578125" bestFit="1" customWidth="1"/>
    <col min="14" max="14" width="18.28515625" customWidth="1"/>
    <col min="15" max="15" width="19.140625" customWidth="1"/>
    <col min="17" max="17" width="23.140625" customWidth="1"/>
    <col min="18" max="22" width="9.140625" style="9"/>
    <col min="23" max="26" width="9.140625" style="115"/>
    <col min="27" max="39" width="9.140625" style="115" customWidth="1"/>
    <col min="40" max="40" width="11.7109375" style="115" customWidth="1"/>
    <col min="41" max="41" width="12.28515625" style="115" customWidth="1"/>
    <col min="42" max="42" width="12.5703125" style="115" customWidth="1"/>
    <col min="43" max="45" width="9.140625" style="115" customWidth="1"/>
    <col min="46" max="48" width="9.140625" style="376" customWidth="1"/>
    <col min="49" max="49" width="2" style="376" bestFit="1" customWidth="1"/>
    <col min="50" max="61" width="9.140625" style="376"/>
    <col min="62" max="62" width="18.85546875" style="376" customWidth="1"/>
    <col min="63" max="69" width="9.140625" style="376"/>
  </cols>
  <sheetData>
    <row r="1" spans="1:69" ht="28.5">
      <c r="B1" s="4" t="str">
        <f>'1. TOC'!B1</f>
        <v>WHEDA 2025 Multifamily Application</v>
      </c>
      <c r="C1" s="30"/>
      <c r="D1" s="1475"/>
      <c r="E1" s="296" t="str">
        <f>'1. TOC'!L1</f>
        <v>v25.1.12</v>
      </c>
      <c r="F1" s="947" t="str">
        <f>HYPERLINK("=Table_of_Contents", Table_of_Contents)</f>
        <v>Table of Contents</v>
      </c>
      <c r="G1" s="924"/>
      <c r="H1" s="1475"/>
      <c r="I1" s="1614"/>
      <c r="J1" s="1475"/>
      <c r="K1" s="1475"/>
      <c r="L1" s="1475"/>
      <c r="M1" s="1475"/>
      <c r="N1" s="1475"/>
      <c r="O1" s="1475"/>
      <c r="P1" s="1475"/>
      <c r="Q1" s="1475"/>
      <c r="R1" s="1475"/>
      <c r="AT1" s="115"/>
    </row>
    <row r="2" spans="1:69" s="863" customFormat="1" ht="21">
      <c r="A2" s="861"/>
      <c r="B2" s="886" t="str">
        <f>_xlfn.CONCAT(IF(ISBLANK(WHEDA_Project_Number),"",_xlfn.CONCAT(WHEDA_Project_Number," - ")), Project_Name, IF(ISBLANK(Credit_percentage_applied_for),"",_xlfn.CONCAT(" - ", Credit_percentage_applied_for," HTC")))</f>
        <v/>
      </c>
      <c r="C2" s="925"/>
      <c r="D2" s="926"/>
      <c r="E2" s="926"/>
      <c r="F2" s="926"/>
      <c r="G2" s="926"/>
      <c r="H2" s="926"/>
      <c r="I2" s="926"/>
      <c r="J2" s="926"/>
      <c r="K2" s="926"/>
      <c r="L2" s="926"/>
      <c r="M2" s="926"/>
      <c r="N2" s="926"/>
      <c r="O2" s="926"/>
      <c r="P2" s="926"/>
      <c r="Q2" s="926"/>
      <c r="R2" s="926"/>
      <c r="S2" s="870"/>
      <c r="T2" s="870"/>
      <c r="U2" s="870"/>
      <c r="V2" s="870"/>
      <c r="W2" s="872"/>
      <c r="X2" s="872"/>
      <c r="Y2" s="872"/>
      <c r="Z2" s="872"/>
      <c r="AA2" s="872"/>
      <c r="AB2" s="872"/>
      <c r="AC2" s="872"/>
      <c r="AD2" s="872"/>
      <c r="AE2" s="872"/>
      <c r="AF2" s="872"/>
      <c r="AG2" s="872"/>
      <c r="AH2" s="872"/>
      <c r="AI2" s="872"/>
      <c r="AJ2" s="872"/>
      <c r="AK2" s="872"/>
      <c r="AL2" s="872"/>
      <c r="AM2" s="872"/>
      <c r="AN2" s="872"/>
      <c r="AO2" s="872"/>
      <c r="AP2" s="872"/>
      <c r="AQ2" s="872"/>
      <c r="AR2" s="872"/>
      <c r="AS2" s="872"/>
      <c r="AT2" s="872"/>
      <c r="AU2" s="1453"/>
      <c r="AV2" s="1453"/>
      <c r="AW2" s="1453"/>
      <c r="AX2" s="1453"/>
      <c r="AY2" s="1453"/>
      <c r="AZ2" s="1453"/>
      <c r="BA2" s="1453"/>
      <c r="BB2" s="1453"/>
      <c r="BC2" s="1453"/>
      <c r="BD2" s="1453"/>
      <c r="BE2" s="1453"/>
      <c r="BF2" s="1453"/>
      <c r="BG2" s="1453"/>
      <c r="BH2" s="1453"/>
      <c r="BI2" s="1453"/>
      <c r="BJ2" s="1453"/>
      <c r="BK2" s="1453"/>
      <c r="BL2" s="1453"/>
      <c r="BM2" s="1453"/>
      <c r="BN2" s="1453"/>
      <c r="BO2" s="1453"/>
      <c r="BP2" s="1453"/>
      <c r="BQ2" s="1453"/>
    </row>
    <row r="3" spans="1:69" ht="28.5">
      <c r="B3" s="4" t="s">
        <v>7399</v>
      </c>
      <c r="C3" s="1520"/>
      <c r="D3" s="1520"/>
      <c r="E3" s="1520"/>
      <c r="F3" s="1520"/>
      <c r="G3" s="1520"/>
      <c r="H3" s="1520"/>
      <c r="I3" s="1520"/>
      <c r="J3" s="1520"/>
      <c r="K3" s="1520"/>
      <c r="L3" s="1520"/>
      <c r="M3" s="1520"/>
      <c r="N3" s="1520"/>
      <c r="O3" s="1520"/>
      <c r="P3" s="1520"/>
      <c r="Q3" s="1520"/>
      <c r="R3" s="1520"/>
      <c r="AT3" s="115"/>
    </row>
    <row r="4" spans="1:69" ht="18.75">
      <c r="B4" s="927" t="s">
        <v>7400</v>
      </c>
      <c r="C4" s="33"/>
      <c r="D4" s="33"/>
      <c r="E4" s="33"/>
      <c r="F4" s="33"/>
      <c r="G4" s="33"/>
      <c r="H4" s="3"/>
      <c r="I4" s="3"/>
      <c r="J4" s="3"/>
      <c r="K4" s="3"/>
      <c r="L4" s="3"/>
      <c r="M4" s="3"/>
      <c r="N4" s="3"/>
      <c r="O4" s="3"/>
      <c r="P4" s="3"/>
      <c r="Q4" s="3"/>
      <c r="R4" s="3"/>
      <c r="AT4" s="115"/>
    </row>
    <row r="5" spans="1:69" ht="18.75">
      <c r="B5" s="928"/>
      <c r="C5" s="1615"/>
      <c r="D5" s="1615"/>
      <c r="E5" s="1615"/>
      <c r="F5" s="1615"/>
      <c r="G5" s="1615"/>
      <c r="H5" s="1615"/>
      <c r="I5" s="1615"/>
      <c r="J5" s="1615"/>
      <c r="K5" s="1615"/>
      <c r="L5" s="1615"/>
      <c r="M5" s="1615"/>
      <c r="N5" s="1615"/>
      <c r="O5" s="1615"/>
      <c r="P5" s="1615"/>
      <c r="Q5" s="1615"/>
      <c r="R5" s="686"/>
      <c r="S5" s="84"/>
      <c r="T5" s="84"/>
      <c r="U5" s="84"/>
      <c r="V5" s="84"/>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1454"/>
    </row>
    <row r="6" spans="1:69">
      <c r="B6" s="1616"/>
      <c r="C6" s="1616" t="s">
        <v>7401</v>
      </c>
      <c r="D6" s="1749">
        <f>Credit_percentage_applied_for</f>
        <v>0</v>
      </c>
      <c r="E6" s="1615"/>
      <c r="F6" s="1616" t="s">
        <v>7402</v>
      </c>
      <c r="G6" s="1617">
        <f>Federal_Tax_ID_Number_of_Ownership_Entity</f>
        <v>0</v>
      </c>
      <c r="H6" s="769"/>
      <c r="I6" s="1615"/>
      <c r="J6" s="1615"/>
      <c r="K6" s="1615"/>
      <c r="L6" s="1615"/>
      <c r="M6" s="1615"/>
      <c r="N6" s="1615"/>
      <c r="O6" s="1615"/>
      <c r="P6" s="1615"/>
      <c r="Q6" s="1615"/>
      <c r="R6" s="686"/>
      <c r="S6" s="84"/>
      <c r="T6" s="84"/>
      <c r="U6" s="84"/>
      <c r="V6" s="84"/>
      <c r="W6" s="450"/>
      <c r="X6" s="450"/>
      <c r="Y6" s="450"/>
      <c r="Z6" s="450"/>
      <c r="AA6" s="450"/>
      <c r="AC6" s="450">
        <f>D9</f>
        <v>0</v>
      </c>
      <c r="AD6" s="115">
        <v>1</v>
      </c>
      <c r="AE6" s="115">
        <v>1</v>
      </c>
      <c r="AF6" s="115">
        <f>D7</f>
        <v>0</v>
      </c>
      <c r="AG6" s="115" t="s">
        <v>472</v>
      </c>
      <c r="AH6" s="115" t="str">
        <f t="shared" ref="AH6:AH37" si="0">RIGHT(AF6,2)</f>
        <v>0</v>
      </c>
      <c r="AI6" s="115" t="s">
        <v>7403</v>
      </c>
      <c r="AJ6" s="115" t="str">
        <f>D8</f>
        <v/>
      </c>
      <c r="AK6" s="115" t="str">
        <f t="shared" ref="AK6:AK37" si="1">RIGHT(AJ6,3)</f>
        <v/>
      </c>
      <c r="AL6" s="115" t="s">
        <v>7403</v>
      </c>
      <c r="AM6" s="1450" t="s">
        <v>7404</v>
      </c>
      <c r="AN6" s="450"/>
      <c r="AO6" s="450" t="str">
        <f t="shared" ref="AO6:AO37" si="2">IF(AD6&lt;=AC6, (CONCATENATE(AG6,AH6,AI6,AK6,AL6,AM6)),"")</f>
        <v/>
      </c>
      <c r="AP6" s="450" t="str">
        <f>IF(AD6&lt;=AC6, (CONCATENATE(AG6,AH6,AI6,AK6,AL6,AM6)),"")</f>
        <v/>
      </c>
      <c r="AQ6" s="1455"/>
      <c r="AR6" s="450"/>
      <c r="AS6" s="1456">
        <f>'15. Credit Calculation'!G21</f>
        <v>0</v>
      </c>
      <c r="AT6" s="1457"/>
    </row>
    <row r="7" spans="1:69">
      <c r="B7" s="1616"/>
      <c r="C7" s="1616" t="str">
        <f>IF(D6="9%","CARRYOVER ALLOCATION YEAR Enter 4-Digit Year (YYYY):","YEAR OF 8609 ISSUANCE (YYYY):")</f>
        <v>YEAR OF 8609 ISSUANCE (YYYY):</v>
      </c>
      <c r="D7" s="1618"/>
      <c r="E7" s="1615"/>
      <c r="F7" s="1616" t="s">
        <v>7405</v>
      </c>
      <c r="G7" s="1618" t="s">
        <v>13</v>
      </c>
      <c r="H7" s="769"/>
      <c r="I7" s="1615"/>
      <c r="J7" s="1615"/>
      <c r="K7" s="1615"/>
      <c r="L7" s="1615"/>
      <c r="M7" s="1615"/>
      <c r="N7" s="1615"/>
      <c r="O7" s="1615"/>
      <c r="P7" s="1615"/>
      <c r="Q7" s="1615"/>
      <c r="R7" s="686"/>
      <c r="S7" s="84"/>
      <c r="T7" s="84"/>
      <c r="U7" s="84"/>
      <c r="V7" s="84"/>
      <c r="W7" s="450"/>
      <c r="X7" s="450"/>
      <c r="Y7" s="450"/>
      <c r="Z7" s="450"/>
      <c r="AA7" s="450"/>
      <c r="AC7" s="450">
        <f>D9</f>
        <v>0</v>
      </c>
      <c r="AD7" s="115">
        <v>2</v>
      </c>
      <c r="AE7" s="115">
        <v>1</v>
      </c>
      <c r="AF7" s="115">
        <f>D7</f>
        <v>0</v>
      </c>
      <c r="AG7" s="115" t="s">
        <v>472</v>
      </c>
      <c r="AH7" s="115" t="str">
        <f t="shared" si="0"/>
        <v>0</v>
      </c>
      <c r="AI7" s="115" t="s">
        <v>7403</v>
      </c>
      <c r="AJ7" s="115" t="str">
        <f>D8</f>
        <v/>
      </c>
      <c r="AK7" s="115" t="str">
        <f t="shared" si="1"/>
        <v/>
      </c>
      <c r="AL7" s="115" t="s">
        <v>7403</v>
      </c>
      <c r="AM7" s="1450" t="s">
        <v>7406</v>
      </c>
      <c r="AN7" s="450"/>
      <c r="AO7" s="450" t="str">
        <f t="shared" si="2"/>
        <v/>
      </c>
      <c r="AP7" s="450" t="str">
        <f>IF(AD6&lt;=AC6, (CONCATENATE(AG6,AH6,AI6,AK6,AL6,AM6)),"")</f>
        <v/>
      </c>
      <c r="AQ7" s="450"/>
      <c r="AR7" s="450"/>
      <c r="AS7" s="1456">
        <f>'15. Credit Calculation'!G22</f>
        <v>0</v>
      </c>
      <c r="AT7" s="1454"/>
    </row>
    <row r="8" spans="1:69">
      <c r="B8" s="1616"/>
      <c r="C8" s="1616" t="s">
        <v>7407</v>
      </c>
      <c r="D8" s="1748" t="str">
        <f>IF(ISBLANK(WHEDA_Project_Number),"",WHEDA_Project_Number)</f>
        <v/>
      </c>
      <c r="E8" s="1615"/>
      <c r="F8" s="1616" t="s">
        <v>7408</v>
      </c>
      <c r="G8" s="1748">
        <f>Minimum_Set_Aside_Requirements</f>
        <v>0</v>
      </c>
      <c r="H8" s="769"/>
      <c r="I8" s="1615"/>
      <c r="J8" s="1615"/>
      <c r="K8" s="1615"/>
      <c r="L8" s="1615"/>
      <c r="M8" s="1615"/>
      <c r="N8" s="1615"/>
      <c r="O8" s="1615"/>
      <c r="P8" s="1615"/>
      <c r="Q8" s="1615"/>
      <c r="R8" s="686"/>
      <c r="S8" s="84"/>
      <c r="T8" s="84"/>
      <c r="U8" s="84"/>
      <c r="V8" s="84"/>
      <c r="W8" s="450"/>
      <c r="X8" s="450"/>
      <c r="Y8" s="450"/>
      <c r="Z8" s="450"/>
      <c r="AA8" s="450"/>
      <c r="AC8" s="450">
        <f>D9</f>
        <v>0</v>
      </c>
      <c r="AD8" s="115">
        <v>3</v>
      </c>
      <c r="AE8" s="115">
        <v>2</v>
      </c>
      <c r="AF8" s="115">
        <f>D7</f>
        <v>0</v>
      </c>
      <c r="AG8" s="115" t="s">
        <v>472</v>
      </c>
      <c r="AH8" s="115" t="str">
        <f t="shared" si="0"/>
        <v>0</v>
      </c>
      <c r="AI8" s="115" t="s">
        <v>7403</v>
      </c>
      <c r="AJ8" s="115" t="str">
        <f>D8</f>
        <v/>
      </c>
      <c r="AK8" s="115" t="str">
        <f t="shared" si="1"/>
        <v/>
      </c>
      <c r="AL8" s="115" t="s">
        <v>7403</v>
      </c>
      <c r="AM8" s="1450" t="s">
        <v>7409</v>
      </c>
      <c r="AN8" s="450"/>
      <c r="AO8" s="450" t="str">
        <f t="shared" si="2"/>
        <v/>
      </c>
      <c r="AP8" s="450" t="str">
        <f>IF(AD7&lt;=AC7, (CONCATENATE(AG7,AH7,AI7,AK7,AL7,AM7)),"")</f>
        <v/>
      </c>
      <c r="AQ8" s="450"/>
      <c r="AR8" s="450"/>
      <c r="AS8" s="450"/>
      <c r="AT8" s="1454"/>
    </row>
    <row r="9" spans="1:69">
      <c r="B9" s="1616"/>
      <c r="C9" s="1616" t="s">
        <v>7410</v>
      </c>
      <c r="D9" s="1748">
        <f>'3. Project Location'!H6</f>
        <v>0</v>
      </c>
      <c r="E9" s="1615"/>
      <c r="F9" s="1616" t="s">
        <v>7411</v>
      </c>
      <c r="G9" s="1619"/>
      <c r="H9" s="769"/>
      <c r="I9" s="1615"/>
      <c r="J9" s="1615"/>
      <c r="K9" s="1615"/>
      <c r="L9" s="1615"/>
      <c r="M9" s="1615"/>
      <c r="N9" s="1615"/>
      <c r="O9" s="923" t="str">
        <f>IF(_xlfn.SINGLE(SumCreditRequest)&gt;G10,"**Total Credit Requested must be less than or equal to Total Carryover Amount**"," ")</f>
        <v xml:space="preserve"> </v>
      </c>
      <c r="P9" s="1615"/>
      <c r="Q9" s="1615"/>
      <c r="R9" s="686"/>
      <c r="S9" s="84"/>
      <c r="T9" s="84"/>
      <c r="U9" s="84"/>
      <c r="V9" s="84"/>
      <c r="W9" s="450"/>
      <c r="X9" s="450"/>
      <c r="Y9" s="450"/>
      <c r="Z9" s="450"/>
      <c r="AA9" s="450"/>
      <c r="AC9" s="450">
        <f>D9</f>
        <v>0</v>
      </c>
      <c r="AD9" s="115">
        <v>4</v>
      </c>
      <c r="AE9" s="115">
        <v>2</v>
      </c>
      <c r="AF9" s="115">
        <f>D7</f>
        <v>0</v>
      </c>
      <c r="AG9" s="115" t="s">
        <v>472</v>
      </c>
      <c r="AH9" s="115" t="str">
        <f t="shared" si="0"/>
        <v>0</v>
      </c>
      <c r="AI9" s="115" t="s">
        <v>7403</v>
      </c>
      <c r="AJ9" s="115" t="str">
        <f>D8</f>
        <v/>
      </c>
      <c r="AK9" s="115" t="str">
        <f t="shared" si="1"/>
        <v/>
      </c>
      <c r="AL9" s="115" t="s">
        <v>7403</v>
      </c>
      <c r="AM9" s="1450" t="s">
        <v>7412</v>
      </c>
      <c r="AN9" s="450"/>
      <c r="AO9" s="450" t="str">
        <f t="shared" si="2"/>
        <v/>
      </c>
      <c r="AP9" s="450" t="str">
        <f>IF(AD7&lt;=AC7, (CONCATENATE(AG7,AH7,AI7,AK7,AL7,AM7)),"")</f>
        <v/>
      </c>
      <c r="AQ9" s="450"/>
      <c r="AR9" s="450"/>
      <c r="AS9" s="450"/>
      <c r="AT9" s="1454"/>
    </row>
    <row r="10" spans="1:69">
      <c r="B10" s="1616"/>
      <c r="C10" s="1616" t="s">
        <v>7413</v>
      </c>
      <c r="D10" s="1618"/>
      <c r="E10" s="1615"/>
      <c r="F10" s="1616" t="str">
        <f>IF(D6="9%","TOTAL CARRYOVER ANNUAL CREDIT $ TO PROJECT (Enter whole $ amt):","TOTAL TIER ONE LETTER ANNUAL CREDIT $ TO PROJECT (Enter whole $ amt):")</f>
        <v>TOTAL TIER ONE LETTER ANNUAL CREDIT $ TO PROJECT (Enter whole $ amt):</v>
      </c>
      <c r="G10" s="1620">
        <f>Federal_Credits</f>
        <v>0</v>
      </c>
      <c r="H10" s="769"/>
      <c r="I10" s="1615"/>
      <c r="J10" s="1615"/>
      <c r="K10" s="1615"/>
      <c r="L10" s="1615"/>
      <c r="M10" s="1615"/>
      <c r="N10" s="1615"/>
      <c r="O10" s="1615"/>
      <c r="P10" s="1615"/>
      <c r="Q10" s="1615"/>
      <c r="R10" s="686"/>
      <c r="S10" s="84"/>
      <c r="T10" s="84"/>
      <c r="U10" s="84"/>
      <c r="V10" s="84"/>
      <c r="W10" s="450"/>
      <c r="X10" s="450"/>
      <c r="Y10" s="450"/>
      <c r="Z10" s="450"/>
      <c r="AA10" s="450"/>
      <c r="AC10" s="450">
        <f>D9</f>
        <v>0</v>
      </c>
      <c r="AD10" s="115">
        <v>5</v>
      </c>
      <c r="AE10" s="115">
        <v>3</v>
      </c>
      <c r="AF10" s="115">
        <f>D7</f>
        <v>0</v>
      </c>
      <c r="AG10" s="115" t="s">
        <v>472</v>
      </c>
      <c r="AH10" s="115" t="str">
        <f t="shared" si="0"/>
        <v>0</v>
      </c>
      <c r="AI10" s="115" t="s">
        <v>7403</v>
      </c>
      <c r="AJ10" s="115" t="str">
        <f>D8</f>
        <v/>
      </c>
      <c r="AK10" s="115" t="str">
        <f t="shared" si="1"/>
        <v/>
      </c>
      <c r="AL10" s="115" t="s">
        <v>7403</v>
      </c>
      <c r="AM10" s="1450" t="s">
        <v>7414</v>
      </c>
      <c r="AN10" s="450"/>
      <c r="AO10" s="450" t="str">
        <f t="shared" si="2"/>
        <v/>
      </c>
      <c r="AP10" s="450" t="str">
        <f>IF(AD8&lt;=AC8, (CONCATENATE(AG8,AH8,AI8,AK8,AL8,AM8)),"")</f>
        <v/>
      </c>
      <c r="AQ10" s="450"/>
      <c r="AR10" s="450"/>
      <c r="AS10" s="450"/>
      <c r="AT10" s="1454"/>
    </row>
    <row r="11" spans="1:69" ht="15.75" thickBot="1">
      <c r="B11" s="1616"/>
      <c r="C11" s="1615" t="s">
        <v>7415</v>
      </c>
      <c r="D11" s="1615"/>
      <c r="E11" s="1615"/>
      <c r="F11" s="1616" t="s">
        <v>7416</v>
      </c>
      <c r="G11" s="1618"/>
      <c r="H11" s="769"/>
      <c r="I11" s="1615"/>
      <c r="J11" s="1615"/>
      <c r="K11" s="1615"/>
      <c r="L11" s="1615"/>
      <c r="M11" s="1615"/>
      <c r="N11" s="1615"/>
      <c r="O11" s="1615"/>
      <c r="P11" s="1615"/>
      <c r="Q11" s="1615"/>
      <c r="R11" s="686"/>
      <c r="S11" s="84"/>
      <c r="T11" s="84"/>
      <c r="U11" s="84"/>
      <c r="V11" s="84"/>
      <c r="W11" s="450"/>
      <c r="X11" s="450"/>
      <c r="Y11" s="450"/>
      <c r="Z11" s="450"/>
      <c r="AA11" s="450"/>
      <c r="AC11" s="450">
        <f>D9</f>
        <v>0</v>
      </c>
      <c r="AD11" s="115">
        <v>6</v>
      </c>
      <c r="AE11" s="115">
        <v>3</v>
      </c>
      <c r="AF11" s="115">
        <f>D7</f>
        <v>0</v>
      </c>
      <c r="AG11" s="115" t="s">
        <v>472</v>
      </c>
      <c r="AH11" s="115" t="str">
        <f t="shared" si="0"/>
        <v>0</v>
      </c>
      <c r="AI11" s="115" t="s">
        <v>7403</v>
      </c>
      <c r="AJ11" s="115" t="str">
        <f>D8</f>
        <v/>
      </c>
      <c r="AK11" s="115" t="str">
        <f t="shared" si="1"/>
        <v/>
      </c>
      <c r="AL11" s="115" t="s">
        <v>7403</v>
      </c>
      <c r="AM11" s="1450" t="s">
        <v>7417</v>
      </c>
      <c r="AN11" s="450"/>
      <c r="AO11" s="450" t="str">
        <f t="shared" si="2"/>
        <v/>
      </c>
      <c r="AP11" s="450" t="str">
        <f>IF(AD8&lt;=AC8, (CONCATENATE(AG8,AH8,AI8,AK8,AL8,AM8)),"")</f>
        <v/>
      </c>
      <c r="AQ11" s="450"/>
      <c r="AR11" s="450"/>
      <c r="AS11" s="450"/>
      <c r="AT11" s="1454"/>
    </row>
    <row r="12" spans="1:69" ht="15.75" thickTop="1">
      <c r="B12" s="1615"/>
      <c r="C12" s="1615"/>
      <c r="D12" s="1615"/>
      <c r="E12" s="1615"/>
      <c r="F12" s="1615"/>
      <c r="G12" s="1615"/>
      <c r="H12" s="1615"/>
      <c r="I12" s="1615"/>
      <c r="J12" s="1615"/>
      <c r="K12" s="1615"/>
      <c r="L12" s="919" t="s">
        <v>833</v>
      </c>
      <c r="M12" s="1615"/>
      <c r="N12" s="1615"/>
      <c r="O12" s="920" t="s">
        <v>4649</v>
      </c>
      <c r="P12" s="1615"/>
      <c r="Q12" s="919" t="s">
        <v>667</v>
      </c>
      <c r="R12" s="686"/>
      <c r="S12" s="84"/>
      <c r="T12" s="84"/>
      <c r="U12" s="84"/>
      <c r="V12" s="84"/>
      <c r="W12" s="450"/>
      <c r="X12" s="450"/>
      <c r="Y12" s="450"/>
      <c r="Z12" s="450"/>
      <c r="AA12" s="450"/>
      <c r="AC12" s="450">
        <f>D9</f>
        <v>0</v>
      </c>
      <c r="AD12" s="115">
        <v>7</v>
      </c>
      <c r="AE12" s="115">
        <v>4</v>
      </c>
      <c r="AF12" s="115">
        <f>D7</f>
        <v>0</v>
      </c>
      <c r="AG12" s="115" t="s">
        <v>472</v>
      </c>
      <c r="AH12" s="115" t="str">
        <f t="shared" si="0"/>
        <v>0</v>
      </c>
      <c r="AI12" s="115" t="s">
        <v>7403</v>
      </c>
      <c r="AJ12" s="115" t="str">
        <f>D8</f>
        <v/>
      </c>
      <c r="AK12" s="115" t="str">
        <f t="shared" si="1"/>
        <v/>
      </c>
      <c r="AL12" s="115" t="s">
        <v>7403</v>
      </c>
      <c r="AM12" s="1450" t="s">
        <v>7418</v>
      </c>
      <c r="AN12" s="450"/>
      <c r="AO12" s="450" t="str">
        <f t="shared" si="2"/>
        <v/>
      </c>
      <c r="AP12" s="450" t="str">
        <f>IF(AD9&lt;=AC9, (CONCATENATE(AG9,AH9,AI9,AK9,AL9,AM9)),"")</f>
        <v/>
      </c>
      <c r="AQ12" s="450"/>
      <c r="AR12" s="450"/>
      <c r="AS12" s="450"/>
      <c r="AT12" s="1454"/>
    </row>
    <row r="13" spans="1:69">
      <c r="B13" s="1615"/>
      <c r="C13" s="1615"/>
      <c r="D13" s="1615"/>
      <c r="E13" s="1615"/>
      <c r="F13" s="1615"/>
      <c r="G13" s="1615"/>
      <c r="H13" s="1615"/>
      <c r="I13" s="1615"/>
      <c r="J13" s="1615"/>
      <c r="K13" s="1615"/>
      <c r="L13" s="921" t="s">
        <v>3508</v>
      </c>
      <c r="M13" s="1615"/>
      <c r="N13" s="1615"/>
      <c r="O13" s="922" t="s">
        <v>3508</v>
      </c>
      <c r="P13" s="1615"/>
      <c r="Q13" s="921" t="s">
        <v>3508</v>
      </c>
      <c r="R13" s="686"/>
      <c r="S13" s="84"/>
      <c r="T13" s="84"/>
      <c r="U13" s="84"/>
      <c r="V13" s="84"/>
      <c r="W13" s="450"/>
      <c r="X13" s="450"/>
      <c r="Y13" s="450"/>
      <c r="Z13" s="450"/>
      <c r="AA13" s="450"/>
      <c r="AC13" s="450">
        <f>D9</f>
        <v>0</v>
      </c>
      <c r="AD13" s="115">
        <v>8</v>
      </c>
      <c r="AE13" s="115">
        <v>4</v>
      </c>
      <c r="AF13" s="115">
        <f>D7</f>
        <v>0</v>
      </c>
      <c r="AG13" s="115" t="s">
        <v>472</v>
      </c>
      <c r="AH13" s="115" t="str">
        <f t="shared" si="0"/>
        <v>0</v>
      </c>
      <c r="AI13" s="115" t="s">
        <v>7403</v>
      </c>
      <c r="AJ13" s="115" t="str">
        <f>D8</f>
        <v/>
      </c>
      <c r="AK13" s="115" t="str">
        <f t="shared" si="1"/>
        <v/>
      </c>
      <c r="AL13" s="115" t="s">
        <v>7403</v>
      </c>
      <c r="AM13" s="1450" t="s">
        <v>7419</v>
      </c>
      <c r="AN13" s="450"/>
      <c r="AO13" s="450" t="str">
        <f t="shared" si="2"/>
        <v/>
      </c>
      <c r="AP13" s="450" t="str">
        <f>IF(AD9&lt;=AC9, (CONCATENATE(AG9,AH9,AI9,AK9,AL9,AM9)),"")</f>
        <v/>
      </c>
      <c r="AQ13" s="450"/>
      <c r="AR13" s="450"/>
      <c r="AS13" s="450"/>
      <c r="AT13" s="1454"/>
    </row>
    <row r="14" spans="1:69" ht="15.75" thickBot="1">
      <c r="B14" s="1615"/>
      <c r="C14" s="1615"/>
      <c r="D14" s="1615"/>
      <c r="E14" s="1615"/>
      <c r="F14" s="1615"/>
      <c r="G14" s="1615"/>
      <c r="H14" s="1615"/>
      <c r="I14" s="1615"/>
      <c r="J14" s="1615"/>
      <c r="K14" s="1615"/>
      <c r="L14" s="1621">
        <f>SUM(L16:L55)</f>
        <v>0</v>
      </c>
      <c r="M14" s="1615"/>
      <c r="N14" s="1615"/>
      <c r="O14" s="1621">
        <f>SUM(O16:O55)</f>
        <v>0</v>
      </c>
      <c r="P14" s="1615"/>
      <c r="Q14" s="1621">
        <f>SUM(Q16:Q55)</f>
        <v>0</v>
      </c>
      <c r="R14" s="686"/>
      <c r="S14" s="84"/>
      <c r="T14" s="84"/>
      <c r="U14" s="84"/>
      <c r="V14" s="84"/>
      <c r="W14" s="450"/>
      <c r="X14" s="450"/>
      <c r="Y14" s="450"/>
      <c r="Z14" s="450"/>
      <c r="AA14" s="450"/>
      <c r="AC14" s="450">
        <f>D9</f>
        <v>0</v>
      </c>
      <c r="AD14" s="115">
        <v>9</v>
      </c>
      <c r="AE14" s="115">
        <v>5</v>
      </c>
      <c r="AF14" s="115">
        <f>D7</f>
        <v>0</v>
      </c>
      <c r="AG14" s="115" t="s">
        <v>472</v>
      </c>
      <c r="AH14" s="115" t="str">
        <f t="shared" si="0"/>
        <v>0</v>
      </c>
      <c r="AI14" s="115" t="s">
        <v>7403</v>
      </c>
      <c r="AJ14" s="115" t="str">
        <f>D8</f>
        <v/>
      </c>
      <c r="AK14" s="115" t="str">
        <f t="shared" si="1"/>
        <v/>
      </c>
      <c r="AL14" s="115" t="s">
        <v>7403</v>
      </c>
      <c r="AM14" s="1450" t="s">
        <v>7420</v>
      </c>
      <c r="AN14" s="450"/>
      <c r="AO14" s="450" t="str">
        <f t="shared" si="2"/>
        <v/>
      </c>
      <c r="AP14" s="450" t="str">
        <f>IF(AD10&lt;=AC10, (CONCATENATE(AG10,AH10,AI10,AK10,AL10,AM10)),"")</f>
        <v/>
      </c>
      <c r="AQ14" s="450"/>
      <c r="AR14" s="450"/>
      <c r="AS14" s="450"/>
      <c r="AT14" s="1454"/>
    </row>
    <row r="15" spans="1:69" ht="51" customHeight="1" thickTop="1">
      <c r="B15" s="1615"/>
      <c r="C15" s="743" t="s">
        <v>7421</v>
      </c>
      <c r="D15" s="743" t="s">
        <v>258</v>
      </c>
      <c r="E15" s="743" t="s">
        <v>7422</v>
      </c>
      <c r="F15" s="743" t="s">
        <v>7423</v>
      </c>
      <c r="G15" s="743" t="s">
        <v>528</v>
      </c>
      <c r="H15" s="743" t="s">
        <v>532</v>
      </c>
      <c r="I15" s="743" t="s">
        <v>529</v>
      </c>
      <c r="J15" s="743" t="s">
        <v>7424</v>
      </c>
      <c r="K15" s="743" t="s">
        <v>7425</v>
      </c>
      <c r="L15" s="743" t="s">
        <v>833</v>
      </c>
      <c r="M15" s="743" t="s">
        <v>7426</v>
      </c>
      <c r="N15" s="743" t="s">
        <v>7427</v>
      </c>
      <c r="O15" s="743" t="s">
        <v>4649</v>
      </c>
      <c r="P15" s="743" t="s">
        <v>7428</v>
      </c>
      <c r="Q15" s="743" t="s">
        <v>667</v>
      </c>
      <c r="R15" s="686"/>
      <c r="S15" s="84"/>
      <c r="T15" s="84"/>
      <c r="U15" s="84"/>
      <c r="V15" s="84"/>
      <c r="W15" s="450"/>
      <c r="X15" s="450"/>
      <c r="Y15" s="450"/>
      <c r="Z15" s="450"/>
      <c r="AA15" s="450"/>
      <c r="AC15" s="450">
        <f>D9</f>
        <v>0</v>
      </c>
      <c r="AD15" s="115">
        <v>10</v>
      </c>
      <c r="AE15" s="115">
        <v>5</v>
      </c>
      <c r="AF15" s="115">
        <f>D7</f>
        <v>0</v>
      </c>
      <c r="AG15" s="115" t="s">
        <v>472</v>
      </c>
      <c r="AH15" s="115" t="str">
        <f t="shared" si="0"/>
        <v>0</v>
      </c>
      <c r="AI15" s="115" t="s">
        <v>7403</v>
      </c>
      <c r="AJ15" s="115" t="str">
        <f>D8</f>
        <v/>
      </c>
      <c r="AK15" s="115" t="str">
        <f t="shared" si="1"/>
        <v/>
      </c>
      <c r="AL15" s="115" t="s">
        <v>7403</v>
      </c>
      <c r="AM15" s="1450" t="s">
        <v>7429</v>
      </c>
      <c r="AN15" s="450"/>
      <c r="AO15" s="450" t="str">
        <f t="shared" si="2"/>
        <v/>
      </c>
      <c r="AP15" s="450" t="str">
        <f>IF(AD10&lt;=AC10, (CONCATENATE(AG10,AH10,AI10,AK10,AL10,AM10)),"")</f>
        <v/>
      </c>
      <c r="AQ15" s="450"/>
      <c r="AR15" s="450"/>
      <c r="AS15" s="450"/>
      <c r="AT15" s="1454"/>
    </row>
    <row r="16" spans="1:69">
      <c r="B16" s="1615"/>
      <c r="C16" s="1610" t="str">
        <f>IF(D10="No", AO6, IF(D10="Yes", AP6, ""))</f>
        <v/>
      </c>
      <c r="D16" s="1622"/>
      <c r="E16" s="1623"/>
      <c r="F16" s="1622">
        <f>Building_Address_1</f>
        <v>0</v>
      </c>
      <c r="G16" s="1622"/>
      <c r="H16" s="1622"/>
      <c r="I16" s="1622"/>
      <c r="J16" s="1622"/>
      <c r="K16" s="1622"/>
      <c r="L16" s="1624"/>
      <c r="M16" s="775" t="str">
        <f>IF(D16="", "", IF(G11&lt;&gt;"Yes", 1, IF(D16="Existing Building", 1, MAX(AS6, AS7)+1)))</f>
        <v/>
      </c>
      <c r="N16" s="1625"/>
      <c r="O16" s="1626" t="str">
        <f>IF(AND(L16&lt;&gt;"", M16&lt;&gt;"", N16&lt;&gt;""), ROUND(L16*M16*N16, 0), "")</f>
        <v/>
      </c>
      <c r="P16" s="1625"/>
      <c r="Q16" s="1626" t="str">
        <f t="shared" ref="Q16:Q47" si="3">IF(AND(O16&lt;&gt;"",P16&lt;&gt;""), FLOOR(O16*P16,1), "")</f>
        <v/>
      </c>
      <c r="R16" s="686"/>
      <c r="S16" s="84"/>
      <c r="T16" s="84"/>
      <c r="U16" s="84"/>
      <c r="V16" s="84"/>
      <c r="W16" s="450"/>
      <c r="X16" s="450"/>
      <c r="Y16" s="450"/>
      <c r="Z16" s="450"/>
      <c r="AA16" s="450"/>
      <c r="AC16" s="450">
        <f>D9</f>
        <v>0</v>
      </c>
      <c r="AD16" s="115">
        <v>11</v>
      </c>
      <c r="AE16" s="115">
        <v>6</v>
      </c>
      <c r="AF16" s="115">
        <f>D7</f>
        <v>0</v>
      </c>
      <c r="AG16" s="115" t="s">
        <v>472</v>
      </c>
      <c r="AH16" s="115" t="str">
        <f t="shared" si="0"/>
        <v>0</v>
      </c>
      <c r="AI16" s="115" t="s">
        <v>7403</v>
      </c>
      <c r="AJ16" s="115" t="str">
        <f>D8</f>
        <v/>
      </c>
      <c r="AK16" s="115" t="str">
        <f t="shared" si="1"/>
        <v/>
      </c>
      <c r="AL16" s="115" t="s">
        <v>7403</v>
      </c>
      <c r="AM16" s="1450" t="s">
        <v>7430</v>
      </c>
      <c r="AN16" s="450"/>
      <c r="AO16" s="450" t="str">
        <f t="shared" si="2"/>
        <v/>
      </c>
      <c r="AP16" s="450" t="str">
        <f>IF(AD11&lt;=AC11, (CONCATENATE(AG11,AH11,AI11,AK11,AL11,AM11)),"")</f>
        <v/>
      </c>
      <c r="AQ16" s="450"/>
      <c r="AR16" s="450"/>
      <c r="AS16" s="450"/>
      <c r="AT16" s="1454"/>
      <c r="AU16" s="376" t="str">
        <f>IF(C16="", "", C16)</f>
        <v/>
      </c>
      <c r="AV16" s="376" t="str">
        <f t="shared" ref="AV16:AV47" si="4">IF(OR(J16&lt;&gt;"", K16&lt;&gt;""), SUM(J16, K16), "")</f>
        <v/>
      </c>
      <c r="AW16" s="376" t="str" cm="1">
        <f t="array" ref="AW16:AX115">_xlfn._xlws.SORT(AU16:AV115,1,-1)</f>
        <v/>
      </c>
      <c r="AX16" s="376" t="str">
        <v/>
      </c>
    </row>
    <row r="17" spans="2:64">
      <c r="B17" s="1615"/>
      <c r="C17" s="1627" t="str">
        <f>IF(D10="No", AO7, IF(D10="Yes", AP7, ""))</f>
        <v/>
      </c>
      <c r="D17" s="1627"/>
      <c r="E17" s="1628"/>
      <c r="F17" s="1627"/>
      <c r="G17" s="1627"/>
      <c r="H17" s="1627"/>
      <c r="I17" s="1627"/>
      <c r="J17" s="1627"/>
      <c r="K17" s="1627"/>
      <c r="L17" s="1629"/>
      <c r="M17" s="770"/>
      <c r="N17" s="1630"/>
      <c r="O17" s="1629" t="str">
        <f>IF(AND(L17&lt;&gt;"", M17&lt;&gt;"", N17&lt;&gt;""), ROUND(L17*M17*N17, 0), "")</f>
        <v/>
      </c>
      <c r="P17" s="1630"/>
      <c r="Q17" s="1629" t="str">
        <f t="shared" si="3"/>
        <v/>
      </c>
      <c r="R17" s="686"/>
      <c r="S17" s="84"/>
      <c r="T17" s="84"/>
      <c r="U17" s="84"/>
      <c r="V17" s="84"/>
      <c r="W17" s="450"/>
      <c r="X17" s="450"/>
      <c r="Y17" s="450"/>
      <c r="Z17" s="450"/>
      <c r="AA17" s="450"/>
      <c r="AC17" s="450">
        <f>D9</f>
        <v>0</v>
      </c>
      <c r="AD17" s="115">
        <v>12</v>
      </c>
      <c r="AE17" s="115">
        <v>6</v>
      </c>
      <c r="AF17" s="115">
        <f>D7</f>
        <v>0</v>
      </c>
      <c r="AG17" s="115" t="s">
        <v>472</v>
      </c>
      <c r="AH17" s="115" t="str">
        <f t="shared" si="0"/>
        <v>0</v>
      </c>
      <c r="AI17" s="115" t="s">
        <v>7403</v>
      </c>
      <c r="AJ17" s="115" t="str">
        <f>D8</f>
        <v/>
      </c>
      <c r="AK17" s="115" t="str">
        <f t="shared" si="1"/>
        <v/>
      </c>
      <c r="AL17" s="115" t="s">
        <v>7403</v>
      </c>
      <c r="AM17" s="1450" t="s">
        <v>7431</v>
      </c>
      <c r="AN17" s="450"/>
      <c r="AO17" s="450" t="str">
        <f t="shared" si="2"/>
        <v/>
      </c>
      <c r="AP17" s="450" t="str">
        <f>IF(AD11&lt;=AC11, (CONCATENATE(AG11,AH11,AI11,AK11,AL11,AM11)),"")</f>
        <v/>
      </c>
      <c r="AQ17" s="450"/>
      <c r="AR17" s="450"/>
      <c r="AS17" s="450"/>
      <c r="AT17" s="1454"/>
      <c r="AU17" s="376" t="str">
        <f t="shared" ref="AU17:AU80" si="5">IF(C17="", "", C17)</f>
        <v/>
      </c>
      <c r="AV17" s="376" t="str">
        <f t="shared" si="4"/>
        <v/>
      </c>
      <c r="AW17" s="376" t="str">
        <v/>
      </c>
      <c r="AX17" s="376" t="str">
        <v/>
      </c>
      <c r="BL17" s="1458"/>
    </row>
    <row r="18" spans="2:64">
      <c r="B18" s="1631"/>
      <c r="C18" s="1627" t="str">
        <f>IF(D10="No", AO8, IF(D10="Yes", AP8, ""))</f>
        <v/>
      </c>
      <c r="D18" s="1627"/>
      <c r="E18" s="1628"/>
      <c r="F18" s="1627"/>
      <c r="G18" s="1627"/>
      <c r="H18" s="1627"/>
      <c r="I18" s="1627"/>
      <c r="J18" s="1627"/>
      <c r="K18" s="1627"/>
      <c r="L18" s="1629"/>
      <c r="M18" s="770"/>
      <c r="N18" s="1630"/>
      <c r="O18" s="1629" t="str">
        <f t="shared" ref="O18:O49" si="6">IF(AND(L18&lt;&gt;"", M18&lt;&gt;"", N18&lt;&gt;""), ROUND(L18*M18*N18, 0), "")</f>
        <v/>
      </c>
      <c r="P18" s="1630"/>
      <c r="Q18" s="1629" t="str">
        <f t="shared" si="3"/>
        <v/>
      </c>
      <c r="R18" s="686"/>
      <c r="S18" s="84"/>
      <c r="T18" s="84"/>
      <c r="U18" s="84"/>
      <c r="V18" s="84"/>
      <c r="W18" s="450"/>
      <c r="X18" s="450"/>
      <c r="Y18" s="450"/>
      <c r="Z18" s="450"/>
      <c r="AA18" s="450"/>
      <c r="AC18" s="450">
        <f>D9</f>
        <v>0</v>
      </c>
      <c r="AD18" s="115">
        <v>13</v>
      </c>
      <c r="AE18" s="115">
        <v>7</v>
      </c>
      <c r="AF18" s="115">
        <f>D7</f>
        <v>0</v>
      </c>
      <c r="AG18" s="115" t="s">
        <v>472</v>
      </c>
      <c r="AH18" s="115" t="str">
        <f t="shared" si="0"/>
        <v>0</v>
      </c>
      <c r="AI18" s="115" t="s">
        <v>7403</v>
      </c>
      <c r="AJ18" s="115" t="str">
        <f>D8</f>
        <v/>
      </c>
      <c r="AK18" s="115" t="str">
        <f t="shared" si="1"/>
        <v/>
      </c>
      <c r="AL18" s="115" t="s">
        <v>7403</v>
      </c>
      <c r="AM18" s="1450" t="s">
        <v>7432</v>
      </c>
      <c r="AN18" s="450"/>
      <c r="AO18" s="450" t="str">
        <f t="shared" si="2"/>
        <v/>
      </c>
      <c r="AP18" s="450" t="str">
        <f>IF(AD12&lt;=AC12, (CONCATENATE(AG12,AH12,AI12,AK12,AL12,AM12)),"")</f>
        <v/>
      </c>
      <c r="AQ18" s="450"/>
      <c r="AR18" s="450"/>
      <c r="AS18" s="450"/>
      <c r="AT18" s="1454"/>
      <c r="AU18" s="376" t="str">
        <f t="shared" si="5"/>
        <v/>
      </c>
      <c r="AV18" s="376" t="str">
        <f t="shared" si="4"/>
        <v/>
      </c>
      <c r="AW18" s="376" t="str">
        <v/>
      </c>
      <c r="AX18" s="376" t="str">
        <v/>
      </c>
    </row>
    <row r="19" spans="2:64">
      <c r="B19" s="1615"/>
      <c r="C19" s="1627" t="str">
        <f>IF(D10="No", AO9, IF(D10="Yes", AP9, ""))</f>
        <v/>
      </c>
      <c r="D19" s="1627"/>
      <c r="E19" s="1628"/>
      <c r="F19" s="1627"/>
      <c r="G19" s="1627"/>
      <c r="H19" s="1627"/>
      <c r="I19" s="1627"/>
      <c r="J19" s="1627"/>
      <c r="K19" s="1627"/>
      <c r="L19" s="1629"/>
      <c r="M19" s="770"/>
      <c r="N19" s="1630"/>
      <c r="O19" s="1629" t="str">
        <f t="shared" si="6"/>
        <v/>
      </c>
      <c r="P19" s="1630"/>
      <c r="Q19" s="1629" t="str">
        <f t="shared" si="3"/>
        <v/>
      </c>
      <c r="R19" s="686"/>
      <c r="S19" s="84"/>
      <c r="T19" s="84"/>
      <c r="U19" s="84"/>
      <c r="V19" s="84"/>
      <c r="W19" s="450"/>
      <c r="X19" s="450"/>
      <c r="Y19" s="450"/>
      <c r="Z19" s="450"/>
      <c r="AA19" s="450"/>
      <c r="AC19" s="450">
        <f>D9</f>
        <v>0</v>
      </c>
      <c r="AD19" s="115">
        <v>14</v>
      </c>
      <c r="AE19" s="115">
        <v>7</v>
      </c>
      <c r="AF19" s="115">
        <f>D7</f>
        <v>0</v>
      </c>
      <c r="AG19" s="115" t="s">
        <v>472</v>
      </c>
      <c r="AH19" s="115" t="str">
        <f t="shared" si="0"/>
        <v>0</v>
      </c>
      <c r="AI19" s="115" t="s">
        <v>7403</v>
      </c>
      <c r="AJ19" s="115" t="str">
        <f>D8</f>
        <v/>
      </c>
      <c r="AK19" s="115" t="str">
        <f t="shared" si="1"/>
        <v/>
      </c>
      <c r="AL19" s="115" t="s">
        <v>7403</v>
      </c>
      <c r="AM19" s="1450" t="s">
        <v>7234</v>
      </c>
      <c r="AN19" s="450"/>
      <c r="AO19" s="450" t="str">
        <f t="shared" si="2"/>
        <v/>
      </c>
      <c r="AP19" s="450" t="str">
        <f>IF(AD12&lt;=AC12, (CONCATENATE(AG12,AH12,AI12,AK12,AL12,AM12)),"")</f>
        <v/>
      </c>
      <c r="AQ19" s="450"/>
      <c r="AR19" s="450"/>
      <c r="AS19" s="450"/>
      <c r="AT19" s="1454"/>
      <c r="AU19" s="376" t="str">
        <f t="shared" si="5"/>
        <v/>
      </c>
      <c r="AV19" s="376" t="str">
        <f t="shared" si="4"/>
        <v/>
      </c>
      <c r="AW19" s="376" t="str">
        <v/>
      </c>
      <c r="AX19" s="376" t="str">
        <v/>
      </c>
    </row>
    <row r="20" spans="2:64">
      <c r="B20" s="1615"/>
      <c r="C20" s="1627" t="str">
        <f>IF(D10="No", AO10, IF(D10="Yes", AP10, ""))</f>
        <v/>
      </c>
      <c r="D20" s="1627"/>
      <c r="E20" s="1628"/>
      <c r="F20" s="1627"/>
      <c r="G20" s="1627"/>
      <c r="H20" s="1627"/>
      <c r="I20" s="1627"/>
      <c r="J20" s="1627"/>
      <c r="K20" s="1627"/>
      <c r="L20" s="1629"/>
      <c r="M20" s="770"/>
      <c r="N20" s="1630"/>
      <c r="O20" s="1629" t="str">
        <f t="shared" si="6"/>
        <v/>
      </c>
      <c r="P20" s="1630"/>
      <c r="Q20" s="1629" t="str">
        <f t="shared" si="3"/>
        <v/>
      </c>
      <c r="R20" s="686"/>
      <c r="S20" s="84"/>
      <c r="T20" s="84"/>
      <c r="U20" s="84"/>
      <c r="V20" s="84"/>
      <c r="W20" s="450"/>
      <c r="X20" s="450"/>
      <c r="Y20" s="450"/>
      <c r="Z20" s="450"/>
      <c r="AA20" s="450"/>
      <c r="AC20" s="450">
        <f>D9</f>
        <v>0</v>
      </c>
      <c r="AD20" s="115">
        <v>15</v>
      </c>
      <c r="AE20" s="115">
        <v>8</v>
      </c>
      <c r="AF20" s="115">
        <f>D7</f>
        <v>0</v>
      </c>
      <c r="AG20" s="115" t="s">
        <v>472</v>
      </c>
      <c r="AH20" s="115" t="str">
        <f t="shared" si="0"/>
        <v>0</v>
      </c>
      <c r="AI20" s="115" t="s">
        <v>7403</v>
      </c>
      <c r="AJ20" s="115" t="str">
        <f>D8</f>
        <v/>
      </c>
      <c r="AK20" s="115" t="str">
        <f t="shared" si="1"/>
        <v/>
      </c>
      <c r="AL20" s="115" t="s">
        <v>7403</v>
      </c>
      <c r="AM20" s="1450" t="s">
        <v>3458</v>
      </c>
      <c r="AN20" s="450"/>
      <c r="AO20" s="450" t="str">
        <f t="shared" si="2"/>
        <v/>
      </c>
      <c r="AP20" s="450" t="str">
        <f>IF(AD13&lt;=AC13, (CONCATENATE(AG13,AH13,AI13,AK13,AL13,AM13)),"")</f>
        <v/>
      </c>
      <c r="AQ20" s="450"/>
      <c r="AR20" s="450"/>
      <c r="AS20" s="450"/>
      <c r="AT20" s="1454"/>
      <c r="AU20" s="376" t="str">
        <f t="shared" si="5"/>
        <v/>
      </c>
      <c r="AV20" s="376" t="str">
        <f t="shared" si="4"/>
        <v/>
      </c>
      <c r="AW20" s="376" t="str">
        <v/>
      </c>
      <c r="AX20" s="376" t="str">
        <v/>
      </c>
    </row>
    <row r="21" spans="2:64">
      <c r="B21" s="1615"/>
      <c r="C21" s="1627" t="str">
        <f>IF(D10="No", AO11, IF(D10="Yes", AP11, ""))</f>
        <v/>
      </c>
      <c r="D21" s="1627"/>
      <c r="E21" s="1628"/>
      <c r="F21" s="1627"/>
      <c r="G21" s="1627"/>
      <c r="H21" s="1627"/>
      <c r="I21" s="1627"/>
      <c r="J21" s="1627"/>
      <c r="K21" s="1627"/>
      <c r="L21" s="1629"/>
      <c r="M21" s="770"/>
      <c r="N21" s="1630"/>
      <c r="O21" s="1629" t="str">
        <f t="shared" si="6"/>
        <v/>
      </c>
      <c r="P21" s="1630"/>
      <c r="Q21" s="1629" t="str">
        <f t="shared" si="3"/>
        <v/>
      </c>
      <c r="R21" s="686"/>
      <c r="S21" s="84"/>
      <c r="T21" s="84"/>
      <c r="U21" s="84"/>
      <c r="V21" s="84"/>
      <c r="W21" s="450"/>
      <c r="X21" s="450"/>
      <c r="Y21" s="450"/>
      <c r="Z21" s="450"/>
      <c r="AA21" s="450"/>
      <c r="AC21" s="450">
        <f>D9</f>
        <v>0</v>
      </c>
      <c r="AD21" s="115">
        <v>16</v>
      </c>
      <c r="AE21" s="115">
        <v>8</v>
      </c>
      <c r="AF21" s="115">
        <f>D7</f>
        <v>0</v>
      </c>
      <c r="AG21" s="115" t="s">
        <v>472</v>
      </c>
      <c r="AH21" s="115" t="str">
        <f t="shared" si="0"/>
        <v>0</v>
      </c>
      <c r="AI21" s="115" t="s">
        <v>7403</v>
      </c>
      <c r="AJ21" s="115" t="str">
        <f>D8</f>
        <v/>
      </c>
      <c r="AK21" s="115" t="str">
        <f t="shared" si="1"/>
        <v/>
      </c>
      <c r="AL21" s="115" t="s">
        <v>7403</v>
      </c>
      <c r="AM21" s="1450" t="s">
        <v>7243</v>
      </c>
      <c r="AN21" s="450"/>
      <c r="AO21" s="450" t="str">
        <f t="shared" si="2"/>
        <v/>
      </c>
      <c r="AP21" s="450" t="str">
        <f>IF(AD13&lt;=AC13, (CONCATENATE(AG13,AH13,AI13,AK13,AL13,AM13)),"")</f>
        <v/>
      </c>
      <c r="AQ21" s="450"/>
      <c r="AR21" s="450"/>
      <c r="AS21" s="450"/>
      <c r="AT21" s="1454"/>
      <c r="AU21" s="376" t="str">
        <f t="shared" si="5"/>
        <v/>
      </c>
      <c r="AV21" s="376" t="str">
        <f t="shared" si="4"/>
        <v/>
      </c>
      <c r="AW21" s="376" t="str">
        <v/>
      </c>
      <c r="AX21" s="376" t="str">
        <v/>
      </c>
    </row>
    <row r="22" spans="2:64">
      <c r="B22" s="1615"/>
      <c r="C22" s="1627" t="str">
        <f>IF(D10="No", AO12, IF(D10="Yes", AP12, ""))</f>
        <v/>
      </c>
      <c r="D22" s="1627"/>
      <c r="E22" s="1628"/>
      <c r="F22" s="1627"/>
      <c r="G22" s="1627"/>
      <c r="H22" s="1627"/>
      <c r="I22" s="1627"/>
      <c r="J22" s="1627"/>
      <c r="K22" s="1627"/>
      <c r="L22" s="1629"/>
      <c r="M22" s="770"/>
      <c r="N22" s="1630"/>
      <c r="O22" s="1629" t="str">
        <f t="shared" si="6"/>
        <v/>
      </c>
      <c r="P22" s="1630"/>
      <c r="Q22" s="1629" t="str">
        <f t="shared" si="3"/>
        <v/>
      </c>
      <c r="R22" s="686"/>
      <c r="S22" s="84"/>
      <c r="T22" s="84"/>
      <c r="U22" s="84"/>
      <c r="V22" s="84"/>
      <c r="W22" s="450"/>
      <c r="X22" s="450"/>
      <c r="Y22" s="450"/>
      <c r="Z22" s="450"/>
      <c r="AA22" s="450"/>
      <c r="AC22" s="450">
        <f>D9</f>
        <v>0</v>
      </c>
      <c r="AD22" s="115">
        <v>17</v>
      </c>
      <c r="AE22" s="115">
        <v>9</v>
      </c>
      <c r="AF22" s="115">
        <f>D7</f>
        <v>0</v>
      </c>
      <c r="AG22" s="115" t="s">
        <v>472</v>
      </c>
      <c r="AH22" s="115" t="str">
        <f t="shared" si="0"/>
        <v>0</v>
      </c>
      <c r="AI22" s="115" t="s">
        <v>7403</v>
      </c>
      <c r="AJ22" s="115" t="str">
        <f>D8</f>
        <v/>
      </c>
      <c r="AK22" s="115" t="str">
        <f t="shared" si="1"/>
        <v/>
      </c>
      <c r="AL22" s="115" t="s">
        <v>7403</v>
      </c>
      <c r="AM22" s="1450" t="s">
        <v>7250</v>
      </c>
      <c r="AN22" s="450"/>
      <c r="AO22" s="450" t="str">
        <f t="shared" si="2"/>
        <v/>
      </c>
      <c r="AP22" s="450" t="str">
        <f>IF(AD14&lt;=AC14, (CONCATENATE(AG14,AH14,AI14,AK14,AL14,AM14)),"")</f>
        <v/>
      </c>
      <c r="AQ22" s="450"/>
      <c r="AR22" s="450"/>
      <c r="AS22" s="450"/>
      <c r="AT22" s="1454"/>
      <c r="AU22" s="376" t="str">
        <f t="shared" si="5"/>
        <v/>
      </c>
      <c r="AV22" s="376" t="str">
        <f t="shared" si="4"/>
        <v/>
      </c>
      <c r="AW22" s="376" t="str">
        <v/>
      </c>
      <c r="AX22" s="376" t="str">
        <v/>
      </c>
    </row>
    <row r="23" spans="2:64">
      <c r="B23" s="1615"/>
      <c r="C23" s="1627" t="str">
        <f>IF(D10="No", AO13, IF(D10="Yes", AP13, ""))</f>
        <v/>
      </c>
      <c r="D23" s="1627"/>
      <c r="E23" s="1628"/>
      <c r="F23" s="1627"/>
      <c r="G23" s="1627"/>
      <c r="H23" s="1627"/>
      <c r="I23" s="1627"/>
      <c r="J23" s="1627"/>
      <c r="K23" s="1627"/>
      <c r="L23" s="1629"/>
      <c r="M23" s="770"/>
      <c r="N23" s="1630"/>
      <c r="O23" s="1629" t="str">
        <f t="shared" si="6"/>
        <v/>
      </c>
      <c r="P23" s="1630"/>
      <c r="Q23" s="1629" t="str">
        <f t="shared" si="3"/>
        <v/>
      </c>
      <c r="R23" s="686"/>
      <c r="S23" s="84"/>
      <c r="T23" s="84"/>
      <c r="U23" s="84"/>
      <c r="V23" s="84"/>
      <c r="W23" s="450"/>
      <c r="X23" s="450"/>
      <c r="Y23" s="450"/>
      <c r="Z23" s="450"/>
      <c r="AA23" s="450"/>
      <c r="AC23" s="450">
        <f>D9</f>
        <v>0</v>
      </c>
      <c r="AD23" s="115">
        <v>18</v>
      </c>
      <c r="AE23" s="115">
        <v>9</v>
      </c>
      <c r="AF23" s="115">
        <f>D7</f>
        <v>0</v>
      </c>
      <c r="AG23" s="115" t="s">
        <v>472</v>
      </c>
      <c r="AH23" s="115" t="str">
        <f t="shared" si="0"/>
        <v>0</v>
      </c>
      <c r="AI23" s="115" t="s">
        <v>7403</v>
      </c>
      <c r="AJ23" s="115" t="str">
        <f>D8</f>
        <v/>
      </c>
      <c r="AK23" s="115" t="str">
        <f t="shared" si="1"/>
        <v/>
      </c>
      <c r="AL23" s="115" t="s">
        <v>7403</v>
      </c>
      <c r="AM23" s="1450" t="s">
        <v>7256</v>
      </c>
      <c r="AN23" s="450"/>
      <c r="AO23" s="450" t="str">
        <f t="shared" si="2"/>
        <v/>
      </c>
      <c r="AP23" s="450" t="str">
        <f>IF(AD14&lt;=AC14, (CONCATENATE(AG14,AH14,AI14,AK14,AL14,AM14)),"")</f>
        <v/>
      </c>
      <c r="AQ23" s="450"/>
      <c r="AR23" s="450"/>
      <c r="AS23" s="450"/>
      <c r="AT23" s="1454"/>
      <c r="AU23" s="376" t="str">
        <f t="shared" si="5"/>
        <v/>
      </c>
      <c r="AV23" s="376" t="str">
        <f t="shared" si="4"/>
        <v/>
      </c>
      <c r="AW23" s="376" t="str">
        <v/>
      </c>
      <c r="AX23" s="376" t="str">
        <v/>
      </c>
    </row>
    <row r="24" spans="2:64">
      <c r="B24" s="1615"/>
      <c r="C24" s="1627" t="str">
        <f>IF(D10="No", AO14, IF(D10="Yes", AP14, ""))</f>
        <v/>
      </c>
      <c r="D24" s="1627"/>
      <c r="E24" s="1628"/>
      <c r="F24" s="1627"/>
      <c r="G24" s="1627"/>
      <c r="H24" s="1627"/>
      <c r="I24" s="1627"/>
      <c r="J24" s="1627"/>
      <c r="K24" s="1627"/>
      <c r="L24" s="1629"/>
      <c r="M24" s="770"/>
      <c r="N24" s="1630"/>
      <c r="O24" s="1629" t="str">
        <f t="shared" si="6"/>
        <v/>
      </c>
      <c r="P24" s="1630"/>
      <c r="Q24" s="1629" t="str">
        <f t="shared" si="3"/>
        <v/>
      </c>
      <c r="R24" s="686"/>
      <c r="S24" s="84"/>
      <c r="T24" s="84"/>
      <c r="U24" s="84"/>
      <c r="V24" s="84"/>
      <c r="W24" s="450"/>
      <c r="X24" s="450"/>
      <c r="Y24" s="450"/>
      <c r="Z24" s="450"/>
      <c r="AA24" s="450"/>
      <c r="AC24" s="450">
        <f>D9</f>
        <v>0</v>
      </c>
      <c r="AD24" s="115">
        <v>19</v>
      </c>
      <c r="AE24" s="115">
        <v>10</v>
      </c>
      <c r="AF24" s="115">
        <f>D7</f>
        <v>0</v>
      </c>
      <c r="AG24" s="115" t="s">
        <v>472</v>
      </c>
      <c r="AH24" s="115" t="str">
        <f t="shared" si="0"/>
        <v>0</v>
      </c>
      <c r="AI24" s="115" t="s">
        <v>7403</v>
      </c>
      <c r="AJ24" s="115" t="str">
        <f>D8</f>
        <v/>
      </c>
      <c r="AK24" s="115" t="str">
        <f t="shared" si="1"/>
        <v/>
      </c>
      <c r="AL24" s="115" t="s">
        <v>7403</v>
      </c>
      <c r="AM24" s="1450" t="s">
        <v>7262</v>
      </c>
      <c r="AN24" s="450"/>
      <c r="AO24" s="450" t="str">
        <f t="shared" si="2"/>
        <v/>
      </c>
      <c r="AP24" s="450" t="str">
        <f>IF(AD15&lt;=AC15, (CONCATENATE(AG15,AH15,AI15,AK15,AL15,AM15)),"")</f>
        <v/>
      </c>
      <c r="AQ24" s="450"/>
      <c r="AR24" s="450"/>
      <c r="AS24" s="450"/>
      <c r="AT24" s="1454"/>
      <c r="AU24" s="376" t="str">
        <f t="shared" si="5"/>
        <v/>
      </c>
      <c r="AV24" s="376" t="str">
        <f t="shared" si="4"/>
        <v/>
      </c>
      <c r="AW24" s="376" t="str">
        <v/>
      </c>
      <c r="AX24" s="376" t="str">
        <v/>
      </c>
    </row>
    <row r="25" spans="2:64">
      <c r="B25" s="1615"/>
      <c r="C25" s="1627" t="str">
        <f>IF(D10="No", AO15, IF(D10="Yes", AP15, ""))</f>
        <v/>
      </c>
      <c r="D25" s="1627"/>
      <c r="E25" s="1628"/>
      <c r="F25" s="1627"/>
      <c r="G25" s="1627"/>
      <c r="H25" s="1627"/>
      <c r="I25" s="1627"/>
      <c r="J25" s="1627"/>
      <c r="K25" s="1627"/>
      <c r="L25" s="1629"/>
      <c r="M25" s="770"/>
      <c r="N25" s="1630"/>
      <c r="O25" s="1629" t="str">
        <f t="shared" si="6"/>
        <v/>
      </c>
      <c r="P25" s="1630"/>
      <c r="Q25" s="1629" t="str">
        <f t="shared" si="3"/>
        <v/>
      </c>
      <c r="R25" s="686"/>
      <c r="S25" s="84"/>
      <c r="T25" s="84"/>
      <c r="U25" s="84"/>
      <c r="V25" s="84"/>
      <c r="W25" s="450"/>
      <c r="X25" s="450"/>
      <c r="Y25" s="450"/>
      <c r="Z25" s="450"/>
      <c r="AA25" s="450"/>
      <c r="AC25" s="450">
        <f>D9</f>
        <v>0</v>
      </c>
      <c r="AD25" s="115">
        <v>20</v>
      </c>
      <c r="AE25" s="115">
        <v>10</v>
      </c>
      <c r="AF25" s="115">
        <f>D7</f>
        <v>0</v>
      </c>
      <c r="AG25" s="115" t="s">
        <v>472</v>
      </c>
      <c r="AH25" s="115" t="str">
        <f t="shared" si="0"/>
        <v>0</v>
      </c>
      <c r="AI25" s="115" t="s">
        <v>7403</v>
      </c>
      <c r="AJ25" s="115" t="str">
        <f>D8</f>
        <v/>
      </c>
      <c r="AK25" s="115" t="str">
        <f t="shared" si="1"/>
        <v/>
      </c>
      <c r="AL25" s="115" t="s">
        <v>7403</v>
      </c>
      <c r="AM25" s="1450" t="s">
        <v>7270</v>
      </c>
      <c r="AN25" s="450"/>
      <c r="AO25" s="450" t="str">
        <f t="shared" si="2"/>
        <v/>
      </c>
      <c r="AP25" s="450" t="str">
        <f>IF(AD15&lt;=AC15, (CONCATENATE(AG15,AH15,AI15,AK15,AL15,AM15)),"")</f>
        <v/>
      </c>
      <c r="AQ25" s="450"/>
      <c r="AR25" s="450"/>
      <c r="AS25" s="450"/>
      <c r="AT25" s="1454"/>
      <c r="AU25" s="376" t="str">
        <f t="shared" si="5"/>
        <v/>
      </c>
      <c r="AV25" s="376" t="str">
        <f t="shared" si="4"/>
        <v/>
      </c>
      <c r="AW25" s="376" t="str">
        <v/>
      </c>
      <c r="AX25" s="376" t="str">
        <v/>
      </c>
    </row>
    <row r="26" spans="2:64">
      <c r="B26" s="1615"/>
      <c r="C26" s="1627" t="str">
        <f>IF(D10="No", AO16, IF(D10="Yes", AP16, ""))</f>
        <v/>
      </c>
      <c r="D26" s="1627"/>
      <c r="E26" s="1628"/>
      <c r="F26" s="1627"/>
      <c r="G26" s="1627"/>
      <c r="H26" s="1627"/>
      <c r="I26" s="1627"/>
      <c r="J26" s="1627"/>
      <c r="K26" s="1627"/>
      <c r="L26" s="1629"/>
      <c r="M26" s="770" t="str">
        <f>IF(D26="", "", IF(G11&lt;&gt;"Yes", 1, IF(D26="Existing Building", 1, MAX(AS6, AS7)+1)))</f>
        <v/>
      </c>
      <c r="N26" s="1630"/>
      <c r="O26" s="1629" t="str">
        <f t="shared" si="6"/>
        <v/>
      </c>
      <c r="P26" s="1630" t="s">
        <v>3830</v>
      </c>
      <c r="Q26" s="1629" t="str">
        <f t="shared" si="3"/>
        <v/>
      </c>
      <c r="R26" s="686"/>
      <c r="S26" s="84"/>
      <c r="T26" s="84"/>
      <c r="U26" s="84"/>
      <c r="V26" s="84"/>
      <c r="W26" s="450"/>
      <c r="X26" s="450"/>
      <c r="Y26" s="450"/>
      <c r="Z26" s="450"/>
      <c r="AA26" s="450"/>
      <c r="AC26" s="450">
        <f>D9</f>
        <v>0</v>
      </c>
      <c r="AD26" s="115">
        <v>21</v>
      </c>
      <c r="AE26" s="115">
        <v>11</v>
      </c>
      <c r="AF26" s="115">
        <f>D7</f>
        <v>0</v>
      </c>
      <c r="AG26" s="115" t="s">
        <v>472</v>
      </c>
      <c r="AH26" s="115" t="str">
        <f t="shared" si="0"/>
        <v>0</v>
      </c>
      <c r="AI26" s="115" t="s">
        <v>7403</v>
      </c>
      <c r="AJ26" s="115" t="str">
        <f>D8</f>
        <v/>
      </c>
      <c r="AK26" s="115" t="str">
        <f t="shared" si="1"/>
        <v/>
      </c>
      <c r="AL26" s="115" t="s">
        <v>7403</v>
      </c>
      <c r="AM26" s="1450" t="s">
        <v>7433</v>
      </c>
      <c r="AN26" s="450"/>
      <c r="AO26" s="450" t="str">
        <f t="shared" si="2"/>
        <v/>
      </c>
      <c r="AP26" s="450" t="str">
        <f>IF(AD16&lt;=AC16, (CONCATENATE(AG16,AH16,AI16,AK16,AL16,AM16)),"")</f>
        <v/>
      </c>
      <c r="AQ26" s="450"/>
      <c r="AR26" s="450"/>
      <c r="AS26" s="450"/>
      <c r="AT26" s="1454"/>
      <c r="AU26" s="376" t="str">
        <f t="shared" si="5"/>
        <v/>
      </c>
      <c r="AV26" s="376" t="str">
        <f t="shared" si="4"/>
        <v/>
      </c>
      <c r="AW26" s="376" t="str">
        <v/>
      </c>
      <c r="AX26" s="376" t="str">
        <v/>
      </c>
    </row>
    <row r="27" spans="2:64">
      <c r="B27" s="1615"/>
      <c r="C27" s="1627" t="str">
        <f>IF(D10="No", AO17, IF(D10="Yes", AP17, ""))</f>
        <v/>
      </c>
      <c r="D27" s="1627"/>
      <c r="E27" s="1628"/>
      <c r="F27" s="1627"/>
      <c r="G27" s="1627"/>
      <c r="H27" s="1627"/>
      <c r="I27" s="1627"/>
      <c r="J27" s="1627"/>
      <c r="K27" s="1627"/>
      <c r="L27" s="1629"/>
      <c r="M27" s="770" t="str">
        <f>IF(D27="", "", IF(G11&lt;&gt;"Yes", 1, IF(D27="Existing Building", 1, MAX(AS6, AS7)+1)))</f>
        <v/>
      </c>
      <c r="N27" s="1630"/>
      <c r="O27" s="1629" t="str">
        <f t="shared" si="6"/>
        <v/>
      </c>
      <c r="P27" s="1630"/>
      <c r="Q27" s="1629" t="str">
        <f t="shared" si="3"/>
        <v/>
      </c>
      <c r="R27" s="686"/>
      <c r="S27" s="84"/>
      <c r="T27" s="84"/>
      <c r="U27" s="84"/>
      <c r="V27" s="84"/>
      <c r="W27" s="450"/>
      <c r="X27" s="450"/>
      <c r="Y27" s="450"/>
      <c r="Z27" s="450"/>
      <c r="AA27" s="450"/>
      <c r="AC27" s="450">
        <f>D9</f>
        <v>0</v>
      </c>
      <c r="AD27" s="115">
        <v>22</v>
      </c>
      <c r="AE27" s="115">
        <v>11</v>
      </c>
      <c r="AF27" s="115">
        <f>D7</f>
        <v>0</v>
      </c>
      <c r="AG27" s="115" t="s">
        <v>472</v>
      </c>
      <c r="AH27" s="115" t="str">
        <f t="shared" si="0"/>
        <v>0</v>
      </c>
      <c r="AI27" s="115" t="s">
        <v>7403</v>
      </c>
      <c r="AJ27" s="115" t="str">
        <f>D8</f>
        <v/>
      </c>
      <c r="AK27" s="115" t="str">
        <f t="shared" si="1"/>
        <v/>
      </c>
      <c r="AL27" s="115" t="s">
        <v>7403</v>
      </c>
      <c r="AM27" s="1450" t="s">
        <v>7434</v>
      </c>
      <c r="AN27" s="450"/>
      <c r="AO27" s="450" t="str">
        <f t="shared" si="2"/>
        <v/>
      </c>
      <c r="AP27" s="450" t="str">
        <f>IF(AD16&lt;=AC16, (CONCATENATE(AG16,AH16,AI16,AK16,AL16,AM16)),"")</f>
        <v/>
      </c>
      <c r="AQ27" s="450"/>
      <c r="AR27" s="450"/>
      <c r="AS27" s="450"/>
      <c r="AT27" s="1454"/>
      <c r="AU27" s="376" t="str">
        <f t="shared" si="5"/>
        <v/>
      </c>
      <c r="AV27" s="376" t="str">
        <f t="shared" si="4"/>
        <v/>
      </c>
      <c r="AW27" s="376" t="str">
        <v/>
      </c>
      <c r="AX27" s="376" t="str">
        <v/>
      </c>
    </row>
    <row r="28" spans="2:64">
      <c r="B28" s="1615"/>
      <c r="C28" s="1627" t="str">
        <f>IF(D10="No", AO18, IF(D10="Yes", AP18, ""))</f>
        <v/>
      </c>
      <c r="D28" s="1627"/>
      <c r="E28" s="1628"/>
      <c r="F28" s="1627"/>
      <c r="G28" s="1627"/>
      <c r="H28" s="1627"/>
      <c r="I28" s="1627"/>
      <c r="J28" s="1627"/>
      <c r="K28" s="1627"/>
      <c r="L28" s="1629"/>
      <c r="M28" s="770" t="str">
        <f>IF(D28="", "", IF(G11&lt;&gt;"Yes", 1, IF(D28="Existing Building", 1, MAX(AS6, AS7)+1)))</f>
        <v/>
      </c>
      <c r="N28" s="1630"/>
      <c r="O28" s="1629" t="str">
        <f t="shared" si="6"/>
        <v/>
      </c>
      <c r="P28" s="1630"/>
      <c r="Q28" s="1629" t="str">
        <f t="shared" si="3"/>
        <v/>
      </c>
      <c r="R28" s="686"/>
      <c r="S28" s="84"/>
      <c r="T28" s="84"/>
      <c r="U28" s="84"/>
      <c r="V28" s="84"/>
      <c r="W28" s="450"/>
      <c r="X28" s="450"/>
      <c r="Y28" s="450"/>
      <c r="Z28" s="450"/>
      <c r="AA28" s="450"/>
      <c r="AC28" s="450">
        <f>D9</f>
        <v>0</v>
      </c>
      <c r="AD28" s="115">
        <v>23</v>
      </c>
      <c r="AE28" s="115">
        <v>12</v>
      </c>
      <c r="AF28" s="115">
        <f>D7</f>
        <v>0</v>
      </c>
      <c r="AG28" s="115" t="s">
        <v>472</v>
      </c>
      <c r="AH28" s="115" t="str">
        <f t="shared" si="0"/>
        <v>0</v>
      </c>
      <c r="AI28" s="115" t="s">
        <v>7403</v>
      </c>
      <c r="AJ28" s="115" t="str">
        <f>D8</f>
        <v/>
      </c>
      <c r="AK28" s="115" t="str">
        <f t="shared" si="1"/>
        <v/>
      </c>
      <c r="AL28" s="115" t="s">
        <v>7403</v>
      </c>
      <c r="AM28" s="1450" t="s">
        <v>7435</v>
      </c>
      <c r="AN28" s="450"/>
      <c r="AO28" s="450" t="str">
        <f t="shared" si="2"/>
        <v/>
      </c>
      <c r="AP28" s="450" t="str">
        <f>IF(AD17&lt;=AC17, (CONCATENATE(AG17,AH17,AI17,AK17,AL17,AM17)),"")</f>
        <v/>
      </c>
      <c r="AQ28" s="450"/>
      <c r="AR28" s="450"/>
      <c r="AS28" s="450"/>
      <c r="AT28" s="1454"/>
      <c r="AU28" s="376" t="str">
        <f t="shared" si="5"/>
        <v/>
      </c>
      <c r="AV28" s="376" t="str">
        <f t="shared" si="4"/>
        <v/>
      </c>
      <c r="AW28" s="376" t="str">
        <v/>
      </c>
      <c r="AX28" s="376" t="str">
        <v/>
      </c>
    </row>
    <row r="29" spans="2:64">
      <c r="B29" s="1615"/>
      <c r="C29" s="1627" t="str">
        <f>IF(D10="No", AO19, IF(D10="Yes", AP19, ""))</f>
        <v/>
      </c>
      <c r="D29" s="1627"/>
      <c r="E29" s="1628"/>
      <c r="F29" s="1627"/>
      <c r="G29" s="1627"/>
      <c r="H29" s="1627"/>
      <c r="I29" s="1627"/>
      <c r="J29" s="1627"/>
      <c r="K29" s="1627"/>
      <c r="L29" s="1629"/>
      <c r="M29" s="770" t="str">
        <f>IF(D29="", "", IF(G11&lt;&gt;"Yes", 1, IF(D29="Existing Building", 1, MAX(AS6, AS7)+1)))</f>
        <v/>
      </c>
      <c r="N29" s="1630"/>
      <c r="O29" s="1629" t="str">
        <f t="shared" si="6"/>
        <v/>
      </c>
      <c r="P29" s="1630"/>
      <c r="Q29" s="1629" t="str">
        <f t="shared" si="3"/>
        <v/>
      </c>
      <c r="R29" s="686"/>
      <c r="S29" s="84"/>
      <c r="T29" s="84"/>
      <c r="U29" s="84"/>
      <c r="V29" s="84"/>
      <c r="W29" s="450"/>
      <c r="X29" s="450"/>
      <c r="Y29" s="450"/>
      <c r="Z29" s="450"/>
      <c r="AA29" s="450"/>
      <c r="AC29" s="450">
        <f>D9</f>
        <v>0</v>
      </c>
      <c r="AD29" s="115">
        <v>24</v>
      </c>
      <c r="AE29" s="115">
        <v>12</v>
      </c>
      <c r="AF29" s="115">
        <f>D7</f>
        <v>0</v>
      </c>
      <c r="AG29" s="115" t="s">
        <v>472</v>
      </c>
      <c r="AH29" s="115" t="str">
        <f t="shared" si="0"/>
        <v>0</v>
      </c>
      <c r="AI29" s="115" t="s">
        <v>7403</v>
      </c>
      <c r="AJ29" s="115" t="str">
        <f>D8</f>
        <v/>
      </c>
      <c r="AK29" s="115" t="str">
        <f t="shared" si="1"/>
        <v/>
      </c>
      <c r="AL29" s="115" t="s">
        <v>7403</v>
      </c>
      <c r="AM29" s="1450" t="s">
        <v>7436</v>
      </c>
      <c r="AN29" s="450"/>
      <c r="AO29" s="450" t="str">
        <f t="shared" si="2"/>
        <v/>
      </c>
      <c r="AP29" s="450" t="str">
        <f>IF(AD17&lt;=AC17, (CONCATENATE(AG17,AH17,AI17,AK17,AL17,AM17)),"")</f>
        <v/>
      </c>
      <c r="AQ29" s="450"/>
      <c r="AR29" s="450"/>
      <c r="AS29" s="450"/>
      <c r="AT29" s="1454"/>
      <c r="AU29" s="376" t="str">
        <f t="shared" si="5"/>
        <v/>
      </c>
      <c r="AV29" s="376" t="str">
        <f t="shared" si="4"/>
        <v/>
      </c>
      <c r="AW29" s="376" t="str">
        <v/>
      </c>
      <c r="AX29" s="376" t="str">
        <v/>
      </c>
    </row>
    <row r="30" spans="2:64">
      <c r="B30" s="1615"/>
      <c r="C30" s="1627" t="str">
        <f>IF(D10="No", AO20, IF(D10="Yes", AP20, ""))</f>
        <v/>
      </c>
      <c r="D30" s="1627"/>
      <c r="E30" s="1628"/>
      <c r="F30" s="1627"/>
      <c r="G30" s="1627"/>
      <c r="H30" s="1627"/>
      <c r="I30" s="1627"/>
      <c r="J30" s="1627"/>
      <c r="K30" s="1627"/>
      <c r="L30" s="1629"/>
      <c r="M30" s="770" t="str">
        <f>IF(D30="", "", IF(G11&lt;&gt;"Yes", 1, IF(D30="Existing Building", 1, MAX(AS6, AS7)+1)))</f>
        <v/>
      </c>
      <c r="N30" s="1630"/>
      <c r="O30" s="1629" t="str">
        <f t="shared" si="6"/>
        <v/>
      </c>
      <c r="P30" s="1630"/>
      <c r="Q30" s="1629" t="str">
        <f t="shared" si="3"/>
        <v/>
      </c>
      <c r="R30" s="686"/>
      <c r="S30" s="84"/>
      <c r="T30" s="84"/>
      <c r="U30" s="84"/>
      <c r="V30" s="84"/>
      <c r="W30" s="450"/>
      <c r="X30" s="450"/>
      <c r="Y30" s="450"/>
      <c r="Z30" s="450"/>
      <c r="AA30" s="450"/>
      <c r="AC30" s="450">
        <f>D9</f>
        <v>0</v>
      </c>
      <c r="AD30" s="115">
        <v>25</v>
      </c>
      <c r="AE30" s="115">
        <v>13</v>
      </c>
      <c r="AF30" s="115">
        <f>D7</f>
        <v>0</v>
      </c>
      <c r="AG30" s="115" t="s">
        <v>472</v>
      </c>
      <c r="AH30" s="115" t="str">
        <f t="shared" si="0"/>
        <v>0</v>
      </c>
      <c r="AI30" s="115" t="s">
        <v>7403</v>
      </c>
      <c r="AJ30" s="115" t="str">
        <f>D8</f>
        <v/>
      </c>
      <c r="AK30" s="115" t="str">
        <f t="shared" si="1"/>
        <v/>
      </c>
      <c r="AL30" s="115" t="s">
        <v>7403</v>
      </c>
      <c r="AM30" s="1450" t="s">
        <v>7274</v>
      </c>
      <c r="AN30" s="450"/>
      <c r="AO30" s="450" t="str">
        <f t="shared" si="2"/>
        <v/>
      </c>
      <c r="AP30" s="450" t="str">
        <f>IF(AD18&lt;=AC18, (CONCATENATE(AG18,AH18,AI18,AK18,AL18,AM18)),"")</f>
        <v/>
      </c>
      <c r="AQ30" s="450"/>
      <c r="AR30" s="450"/>
      <c r="AS30" s="450"/>
      <c r="AT30" s="1454"/>
      <c r="AU30" s="376" t="str">
        <f t="shared" si="5"/>
        <v/>
      </c>
      <c r="AV30" s="376" t="str">
        <f t="shared" si="4"/>
        <v/>
      </c>
      <c r="AW30" s="376" t="str">
        <v/>
      </c>
      <c r="AX30" s="376" t="str">
        <v/>
      </c>
    </row>
    <row r="31" spans="2:64">
      <c r="B31" s="1615"/>
      <c r="C31" s="1627" t="str">
        <f>IF(D10="No", AO21, IF(D10="Yes", AP21, ""))</f>
        <v/>
      </c>
      <c r="D31" s="1627"/>
      <c r="E31" s="1628"/>
      <c r="F31" s="1627"/>
      <c r="G31" s="1627"/>
      <c r="H31" s="1627"/>
      <c r="I31" s="1627"/>
      <c r="J31" s="1627"/>
      <c r="K31" s="1627"/>
      <c r="L31" s="1629"/>
      <c r="M31" s="770" t="str">
        <f>IF(D31="", "", IF(G11&lt;&gt;"Yes", 1, IF(D31="Existing Building", 1, MAX(AS6, AS7)+1)))</f>
        <v/>
      </c>
      <c r="N31" s="1630"/>
      <c r="O31" s="1629" t="str">
        <f t="shared" si="6"/>
        <v/>
      </c>
      <c r="P31" s="1630"/>
      <c r="Q31" s="1629" t="str">
        <f t="shared" si="3"/>
        <v/>
      </c>
      <c r="R31" s="686"/>
      <c r="S31" s="84"/>
      <c r="T31" s="84"/>
      <c r="U31" s="84"/>
      <c r="V31" s="84"/>
      <c r="W31" s="450"/>
      <c r="X31" s="450"/>
      <c r="Y31" s="450"/>
      <c r="Z31" s="450"/>
      <c r="AA31" s="450"/>
      <c r="AC31" s="450">
        <f>D9</f>
        <v>0</v>
      </c>
      <c r="AD31" s="115">
        <v>26</v>
      </c>
      <c r="AE31" s="115">
        <v>13</v>
      </c>
      <c r="AF31" s="115">
        <f>D7</f>
        <v>0</v>
      </c>
      <c r="AG31" s="115" t="s">
        <v>472</v>
      </c>
      <c r="AH31" s="115" t="str">
        <f t="shared" si="0"/>
        <v>0</v>
      </c>
      <c r="AI31" s="115" t="s">
        <v>7403</v>
      </c>
      <c r="AJ31" s="115" t="str">
        <f>D8</f>
        <v/>
      </c>
      <c r="AK31" s="115" t="str">
        <f t="shared" si="1"/>
        <v/>
      </c>
      <c r="AL31" s="115" t="s">
        <v>7403</v>
      </c>
      <c r="AM31" s="1450" t="s">
        <v>7437</v>
      </c>
      <c r="AN31" s="450"/>
      <c r="AO31" s="450" t="str">
        <f t="shared" si="2"/>
        <v/>
      </c>
      <c r="AP31" s="450" t="str">
        <f>IF(AD18&lt;=AC18, (CONCATENATE(AG18,AH18,AI18,AK18,AL18,AM18)),"")</f>
        <v/>
      </c>
      <c r="AQ31" s="450"/>
      <c r="AR31" s="450"/>
      <c r="AS31" s="450"/>
      <c r="AT31" s="1454"/>
      <c r="AU31" s="376" t="str">
        <f t="shared" si="5"/>
        <v/>
      </c>
      <c r="AV31" s="376" t="str">
        <f t="shared" si="4"/>
        <v/>
      </c>
      <c r="AW31" s="376" t="str">
        <v/>
      </c>
      <c r="AX31" s="376" t="str">
        <v/>
      </c>
    </row>
    <row r="32" spans="2:64">
      <c r="B32" s="1615"/>
      <c r="C32" s="1627" t="str">
        <f>IF(D10="No", AO22, IF(D10="Yes", AP22, ""))</f>
        <v/>
      </c>
      <c r="D32" s="1627"/>
      <c r="E32" s="1628"/>
      <c r="F32" s="1627"/>
      <c r="G32" s="1627"/>
      <c r="H32" s="1627"/>
      <c r="I32" s="1627"/>
      <c r="J32" s="1627"/>
      <c r="K32" s="1627"/>
      <c r="L32" s="1629"/>
      <c r="M32" s="770" t="str">
        <f>IF(D32="", "", IF(G11&lt;&gt;"Yes", 1, IF(D32="Existing Building", 1, MAX(AS6, AS7)+1)))</f>
        <v/>
      </c>
      <c r="N32" s="1630"/>
      <c r="O32" s="1629" t="str">
        <f t="shared" si="6"/>
        <v/>
      </c>
      <c r="P32" s="1630"/>
      <c r="Q32" s="1629" t="str">
        <f t="shared" si="3"/>
        <v/>
      </c>
      <c r="R32" s="686"/>
      <c r="S32" s="84"/>
      <c r="T32" s="84"/>
      <c r="U32" s="84"/>
      <c r="V32" s="84"/>
      <c r="W32" s="450"/>
      <c r="X32" s="450"/>
      <c r="Y32" s="450"/>
      <c r="Z32" s="450"/>
      <c r="AA32" s="450"/>
      <c r="AC32" s="450">
        <f>D9</f>
        <v>0</v>
      </c>
      <c r="AD32" s="115">
        <v>27</v>
      </c>
      <c r="AE32" s="115">
        <v>14</v>
      </c>
      <c r="AF32" s="115">
        <f>D7</f>
        <v>0</v>
      </c>
      <c r="AG32" s="115" t="s">
        <v>472</v>
      </c>
      <c r="AH32" s="115" t="str">
        <f t="shared" si="0"/>
        <v>0</v>
      </c>
      <c r="AI32" s="115" t="s">
        <v>7403</v>
      </c>
      <c r="AJ32" s="115" t="str">
        <f>D8</f>
        <v/>
      </c>
      <c r="AK32" s="115" t="str">
        <f t="shared" si="1"/>
        <v/>
      </c>
      <c r="AL32" s="115" t="s">
        <v>7403</v>
      </c>
      <c r="AM32" s="1450" t="s">
        <v>7438</v>
      </c>
      <c r="AN32" s="450"/>
      <c r="AO32" s="450" t="str">
        <f t="shared" si="2"/>
        <v/>
      </c>
      <c r="AP32" s="450" t="str">
        <f>IF(AD19&lt;=AC19, (CONCATENATE(AG19,AH19,AI19,AK19,AL19,AM19)),"")</f>
        <v/>
      </c>
      <c r="AQ32" s="450"/>
      <c r="AR32" s="450"/>
      <c r="AS32" s="450"/>
      <c r="AT32" s="1454"/>
      <c r="AU32" s="376" t="str">
        <f t="shared" si="5"/>
        <v/>
      </c>
      <c r="AV32" s="376" t="str">
        <f t="shared" si="4"/>
        <v/>
      </c>
      <c r="AW32" s="376" t="str">
        <v/>
      </c>
      <c r="AX32" s="376" t="str">
        <v/>
      </c>
    </row>
    <row r="33" spans="2:50">
      <c r="B33" s="1615"/>
      <c r="C33" s="1627" t="str">
        <f>IF(D10="No", AO23, IF(D10="Yes", AP23, ""))</f>
        <v/>
      </c>
      <c r="D33" s="1627"/>
      <c r="E33" s="1628"/>
      <c r="F33" s="1627"/>
      <c r="G33" s="1627"/>
      <c r="H33" s="1627"/>
      <c r="I33" s="1627"/>
      <c r="J33" s="1627"/>
      <c r="K33" s="1627"/>
      <c r="L33" s="1629"/>
      <c r="M33" s="770" t="str">
        <f>IF(D33="", "", IF(G11&lt;&gt;"Yes", 1, IF(D33="Existing Building", 1, MAX(AS6, AS7)+1)))</f>
        <v/>
      </c>
      <c r="N33" s="1630"/>
      <c r="O33" s="1629" t="str">
        <f t="shared" si="6"/>
        <v/>
      </c>
      <c r="P33" s="1630"/>
      <c r="Q33" s="1629" t="str">
        <f t="shared" si="3"/>
        <v/>
      </c>
      <c r="R33" s="686"/>
      <c r="S33" s="84"/>
      <c r="T33" s="84"/>
      <c r="U33" s="84"/>
      <c r="V33" s="84"/>
      <c r="W33" s="450"/>
      <c r="X33" s="450"/>
      <c r="Y33" s="450"/>
      <c r="Z33" s="450"/>
      <c r="AA33" s="450"/>
      <c r="AC33" s="450">
        <f>D9</f>
        <v>0</v>
      </c>
      <c r="AD33" s="115">
        <v>28</v>
      </c>
      <c r="AE33" s="115">
        <v>14</v>
      </c>
      <c r="AF33" s="115">
        <f>D7</f>
        <v>0</v>
      </c>
      <c r="AG33" s="115" t="s">
        <v>472</v>
      </c>
      <c r="AH33" s="115" t="str">
        <f t="shared" si="0"/>
        <v>0</v>
      </c>
      <c r="AI33" s="115" t="s">
        <v>7403</v>
      </c>
      <c r="AJ33" s="115" t="str">
        <f>D8</f>
        <v/>
      </c>
      <c r="AK33" s="115" t="str">
        <f t="shared" si="1"/>
        <v/>
      </c>
      <c r="AL33" s="115" t="s">
        <v>7403</v>
      </c>
      <c r="AM33" s="1450" t="s">
        <v>7439</v>
      </c>
      <c r="AN33" s="450"/>
      <c r="AO33" s="450" t="str">
        <f t="shared" si="2"/>
        <v/>
      </c>
      <c r="AP33" s="450" t="str">
        <f>IF(AD19&lt;=AC19, (CONCATENATE(AG19,AH19,AI19,AK19,AL19,AM19)),"")</f>
        <v/>
      </c>
      <c r="AQ33" s="450"/>
      <c r="AR33" s="450"/>
      <c r="AS33" s="450"/>
      <c r="AT33" s="1454"/>
      <c r="AU33" s="376" t="str">
        <f t="shared" si="5"/>
        <v/>
      </c>
      <c r="AV33" s="376" t="str">
        <f t="shared" si="4"/>
        <v/>
      </c>
      <c r="AW33" s="376" t="str">
        <v/>
      </c>
      <c r="AX33" s="376" t="str">
        <v/>
      </c>
    </row>
    <row r="34" spans="2:50">
      <c r="B34" s="1615"/>
      <c r="C34" s="1627" t="str">
        <f>IF(D10="No", AO24, IF(D10="Yes", AP24, ""))</f>
        <v/>
      </c>
      <c r="D34" s="1627"/>
      <c r="E34" s="1628"/>
      <c r="F34" s="1627"/>
      <c r="G34" s="1627"/>
      <c r="H34" s="1627"/>
      <c r="I34" s="1627"/>
      <c r="J34" s="1627"/>
      <c r="K34" s="1627"/>
      <c r="L34" s="1629"/>
      <c r="M34" s="770" t="str">
        <f>IF(D34="", "", IF(G11&lt;&gt;"Yes", 1, IF(D34="Existing Building", 1, MAX(AS6, AS7)+1)))</f>
        <v/>
      </c>
      <c r="N34" s="1630"/>
      <c r="O34" s="1629" t="str">
        <f t="shared" si="6"/>
        <v/>
      </c>
      <c r="P34" s="1630"/>
      <c r="Q34" s="1629" t="str">
        <f t="shared" si="3"/>
        <v/>
      </c>
      <c r="R34" s="686"/>
      <c r="S34" s="84"/>
      <c r="T34" s="84"/>
      <c r="U34" s="84"/>
      <c r="V34" s="84"/>
      <c r="W34" s="450"/>
      <c r="X34" s="450"/>
      <c r="Y34" s="450"/>
      <c r="Z34" s="450"/>
      <c r="AA34" s="450"/>
      <c r="AC34" s="450">
        <f>D9</f>
        <v>0</v>
      </c>
      <c r="AD34" s="115">
        <v>29</v>
      </c>
      <c r="AE34" s="115">
        <v>15</v>
      </c>
      <c r="AF34" s="115">
        <f>D7</f>
        <v>0</v>
      </c>
      <c r="AG34" s="115" t="s">
        <v>472</v>
      </c>
      <c r="AH34" s="115" t="str">
        <f t="shared" si="0"/>
        <v>0</v>
      </c>
      <c r="AI34" s="115" t="s">
        <v>7403</v>
      </c>
      <c r="AJ34" s="115" t="str">
        <f>D8</f>
        <v/>
      </c>
      <c r="AK34" s="115" t="str">
        <f t="shared" si="1"/>
        <v/>
      </c>
      <c r="AL34" s="115" t="s">
        <v>7403</v>
      </c>
      <c r="AM34" s="1450" t="s">
        <v>7280</v>
      </c>
      <c r="AN34" s="450"/>
      <c r="AO34" s="450" t="str">
        <f t="shared" si="2"/>
        <v/>
      </c>
      <c r="AP34" s="450" t="str">
        <f>IF(AD20&lt;=AC20, (CONCATENATE(AG20,AH20,AI20,AK20,AL20,AM20)),"")</f>
        <v/>
      </c>
      <c r="AQ34" s="450"/>
      <c r="AR34" s="450"/>
      <c r="AS34" s="450"/>
      <c r="AT34" s="1454"/>
      <c r="AU34" s="376" t="str">
        <f t="shared" si="5"/>
        <v/>
      </c>
      <c r="AV34" s="376" t="str">
        <f t="shared" si="4"/>
        <v/>
      </c>
      <c r="AW34" s="376" t="str">
        <v/>
      </c>
      <c r="AX34" s="376" t="str">
        <v/>
      </c>
    </row>
    <row r="35" spans="2:50">
      <c r="B35" s="1615"/>
      <c r="C35" s="1627" t="str">
        <f>IF(D10="No", AO25, IF(D10="Yes", AP25, ""))</f>
        <v/>
      </c>
      <c r="D35" s="1627"/>
      <c r="E35" s="1628"/>
      <c r="F35" s="1627"/>
      <c r="G35" s="1627"/>
      <c r="H35" s="1627"/>
      <c r="I35" s="1627"/>
      <c r="J35" s="1627"/>
      <c r="K35" s="1627"/>
      <c r="L35" s="1629"/>
      <c r="M35" s="770" t="str">
        <f>IF(D35="", "", IF(G11&lt;&gt;"Yes", 1, IF(D35="Existing Building", 1, MAX(AS6, AS7)+1)))</f>
        <v/>
      </c>
      <c r="N35" s="1630"/>
      <c r="O35" s="1629" t="str">
        <f t="shared" si="6"/>
        <v/>
      </c>
      <c r="P35" s="1630"/>
      <c r="Q35" s="1629" t="str">
        <f t="shared" si="3"/>
        <v/>
      </c>
      <c r="R35" s="686"/>
      <c r="S35" s="84"/>
      <c r="T35" s="84"/>
      <c r="U35" s="84"/>
      <c r="V35" s="84"/>
      <c r="W35" s="450"/>
      <c r="X35" s="450"/>
      <c r="Y35" s="450"/>
      <c r="Z35" s="450"/>
      <c r="AA35" s="450"/>
      <c r="AC35" s="450">
        <f>D9</f>
        <v>0</v>
      </c>
      <c r="AD35" s="115">
        <v>30</v>
      </c>
      <c r="AE35" s="115">
        <v>15</v>
      </c>
      <c r="AF35" s="115">
        <f>D7</f>
        <v>0</v>
      </c>
      <c r="AG35" s="115" t="s">
        <v>472</v>
      </c>
      <c r="AH35" s="115" t="str">
        <f t="shared" si="0"/>
        <v>0</v>
      </c>
      <c r="AI35" s="115" t="s">
        <v>7403</v>
      </c>
      <c r="AJ35" s="115" t="str">
        <f>D8</f>
        <v/>
      </c>
      <c r="AK35" s="115" t="str">
        <f t="shared" si="1"/>
        <v/>
      </c>
      <c r="AL35" s="115" t="s">
        <v>7403</v>
      </c>
      <c r="AM35" s="1450" t="s">
        <v>7295</v>
      </c>
      <c r="AN35" s="450"/>
      <c r="AO35" s="450" t="str">
        <f t="shared" si="2"/>
        <v/>
      </c>
      <c r="AP35" s="450" t="str">
        <f>IF(AD20&lt;=AC20, (CONCATENATE(AG20,AH20,AI20,AK20,AL20,AM20)),"")</f>
        <v/>
      </c>
      <c r="AQ35" s="450"/>
      <c r="AR35" s="450"/>
      <c r="AS35" s="450"/>
      <c r="AT35" s="1454"/>
      <c r="AU35" s="376" t="str">
        <f t="shared" si="5"/>
        <v/>
      </c>
      <c r="AV35" s="376" t="str">
        <f t="shared" si="4"/>
        <v/>
      </c>
      <c r="AW35" s="376" t="str">
        <v/>
      </c>
      <c r="AX35" s="376" t="str">
        <v/>
      </c>
    </row>
    <row r="36" spans="2:50">
      <c r="B36" s="1615"/>
      <c r="C36" s="1627" t="str">
        <f>IF(D10="No", AO26, IF(D10="Yes", AP26, ""))</f>
        <v/>
      </c>
      <c r="D36" s="1627"/>
      <c r="E36" s="1628"/>
      <c r="F36" s="1627"/>
      <c r="G36" s="1627"/>
      <c r="H36" s="1627"/>
      <c r="I36" s="1627"/>
      <c r="J36" s="1627"/>
      <c r="K36" s="1627"/>
      <c r="L36" s="1629"/>
      <c r="M36" s="770" t="str">
        <f>IF(D36="", "", IF(G11&lt;&gt;"Yes", 1, IF(D36="Existing Building", 1, MAX(AS6, AS7)+1)))</f>
        <v/>
      </c>
      <c r="N36" s="1630"/>
      <c r="O36" s="1629" t="str">
        <f t="shared" si="6"/>
        <v/>
      </c>
      <c r="P36" s="1630"/>
      <c r="Q36" s="1629" t="str">
        <f t="shared" si="3"/>
        <v/>
      </c>
      <c r="R36" s="686"/>
      <c r="S36" s="84"/>
      <c r="T36" s="84"/>
      <c r="U36" s="84"/>
      <c r="V36" s="84"/>
      <c r="W36" s="450"/>
      <c r="X36" s="450"/>
      <c r="Y36" s="450"/>
      <c r="Z36" s="450"/>
      <c r="AA36" s="450"/>
      <c r="AC36" s="450">
        <f>D9</f>
        <v>0</v>
      </c>
      <c r="AD36" s="115">
        <v>31</v>
      </c>
      <c r="AE36" s="115">
        <v>16</v>
      </c>
      <c r="AF36" s="115">
        <f>D7</f>
        <v>0</v>
      </c>
      <c r="AG36" s="115" t="s">
        <v>472</v>
      </c>
      <c r="AH36" s="115" t="str">
        <f t="shared" si="0"/>
        <v>0</v>
      </c>
      <c r="AI36" s="115" t="s">
        <v>7403</v>
      </c>
      <c r="AJ36" s="115" t="str">
        <f>D8</f>
        <v/>
      </c>
      <c r="AK36" s="115" t="str">
        <f t="shared" si="1"/>
        <v/>
      </c>
      <c r="AL36" s="115" t="s">
        <v>7403</v>
      </c>
      <c r="AM36" s="1450" t="s">
        <v>7440</v>
      </c>
      <c r="AN36" s="450"/>
      <c r="AO36" s="450" t="str">
        <f t="shared" si="2"/>
        <v/>
      </c>
      <c r="AP36" s="450" t="str">
        <f>IF(AD21&lt;=AC21, (CONCATENATE(AG21,AH21,AI21,AK21,AL21,AM21)),"")</f>
        <v/>
      </c>
      <c r="AQ36" s="450"/>
      <c r="AR36" s="450"/>
      <c r="AS36" s="450"/>
      <c r="AT36" s="1454"/>
      <c r="AU36" s="376" t="str">
        <f t="shared" si="5"/>
        <v/>
      </c>
      <c r="AV36" s="376" t="str">
        <f t="shared" si="4"/>
        <v/>
      </c>
      <c r="AW36" s="376" t="str">
        <v/>
      </c>
      <c r="AX36" s="376" t="str">
        <v/>
      </c>
    </row>
    <row r="37" spans="2:50">
      <c r="B37" s="1615"/>
      <c r="C37" s="1627" t="str">
        <f>IF(D10="No", AO27, IF(D10="Yes", AP27, ""))</f>
        <v/>
      </c>
      <c r="D37" s="1627"/>
      <c r="E37" s="1628"/>
      <c r="F37" s="1627"/>
      <c r="G37" s="1627"/>
      <c r="H37" s="1627"/>
      <c r="I37" s="1627"/>
      <c r="J37" s="1627"/>
      <c r="K37" s="1627"/>
      <c r="L37" s="1629"/>
      <c r="M37" s="770" t="str">
        <f>IF(D37="", "", IF(G11&lt;&gt;"Yes", 1, IF(D37="Existing Building", 1, MAX(AS6, AS7)+1)))</f>
        <v/>
      </c>
      <c r="N37" s="1630"/>
      <c r="O37" s="1629" t="str">
        <f t="shared" si="6"/>
        <v/>
      </c>
      <c r="P37" s="1630"/>
      <c r="Q37" s="1629" t="str">
        <f t="shared" si="3"/>
        <v/>
      </c>
      <c r="R37" s="686"/>
      <c r="S37" s="84"/>
      <c r="T37" s="84"/>
      <c r="U37" s="84"/>
      <c r="V37" s="84"/>
      <c r="W37" s="450"/>
      <c r="X37" s="450"/>
      <c r="Y37" s="450"/>
      <c r="Z37" s="450"/>
      <c r="AA37" s="450"/>
      <c r="AC37" s="450">
        <f>D9</f>
        <v>0</v>
      </c>
      <c r="AD37" s="115">
        <v>32</v>
      </c>
      <c r="AE37" s="115">
        <v>16</v>
      </c>
      <c r="AF37" s="115">
        <f>D7</f>
        <v>0</v>
      </c>
      <c r="AG37" s="115" t="s">
        <v>472</v>
      </c>
      <c r="AH37" s="115" t="str">
        <f t="shared" si="0"/>
        <v>0</v>
      </c>
      <c r="AI37" s="115" t="s">
        <v>7403</v>
      </c>
      <c r="AJ37" s="115" t="str">
        <f>D8</f>
        <v/>
      </c>
      <c r="AK37" s="115" t="str">
        <f t="shared" si="1"/>
        <v/>
      </c>
      <c r="AL37" s="115" t="s">
        <v>7403</v>
      </c>
      <c r="AM37" s="1450" t="s">
        <v>7441</v>
      </c>
      <c r="AN37" s="450"/>
      <c r="AO37" s="450" t="str">
        <f t="shared" si="2"/>
        <v/>
      </c>
      <c r="AP37" s="450" t="str">
        <f>IF(AD21&lt;=AC21, (CONCATENATE(AG21,AH21,AI21,AK21,AL21,AM21)),"")</f>
        <v/>
      </c>
      <c r="AQ37" s="450"/>
      <c r="AR37" s="450"/>
      <c r="AS37" s="450"/>
      <c r="AT37" s="1454"/>
      <c r="AU37" s="376" t="str">
        <f t="shared" si="5"/>
        <v/>
      </c>
      <c r="AV37" s="376" t="str">
        <f t="shared" si="4"/>
        <v/>
      </c>
      <c r="AW37" s="376" t="str">
        <v/>
      </c>
      <c r="AX37" s="376" t="str">
        <v/>
      </c>
    </row>
    <row r="38" spans="2:50">
      <c r="B38" s="1615"/>
      <c r="C38" s="1627" t="str">
        <f>IF(D10="No", AO28, IF(D10="Yes", AP28, ""))</f>
        <v/>
      </c>
      <c r="D38" s="1627"/>
      <c r="E38" s="1628"/>
      <c r="F38" s="1627"/>
      <c r="G38" s="1627"/>
      <c r="H38" s="1627"/>
      <c r="I38" s="1627"/>
      <c r="J38" s="1627"/>
      <c r="K38" s="1627"/>
      <c r="L38" s="1629"/>
      <c r="M38" s="770" t="str">
        <f>IF(D38="", "", IF(G11&lt;&gt;"Yes", 1, IF(D38="Existing Building", 1, MAX(AS6, AS7)+1)))</f>
        <v/>
      </c>
      <c r="N38" s="1630"/>
      <c r="O38" s="1629" t="str">
        <f t="shared" si="6"/>
        <v/>
      </c>
      <c r="P38" s="1630"/>
      <c r="Q38" s="1629" t="str">
        <f t="shared" si="3"/>
        <v/>
      </c>
      <c r="R38" s="686"/>
      <c r="S38" s="84"/>
      <c r="T38" s="84"/>
      <c r="U38" s="84"/>
      <c r="V38" s="84"/>
      <c r="W38" s="450"/>
      <c r="X38" s="450"/>
      <c r="Y38" s="450"/>
      <c r="Z38" s="450"/>
      <c r="AA38" s="450"/>
      <c r="AC38" s="450">
        <f>D9</f>
        <v>0</v>
      </c>
      <c r="AD38" s="115">
        <v>33</v>
      </c>
      <c r="AE38" s="115">
        <v>17</v>
      </c>
      <c r="AF38" s="115">
        <f>D7</f>
        <v>0</v>
      </c>
      <c r="AG38" s="115" t="s">
        <v>472</v>
      </c>
      <c r="AH38" s="115" t="str">
        <f t="shared" ref="AH38:AH69" si="7">RIGHT(AF38,2)</f>
        <v>0</v>
      </c>
      <c r="AI38" s="115" t="s">
        <v>7403</v>
      </c>
      <c r="AJ38" s="115" t="str">
        <f>D8</f>
        <v/>
      </c>
      <c r="AK38" s="115" t="str">
        <f t="shared" ref="AK38:AK69" si="8">RIGHT(AJ38,3)</f>
        <v/>
      </c>
      <c r="AL38" s="115" t="s">
        <v>7403</v>
      </c>
      <c r="AM38" s="1450" t="s">
        <v>7442</v>
      </c>
      <c r="AN38" s="450"/>
      <c r="AO38" s="450" t="str">
        <f t="shared" ref="AO38:AO69" si="9">IF(AD38&lt;=AC38, (CONCATENATE(AG38,AH38,AI38,AK38,AL38,AM38)),"")</f>
        <v/>
      </c>
      <c r="AP38" s="450" t="str">
        <f>IF(AD22&lt;=AC22, (CONCATENATE(AG22,AH22,AI22,AK22,AL22,AM22)),"")</f>
        <v/>
      </c>
      <c r="AQ38" s="450"/>
      <c r="AR38" s="450"/>
      <c r="AS38" s="450"/>
      <c r="AT38" s="1454"/>
      <c r="AU38" s="376" t="str">
        <f t="shared" si="5"/>
        <v/>
      </c>
      <c r="AV38" s="376" t="str">
        <f t="shared" si="4"/>
        <v/>
      </c>
      <c r="AW38" s="376" t="str">
        <v/>
      </c>
      <c r="AX38" s="376" t="str">
        <v/>
      </c>
    </row>
    <row r="39" spans="2:50">
      <c r="B39" s="1615"/>
      <c r="C39" s="1627" t="str">
        <f>IF(D10="No", AO29, IF(D10="Yes", AP29, ""))</f>
        <v/>
      </c>
      <c r="D39" s="1627"/>
      <c r="E39" s="1628"/>
      <c r="F39" s="1627"/>
      <c r="G39" s="1627"/>
      <c r="H39" s="1627"/>
      <c r="I39" s="1627"/>
      <c r="J39" s="1627"/>
      <c r="K39" s="1627"/>
      <c r="L39" s="1629"/>
      <c r="M39" s="770" t="str">
        <f>IF(D39="", "", IF(G11&lt;&gt;"Yes", 1, IF(D39="Existing Building", 1, MAX(AS6, AS7)+1)))</f>
        <v/>
      </c>
      <c r="N39" s="1630"/>
      <c r="O39" s="1629" t="str">
        <f t="shared" si="6"/>
        <v/>
      </c>
      <c r="P39" s="1630"/>
      <c r="Q39" s="1629" t="str">
        <f t="shared" si="3"/>
        <v/>
      </c>
      <c r="R39" s="686"/>
      <c r="S39" s="84"/>
      <c r="T39" s="84"/>
      <c r="U39" s="84"/>
      <c r="V39" s="84"/>
      <c r="W39" s="450"/>
      <c r="X39" s="450"/>
      <c r="Y39" s="450"/>
      <c r="Z39" s="450"/>
      <c r="AA39" s="450"/>
      <c r="AC39" s="450">
        <f>D9</f>
        <v>0</v>
      </c>
      <c r="AD39" s="115">
        <v>34</v>
      </c>
      <c r="AE39" s="115">
        <v>17</v>
      </c>
      <c r="AF39" s="115">
        <f>D7</f>
        <v>0</v>
      </c>
      <c r="AG39" s="115" t="s">
        <v>472</v>
      </c>
      <c r="AH39" s="115" t="str">
        <f t="shared" si="7"/>
        <v>0</v>
      </c>
      <c r="AI39" s="115" t="s">
        <v>7403</v>
      </c>
      <c r="AJ39" s="115" t="str">
        <f>D8</f>
        <v/>
      </c>
      <c r="AK39" s="115" t="str">
        <f t="shared" si="8"/>
        <v/>
      </c>
      <c r="AL39" s="115" t="s">
        <v>7403</v>
      </c>
      <c r="AM39" s="1450" t="s">
        <v>7443</v>
      </c>
      <c r="AN39" s="450"/>
      <c r="AO39" s="450" t="str">
        <f t="shared" si="9"/>
        <v/>
      </c>
      <c r="AP39" s="450" t="str">
        <f>IF(AD22&lt;=AC22, (CONCATENATE(AG22,AH22,AI22,AK22,AL22,AM22)),"")</f>
        <v/>
      </c>
      <c r="AQ39" s="450"/>
      <c r="AR39" s="450"/>
      <c r="AS39" s="450"/>
      <c r="AT39" s="1454"/>
      <c r="AU39" s="376" t="str">
        <f t="shared" si="5"/>
        <v/>
      </c>
      <c r="AV39" s="376" t="str">
        <f t="shared" si="4"/>
        <v/>
      </c>
      <c r="AW39" s="376" t="str">
        <v/>
      </c>
      <c r="AX39" s="376" t="str">
        <v/>
      </c>
    </row>
    <row r="40" spans="2:50">
      <c r="B40" s="1615"/>
      <c r="C40" s="1627" t="str">
        <f>IF(D10="No", AO30, IF(D10="Yes", AP30, ""))</f>
        <v/>
      </c>
      <c r="D40" s="1627"/>
      <c r="E40" s="1628"/>
      <c r="F40" s="1627"/>
      <c r="G40" s="1627"/>
      <c r="H40" s="1627"/>
      <c r="I40" s="1627"/>
      <c r="J40" s="1627"/>
      <c r="K40" s="1627"/>
      <c r="L40" s="1629"/>
      <c r="M40" s="770" t="str">
        <f>IF(D40="", "", IF(G11&lt;&gt;"Yes", 1, IF(D40="Existing Building", 1, MAX(AS6, AS7)+1)))</f>
        <v/>
      </c>
      <c r="N40" s="1630"/>
      <c r="O40" s="1629" t="str">
        <f t="shared" si="6"/>
        <v/>
      </c>
      <c r="P40" s="1630"/>
      <c r="Q40" s="1629" t="str">
        <f t="shared" si="3"/>
        <v/>
      </c>
      <c r="R40" s="686"/>
      <c r="S40" s="84"/>
      <c r="T40" s="84"/>
      <c r="U40" s="84"/>
      <c r="V40" s="84"/>
      <c r="W40" s="450"/>
      <c r="X40" s="450"/>
      <c r="Y40" s="450"/>
      <c r="Z40" s="450"/>
      <c r="AA40" s="450"/>
      <c r="AC40" s="450">
        <f>D9</f>
        <v>0</v>
      </c>
      <c r="AD40" s="115">
        <v>35</v>
      </c>
      <c r="AE40" s="115">
        <v>18</v>
      </c>
      <c r="AF40" s="115">
        <f>D7</f>
        <v>0</v>
      </c>
      <c r="AG40" s="115" t="s">
        <v>472</v>
      </c>
      <c r="AH40" s="115" t="str">
        <f t="shared" si="7"/>
        <v>0</v>
      </c>
      <c r="AI40" s="115" t="s">
        <v>7403</v>
      </c>
      <c r="AJ40" s="115" t="str">
        <f>D8</f>
        <v/>
      </c>
      <c r="AK40" s="115" t="str">
        <f t="shared" si="8"/>
        <v/>
      </c>
      <c r="AL40" s="115" t="s">
        <v>7403</v>
      </c>
      <c r="AM40" s="1450" t="s">
        <v>7444</v>
      </c>
      <c r="AN40" s="450"/>
      <c r="AO40" s="450" t="str">
        <f t="shared" si="9"/>
        <v/>
      </c>
      <c r="AP40" s="450" t="str">
        <f>IF(AD23&lt;=AC23, (CONCATENATE(AG23,AH23,AI23,AK23,AL23,AM23)),"")</f>
        <v/>
      </c>
      <c r="AQ40" s="450"/>
      <c r="AR40" s="450"/>
      <c r="AS40" s="450"/>
      <c r="AT40" s="1454"/>
      <c r="AU40" s="376" t="str">
        <f t="shared" si="5"/>
        <v/>
      </c>
      <c r="AV40" s="376" t="str">
        <f t="shared" si="4"/>
        <v/>
      </c>
      <c r="AW40" s="376" t="str">
        <v/>
      </c>
      <c r="AX40" s="376" t="str">
        <v/>
      </c>
    </row>
    <row r="41" spans="2:50">
      <c r="B41" s="1615"/>
      <c r="C41" s="1627" t="str">
        <f>IF(D10="No", AO31, IF(D10="Yes", AP31, ""))</f>
        <v/>
      </c>
      <c r="D41" s="1627"/>
      <c r="E41" s="1628"/>
      <c r="F41" s="1627"/>
      <c r="G41" s="1627"/>
      <c r="H41" s="1627"/>
      <c r="I41" s="1627"/>
      <c r="J41" s="1627"/>
      <c r="K41" s="1627"/>
      <c r="L41" s="1629"/>
      <c r="M41" s="770" t="str">
        <f>IF(D41="", "", IF(G11&lt;&gt;"Yes", 1, IF(D41="Existing Building", 1, MAX(AS6, AS7)+1)))</f>
        <v/>
      </c>
      <c r="N41" s="1630"/>
      <c r="O41" s="1629" t="str">
        <f t="shared" si="6"/>
        <v/>
      </c>
      <c r="P41" s="1630"/>
      <c r="Q41" s="1629" t="str">
        <f t="shared" si="3"/>
        <v/>
      </c>
      <c r="R41" s="686"/>
      <c r="S41" s="84"/>
      <c r="T41" s="84"/>
      <c r="U41" s="84"/>
      <c r="V41" s="84"/>
      <c r="W41" s="450"/>
      <c r="X41" s="450"/>
      <c r="Y41" s="450"/>
      <c r="Z41" s="450"/>
      <c r="AA41" s="450"/>
      <c r="AC41" s="450">
        <f>D9</f>
        <v>0</v>
      </c>
      <c r="AD41" s="115">
        <v>36</v>
      </c>
      <c r="AE41" s="115">
        <v>18</v>
      </c>
      <c r="AF41" s="115">
        <f>D7</f>
        <v>0</v>
      </c>
      <c r="AG41" s="115" t="s">
        <v>472</v>
      </c>
      <c r="AH41" s="115" t="str">
        <f t="shared" si="7"/>
        <v>0</v>
      </c>
      <c r="AI41" s="115" t="s">
        <v>7403</v>
      </c>
      <c r="AJ41" s="115" t="str">
        <f>D8</f>
        <v/>
      </c>
      <c r="AK41" s="115" t="str">
        <f t="shared" si="8"/>
        <v/>
      </c>
      <c r="AL41" s="115" t="s">
        <v>7403</v>
      </c>
      <c r="AM41" s="1450" t="s">
        <v>7445</v>
      </c>
      <c r="AN41" s="450"/>
      <c r="AO41" s="450" t="str">
        <f t="shared" si="9"/>
        <v/>
      </c>
      <c r="AP41" s="450" t="str">
        <f>IF(AD23&lt;=AC23, (CONCATENATE(AG23,AH23,AI23,AK23,AL23,AM23)),"")</f>
        <v/>
      </c>
      <c r="AQ41" s="450"/>
      <c r="AR41" s="450"/>
      <c r="AS41" s="450"/>
      <c r="AT41" s="1454"/>
      <c r="AU41" s="376" t="str">
        <f t="shared" si="5"/>
        <v/>
      </c>
      <c r="AV41" s="376" t="str">
        <f t="shared" si="4"/>
        <v/>
      </c>
      <c r="AW41" s="376" t="str">
        <v/>
      </c>
      <c r="AX41" s="376" t="str">
        <v/>
      </c>
    </row>
    <row r="42" spans="2:50">
      <c r="B42" s="1615"/>
      <c r="C42" s="1627" t="str">
        <f>IF(D10="No", AO32, IF(D10="Yes", AP32, ""))</f>
        <v/>
      </c>
      <c r="D42" s="1627"/>
      <c r="E42" s="1628"/>
      <c r="F42" s="1627"/>
      <c r="G42" s="1627"/>
      <c r="H42" s="1627"/>
      <c r="I42" s="1627"/>
      <c r="J42" s="1627"/>
      <c r="K42" s="1627"/>
      <c r="L42" s="1629"/>
      <c r="M42" s="770" t="str">
        <f>IF(D42="", "", IF(G11&lt;&gt;"Yes", 1, IF(D42="Existing Building", 1, MAX(AS6, AS7)+1)))</f>
        <v/>
      </c>
      <c r="N42" s="1630"/>
      <c r="O42" s="1629" t="str">
        <f t="shared" si="6"/>
        <v/>
      </c>
      <c r="P42" s="1630"/>
      <c r="Q42" s="1629" t="str">
        <f t="shared" si="3"/>
        <v/>
      </c>
      <c r="R42" s="686"/>
      <c r="S42" s="84"/>
      <c r="T42" s="84"/>
      <c r="U42" s="84"/>
      <c r="V42" s="84"/>
      <c r="W42" s="450"/>
      <c r="X42" s="450"/>
      <c r="Y42" s="450"/>
      <c r="Z42" s="450"/>
      <c r="AA42" s="450"/>
      <c r="AC42" s="450">
        <f>D9</f>
        <v>0</v>
      </c>
      <c r="AD42" s="115">
        <v>37</v>
      </c>
      <c r="AE42" s="115">
        <v>19</v>
      </c>
      <c r="AF42" s="115">
        <f>D7</f>
        <v>0</v>
      </c>
      <c r="AG42" s="115" t="s">
        <v>472</v>
      </c>
      <c r="AH42" s="115" t="str">
        <f t="shared" si="7"/>
        <v>0</v>
      </c>
      <c r="AI42" s="115" t="s">
        <v>7403</v>
      </c>
      <c r="AJ42" s="115" t="str">
        <f>D8</f>
        <v/>
      </c>
      <c r="AK42" s="115" t="str">
        <f t="shared" si="8"/>
        <v/>
      </c>
      <c r="AL42" s="115" t="s">
        <v>7403</v>
      </c>
      <c r="AM42" s="1450" t="s">
        <v>7446</v>
      </c>
      <c r="AN42" s="450"/>
      <c r="AO42" s="450" t="str">
        <f t="shared" si="9"/>
        <v/>
      </c>
      <c r="AP42" s="450" t="str">
        <f>IF(AD24&lt;=AC24, (CONCATENATE(AG24,AH24,AI24,AK24,AL24,AM24)),"")</f>
        <v/>
      </c>
      <c r="AQ42" s="450"/>
      <c r="AR42" s="450"/>
      <c r="AS42" s="450"/>
      <c r="AT42" s="1454"/>
      <c r="AU42" s="376" t="str">
        <f t="shared" si="5"/>
        <v/>
      </c>
      <c r="AV42" s="376" t="str">
        <f t="shared" si="4"/>
        <v/>
      </c>
      <c r="AW42" s="376" t="str">
        <v/>
      </c>
      <c r="AX42" s="376" t="str">
        <v/>
      </c>
    </row>
    <row r="43" spans="2:50">
      <c r="B43" s="1615"/>
      <c r="C43" s="1627" t="str">
        <f>IF(D10="No", AO33, IF(D10="Yes", AP33, ""))</f>
        <v/>
      </c>
      <c r="D43" s="1627"/>
      <c r="E43" s="1628"/>
      <c r="F43" s="1627"/>
      <c r="G43" s="1627"/>
      <c r="H43" s="1627"/>
      <c r="I43" s="1627"/>
      <c r="J43" s="1627"/>
      <c r="K43" s="1627"/>
      <c r="L43" s="1629"/>
      <c r="M43" s="770" t="str">
        <f>IF(D43="", "", IF(G11&lt;&gt;"Yes", 1, IF(D43="Existing Building", 1, MAX(AS6, AS7)+1)))</f>
        <v/>
      </c>
      <c r="N43" s="1630"/>
      <c r="O43" s="1629" t="str">
        <f t="shared" si="6"/>
        <v/>
      </c>
      <c r="P43" s="1630"/>
      <c r="Q43" s="1629" t="str">
        <f t="shared" si="3"/>
        <v/>
      </c>
      <c r="R43" s="686"/>
      <c r="S43" s="84"/>
      <c r="T43" s="84"/>
      <c r="U43" s="84"/>
      <c r="V43" s="84"/>
      <c r="W43" s="450"/>
      <c r="X43" s="450"/>
      <c r="Y43" s="450"/>
      <c r="Z43" s="450"/>
      <c r="AA43" s="450"/>
      <c r="AC43" s="450">
        <f>D9</f>
        <v>0</v>
      </c>
      <c r="AD43" s="115">
        <v>38</v>
      </c>
      <c r="AE43" s="115">
        <v>19</v>
      </c>
      <c r="AF43" s="115">
        <f>D7</f>
        <v>0</v>
      </c>
      <c r="AG43" s="115" t="s">
        <v>472</v>
      </c>
      <c r="AH43" s="115" t="str">
        <f t="shared" si="7"/>
        <v>0</v>
      </c>
      <c r="AI43" s="115" t="s">
        <v>7403</v>
      </c>
      <c r="AJ43" s="115" t="str">
        <f>D8</f>
        <v/>
      </c>
      <c r="AK43" s="115" t="str">
        <f t="shared" si="8"/>
        <v/>
      </c>
      <c r="AL43" s="115" t="s">
        <v>7403</v>
      </c>
      <c r="AM43" s="1450" t="s">
        <v>7447</v>
      </c>
      <c r="AN43" s="450"/>
      <c r="AO43" s="450" t="str">
        <f t="shared" si="9"/>
        <v/>
      </c>
      <c r="AP43" s="450" t="str">
        <f>IF(AD24&lt;=AC24, (CONCATENATE(AG24,AH24,AI24,AK24,AL24,AM24)),"")</f>
        <v/>
      </c>
      <c r="AQ43" s="450"/>
      <c r="AR43" s="450"/>
      <c r="AS43" s="450"/>
      <c r="AT43" s="1454"/>
      <c r="AU43" s="376" t="str">
        <f t="shared" si="5"/>
        <v/>
      </c>
      <c r="AV43" s="376" t="str">
        <f t="shared" si="4"/>
        <v/>
      </c>
      <c r="AW43" s="376" t="str">
        <v/>
      </c>
      <c r="AX43" s="376" t="str">
        <v/>
      </c>
    </row>
    <row r="44" spans="2:50">
      <c r="B44" s="1615"/>
      <c r="C44" s="1627" t="str">
        <f>IF(D10="No", AO34, IF(D10="Yes", AP34, ""))</f>
        <v/>
      </c>
      <c r="D44" s="1627"/>
      <c r="E44" s="1628"/>
      <c r="F44" s="1627"/>
      <c r="G44" s="1627"/>
      <c r="H44" s="1627"/>
      <c r="I44" s="1627"/>
      <c r="J44" s="1627"/>
      <c r="K44" s="1627"/>
      <c r="L44" s="1629"/>
      <c r="M44" s="770" t="str">
        <f>IF(D44="", "", IF(G11&lt;&gt;"Yes", 1, IF(D44="Existing Building", 1, MAX(AS6, AS7)+1)))</f>
        <v/>
      </c>
      <c r="N44" s="1630"/>
      <c r="O44" s="1629" t="str">
        <f t="shared" si="6"/>
        <v/>
      </c>
      <c r="P44" s="1630"/>
      <c r="Q44" s="1629" t="str">
        <f t="shared" si="3"/>
        <v/>
      </c>
      <c r="R44" s="686"/>
      <c r="S44" s="84"/>
      <c r="T44" s="84"/>
      <c r="U44" s="84"/>
      <c r="V44" s="84"/>
      <c r="W44" s="450"/>
      <c r="X44" s="450"/>
      <c r="Y44" s="450"/>
      <c r="Z44" s="450"/>
      <c r="AA44" s="450"/>
      <c r="AC44" s="450">
        <f>D9</f>
        <v>0</v>
      </c>
      <c r="AD44" s="115">
        <v>39</v>
      </c>
      <c r="AE44" s="115">
        <v>20</v>
      </c>
      <c r="AF44" s="115">
        <f>D7</f>
        <v>0</v>
      </c>
      <c r="AG44" s="115" t="s">
        <v>472</v>
      </c>
      <c r="AH44" s="115" t="str">
        <f t="shared" si="7"/>
        <v>0</v>
      </c>
      <c r="AI44" s="115" t="s">
        <v>7403</v>
      </c>
      <c r="AJ44" s="115" t="str">
        <f>D8</f>
        <v/>
      </c>
      <c r="AK44" s="115" t="str">
        <f t="shared" si="8"/>
        <v/>
      </c>
      <c r="AL44" s="115" t="s">
        <v>7403</v>
      </c>
      <c r="AM44" s="1450" t="s">
        <v>7448</v>
      </c>
      <c r="AN44" s="450"/>
      <c r="AO44" s="450" t="str">
        <f t="shared" si="9"/>
        <v/>
      </c>
      <c r="AP44" s="450" t="str">
        <f>IF(AD25&lt;=AC25, (CONCATENATE(AG25,AH25,AI25,AK25,AL25,AM25)),"")</f>
        <v/>
      </c>
      <c r="AQ44" s="450"/>
      <c r="AR44" s="450"/>
      <c r="AS44" s="450"/>
      <c r="AT44" s="1454"/>
      <c r="AU44" s="376" t="str">
        <f t="shared" si="5"/>
        <v/>
      </c>
      <c r="AV44" s="376" t="str">
        <f t="shared" si="4"/>
        <v/>
      </c>
      <c r="AW44" s="376" t="str">
        <v/>
      </c>
      <c r="AX44" s="376" t="str">
        <v/>
      </c>
    </row>
    <row r="45" spans="2:50">
      <c r="B45" s="1615"/>
      <c r="C45" s="1627" t="str">
        <f>IF(D10="No", AO35, IF(D10="Yes", AP35, ""))</f>
        <v/>
      </c>
      <c r="D45" s="1627"/>
      <c r="E45" s="1628"/>
      <c r="F45" s="1627"/>
      <c r="G45" s="1627"/>
      <c r="H45" s="1627"/>
      <c r="I45" s="1627"/>
      <c r="J45" s="1627"/>
      <c r="K45" s="1627"/>
      <c r="L45" s="1629"/>
      <c r="M45" s="770" t="str">
        <f>IF(D45="", "", IF(G11&lt;&gt;"Yes", 1, IF(D45="Existing Building", 1, MAX(AS6, AS7)+1)))</f>
        <v/>
      </c>
      <c r="N45" s="1630"/>
      <c r="O45" s="1629" t="str">
        <f t="shared" si="6"/>
        <v/>
      </c>
      <c r="P45" s="1630"/>
      <c r="Q45" s="1629" t="str">
        <f t="shared" si="3"/>
        <v/>
      </c>
      <c r="R45" s="686"/>
      <c r="S45" s="84"/>
      <c r="T45" s="84"/>
      <c r="U45" s="84"/>
      <c r="V45" s="84"/>
      <c r="W45" s="450"/>
      <c r="X45" s="450"/>
      <c r="Y45" s="450"/>
      <c r="Z45" s="450"/>
      <c r="AA45" s="450"/>
      <c r="AC45" s="450">
        <f>D9</f>
        <v>0</v>
      </c>
      <c r="AD45" s="115">
        <v>40</v>
      </c>
      <c r="AE45" s="115">
        <v>20</v>
      </c>
      <c r="AF45" s="115">
        <f>D7</f>
        <v>0</v>
      </c>
      <c r="AG45" s="115" t="s">
        <v>472</v>
      </c>
      <c r="AH45" s="115" t="str">
        <f t="shared" si="7"/>
        <v>0</v>
      </c>
      <c r="AI45" s="115" t="s">
        <v>7403</v>
      </c>
      <c r="AJ45" s="115" t="str">
        <f>D8</f>
        <v/>
      </c>
      <c r="AK45" s="115" t="str">
        <f t="shared" si="8"/>
        <v/>
      </c>
      <c r="AL45" s="115" t="s">
        <v>7403</v>
      </c>
      <c r="AM45" s="1450" t="s">
        <v>7297</v>
      </c>
      <c r="AN45" s="450"/>
      <c r="AO45" s="450" t="str">
        <f t="shared" si="9"/>
        <v/>
      </c>
      <c r="AP45" s="450" t="str">
        <f>IF(AD25&lt;=AC25, (CONCATENATE(AG25,AH25,AI25,AK25,AL25,AM25)),"")</f>
        <v/>
      </c>
      <c r="AQ45" s="450"/>
      <c r="AR45" s="450"/>
      <c r="AS45" s="450"/>
      <c r="AT45" s="1454"/>
      <c r="AU45" s="376" t="str">
        <f t="shared" si="5"/>
        <v/>
      </c>
      <c r="AV45" s="376" t="str">
        <f t="shared" si="4"/>
        <v/>
      </c>
      <c r="AW45" s="376" t="str">
        <v/>
      </c>
      <c r="AX45" s="376" t="str">
        <v/>
      </c>
    </row>
    <row r="46" spans="2:50">
      <c r="B46" s="1615"/>
      <c r="C46" s="1627" t="str">
        <f>IF(D10="No", AO36, IF(D10="Yes", AP36, ""))</f>
        <v/>
      </c>
      <c r="D46" s="1627"/>
      <c r="E46" s="1628"/>
      <c r="F46" s="1627"/>
      <c r="G46" s="1627"/>
      <c r="H46" s="1627"/>
      <c r="I46" s="1627"/>
      <c r="J46" s="1627"/>
      <c r="K46" s="1627"/>
      <c r="L46" s="1629"/>
      <c r="M46" s="770" t="str">
        <f>IF(D46="", "", IF(G11&lt;&gt;"Yes", 1, IF(D46="Existing Building", 1, MAX(AS6, AS7)+1)))</f>
        <v/>
      </c>
      <c r="N46" s="1630"/>
      <c r="O46" s="1629" t="str">
        <f t="shared" si="6"/>
        <v/>
      </c>
      <c r="P46" s="1630"/>
      <c r="Q46" s="1629" t="str">
        <f t="shared" si="3"/>
        <v/>
      </c>
      <c r="R46" s="686"/>
      <c r="S46" s="84"/>
      <c r="T46" s="84"/>
      <c r="U46" s="84"/>
      <c r="V46" s="84"/>
      <c r="W46" s="450"/>
      <c r="X46" s="450"/>
      <c r="Y46" s="450"/>
      <c r="Z46" s="450"/>
      <c r="AA46" s="450"/>
      <c r="AC46" s="450">
        <f>D9</f>
        <v>0</v>
      </c>
      <c r="AD46" s="115">
        <v>41</v>
      </c>
      <c r="AE46" s="115">
        <v>21</v>
      </c>
      <c r="AF46" s="115">
        <f>D7</f>
        <v>0</v>
      </c>
      <c r="AG46" s="115" t="s">
        <v>472</v>
      </c>
      <c r="AH46" s="115" t="str">
        <f t="shared" si="7"/>
        <v>0</v>
      </c>
      <c r="AI46" s="115" t="s">
        <v>7403</v>
      </c>
      <c r="AJ46" s="115" t="str">
        <f>D8</f>
        <v/>
      </c>
      <c r="AK46" s="115" t="str">
        <f t="shared" si="8"/>
        <v/>
      </c>
      <c r="AL46" s="115" t="s">
        <v>7403</v>
      </c>
      <c r="AM46" s="1450" t="s">
        <v>7449</v>
      </c>
      <c r="AN46" s="450"/>
      <c r="AO46" s="450" t="str">
        <f t="shared" si="9"/>
        <v/>
      </c>
      <c r="AP46" s="450" t="str">
        <f>IF(AD26&lt;=AC26, (CONCATENATE(AG26,AH26,AI26,AK26,AL26,AM26)),"")</f>
        <v/>
      </c>
      <c r="AQ46" s="450"/>
      <c r="AR46" s="450"/>
      <c r="AS46" s="450"/>
      <c r="AT46" s="1454"/>
      <c r="AU46" s="376" t="str">
        <f t="shared" si="5"/>
        <v/>
      </c>
      <c r="AV46" s="376" t="str">
        <f t="shared" si="4"/>
        <v/>
      </c>
      <c r="AW46" s="376" t="str">
        <v/>
      </c>
      <c r="AX46" s="376" t="str">
        <v/>
      </c>
    </row>
    <row r="47" spans="2:50">
      <c r="B47" s="1615"/>
      <c r="C47" s="1627" t="str">
        <f>IF(D10="No", AO37, IF(D10="Yes", AP37, ""))</f>
        <v/>
      </c>
      <c r="D47" s="1627"/>
      <c r="E47" s="1628"/>
      <c r="F47" s="1627"/>
      <c r="G47" s="1627"/>
      <c r="H47" s="1627"/>
      <c r="I47" s="1627"/>
      <c r="J47" s="1627"/>
      <c r="K47" s="1627"/>
      <c r="L47" s="1629"/>
      <c r="M47" s="770" t="str">
        <f>IF(D47="", "", IF(G11&lt;&gt;"Yes", 1, IF(D47="Existing Building", 1, MAX(AS6, AS7)+1)))</f>
        <v/>
      </c>
      <c r="N47" s="1630"/>
      <c r="O47" s="1629" t="str">
        <f t="shared" si="6"/>
        <v/>
      </c>
      <c r="P47" s="1630"/>
      <c r="Q47" s="1629" t="str">
        <f t="shared" si="3"/>
        <v/>
      </c>
      <c r="R47" s="686"/>
      <c r="S47" s="84"/>
      <c r="T47" s="84"/>
      <c r="U47" s="84"/>
      <c r="V47" s="84"/>
      <c r="W47" s="450"/>
      <c r="X47" s="450"/>
      <c r="Y47" s="450"/>
      <c r="Z47" s="450"/>
      <c r="AA47" s="450"/>
      <c r="AC47" s="450">
        <f>D9</f>
        <v>0</v>
      </c>
      <c r="AD47" s="115">
        <v>42</v>
      </c>
      <c r="AE47" s="115">
        <v>21</v>
      </c>
      <c r="AF47" s="115">
        <f>D7</f>
        <v>0</v>
      </c>
      <c r="AG47" s="115" t="s">
        <v>472</v>
      </c>
      <c r="AH47" s="115" t="str">
        <f t="shared" si="7"/>
        <v>0</v>
      </c>
      <c r="AI47" s="115" t="s">
        <v>7403</v>
      </c>
      <c r="AJ47" s="115" t="str">
        <f>D8</f>
        <v/>
      </c>
      <c r="AK47" s="115" t="str">
        <f t="shared" si="8"/>
        <v/>
      </c>
      <c r="AL47" s="115" t="s">
        <v>7403</v>
      </c>
      <c r="AM47" s="1450" t="s">
        <v>7450</v>
      </c>
      <c r="AN47" s="450"/>
      <c r="AO47" s="450" t="str">
        <f t="shared" si="9"/>
        <v/>
      </c>
      <c r="AP47" s="450" t="str">
        <f>IF(AD26&lt;=AC26, (CONCATENATE(AG26,AH26,AI26,AK26,AL26,AM26)),"")</f>
        <v/>
      </c>
      <c r="AQ47" s="450"/>
      <c r="AR47" s="450"/>
      <c r="AS47" s="450"/>
      <c r="AT47" s="1454"/>
      <c r="AU47" s="376" t="str">
        <f t="shared" si="5"/>
        <v/>
      </c>
      <c r="AV47" s="376" t="str">
        <f t="shared" si="4"/>
        <v/>
      </c>
      <c r="AW47" s="376" t="str">
        <v/>
      </c>
      <c r="AX47" s="376" t="str">
        <v/>
      </c>
    </row>
    <row r="48" spans="2:50">
      <c r="B48" s="1615"/>
      <c r="C48" s="1627" t="str">
        <f>IF(D10="No", AO38, IF(D10="Yes", AP38, ""))</f>
        <v/>
      </c>
      <c r="D48" s="1627"/>
      <c r="E48" s="1628"/>
      <c r="F48" s="1627"/>
      <c r="G48" s="1627"/>
      <c r="H48" s="1627"/>
      <c r="I48" s="1627"/>
      <c r="J48" s="1627"/>
      <c r="K48" s="1627"/>
      <c r="L48" s="1629"/>
      <c r="M48" s="770" t="str">
        <f>IF(D48="", "", IF(G11&lt;&gt;"Yes", 1, IF(D48="Existing Building", 1, MAX(AS6, AS7)+1)))</f>
        <v/>
      </c>
      <c r="N48" s="1630"/>
      <c r="O48" s="1629" t="str">
        <f t="shared" si="6"/>
        <v/>
      </c>
      <c r="P48" s="1630"/>
      <c r="Q48" s="1629" t="str">
        <f t="shared" ref="Q48:Q79" si="10">IF(AND(O48&lt;&gt;"",P48&lt;&gt;""), FLOOR(O48*P48,1), "")</f>
        <v/>
      </c>
      <c r="R48" s="686"/>
      <c r="S48" s="84"/>
      <c r="T48" s="84"/>
      <c r="U48" s="84"/>
      <c r="V48" s="84"/>
      <c r="W48" s="450"/>
      <c r="X48" s="450"/>
      <c r="Y48" s="450"/>
      <c r="Z48" s="450"/>
      <c r="AA48" s="450"/>
      <c r="AC48" s="450">
        <f>D9</f>
        <v>0</v>
      </c>
      <c r="AD48" s="115">
        <v>43</v>
      </c>
      <c r="AE48" s="115">
        <v>22</v>
      </c>
      <c r="AF48" s="115">
        <f>D7</f>
        <v>0</v>
      </c>
      <c r="AG48" s="115" t="s">
        <v>472</v>
      </c>
      <c r="AH48" s="115" t="str">
        <f t="shared" si="7"/>
        <v>0</v>
      </c>
      <c r="AI48" s="115" t="s">
        <v>7403</v>
      </c>
      <c r="AJ48" s="115" t="str">
        <f>D8</f>
        <v/>
      </c>
      <c r="AK48" s="115" t="str">
        <f t="shared" si="8"/>
        <v/>
      </c>
      <c r="AL48" s="115" t="s">
        <v>7403</v>
      </c>
      <c r="AM48" s="1450" t="s">
        <v>7451</v>
      </c>
      <c r="AN48" s="450"/>
      <c r="AO48" s="450" t="str">
        <f t="shared" si="9"/>
        <v/>
      </c>
      <c r="AP48" s="450" t="str">
        <f>IF(AD27&lt;=AC27, (CONCATENATE(AG27,AH27,AI27,AK27,AL27,AM27)),"")</f>
        <v/>
      </c>
      <c r="AQ48" s="450"/>
      <c r="AR48" s="450"/>
      <c r="AS48" s="450"/>
      <c r="AT48" s="1454"/>
      <c r="AU48" s="376" t="str">
        <f t="shared" si="5"/>
        <v/>
      </c>
      <c r="AV48" s="376" t="str">
        <f t="shared" ref="AV48:AV79" si="11">IF(OR(J48&lt;&gt;"", K48&lt;&gt;""), SUM(J48, K48), "")</f>
        <v/>
      </c>
      <c r="AW48" s="376" t="str">
        <v/>
      </c>
      <c r="AX48" s="376" t="str">
        <v/>
      </c>
    </row>
    <row r="49" spans="2:50">
      <c r="B49" s="1615"/>
      <c r="C49" s="1627" t="str">
        <f>IF(D10="No", AO39, IF(D10="Yes", AP39, ""))</f>
        <v/>
      </c>
      <c r="D49" s="1627"/>
      <c r="E49" s="1628"/>
      <c r="F49" s="1627"/>
      <c r="G49" s="1627"/>
      <c r="H49" s="1627"/>
      <c r="I49" s="1627"/>
      <c r="J49" s="1627"/>
      <c r="K49" s="1627"/>
      <c r="L49" s="1629"/>
      <c r="M49" s="770" t="str">
        <f>IF(D49="", "", IF(G11&lt;&gt;"Yes", 1, IF(D49="Existing Building", 1, MAX(AS6, AS7)+1)))</f>
        <v/>
      </c>
      <c r="N49" s="1630"/>
      <c r="O49" s="1629" t="str">
        <f t="shared" si="6"/>
        <v/>
      </c>
      <c r="P49" s="1630"/>
      <c r="Q49" s="1629" t="str">
        <f t="shared" si="10"/>
        <v/>
      </c>
      <c r="R49" s="686"/>
      <c r="S49" s="84"/>
      <c r="T49" s="84"/>
      <c r="U49" s="84"/>
      <c r="V49" s="84"/>
      <c r="W49" s="450"/>
      <c r="X49" s="450"/>
      <c r="Y49" s="450"/>
      <c r="Z49" s="450"/>
      <c r="AA49" s="450"/>
      <c r="AC49" s="450">
        <f>D9</f>
        <v>0</v>
      </c>
      <c r="AD49" s="115">
        <v>44</v>
      </c>
      <c r="AE49" s="115">
        <v>22</v>
      </c>
      <c r="AF49" s="115">
        <f>D7</f>
        <v>0</v>
      </c>
      <c r="AG49" s="115" t="s">
        <v>472</v>
      </c>
      <c r="AH49" s="115" t="str">
        <f t="shared" si="7"/>
        <v>0</v>
      </c>
      <c r="AI49" s="115" t="s">
        <v>7403</v>
      </c>
      <c r="AJ49" s="115" t="str">
        <f>D8</f>
        <v/>
      </c>
      <c r="AK49" s="115" t="str">
        <f t="shared" si="8"/>
        <v/>
      </c>
      <c r="AL49" s="115" t="s">
        <v>7403</v>
      </c>
      <c r="AM49" s="1450" t="s">
        <v>7452</v>
      </c>
      <c r="AN49" s="450"/>
      <c r="AO49" s="450" t="str">
        <f t="shared" si="9"/>
        <v/>
      </c>
      <c r="AP49" s="450" t="str">
        <f>IF(AD27&lt;=AC27, (CONCATENATE(AG27,AH27,AI27,AK27,AL27,AM27)),"")</f>
        <v/>
      </c>
      <c r="AQ49" s="450"/>
      <c r="AR49" s="450"/>
      <c r="AS49" s="450"/>
      <c r="AT49" s="1454"/>
      <c r="AU49" s="376" t="str">
        <f t="shared" si="5"/>
        <v/>
      </c>
      <c r="AV49" s="376" t="str">
        <f t="shared" si="11"/>
        <v/>
      </c>
      <c r="AW49" s="376" t="str">
        <v/>
      </c>
      <c r="AX49" s="376" t="str">
        <v/>
      </c>
    </row>
    <row r="50" spans="2:50">
      <c r="B50" s="1615"/>
      <c r="C50" s="1627" t="str">
        <f>IF(D10="No", AO40, IF(D10="Yes", AP40, ""))</f>
        <v/>
      </c>
      <c r="D50" s="1627"/>
      <c r="E50" s="1628"/>
      <c r="F50" s="1627"/>
      <c r="G50" s="1627"/>
      <c r="H50" s="1627"/>
      <c r="I50" s="1627"/>
      <c r="J50" s="1627"/>
      <c r="K50" s="1627"/>
      <c r="L50" s="1629"/>
      <c r="M50" s="770" t="str">
        <f>IF(D50="", "", IF(G11&lt;&gt;"Yes", 1, IF(D50="Existing Building", 1, MAX(AS6, AS7)+1)))</f>
        <v/>
      </c>
      <c r="N50" s="1630"/>
      <c r="O50" s="1629" t="str">
        <f t="shared" ref="O50:O81" si="12">IF(AND(L50&lt;&gt;"", M50&lt;&gt;"", N50&lt;&gt;""), ROUND(L50*M50*N50, 0), "")</f>
        <v/>
      </c>
      <c r="P50" s="1630"/>
      <c r="Q50" s="1629" t="str">
        <f t="shared" si="10"/>
        <v/>
      </c>
      <c r="R50" s="686"/>
      <c r="S50" s="84"/>
      <c r="T50" s="84"/>
      <c r="U50" s="84"/>
      <c r="V50" s="84"/>
      <c r="W50" s="450"/>
      <c r="X50" s="450"/>
      <c r="Y50" s="450"/>
      <c r="Z50" s="450"/>
      <c r="AA50" s="450"/>
      <c r="AC50" s="450">
        <f>D9</f>
        <v>0</v>
      </c>
      <c r="AD50" s="115">
        <v>45</v>
      </c>
      <c r="AE50" s="115">
        <v>23</v>
      </c>
      <c r="AF50" s="115">
        <f>D7</f>
        <v>0</v>
      </c>
      <c r="AG50" s="115" t="s">
        <v>472</v>
      </c>
      <c r="AH50" s="115" t="str">
        <f t="shared" si="7"/>
        <v>0</v>
      </c>
      <c r="AI50" s="115" t="s">
        <v>7403</v>
      </c>
      <c r="AJ50" s="115" t="str">
        <f>D8</f>
        <v/>
      </c>
      <c r="AK50" s="115" t="str">
        <f t="shared" si="8"/>
        <v/>
      </c>
      <c r="AL50" s="115" t="s">
        <v>7403</v>
      </c>
      <c r="AM50" s="1450" t="s">
        <v>7299</v>
      </c>
      <c r="AN50" s="450"/>
      <c r="AO50" s="450" t="str">
        <f t="shared" si="9"/>
        <v/>
      </c>
      <c r="AP50" s="450" t="str">
        <f>IF(AD28&lt;=AC28, (CONCATENATE(AG28,AH28,AI28,AK28,AL28,AM28)),"")</f>
        <v/>
      </c>
      <c r="AQ50" s="450"/>
      <c r="AR50" s="450"/>
      <c r="AS50" s="450"/>
      <c r="AT50" s="1454"/>
      <c r="AU50" s="376" t="str">
        <f t="shared" si="5"/>
        <v/>
      </c>
      <c r="AV50" s="376" t="str">
        <f t="shared" si="11"/>
        <v/>
      </c>
      <c r="AW50" s="376" t="str">
        <v/>
      </c>
      <c r="AX50" s="376" t="str">
        <v/>
      </c>
    </row>
    <row r="51" spans="2:50">
      <c r="B51" s="1615"/>
      <c r="C51" s="1627" t="str">
        <f>IF(D10="No", AO41, IF(D10="Yes", AP41, ""))</f>
        <v/>
      </c>
      <c r="D51" s="1627"/>
      <c r="E51" s="1628"/>
      <c r="F51" s="1627"/>
      <c r="G51" s="1627"/>
      <c r="H51" s="1627"/>
      <c r="I51" s="1627"/>
      <c r="J51" s="1627"/>
      <c r="K51" s="1627"/>
      <c r="L51" s="1629"/>
      <c r="M51" s="770" t="str">
        <f>IF(D51="", "", IF(G11&lt;&gt;"Yes", 1, IF(D51="Existing Building", 1, MAX(AS6, AS7)+1)))</f>
        <v/>
      </c>
      <c r="N51" s="1630"/>
      <c r="O51" s="1629" t="str">
        <f t="shared" si="12"/>
        <v/>
      </c>
      <c r="P51" s="1630"/>
      <c r="Q51" s="1629" t="str">
        <f t="shared" si="10"/>
        <v/>
      </c>
      <c r="R51" s="686"/>
      <c r="S51" s="84"/>
      <c r="T51" s="84"/>
      <c r="U51" s="84"/>
      <c r="V51" s="84"/>
      <c r="W51" s="450"/>
      <c r="X51" s="450"/>
      <c r="Y51" s="450"/>
      <c r="Z51" s="450"/>
      <c r="AA51" s="450"/>
      <c r="AC51" s="450">
        <f>D9</f>
        <v>0</v>
      </c>
      <c r="AD51" s="115">
        <v>46</v>
      </c>
      <c r="AE51" s="115">
        <v>23</v>
      </c>
      <c r="AF51" s="115">
        <f>D7</f>
        <v>0</v>
      </c>
      <c r="AG51" s="115" t="s">
        <v>472</v>
      </c>
      <c r="AH51" s="115" t="str">
        <f t="shared" si="7"/>
        <v>0</v>
      </c>
      <c r="AI51" s="115" t="s">
        <v>7403</v>
      </c>
      <c r="AJ51" s="115" t="str">
        <f>D8</f>
        <v/>
      </c>
      <c r="AK51" s="115" t="str">
        <f t="shared" si="8"/>
        <v/>
      </c>
      <c r="AL51" s="115" t="s">
        <v>7403</v>
      </c>
      <c r="AM51" s="1450" t="s">
        <v>7453</v>
      </c>
      <c r="AN51" s="450"/>
      <c r="AO51" s="450" t="str">
        <f t="shared" si="9"/>
        <v/>
      </c>
      <c r="AP51" s="450" t="str">
        <f>IF(AD28&lt;=AC28, (CONCATENATE(AG28,AH28,AI28,AK28,AL28,AM28)),"")</f>
        <v/>
      </c>
      <c r="AQ51" s="450"/>
      <c r="AR51" s="450"/>
      <c r="AS51" s="450"/>
      <c r="AT51" s="1454"/>
      <c r="AU51" s="376" t="str">
        <f t="shared" si="5"/>
        <v/>
      </c>
      <c r="AV51" s="376" t="str">
        <f t="shared" si="11"/>
        <v/>
      </c>
      <c r="AW51" s="376" t="str">
        <v/>
      </c>
      <c r="AX51" s="376" t="str">
        <v/>
      </c>
    </row>
    <row r="52" spans="2:50">
      <c r="B52" s="1615"/>
      <c r="C52" s="1627" t="str">
        <f>IF(D10="No", AO42, IF(D10="Yes", AP42, ""))</f>
        <v/>
      </c>
      <c r="D52" s="1627"/>
      <c r="E52" s="1628"/>
      <c r="F52" s="1627"/>
      <c r="G52" s="1627"/>
      <c r="H52" s="1627"/>
      <c r="I52" s="1627"/>
      <c r="J52" s="1627"/>
      <c r="K52" s="1627"/>
      <c r="L52" s="1629"/>
      <c r="M52" s="770" t="str">
        <f>IF(D52="", "", IF(G11&lt;&gt;"Yes", 1, IF(D52="Existing Building", 1, MAX(AS6, AS7)+1)))</f>
        <v/>
      </c>
      <c r="N52" s="1630"/>
      <c r="O52" s="1629" t="str">
        <f t="shared" si="12"/>
        <v/>
      </c>
      <c r="P52" s="1630"/>
      <c r="Q52" s="1629" t="str">
        <f t="shared" si="10"/>
        <v/>
      </c>
      <c r="R52" s="686"/>
      <c r="S52" s="84"/>
      <c r="T52" s="84"/>
      <c r="U52" s="84"/>
      <c r="V52" s="84"/>
      <c r="W52" s="450"/>
      <c r="X52" s="450"/>
      <c r="Y52" s="450"/>
      <c r="Z52" s="450"/>
      <c r="AA52" s="450"/>
      <c r="AC52" s="450">
        <f>D9</f>
        <v>0</v>
      </c>
      <c r="AD52" s="115">
        <v>47</v>
      </c>
      <c r="AE52" s="115">
        <v>24</v>
      </c>
      <c r="AF52" s="115">
        <f>D7</f>
        <v>0</v>
      </c>
      <c r="AG52" s="115" t="s">
        <v>472</v>
      </c>
      <c r="AH52" s="115" t="str">
        <f t="shared" si="7"/>
        <v>0</v>
      </c>
      <c r="AI52" s="115" t="s">
        <v>7403</v>
      </c>
      <c r="AJ52" s="115" t="str">
        <f>D8</f>
        <v/>
      </c>
      <c r="AK52" s="115" t="str">
        <f t="shared" si="8"/>
        <v/>
      </c>
      <c r="AL52" s="115" t="s">
        <v>7403</v>
      </c>
      <c r="AM52" s="1450" t="s">
        <v>7454</v>
      </c>
      <c r="AN52" s="450"/>
      <c r="AO52" s="450" t="str">
        <f t="shared" si="9"/>
        <v/>
      </c>
      <c r="AP52" s="450" t="str">
        <f>IF(AD29&lt;=AC29, (CONCATENATE(AG29,AH29,AI29,AK29,AL29,AM29)),"")</f>
        <v/>
      </c>
      <c r="AQ52" s="450"/>
      <c r="AR52" s="450"/>
      <c r="AS52" s="450"/>
      <c r="AT52" s="1454"/>
      <c r="AU52" s="376" t="str">
        <f t="shared" si="5"/>
        <v/>
      </c>
      <c r="AV52" s="376" t="str">
        <f t="shared" si="11"/>
        <v/>
      </c>
      <c r="AW52" s="376" t="str">
        <v/>
      </c>
      <c r="AX52" s="376" t="str">
        <v/>
      </c>
    </row>
    <row r="53" spans="2:50">
      <c r="B53" s="1615"/>
      <c r="C53" s="1627" t="str">
        <f>IF(D10="No", AO43, IF(D10="Yes", AP43, ""))</f>
        <v/>
      </c>
      <c r="D53" s="1627"/>
      <c r="E53" s="1628"/>
      <c r="F53" s="1627"/>
      <c r="G53" s="1627"/>
      <c r="H53" s="1627"/>
      <c r="I53" s="1627"/>
      <c r="J53" s="1627"/>
      <c r="K53" s="1627"/>
      <c r="L53" s="1629"/>
      <c r="M53" s="770" t="str">
        <f>IF(D53="", "", IF(G11&lt;&gt;"Yes", 1, IF(D53="Existing Building", 1, MAX(AS6, AS7)+1)))</f>
        <v/>
      </c>
      <c r="N53" s="1630"/>
      <c r="O53" s="1629" t="str">
        <f t="shared" si="12"/>
        <v/>
      </c>
      <c r="P53" s="1630"/>
      <c r="Q53" s="1629" t="str">
        <f t="shared" si="10"/>
        <v/>
      </c>
      <c r="R53" s="686"/>
      <c r="S53" s="84"/>
      <c r="T53" s="84"/>
      <c r="U53" s="84"/>
      <c r="V53" s="84"/>
      <c r="W53" s="450"/>
      <c r="X53" s="450"/>
      <c r="Y53" s="450"/>
      <c r="Z53" s="450"/>
      <c r="AA53" s="450"/>
      <c r="AC53" s="450">
        <f>D9</f>
        <v>0</v>
      </c>
      <c r="AD53" s="115">
        <v>48</v>
      </c>
      <c r="AE53" s="115">
        <v>24</v>
      </c>
      <c r="AF53" s="115">
        <f>D7</f>
        <v>0</v>
      </c>
      <c r="AG53" s="115" t="s">
        <v>472</v>
      </c>
      <c r="AH53" s="115" t="str">
        <f t="shared" si="7"/>
        <v>0</v>
      </c>
      <c r="AI53" s="115" t="s">
        <v>7403</v>
      </c>
      <c r="AJ53" s="115" t="str">
        <f>D8</f>
        <v/>
      </c>
      <c r="AK53" s="115" t="str">
        <f t="shared" si="8"/>
        <v/>
      </c>
      <c r="AL53" s="115" t="s">
        <v>7403</v>
      </c>
      <c r="AM53" s="1450" t="s">
        <v>7455</v>
      </c>
      <c r="AN53" s="450"/>
      <c r="AO53" s="450" t="str">
        <f t="shared" si="9"/>
        <v/>
      </c>
      <c r="AP53" s="450" t="str">
        <f>IF(AD29&lt;=AC29, (CONCATENATE(AG29,AH29,AI29,AK29,AL29,AM29)),"")</f>
        <v/>
      </c>
      <c r="AQ53" s="450"/>
      <c r="AR53" s="450"/>
      <c r="AS53" s="450"/>
      <c r="AT53" s="1454"/>
      <c r="AU53" s="376" t="str">
        <f t="shared" si="5"/>
        <v/>
      </c>
      <c r="AV53" s="376" t="str">
        <f t="shared" si="11"/>
        <v/>
      </c>
      <c r="AW53" s="376" t="str">
        <v/>
      </c>
      <c r="AX53" s="376" t="str">
        <v/>
      </c>
    </row>
    <row r="54" spans="2:50">
      <c r="B54" s="1615"/>
      <c r="C54" s="1627" t="str">
        <f>IF(D10="No", AO44, IF(D10="Yes", AP44, ""))</f>
        <v/>
      </c>
      <c r="D54" s="1627"/>
      <c r="E54" s="1628"/>
      <c r="F54" s="1627"/>
      <c r="G54" s="1627"/>
      <c r="H54" s="1627"/>
      <c r="I54" s="1627"/>
      <c r="J54" s="1627"/>
      <c r="K54" s="1627"/>
      <c r="L54" s="1629"/>
      <c r="M54" s="770" t="str">
        <f>IF(D54="", "", IF(G11&lt;&gt;"Yes", 1, IF(D54="Existing Building", 1, MAX(AS6, AS7)+1)))</f>
        <v/>
      </c>
      <c r="N54" s="1630"/>
      <c r="O54" s="1629" t="str">
        <f t="shared" si="12"/>
        <v/>
      </c>
      <c r="P54" s="1630"/>
      <c r="Q54" s="1629" t="str">
        <f t="shared" si="10"/>
        <v/>
      </c>
      <c r="R54" s="686"/>
      <c r="S54" s="84"/>
      <c r="T54" s="84"/>
      <c r="U54" s="84"/>
      <c r="V54" s="84"/>
      <c r="W54" s="450"/>
      <c r="X54" s="450"/>
      <c r="Y54" s="450"/>
      <c r="Z54" s="450"/>
      <c r="AA54" s="450"/>
      <c r="AC54" s="450">
        <f>D9</f>
        <v>0</v>
      </c>
      <c r="AD54" s="115">
        <v>49</v>
      </c>
      <c r="AE54" s="115">
        <v>25</v>
      </c>
      <c r="AF54" s="115">
        <f>D7</f>
        <v>0</v>
      </c>
      <c r="AG54" s="115" t="s">
        <v>472</v>
      </c>
      <c r="AH54" s="115" t="str">
        <f t="shared" si="7"/>
        <v>0</v>
      </c>
      <c r="AI54" s="115" t="s">
        <v>7403</v>
      </c>
      <c r="AJ54" s="115" t="str">
        <f>D8</f>
        <v/>
      </c>
      <c r="AK54" s="115" t="str">
        <f t="shared" si="8"/>
        <v/>
      </c>
      <c r="AL54" s="115" t="s">
        <v>7403</v>
      </c>
      <c r="AM54" s="1450" t="s">
        <v>7456</v>
      </c>
      <c r="AN54" s="450"/>
      <c r="AO54" s="450" t="str">
        <f t="shared" si="9"/>
        <v/>
      </c>
      <c r="AP54" s="450" t="str">
        <f>IF(AD30&lt;=AC30, (CONCATENATE(AG30,AH30,AI30,AK30,AL30,AM30)),"")</f>
        <v/>
      </c>
      <c r="AQ54" s="450"/>
      <c r="AR54" s="450"/>
      <c r="AS54" s="450"/>
      <c r="AT54" s="1454"/>
      <c r="AU54" s="376" t="str">
        <f t="shared" si="5"/>
        <v/>
      </c>
      <c r="AV54" s="376" t="str">
        <f t="shared" si="11"/>
        <v/>
      </c>
      <c r="AW54" s="376" t="str">
        <v/>
      </c>
      <c r="AX54" s="376" t="str">
        <v/>
      </c>
    </row>
    <row r="55" spans="2:50">
      <c r="B55" s="1615"/>
      <c r="C55" s="1627" t="str">
        <f>IF(D10="No", AO45, IF(D10="Yes", AP45, ""))</f>
        <v/>
      </c>
      <c r="D55" s="1627"/>
      <c r="E55" s="1628"/>
      <c r="F55" s="1627"/>
      <c r="G55" s="1627"/>
      <c r="H55" s="1627"/>
      <c r="I55" s="1627"/>
      <c r="J55" s="1627"/>
      <c r="K55" s="1627"/>
      <c r="L55" s="1629"/>
      <c r="M55" s="770" t="str">
        <f>IF(D55="", "", IF(G11&lt;&gt;"Yes", 1, IF(D55="Existing Building", 1, MAX(AS6, AS7)+1)))</f>
        <v/>
      </c>
      <c r="N55" s="1630"/>
      <c r="O55" s="1629" t="str">
        <f t="shared" si="12"/>
        <v/>
      </c>
      <c r="P55" s="1630"/>
      <c r="Q55" s="1629" t="str">
        <f t="shared" si="10"/>
        <v/>
      </c>
      <c r="R55" s="686"/>
      <c r="S55" s="84"/>
      <c r="T55" s="84"/>
      <c r="U55" s="84"/>
      <c r="V55" s="84"/>
      <c r="W55" s="450"/>
      <c r="X55" s="450"/>
      <c r="Y55" s="450"/>
      <c r="Z55" s="450"/>
      <c r="AA55" s="450"/>
      <c r="AC55" s="450">
        <f>D9</f>
        <v>0</v>
      </c>
      <c r="AD55" s="115">
        <v>50</v>
      </c>
      <c r="AE55" s="115">
        <v>25</v>
      </c>
      <c r="AF55" s="115">
        <f>D7</f>
        <v>0</v>
      </c>
      <c r="AG55" s="115" t="s">
        <v>472</v>
      </c>
      <c r="AH55" s="115" t="str">
        <f t="shared" si="7"/>
        <v>0</v>
      </c>
      <c r="AI55" s="115" t="s">
        <v>7403</v>
      </c>
      <c r="AJ55" s="115" t="str">
        <f>D8</f>
        <v/>
      </c>
      <c r="AK55" s="115" t="str">
        <f t="shared" si="8"/>
        <v/>
      </c>
      <c r="AL55" s="115" t="s">
        <v>7403</v>
      </c>
      <c r="AM55" s="1450" t="s">
        <v>7302</v>
      </c>
      <c r="AN55" s="450"/>
      <c r="AO55" s="450" t="str">
        <f t="shared" si="9"/>
        <v/>
      </c>
      <c r="AP55" s="450" t="str">
        <f>IF(AD30&lt;=AC30, (CONCATENATE(AG30,AH30,AI30,AK30,AL30,AM30)),"")</f>
        <v/>
      </c>
      <c r="AQ55" s="450"/>
      <c r="AR55" s="450"/>
      <c r="AS55" s="450"/>
      <c r="AT55" s="1454"/>
      <c r="AU55" s="376" t="str">
        <f t="shared" si="5"/>
        <v/>
      </c>
      <c r="AV55" s="376" t="str">
        <f t="shared" si="11"/>
        <v/>
      </c>
      <c r="AW55" s="376" t="str">
        <v/>
      </c>
      <c r="AX55" s="376" t="str">
        <v/>
      </c>
    </row>
    <row r="56" spans="2:50">
      <c r="B56" s="1615"/>
      <c r="C56" s="1627" t="str">
        <f>IF(D10="No", AO46, IF(D10="Yes", AP46, ""))</f>
        <v/>
      </c>
      <c r="D56" s="1627"/>
      <c r="E56" s="1628"/>
      <c r="F56" s="1627"/>
      <c r="G56" s="1627"/>
      <c r="H56" s="1627"/>
      <c r="I56" s="1627"/>
      <c r="J56" s="1627"/>
      <c r="K56" s="1627"/>
      <c r="L56" s="1629"/>
      <c r="M56" s="770" t="str">
        <f>IF(D56="", "", IF(G11&lt;&gt;"Yes", 1, IF(D56="Existing Building", 1, MAX(AS6, AS7)+1)))</f>
        <v/>
      </c>
      <c r="N56" s="1630"/>
      <c r="O56" s="1629" t="str">
        <f t="shared" si="12"/>
        <v/>
      </c>
      <c r="P56" s="1630"/>
      <c r="Q56" s="1629" t="str">
        <f t="shared" si="10"/>
        <v/>
      </c>
      <c r="R56" s="686"/>
      <c r="S56" s="84"/>
      <c r="T56" s="84"/>
      <c r="U56" s="84"/>
      <c r="V56" s="84"/>
      <c r="W56" s="450"/>
      <c r="X56" s="450"/>
      <c r="Y56" s="450"/>
      <c r="Z56" s="450"/>
      <c r="AA56" s="450"/>
      <c r="AC56" s="450">
        <f>D9</f>
        <v>0</v>
      </c>
      <c r="AD56" s="115">
        <v>51</v>
      </c>
      <c r="AE56" s="115">
        <v>26</v>
      </c>
      <c r="AF56" s="450">
        <f>D7</f>
        <v>0</v>
      </c>
      <c r="AG56" s="115" t="s">
        <v>472</v>
      </c>
      <c r="AH56" s="115" t="str">
        <f t="shared" si="7"/>
        <v>0</v>
      </c>
      <c r="AI56" s="115" t="s">
        <v>7403</v>
      </c>
      <c r="AJ56" s="450" t="str">
        <f>D8</f>
        <v/>
      </c>
      <c r="AK56" s="115" t="str">
        <f t="shared" si="8"/>
        <v/>
      </c>
      <c r="AL56" s="115" t="s">
        <v>7403</v>
      </c>
      <c r="AM56" s="450">
        <v>51</v>
      </c>
      <c r="AN56" s="450"/>
      <c r="AO56" s="450" t="str">
        <f t="shared" si="9"/>
        <v/>
      </c>
      <c r="AP56" s="450" t="str">
        <f>IF(AD31&lt;=AC31, (CONCATENATE(AG31,AH31,AI31,AK31,AL31,AM31)),"")</f>
        <v/>
      </c>
      <c r="AQ56" s="450"/>
      <c r="AR56" s="450"/>
      <c r="AS56" s="450"/>
      <c r="AT56" s="1454"/>
      <c r="AU56" s="376" t="str">
        <f t="shared" si="5"/>
        <v/>
      </c>
      <c r="AV56" s="376" t="str">
        <f t="shared" si="11"/>
        <v/>
      </c>
      <c r="AW56" s="376" t="str">
        <v/>
      </c>
      <c r="AX56" s="376" t="str">
        <v/>
      </c>
    </row>
    <row r="57" spans="2:50">
      <c r="B57" s="1615"/>
      <c r="C57" s="1627" t="str">
        <f>IF(D10="No", AO47, IF(D10="Yes", AP47, ""))</f>
        <v/>
      </c>
      <c r="D57" s="1627"/>
      <c r="E57" s="1628"/>
      <c r="F57" s="1627"/>
      <c r="G57" s="1627"/>
      <c r="H57" s="1627"/>
      <c r="I57" s="1627"/>
      <c r="J57" s="1627"/>
      <c r="K57" s="1627"/>
      <c r="L57" s="1629"/>
      <c r="M57" s="770" t="str">
        <f>IF(D57="", "", IF(G11&lt;&gt;"Yes", 1, IF(D57="Existing Building", 1, MAX(AS6, AS7)+1)))</f>
        <v/>
      </c>
      <c r="N57" s="1630"/>
      <c r="O57" s="1629" t="str">
        <f t="shared" si="12"/>
        <v/>
      </c>
      <c r="P57" s="1630"/>
      <c r="Q57" s="1629" t="str">
        <f t="shared" si="10"/>
        <v/>
      </c>
      <c r="R57" s="686"/>
      <c r="S57" s="84"/>
      <c r="T57" s="84"/>
      <c r="U57" s="84"/>
      <c r="V57" s="84"/>
      <c r="W57" s="450"/>
      <c r="X57" s="450"/>
      <c r="Y57" s="450"/>
      <c r="Z57" s="450"/>
      <c r="AA57" s="450"/>
      <c r="AC57" s="450">
        <f>D9</f>
        <v>0</v>
      </c>
      <c r="AD57" s="115">
        <v>52</v>
      </c>
      <c r="AE57" s="115">
        <v>26</v>
      </c>
      <c r="AF57" s="450">
        <f>D7</f>
        <v>0</v>
      </c>
      <c r="AG57" s="115" t="s">
        <v>472</v>
      </c>
      <c r="AH57" s="115" t="str">
        <f t="shared" si="7"/>
        <v>0</v>
      </c>
      <c r="AI57" s="115" t="s">
        <v>7403</v>
      </c>
      <c r="AJ57" s="450" t="str">
        <f>D8</f>
        <v/>
      </c>
      <c r="AK57" s="115" t="str">
        <f t="shared" si="8"/>
        <v/>
      </c>
      <c r="AL57" s="115" t="s">
        <v>7403</v>
      </c>
      <c r="AM57" s="450">
        <v>52</v>
      </c>
      <c r="AN57" s="450"/>
      <c r="AO57" s="450" t="str">
        <f t="shared" si="9"/>
        <v/>
      </c>
      <c r="AP57" s="450" t="str">
        <f>IF(AD31&lt;=AC31, (CONCATENATE(AG31,AH31,AI31,AK31,AL31,AM31)),"")</f>
        <v/>
      </c>
      <c r="AQ57" s="450"/>
      <c r="AR57" s="450"/>
      <c r="AS57" s="450"/>
      <c r="AT57" s="1454"/>
      <c r="AU57" s="376" t="str">
        <f t="shared" si="5"/>
        <v/>
      </c>
      <c r="AV57" s="376" t="str">
        <f t="shared" si="11"/>
        <v/>
      </c>
      <c r="AW57" s="376" t="str">
        <v/>
      </c>
      <c r="AX57" s="376" t="str">
        <v/>
      </c>
    </row>
    <row r="58" spans="2:50">
      <c r="B58" s="1615"/>
      <c r="C58" s="1627" t="str">
        <f>IF(D10="No", AO48, IF(D10="Yes", AP48, ""))</f>
        <v/>
      </c>
      <c r="D58" s="1627"/>
      <c r="E58" s="1628"/>
      <c r="F58" s="1627"/>
      <c r="G58" s="1627"/>
      <c r="H58" s="1627"/>
      <c r="I58" s="1627"/>
      <c r="J58" s="1627"/>
      <c r="K58" s="1627"/>
      <c r="L58" s="1629"/>
      <c r="M58" s="770" t="str">
        <f>IF(D58="", "", IF(G11&lt;&gt;"Yes", 1, IF(D58="Existing Building", 1, MAX(AS6, AS7)+1)))</f>
        <v/>
      </c>
      <c r="N58" s="1630"/>
      <c r="O58" s="1629" t="str">
        <f t="shared" si="12"/>
        <v/>
      </c>
      <c r="P58" s="1630"/>
      <c r="Q58" s="1629" t="str">
        <f t="shared" si="10"/>
        <v/>
      </c>
      <c r="R58" s="686"/>
      <c r="S58" s="84"/>
      <c r="T58" s="84"/>
      <c r="U58" s="84"/>
      <c r="V58" s="84"/>
      <c r="W58" s="450"/>
      <c r="X58" s="450"/>
      <c r="Y58" s="450"/>
      <c r="Z58" s="450"/>
      <c r="AA58" s="450"/>
      <c r="AC58" s="450">
        <f>D9</f>
        <v>0</v>
      </c>
      <c r="AD58" s="115">
        <v>53</v>
      </c>
      <c r="AE58" s="115">
        <v>27</v>
      </c>
      <c r="AF58" s="450">
        <f>D7</f>
        <v>0</v>
      </c>
      <c r="AG58" s="115" t="s">
        <v>472</v>
      </c>
      <c r="AH58" s="115" t="str">
        <f t="shared" si="7"/>
        <v>0</v>
      </c>
      <c r="AI58" s="115" t="s">
        <v>7403</v>
      </c>
      <c r="AJ58" s="450" t="str">
        <f>D8</f>
        <v/>
      </c>
      <c r="AK58" s="115" t="str">
        <f t="shared" si="8"/>
        <v/>
      </c>
      <c r="AL58" s="115" t="s">
        <v>7403</v>
      </c>
      <c r="AM58" s="450">
        <v>53</v>
      </c>
      <c r="AN58" s="450"/>
      <c r="AO58" s="450" t="str">
        <f t="shared" si="9"/>
        <v/>
      </c>
      <c r="AP58" s="450" t="str">
        <f>IF(AD32&lt;=AC32, (CONCATENATE(AG32,AH32,AI32,AK32,AL32,AM32)),"")</f>
        <v/>
      </c>
      <c r="AQ58" s="450"/>
      <c r="AR58" s="450"/>
      <c r="AS58" s="450"/>
      <c r="AT58" s="1454"/>
      <c r="AU58" s="376" t="str">
        <f t="shared" si="5"/>
        <v/>
      </c>
      <c r="AV58" s="376" t="str">
        <f t="shared" si="11"/>
        <v/>
      </c>
      <c r="AW58" s="376" t="str">
        <v/>
      </c>
      <c r="AX58" s="376" t="str">
        <v/>
      </c>
    </row>
    <row r="59" spans="2:50">
      <c r="B59" s="1615"/>
      <c r="C59" s="1627" t="str">
        <f>IF(D10="No", AO49, IF(D10="Yes", AP49, ""))</f>
        <v/>
      </c>
      <c r="D59" s="1627"/>
      <c r="E59" s="1628"/>
      <c r="F59" s="1627"/>
      <c r="G59" s="1627"/>
      <c r="H59" s="1627"/>
      <c r="I59" s="1627"/>
      <c r="J59" s="1627"/>
      <c r="K59" s="1627"/>
      <c r="L59" s="1629"/>
      <c r="M59" s="770" t="str">
        <f>IF(D59="", "", IF(G11&lt;&gt;"Yes", 1, IF(D59="Existing Building", 1, MAX(AS6, AS7)+1)))</f>
        <v/>
      </c>
      <c r="N59" s="1630"/>
      <c r="O59" s="1629" t="str">
        <f t="shared" si="12"/>
        <v/>
      </c>
      <c r="P59" s="1630"/>
      <c r="Q59" s="1629" t="str">
        <f t="shared" si="10"/>
        <v/>
      </c>
      <c r="R59" s="686"/>
      <c r="S59" s="84"/>
      <c r="T59" s="84"/>
      <c r="U59" s="84"/>
      <c r="V59" s="84"/>
      <c r="W59" s="450"/>
      <c r="X59" s="450"/>
      <c r="Y59" s="450"/>
      <c r="Z59" s="450"/>
      <c r="AA59" s="450"/>
      <c r="AC59" s="450">
        <f>D9</f>
        <v>0</v>
      </c>
      <c r="AD59" s="115">
        <v>54</v>
      </c>
      <c r="AE59" s="115">
        <v>27</v>
      </c>
      <c r="AF59" s="450">
        <f>D7</f>
        <v>0</v>
      </c>
      <c r="AG59" s="115" t="s">
        <v>472</v>
      </c>
      <c r="AH59" s="115" t="str">
        <f t="shared" si="7"/>
        <v>0</v>
      </c>
      <c r="AI59" s="115" t="s">
        <v>7403</v>
      </c>
      <c r="AJ59" s="450" t="str">
        <f>D8</f>
        <v/>
      </c>
      <c r="AK59" s="115" t="str">
        <f t="shared" si="8"/>
        <v/>
      </c>
      <c r="AL59" s="115" t="s">
        <v>7403</v>
      </c>
      <c r="AM59" s="450">
        <v>54</v>
      </c>
      <c r="AN59" s="450"/>
      <c r="AO59" s="450" t="str">
        <f t="shared" si="9"/>
        <v/>
      </c>
      <c r="AP59" s="450" t="str">
        <f>IF(AD32&lt;=AC32, (CONCATENATE(AG32,AH32,AI32,AK32,AL32,AM32)),"")</f>
        <v/>
      </c>
      <c r="AQ59" s="450"/>
      <c r="AR59" s="450"/>
      <c r="AS59" s="450"/>
      <c r="AT59" s="1454"/>
      <c r="AU59" s="376" t="str">
        <f t="shared" si="5"/>
        <v/>
      </c>
      <c r="AV59" s="376" t="str">
        <f t="shared" si="11"/>
        <v/>
      </c>
      <c r="AW59" s="376" t="str">
        <v/>
      </c>
      <c r="AX59" s="376" t="str">
        <v/>
      </c>
    </row>
    <row r="60" spans="2:50">
      <c r="B60" s="1615"/>
      <c r="C60" s="1627" t="str">
        <f>IF(D10="No", AO50, IF(D10="Yes", AP50, ""))</f>
        <v/>
      </c>
      <c r="D60" s="1627"/>
      <c r="E60" s="1628"/>
      <c r="F60" s="1627"/>
      <c r="G60" s="1627"/>
      <c r="H60" s="1627"/>
      <c r="I60" s="1627"/>
      <c r="J60" s="1627"/>
      <c r="K60" s="1627"/>
      <c r="L60" s="1629"/>
      <c r="M60" s="770" t="str">
        <f>IF(D60="", "", IF(G11&lt;&gt;"Yes", 1, IF(D60="Existing Building", 1, MAX(AS6, AS7)+1)))</f>
        <v/>
      </c>
      <c r="N60" s="1630"/>
      <c r="O60" s="1629" t="str">
        <f t="shared" si="12"/>
        <v/>
      </c>
      <c r="P60" s="1630"/>
      <c r="Q60" s="1629" t="str">
        <f t="shared" si="10"/>
        <v/>
      </c>
      <c r="R60" s="686"/>
      <c r="S60" s="84"/>
      <c r="T60" s="84"/>
      <c r="U60" s="84"/>
      <c r="V60" s="84"/>
      <c r="W60" s="450"/>
      <c r="X60" s="450"/>
      <c r="Y60" s="450"/>
      <c r="Z60" s="450"/>
      <c r="AA60" s="450"/>
      <c r="AC60" s="450">
        <f>D9</f>
        <v>0</v>
      </c>
      <c r="AD60" s="115">
        <v>55</v>
      </c>
      <c r="AE60" s="115">
        <v>28</v>
      </c>
      <c r="AF60" s="450">
        <f>D7</f>
        <v>0</v>
      </c>
      <c r="AG60" s="115" t="s">
        <v>472</v>
      </c>
      <c r="AH60" s="115" t="str">
        <f t="shared" si="7"/>
        <v>0</v>
      </c>
      <c r="AI60" s="115" t="s">
        <v>7403</v>
      </c>
      <c r="AJ60" s="450" t="str">
        <f>D8</f>
        <v/>
      </c>
      <c r="AK60" s="115" t="str">
        <f t="shared" si="8"/>
        <v/>
      </c>
      <c r="AL60" s="115" t="s">
        <v>7403</v>
      </c>
      <c r="AM60" s="450">
        <v>55</v>
      </c>
      <c r="AN60" s="450"/>
      <c r="AO60" s="450" t="str">
        <f t="shared" si="9"/>
        <v/>
      </c>
      <c r="AP60" s="450" t="str">
        <f>IF(AD33&lt;=AC33, (CONCATENATE(AG33,AH33,AI33,AK33,AL33,AM33)),"")</f>
        <v/>
      </c>
      <c r="AQ60" s="450"/>
      <c r="AR60" s="450"/>
      <c r="AS60" s="450"/>
      <c r="AT60" s="1454"/>
      <c r="AU60" s="376" t="str">
        <f t="shared" si="5"/>
        <v/>
      </c>
      <c r="AV60" s="376" t="str">
        <f t="shared" si="11"/>
        <v/>
      </c>
      <c r="AW60" s="376" t="str">
        <v/>
      </c>
      <c r="AX60" s="376" t="str">
        <v/>
      </c>
    </row>
    <row r="61" spans="2:50">
      <c r="B61" s="1615"/>
      <c r="C61" s="1627" t="str">
        <f>IF(D10="No", AO51, IF(D10="Yes", AP51, ""))</f>
        <v/>
      </c>
      <c r="D61" s="1627"/>
      <c r="E61" s="1628"/>
      <c r="F61" s="1627"/>
      <c r="G61" s="1627"/>
      <c r="H61" s="1627"/>
      <c r="I61" s="1627"/>
      <c r="J61" s="1627"/>
      <c r="K61" s="1627"/>
      <c r="L61" s="1629"/>
      <c r="M61" s="770" t="str">
        <f>IF(D61="", "", IF(G11&lt;&gt;"Yes", 1, IF(D61="Existing Building", 1, MAX(AS6, AS7)+1)))</f>
        <v/>
      </c>
      <c r="N61" s="1630"/>
      <c r="O61" s="1629" t="str">
        <f t="shared" si="12"/>
        <v/>
      </c>
      <c r="P61" s="1630"/>
      <c r="Q61" s="1629" t="str">
        <f t="shared" si="10"/>
        <v/>
      </c>
      <c r="R61" s="686"/>
      <c r="S61" s="84"/>
      <c r="T61" s="84"/>
      <c r="U61" s="84"/>
      <c r="V61" s="84"/>
      <c r="W61" s="450"/>
      <c r="X61" s="450"/>
      <c r="Y61" s="450"/>
      <c r="Z61" s="450"/>
      <c r="AA61" s="450"/>
      <c r="AC61" s="450">
        <f>D9</f>
        <v>0</v>
      </c>
      <c r="AD61" s="115">
        <v>56</v>
      </c>
      <c r="AE61" s="115">
        <v>28</v>
      </c>
      <c r="AF61" s="450">
        <f>D7</f>
        <v>0</v>
      </c>
      <c r="AG61" s="115" t="s">
        <v>472</v>
      </c>
      <c r="AH61" s="115" t="str">
        <f t="shared" si="7"/>
        <v>0</v>
      </c>
      <c r="AI61" s="115" t="s">
        <v>7403</v>
      </c>
      <c r="AJ61" s="450" t="str">
        <f>D8</f>
        <v/>
      </c>
      <c r="AK61" s="115" t="str">
        <f t="shared" si="8"/>
        <v/>
      </c>
      <c r="AL61" s="115" t="s">
        <v>7403</v>
      </c>
      <c r="AM61" s="450">
        <v>56</v>
      </c>
      <c r="AN61" s="450"/>
      <c r="AO61" s="450" t="str">
        <f t="shared" si="9"/>
        <v/>
      </c>
      <c r="AP61" s="450" t="str">
        <f>IF(AD33&lt;=AC33, (CONCATENATE(AG33,AH33,AI33,AK33,AL33,AM33)),"")</f>
        <v/>
      </c>
      <c r="AQ61" s="450"/>
      <c r="AR61" s="450"/>
      <c r="AS61" s="450"/>
      <c r="AT61" s="1454"/>
      <c r="AU61" s="376" t="str">
        <f t="shared" si="5"/>
        <v/>
      </c>
      <c r="AV61" s="376" t="str">
        <f t="shared" si="11"/>
        <v/>
      </c>
      <c r="AW61" s="376" t="str">
        <v/>
      </c>
      <c r="AX61" s="376" t="str">
        <v/>
      </c>
    </row>
    <row r="62" spans="2:50">
      <c r="B62" s="1615"/>
      <c r="C62" s="1627" t="str">
        <f>IF(D10="No", AO52, IF(D10="Yes", AP52, ""))</f>
        <v/>
      </c>
      <c r="D62" s="1627"/>
      <c r="E62" s="1628"/>
      <c r="F62" s="1627"/>
      <c r="G62" s="1627"/>
      <c r="H62" s="1627"/>
      <c r="I62" s="1627"/>
      <c r="J62" s="1627"/>
      <c r="K62" s="1627"/>
      <c r="L62" s="1629"/>
      <c r="M62" s="770" t="str">
        <f>IF(D62="", "", IF(G11&lt;&gt;"Yes", 1, IF(D62="Existing Building", 1, MAX(AS6, AS7)+1)))</f>
        <v/>
      </c>
      <c r="N62" s="1630"/>
      <c r="O62" s="1629" t="str">
        <f t="shared" si="12"/>
        <v/>
      </c>
      <c r="P62" s="1630"/>
      <c r="Q62" s="1629" t="str">
        <f t="shared" si="10"/>
        <v/>
      </c>
      <c r="R62" s="686"/>
      <c r="S62" s="84"/>
      <c r="T62" s="84"/>
      <c r="U62" s="84"/>
      <c r="V62" s="84"/>
      <c r="W62" s="450"/>
      <c r="X62" s="450"/>
      <c r="Y62" s="450"/>
      <c r="Z62" s="450"/>
      <c r="AA62" s="450"/>
      <c r="AC62" s="450">
        <f>D9</f>
        <v>0</v>
      </c>
      <c r="AD62" s="115">
        <v>57</v>
      </c>
      <c r="AE62" s="115">
        <v>29</v>
      </c>
      <c r="AF62" s="450">
        <f>D7</f>
        <v>0</v>
      </c>
      <c r="AG62" s="115" t="s">
        <v>472</v>
      </c>
      <c r="AH62" s="115" t="str">
        <f t="shared" si="7"/>
        <v>0</v>
      </c>
      <c r="AI62" s="115" t="s">
        <v>7403</v>
      </c>
      <c r="AJ62" s="450" t="str">
        <f>D8</f>
        <v/>
      </c>
      <c r="AK62" s="115" t="str">
        <f t="shared" si="8"/>
        <v/>
      </c>
      <c r="AL62" s="115" t="s">
        <v>7403</v>
      </c>
      <c r="AM62" s="450">
        <v>57</v>
      </c>
      <c r="AN62" s="450"/>
      <c r="AO62" s="450" t="str">
        <f t="shared" si="9"/>
        <v/>
      </c>
      <c r="AP62" s="450" t="str">
        <f>IF(AD34&lt;=AC34, (CONCATENATE(AG34,AH34,AI34,AK34,AL34,AM34)),"")</f>
        <v/>
      </c>
      <c r="AQ62" s="450"/>
      <c r="AR62" s="450"/>
      <c r="AS62" s="450"/>
      <c r="AT62" s="1454"/>
      <c r="AU62" s="376" t="str">
        <f t="shared" si="5"/>
        <v/>
      </c>
      <c r="AV62" s="376" t="str">
        <f t="shared" si="11"/>
        <v/>
      </c>
      <c r="AW62" s="376" t="str">
        <v/>
      </c>
      <c r="AX62" s="376" t="str">
        <v/>
      </c>
    </row>
    <row r="63" spans="2:50">
      <c r="B63" s="1615"/>
      <c r="C63" s="1627" t="str">
        <f>IF(D10="No", AO53, IF(D10="Yes", AP53, ""))</f>
        <v/>
      </c>
      <c r="D63" s="1627"/>
      <c r="E63" s="1628"/>
      <c r="F63" s="1627"/>
      <c r="G63" s="1627"/>
      <c r="H63" s="1627"/>
      <c r="I63" s="1627"/>
      <c r="J63" s="1627"/>
      <c r="K63" s="1627"/>
      <c r="L63" s="1629"/>
      <c r="M63" s="770" t="str">
        <f>IF(D63="", "", IF(G11&lt;&gt;"Yes", 1, IF(D63="Existing Building", 1, MAX(AS6, AS7)+1)))</f>
        <v/>
      </c>
      <c r="N63" s="1630"/>
      <c r="O63" s="1629" t="str">
        <f t="shared" si="12"/>
        <v/>
      </c>
      <c r="P63" s="1630"/>
      <c r="Q63" s="1629" t="str">
        <f t="shared" si="10"/>
        <v/>
      </c>
      <c r="R63" s="686"/>
      <c r="S63" s="84"/>
      <c r="T63" s="84"/>
      <c r="U63" s="84"/>
      <c r="V63" s="84"/>
      <c r="W63" s="450"/>
      <c r="X63" s="450"/>
      <c r="Y63" s="450"/>
      <c r="Z63" s="450"/>
      <c r="AA63" s="450"/>
      <c r="AC63" s="450">
        <f>D9</f>
        <v>0</v>
      </c>
      <c r="AD63" s="115">
        <v>58</v>
      </c>
      <c r="AE63" s="115">
        <v>29</v>
      </c>
      <c r="AF63" s="450">
        <f>D7</f>
        <v>0</v>
      </c>
      <c r="AG63" s="115" t="s">
        <v>472</v>
      </c>
      <c r="AH63" s="115" t="str">
        <f t="shared" si="7"/>
        <v>0</v>
      </c>
      <c r="AI63" s="115" t="s">
        <v>7403</v>
      </c>
      <c r="AJ63" s="450" t="str">
        <f>D8</f>
        <v/>
      </c>
      <c r="AK63" s="115" t="str">
        <f t="shared" si="8"/>
        <v/>
      </c>
      <c r="AL63" s="115" t="s">
        <v>7403</v>
      </c>
      <c r="AM63" s="450">
        <v>58</v>
      </c>
      <c r="AN63" s="450"/>
      <c r="AO63" s="450" t="str">
        <f t="shared" si="9"/>
        <v/>
      </c>
      <c r="AP63" s="450" t="str">
        <f>IF(AD34&lt;=AC34, (CONCATENATE(AG34,AH34,AI34,AK34,AL34,AM34)),"")</f>
        <v/>
      </c>
      <c r="AQ63" s="450"/>
      <c r="AR63" s="450"/>
      <c r="AS63" s="450"/>
      <c r="AT63" s="1454"/>
      <c r="AU63" s="376" t="str">
        <f t="shared" si="5"/>
        <v/>
      </c>
      <c r="AV63" s="376" t="str">
        <f t="shared" si="11"/>
        <v/>
      </c>
      <c r="AW63" s="376" t="str">
        <v/>
      </c>
      <c r="AX63" s="376" t="str">
        <v/>
      </c>
    </row>
    <row r="64" spans="2:50">
      <c r="B64" s="1615"/>
      <c r="C64" s="1627" t="str">
        <f>IF(D10="No", AO54, IF(D10="Yes", AP54, ""))</f>
        <v/>
      </c>
      <c r="D64" s="1627"/>
      <c r="E64" s="1628"/>
      <c r="F64" s="1627"/>
      <c r="G64" s="1627"/>
      <c r="H64" s="1627"/>
      <c r="I64" s="1627"/>
      <c r="J64" s="1627"/>
      <c r="K64" s="1627"/>
      <c r="L64" s="1629"/>
      <c r="M64" s="770" t="str">
        <f>IF(D64="", "", IF(G11&lt;&gt;"Yes", 1, IF(D64="Existing Building", 1, MAX(AS6, AS7)+1)))</f>
        <v/>
      </c>
      <c r="N64" s="1630"/>
      <c r="O64" s="1629" t="str">
        <f t="shared" si="12"/>
        <v/>
      </c>
      <c r="P64" s="1630"/>
      <c r="Q64" s="1629" t="str">
        <f t="shared" si="10"/>
        <v/>
      </c>
      <c r="R64" s="686"/>
      <c r="S64" s="84"/>
      <c r="T64" s="84"/>
      <c r="U64" s="84"/>
      <c r="V64" s="84"/>
      <c r="W64" s="450"/>
      <c r="X64" s="450"/>
      <c r="Y64" s="450"/>
      <c r="Z64" s="450"/>
      <c r="AA64" s="450"/>
      <c r="AC64" s="450">
        <f>D9</f>
        <v>0</v>
      </c>
      <c r="AD64" s="115">
        <v>59</v>
      </c>
      <c r="AE64" s="115">
        <v>30</v>
      </c>
      <c r="AF64" s="450">
        <f>D7</f>
        <v>0</v>
      </c>
      <c r="AG64" s="115" t="s">
        <v>472</v>
      </c>
      <c r="AH64" s="115" t="str">
        <f t="shared" si="7"/>
        <v>0</v>
      </c>
      <c r="AI64" s="115" t="s">
        <v>7403</v>
      </c>
      <c r="AJ64" s="450" t="str">
        <f>D8</f>
        <v/>
      </c>
      <c r="AK64" s="115" t="str">
        <f t="shared" si="8"/>
        <v/>
      </c>
      <c r="AL64" s="115" t="s">
        <v>7403</v>
      </c>
      <c r="AM64" s="450">
        <v>59</v>
      </c>
      <c r="AN64" s="450"/>
      <c r="AO64" s="450" t="str">
        <f t="shared" si="9"/>
        <v/>
      </c>
      <c r="AP64" s="450" t="str">
        <f>IF(AD35&lt;=AC35, (CONCATENATE(AG35,AH35,AI35,AK35,AL35,AM35)),"")</f>
        <v/>
      </c>
      <c r="AQ64" s="450"/>
      <c r="AR64" s="450"/>
      <c r="AS64" s="450"/>
      <c r="AT64" s="1454"/>
      <c r="AU64" s="376" t="str">
        <f t="shared" si="5"/>
        <v/>
      </c>
      <c r="AV64" s="376" t="str">
        <f t="shared" si="11"/>
        <v/>
      </c>
      <c r="AW64" s="376" t="str">
        <v/>
      </c>
      <c r="AX64" s="376" t="str">
        <v/>
      </c>
    </row>
    <row r="65" spans="2:50">
      <c r="B65" s="1615"/>
      <c r="C65" s="1627" t="str">
        <f>IF(D10="No", AO55, IF(D10="Yes", AP55, ""))</f>
        <v/>
      </c>
      <c r="D65" s="1627"/>
      <c r="E65" s="1628"/>
      <c r="F65" s="1627"/>
      <c r="G65" s="1627"/>
      <c r="H65" s="1627"/>
      <c r="I65" s="1627"/>
      <c r="J65" s="1627"/>
      <c r="K65" s="1627"/>
      <c r="L65" s="1629"/>
      <c r="M65" s="770" t="str">
        <f>IF(D65="", "", IF(G11&lt;&gt;"Yes", 1, IF(D65="Existing Building", 1, MAX(AS6, AS7)+1)))</f>
        <v/>
      </c>
      <c r="N65" s="1630"/>
      <c r="O65" s="1629" t="str">
        <f t="shared" si="12"/>
        <v/>
      </c>
      <c r="P65" s="1630"/>
      <c r="Q65" s="1629" t="str">
        <f t="shared" si="10"/>
        <v/>
      </c>
      <c r="R65" s="686"/>
      <c r="S65" s="84"/>
      <c r="T65" s="84"/>
      <c r="U65" s="84"/>
      <c r="V65" s="84"/>
      <c r="W65" s="450"/>
      <c r="X65" s="450"/>
      <c r="Y65" s="450"/>
      <c r="Z65" s="450"/>
      <c r="AA65" s="450"/>
      <c r="AC65" s="450">
        <f>D9</f>
        <v>0</v>
      </c>
      <c r="AD65" s="115">
        <v>60</v>
      </c>
      <c r="AE65" s="115">
        <v>30</v>
      </c>
      <c r="AF65" s="450">
        <f>D7</f>
        <v>0</v>
      </c>
      <c r="AG65" s="115" t="s">
        <v>472</v>
      </c>
      <c r="AH65" s="115" t="str">
        <f t="shared" si="7"/>
        <v>0</v>
      </c>
      <c r="AI65" s="115" t="s">
        <v>7403</v>
      </c>
      <c r="AJ65" s="450" t="str">
        <f>D8</f>
        <v/>
      </c>
      <c r="AK65" s="115" t="str">
        <f t="shared" si="8"/>
        <v/>
      </c>
      <c r="AL65" s="115" t="s">
        <v>7403</v>
      </c>
      <c r="AM65" s="450">
        <v>60</v>
      </c>
      <c r="AN65" s="450"/>
      <c r="AO65" s="450" t="str">
        <f t="shared" si="9"/>
        <v/>
      </c>
      <c r="AP65" s="450" t="str">
        <f>IF(AD35&lt;=AC35, (CONCATENATE(AG35,AH35,AI35,AK35,AL35,AM35)),"")</f>
        <v/>
      </c>
      <c r="AQ65" s="450"/>
      <c r="AR65" s="450"/>
      <c r="AS65" s="450"/>
      <c r="AT65" s="1454"/>
      <c r="AU65" s="376" t="str">
        <f t="shared" si="5"/>
        <v/>
      </c>
      <c r="AV65" s="376" t="str">
        <f t="shared" si="11"/>
        <v/>
      </c>
      <c r="AW65" s="376" t="str">
        <v/>
      </c>
      <c r="AX65" s="376" t="str">
        <v/>
      </c>
    </row>
    <row r="66" spans="2:50">
      <c r="B66" s="1615"/>
      <c r="C66" s="769" t="str">
        <f>IF(D10="No", AO56, IF(D10="Yes", AP56, ""))</f>
        <v/>
      </c>
      <c r="D66" s="1615"/>
      <c r="E66" s="1632"/>
      <c r="F66" s="1615"/>
      <c r="G66" s="1615"/>
      <c r="H66" s="1615"/>
      <c r="I66" s="1615"/>
      <c r="J66" s="1615"/>
      <c r="K66" s="1615"/>
      <c r="L66" s="1633"/>
      <c r="M66" s="770" t="str">
        <f>IF(D66="", "", IF(G11&lt;&gt;"Yes", 1, IF(D66="Existing Building", 1, MAX(AS6, AS7)+1)))</f>
        <v/>
      </c>
      <c r="N66" s="1634"/>
      <c r="O66" s="1633" t="str">
        <f t="shared" si="12"/>
        <v/>
      </c>
      <c r="P66" s="1634"/>
      <c r="Q66" s="1633" t="str">
        <f t="shared" si="10"/>
        <v/>
      </c>
      <c r="R66" s="686"/>
      <c r="S66" s="84"/>
      <c r="T66" s="84"/>
      <c r="U66" s="84"/>
      <c r="V66" s="84"/>
      <c r="W66" s="450"/>
      <c r="X66" s="450"/>
      <c r="Y66" s="450"/>
      <c r="Z66" s="450"/>
      <c r="AA66" s="450"/>
      <c r="AC66" s="450">
        <f>D9</f>
        <v>0</v>
      </c>
      <c r="AD66" s="115">
        <v>61</v>
      </c>
      <c r="AE66" s="115">
        <v>31</v>
      </c>
      <c r="AF66" s="450">
        <f>D7</f>
        <v>0</v>
      </c>
      <c r="AG66" s="115" t="s">
        <v>472</v>
      </c>
      <c r="AH66" s="115" t="str">
        <f t="shared" si="7"/>
        <v>0</v>
      </c>
      <c r="AI66" s="115" t="s">
        <v>7403</v>
      </c>
      <c r="AJ66" s="450" t="str">
        <f>D8</f>
        <v/>
      </c>
      <c r="AK66" s="115" t="str">
        <f t="shared" si="8"/>
        <v/>
      </c>
      <c r="AL66" s="115" t="s">
        <v>7403</v>
      </c>
      <c r="AM66" s="450">
        <v>61</v>
      </c>
      <c r="AN66" s="450"/>
      <c r="AO66" s="450" t="str">
        <f t="shared" si="9"/>
        <v/>
      </c>
      <c r="AP66" s="450" t="str">
        <f>IF(AD36&lt;=AC36, (CONCATENATE(AG36,AH36,AI36,AK36,AL36,AM36)),"")</f>
        <v/>
      </c>
      <c r="AQ66" s="450"/>
      <c r="AR66" s="450"/>
      <c r="AS66" s="450"/>
      <c r="AT66" s="1454"/>
      <c r="AU66" s="376" t="str">
        <f t="shared" si="5"/>
        <v/>
      </c>
      <c r="AV66" s="376" t="str">
        <f t="shared" si="11"/>
        <v/>
      </c>
      <c r="AW66" s="376" t="str">
        <v/>
      </c>
      <c r="AX66" s="376" t="str">
        <v/>
      </c>
    </row>
    <row r="67" spans="2:50">
      <c r="B67" s="1615"/>
      <c r="C67" s="1615" t="str">
        <f>IF(D10="No", AO57, IF(D10="Yes", AP57, ""))</f>
        <v/>
      </c>
      <c r="D67" s="1615"/>
      <c r="E67" s="1632"/>
      <c r="F67" s="1615"/>
      <c r="G67" s="1615"/>
      <c r="H67" s="1615"/>
      <c r="I67" s="1615"/>
      <c r="J67" s="1615"/>
      <c r="K67" s="1615"/>
      <c r="L67" s="1633"/>
      <c r="M67" s="770" t="str">
        <f>IF(D67="", "", IF(G11&lt;&gt;"Yes", 1, IF(D67="Existing Building", 1, MAX(AS6, AS7)+1)))</f>
        <v/>
      </c>
      <c r="N67" s="1634"/>
      <c r="O67" s="1633" t="str">
        <f t="shared" si="12"/>
        <v/>
      </c>
      <c r="P67" s="1634"/>
      <c r="Q67" s="1633" t="str">
        <f t="shared" si="10"/>
        <v/>
      </c>
      <c r="R67" s="686"/>
      <c r="S67" s="84"/>
      <c r="T67" s="84"/>
      <c r="U67" s="84"/>
      <c r="V67" s="84"/>
      <c r="W67" s="450"/>
      <c r="X67" s="450"/>
      <c r="Y67" s="450"/>
      <c r="Z67" s="450"/>
      <c r="AA67" s="450"/>
      <c r="AC67" s="450">
        <f>D9</f>
        <v>0</v>
      </c>
      <c r="AD67" s="115">
        <v>62</v>
      </c>
      <c r="AE67" s="115">
        <v>31</v>
      </c>
      <c r="AF67" s="450">
        <f>D7</f>
        <v>0</v>
      </c>
      <c r="AG67" s="115" t="s">
        <v>472</v>
      </c>
      <c r="AH67" s="115" t="str">
        <f t="shared" si="7"/>
        <v>0</v>
      </c>
      <c r="AI67" s="115" t="s">
        <v>7403</v>
      </c>
      <c r="AJ67" s="450" t="str">
        <f>D8</f>
        <v/>
      </c>
      <c r="AK67" s="115" t="str">
        <f t="shared" si="8"/>
        <v/>
      </c>
      <c r="AL67" s="115" t="s">
        <v>7403</v>
      </c>
      <c r="AM67" s="450">
        <v>62</v>
      </c>
      <c r="AN67" s="450"/>
      <c r="AO67" s="450" t="str">
        <f t="shared" si="9"/>
        <v/>
      </c>
      <c r="AP67" s="450" t="str">
        <f>IF(AD36&lt;=AC36, (CONCATENATE(AG36,AH36,AI36,AK36,AL36,AM36)),"")</f>
        <v/>
      </c>
      <c r="AQ67" s="450"/>
      <c r="AR67" s="450"/>
      <c r="AS67" s="450"/>
      <c r="AT67" s="1454"/>
      <c r="AU67" s="376" t="str">
        <f t="shared" si="5"/>
        <v/>
      </c>
      <c r="AV67" s="376" t="str">
        <f t="shared" si="11"/>
        <v/>
      </c>
      <c r="AW67" s="376" t="str">
        <v/>
      </c>
      <c r="AX67" s="376" t="str">
        <v/>
      </c>
    </row>
    <row r="68" spans="2:50">
      <c r="B68" s="1615"/>
      <c r="C68" s="1615" t="str">
        <f>IF(D10="No", AO58, IF(D10="Yes", AP58, ""))</f>
        <v/>
      </c>
      <c r="D68" s="1615"/>
      <c r="E68" s="1632"/>
      <c r="F68" s="1615"/>
      <c r="G68" s="1615"/>
      <c r="H68" s="1615"/>
      <c r="I68" s="1615"/>
      <c r="J68" s="1615"/>
      <c r="K68" s="1615"/>
      <c r="L68" s="1633"/>
      <c r="M68" s="770" t="str">
        <f>IF(D68="", "", IF(G11&lt;&gt;"Yes", 1, IF(D68="Existing Building", 1, MAX(AS6, AS7)+1)))</f>
        <v/>
      </c>
      <c r="N68" s="1634"/>
      <c r="O68" s="1633" t="str">
        <f t="shared" si="12"/>
        <v/>
      </c>
      <c r="P68" s="1634"/>
      <c r="Q68" s="1633" t="str">
        <f t="shared" si="10"/>
        <v/>
      </c>
      <c r="R68" s="686"/>
      <c r="S68" s="84"/>
      <c r="T68" s="84"/>
      <c r="U68" s="84"/>
      <c r="V68" s="84"/>
      <c r="W68" s="450"/>
      <c r="X68" s="450"/>
      <c r="Y68" s="450"/>
      <c r="Z68" s="450"/>
      <c r="AA68" s="450"/>
      <c r="AC68" s="450">
        <f>D9</f>
        <v>0</v>
      </c>
      <c r="AD68" s="115">
        <v>63</v>
      </c>
      <c r="AE68" s="115">
        <v>32</v>
      </c>
      <c r="AF68" s="450">
        <f>D7</f>
        <v>0</v>
      </c>
      <c r="AG68" s="115" t="s">
        <v>472</v>
      </c>
      <c r="AH68" s="115" t="str">
        <f t="shared" si="7"/>
        <v>0</v>
      </c>
      <c r="AI68" s="115" t="s">
        <v>7403</v>
      </c>
      <c r="AJ68" s="450" t="str">
        <f>D8</f>
        <v/>
      </c>
      <c r="AK68" s="115" t="str">
        <f t="shared" si="8"/>
        <v/>
      </c>
      <c r="AL68" s="115" t="s">
        <v>7403</v>
      </c>
      <c r="AM68" s="450">
        <v>63</v>
      </c>
      <c r="AN68" s="450"/>
      <c r="AO68" s="450" t="str">
        <f t="shared" si="9"/>
        <v/>
      </c>
      <c r="AP68" s="450" t="str">
        <f>IF(AD37&lt;=AC37, (CONCATENATE(AG37,AH37,AI37,AK37,AL37,AM37)),"")</f>
        <v/>
      </c>
      <c r="AQ68" s="450"/>
      <c r="AR68" s="450"/>
      <c r="AS68" s="450"/>
      <c r="AT68" s="1454"/>
      <c r="AU68" s="376" t="str">
        <f t="shared" si="5"/>
        <v/>
      </c>
      <c r="AV68" s="376" t="str">
        <f t="shared" si="11"/>
        <v/>
      </c>
      <c r="AW68" s="376" t="str">
        <v/>
      </c>
      <c r="AX68" s="376" t="str">
        <v/>
      </c>
    </row>
    <row r="69" spans="2:50">
      <c r="B69" s="1615"/>
      <c r="C69" s="1615" t="str">
        <f>IF(D10="No", AO59, IF(D10="Yes", AP59, ""))</f>
        <v/>
      </c>
      <c r="D69" s="1615"/>
      <c r="E69" s="1632"/>
      <c r="F69" s="1615"/>
      <c r="G69" s="1615"/>
      <c r="H69" s="1615"/>
      <c r="I69" s="1615"/>
      <c r="J69" s="1615"/>
      <c r="K69" s="1615"/>
      <c r="L69" s="1633"/>
      <c r="M69" s="770" t="str">
        <f>IF(D69="", "", IF(G11&lt;&gt;"Yes", 1, IF(D69="Existing Building", 1, MAX(AS6, AS7)+1)))</f>
        <v/>
      </c>
      <c r="N69" s="1634"/>
      <c r="O69" s="1633" t="str">
        <f t="shared" si="12"/>
        <v/>
      </c>
      <c r="P69" s="1634"/>
      <c r="Q69" s="1633" t="str">
        <f t="shared" si="10"/>
        <v/>
      </c>
      <c r="R69" s="686"/>
      <c r="S69" s="84"/>
      <c r="T69" s="84"/>
      <c r="U69" s="84"/>
      <c r="V69" s="84"/>
      <c r="W69" s="450"/>
      <c r="X69" s="450"/>
      <c r="Y69" s="450"/>
      <c r="Z69" s="450"/>
      <c r="AA69" s="450"/>
      <c r="AC69" s="450">
        <f>D9</f>
        <v>0</v>
      </c>
      <c r="AD69" s="115">
        <v>64</v>
      </c>
      <c r="AE69" s="115">
        <v>32</v>
      </c>
      <c r="AF69" s="450">
        <f>D7</f>
        <v>0</v>
      </c>
      <c r="AG69" s="115" t="s">
        <v>472</v>
      </c>
      <c r="AH69" s="115" t="str">
        <f t="shared" si="7"/>
        <v>0</v>
      </c>
      <c r="AI69" s="115" t="s">
        <v>7403</v>
      </c>
      <c r="AJ69" s="450" t="str">
        <f>D8</f>
        <v/>
      </c>
      <c r="AK69" s="115" t="str">
        <f t="shared" si="8"/>
        <v/>
      </c>
      <c r="AL69" s="115" t="s">
        <v>7403</v>
      </c>
      <c r="AM69" s="450">
        <v>64</v>
      </c>
      <c r="AN69" s="450"/>
      <c r="AO69" s="450" t="str">
        <f t="shared" si="9"/>
        <v/>
      </c>
      <c r="AP69" s="450" t="str">
        <f>IF(AD37&lt;=AC37, (CONCATENATE(AG37,AH37,AI37,AK37,AL37,AM37)),"")</f>
        <v/>
      </c>
      <c r="AQ69" s="450"/>
      <c r="AR69" s="450"/>
      <c r="AS69" s="450"/>
      <c r="AT69" s="1454"/>
      <c r="AU69" s="376" t="str">
        <f t="shared" si="5"/>
        <v/>
      </c>
      <c r="AV69" s="376" t="str">
        <f t="shared" si="11"/>
        <v/>
      </c>
      <c r="AW69" s="376" t="str">
        <v/>
      </c>
      <c r="AX69" s="376" t="str">
        <v/>
      </c>
    </row>
    <row r="70" spans="2:50">
      <c r="B70" s="1615"/>
      <c r="C70" s="1615" t="str">
        <f>IF(D10="No", AO60, IF(D10="Yes", AP60, ""))</f>
        <v/>
      </c>
      <c r="D70" s="1615"/>
      <c r="E70" s="1632"/>
      <c r="F70" s="1615"/>
      <c r="G70" s="1615"/>
      <c r="H70" s="1615"/>
      <c r="I70" s="1615"/>
      <c r="J70" s="1615"/>
      <c r="K70" s="1615"/>
      <c r="L70" s="1633"/>
      <c r="M70" s="770" t="str">
        <f>IF(D70="", "", IF(G11&lt;&gt;"Yes", 1, IF(D70="Existing Building", 1, MAX(AS6, AS7)+1)))</f>
        <v/>
      </c>
      <c r="N70" s="1634"/>
      <c r="O70" s="1633" t="str">
        <f t="shared" si="12"/>
        <v/>
      </c>
      <c r="P70" s="1634"/>
      <c r="Q70" s="1633" t="str">
        <f t="shared" si="10"/>
        <v/>
      </c>
      <c r="R70" s="686"/>
      <c r="S70" s="84"/>
      <c r="T70" s="84"/>
      <c r="U70" s="84"/>
      <c r="V70" s="84"/>
      <c r="W70" s="450"/>
      <c r="X70" s="450"/>
      <c r="Y70" s="450"/>
      <c r="Z70" s="450"/>
      <c r="AA70" s="450"/>
      <c r="AC70" s="450">
        <f>D9</f>
        <v>0</v>
      </c>
      <c r="AD70" s="115">
        <v>65</v>
      </c>
      <c r="AE70" s="115">
        <v>33</v>
      </c>
      <c r="AF70" s="450">
        <f>D7</f>
        <v>0</v>
      </c>
      <c r="AG70" s="115" t="s">
        <v>472</v>
      </c>
      <c r="AH70" s="115" t="str">
        <f t="shared" ref="AH70:AH105" si="13">RIGHT(AF70,2)</f>
        <v>0</v>
      </c>
      <c r="AI70" s="115" t="s">
        <v>7403</v>
      </c>
      <c r="AJ70" s="450" t="str">
        <f>D8</f>
        <v/>
      </c>
      <c r="AK70" s="115" t="str">
        <f t="shared" ref="AK70:AK101" si="14">RIGHT(AJ70,3)</f>
        <v/>
      </c>
      <c r="AL70" s="115" t="s">
        <v>7403</v>
      </c>
      <c r="AM70" s="450">
        <v>65</v>
      </c>
      <c r="AN70" s="450"/>
      <c r="AO70" s="450" t="str">
        <f t="shared" ref="AO70:AO105" si="15">IF(AD70&lt;=AC70, (CONCATENATE(AG70,AH70,AI70,AK70,AL70,AM70)),"")</f>
        <v/>
      </c>
      <c r="AP70" s="450" t="str">
        <f>IF(AD38&lt;=AC38, (CONCATENATE(AG38,AH38,AI38,AK38,AL38,AM38)),"")</f>
        <v/>
      </c>
      <c r="AQ70" s="450"/>
      <c r="AR70" s="450"/>
      <c r="AS70" s="450"/>
      <c r="AT70" s="1454"/>
      <c r="AU70" s="376" t="str">
        <f t="shared" si="5"/>
        <v/>
      </c>
      <c r="AV70" s="376" t="str">
        <f t="shared" si="11"/>
        <v/>
      </c>
      <c r="AW70" s="376" t="str">
        <v/>
      </c>
      <c r="AX70" s="376" t="str">
        <v/>
      </c>
    </row>
    <row r="71" spans="2:50">
      <c r="B71" s="1615"/>
      <c r="C71" s="1615" t="str">
        <f>IF(D10="No", AO61, IF(D10="Yes", AP61, ""))</f>
        <v/>
      </c>
      <c r="D71" s="1615"/>
      <c r="E71" s="1632"/>
      <c r="F71" s="1615"/>
      <c r="G71" s="1615"/>
      <c r="H71" s="1615"/>
      <c r="I71" s="1615"/>
      <c r="J71" s="1615"/>
      <c r="K71" s="1615"/>
      <c r="L71" s="1633"/>
      <c r="M71" s="770" t="str">
        <f>IF(D71="", "", IF(G11&lt;&gt;"Yes", 1, IF(D71="Existing Building", 1, MAX(AS6, AS7)+1)))</f>
        <v/>
      </c>
      <c r="N71" s="1634"/>
      <c r="O71" s="1633" t="str">
        <f t="shared" si="12"/>
        <v/>
      </c>
      <c r="P71" s="1634"/>
      <c r="Q71" s="1633" t="str">
        <f t="shared" si="10"/>
        <v/>
      </c>
      <c r="R71" s="686"/>
      <c r="S71" s="84"/>
      <c r="T71" s="84"/>
      <c r="U71" s="84"/>
      <c r="V71" s="84"/>
      <c r="W71" s="450"/>
      <c r="X71" s="450"/>
      <c r="Y71" s="450"/>
      <c r="Z71" s="450"/>
      <c r="AA71" s="450"/>
      <c r="AC71" s="450">
        <f>D9</f>
        <v>0</v>
      </c>
      <c r="AD71" s="115">
        <v>66</v>
      </c>
      <c r="AE71" s="115">
        <v>33</v>
      </c>
      <c r="AF71" s="450">
        <f>D7</f>
        <v>0</v>
      </c>
      <c r="AG71" s="115" t="s">
        <v>472</v>
      </c>
      <c r="AH71" s="115" t="str">
        <f t="shared" si="13"/>
        <v>0</v>
      </c>
      <c r="AI71" s="115" t="s">
        <v>7403</v>
      </c>
      <c r="AJ71" s="450" t="str">
        <f>D8</f>
        <v/>
      </c>
      <c r="AK71" s="115" t="str">
        <f t="shared" si="14"/>
        <v/>
      </c>
      <c r="AL71" s="115" t="s">
        <v>7403</v>
      </c>
      <c r="AM71" s="450">
        <v>66</v>
      </c>
      <c r="AN71" s="450"/>
      <c r="AO71" s="450" t="str">
        <f t="shared" si="15"/>
        <v/>
      </c>
      <c r="AP71" s="450" t="str">
        <f>IF(AD38&lt;=AC38, (CONCATENATE(AG38,AH38,AI38,AK38,AL38,AM38)),"")</f>
        <v/>
      </c>
      <c r="AQ71" s="450"/>
      <c r="AR71" s="450"/>
      <c r="AS71" s="450"/>
      <c r="AT71" s="1454"/>
      <c r="AU71" s="376" t="str">
        <f t="shared" si="5"/>
        <v/>
      </c>
      <c r="AV71" s="376" t="str">
        <f t="shared" si="11"/>
        <v/>
      </c>
      <c r="AW71" s="376" t="str">
        <v/>
      </c>
      <c r="AX71" s="376" t="str">
        <v/>
      </c>
    </row>
    <row r="72" spans="2:50">
      <c r="B72" s="1615"/>
      <c r="C72" s="1615" t="str">
        <f>IF(D10="No", AO62, IF(D10="Yes", AP62, ""))</f>
        <v/>
      </c>
      <c r="D72" s="1615"/>
      <c r="E72" s="1632"/>
      <c r="F72" s="1615"/>
      <c r="G72" s="1615"/>
      <c r="H72" s="1615"/>
      <c r="I72" s="1615"/>
      <c r="J72" s="1615"/>
      <c r="K72" s="1615"/>
      <c r="L72" s="1633"/>
      <c r="M72" s="770" t="str">
        <f>IF(D72="", "", IF(G11&lt;&gt;"Yes", 1, IF(D72="Existing Building", 1, MAX(AS6, AS7)+1)))</f>
        <v/>
      </c>
      <c r="N72" s="1634"/>
      <c r="O72" s="1633" t="str">
        <f t="shared" si="12"/>
        <v/>
      </c>
      <c r="P72" s="1634"/>
      <c r="Q72" s="1633" t="str">
        <f t="shared" si="10"/>
        <v/>
      </c>
      <c r="R72" s="686"/>
      <c r="S72" s="84"/>
      <c r="T72" s="84"/>
      <c r="U72" s="84"/>
      <c r="V72" s="84"/>
      <c r="W72" s="450"/>
      <c r="X72" s="450"/>
      <c r="Y72" s="450"/>
      <c r="Z72" s="450"/>
      <c r="AA72" s="450"/>
      <c r="AC72" s="450">
        <f>D9</f>
        <v>0</v>
      </c>
      <c r="AD72" s="115">
        <v>67</v>
      </c>
      <c r="AE72" s="115">
        <v>34</v>
      </c>
      <c r="AF72" s="450">
        <f>D7</f>
        <v>0</v>
      </c>
      <c r="AG72" s="115" t="s">
        <v>472</v>
      </c>
      <c r="AH72" s="115" t="str">
        <f t="shared" si="13"/>
        <v>0</v>
      </c>
      <c r="AI72" s="115" t="s">
        <v>7403</v>
      </c>
      <c r="AJ72" s="450" t="str">
        <f>D8</f>
        <v/>
      </c>
      <c r="AK72" s="115" t="str">
        <f t="shared" si="14"/>
        <v/>
      </c>
      <c r="AL72" s="115" t="s">
        <v>7403</v>
      </c>
      <c r="AM72" s="450">
        <v>67</v>
      </c>
      <c r="AN72" s="450"/>
      <c r="AO72" s="450" t="str">
        <f t="shared" si="15"/>
        <v/>
      </c>
      <c r="AP72" s="450" t="str">
        <f>IF(AD39&lt;=AC39, (CONCATENATE(AG39,AH39,AI39,AK39,AL39,AM39)),"")</f>
        <v/>
      </c>
      <c r="AQ72" s="450"/>
      <c r="AR72" s="450"/>
      <c r="AS72" s="450"/>
      <c r="AT72" s="1454"/>
      <c r="AU72" s="376" t="str">
        <f t="shared" si="5"/>
        <v/>
      </c>
      <c r="AV72" s="376" t="str">
        <f t="shared" si="11"/>
        <v/>
      </c>
      <c r="AW72" s="376" t="str">
        <v/>
      </c>
      <c r="AX72" s="376" t="str">
        <v/>
      </c>
    </row>
    <row r="73" spans="2:50">
      <c r="B73" s="1615"/>
      <c r="C73" s="1615" t="str">
        <f>IF(D10="No", AO63, IF(D10="Yes", AP63, ""))</f>
        <v/>
      </c>
      <c r="D73" s="1615"/>
      <c r="E73" s="1632"/>
      <c r="F73" s="1615"/>
      <c r="G73" s="1615"/>
      <c r="H73" s="1615"/>
      <c r="I73" s="1615"/>
      <c r="J73" s="1615"/>
      <c r="K73" s="1615"/>
      <c r="L73" s="1633"/>
      <c r="M73" s="770" t="str">
        <f>IF(D73="", "", IF(G11&lt;&gt;"Yes", 1, IF(D73="Existing Building", 1, MAX(AS6, AS7)+1)))</f>
        <v/>
      </c>
      <c r="N73" s="1634"/>
      <c r="O73" s="1633" t="str">
        <f t="shared" si="12"/>
        <v/>
      </c>
      <c r="P73" s="1634"/>
      <c r="Q73" s="1633" t="str">
        <f t="shared" si="10"/>
        <v/>
      </c>
      <c r="R73" s="686"/>
      <c r="S73" s="84"/>
      <c r="T73" s="84"/>
      <c r="U73" s="84"/>
      <c r="V73" s="84"/>
      <c r="W73" s="450"/>
      <c r="X73" s="450"/>
      <c r="Y73" s="450"/>
      <c r="Z73" s="450"/>
      <c r="AA73" s="450"/>
      <c r="AC73" s="450">
        <f>D9</f>
        <v>0</v>
      </c>
      <c r="AD73" s="115">
        <v>68</v>
      </c>
      <c r="AE73" s="115">
        <v>34</v>
      </c>
      <c r="AF73" s="450">
        <f>D7</f>
        <v>0</v>
      </c>
      <c r="AG73" s="115" t="s">
        <v>472</v>
      </c>
      <c r="AH73" s="115" t="str">
        <f t="shared" si="13"/>
        <v>0</v>
      </c>
      <c r="AI73" s="115" t="s">
        <v>7403</v>
      </c>
      <c r="AJ73" s="450" t="str">
        <f>D8</f>
        <v/>
      </c>
      <c r="AK73" s="115" t="str">
        <f t="shared" si="14"/>
        <v/>
      </c>
      <c r="AL73" s="115" t="s">
        <v>7403</v>
      </c>
      <c r="AM73" s="450">
        <v>68</v>
      </c>
      <c r="AN73" s="450"/>
      <c r="AO73" s="450" t="str">
        <f t="shared" si="15"/>
        <v/>
      </c>
      <c r="AP73" s="450" t="str">
        <f>IF(AD39&lt;=AC39, (CONCATENATE(AG39,AH39,AI39,AK39,AL39,AM39)),"")</f>
        <v/>
      </c>
      <c r="AQ73" s="450"/>
      <c r="AR73" s="450"/>
      <c r="AS73" s="450"/>
      <c r="AT73" s="1454"/>
      <c r="AU73" s="376" t="str">
        <f t="shared" si="5"/>
        <v/>
      </c>
      <c r="AV73" s="376" t="str">
        <f t="shared" si="11"/>
        <v/>
      </c>
      <c r="AW73" s="376" t="str">
        <v/>
      </c>
      <c r="AX73" s="376" t="str">
        <v/>
      </c>
    </row>
    <row r="74" spans="2:50">
      <c r="B74" s="1615"/>
      <c r="C74" s="1615" t="str">
        <f>IF(D10="No", AO64, IF(D10="Yes", AP64, ""))</f>
        <v/>
      </c>
      <c r="D74" s="1615"/>
      <c r="E74" s="1632"/>
      <c r="F74" s="1615"/>
      <c r="G74" s="1615"/>
      <c r="H74" s="1615"/>
      <c r="I74" s="1615"/>
      <c r="J74" s="1615"/>
      <c r="K74" s="1615"/>
      <c r="L74" s="1633"/>
      <c r="M74" s="770" t="str">
        <f>IF(D74="", "", IF(G11&lt;&gt;"Yes", 1, IF(D74="Existing Building", 1, MAX(AS6, AS7)+1)))</f>
        <v/>
      </c>
      <c r="N74" s="1634"/>
      <c r="O74" s="1633" t="str">
        <f t="shared" si="12"/>
        <v/>
      </c>
      <c r="P74" s="1634"/>
      <c r="Q74" s="1633" t="str">
        <f t="shared" si="10"/>
        <v/>
      </c>
      <c r="R74" s="686"/>
      <c r="S74" s="84"/>
      <c r="T74" s="84"/>
      <c r="U74" s="84"/>
      <c r="V74" s="84"/>
      <c r="W74" s="450"/>
      <c r="X74" s="450"/>
      <c r="Y74" s="450"/>
      <c r="Z74" s="450"/>
      <c r="AA74" s="450"/>
      <c r="AC74" s="450">
        <f>D9</f>
        <v>0</v>
      </c>
      <c r="AD74" s="115">
        <v>69</v>
      </c>
      <c r="AE74" s="115">
        <v>35</v>
      </c>
      <c r="AF74" s="450">
        <f>D7</f>
        <v>0</v>
      </c>
      <c r="AG74" s="115" t="s">
        <v>472</v>
      </c>
      <c r="AH74" s="115" t="str">
        <f t="shared" si="13"/>
        <v>0</v>
      </c>
      <c r="AI74" s="115" t="s">
        <v>7403</v>
      </c>
      <c r="AJ74" s="450" t="str">
        <f>D8</f>
        <v/>
      </c>
      <c r="AK74" s="115" t="str">
        <f t="shared" si="14"/>
        <v/>
      </c>
      <c r="AL74" s="115" t="s">
        <v>7403</v>
      </c>
      <c r="AM74" s="450">
        <v>69</v>
      </c>
      <c r="AN74" s="450"/>
      <c r="AO74" s="450" t="str">
        <f t="shared" si="15"/>
        <v/>
      </c>
      <c r="AP74" s="450" t="str">
        <f>IF(AD40&lt;=AC40, (CONCATENATE(AG40,AH40,AI40,AK40,AL40,AM40)),"")</f>
        <v/>
      </c>
      <c r="AQ74" s="450"/>
      <c r="AR74" s="450"/>
      <c r="AS74" s="450"/>
      <c r="AT74" s="1454"/>
      <c r="AU74" s="376" t="str">
        <f t="shared" si="5"/>
        <v/>
      </c>
      <c r="AV74" s="376" t="str">
        <f t="shared" si="11"/>
        <v/>
      </c>
      <c r="AW74" s="376" t="str">
        <v/>
      </c>
      <c r="AX74" s="376" t="str">
        <v/>
      </c>
    </row>
    <row r="75" spans="2:50">
      <c r="B75" s="1615"/>
      <c r="C75" s="1615" t="str">
        <f>IF(D10="No", AO65, IF(D10="Yes", AP65, ""))</f>
        <v/>
      </c>
      <c r="D75" s="1615"/>
      <c r="E75" s="1632"/>
      <c r="F75" s="1615"/>
      <c r="G75" s="1615"/>
      <c r="H75" s="1615"/>
      <c r="I75" s="1615"/>
      <c r="J75" s="1615"/>
      <c r="K75" s="1615"/>
      <c r="L75" s="1633"/>
      <c r="M75" s="770" t="str">
        <f>IF(D75="", "", IF(G11&lt;&gt;"Yes", 1, IF(D75="Existing Building", 1, MAX(AS6, AS7)+1)))</f>
        <v/>
      </c>
      <c r="N75" s="1634"/>
      <c r="O75" s="1633" t="str">
        <f t="shared" si="12"/>
        <v/>
      </c>
      <c r="P75" s="1634"/>
      <c r="Q75" s="1633" t="str">
        <f t="shared" si="10"/>
        <v/>
      </c>
      <c r="R75" s="686"/>
      <c r="S75" s="84"/>
      <c r="T75" s="84"/>
      <c r="U75" s="84"/>
      <c r="V75" s="84"/>
      <c r="W75" s="450"/>
      <c r="X75" s="450"/>
      <c r="Y75" s="450"/>
      <c r="Z75" s="450"/>
      <c r="AA75" s="450"/>
      <c r="AC75" s="450">
        <f>D9</f>
        <v>0</v>
      </c>
      <c r="AD75" s="115">
        <v>70</v>
      </c>
      <c r="AE75" s="115">
        <v>35</v>
      </c>
      <c r="AF75" s="450">
        <f>D7</f>
        <v>0</v>
      </c>
      <c r="AG75" s="115" t="s">
        <v>472</v>
      </c>
      <c r="AH75" s="115" t="str">
        <f t="shared" si="13"/>
        <v>0</v>
      </c>
      <c r="AI75" s="115" t="s">
        <v>7403</v>
      </c>
      <c r="AJ75" s="450" t="str">
        <f>D8</f>
        <v/>
      </c>
      <c r="AK75" s="115" t="str">
        <f t="shared" si="14"/>
        <v/>
      </c>
      <c r="AL75" s="115" t="s">
        <v>7403</v>
      </c>
      <c r="AM75" s="450">
        <v>70</v>
      </c>
      <c r="AN75" s="450"/>
      <c r="AO75" s="450" t="str">
        <f t="shared" si="15"/>
        <v/>
      </c>
      <c r="AP75" s="450" t="str">
        <f>IF(AD40&lt;=AC40, (CONCATENATE(AG40,AH40,AI40,AK40,AL40,AM40)),"")</f>
        <v/>
      </c>
      <c r="AQ75" s="450"/>
      <c r="AR75" s="450"/>
      <c r="AS75" s="450"/>
      <c r="AT75" s="1454"/>
      <c r="AU75" s="376" t="str">
        <f t="shared" si="5"/>
        <v/>
      </c>
      <c r="AV75" s="376" t="str">
        <f t="shared" si="11"/>
        <v/>
      </c>
      <c r="AW75" s="376" t="str">
        <v/>
      </c>
      <c r="AX75" s="376" t="str">
        <v/>
      </c>
    </row>
    <row r="76" spans="2:50">
      <c r="B76" s="1615"/>
      <c r="C76" s="1615" t="str">
        <f>IF(D10="No", AO66, IF(D10="Yes", AP66, ""))</f>
        <v/>
      </c>
      <c r="D76" s="1615"/>
      <c r="E76" s="1632"/>
      <c r="F76" s="1615"/>
      <c r="G76" s="1615"/>
      <c r="H76" s="1615"/>
      <c r="I76" s="1615"/>
      <c r="J76" s="1615"/>
      <c r="K76" s="1615"/>
      <c r="L76" s="1633"/>
      <c r="M76" s="770" t="str">
        <f>IF(D76="", "", IF(G11&lt;&gt;"Yes", 1, IF(D76="Existing Building", 1, MAX(AS6, AS7)+1)))</f>
        <v/>
      </c>
      <c r="N76" s="1634"/>
      <c r="O76" s="1633" t="str">
        <f t="shared" si="12"/>
        <v/>
      </c>
      <c r="P76" s="1634"/>
      <c r="Q76" s="1633" t="str">
        <f t="shared" si="10"/>
        <v/>
      </c>
      <c r="R76" s="686"/>
      <c r="S76" s="84"/>
      <c r="T76" s="84"/>
      <c r="U76" s="84"/>
      <c r="V76" s="84"/>
      <c r="W76" s="450"/>
      <c r="X76" s="450"/>
      <c r="Y76" s="450"/>
      <c r="Z76" s="450"/>
      <c r="AA76" s="450"/>
      <c r="AC76" s="450">
        <f>D9</f>
        <v>0</v>
      </c>
      <c r="AD76" s="115">
        <v>71</v>
      </c>
      <c r="AE76" s="115">
        <v>36</v>
      </c>
      <c r="AF76" s="450">
        <f>D7</f>
        <v>0</v>
      </c>
      <c r="AG76" s="115" t="s">
        <v>472</v>
      </c>
      <c r="AH76" s="115" t="str">
        <f t="shared" si="13"/>
        <v>0</v>
      </c>
      <c r="AI76" s="115" t="s">
        <v>7403</v>
      </c>
      <c r="AJ76" s="450" t="str">
        <f>D8</f>
        <v/>
      </c>
      <c r="AK76" s="115" t="str">
        <f t="shared" si="14"/>
        <v/>
      </c>
      <c r="AL76" s="115" t="s">
        <v>7403</v>
      </c>
      <c r="AM76" s="450">
        <v>71</v>
      </c>
      <c r="AN76" s="450"/>
      <c r="AO76" s="450" t="str">
        <f t="shared" si="15"/>
        <v/>
      </c>
      <c r="AP76" s="450" t="str">
        <f>IF(AD41&lt;=AC41, (CONCATENATE(AG41,AH41,AI41,AK41,AL41,AM41)),"")</f>
        <v/>
      </c>
      <c r="AQ76" s="450"/>
      <c r="AR76" s="450"/>
      <c r="AS76" s="450"/>
      <c r="AT76" s="1454"/>
      <c r="AU76" s="376" t="str">
        <f t="shared" si="5"/>
        <v/>
      </c>
      <c r="AV76" s="376" t="str">
        <f t="shared" si="11"/>
        <v/>
      </c>
      <c r="AW76" s="376" t="str">
        <v/>
      </c>
      <c r="AX76" s="376" t="str">
        <v/>
      </c>
    </row>
    <row r="77" spans="2:50">
      <c r="B77" s="1615"/>
      <c r="C77" s="1615" t="str">
        <f>IF(D10="No", AO67, IF(D10="Yes", AP67, ""))</f>
        <v/>
      </c>
      <c r="D77" s="1615"/>
      <c r="E77" s="1632"/>
      <c r="F77" s="1615"/>
      <c r="G77" s="1615"/>
      <c r="H77" s="1615"/>
      <c r="I77" s="1615"/>
      <c r="J77" s="1615"/>
      <c r="K77" s="1615"/>
      <c r="L77" s="1633"/>
      <c r="M77" s="770" t="str">
        <f>IF(D77="", "", IF(G11&lt;&gt;"Yes", 1, IF(D77="Existing Building", 1, MAX(AS6, AS7)+1)))</f>
        <v/>
      </c>
      <c r="N77" s="1634"/>
      <c r="O77" s="1633" t="str">
        <f t="shared" si="12"/>
        <v/>
      </c>
      <c r="P77" s="1634"/>
      <c r="Q77" s="1633" t="str">
        <f t="shared" si="10"/>
        <v/>
      </c>
      <c r="R77" s="686"/>
      <c r="S77" s="84"/>
      <c r="T77" s="84"/>
      <c r="U77" s="84"/>
      <c r="V77" s="84"/>
      <c r="W77" s="450"/>
      <c r="X77" s="450"/>
      <c r="Y77" s="450"/>
      <c r="Z77" s="450"/>
      <c r="AA77" s="450"/>
      <c r="AC77" s="450">
        <f>D9</f>
        <v>0</v>
      </c>
      <c r="AD77" s="115">
        <v>72</v>
      </c>
      <c r="AE77" s="115">
        <v>36</v>
      </c>
      <c r="AF77" s="450">
        <f>D7</f>
        <v>0</v>
      </c>
      <c r="AG77" s="115" t="s">
        <v>472</v>
      </c>
      <c r="AH77" s="115" t="str">
        <f t="shared" si="13"/>
        <v>0</v>
      </c>
      <c r="AI77" s="115" t="s">
        <v>7403</v>
      </c>
      <c r="AJ77" s="450" t="str">
        <f>D8</f>
        <v/>
      </c>
      <c r="AK77" s="115" t="str">
        <f t="shared" si="14"/>
        <v/>
      </c>
      <c r="AL77" s="115" t="s">
        <v>7403</v>
      </c>
      <c r="AM77" s="450">
        <v>72</v>
      </c>
      <c r="AN77" s="450"/>
      <c r="AO77" s="450" t="str">
        <f t="shared" si="15"/>
        <v/>
      </c>
      <c r="AP77" s="450" t="str">
        <f>IF(AD41&lt;=AC41, (CONCATENATE(AG41,AH41,AI41,AK41,AL41,AM41)),"")</f>
        <v/>
      </c>
      <c r="AQ77" s="450"/>
      <c r="AR77" s="450"/>
      <c r="AS77" s="450"/>
      <c r="AT77" s="1454"/>
      <c r="AU77" s="376" t="str">
        <f t="shared" si="5"/>
        <v/>
      </c>
      <c r="AV77" s="376" t="str">
        <f t="shared" si="11"/>
        <v/>
      </c>
      <c r="AW77" s="376" t="str">
        <v/>
      </c>
      <c r="AX77" s="376" t="str">
        <v/>
      </c>
    </row>
    <row r="78" spans="2:50">
      <c r="B78" s="1615"/>
      <c r="C78" s="1615" t="str">
        <f>IF(D10="No", AO68, IF(D10="Yes", AP68, ""))</f>
        <v/>
      </c>
      <c r="D78" s="1615"/>
      <c r="E78" s="1632"/>
      <c r="F78" s="1615"/>
      <c r="G78" s="1615"/>
      <c r="H78" s="1615"/>
      <c r="I78" s="1615"/>
      <c r="J78" s="1615"/>
      <c r="K78" s="1615"/>
      <c r="L78" s="1633"/>
      <c r="M78" s="770" t="str">
        <f>IF(D78="", "", IF(G11&lt;&gt;"Yes", 1, IF(D78="Existing Building", 1, MAX(AS6, AS7)+1)))</f>
        <v/>
      </c>
      <c r="N78" s="1634"/>
      <c r="O78" s="1633" t="str">
        <f t="shared" si="12"/>
        <v/>
      </c>
      <c r="P78" s="1634"/>
      <c r="Q78" s="1633" t="str">
        <f t="shared" si="10"/>
        <v/>
      </c>
      <c r="R78" s="686"/>
      <c r="S78" s="84"/>
      <c r="T78" s="84"/>
      <c r="U78" s="84"/>
      <c r="V78" s="84"/>
      <c r="W78" s="450"/>
      <c r="X78" s="450"/>
      <c r="Y78" s="450"/>
      <c r="Z78" s="450"/>
      <c r="AA78" s="450"/>
      <c r="AC78" s="450">
        <f>D9</f>
        <v>0</v>
      </c>
      <c r="AD78" s="115">
        <v>73</v>
      </c>
      <c r="AE78" s="115">
        <v>37</v>
      </c>
      <c r="AF78" s="450">
        <f>D7</f>
        <v>0</v>
      </c>
      <c r="AG78" s="115" t="s">
        <v>472</v>
      </c>
      <c r="AH78" s="115" t="str">
        <f t="shared" si="13"/>
        <v>0</v>
      </c>
      <c r="AI78" s="115" t="s">
        <v>7403</v>
      </c>
      <c r="AJ78" s="450" t="str">
        <f>D8</f>
        <v/>
      </c>
      <c r="AK78" s="115" t="str">
        <f t="shared" si="14"/>
        <v/>
      </c>
      <c r="AL78" s="115" t="s">
        <v>7403</v>
      </c>
      <c r="AM78" s="450">
        <v>73</v>
      </c>
      <c r="AN78" s="450"/>
      <c r="AO78" s="450" t="str">
        <f t="shared" si="15"/>
        <v/>
      </c>
      <c r="AP78" s="450" t="str">
        <f>IF(AD42&lt;=AC42, (CONCATENATE(AG42,AH42,AI42,AK42,AL42,AM42)),"")</f>
        <v/>
      </c>
      <c r="AQ78" s="450"/>
      <c r="AR78" s="450"/>
      <c r="AS78" s="450"/>
      <c r="AT78" s="1454"/>
      <c r="AU78" s="376" t="str">
        <f t="shared" si="5"/>
        <v/>
      </c>
      <c r="AV78" s="376" t="str">
        <f t="shared" si="11"/>
        <v/>
      </c>
      <c r="AW78" s="376" t="str">
        <v/>
      </c>
      <c r="AX78" s="376" t="str">
        <v/>
      </c>
    </row>
    <row r="79" spans="2:50">
      <c r="B79" s="1615"/>
      <c r="C79" s="1615" t="str">
        <f>IF(D10="No", AO69, IF(D10="Yes", AP69, ""))</f>
        <v/>
      </c>
      <c r="D79" s="1615"/>
      <c r="E79" s="1632"/>
      <c r="F79" s="1615"/>
      <c r="G79" s="1615"/>
      <c r="H79" s="1615"/>
      <c r="I79" s="1615"/>
      <c r="J79" s="1615"/>
      <c r="K79" s="1615"/>
      <c r="L79" s="1633"/>
      <c r="M79" s="770" t="str">
        <f>IF(D79="", "", IF(G11&lt;&gt;"Yes", 1, IF(D79="Existing Building", 1, MAX(AS6, AS7)+1)))</f>
        <v/>
      </c>
      <c r="N79" s="1634"/>
      <c r="O79" s="1633" t="str">
        <f t="shared" si="12"/>
        <v/>
      </c>
      <c r="P79" s="1634"/>
      <c r="Q79" s="1633" t="str">
        <f t="shared" si="10"/>
        <v/>
      </c>
      <c r="R79" s="686"/>
      <c r="S79" s="84"/>
      <c r="T79" s="84"/>
      <c r="U79" s="84"/>
      <c r="V79" s="84"/>
      <c r="W79" s="450"/>
      <c r="X79" s="450"/>
      <c r="Y79" s="450"/>
      <c r="Z79" s="450"/>
      <c r="AA79" s="450"/>
      <c r="AC79" s="450">
        <f>D9</f>
        <v>0</v>
      </c>
      <c r="AD79" s="115">
        <v>74</v>
      </c>
      <c r="AE79" s="115">
        <v>37</v>
      </c>
      <c r="AF79" s="450">
        <f>D7</f>
        <v>0</v>
      </c>
      <c r="AG79" s="115" t="s">
        <v>472</v>
      </c>
      <c r="AH79" s="115" t="str">
        <f t="shared" si="13"/>
        <v>0</v>
      </c>
      <c r="AI79" s="115" t="s">
        <v>7403</v>
      </c>
      <c r="AJ79" s="450" t="str">
        <f>D8</f>
        <v/>
      </c>
      <c r="AK79" s="115" t="str">
        <f t="shared" si="14"/>
        <v/>
      </c>
      <c r="AL79" s="115" t="s">
        <v>7403</v>
      </c>
      <c r="AM79" s="450">
        <v>74</v>
      </c>
      <c r="AN79" s="450"/>
      <c r="AO79" s="450" t="str">
        <f t="shared" si="15"/>
        <v/>
      </c>
      <c r="AP79" s="450" t="str">
        <f>IF(AD42&lt;=AC42, (CONCATENATE(AG42,AH42,AI42,AK42,AL42,AM42)),"")</f>
        <v/>
      </c>
      <c r="AQ79" s="450"/>
      <c r="AR79" s="450"/>
      <c r="AS79" s="450"/>
      <c r="AT79" s="1454"/>
      <c r="AU79" s="376" t="str">
        <f t="shared" si="5"/>
        <v/>
      </c>
      <c r="AV79" s="376" t="str">
        <f t="shared" si="11"/>
        <v/>
      </c>
      <c r="AW79" s="376" t="str">
        <v/>
      </c>
      <c r="AX79" s="376" t="str">
        <v/>
      </c>
    </row>
    <row r="80" spans="2:50">
      <c r="B80" s="1615"/>
      <c r="C80" s="1615" t="str">
        <f>IF(D10="No", AO70, IF(D10="Yes", AP70, ""))</f>
        <v/>
      </c>
      <c r="D80" s="1615"/>
      <c r="E80" s="1632"/>
      <c r="F80" s="1615"/>
      <c r="G80" s="1615"/>
      <c r="H80" s="1615"/>
      <c r="I80" s="1615"/>
      <c r="J80" s="1615"/>
      <c r="K80" s="1615"/>
      <c r="L80" s="1633"/>
      <c r="M80" s="770" t="str">
        <f>IF(D80="", "", IF(G11&lt;&gt;"Yes", 1, IF(D80="Existing Building", 1, MAX(AS6, AS7)+1)))</f>
        <v/>
      </c>
      <c r="N80" s="1634"/>
      <c r="O80" s="1633" t="str">
        <f t="shared" si="12"/>
        <v/>
      </c>
      <c r="P80" s="1634"/>
      <c r="Q80" s="1633" t="str">
        <f t="shared" ref="Q80:Q111" si="16">IF(AND(O80&lt;&gt;"",P80&lt;&gt;""), FLOOR(O80*P80,1), "")</f>
        <v/>
      </c>
      <c r="R80" s="686"/>
      <c r="S80" s="84"/>
      <c r="T80" s="84"/>
      <c r="U80" s="84"/>
      <c r="V80" s="84"/>
      <c r="W80" s="450"/>
      <c r="X80" s="450"/>
      <c r="Y80" s="450"/>
      <c r="Z80" s="450"/>
      <c r="AA80" s="450"/>
      <c r="AC80" s="450">
        <f>D9</f>
        <v>0</v>
      </c>
      <c r="AD80" s="115">
        <v>75</v>
      </c>
      <c r="AE80" s="115">
        <v>38</v>
      </c>
      <c r="AF80" s="450">
        <f>D7</f>
        <v>0</v>
      </c>
      <c r="AG80" s="115" t="s">
        <v>472</v>
      </c>
      <c r="AH80" s="115" t="str">
        <f t="shared" si="13"/>
        <v>0</v>
      </c>
      <c r="AI80" s="115" t="s">
        <v>7403</v>
      </c>
      <c r="AJ80" s="450" t="str">
        <f>D8</f>
        <v/>
      </c>
      <c r="AK80" s="115" t="str">
        <f t="shared" si="14"/>
        <v/>
      </c>
      <c r="AL80" s="115" t="s">
        <v>7403</v>
      </c>
      <c r="AM80" s="450">
        <v>75</v>
      </c>
      <c r="AN80" s="450"/>
      <c r="AO80" s="450" t="str">
        <f t="shared" si="15"/>
        <v/>
      </c>
      <c r="AP80" s="450" t="str">
        <f>IF(AD43&lt;=AC43, (CONCATENATE(AG43,AH43,AI43,AK43,AL43,AM43)),"")</f>
        <v/>
      </c>
      <c r="AQ80" s="450"/>
      <c r="AR80" s="450"/>
      <c r="AS80" s="450"/>
      <c r="AT80" s="1454"/>
      <c r="AU80" s="376" t="str">
        <f t="shared" si="5"/>
        <v/>
      </c>
      <c r="AV80" s="376" t="str">
        <f t="shared" ref="AV80:AV115" si="17">IF(OR(J80&lt;&gt;"", K80&lt;&gt;""), SUM(J80, K80), "")</f>
        <v/>
      </c>
      <c r="AW80" s="376" t="str">
        <v/>
      </c>
      <c r="AX80" s="376" t="str">
        <v/>
      </c>
    </row>
    <row r="81" spans="2:50">
      <c r="B81" s="1615"/>
      <c r="C81" s="1615" t="str">
        <f>IF(D10="No", AO71, IF(D10="Yes", AP71, ""))</f>
        <v/>
      </c>
      <c r="D81" s="1615"/>
      <c r="E81" s="1632"/>
      <c r="F81" s="1615"/>
      <c r="G81" s="1615"/>
      <c r="H81" s="1615"/>
      <c r="I81" s="1615"/>
      <c r="J81" s="1615"/>
      <c r="K81" s="1615"/>
      <c r="L81" s="1633"/>
      <c r="M81" s="770" t="str">
        <f>IF(D81="", "", IF(G11&lt;&gt;"Yes", 1, IF(D81="Existing Building", 1, MAX(AS6, AS7)+1)))</f>
        <v/>
      </c>
      <c r="N81" s="1634"/>
      <c r="O81" s="1633" t="str">
        <f t="shared" si="12"/>
        <v/>
      </c>
      <c r="P81" s="1634"/>
      <c r="Q81" s="1633" t="str">
        <f t="shared" si="16"/>
        <v/>
      </c>
      <c r="R81" s="686"/>
      <c r="S81" s="84"/>
      <c r="T81" s="84"/>
      <c r="U81" s="84"/>
      <c r="V81" s="84"/>
      <c r="W81" s="450"/>
      <c r="X81" s="450"/>
      <c r="Y81" s="450"/>
      <c r="Z81" s="450"/>
      <c r="AA81" s="450"/>
      <c r="AC81" s="450">
        <f>D9</f>
        <v>0</v>
      </c>
      <c r="AD81" s="115">
        <v>76</v>
      </c>
      <c r="AE81" s="115">
        <v>38</v>
      </c>
      <c r="AF81" s="450">
        <f>D7</f>
        <v>0</v>
      </c>
      <c r="AG81" s="115" t="s">
        <v>472</v>
      </c>
      <c r="AH81" s="115" t="str">
        <f t="shared" si="13"/>
        <v>0</v>
      </c>
      <c r="AI81" s="115" t="s">
        <v>7403</v>
      </c>
      <c r="AJ81" s="450" t="str">
        <f>D8</f>
        <v/>
      </c>
      <c r="AK81" s="115" t="str">
        <f t="shared" si="14"/>
        <v/>
      </c>
      <c r="AL81" s="115" t="s">
        <v>7403</v>
      </c>
      <c r="AM81" s="450">
        <v>76</v>
      </c>
      <c r="AN81" s="450"/>
      <c r="AO81" s="450" t="str">
        <f t="shared" si="15"/>
        <v/>
      </c>
      <c r="AP81" s="450" t="str">
        <f>IF(AD43&lt;=AC43, (CONCATENATE(AG43,AH43,AI43,AK43,AL43,AM43)),"")</f>
        <v/>
      </c>
      <c r="AQ81" s="450"/>
      <c r="AR81" s="450"/>
      <c r="AS81" s="450"/>
      <c r="AT81" s="1454"/>
      <c r="AU81" s="376" t="str">
        <f t="shared" ref="AU81:AU115" si="18">IF(C81="", "", C81)</f>
        <v/>
      </c>
      <c r="AV81" s="376" t="str">
        <f t="shared" si="17"/>
        <v/>
      </c>
      <c r="AW81" s="376" t="str">
        <v/>
      </c>
      <c r="AX81" s="376" t="str">
        <v/>
      </c>
    </row>
    <row r="82" spans="2:50">
      <c r="B82" s="1615"/>
      <c r="C82" s="1615" t="str">
        <f>IF(D10="No", AO72, IF(D10="Yes", AP72, ""))</f>
        <v/>
      </c>
      <c r="D82" s="1615"/>
      <c r="E82" s="1632"/>
      <c r="F82" s="1615"/>
      <c r="G82" s="1615"/>
      <c r="H82" s="1615"/>
      <c r="I82" s="1615"/>
      <c r="J82" s="1615"/>
      <c r="K82" s="1615"/>
      <c r="L82" s="1633"/>
      <c r="M82" s="770" t="str">
        <f>IF(D82="", "", IF(G11&lt;&gt;"Yes", 1, IF(D82="Existing Building", 1, MAX(AS6, AS7)+1)))</f>
        <v/>
      </c>
      <c r="N82" s="1634"/>
      <c r="O82" s="1633" t="str">
        <f t="shared" ref="O82:O113" si="19">IF(AND(L82&lt;&gt;"", M82&lt;&gt;"", N82&lt;&gt;""), ROUND(L82*M82*N82, 0), "")</f>
        <v/>
      </c>
      <c r="P82" s="1634"/>
      <c r="Q82" s="1633" t="str">
        <f t="shared" si="16"/>
        <v/>
      </c>
      <c r="R82" s="686"/>
      <c r="S82" s="84"/>
      <c r="T82" s="84"/>
      <c r="U82" s="84"/>
      <c r="V82" s="84"/>
      <c r="W82" s="450"/>
      <c r="X82" s="450"/>
      <c r="Y82" s="450"/>
      <c r="Z82" s="450"/>
      <c r="AA82" s="450"/>
      <c r="AC82" s="450">
        <f>D9</f>
        <v>0</v>
      </c>
      <c r="AD82" s="115">
        <v>77</v>
      </c>
      <c r="AE82" s="115">
        <v>39</v>
      </c>
      <c r="AF82" s="450">
        <f>D7</f>
        <v>0</v>
      </c>
      <c r="AG82" s="115" t="s">
        <v>472</v>
      </c>
      <c r="AH82" s="115" t="str">
        <f t="shared" si="13"/>
        <v>0</v>
      </c>
      <c r="AI82" s="115" t="s">
        <v>7403</v>
      </c>
      <c r="AJ82" s="450" t="str">
        <f>D8</f>
        <v/>
      </c>
      <c r="AK82" s="115" t="str">
        <f t="shared" si="14"/>
        <v/>
      </c>
      <c r="AL82" s="115" t="s">
        <v>7403</v>
      </c>
      <c r="AM82" s="450">
        <v>77</v>
      </c>
      <c r="AN82" s="450"/>
      <c r="AO82" s="450" t="str">
        <f t="shared" si="15"/>
        <v/>
      </c>
      <c r="AP82" s="450" t="str">
        <f>IF(AD44&lt;=AC44, (CONCATENATE(AG44,AH44,AI44,AK44,AL44,AM44)),"")</f>
        <v/>
      </c>
      <c r="AQ82" s="450"/>
      <c r="AR82" s="450"/>
      <c r="AS82" s="450"/>
      <c r="AT82" s="1454"/>
      <c r="AU82" s="376" t="str">
        <f t="shared" si="18"/>
        <v/>
      </c>
      <c r="AV82" s="376" t="str">
        <f t="shared" si="17"/>
        <v/>
      </c>
      <c r="AW82" s="376" t="str">
        <v/>
      </c>
      <c r="AX82" s="376" t="str">
        <v/>
      </c>
    </row>
    <row r="83" spans="2:50">
      <c r="B83" s="1615"/>
      <c r="C83" s="1615" t="str">
        <f>IF(D10="No", AO73, IF(D10="Yes", AP73, ""))</f>
        <v/>
      </c>
      <c r="D83" s="1615"/>
      <c r="E83" s="1632"/>
      <c r="F83" s="1615"/>
      <c r="G83" s="1615"/>
      <c r="H83" s="1615"/>
      <c r="I83" s="1615"/>
      <c r="J83" s="1615"/>
      <c r="K83" s="1615"/>
      <c r="L83" s="1633"/>
      <c r="M83" s="770" t="str">
        <f>IF(D83="", "", IF(G11&lt;&gt;"Yes", 1, IF(D83="Existing Building", 1, MAX(AS6, AS7)+1)))</f>
        <v/>
      </c>
      <c r="N83" s="1634"/>
      <c r="O83" s="1633" t="str">
        <f t="shared" si="19"/>
        <v/>
      </c>
      <c r="P83" s="1634"/>
      <c r="Q83" s="1633" t="str">
        <f t="shared" si="16"/>
        <v/>
      </c>
      <c r="R83" s="686"/>
      <c r="S83" s="84"/>
      <c r="T83" s="84"/>
      <c r="U83" s="84"/>
      <c r="V83" s="84"/>
      <c r="W83" s="450"/>
      <c r="X83" s="450"/>
      <c r="Y83" s="450"/>
      <c r="Z83" s="450"/>
      <c r="AA83" s="450"/>
      <c r="AC83" s="450">
        <f>D9</f>
        <v>0</v>
      </c>
      <c r="AD83" s="115">
        <v>78</v>
      </c>
      <c r="AE83" s="115">
        <v>39</v>
      </c>
      <c r="AF83" s="450">
        <f>D7</f>
        <v>0</v>
      </c>
      <c r="AG83" s="115" t="s">
        <v>472</v>
      </c>
      <c r="AH83" s="115" t="str">
        <f t="shared" si="13"/>
        <v>0</v>
      </c>
      <c r="AI83" s="115" t="s">
        <v>7403</v>
      </c>
      <c r="AJ83" s="450" t="str">
        <f>D8</f>
        <v/>
      </c>
      <c r="AK83" s="115" t="str">
        <f t="shared" si="14"/>
        <v/>
      </c>
      <c r="AL83" s="115" t="s">
        <v>7403</v>
      </c>
      <c r="AM83" s="450">
        <v>78</v>
      </c>
      <c r="AN83" s="450"/>
      <c r="AO83" s="450" t="str">
        <f t="shared" si="15"/>
        <v/>
      </c>
      <c r="AP83" s="450" t="str">
        <f>IF(AD44&lt;=AC44, (CONCATENATE(AG44,AH44,AI44,AK44,AL44,AM44)),"")</f>
        <v/>
      </c>
      <c r="AQ83" s="450"/>
      <c r="AR83" s="450"/>
      <c r="AS83" s="450"/>
      <c r="AT83" s="1454"/>
      <c r="AU83" s="376" t="str">
        <f t="shared" si="18"/>
        <v/>
      </c>
      <c r="AV83" s="376" t="str">
        <f t="shared" si="17"/>
        <v/>
      </c>
      <c r="AW83" s="376" t="str">
        <v/>
      </c>
      <c r="AX83" s="376" t="str">
        <v/>
      </c>
    </row>
    <row r="84" spans="2:50">
      <c r="B84" s="1615"/>
      <c r="C84" s="1615" t="str">
        <f>IF(D10="No", AO74, IF(D10="Yes", AP74, ""))</f>
        <v/>
      </c>
      <c r="D84" s="1615"/>
      <c r="E84" s="1632"/>
      <c r="F84" s="1615"/>
      <c r="G84" s="1615"/>
      <c r="H84" s="1615"/>
      <c r="I84" s="1615"/>
      <c r="J84" s="1615"/>
      <c r="K84" s="1615"/>
      <c r="L84" s="1633"/>
      <c r="M84" s="770" t="str">
        <f>IF(D84="", "", IF(G11&lt;&gt;"Yes", 1, IF(D84="Existing Building", 1, MAX(AS6, AS7)+1)))</f>
        <v/>
      </c>
      <c r="N84" s="1634"/>
      <c r="O84" s="1633" t="str">
        <f t="shared" si="19"/>
        <v/>
      </c>
      <c r="P84" s="1634"/>
      <c r="Q84" s="1633" t="str">
        <f t="shared" si="16"/>
        <v/>
      </c>
      <c r="R84" s="686"/>
      <c r="S84" s="84"/>
      <c r="T84" s="84"/>
      <c r="U84" s="84"/>
      <c r="V84" s="84"/>
      <c r="W84" s="450"/>
      <c r="X84" s="450"/>
      <c r="Y84" s="450"/>
      <c r="Z84" s="450"/>
      <c r="AA84" s="450"/>
      <c r="AC84" s="450">
        <f>D9</f>
        <v>0</v>
      </c>
      <c r="AD84" s="115">
        <v>79</v>
      </c>
      <c r="AE84" s="115">
        <v>40</v>
      </c>
      <c r="AF84" s="450">
        <f>D7</f>
        <v>0</v>
      </c>
      <c r="AG84" s="115" t="s">
        <v>472</v>
      </c>
      <c r="AH84" s="115" t="str">
        <f t="shared" si="13"/>
        <v>0</v>
      </c>
      <c r="AI84" s="115" t="s">
        <v>7403</v>
      </c>
      <c r="AJ84" s="450" t="str">
        <f>D8</f>
        <v/>
      </c>
      <c r="AK84" s="115" t="str">
        <f t="shared" si="14"/>
        <v/>
      </c>
      <c r="AL84" s="115" t="s">
        <v>7403</v>
      </c>
      <c r="AM84" s="450">
        <v>79</v>
      </c>
      <c r="AN84" s="450"/>
      <c r="AO84" s="450" t="str">
        <f t="shared" si="15"/>
        <v/>
      </c>
      <c r="AP84" s="450" t="str">
        <f>IF(AD45&lt;=AC45, (CONCATENATE(AG45,AH45,AI45,AK45,AL45,AM45)),"")</f>
        <v/>
      </c>
      <c r="AQ84" s="450"/>
      <c r="AR84" s="450"/>
      <c r="AS84" s="450"/>
      <c r="AT84" s="1454"/>
      <c r="AU84" s="376" t="str">
        <f t="shared" si="18"/>
        <v/>
      </c>
      <c r="AV84" s="376" t="str">
        <f t="shared" si="17"/>
        <v/>
      </c>
      <c r="AW84" s="376" t="str">
        <v/>
      </c>
      <c r="AX84" s="376" t="str">
        <v/>
      </c>
    </row>
    <row r="85" spans="2:50">
      <c r="B85" s="1615"/>
      <c r="C85" s="1615" t="str">
        <f>IF(D10="No", AO75, IF(D10="Yes", AP75, ""))</f>
        <v/>
      </c>
      <c r="D85" s="1615"/>
      <c r="E85" s="1632"/>
      <c r="F85" s="1615"/>
      <c r="G85" s="1615"/>
      <c r="H85" s="1615"/>
      <c r="I85" s="1615"/>
      <c r="J85" s="1615"/>
      <c r="K85" s="1615"/>
      <c r="L85" s="1633"/>
      <c r="M85" s="770" t="str">
        <f>IF(D85="", "", IF(G11&lt;&gt;"Yes", 1, IF(D85="Existing Building", 1, MAX(AS6, AS7)+1)))</f>
        <v/>
      </c>
      <c r="N85" s="1634"/>
      <c r="O85" s="1633" t="str">
        <f t="shared" si="19"/>
        <v/>
      </c>
      <c r="P85" s="1634"/>
      <c r="Q85" s="1633" t="str">
        <f t="shared" si="16"/>
        <v/>
      </c>
      <c r="R85" s="686"/>
      <c r="S85" s="84"/>
      <c r="T85" s="84"/>
      <c r="U85" s="84"/>
      <c r="V85" s="84"/>
      <c r="W85" s="450"/>
      <c r="X85" s="450"/>
      <c r="Y85" s="450"/>
      <c r="Z85" s="450"/>
      <c r="AA85" s="450"/>
      <c r="AC85" s="450">
        <f>D9</f>
        <v>0</v>
      </c>
      <c r="AD85" s="115">
        <v>80</v>
      </c>
      <c r="AE85" s="115">
        <v>40</v>
      </c>
      <c r="AF85" s="450">
        <f>D7</f>
        <v>0</v>
      </c>
      <c r="AG85" s="115" t="s">
        <v>472</v>
      </c>
      <c r="AH85" s="115" t="str">
        <f t="shared" si="13"/>
        <v>0</v>
      </c>
      <c r="AI85" s="115" t="s">
        <v>7403</v>
      </c>
      <c r="AJ85" s="450" t="str">
        <f>D8</f>
        <v/>
      </c>
      <c r="AK85" s="115" t="str">
        <f t="shared" si="14"/>
        <v/>
      </c>
      <c r="AL85" s="115" t="s">
        <v>7403</v>
      </c>
      <c r="AM85" s="450">
        <v>80</v>
      </c>
      <c r="AN85" s="450"/>
      <c r="AO85" s="450" t="str">
        <f t="shared" si="15"/>
        <v/>
      </c>
      <c r="AP85" s="450" t="str">
        <f>IF(AD45&lt;=AC45, (CONCATENATE(AG45,AH45,AI45,AK45,AL45,AM45)),"")</f>
        <v/>
      </c>
      <c r="AQ85" s="450"/>
      <c r="AR85" s="450"/>
      <c r="AS85" s="450"/>
      <c r="AT85" s="1454"/>
      <c r="AU85" s="376" t="str">
        <f t="shared" si="18"/>
        <v/>
      </c>
      <c r="AV85" s="376" t="str">
        <f t="shared" si="17"/>
        <v/>
      </c>
      <c r="AW85" s="376" t="str">
        <v/>
      </c>
      <c r="AX85" s="376" t="str">
        <v/>
      </c>
    </row>
    <row r="86" spans="2:50">
      <c r="B86" s="1615"/>
      <c r="C86" s="1615" t="str">
        <f>IF(D10="No", AO76, IF(D10="Yes", AP76, ""))</f>
        <v/>
      </c>
      <c r="D86" s="1615"/>
      <c r="E86" s="1632"/>
      <c r="F86" s="1615"/>
      <c r="G86" s="1615"/>
      <c r="H86" s="1615"/>
      <c r="I86" s="1615"/>
      <c r="J86" s="1615"/>
      <c r="K86" s="1615"/>
      <c r="L86" s="1633"/>
      <c r="M86" s="770" t="str">
        <f>IF(D86="", "", IF(G11&lt;&gt;"Yes", 1, IF(D86="Existing Building", 1, MAX(AS6, AS7)+1)))</f>
        <v/>
      </c>
      <c r="N86" s="1634"/>
      <c r="O86" s="1633" t="str">
        <f t="shared" si="19"/>
        <v/>
      </c>
      <c r="P86" s="1634"/>
      <c r="Q86" s="1633" t="str">
        <f t="shared" si="16"/>
        <v/>
      </c>
      <c r="R86" s="686"/>
      <c r="S86" s="84"/>
      <c r="T86" s="84"/>
      <c r="U86" s="84"/>
      <c r="V86" s="84"/>
      <c r="W86" s="450"/>
      <c r="X86" s="450"/>
      <c r="Y86" s="450"/>
      <c r="Z86" s="450"/>
      <c r="AA86" s="450"/>
      <c r="AC86" s="450">
        <f>D9</f>
        <v>0</v>
      </c>
      <c r="AD86" s="115">
        <v>81</v>
      </c>
      <c r="AE86" s="115">
        <v>41</v>
      </c>
      <c r="AF86" s="450">
        <f>D7</f>
        <v>0</v>
      </c>
      <c r="AG86" s="115" t="s">
        <v>472</v>
      </c>
      <c r="AH86" s="115" t="str">
        <f t="shared" si="13"/>
        <v>0</v>
      </c>
      <c r="AI86" s="115" t="s">
        <v>7403</v>
      </c>
      <c r="AJ86" s="450" t="str">
        <f>D8</f>
        <v/>
      </c>
      <c r="AK86" s="115" t="str">
        <f t="shared" si="14"/>
        <v/>
      </c>
      <c r="AL86" s="115" t="s">
        <v>7403</v>
      </c>
      <c r="AM86" s="450">
        <v>81</v>
      </c>
      <c r="AN86" s="450"/>
      <c r="AO86" s="450" t="str">
        <f t="shared" si="15"/>
        <v/>
      </c>
      <c r="AP86" s="450" t="str">
        <f>IF(AD46&lt;=AC46, (CONCATENATE(AG46,AH46,AI46,AK46,AL46,AM46)),"")</f>
        <v/>
      </c>
      <c r="AQ86" s="450"/>
      <c r="AR86" s="450"/>
      <c r="AS86" s="450"/>
      <c r="AT86" s="1454"/>
      <c r="AU86" s="376" t="str">
        <f t="shared" si="18"/>
        <v/>
      </c>
      <c r="AV86" s="376" t="str">
        <f t="shared" si="17"/>
        <v/>
      </c>
      <c r="AW86" s="376" t="str">
        <v/>
      </c>
      <c r="AX86" s="376" t="str">
        <v/>
      </c>
    </row>
    <row r="87" spans="2:50">
      <c r="B87" s="1615"/>
      <c r="C87" s="1615" t="str">
        <f>IF(D10="No", AO77, IF(D10="Yes", AP77, ""))</f>
        <v/>
      </c>
      <c r="D87" s="1615"/>
      <c r="E87" s="1632"/>
      <c r="F87" s="1615"/>
      <c r="G87" s="1615"/>
      <c r="H87" s="1615"/>
      <c r="I87" s="1615"/>
      <c r="J87" s="1615"/>
      <c r="K87" s="1615"/>
      <c r="L87" s="1633"/>
      <c r="M87" s="770" t="str">
        <f>IF(D87="", "", IF(G11&lt;&gt;"Yes", 1, IF(D87="Existing Building", 1, MAX(AS6, AS7)+1)))</f>
        <v/>
      </c>
      <c r="N87" s="1634"/>
      <c r="O87" s="1633" t="str">
        <f t="shared" si="19"/>
        <v/>
      </c>
      <c r="P87" s="1634"/>
      <c r="Q87" s="1633" t="str">
        <f t="shared" si="16"/>
        <v/>
      </c>
      <c r="R87" s="686"/>
      <c r="S87" s="84"/>
      <c r="T87" s="84"/>
      <c r="U87" s="84"/>
      <c r="V87" s="84"/>
      <c r="W87" s="450"/>
      <c r="X87" s="450"/>
      <c r="Y87" s="450"/>
      <c r="Z87" s="450"/>
      <c r="AA87" s="450"/>
      <c r="AC87" s="450">
        <f>D9</f>
        <v>0</v>
      </c>
      <c r="AD87" s="115">
        <v>82</v>
      </c>
      <c r="AE87" s="115">
        <v>41</v>
      </c>
      <c r="AF87" s="450">
        <f>D7</f>
        <v>0</v>
      </c>
      <c r="AG87" s="115" t="s">
        <v>472</v>
      </c>
      <c r="AH87" s="115" t="str">
        <f t="shared" si="13"/>
        <v>0</v>
      </c>
      <c r="AI87" s="115" t="s">
        <v>7403</v>
      </c>
      <c r="AJ87" s="450" t="str">
        <f>D8</f>
        <v/>
      </c>
      <c r="AK87" s="115" t="str">
        <f t="shared" si="14"/>
        <v/>
      </c>
      <c r="AL87" s="115" t="s">
        <v>7403</v>
      </c>
      <c r="AM87" s="450">
        <v>82</v>
      </c>
      <c r="AN87" s="450"/>
      <c r="AO87" s="450" t="str">
        <f t="shared" si="15"/>
        <v/>
      </c>
      <c r="AP87" s="450" t="str">
        <f>IF(AD46&lt;=AC46, (CONCATENATE(AG46,AH46,AI46,AK46,AL46,AM46)),"")</f>
        <v/>
      </c>
      <c r="AQ87" s="450"/>
      <c r="AR87" s="450"/>
      <c r="AS87" s="450"/>
      <c r="AT87" s="1454"/>
      <c r="AU87" s="376" t="str">
        <f t="shared" si="18"/>
        <v/>
      </c>
      <c r="AV87" s="376" t="str">
        <f t="shared" si="17"/>
        <v/>
      </c>
      <c r="AW87" s="376" t="str">
        <v/>
      </c>
      <c r="AX87" s="376" t="str">
        <v/>
      </c>
    </row>
    <row r="88" spans="2:50">
      <c r="B88" s="1615"/>
      <c r="C88" s="1615" t="str">
        <f>IF(D10="No", AO78, IF(D10="Yes", AP78, ""))</f>
        <v/>
      </c>
      <c r="D88" s="1615"/>
      <c r="E88" s="1632"/>
      <c r="F88" s="1615"/>
      <c r="G88" s="1615"/>
      <c r="H88" s="1615"/>
      <c r="I88" s="1615"/>
      <c r="J88" s="1615"/>
      <c r="K88" s="1615"/>
      <c r="L88" s="1633"/>
      <c r="M88" s="770" t="str">
        <f>IF(D88="", "", IF(G11&lt;&gt;"Yes", 1, IF(D88="Existing Building", 1, MAX(AS6, AS7)+1)))</f>
        <v/>
      </c>
      <c r="N88" s="1634"/>
      <c r="O88" s="1633" t="str">
        <f t="shared" si="19"/>
        <v/>
      </c>
      <c r="P88" s="1634"/>
      <c r="Q88" s="1633" t="str">
        <f t="shared" si="16"/>
        <v/>
      </c>
      <c r="R88" s="686"/>
      <c r="S88" s="84"/>
      <c r="T88" s="84"/>
      <c r="U88" s="84"/>
      <c r="V88" s="84"/>
      <c r="W88" s="450"/>
      <c r="X88" s="450"/>
      <c r="Y88" s="450"/>
      <c r="Z88" s="450"/>
      <c r="AA88" s="450"/>
      <c r="AC88" s="450">
        <f>D9</f>
        <v>0</v>
      </c>
      <c r="AD88" s="115">
        <v>83</v>
      </c>
      <c r="AE88" s="115">
        <v>42</v>
      </c>
      <c r="AF88" s="450">
        <f>D7</f>
        <v>0</v>
      </c>
      <c r="AG88" s="115" t="s">
        <v>472</v>
      </c>
      <c r="AH88" s="115" t="str">
        <f t="shared" si="13"/>
        <v>0</v>
      </c>
      <c r="AI88" s="115" t="s">
        <v>7403</v>
      </c>
      <c r="AJ88" s="450" t="str">
        <f>D8</f>
        <v/>
      </c>
      <c r="AK88" s="115" t="str">
        <f t="shared" si="14"/>
        <v/>
      </c>
      <c r="AL88" s="115" t="s">
        <v>7403</v>
      </c>
      <c r="AM88" s="450">
        <v>83</v>
      </c>
      <c r="AN88" s="450"/>
      <c r="AO88" s="450" t="str">
        <f t="shared" si="15"/>
        <v/>
      </c>
      <c r="AP88" s="450" t="str">
        <f>IF(AD47&lt;=AC47, (CONCATENATE(AG47,AH47,AI47,AK47,AL47,AM47)),"")</f>
        <v/>
      </c>
      <c r="AQ88" s="450"/>
      <c r="AR88" s="450"/>
      <c r="AS88" s="450"/>
      <c r="AT88" s="1454"/>
      <c r="AU88" s="376" t="str">
        <f t="shared" si="18"/>
        <v/>
      </c>
      <c r="AV88" s="376" t="str">
        <f t="shared" si="17"/>
        <v/>
      </c>
      <c r="AW88" s="376" t="str">
        <v/>
      </c>
      <c r="AX88" s="376" t="str">
        <v/>
      </c>
    </row>
    <row r="89" spans="2:50">
      <c r="B89" s="1615"/>
      <c r="C89" s="1615" t="str">
        <f>IF(D10="No", AO79, IF(D10="Yes", AP79, ""))</f>
        <v/>
      </c>
      <c r="D89" s="1615"/>
      <c r="E89" s="1632"/>
      <c r="F89" s="1615"/>
      <c r="G89" s="1615"/>
      <c r="H89" s="1615"/>
      <c r="I89" s="1615"/>
      <c r="J89" s="1615"/>
      <c r="K89" s="1615"/>
      <c r="L89" s="1633"/>
      <c r="M89" s="770" t="str">
        <f>IF(D89="", "", IF(G11&lt;&gt;"Yes", 1, IF(D89="Existing Building", 1, MAX(AS6, AS7)+1)))</f>
        <v/>
      </c>
      <c r="N89" s="1634"/>
      <c r="O89" s="1633" t="str">
        <f t="shared" si="19"/>
        <v/>
      </c>
      <c r="P89" s="1634"/>
      <c r="Q89" s="1633" t="str">
        <f t="shared" si="16"/>
        <v/>
      </c>
      <c r="R89" s="686"/>
      <c r="S89" s="84"/>
      <c r="T89" s="84"/>
      <c r="U89" s="84"/>
      <c r="V89" s="84"/>
      <c r="W89" s="450"/>
      <c r="X89" s="450"/>
      <c r="Y89" s="450"/>
      <c r="Z89" s="450"/>
      <c r="AA89" s="450"/>
      <c r="AC89" s="450">
        <f>D9</f>
        <v>0</v>
      </c>
      <c r="AD89" s="115">
        <v>84</v>
      </c>
      <c r="AE89" s="115">
        <v>42</v>
      </c>
      <c r="AF89" s="450">
        <f>D7</f>
        <v>0</v>
      </c>
      <c r="AG89" s="115" t="s">
        <v>472</v>
      </c>
      <c r="AH89" s="115" t="str">
        <f t="shared" si="13"/>
        <v>0</v>
      </c>
      <c r="AI89" s="115" t="s">
        <v>7403</v>
      </c>
      <c r="AJ89" s="450" t="str">
        <f>D8</f>
        <v/>
      </c>
      <c r="AK89" s="115" t="str">
        <f t="shared" si="14"/>
        <v/>
      </c>
      <c r="AL89" s="115" t="s">
        <v>7403</v>
      </c>
      <c r="AM89" s="450">
        <v>84</v>
      </c>
      <c r="AN89" s="450"/>
      <c r="AO89" s="450" t="str">
        <f t="shared" si="15"/>
        <v/>
      </c>
      <c r="AP89" s="450" t="str">
        <f>IF(AD47&lt;=AC47, (CONCATENATE(AG47,AH47,AI47,AK47,AL47,AM47)),"")</f>
        <v/>
      </c>
      <c r="AQ89" s="450"/>
      <c r="AR89" s="450"/>
      <c r="AS89" s="450"/>
      <c r="AT89" s="1454"/>
      <c r="AU89" s="376" t="str">
        <f t="shared" si="18"/>
        <v/>
      </c>
      <c r="AV89" s="376" t="str">
        <f t="shared" si="17"/>
        <v/>
      </c>
      <c r="AW89" s="376" t="str">
        <v/>
      </c>
      <c r="AX89" s="376" t="str">
        <v/>
      </c>
    </row>
    <row r="90" spans="2:50">
      <c r="B90" s="1615"/>
      <c r="C90" s="1615" t="str">
        <f>IF(D10="No", AO80, IF(D10="Yes", AP80, ""))</f>
        <v/>
      </c>
      <c r="D90" s="1615"/>
      <c r="E90" s="1632"/>
      <c r="F90" s="1615"/>
      <c r="G90" s="1615"/>
      <c r="H90" s="1615"/>
      <c r="I90" s="1615"/>
      <c r="J90" s="1615"/>
      <c r="K90" s="1615"/>
      <c r="L90" s="1633"/>
      <c r="M90" s="770" t="str">
        <f>IF(D90="", "", IF(G11&lt;&gt;"Yes", 1, IF(D90="Existing Building", 1, MAX(AS6, AS7)+1)))</f>
        <v/>
      </c>
      <c r="N90" s="1634"/>
      <c r="O90" s="1633" t="str">
        <f t="shared" si="19"/>
        <v/>
      </c>
      <c r="P90" s="1634"/>
      <c r="Q90" s="1633" t="str">
        <f t="shared" si="16"/>
        <v/>
      </c>
      <c r="R90" s="686"/>
      <c r="S90" s="84"/>
      <c r="T90" s="84"/>
      <c r="U90" s="84"/>
      <c r="V90" s="84"/>
      <c r="W90" s="450"/>
      <c r="X90" s="450"/>
      <c r="Y90" s="450"/>
      <c r="Z90" s="450"/>
      <c r="AA90" s="450"/>
      <c r="AC90" s="450">
        <f>D9</f>
        <v>0</v>
      </c>
      <c r="AD90" s="115">
        <v>85</v>
      </c>
      <c r="AE90" s="115">
        <v>43</v>
      </c>
      <c r="AF90" s="450">
        <f>D7</f>
        <v>0</v>
      </c>
      <c r="AG90" s="115" t="s">
        <v>472</v>
      </c>
      <c r="AH90" s="115" t="str">
        <f t="shared" si="13"/>
        <v>0</v>
      </c>
      <c r="AI90" s="115" t="s">
        <v>7403</v>
      </c>
      <c r="AJ90" s="450" t="str">
        <f>D8</f>
        <v/>
      </c>
      <c r="AK90" s="115" t="str">
        <f t="shared" si="14"/>
        <v/>
      </c>
      <c r="AL90" s="115" t="s">
        <v>7403</v>
      </c>
      <c r="AM90" s="450">
        <v>85</v>
      </c>
      <c r="AN90" s="450"/>
      <c r="AO90" s="450" t="str">
        <f t="shared" si="15"/>
        <v/>
      </c>
      <c r="AP90" s="450" t="str">
        <f>IF(AD48&lt;=AC48, (CONCATENATE(AG48,AH48,AI48,AK48,AL48,AM48)),"")</f>
        <v/>
      </c>
      <c r="AQ90" s="450"/>
      <c r="AR90" s="450"/>
      <c r="AS90" s="450"/>
      <c r="AT90" s="1454"/>
      <c r="AU90" s="376" t="str">
        <f t="shared" si="18"/>
        <v/>
      </c>
      <c r="AV90" s="376" t="str">
        <f t="shared" si="17"/>
        <v/>
      </c>
      <c r="AW90" s="376" t="str">
        <v/>
      </c>
      <c r="AX90" s="376" t="str">
        <v/>
      </c>
    </row>
    <row r="91" spans="2:50">
      <c r="B91" s="1615"/>
      <c r="C91" s="1615" t="str">
        <f>IF(D10="No", AO81, IF(D10="Yes", AP81, ""))</f>
        <v/>
      </c>
      <c r="D91" s="1615"/>
      <c r="E91" s="1632"/>
      <c r="F91" s="1615"/>
      <c r="G91" s="1615"/>
      <c r="H91" s="1615"/>
      <c r="I91" s="1615"/>
      <c r="J91" s="1615"/>
      <c r="K91" s="1615"/>
      <c r="L91" s="1633"/>
      <c r="M91" s="770" t="str">
        <f>IF(D91="", "", IF(G11&lt;&gt;"Yes", 1, IF(D91="Existing Building", 1, MAX(AS6, AS7)+1)))</f>
        <v/>
      </c>
      <c r="N91" s="1634"/>
      <c r="O91" s="1633" t="str">
        <f t="shared" si="19"/>
        <v/>
      </c>
      <c r="P91" s="1634"/>
      <c r="Q91" s="1633" t="str">
        <f t="shared" si="16"/>
        <v/>
      </c>
      <c r="R91" s="686"/>
      <c r="S91" s="84"/>
      <c r="T91" s="84"/>
      <c r="U91" s="84"/>
      <c r="V91" s="84"/>
      <c r="W91" s="450"/>
      <c r="X91" s="450"/>
      <c r="Y91" s="450"/>
      <c r="Z91" s="450"/>
      <c r="AA91" s="450"/>
      <c r="AC91" s="450">
        <f>D9</f>
        <v>0</v>
      </c>
      <c r="AD91" s="115">
        <v>86</v>
      </c>
      <c r="AE91" s="115">
        <v>43</v>
      </c>
      <c r="AF91" s="450">
        <f>D7</f>
        <v>0</v>
      </c>
      <c r="AG91" s="115" t="s">
        <v>472</v>
      </c>
      <c r="AH91" s="115" t="str">
        <f t="shared" si="13"/>
        <v>0</v>
      </c>
      <c r="AI91" s="115" t="s">
        <v>7403</v>
      </c>
      <c r="AJ91" s="450" t="str">
        <f>D8</f>
        <v/>
      </c>
      <c r="AK91" s="115" t="str">
        <f t="shared" si="14"/>
        <v/>
      </c>
      <c r="AL91" s="115" t="s">
        <v>7403</v>
      </c>
      <c r="AM91" s="450">
        <v>86</v>
      </c>
      <c r="AN91" s="450"/>
      <c r="AO91" s="450" t="str">
        <f t="shared" si="15"/>
        <v/>
      </c>
      <c r="AP91" s="450" t="str">
        <f>IF(AD48&lt;=AC48, (CONCATENATE(AG48,AH48,AI48,AK48,AL48,AM48)),"")</f>
        <v/>
      </c>
      <c r="AQ91" s="450"/>
      <c r="AR91" s="450"/>
      <c r="AS91" s="450"/>
      <c r="AT91" s="1454"/>
      <c r="AU91" s="376" t="str">
        <f t="shared" si="18"/>
        <v/>
      </c>
      <c r="AV91" s="376" t="str">
        <f t="shared" si="17"/>
        <v/>
      </c>
      <c r="AW91" s="376" t="str">
        <v/>
      </c>
      <c r="AX91" s="376" t="str">
        <v/>
      </c>
    </row>
    <row r="92" spans="2:50">
      <c r="B92" s="1615"/>
      <c r="C92" s="1615" t="str">
        <f>IF(D10="No", AO82, IF(D10="Yes", AP82, ""))</f>
        <v/>
      </c>
      <c r="D92" s="1615"/>
      <c r="E92" s="1632"/>
      <c r="F92" s="1615"/>
      <c r="G92" s="1615"/>
      <c r="H92" s="1615"/>
      <c r="I92" s="1615"/>
      <c r="J92" s="1615"/>
      <c r="K92" s="1615"/>
      <c r="L92" s="1633"/>
      <c r="M92" s="770" t="str">
        <f>IF(D92="", "", IF(G11&lt;&gt;"Yes", 1, IF(D92="Existing Building", 1, MAX(AS6, AS7)+1)))</f>
        <v/>
      </c>
      <c r="N92" s="1634"/>
      <c r="O92" s="1633" t="str">
        <f t="shared" si="19"/>
        <v/>
      </c>
      <c r="P92" s="1634"/>
      <c r="Q92" s="1633" t="str">
        <f t="shared" si="16"/>
        <v/>
      </c>
      <c r="R92" s="686"/>
      <c r="S92" s="84"/>
      <c r="T92" s="84"/>
      <c r="U92" s="84"/>
      <c r="V92" s="84"/>
      <c r="W92" s="450"/>
      <c r="X92" s="450"/>
      <c r="Y92" s="450"/>
      <c r="Z92" s="450"/>
      <c r="AA92" s="450"/>
      <c r="AC92" s="450">
        <f>D9</f>
        <v>0</v>
      </c>
      <c r="AD92" s="115">
        <v>87</v>
      </c>
      <c r="AE92" s="115">
        <v>44</v>
      </c>
      <c r="AF92" s="450">
        <f>D7</f>
        <v>0</v>
      </c>
      <c r="AG92" s="115" t="s">
        <v>472</v>
      </c>
      <c r="AH92" s="115" t="str">
        <f t="shared" si="13"/>
        <v>0</v>
      </c>
      <c r="AI92" s="115" t="s">
        <v>7403</v>
      </c>
      <c r="AJ92" s="450" t="str">
        <f>D8</f>
        <v/>
      </c>
      <c r="AK92" s="115" t="str">
        <f t="shared" si="14"/>
        <v/>
      </c>
      <c r="AL92" s="115" t="s">
        <v>7403</v>
      </c>
      <c r="AM92" s="450">
        <v>87</v>
      </c>
      <c r="AN92" s="450"/>
      <c r="AO92" s="450" t="str">
        <f t="shared" si="15"/>
        <v/>
      </c>
      <c r="AP92" s="450" t="str">
        <f>IF(AD49&lt;=AC49, (CONCATENATE(AG49,AH49,AI49,AK49,AL49,AM49)),"")</f>
        <v/>
      </c>
      <c r="AQ92" s="450"/>
      <c r="AR92" s="450"/>
      <c r="AS92" s="450"/>
      <c r="AT92" s="1454"/>
      <c r="AU92" s="376" t="str">
        <f t="shared" si="18"/>
        <v/>
      </c>
      <c r="AV92" s="376" t="str">
        <f t="shared" si="17"/>
        <v/>
      </c>
      <c r="AW92" s="376" t="str">
        <v/>
      </c>
      <c r="AX92" s="376" t="str">
        <v/>
      </c>
    </row>
    <row r="93" spans="2:50">
      <c r="B93" s="1615"/>
      <c r="C93" s="1615" t="str">
        <f>IF(D10="No", AO83, IF(D10="Yes", AP83, ""))</f>
        <v/>
      </c>
      <c r="D93" s="1615"/>
      <c r="E93" s="1632"/>
      <c r="F93" s="1615"/>
      <c r="G93" s="1615"/>
      <c r="H93" s="1615"/>
      <c r="I93" s="1615"/>
      <c r="J93" s="1615"/>
      <c r="K93" s="1615"/>
      <c r="L93" s="1633"/>
      <c r="M93" s="770" t="str">
        <f>IF(D93="", "", IF(G11&lt;&gt;"Yes", 1, IF(D93="Existing Building", 1, MAX(AS6, AS7)+1)))</f>
        <v/>
      </c>
      <c r="N93" s="1634"/>
      <c r="O93" s="1633" t="str">
        <f t="shared" si="19"/>
        <v/>
      </c>
      <c r="P93" s="1634"/>
      <c r="Q93" s="1633" t="str">
        <f t="shared" si="16"/>
        <v/>
      </c>
      <c r="R93" s="686"/>
      <c r="S93" s="84"/>
      <c r="T93" s="84"/>
      <c r="U93" s="84"/>
      <c r="V93" s="84"/>
      <c r="W93" s="450"/>
      <c r="X93" s="450"/>
      <c r="Y93" s="450"/>
      <c r="Z93" s="450"/>
      <c r="AA93" s="450"/>
      <c r="AC93" s="450">
        <f>D9</f>
        <v>0</v>
      </c>
      <c r="AD93" s="115">
        <v>88</v>
      </c>
      <c r="AE93" s="115">
        <v>44</v>
      </c>
      <c r="AF93" s="450">
        <f>D7</f>
        <v>0</v>
      </c>
      <c r="AG93" s="115" t="s">
        <v>472</v>
      </c>
      <c r="AH93" s="115" t="str">
        <f t="shared" si="13"/>
        <v>0</v>
      </c>
      <c r="AI93" s="115" t="s">
        <v>7403</v>
      </c>
      <c r="AJ93" s="450" t="str">
        <f>D8</f>
        <v/>
      </c>
      <c r="AK93" s="115" t="str">
        <f t="shared" si="14"/>
        <v/>
      </c>
      <c r="AL93" s="115" t="s">
        <v>7403</v>
      </c>
      <c r="AM93" s="450">
        <v>88</v>
      </c>
      <c r="AN93" s="450"/>
      <c r="AO93" s="450" t="str">
        <f t="shared" si="15"/>
        <v/>
      </c>
      <c r="AP93" s="450" t="str">
        <f>IF(AD49&lt;=AC49, (CONCATENATE(AG49,AH49,AI49,AK49,AL49,AM49)),"")</f>
        <v/>
      </c>
      <c r="AQ93" s="450"/>
      <c r="AR93" s="450"/>
      <c r="AS93" s="450"/>
      <c r="AT93" s="1454"/>
      <c r="AU93" s="376" t="str">
        <f t="shared" si="18"/>
        <v/>
      </c>
      <c r="AV93" s="376" t="str">
        <f t="shared" si="17"/>
        <v/>
      </c>
      <c r="AW93" s="376" t="str">
        <v/>
      </c>
      <c r="AX93" s="376" t="str">
        <v/>
      </c>
    </row>
    <row r="94" spans="2:50">
      <c r="B94" s="1615"/>
      <c r="C94" s="1615" t="str">
        <f>IF(D10="No", AO84, IF(D10="Yes", AP84, ""))</f>
        <v/>
      </c>
      <c r="D94" s="1615"/>
      <c r="E94" s="1632"/>
      <c r="F94" s="1615"/>
      <c r="G94" s="1615"/>
      <c r="H94" s="1615"/>
      <c r="I94" s="1615"/>
      <c r="J94" s="1615"/>
      <c r="K94" s="1615"/>
      <c r="L94" s="1633"/>
      <c r="M94" s="770" t="str">
        <f>IF(D94="", "", IF(G11&lt;&gt;"Yes", 1, IF(D94="Existing Building", 1, MAX(AS6, AS7)+1)))</f>
        <v/>
      </c>
      <c r="N94" s="1634"/>
      <c r="O94" s="1633" t="str">
        <f t="shared" si="19"/>
        <v/>
      </c>
      <c r="P94" s="1634"/>
      <c r="Q94" s="1633" t="str">
        <f t="shared" si="16"/>
        <v/>
      </c>
      <c r="R94" s="686"/>
      <c r="S94" s="84"/>
      <c r="T94" s="84"/>
      <c r="U94" s="84"/>
      <c r="V94" s="84"/>
      <c r="W94" s="450"/>
      <c r="X94" s="450"/>
      <c r="Y94" s="450"/>
      <c r="Z94" s="450"/>
      <c r="AA94" s="450"/>
      <c r="AC94" s="450">
        <f>D9</f>
        <v>0</v>
      </c>
      <c r="AD94" s="115">
        <v>89</v>
      </c>
      <c r="AE94" s="115">
        <v>45</v>
      </c>
      <c r="AF94" s="450">
        <f>D7</f>
        <v>0</v>
      </c>
      <c r="AG94" s="115" t="s">
        <v>472</v>
      </c>
      <c r="AH94" s="115" t="str">
        <f t="shared" si="13"/>
        <v>0</v>
      </c>
      <c r="AI94" s="115" t="s">
        <v>7403</v>
      </c>
      <c r="AJ94" s="450" t="str">
        <f>D8</f>
        <v/>
      </c>
      <c r="AK94" s="115" t="str">
        <f t="shared" si="14"/>
        <v/>
      </c>
      <c r="AL94" s="115" t="s">
        <v>7403</v>
      </c>
      <c r="AM94" s="450">
        <v>89</v>
      </c>
      <c r="AN94" s="450"/>
      <c r="AO94" s="450" t="str">
        <f t="shared" si="15"/>
        <v/>
      </c>
      <c r="AP94" s="450" t="str">
        <f>IF(AD50&lt;=AC50, (CONCATENATE(AG50,AH50,AI50,AK50,AL50,AM50)),"")</f>
        <v/>
      </c>
      <c r="AQ94" s="450"/>
      <c r="AR94" s="450"/>
      <c r="AS94" s="450"/>
      <c r="AT94" s="1454"/>
      <c r="AU94" s="376" t="str">
        <f t="shared" si="18"/>
        <v/>
      </c>
      <c r="AV94" s="376" t="str">
        <f t="shared" si="17"/>
        <v/>
      </c>
      <c r="AW94" s="376" t="str">
        <v/>
      </c>
      <c r="AX94" s="376" t="str">
        <v/>
      </c>
    </row>
    <row r="95" spans="2:50">
      <c r="B95" s="1615"/>
      <c r="C95" s="1615" t="str">
        <f>IF(D10="No", AO85, IF(D10="Yes", AP85, ""))</f>
        <v/>
      </c>
      <c r="D95" s="1615"/>
      <c r="E95" s="1632"/>
      <c r="F95" s="1615"/>
      <c r="G95" s="1615"/>
      <c r="H95" s="1615"/>
      <c r="I95" s="1615"/>
      <c r="J95" s="1615"/>
      <c r="K95" s="1615"/>
      <c r="L95" s="1633"/>
      <c r="M95" s="770" t="str">
        <f>IF(D95="", "", IF(G11&lt;&gt;"Yes", 1, IF(D95="Existing Building", 1, MAX(AS6, AS7)+1)))</f>
        <v/>
      </c>
      <c r="N95" s="1634"/>
      <c r="O95" s="1633" t="str">
        <f t="shared" si="19"/>
        <v/>
      </c>
      <c r="P95" s="1634"/>
      <c r="Q95" s="1633" t="str">
        <f t="shared" si="16"/>
        <v/>
      </c>
      <c r="R95" s="686"/>
      <c r="S95" s="84"/>
      <c r="T95" s="84"/>
      <c r="U95" s="84"/>
      <c r="V95" s="84"/>
      <c r="W95" s="450"/>
      <c r="X95" s="450"/>
      <c r="Y95" s="450"/>
      <c r="Z95" s="450"/>
      <c r="AA95" s="450"/>
      <c r="AC95" s="450">
        <f>D9</f>
        <v>0</v>
      </c>
      <c r="AD95" s="115">
        <v>90</v>
      </c>
      <c r="AE95" s="115">
        <v>45</v>
      </c>
      <c r="AF95" s="450">
        <f>D7</f>
        <v>0</v>
      </c>
      <c r="AG95" s="115" t="s">
        <v>472</v>
      </c>
      <c r="AH95" s="115" t="str">
        <f t="shared" si="13"/>
        <v>0</v>
      </c>
      <c r="AI95" s="115" t="s">
        <v>7403</v>
      </c>
      <c r="AJ95" s="450" t="str">
        <f>D8</f>
        <v/>
      </c>
      <c r="AK95" s="115" t="str">
        <f t="shared" si="14"/>
        <v/>
      </c>
      <c r="AL95" s="115" t="s">
        <v>7403</v>
      </c>
      <c r="AM95" s="450">
        <v>90</v>
      </c>
      <c r="AN95" s="450"/>
      <c r="AO95" s="450" t="str">
        <f t="shared" si="15"/>
        <v/>
      </c>
      <c r="AP95" s="450" t="str">
        <f>IF(AD50&lt;=AC50, (CONCATENATE(AG50,AH50,AI50,AK50,AL50,AM50)),"")</f>
        <v/>
      </c>
      <c r="AQ95" s="450"/>
      <c r="AR95" s="450"/>
      <c r="AS95" s="450"/>
      <c r="AT95" s="1454"/>
      <c r="AU95" s="376" t="str">
        <f t="shared" si="18"/>
        <v/>
      </c>
      <c r="AV95" s="376" t="str">
        <f t="shared" si="17"/>
        <v/>
      </c>
      <c r="AW95" s="376" t="str">
        <v/>
      </c>
      <c r="AX95" s="376" t="str">
        <v/>
      </c>
    </row>
    <row r="96" spans="2:50">
      <c r="B96" s="1615"/>
      <c r="C96" s="1615" t="str">
        <f>IF(D10="No", AO86, IF(D10="Yes", AP86, ""))</f>
        <v/>
      </c>
      <c r="D96" s="1615"/>
      <c r="E96" s="1632"/>
      <c r="F96" s="1615"/>
      <c r="G96" s="1615"/>
      <c r="H96" s="1615"/>
      <c r="I96" s="1615"/>
      <c r="J96" s="1615"/>
      <c r="K96" s="1615"/>
      <c r="L96" s="1633"/>
      <c r="M96" s="770" t="str">
        <f>IF(D96="", "", IF(G11&lt;&gt;"Yes", 1, IF(D96="Existing Building", 1, MAX(AS6, AS7)+1)))</f>
        <v/>
      </c>
      <c r="N96" s="1634"/>
      <c r="O96" s="1633" t="str">
        <f t="shared" si="19"/>
        <v/>
      </c>
      <c r="P96" s="1634"/>
      <c r="Q96" s="1633" t="str">
        <f t="shared" si="16"/>
        <v/>
      </c>
      <c r="R96" s="686"/>
      <c r="S96" s="84"/>
      <c r="T96" s="84"/>
      <c r="U96" s="84"/>
      <c r="V96" s="84"/>
      <c r="W96" s="450"/>
      <c r="X96" s="450"/>
      <c r="Y96" s="450"/>
      <c r="Z96" s="450"/>
      <c r="AA96" s="450"/>
      <c r="AC96" s="450">
        <f>D9</f>
        <v>0</v>
      </c>
      <c r="AD96" s="115">
        <v>91</v>
      </c>
      <c r="AE96" s="115">
        <v>46</v>
      </c>
      <c r="AF96" s="450">
        <f>D7</f>
        <v>0</v>
      </c>
      <c r="AG96" s="115" t="s">
        <v>472</v>
      </c>
      <c r="AH96" s="115" t="str">
        <f t="shared" si="13"/>
        <v>0</v>
      </c>
      <c r="AI96" s="115" t="s">
        <v>7403</v>
      </c>
      <c r="AJ96" s="450" t="str">
        <f>D8</f>
        <v/>
      </c>
      <c r="AK96" s="115" t="str">
        <f t="shared" si="14"/>
        <v/>
      </c>
      <c r="AL96" s="115" t="s">
        <v>7403</v>
      </c>
      <c r="AM96" s="450">
        <v>91</v>
      </c>
      <c r="AN96" s="450"/>
      <c r="AO96" s="450" t="str">
        <f t="shared" si="15"/>
        <v/>
      </c>
      <c r="AP96" s="450" t="str">
        <f>IF(AD51&lt;=AC51, (CONCATENATE(AG51,AH51,AI51,AK51,AL51,AM51)),"")</f>
        <v/>
      </c>
      <c r="AQ96" s="450"/>
      <c r="AR96" s="450"/>
      <c r="AS96" s="450"/>
      <c r="AT96" s="1454"/>
      <c r="AU96" s="376" t="str">
        <f t="shared" si="18"/>
        <v/>
      </c>
      <c r="AV96" s="376" t="str">
        <f t="shared" si="17"/>
        <v/>
      </c>
      <c r="AW96" s="376" t="str">
        <v/>
      </c>
      <c r="AX96" s="376" t="str">
        <v/>
      </c>
    </row>
    <row r="97" spans="2:50">
      <c r="B97" s="1615"/>
      <c r="C97" s="1615" t="str">
        <f>IF(D10="No", AO87, IF(D10="Yes", AP87, ""))</f>
        <v/>
      </c>
      <c r="D97" s="1615"/>
      <c r="E97" s="1632"/>
      <c r="F97" s="1615"/>
      <c r="G97" s="1615"/>
      <c r="H97" s="1615"/>
      <c r="I97" s="1615"/>
      <c r="J97" s="1615"/>
      <c r="K97" s="1615"/>
      <c r="L97" s="1633"/>
      <c r="M97" s="770" t="str">
        <f>IF(D97="", "", IF(G11&lt;&gt;"Yes", 1, IF(D97="Existing Building", 1, MAX(AS6, AS7)+1)))</f>
        <v/>
      </c>
      <c r="N97" s="1634"/>
      <c r="O97" s="1633" t="str">
        <f t="shared" si="19"/>
        <v/>
      </c>
      <c r="P97" s="1634"/>
      <c r="Q97" s="1633" t="str">
        <f t="shared" si="16"/>
        <v/>
      </c>
      <c r="R97" s="686"/>
      <c r="S97" s="84"/>
      <c r="T97" s="84"/>
      <c r="U97" s="84"/>
      <c r="V97" s="84"/>
      <c r="W97" s="450"/>
      <c r="X97" s="450"/>
      <c r="Y97" s="450"/>
      <c r="Z97" s="450"/>
      <c r="AA97" s="450"/>
      <c r="AC97" s="450">
        <f>D9</f>
        <v>0</v>
      </c>
      <c r="AD97" s="115">
        <v>92</v>
      </c>
      <c r="AE97" s="115">
        <v>46</v>
      </c>
      <c r="AF97" s="450">
        <f>D7</f>
        <v>0</v>
      </c>
      <c r="AG97" s="115" t="s">
        <v>472</v>
      </c>
      <c r="AH97" s="115" t="str">
        <f t="shared" si="13"/>
        <v>0</v>
      </c>
      <c r="AI97" s="115" t="s">
        <v>7403</v>
      </c>
      <c r="AJ97" s="450" t="str">
        <f>D8</f>
        <v/>
      </c>
      <c r="AK97" s="115" t="str">
        <f t="shared" si="14"/>
        <v/>
      </c>
      <c r="AL97" s="115" t="s">
        <v>7403</v>
      </c>
      <c r="AM97" s="450">
        <v>92</v>
      </c>
      <c r="AN97" s="450"/>
      <c r="AO97" s="450" t="str">
        <f t="shared" si="15"/>
        <v/>
      </c>
      <c r="AP97" s="450" t="str">
        <f>IF(AD51&lt;=AC51, (CONCATENATE(AG51,AH51,AI51,AK51,AL51,AM51)),"")</f>
        <v/>
      </c>
      <c r="AQ97" s="450"/>
      <c r="AR97" s="450"/>
      <c r="AS97" s="450"/>
      <c r="AT97" s="1454"/>
      <c r="AU97" s="376" t="str">
        <f t="shared" si="18"/>
        <v/>
      </c>
      <c r="AV97" s="376" t="str">
        <f t="shared" si="17"/>
        <v/>
      </c>
      <c r="AW97" s="376" t="str">
        <v/>
      </c>
      <c r="AX97" s="376" t="str">
        <v/>
      </c>
    </row>
    <row r="98" spans="2:50">
      <c r="B98" s="1615"/>
      <c r="C98" s="1615" t="str">
        <f>IF(D10="No", AO88, IF(D10="Yes", AP88, ""))</f>
        <v/>
      </c>
      <c r="D98" s="1615"/>
      <c r="E98" s="1632"/>
      <c r="F98" s="1615"/>
      <c r="G98" s="1615"/>
      <c r="H98" s="1615"/>
      <c r="I98" s="1615"/>
      <c r="J98" s="1615"/>
      <c r="K98" s="1615"/>
      <c r="L98" s="1633"/>
      <c r="M98" s="770" t="str">
        <f>IF(D98="", "", IF(G11&lt;&gt;"Yes", 1, IF(D98="Existing Building", 1, MAX(AS6, AS7)+1)))</f>
        <v/>
      </c>
      <c r="N98" s="1634"/>
      <c r="O98" s="1633" t="str">
        <f t="shared" si="19"/>
        <v/>
      </c>
      <c r="P98" s="1634"/>
      <c r="Q98" s="1633" t="str">
        <f t="shared" si="16"/>
        <v/>
      </c>
      <c r="R98" s="686"/>
      <c r="S98" s="84"/>
      <c r="T98" s="84"/>
      <c r="U98" s="84"/>
      <c r="V98" s="84"/>
      <c r="W98" s="450"/>
      <c r="X98" s="450"/>
      <c r="Y98" s="450"/>
      <c r="Z98" s="450"/>
      <c r="AA98" s="450"/>
      <c r="AC98" s="450">
        <f>D9</f>
        <v>0</v>
      </c>
      <c r="AD98" s="115">
        <v>93</v>
      </c>
      <c r="AE98" s="115">
        <v>47</v>
      </c>
      <c r="AF98" s="450">
        <f>D7</f>
        <v>0</v>
      </c>
      <c r="AG98" s="115" t="s">
        <v>472</v>
      </c>
      <c r="AH98" s="115" t="str">
        <f t="shared" si="13"/>
        <v>0</v>
      </c>
      <c r="AI98" s="115" t="s">
        <v>7403</v>
      </c>
      <c r="AJ98" s="450" t="str">
        <f>D8</f>
        <v/>
      </c>
      <c r="AK98" s="115" t="str">
        <f t="shared" si="14"/>
        <v/>
      </c>
      <c r="AL98" s="115" t="s">
        <v>7403</v>
      </c>
      <c r="AM98" s="450">
        <v>93</v>
      </c>
      <c r="AN98" s="450"/>
      <c r="AO98" s="450" t="str">
        <f t="shared" si="15"/>
        <v/>
      </c>
      <c r="AP98" s="450" t="str">
        <f>IF(AD52&lt;=AC52, (CONCATENATE(AG52,AH52,AI52,AK52,AL52,AM52)),"")</f>
        <v/>
      </c>
      <c r="AQ98" s="450"/>
      <c r="AR98" s="450"/>
      <c r="AS98" s="450"/>
      <c r="AT98" s="1454"/>
      <c r="AU98" s="376" t="str">
        <f t="shared" si="18"/>
        <v/>
      </c>
      <c r="AV98" s="376" t="str">
        <f t="shared" si="17"/>
        <v/>
      </c>
      <c r="AW98" s="376" t="str">
        <v/>
      </c>
      <c r="AX98" s="376" t="str">
        <v/>
      </c>
    </row>
    <row r="99" spans="2:50">
      <c r="B99" s="1615"/>
      <c r="C99" s="1615" t="str">
        <f>IF(D10="No", AO89, IF(D10="Yes", AP89, ""))</f>
        <v/>
      </c>
      <c r="D99" s="1615"/>
      <c r="E99" s="1632"/>
      <c r="F99" s="1615"/>
      <c r="G99" s="1615"/>
      <c r="H99" s="1615"/>
      <c r="I99" s="1615"/>
      <c r="J99" s="1615"/>
      <c r="K99" s="1615"/>
      <c r="L99" s="1633"/>
      <c r="M99" s="770" t="str">
        <f>IF(D99="", "", IF(G11&lt;&gt;"Yes", 1, IF(D99="Existing Building", 1, MAX(AS6, AS7)+1)))</f>
        <v/>
      </c>
      <c r="N99" s="1634"/>
      <c r="O99" s="1633" t="str">
        <f t="shared" si="19"/>
        <v/>
      </c>
      <c r="P99" s="1634"/>
      <c r="Q99" s="1633" t="str">
        <f t="shared" si="16"/>
        <v/>
      </c>
      <c r="R99" s="686"/>
      <c r="S99" s="84"/>
      <c r="T99" s="84"/>
      <c r="U99" s="84"/>
      <c r="V99" s="84"/>
      <c r="W99" s="450"/>
      <c r="X99" s="450"/>
      <c r="Y99" s="450"/>
      <c r="Z99" s="450"/>
      <c r="AA99" s="450"/>
      <c r="AC99" s="450">
        <f>D9</f>
        <v>0</v>
      </c>
      <c r="AD99" s="115">
        <v>94</v>
      </c>
      <c r="AE99" s="115">
        <v>47</v>
      </c>
      <c r="AF99" s="450">
        <f>D7</f>
        <v>0</v>
      </c>
      <c r="AG99" s="115" t="s">
        <v>472</v>
      </c>
      <c r="AH99" s="115" t="str">
        <f t="shared" si="13"/>
        <v>0</v>
      </c>
      <c r="AI99" s="115" t="s">
        <v>7403</v>
      </c>
      <c r="AJ99" s="450" t="str">
        <f>D8</f>
        <v/>
      </c>
      <c r="AK99" s="115" t="str">
        <f t="shared" si="14"/>
        <v/>
      </c>
      <c r="AL99" s="115" t="s">
        <v>7403</v>
      </c>
      <c r="AM99" s="450">
        <v>94</v>
      </c>
      <c r="AN99" s="450"/>
      <c r="AO99" s="450" t="str">
        <f t="shared" si="15"/>
        <v/>
      </c>
      <c r="AP99" s="450" t="str">
        <f>IF(AD52&lt;=AC52, (CONCATENATE(AG52,AH52,AI52,AK52,AL52,AM52)),"")</f>
        <v/>
      </c>
      <c r="AQ99" s="450"/>
      <c r="AR99" s="450"/>
      <c r="AS99" s="450"/>
      <c r="AT99" s="1454"/>
      <c r="AU99" s="376" t="str">
        <f t="shared" si="18"/>
        <v/>
      </c>
      <c r="AV99" s="376" t="str">
        <f t="shared" si="17"/>
        <v/>
      </c>
      <c r="AW99" s="376" t="str">
        <v/>
      </c>
      <c r="AX99" s="376" t="str">
        <v/>
      </c>
    </row>
    <row r="100" spans="2:50">
      <c r="B100" s="1615"/>
      <c r="C100" s="1615" t="str">
        <f>IF(D10="No", AO90, IF(D10="Yes", AP90, ""))</f>
        <v/>
      </c>
      <c r="D100" s="1615"/>
      <c r="E100" s="1632"/>
      <c r="F100" s="1615"/>
      <c r="G100" s="1615"/>
      <c r="H100" s="1615"/>
      <c r="I100" s="1615"/>
      <c r="J100" s="1615"/>
      <c r="K100" s="1615"/>
      <c r="L100" s="1633"/>
      <c r="M100" s="770" t="str">
        <f>IF(D100="", "", IF(G11&lt;&gt;"Yes", 1, IF(D100="Existing Building", 1, MAX(AS6, AS7)+1)))</f>
        <v/>
      </c>
      <c r="N100" s="1634"/>
      <c r="O100" s="1633" t="str">
        <f t="shared" si="19"/>
        <v/>
      </c>
      <c r="P100" s="1634"/>
      <c r="Q100" s="1633" t="str">
        <f t="shared" si="16"/>
        <v/>
      </c>
      <c r="R100" s="686"/>
      <c r="S100" s="84"/>
      <c r="T100" s="84"/>
      <c r="U100" s="84"/>
      <c r="V100" s="84"/>
      <c r="W100" s="450"/>
      <c r="X100" s="450"/>
      <c r="Y100" s="450"/>
      <c r="Z100" s="450"/>
      <c r="AA100" s="450"/>
      <c r="AC100" s="450">
        <f>D9</f>
        <v>0</v>
      </c>
      <c r="AD100" s="115">
        <v>95</v>
      </c>
      <c r="AE100" s="115">
        <v>48</v>
      </c>
      <c r="AF100" s="450">
        <f>D7</f>
        <v>0</v>
      </c>
      <c r="AG100" s="115" t="s">
        <v>472</v>
      </c>
      <c r="AH100" s="115" t="str">
        <f t="shared" si="13"/>
        <v>0</v>
      </c>
      <c r="AI100" s="115" t="s">
        <v>7403</v>
      </c>
      <c r="AJ100" s="450" t="str">
        <f>D8</f>
        <v/>
      </c>
      <c r="AK100" s="115" t="str">
        <f t="shared" si="14"/>
        <v/>
      </c>
      <c r="AL100" s="115" t="s">
        <v>7403</v>
      </c>
      <c r="AM100" s="450">
        <v>95</v>
      </c>
      <c r="AN100" s="450"/>
      <c r="AO100" s="450" t="str">
        <f t="shared" si="15"/>
        <v/>
      </c>
      <c r="AP100" s="450" t="str">
        <f>IF(AD53&lt;=AC53, (CONCATENATE(AG53,AH53,AI53,AK53,AL53,AM53)),"")</f>
        <v/>
      </c>
      <c r="AQ100" s="450"/>
      <c r="AR100" s="450"/>
      <c r="AS100" s="450"/>
      <c r="AT100" s="1454"/>
      <c r="AU100" s="376" t="str">
        <f t="shared" si="18"/>
        <v/>
      </c>
      <c r="AV100" s="376" t="str">
        <f t="shared" si="17"/>
        <v/>
      </c>
      <c r="AW100" s="376" t="str">
        <v/>
      </c>
      <c r="AX100" s="376" t="str">
        <v/>
      </c>
    </row>
    <row r="101" spans="2:50">
      <c r="B101" s="1615"/>
      <c r="C101" s="1615" t="str">
        <f>IF(D10="No", AO91, IF(D10="Yes", AP91, ""))</f>
        <v/>
      </c>
      <c r="D101" s="1615"/>
      <c r="E101" s="1632"/>
      <c r="F101" s="1615"/>
      <c r="G101" s="1615"/>
      <c r="H101" s="1615"/>
      <c r="I101" s="1615"/>
      <c r="J101" s="1615"/>
      <c r="K101" s="1615"/>
      <c r="L101" s="1633"/>
      <c r="M101" s="770" t="str">
        <f>IF(D101="", "", IF(G11&lt;&gt;"Yes", 1, IF(D101="Existing Building", 1, MAX(AS6, AS7)+1)))</f>
        <v/>
      </c>
      <c r="N101" s="1634"/>
      <c r="O101" s="1633" t="str">
        <f t="shared" si="19"/>
        <v/>
      </c>
      <c r="P101" s="1634"/>
      <c r="Q101" s="1633" t="str">
        <f t="shared" si="16"/>
        <v/>
      </c>
      <c r="R101" s="686"/>
      <c r="S101" s="84"/>
      <c r="T101" s="84"/>
      <c r="U101" s="84"/>
      <c r="V101" s="84"/>
      <c r="W101" s="450"/>
      <c r="X101" s="450"/>
      <c r="Y101" s="450"/>
      <c r="Z101" s="450"/>
      <c r="AA101" s="450"/>
      <c r="AC101" s="450">
        <f>D9</f>
        <v>0</v>
      </c>
      <c r="AD101" s="115">
        <v>96</v>
      </c>
      <c r="AE101" s="115">
        <v>48</v>
      </c>
      <c r="AF101" s="450">
        <f>D7</f>
        <v>0</v>
      </c>
      <c r="AG101" s="115" t="s">
        <v>472</v>
      </c>
      <c r="AH101" s="115" t="str">
        <f t="shared" si="13"/>
        <v>0</v>
      </c>
      <c r="AI101" s="115" t="s">
        <v>7403</v>
      </c>
      <c r="AJ101" s="450" t="str">
        <f>D8</f>
        <v/>
      </c>
      <c r="AK101" s="115" t="str">
        <f t="shared" si="14"/>
        <v/>
      </c>
      <c r="AL101" s="115" t="s">
        <v>7403</v>
      </c>
      <c r="AM101" s="450">
        <v>96</v>
      </c>
      <c r="AN101" s="450"/>
      <c r="AO101" s="450" t="str">
        <f t="shared" si="15"/>
        <v/>
      </c>
      <c r="AP101" s="450" t="str">
        <f>IF(AD53&lt;=AC53, (CONCATENATE(AG53,AH53,AI53,AK53,AL53,AM53)),"")</f>
        <v/>
      </c>
      <c r="AQ101" s="450"/>
      <c r="AR101" s="450"/>
      <c r="AS101" s="450"/>
      <c r="AT101" s="1454"/>
      <c r="AU101" s="376" t="str">
        <f t="shared" si="18"/>
        <v/>
      </c>
      <c r="AV101" s="376" t="str">
        <f t="shared" si="17"/>
        <v/>
      </c>
      <c r="AW101" s="376" t="str">
        <v/>
      </c>
      <c r="AX101" s="376" t="str">
        <v/>
      </c>
    </row>
    <row r="102" spans="2:50">
      <c r="B102" s="1615"/>
      <c r="C102" s="1615" t="str">
        <f>IF(D10="No", AO92, IF(D10="Yes", AP92, ""))</f>
        <v/>
      </c>
      <c r="D102" s="1615"/>
      <c r="E102" s="1632"/>
      <c r="F102" s="1615"/>
      <c r="G102" s="1615"/>
      <c r="H102" s="1615"/>
      <c r="I102" s="1615"/>
      <c r="J102" s="1615"/>
      <c r="K102" s="1615"/>
      <c r="L102" s="1633"/>
      <c r="M102" s="770" t="str">
        <f>IF(D102="", "", IF(G11&lt;&gt;"Yes", 1, IF(D102="Existing Building", 1, MAX(AS6, AS7)+1)))</f>
        <v/>
      </c>
      <c r="N102" s="1634"/>
      <c r="O102" s="1633" t="str">
        <f t="shared" si="19"/>
        <v/>
      </c>
      <c r="P102" s="1634"/>
      <c r="Q102" s="1633" t="str">
        <f t="shared" si="16"/>
        <v/>
      </c>
      <c r="R102" s="686"/>
      <c r="S102" s="84"/>
      <c r="T102" s="84"/>
      <c r="U102" s="84"/>
      <c r="V102" s="84"/>
      <c r="W102" s="450"/>
      <c r="X102" s="450"/>
      <c r="Y102" s="450"/>
      <c r="Z102" s="450"/>
      <c r="AA102" s="450"/>
      <c r="AC102" s="450">
        <f>D9</f>
        <v>0</v>
      </c>
      <c r="AD102" s="115">
        <v>97</v>
      </c>
      <c r="AE102" s="115">
        <v>49</v>
      </c>
      <c r="AF102" s="450">
        <f>D7</f>
        <v>0</v>
      </c>
      <c r="AG102" s="115" t="s">
        <v>472</v>
      </c>
      <c r="AH102" s="115" t="str">
        <f t="shared" si="13"/>
        <v>0</v>
      </c>
      <c r="AI102" s="115" t="s">
        <v>7403</v>
      </c>
      <c r="AJ102" s="450" t="str">
        <f>D8</f>
        <v/>
      </c>
      <c r="AK102" s="115" t="str">
        <f t="shared" ref="AK102:AK105" si="20">RIGHT(AJ102,3)</f>
        <v/>
      </c>
      <c r="AL102" s="115" t="s">
        <v>7403</v>
      </c>
      <c r="AM102" s="450">
        <v>97</v>
      </c>
      <c r="AN102" s="450"/>
      <c r="AO102" s="450" t="str">
        <f t="shared" si="15"/>
        <v/>
      </c>
      <c r="AP102" s="450" t="str">
        <f>IF(AD54&lt;=AC54, (CONCATENATE(AG54,AH54,AI54,AK54,AL54,AM54)),"")</f>
        <v/>
      </c>
      <c r="AQ102" s="450"/>
      <c r="AR102" s="450"/>
      <c r="AS102" s="450"/>
      <c r="AT102" s="1454"/>
      <c r="AU102" s="376" t="str">
        <f t="shared" si="18"/>
        <v/>
      </c>
      <c r="AV102" s="376" t="str">
        <f t="shared" si="17"/>
        <v/>
      </c>
      <c r="AW102" s="376" t="str">
        <v/>
      </c>
      <c r="AX102" s="376" t="str">
        <v/>
      </c>
    </row>
    <row r="103" spans="2:50">
      <c r="B103" s="1615"/>
      <c r="C103" s="1615" t="str">
        <f>IF(D10="No", AO93, IF(D10="Yes", AP93, ""))</f>
        <v/>
      </c>
      <c r="D103" s="1615"/>
      <c r="E103" s="1632"/>
      <c r="F103" s="1615"/>
      <c r="G103" s="1615"/>
      <c r="H103" s="1615"/>
      <c r="I103" s="1615"/>
      <c r="J103" s="1615"/>
      <c r="K103" s="1615"/>
      <c r="L103" s="1633"/>
      <c r="M103" s="770" t="str">
        <f>IF(D103="", "", IF(G11&lt;&gt;"Yes", 1, IF(D103="Existing Building", 1, MAX(AS6, AS7)+1)))</f>
        <v/>
      </c>
      <c r="N103" s="1634"/>
      <c r="O103" s="1633" t="str">
        <f t="shared" si="19"/>
        <v/>
      </c>
      <c r="P103" s="1634"/>
      <c r="Q103" s="1633" t="str">
        <f t="shared" si="16"/>
        <v/>
      </c>
      <c r="R103" s="686"/>
      <c r="S103" s="84"/>
      <c r="T103" s="84"/>
      <c r="U103" s="84"/>
      <c r="V103" s="84"/>
      <c r="W103" s="450"/>
      <c r="X103" s="450"/>
      <c r="Y103" s="450"/>
      <c r="Z103" s="450"/>
      <c r="AA103" s="450"/>
      <c r="AC103" s="450">
        <f>D9</f>
        <v>0</v>
      </c>
      <c r="AD103" s="115">
        <v>98</v>
      </c>
      <c r="AE103" s="115">
        <v>49</v>
      </c>
      <c r="AF103" s="450">
        <f>D7</f>
        <v>0</v>
      </c>
      <c r="AG103" s="115" t="s">
        <v>472</v>
      </c>
      <c r="AH103" s="115" t="str">
        <f t="shared" si="13"/>
        <v>0</v>
      </c>
      <c r="AI103" s="115" t="s">
        <v>7403</v>
      </c>
      <c r="AJ103" s="450" t="str">
        <f>D8</f>
        <v/>
      </c>
      <c r="AK103" s="115" t="str">
        <f t="shared" si="20"/>
        <v/>
      </c>
      <c r="AL103" s="115" t="s">
        <v>7403</v>
      </c>
      <c r="AM103" s="450">
        <v>98</v>
      </c>
      <c r="AN103" s="450"/>
      <c r="AO103" s="450" t="str">
        <f t="shared" si="15"/>
        <v/>
      </c>
      <c r="AP103" s="450" t="str">
        <f>IF(AD54&lt;=AC54, (CONCATENATE(AG54,AH54,AI54,AK54,AL54,AM54)),"")</f>
        <v/>
      </c>
      <c r="AQ103" s="450"/>
      <c r="AR103" s="450"/>
      <c r="AS103" s="450"/>
      <c r="AT103" s="1454"/>
      <c r="AU103" s="376" t="str">
        <f t="shared" si="18"/>
        <v/>
      </c>
      <c r="AV103" s="376" t="str">
        <f t="shared" si="17"/>
        <v/>
      </c>
      <c r="AW103" s="376" t="str">
        <v/>
      </c>
      <c r="AX103" s="376" t="str">
        <v/>
      </c>
    </row>
    <row r="104" spans="2:50">
      <c r="B104" s="1615"/>
      <c r="C104" s="1615" t="str">
        <f>IF(D10="No", AO94, IF(D10="Yes", AP94, ""))</f>
        <v/>
      </c>
      <c r="D104" s="1615"/>
      <c r="E104" s="1632"/>
      <c r="F104" s="1615"/>
      <c r="G104" s="1615"/>
      <c r="H104" s="1615"/>
      <c r="I104" s="1615"/>
      <c r="J104" s="1615"/>
      <c r="K104" s="1615"/>
      <c r="L104" s="1633"/>
      <c r="M104" s="770" t="str">
        <f>IF(D104="", "", IF(G11&lt;&gt;"Yes", 1, IF(D104="Existing Building", 1, MAX(AS6, AS7)+1)))</f>
        <v/>
      </c>
      <c r="N104" s="1634"/>
      <c r="O104" s="1633" t="str">
        <f t="shared" si="19"/>
        <v/>
      </c>
      <c r="P104" s="1634"/>
      <c r="Q104" s="1633" t="str">
        <f t="shared" si="16"/>
        <v/>
      </c>
      <c r="R104" s="686"/>
      <c r="S104" s="84"/>
      <c r="T104" s="84"/>
      <c r="U104" s="84"/>
      <c r="V104" s="84"/>
      <c r="W104" s="450"/>
      <c r="X104" s="450"/>
      <c r="Y104" s="450"/>
      <c r="Z104" s="450"/>
      <c r="AA104" s="450"/>
      <c r="AC104" s="450">
        <f>D9</f>
        <v>0</v>
      </c>
      <c r="AD104" s="115">
        <v>99</v>
      </c>
      <c r="AE104" s="115">
        <v>50</v>
      </c>
      <c r="AF104" s="450">
        <f>D7</f>
        <v>0</v>
      </c>
      <c r="AG104" s="115" t="s">
        <v>472</v>
      </c>
      <c r="AH104" s="115" t="str">
        <f t="shared" si="13"/>
        <v>0</v>
      </c>
      <c r="AI104" s="115" t="s">
        <v>7403</v>
      </c>
      <c r="AJ104" s="450" t="str">
        <f>D8</f>
        <v/>
      </c>
      <c r="AK104" s="115" t="str">
        <f t="shared" si="20"/>
        <v/>
      </c>
      <c r="AL104" s="115" t="s">
        <v>7403</v>
      </c>
      <c r="AM104" s="450">
        <v>99</v>
      </c>
      <c r="AN104" s="450"/>
      <c r="AO104" s="450" t="str">
        <f t="shared" si="15"/>
        <v/>
      </c>
      <c r="AP104" s="450" t="str">
        <f>IF(AD55&lt;=AC55, (CONCATENATE(AG55,AH55,AI55,AK55,AL55,AM55)),"")</f>
        <v/>
      </c>
      <c r="AQ104" s="450"/>
      <c r="AR104" s="450"/>
      <c r="AS104" s="450"/>
      <c r="AT104" s="1454"/>
      <c r="AU104" s="376" t="str">
        <f t="shared" si="18"/>
        <v/>
      </c>
      <c r="AV104" s="376" t="str">
        <f t="shared" si="17"/>
        <v/>
      </c>
      <c r="AW104" s="376" t="str">
        <v/>
      </c>
      <c r="AX104" s="376" t="str">
        <v/>
      </c>
    </row>
    <row r="105" spans="2:50">
      <c r="B105" s="1615"/>
      <c r="C105" s="1615" t="str">
        <f>IF(D10="No", AO95, IF(D10="Yes", AP95, ""))</f>
        <v/>
      </c>
      <c r="D105" s="1615"/>
      <c r="E105" s="1632"/>
      <c r="F105" s="1615"/>
      <c r="G105" s="1615"/>
      <c r="H105" s="1615"/>
      <c r="I105" s="1615"/>
      <c r="J105" s="1615"/>
      <c r="K105" s="1615"/>
      <c r="L105" s="1633"/>
      <c r="M105" s="770" t="str">
        <f>IF(D105="", "", IF(G11&lt;&gt;"Yes", 1, IF(D105="Existing Building", 1, MAX(AS6, AS7)+1)))</f>
        <v/>
      </c>
      <c r="N105" s="1634"/>
      <c r="O105" s="1633" t="str">
        <f t="shared" si="19"/>
        <v/>
      </c>
      <c r="P105" s="1634"/>
      <c r="Q105" s="1633" t="str">
        <f t="shared" si="16"/>
        <v/>
      </c>
      <c r="R105" s="686"/>
      <c r="S105" s="84"/>
      <c r="T105" s="84"/>
      <c r="U105" s="84"/>
      <c r="V105" s="84"/>
      <c r="W105" s="450"/>
      <c r="X105" s="450"/>
      <c r="Y105" s="450"/>
      <c r="Z105" s="450"/>
      <c r="AA105" s="450"/>
      <c r="AC105" s="450">
        <f>D9</f>
        <v>0</v>
      </c>
      <c r="AD105" s="115">
        <v>100</v>
      </c>
      <c r="AE105" s="115">
        <v>50</v>
      </c>
      <c r="AF105" s="450">
        <f>D7</f>
        <v>0</v>
      </c>
      <c r="AG105" s="115" t="s">
        <v>472</v>
      </c>
      <c r="AH105" s="115" t="str">
        <f t="shared" si="13"/>
        <v>0</v>
      </c>
      <c r="AI105" s="115" t="s">
        <v>7403</v>
      </c>
      <c r="AJ105" s="450" t="str">
        <f>D8</f>
        <v/>
      </c>
      <c r="AK105" s="115" t="str">
        <f t="shared" si="20"/>
        <v/>
      </c>
      <c r="AL105" s="115" t="s">
        <v>7403</v>
      </c>
      <c r="AM105" s="450">
        <v>100</v>
      </c>
      <c r="AN105" s="450"/>
      <c r="AO105" s="450" t="str">
        <f t="shared" si="15"/>
        <v/>
      </c>
      <c r="AP105" s="450" t="str">
        <f>IF(AD55&lt;=AC55, (CONCATENATE(AG55,AH55,AI55,AK55,AL55,AM55)),"")</f>
        <v/>
      </c>
      <c r="AQ105" s="450"/>
      <c r="AR105" s="450"/>
      <c r="AS105" s="450"/>
      <c r="AT105" s="1454"/>
      <c r="AU105" s="376" t="str">
        <f t="shared" si="18"/>
        <v/>
      </c>
      <c r="AV105" s="376" t="str">
        <f t="shared" si="17"/>
        <v/>
      </c>
      <c r="AW105" s="376" t="str">
        <v/>
      </c>
      <c r="AX105" s="376" t="str">
        <v/>
      </c>
    </row>
    <row r="106" spans="2:50">
      <c r="B106" s="1615"/>
      <c r="C106" s="1615" t="str">
        <f>IF(D10="No", AO96, IF(D10="Yes", AP96, ""))</f>
        <v/>
      </c>
      <c r="D106" s="1615"/>
      <c r="E106" s="1632"/>
      <c r="F106" s="1615"/>
      <c r="G106" s="1615"/>
      <c r="H106" s="1615"/>
      <c r="I106" s="1615"/>
      <c r="J106" s="1615"/>
      <c r="K106" s="1615"/>
      <c r="L106" s="1633"/>
      <c r="M106" s="770" t="str">
        <f>IF(D106="", "", IF(G11&lt;&gt;"Yes", 1, IF(D106="Existing Building", 1, MAX(AS6, AS7)+1)))</f>
        <v/>
      </c>
      <c r="N106" s="1634"/>
      <c r="O106" s="1633" t="str">
        <f t="shared" si="19"/>
        <v/>
      </c>
      <c r="P106" s="1634"/>
      <c r="Q106" s="1633" t="str">
        <f t="shared" si="16"/>
        <v/>
      </c>
      <c r="R106" s="686"/>
      <c r="S106" s="84"/>
      <c r="T106" s="84"/>
      <c r="U106" s="84"/>
      <c r="V106" s="84"/>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1454"/>
      <c r="AU106" s="376" t="str">
        <f t="shared" si="18"/>
        <v/>
      </c>
      <c r="AV106" s="376" t="str">
        <f t="shared" si="17"/>
        <v/>
      </c>
      <c r="AW106" s="376" t="str">
        <v/>
      </c>
      <c r="AX106" s="376" t="str">
        <v/>
      </c>
    </row>
    <row r="107" spans="2:50">
      <c r="B107" s="1615"/>
      <c r="C107" s="1615" t="str">
        <f>IF(D10="No", AO97, IF(D10="Yes", AP97, ""))</f>
        <v/>
      </c>
      <c r="D107" s="1615"/>
      <c r="E107" s="1632"/>
      <c r="F107" s="1615"/>
      <c r="G107" s="1615"/>
      <c r="H107" s="1615"/>
      <c r="I107" s="1615"/>
      <c r="J107" s="1615"/>
      <c r="K107" s="1615"/>
      <c r="L107" s="1633"/>
      <c r="M107" s="770" t="str">
        <f>IF(D107="", "", IF(G11&lt;&gt;"Yes", 1, IF(D107="Existing Building", 1, MAX(AS6, AS7)+1)))</f>
        <v/>
      </c>
      <c r="N107" s="1634"/>
      <c r="O107" s="1633" t="str">
        <f t="shared" si="19"/>
        <v/>
      </c>
      <c r="P107" s="1634"/>
      <c r="Q107" s="1633" t="str">
        <f t="shared" si="16"/>
        <v/>
      </c>
      <c r="R107" s="686"/>
      <c r="S107" s="84"/>
      <c r="T107" s="84"/>
      <c r="U107" s="84"/>
      <c r="V107" s="84"/>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1454"/>
      <c r="AU107" s="376" t="str">
        <f t="shared" si="18"/>
        <v/>
      </c>
      <c r="AV107" s="376" t="str">
        <f t="shared" si="17"/>
        <v/>
      </c>
      <c r="AW107" s="376" t="str">
        <v/>
      </c>
      <c r="AX107" s="376" t="str">
        <v/>
      </c>
    </row>
    <row r="108" spans="2:50">
      <c r="B108" s="1615"/>
      <c r="C108" s="1615" t="str">
        <f>IF(D10="No", AO98, IF(D10="Yes", AP98, ""))</f>
        <v/>
      </c>
      <c r="D108" s="1615"/>
      <c r="E108" s="1632"/>
      <c r="F108" s="1615"/>
      <c r="G108" s="1615"/>
      <c r="H108" s="1615"/>
      <c r="I108" s="1615"/>
      <c r="J108" s="1615"/>
      <c r="K108" s="1615"/>
      <c r="L108" s="1633"/>
      <c r="M108" s="770" t="str">
        <f>IF(D108="", "", IF(G11&lt;&gt;"Yes", 1, IF(D108="Existing Building", 1, MAX(AS6, AS7)+1)))</f>
        <v/>
      </c>
      <c r="N108" s="1634"/>
      <c r="O108" s="1633" t="str">
        <f t="shared" si="19"/>
        <v/>
      </c>
      <c r="P108" s="1634"/>
      <c r="Q108" s="1633" t="str">
        <f t="shared" si="16"/>
        <v/>
      </c>
      <c r="R108" s="686"/>
      <c r="S108" s="84"/>
      <c r="T108" s="84"/>
      <c r="U108" s="84"/>
      <c r="V108" s="84"/>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1454"/>
      <c r="AU108" s="376" t="str">
        <f t="shared" si="18"/>
        <v/>
      </c>
      <c r="AV108" s="376" t="str">
        <f t="shared" si="17"/>
        <v/>
      </c>
      <c r="AW108" s="376" t="str">
        <v/>
      </c>
      <c r="AX108" s="376" t="str">
        <v/>
      </c>
    </row>
    <row r="109" spans="2:50">
      <c r="B109" s="1615"/>
      <c r="C109" s="1615" t="str">
        <f>IF(D10="No",AO99, IF( D10="Yes", AP99, ""))</f>
        <v/>
      </c>
      <c r="D109" s="1615"/>
      <c r="E109" s="1632"/>
      <c r="F109" s="1615"/>
      <c r="G109" s="1615"/>
      <c r="H109" s="1615"/>
      <c r="I109" s="1615"/>
      <c r="J109" s="1615"/>
      <c r="K109" s="1615"/>
      <c r="L109" s="1633"/>
      <c r="M109" s="770" t="str">
        <f>IF(D109="", "", IF(G11&lt;&gt;"Yes", 1, IF(D109="Existing Building", 1, MAX(AS6, AS7)+1)))</f>
        <v/>
      </c>
      <c r="N109" s="1634"/>
      <c r="O109" s="1633" t="str">
        <f t="shared" si="19"/>
        <v/>
      </c>
      <c r="P109" s="1634"/>
      <c r="Q109" s="1633" t="str">
        <f t="shared" si="16"/>
        <v/>
      </c>
      <c r="R109" s="686"/>
      <c r="S109" s="84"/>
      <c r="T109" s="84"/>
      <c r="U109" s="84"/>
      <c r="V109" s="84"/>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1454"/>
      <c r="AU109" s="376" t="str">
        <f t="shared" si="18"/>
        <v/>
      </c>
      <c r="AV109" s="376" t="str">
        <f t="shared" si="17"/>
        <v/>
      </c>
      <c r="AW109" s="376" t="str">
        <v/>
      </c>
      <c r="AX109" s="376" t="str">
        <v/>
      </c>
    </row>
    <row r="110" spans="2:50">
      <c r="B110" s="1615"/>
      <c r="C110" s="1615" t="str">
        <f>IF(D10="No", AO100, IF(D10="Yes", AP100, ""))</f>
        <v/>
      </c>
      <c r="D110" s="1615"/>
      <c r="E110" s="1632"/>
      <c r="F110" s="1615"/>
      <c r="G110" s="1615"/>
      <c r="H110" s="1615"/>
      <c r="I110" s="1615"/>
      <c r="J110" s="1615"/>
      <c r="K110" s="1615"/>
      <c r="L110" s="1633"/>
      <c r="M110" s="770" t="str">
        <f>IF(D110="", "", IF(G11&lt;&gt;"Yes", 1, IF(D110="Existing Building", 1, MAX(AS6, AS7)+1)))</f>
        <v/>
      </c>
      <c r="N110" s="1634"/>
      <c r="O110" s="1633" t="str">
        <f t="shared" si="19"/>
        <v/>
      </c>
      <c r="P110" s="1634"/>
      <c r="Q110" s="1633" t="str">
        <f t="shared" si="16"/>
        <v/>
      </c>
      <c r="R110" s="686"/>
      <c r="S110" s="84"/>
      <c r="T110" s="84"/>
      <c r="U110" s="84"/>
      <c r="V110" s="84"/>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1454"/>
      <c r="AU110" s="376" t="str">
        <f t="shared" si="18"/>
        <v/>
      </c>
      <c r="AV110" s="376" t="str">
        <f t="shared" si="17"/>
        <v/>
      </c>
      <c r="AW110" s="376" t="str">
        <v/>
      </c>
      <c r="AX110" s="376" t="str">
        <v/>
      </c>
    </row>
    <row r="111" spans="2:50">
      <c r="B111" s="1615"/>
      <c r="C111" s="1615" t="str">
        <f>IF(D10="No", AO101, IF(D10="Yes", AP101, ""))</f>
        <v/>
      </c>
      <c r="D111" s="1615"/>
      <c r="E111" s="1632"/>
      <c r="F111" s="1615"/>
      <c r="G111" s="1615"/>
      <c r="H111" s="1615"/>
      <c r="I111" s="1615"/>
      <c r="J111" s="1615"/>
      <c r="K111" s="1615"/>
      <c r="L111" s="1633"/>
      <c r="M111" s="770" t="str">
        <f>IF(D111="", "", IF(G11&lt;&gt;"Yes", 1, IF(D111="Existing Building", 1, MAX(AS6, AS7)+1)))</f>
        <v/>
      </c>
      <c r="N111" s="1634"/>
      <c r="O111" s="1633" t="str">
        <f t="shared" si="19"/>
        <v/>
      </c>
      <c r="P111" s="1634"/>
      <c r="Q111" s="1633" t="str">
        <f t="shared" si="16"/>
        <v/>
      </c>
      <c r="R111" s="686"/>
      <c r="S111" s="84"/>
      <c r="T111" s="84"/>
      <c r="U111" s="84"/>
      <c r="V111" s="84"/>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1454"/>
      <c r="AU111" s="376" t="str">
        <f t="shared" si="18"/>
        <v/>
      </c>
      <c r="AV111" s="376" t="str">
        <f t="shared" si="17"/>
        <v/>
      </c>
      <c r="AW111" s="376" t="str">
        <v/>
      </c>
      <c r="AX111" s="376" t="str">
        <v/>
      </c>
    </row>
    <row r="112" spans="2:50">
      <c r="B112" s="1615"/>
      <c r="C112" s="1615" t="str">
        <f>IF(D10="No", AO102, IF(D10="Yes", AP102, ""))</f>
        <v/>
      </c>
      <c r="D112" s="1615"/>
      <c r="E112" s="1632"/>
      <c r="F112" s="1615"/>
      <c r="G112" s="1615"/>
      <c r="H112" s="1615"/>
      <c r="I112" s="1615"/>
      <c r="J112" s="1615"/>
      <c r="K112" s="1615"/>
      <c r="L112" s="1633"/>
      <c r="M112" s="770" t="str">
        <f>IF(D112="", "", IF(G11&lt;&gt;"Yes", 1, IF(D112="Existing Building", 1, MAX(AS6, AS7)+1)))</f>
        <v/>
      </c>
      <c r="N112" s="1634"/>
      <c r="O112" s="1633" t="str">
        <f t="shared" si="19"/>
        <v/>
      </c>
      <c r="P112" s="1634"/>
      <c r="Q112" s="1633" t="str">
        <f t="shared" ref="Q112:Q115" si="21">IF(AND(O112&lt;&gt;"",P112&lt;&gt;""), FLOOR(O112*P112,1), "")</f>
        <v/>
      </c>
      <c r="R112" s="686"/>
      <c r="S112" s="84"/>
      <c r="T112" s="84"/>
      <c r="U112" s="84"/>
      <c r="V112" s="84"/>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1454"/>
      <c r="AU112" s="376" t="str">
        <f t="shared" si="18"/>
        <v/>
      </c>
      <c r="AV112" s="376" t="str">
        <f t="shared" si="17"/>
        <v/>
      </c>
      <c r="AW112" s="376" t="str">
        <v/>
      </c>
      <c r="AX112" s="376" t="str">
        <v/>
      </c>
    </row>
    <row r="113" spans="2:50">
      <c r="B113" s="1615"/>
      <c r="C113" s="1615" t="str">
        <f>IF(D10="No", AO103, IF(D10="Yes", AP103, ""))</f>
        <v/>
      </c>
      <c r="D113" s="1615"/>
      <c r="E113" s="1632"/>
      <c r="F113" s="1615"/>
      <c r="G113" s="1615"/>
      <c r="H113" s="1615"/>
      <c r="I113" s="1615"/>
      <c r="J113" s="1615"/>
      <c r="K113" s="1615"/>
      <c r="L113" s="1633"/>
      <c r="M113" s="770" t="str">
        <f>IF(D113="", "", IF(G11&lt;&gt;"Yes", 1, IF(D113="Existing Building", 1, MAX(AS6, AS7)+1)))</f>
        <v/>
      </c>
      <c r="N113" s="1634"/>
      <c r="O113" s="1633" t="str">
        <f t="shared" si="19"/>
        <v/>
      </c>
      <c r="P113" s="1634"/>
      <c r="Q113" s="1633" t="str">
        <f t="shared" si="21"/>
        <v/>
      </c>
      <c r="R113" s="686"/>
      <c r="S113" s="84"/>
      <c r="T113" s="84"/>
      <c r="U113" s="84"/>
      <c r="V113" s="84"/>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1454"/>
      <c r="AU113" s="376" t="str">
        <f t="shared" si="18"/>
        <v/>
      </c>
      <c r="AV113" s="376" t="str">
        <f t="shared" si="17"/>
        <v/>
      </c>
      <c r="AW113" s="376" t="str">
        <v/>
      </c>
      <c r="AX113" s="376" t="str">
        <v/>
      </c>
    </row>
    <row r="114" spans="2:50">
      <c r="B114" s="1615"/>
      <c r="C114" s="1615" t="str">
        <f>IF(D10="No", AO104, IF(D10="Yes", AP104, ""))</f>
        <v/>
      </c>
      <c r="D114" s="1615"/>
      <c r="E114" s="1632"/>
      <c r="F114" s="1615"/>
      <c r="G114" s="1615"/>
      <c r="H114" s="1615"/>
      <c r="I114" s="1615"/>
      <c r="J114" s="1615"/>
      <c r="K114" s="1615"/>
      <c r="L114" s="1633"/>
      <c r="M114" s="770" t="str">
        <f>IF(D114="", "", IF(G11&lt;&gt;"Yes", 1, IF(D114="Existing Building", 1, MAX(AS6, AS7)+1)))</f>
        <v/>
      </c>
      <c r="N114" s="1634"/>
      <c r="O114" s="1633" t="str">
        <f t="shared" ref="O114:O115" si="22">IF(AND(L114&lt;&gt;"", M114&lt;&gt;"", N114&lt;&gt;""), ROUND(L114*M114*N114, 0), "")</f>
        <v/>
      </c>
      <c r="P114" s="1634"/>
      <c r="Q114" s="1633" t="str">
        <f t="shared" si="21"/>
        <v/>
      </c>
      <c r="R114" s="686"/>
      <c r="S114" s="84"/>
      <c r="T114" s="84"/>
      <c r="U114" s="84"/>
      <c r="V114" s="84"/>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1454"/>
      <c r="AU114" s="376" t="str">
        <f t="shared" si="18"/>
        <v/>
      </c>
      <c r="AV114" s="376" t="str">
        <f t="shared" si="17"/>
        <v/>
      </c>
      <c r="AW114" s="376" t="str">
        <v/>
      </c>
      <c r="AX114" s="376" t="str">
        <v/>
      </c>
    </row>
    <row r="115" spans="2:50">
      <c r="B115" s="1615"/>
      <c r="C115" s="1615" t="str">
        <f>IF(D10="No", AO105, IF(D10="Yes", AP105, ""))</f>
        <v/>
      </c>
      <c r="D115" s="1615"/>
      <c r="E115" s="1632"/>
      <c r="F115" s="1615"/>
      <c r="G115" s="1615"/>
      <c r="H115" s="1615"/>
      <c r="I115" s="1615"/>
      <c r="J115" s="1615"/>
      <c r="K115" s="1615"/>
      <c r="L115" s="1633"/>
      <c r="M115" s="770" t="str">
        <f>IF(D115="", "", IF(G11&lt;&gt;"Yes", 1, IF(D115="Existing Building", 1, MAX(AS6, AS7)+1)))</f>
        <v/>
      </c>
      <c r="N115" s="1634"/>
      <c r="O115" s="1633" t="str">
        <f t="shared" si="22"/>
        <v/>
      </c>
      <c r="P115" s="1634"/>
      <c r="Q115" s="1633" t="str">
        <f t="shared" si="21"/>
        <v/>
      </c>
      <c r="R115" s="686"/>
      <c r="S115" s="84"/>
      <c r="T115" s="84"/>
      <c r="U115" s="84"/>
      <c r="V115" s="84"/>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1454"/>
      <c r="AU115" s="376" t="str">
        <f t="shared" si="18"/>
        <v/>
      </c>
      <c r="AV115" s="376" t="str">
        <f t="shared" si="17"/>
        <v/>
      </c>
      <c r="AW115" s="376" t="str">
        <v/>
      </c>
      <c r="AX115" s="376" t="str">
        <v/>
      </c>
    </row>
    <row r="116" spans="2:50">
      <c r="B116" s="1615"/>
      <c r="C116" s="1615"/>
      <c r="D116" s="1615"/>
      <c r="E116" s="1615"/>
      <c r="F116" s="1615"/>
      <c r="G116" s="1615"/>
      <c r="H116" s="1615"/>
      <c r="I116" s="1615"/>
      <c r="J116" s="1615"/>
      <c r="K116" s="1615"/>
      <c r="L116" s="1615"/>
      <c r="M116" s="1615"/>
      <c r="N116" s="1615"/>
      <c r="O116" s="1615"/>
      <c r="P116" s="1615"/>
      <c r="Q116" s="1615"/>
      <c r="R116" s="686"/>
      <c r="S116" s="84"/>
      <c r="T116" s="84"/>
      <c r="U116" s="84"/>
      <c r="V116" s="84"/>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1454"/>
    </row>
    <row r="117" spans="2:50">
      <c r="B117" s="1615"/>
      <c r="C117" s="1615"/>
      <c r="D117" s="1615"/>
      <c r="E117" s="1615"/>
      <c r="F117" s="1615"/>
      <c r="G117" s="1615"/>
      <c r="H117" s="1615"/>
      <c r="I117" s="1615"/>
      <c r="J117" s="1615"/>
      <c r="K117" s="1615"/>
      <c r="L117" s="1615"/>
      <c r="M117" s="1615"/>
      <c r="N117" s="1615"/>
      <c r="O117" s="1615"/>
      <c r="P117" s="1615"/>
      <c r="Q117" s="1615"/>
      <c r="R117" s="686"/>
      <c r="S117" s="84"/>
      <c r="T117" s="84"/>
      <c r="U117" s="84"/>
      <c r="V117" s="84"/>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1454"/>
    </row>
    <row r="118" spans="2:50">
      <c r="B118" s="1615"/>
      <c r="C118" s="1615"/>
      <c r="D118" s="1615"/>
      <c r="E118" s="1615"/>
      <c r="F118" s="1615"/>
      <c r="G118" s="1615"/>
      <c r="H118" s="1615"/>
      <c r="I118" s="1615"/>
      <c r="J118" s="1615"/>
      <c r="K118" s="1615"/>
      <c r="L118" s="1615"/>
      <c r="M118" s="1615"/>
      <c r="N118" s="1615"/>
      <c r="O118" s="1615"/>
      <c r="P118" s="1615"/>
      <c r="Q118" s="1615"/>
      <c r="R118" s="686"/>
      <c r="S118" s="84"/>
      <c r="T118" s="84"/>
      <c r="U118" s="84"/>
      <c r="V118" s="84"/>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1454"/>
    </row>
    <row r="119" spans="2:50">
      <c r="B119" s="1615"/>
      <c r="C119" s="1615"/>
      <c r="D119" s="1615"/>
      <c r="E119" s="1615"/>
      <c r="F119" s="1615"/>
      <c r="G119" s="1615"/>
      <c r="H119" s="1615"/>
      <c r="I119" s="1615"/>
      <c r="J119" s="1615"/>
      <c r="K119" s="1615"/>
      <c r="L119" s="1615"/>
      <c r="M119" s="1615"/>
      <c r="N119" s="1615"/>
      <c r="O119" s="1615"/>
      <c r="P119" s="1615"/>
      <c r="Q119" s="1615"/>
      <c r="R119" s="686"/>
      <c r="S119" s="84"/>
      <c r="T119" s="84"/>
      <c r="U119" s="84"/>
      <c r="V119" s="84"/>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1454"/>
    </row>
    <row r="120" spans="2:50">
      <c r="B120" s="1615"/>
      <c r="C120" s="1615"/>
      <c r="D120" s="1615"/>
      <c r="E120" s="1615"/>
      <c r="F120" s="1615"/>
      <c r="G120" s="1615"/>
      <c r="H120" s="1615"/>
      <c r="I120" s="1615"/>
      <c r="J120" s="1615"/>
      <c r="K120" s="1615"/>
      <c r="L120" s="1615"/>
      <c r="M120" s="1615"/>
      <c r="N120" s="1615"/>
      <c r="O120" s="1615"/>
      <c r="P120" s="1615"/>
      <c r="Q120" s="1615"/>
      <c r="R120" s="686"/>
      <c r="S120" s="84"/>
      <c r="T120" s="84"/>
      <c r="U120" s="84"/>
      <c r="V120" s="84"/>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1454"/>
    </row>
    <row r="121" spans="2:50">
      <c r="B121" s="1615"/>
      <c r="C121" s="1615"/>
      <c r="D121" s="1615"/>
      <c r="E121" s="1615"/>
      <c r="F121" s="1615"/>
      <c r="G121" s="1615"/>
      <c r="H121" s="1615"/>
      <c r="I121" s="1615"/>
      <c r="J121" s="1615"/>
      <c r="K121" s="1615"/>
      <c r="L121" s="1615"/>
      <c r="M121" s="1615"/>
      <c r="N121" s="1615"/>
      <c r="O121" s="1615"/>
      <c r="P121" s="1615"/>
      <c r="Q121" s="1615"/>
      <c r="R121" s="686"/>
      <c r="S121" s="84"/>
      <c r="T121" s="84"/>
      <c r="U121" s="84"/>
      <c r="V121" s="84"/>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1454"/>
    </row>
    <row r="122" spans="2:50">
      <c r="B122" s="1615"/>
      <c r="C122" s="1615"/>
      <c r="D122" s="1615"/>
      <c r="E122" s="1615"/>
      <c r="F122" s="1615"/>
      <c r="G122" s="1615"/>
      <c r="H122" s="1615"/>
      <c r="I122" s="1615"/>
      <c r="J122" s="1615"/>
      <c r="K122" s="1615"/>
      <c r="L122" s="1615"/>
      <c r="M122" s="1615"/>
      <c r="N122" s="1615"/>
      <c r="O122" s="1615"/>
      <c r="P122" s="1615"/>
      <c r="Q122" s="1615"/>
      <c r="R122" s="686"/>
      <c r="S122" s="84"/>
      <c r="T122" s="84"/>
      <c r="U122" s="84"/>
      <c r="V122" s="84"/>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1454"/>
    </row>
    <row r="123" spans="2:50">
      <c r="B123" s="1615"/>
      <c r="C123" s="1615"/>
      <c r="D123" s="1615"/>
      <c r="E123" s="1615"/>
      <c r="F123" s="1615"/>
      <c r="G123" s="1615"/>
      <c r="H123" s="1615"/>
      <c r="I123" s="1615"/>
      <c r="J123" s="1615"/>
      <c r="K123" s="1615"/>
      <c r="L123" s="1615"/>
      <c r="M123" s="1615"/>
      <c r="N123" s="1615"/>
      <c r="O123" s="1615"/>
      <c r="P123" s="1615"/>
      <c r="Q123" s="1615"/>
      <c r="R123" s="686"/>
      <c r="S123" s="84"/>
      <c r="T123" s="84"/>
      <c r="U123" s="84"/>
      <c r="V123" s="84"/>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1454"/>
    </row>
    <row r="124" spans="2:50">
      <c r="B124" s="1615"/>
      <c r="C124" s="1615"/>
      <c r="D124" s="1615"/>
      <c r="E124" s="1615"/>
      <c r="F124" s="1615"/>
      <c r="G124" s="1615"/>
      <c r="H124" s="1615"/>
      <c r="I124" s="1615"/>
      <c r="J124" s="1615"/>
      <c r="K124" s="1615"/>
      <c r="L124" s="1615"/>
      <c r="M124" s="1615"/>
      <c r="N124" s="1615"/>
      <c r="O124" s="1615"/>
      <c r="P124" s="1615"/>
      <c r="Q124" s="1615"/>
      <c r="R124" s="686"/>
      <c r="S124" s="84"/>
      <c r="T124" s="84"/>
      <c r="U124" s="84"/>
      <c r="V124" s="84"/>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1454"/>
    </row>
    <row r="125" spans="2:50">
      <c r="B125" s="1615"/>
      <c r="C125" s="1615"/>
      <c r="D125" s="1615"/>
      <c r="E125" s="1615"/>
      <c r="F125" s="1615"/>
      <c r="G125" s="1615"/>
      <c r="H125" s="1615"/>
      <c r="I125" s="1615"/>
      <c r="J125" s="1615"/>
      <c r="K125" s="1615"/>
      <c r="L125" s="1615"/>
      <c r="M125" s="1615"/>
      <c r="N125" s="1615"/>
      <c r="O125" s="1615"/>
      <c r="P125" s="1615"/>
      <c r="Q125" s="1615"/>
      <c r="R125" s="686"/>
      <c r="S125" s="84"/>
      <c r="T125" s="84"/>
      <c r="U125" s="84"/>
      <c r="V125" s="84"/>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1454"/>
    </row>
    <row r="126" spans="2:50">
      <c r="B126" s="1615"/>
      <c r="C126" s="1615"/>
      <c r="D126" s="1615"/>
      <c r="E126" s="1615"/>
      <c r="F126" s="1615"/>
      <c r="G126" s="1615"/>
      <c r="H126" s="1615"/>
      <c r="I126" s="1615"/>
      <c r="J126" s="1615"/>
      <c r="K126" s="1615"/>
      <c r="L126" s="1615"/>
      <c r="M126" s="1615"/>
      <c r="N126" s="1615"/>
      <c r="O126" s="1615"/>
      <c r="P126" s="1615"/>
      <c r="Q126" s="1615"/>
      <c r="R126" s="686"/>
      <c r="S126" s="84"/>
      <c r="T126" s="84"/>
      <c r="U126" s="84"/>
      <c r="V126" s="84"/>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1454"/>
    </row>
    <row r="127" spans="2:50">
      <c r="B127" s="1615"/>
      <c r="C127" s="1615"/>
      <c r="D127" s="1615"/>
      <c r="E127" s="1615"/>
      <c r="F127" s="1615"/>
      <c r="G127" s="1615"/>
      <c r="H127" s="1615"/>
      <c r="I127" s="1615"/>
      <c r="J127" s="1615"/>
      <c r="K127" s="1615"/>
      <c r="L127" s="1615"/>
      <c r="M127" s="1615"/>
      <c r="N127" s="1615"/>
      <c r="O127" s="1615"/>
      <c r="P127" s="1615"/>
      <c r="Q127" s="1615"/>
      <c r="R127" s="686"/>
      <c r="S127" s="84"/>
      <c r="T127" s="84"/>
      <c r="U127" s="84"/>
      <c r="V127" s="84"/>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1454"/>
    </row>
    <row r="128" spans="2:50">
      <c r="B128" s="1615"/>
      <c r="C128" s="1615"/>
      <c r="D128" s="1615"/>
      <c r="E128" s="1615"/>
      <c r="F128" s="1615"/>
      <c r="G128" s="1615"/>
      <c r="H128" s="1615"/>
      <c r="I128" s="1615"/>
      <c r="J128" s="1615"/>
      <c r="K128" s="1615"/>
      <c r="L128" s="1615"/>
      <c r="M128" s="1615"/>
      <c r="N128" s="1615"/>
      <c r="O128" s="1615"/>
      <c r="P128" s="1615"/>
      <c r="Q128" s="1615"/>
      <c r="R128" s="686"/>
      <c r="S128" s="84"/>
      <c r="T128" s="84"/>
      <c r="U128" s="84"/>
      <c r="V128" s="84"/>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1454"/>
    </row>
    <row r="129" spans="2:46">
      <c r="B129" s="1615"/>
      <c r="C129" s="1615"/>
      <c r="D129" s="1615"/>
      <c r="E129" s="1615"/>
      <c r="F129" s="1615"/>
      <c r="G129" s="1615"/>
      <c r="H129" s="1615"/>
      <c r="I129" s="1615"/>
      <c r="J129" s="1615"/>
      <c r="K129" s="1615"/>
      <c r="L129" s="1615"/>
      <c r="M129" s="1615"/>
      <c r="N129" s="1615"/>
      <c r="O129" s="1615"/>
      <c r="P129" s="1615"/>
      <c r="Q129" s="1615"/>
      <c r="R129" s="686"/>
      <c r="S129" s="84"/>
      <c r="T129" s="84"/>
      <c r="U129" s="84"/>
      <c r="V129" s="84"/>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1454"/>
    </row>
    <row r="130" spans="2:46">
      <c r="B130" s="1615"/>
      <c r="C130" s="1615"/>
      <c r="D130" s="1615"/>
      <c r="E130" s="1615"/>
      <c r="F130" s="1615"/>
      <c r="G130" s="1615"/>
      <c r="H130" s="1615"/>
      <c r="I130" s="1615"/>
      <c r="J130" s="1615"/>
      <c r="K130" s="1615"/>
      <c r="L130" s="1615"/>
      <c r="M130" s="1615"/>
      <c r="N130" s="1615"/>
      <c r="O130" s="1615"/>
      <c r="P130" s="1615"/>
      <c r="Q130" s="1615"/>
      <c r="R130" s="686"/>
      <c r="S130" s="84"/>
      <c r="T130" s="84"/>
      <c r="U130" s="84"/>
      <c r="V130" s="84"/>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1454"/>
    </row>
    <row r="131" spans="2:46">
      <c r="B131" s="1615"/>
      <c r="C131" s="1615"/>
      <c r="D131" s="1615"/>
      <c r="E131" s="1615"/>
      <c r="F131" s="1615"/>
      <c r="G131" s="1615"/>
      <c r="H131" s="1615"/>
      <c r="I131" s="1615"/>
      <c r="J131" s="1615"/>
      <c r="K131" s="1615"/>
      <c r="L131" s="1615"/>
      <c r="M131" s="1615"/>
      <c r="N131" s="1615"/>
      <c r="O131" s="1615"/>
      <c r="P131" s="1615"/>
      <c r="Q131" s="1615"/>
      <c r="R131" s="686"/>
      <c r="S131" s="84"/>
      <c r="T131" s="84"/>
      <c r="U131" s="84"/>
      <c r="V131" s="84"/>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1454"/>
    </row>
    <row r="132" spans="2:46">
      <c r="B132" s="1615"/>
      <c r="C132" s="1615"/>
      <c r="D132" s="1615"/>
      <c r="E132" s="1615"/>
      <c r="F132" s="1615"/>
      <c r="G132" s="1615"/>
      <c r="H132" s="1615"/>
      <c r="I132" s="1615"/>
      <c r="J132" s="1615"/>
      <c r="K132" s="1615"/>
      <c r="L132" s="1615"/>
      <c r="M132" s="1615"/>
      <c r="N132" s="1615"/>
      <c r="O132" s="1615"/>
      <c r="P132" s="1615"/>
      <c r="Q132" s="1615"/>
      <c r="R132" s="686"/>
      <c r="S132" s="84"/>
      <c r="T132" s="84"/>
      <c r="U132" s="84"/>
      <c r="V132" s="84"/>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1454"/>
    </row>
    <row r="133" spans="2:46">
      <c r="B133" s="1615"/>
      <c r="C133" s="1615"/>
      <c r="D133" s="1615"/>
      <c r="E133" s="1615"/>
      <c r="F133" s="1615"/>
      <c r="G133" s="1615"/>
      <c r="H133" s="1615"/>
      <c r="I133" s="1615"/>
      <c r="J133" s="1615"/>
      <c r="K133" s="1615"/>
      <c r="L133" s="1615"/>
      <c r="M133" s="1615"/>
      <c r="N133" s="1615"/>
      <c r="O133" s="1615"/>
      <c r="P133" s="1615"/>
      <c r="Q133" s="1615"/>
      <c r="R133" s="686"/>
      <c r="S133" s="84"/>
      <c r="T133" s="84"/>
      <c r="U133" s="84"/>
      <c r="V133" s="84"/>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1454"/>
    </row>
    <row r="134" spans="2:46">
      <c r="B134" s="1615"/>
      <c r="C134" s="1615"/>
      <c r="D134" s="1615"/>
      <c r="E134" s="1615"/>
      <c r="F134" s="1615"/>
      <c r="G134" s="1615"/>
      <c r="H134" s="1615"/>
      <c r="I134" s="1615"/>
      <c r="J134" s="1615"/>
      <c r="K134" s="1615"/>
      <c r="L134" s="1615"/>
      <c r="M134" s="1615"/>
      <c r="N134" s="1615"/>
      <c r="O134" s="1615"/>
      <c r="P134" s="1615"/>
      <c r="Q134" s="1615"/>
      <c r="R134" s="686"/>
      <c r="S134" s="84"/>
      <c r="T134" s="84"/>
      <c r="U134" s="84"/>
      <c r="V134" s="84"/>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1454"/>
    </row>
    <row r="135" spans="2:46">
      <c r="B135" s="1615"/>
      <c r="C135" s="1615"/>
      <c r="D135" s="1615"/>
      <c r="E135" s="1615"/>
      <c r="F135" s="1615"/>
      <c r="G135" s="1615"/>
      <c r="H135" s="1615"/>
      <c r="I135" s="1615"/>
      <c r="J135" s="1615"/>
      <c r="K135" s="1615"/>
      <c r="L135" s="1615"/>
      <c r="M135" s="1615"/>
      <c r="N135" s="1615"/>
      <c r="O135" s="1615"/>
      <c r="P135" s="1615"/>
      <c r="Q135" s="1615"/>
      <c r="R135" s="686"/>
      <c r="S135" s="84"/>
      <c r="T135" s="84"/>
      <c r="U135" s="84"/>
      <c r="V135" s="84"/>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1454"/>
    </row>
    <row r="136" spans="2:46">
      <c r="B136" s="1615"/>
      <c r="C136" s="1615"/>
      <c r="D136" s="1615"/>
      <c r="E136" s="1615"/>
      <c r="F136" s="1615"/>
      <c r="G136" s="1615"/>
      <c r="H136" s="1615"/>
      <c r="I136" s="1615"/>
      <c r="J136" s="1615"/>
      <c r="K136" s="1615"/>
      <c r="L136" s="1615"/>
      <c r="M136" s="1615"/>
      <c r="N136" s="1615"/>
      <c r="O136" s="1615"/>
      <c r="P136" s="1615"/>
      <c r="Q136" s="1615"/>
      <c r="R136" s="686"/>
      <c r="S136" s="84"/>
      <c r="T136" s="84"/>
      <c r="U136" s="84"/>
      <c r="V136" s="84"/>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1454"/>
    </row>
    <row r="137" spans="2:46">
      <c r="B137" s="1615"/>
      <c r="C137" s="1615"/>
      <c r="D137" s="1615"/>
      <c r="E137" s="1615"/>
      <c r="F137" s="1615"/>
      <c r="G137" s="1615"/>
      <c r="H137" s="1615"/>
      <c r="I137" s="1615"/>
      <c r="J137" s="1615"/>
      <c r="K137" s="1615"/>
      <c r="L137" s="1615"/>
      <c r="M137" s="1615"/>
      <c r="N137" s="1615"/>
      <c r="O137" s="1615"/>
      <c r="P137" s="1615"/>
      <c r="Q137" s="1615"/>
      <c r="R137" s="686"/>
      <c r="S137" s="84"/>
      <c r="T137" s="84"/>
      <c r="U137" s="84"/>
      <c r="V137" s="84"/>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1454"/>
    </row>
  </sheetData>
  <sheetProtection algorithmName="SHA-512" hashValue="dVxIZioqygC/p/91Je25mtVDOJbAwceldC4OBRhszbJQ2bK1lNJzA5kejECIVzT8WKHvdqcQTMs2+deAp8ky2A==" saltValue="IHv9Nl5TJ5BtQjrL3VhgmA==" spinCount="100000" sheet="1" objects="1" scenarios="1" selectLockedCells="1"/>
  <conditionalFormatting sqref="F7:G7">
    <cfRule type="expression" dxfId="1" priority="201">
      <formula>$D$6&lt;&gt;"9%"</formula>
    </cfRule>
  </conditionalFormatting>
  <conditionalFormatting sqref="Q14">
    <cfRule type="expression" dxfId="0" priority="202">
      <formula>SumCreditRequest&gt;G10</formula>
    </cfRule>
  </conditionalFormatting>
  <dataValidations count="2">
    <dataValidation type="custom" allowBlank="1" showInputMessage="1" showErrorMessage="1" sqref="F1:G1" xr:uid="{F109FB70-4B19-4BBD-A746-39AC9C614448}">
      <formula1>"&lt;0&gt;0"</formula1>
    </dataValidation>
    <dataValidation type="custom" allowBlank="1" showInputMessage="1" showErrorMessage="1" errorTitle="Numeric Values Only" error="Please enter numeric values only." sqref="J16:K65" xr:uid="{51DB94B1-090D-487E-9AAF-85DD1D01F438}">
      <formula1>ISNUMBER(J16)</formula1>
    </dataValidation>
  </dataValidations>
  <pageMargins left="0.7" right="0.7" top="0.75" bottom="0.75" header="0.3" footer="0.3"/>
  <pageSetup scale="34" fitToHeight="0"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00" id="{C8148E95-4AF3-487C-BF03-4F9EA84FCB03}">
            <xm:f>OR(AND($D$10="No", '3. Project Location'!$H$6 &gt; 1), $D$10="Yes")</xm:f>
            <x14:dxf>
              <fill>
                <patternFill>
                  <bgColor rgb="FFFFFF99"/>
                </patternFill>
              </fill>
              <border>
                <left style="thin">
                  <color auto="1"/>
                </left>
                <right style="thin">
                  <color auto="1"/>
                </right>
                <top style="thin">
                  <color auto="1"/>
                </top>
                <bottom style="thin">
                  <color auto="1"/>
                </bottom>
                <vertical/>
                <horizontal/>
              </border>
            </x14:dxf>
          </x14:cfRule>
          <xm:sqref>C17 O17 Q17</xm:sqref>
        </x14:conditionalFormatting>
        <x14:conditionalFormatting xmlns:xm="http://schemas.microsoft.com/office/excel/2006/main">
          <x14:cfRule type="expression" priority="198" id="{B2034539-346C-499B-8EAA-24D73AB3FAE4}">
            <xm:f>IF($D$10="No", '3. Project Location'!$H$6 &gt; 2,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C18 O18 Q18</xm:sqref>
        </x14:conditionalFormatting>
        <x14:conditionalFormatting xmlns:xm="http://schemas.microsoft.com/office/excel/2006/main">
          <x14:cfRule type="expression" priority="194" id="{9F710F2E-0C7F-4896-9FE4-E3BD07E31A2D}">
            <xm:f>IF($D$10="No", '3. Project Location'!$H$6 &gt; 3,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C19 O19 Q19</xm:sqref>
        </x14:conditionalFormatting>
        <x14:conditionalFormatting xmlns:xm="http://schemas.microsoft.com/office/excel/2006/main">
          <x14:cfRule type="expression" priority="2" id="{15A59BC3-EE40-4D58-ADD3-5FD497BADCF5}">
            <xm:f>IF($D$10="No", '3. Project Location'!$H$6 &gt; 4, IF($D$10="Yes", '3. Project Location'!$H$6 &gt; 2, FALSE))</xm:f>
            <x14:dxf>
              <fill>
                <patternFill>
                  <bgColor rgb="FFFFFF99"/>
                </patternFill>
              </fill>
              <border>
                <left style="thin">
                  <color auto="1"/>
                </left>
                <right style="thin">
                  <color auto="1"/>
                </right>
                <top style="thin">
                  <color auto="1"/>
                </top>
                <bottom style="thin">
                  <color auto="1"/>
                </bottom>
              </border>
            </x14:dxf>
          </x14:cfRule>
          <xm:sqref>C20 O20 Q20</xm:sqref>
        </x14:conditionalFormatting>
        <x14:conditionalFormatting xmlns:xm="http://schemas.microsoft.com/office/excel/2006/main">
          <x14:cfRule type="expression" priority="192" id="{4BA40DD1-57D7-4328-B2CF-C6DAC05D8A17}">
            <xm:f>IF($D$10="No", '3. Project Location'!$H$6 &gt; 5, IF($D$10="Yes", '3. Project Location'!$H$6 &gt; 2, FALSE))</xm:f>
            <x14:dxf>
              <fill>
                <patternFill>
                  <bgColor rgb="FFFFFF99"/>
                </patternFill>
              </fill>
              <border>
                <left style="thin">
                  <color auto="1"/>
                </left>
                <right style="thin">
                  <color auto="1"/>
                </right>
                <top style="thin">
                  <color auto="1"/>
                </top>
                <bottom style="thin">
                  <color auto="1"/>
                </bottom>
                <vertical/>
                <horizontal/>
              </border>
            </x14:dxf>
          </x14:cfRule>
          <xm:sqref>C21 O21 Q21</xm:sqref>
        </x14:conditionalFormatting>
        <x14:conditionalFormatting xmlns:xm="http://schemas.microsoft.com/office/excel/2006/main">
          <x14:cfRule type="expression" priority="190" id="{E9CC2190-4D37-4EC9-975F-D6004CCD0EBA}">
            <xm:f>IF($D$10="No", '3. Project Location'!$H$6 &gt; 6,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C22 O22 Q22</xm:sqref>
        </x14:conditionalFormatting>
        <x14:conditionalFormatting xmlns:xm="http://schemas.microsoft.com/office/excel/2006/main">
          <x14:cfRule type="expression" priority="188" id="{84AE2C6B-48FF-489A-800A-29C83D80B728}">
            <xm:f>IF($D$10="No", '3. Project Location'!$H$6 &gt; 7,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C23 O23 Q23</xm:sqref>
        </x14:conditionalFormatting>
        <x14:conditionalFormatting xmlns:xm="http://schemas.microsoft.com/office/excel/2006/main">
          <x14:cfRule type="expression" priority="186" id="{5FE5A2C7-460A-4E85-B2E5-4DEB32209C30}">
            <xm:f>IF($D$10="No", '3. Project Location'!$H$6 &gt; 8,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C24 O24 Q24</xm:sqref>
        </x14:conditionalFormatting>
        <x14:conditionalFormatting xmlns:xm="http://schemas.microsoft.com/office/excel/2006/main">
          <x14:cfRule type="expression" priority="184" id="{064E1EE6-7365-4FDB-BF0A-30F5877F1E4F}">
            <xm:f>IF($D$10="No", '3. Project Location'!$H$6 &gt; 9,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C25 O25 Q25</xm:sqref>
        </x14:conditionalFormatting>
        <x14:conditionalFormatting xmlns:xm="http://schemas.microsoft.com/office/excel/2006/main">
          <x14:cfRule type="expression" priority="182" id="{DCFE0F34-709F-4E6D-9658-F5182C14631D}">
            <xm:f>IF($D$10="No", '3. Project Location'!$H$6 &gt; 10,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C26 O26 Q26</xm:sqref>
        </x14:conditionalFormatting>
        <x14:conditionalFormatting xmlns:xm="http://schemas.microsoft.com/office/excel/2006/main">
          <x14:cfRule type="expression" priority="180" id="{71BFE08D-B3AA-44C0-AD8B-304D9513326A}">
            <xm:f>IF($D$10="No", '3. Project Location'!$H$6 &gt; 11,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C27 O27 Q27</xm:sqref>
        </x14:conditionalFormatting>
        <x14:conditionalFormatting xmlns:xm="http://schemas.microsoft.com/office/excel/2006/main">
          <x14:cfRule type="expression" priority="178" id="{D7944357-1AF3-4242-8096-E16D89AB219A}">
            <xm:f>IF($D$10="No", '3. Project Location'!$H$6 &gt; 12,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C28 O28 Q28</xm:sqref>
        </x14:conditionalFormatting>
        <x14:conditionalFormatting xmlns:xm="http://schemas.microsoft.com/office/excel/2006/main">
          <x14:cfRule type="expression" priority="176" id="{58329D79-8828-4AB4-9338-46EC7DE2DE68}">
            <xm:f>IF($D$10="No", '3. Project Location'!$H$6 &gt; 13,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C29 O29 Q29</xm:sqref>
        </x14:conditionalFormatting>
        <x14:conditionalFormatting xmlns:xm="http://schemas.microsoft.com/office/excel/2006/main">
          <x14:cfRule type="expression" priority="174" id="{31A95A08-31FE-438B-B18F-2112B91A1501}">
            <xm:f>IF($D$10="No", '3. Project Location'!$H$6 &gt; 14,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C30 O30 Q30</xm:sqref>
        </x14:conditionalFormatting>
        <x14:conditionalFormatting xmlns:xm="http://schemas.microsoft.com/office/excel/2006/main">
          <x14:cfRule type="expression" priority="172" id="{8A142F85-1AF2-4F4B-87E8-07E40A403BB2}">
            <xm:f>IF($D$10="No", '3. Project Location'!$H$6 &gt; 15,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C31 O31 Q31</xm:sqref>
        </x14:conditionalFormatting>
        <x14:conditionalFormatting xmlns:xm="http://schemas.microsoft.com/office/excel/2006/main">
          <x14:cfRule type="expression" priority="170" id="{37DA0630-49A5-43D8-9ADB-47F7EF49CBBD}">
            <xm:f>IF($D$10="No", '3. Project Location'!$H$6 &gt; 16,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C32 O32 Q32</xm:sqref>
        </x14:conditionalFormatting>
        <x14:conditionalFormatting xmlns:xm="http://schemas.microsoft.com/office/excel/2006/main">
          <x14:cfRule type="expression" priority="168" id="{A522CF74-D458-4A42-B148-5E2F5B59C23E}">
            <xm:f>IF($D$10="No", '3. Project Location'!$H$6 &gt; 17,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C33 O33 Q33</xm:sqref>
        </x14:conditionalFormatting>
        <x14:conditionalFormatting xmlns:xm="http://schemas.microsoft.com/office/excel/2006/main">
          <x14:cfRule type="expression" priority="166" id="{69F2F2C1-FE57-435E-84D8-023D95F8DFC9}">
            <xm:f>IF($D$10="No", '3. Project Location'!$H$6 &gt; 18,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C34 O34 Q34</xm:sqref>
        </x14:conditionalFormatting>
        <x14:conditionalFormatting xmlns:xm="http://schemas.microsoft.com/office/excel/2006/main">
          <x14:cfRule type="expression" priority="164" id="{AB274996-E9A7-49B3-80AA-F24D92A12328}">
            <xm:f>IF($D$10="No", '3. Project Location'!$H$6 &gt; 19,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C35 O35 Q35</xm:sqref>
        </x14:conditionalFormatting>
        <x14:conditionalFormatting xmlns:xm="http://schemas.microsoft.com/office/excel/2006/main">
          <x14:cfRule type="expression" priority="162" id="{9D5F19ED-EA18-49E6-AE0D-783E50E56AF9}">
            <xm:f>IF($D$10="No", '3. Project Location'!$H$6 &gt; 20,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C36 O36 Q36</xm:sqref>
        </x14:conditionalFormatting>
        <x14:conditionalFormatting xmlns:xm="http://schemas.microsoft.com/office/excel/2006/main">
          <x14:cfRule type="expression" priority="160" id="{A7CC817F-56FC-4A76-8AE4-7C48F35D55BF}">
            <xm:f>IF($D$10="No", '3. Project Location'!$H$6 &gt; 21,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C37 O37 Q37</xm:sqref>
        </x14:conditionalFormatting>
        <x14:conditionalFormatting xmlns:xm="http://schemas.microsoft.com/office/excel/2006/main">
          <x14:cfRule type="expression" priority="158" id="{41056624-AA7D-45B4-9F2D-673303C4BD82}">
            <xm:f>IF($D$10="No", '3. Project Location'!$H$6 &gt; 22,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C38 O38 Q38</xm:sqref>
        </x14:conditionalFormatting>
        <x14:conditionalFormatting xmlns:xm="http://schemas.microsoft.com/office/excel/2006/main">
          <x14:cfRule type="expression" priority="156" id="{A0F3B72B-C9C1-4A61-AD79-D259F41937B3}">
            <xm:f>IF($D$10="No", '3. Project Location'!$H$6 &gt; 23,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C39 O39 Q39</xm:sqref>
        </x14:conditionalFormatting>
        <x14:conditionalFormatting xmlns:xm="http://schemas.microsoft.com/office/excel/2006/main">
          <x14:cfRule type="expression" priority="154" id="{F4887B13-D949-48D1-9752-9AF2294EE009}">
            <xm:f>IF($D$10="No", '3. Project Location'!$H$6 &gt; 24,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C40 O40 Q40</xm:sqref>
        </x14:conditionalFormatting>
        <x14:conditionalFormatting xmlns:xm="http://schemas.microsoft.com/office/excel/2006/main">
          <x14:cfRule type="expression" priority="152" id="{62E24CE9-CF02-468B-BDEC-F3ECE84559C5}">
            <xm:f>IF($D$10="No", '3. Project Location'!$H$6 &gt; 25,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C41 O41 Q41</xm:sqref>
        </x14:conditionalFormatting>
        <x14:conditionalFormatting xmlns:xm="http://schemas.microsoft.com/office/excel/2006/main">
          <x14:cfRule type="expression" priority="150" id="{FE04E62C-4542-47E7-9F2E-5E9A529167A8}">
            <xm:f>IF($D$10="No", '3. Project Location'!$H$6 &gt; 26,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C42 O42 Q42</xm:sqref>
        </x14:conditionalFormatting>
        <x14:conditionalFormatting xmlns:xm="http://schemas.microsoft.com/office/excel/2006/main">
          <x14:cfRule type="expression" priority="148" id="{6351C2C4-30A3-4C4D-86B3-F79122D72561}">
            <xm:f>IF($D$10="No", '3. Project Location'!$H$6 &gt; 27,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C43 O43 Q43</xm:sqref>
        </x14:conditionalFormatting>
        <x14:conditionalFormatting xmlns:xm="http://schemas.microsoft.com/office/excel/2006/main">
          <x14:cfRule type="expression" priority="146" id="{16CDA83A-4FDC-4A36-983D-14106B50A0DE}">
            <xm:f>IF($D$10="No", '3. Project Location'!$H$6 &gt; 28,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C44 O44 Q44</xm:sqref>
        </x14:conditionalFormatting>
        <x14:conditionalFormatting xmlns:xm="http://schemas.microsoft.com/office/excel/2006/main">
          <x14:cfRule type="expression" priority="144" id="{5ECA5223-48C7-41E0-AD3F-2ED6752C1768}">
            <xm:f>IF($D$10="No", '3. Project Location'!$H$6 &gt; 29,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C45 O45 Q45</xm:sqref>
        </x14:conditionalFormatting>
        <x14:conditionalFormatting xmlns:xm="http://schemas.microsoft.com/office/excel/2006/main">
          <x14:cfRule type="expression" priority="142" id="{11025ABB-3D28-4D0B-A4AF-6CBFDF8E2AB5}">
            <xm:f>IF($D$10="No", '3. Project Location'!$H$6 &gt; 30,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C46 O46 Q46</xm:sqref>
        </x14:conditionalFormatting>
        <x14:conditionalFormatting xmlns:xm="http://schemas.microsoft.com/office/excel/2006/main">
          <x14:cfRule type="expression" priority="140" id="{368029B4-4403-40DD-9094-2BC733416325}">
            <xm:f>IF($D$10="No", '3. Project Location'!$H$6 &gt; 31,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C47 O47 Q47</xm:sqref>
        </x14:conditionalFormatting>
        <x14:conditionalFormatting xmlns:xm="http://schemas.microsoft.com/office/excel/2006/main">
          <x14:cfRule type="expression" priority="138" id="{DF35FA57-9C4A-422C-8300-9F75E15224EB}">
            <xm:f>IF($D$10="No", '3. Project Location'!$H$6 &gt; 32,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C48 O48 Q48</xm:sqref>
        </x14:conditionalFormatting>
        <x14:conditionalFormatting xmlns:xm="http://schemas.microsoft.com/office/excel/2006/main">
          <x14:cfRule type="expression" priority="136" id="{F6E1DB07-B1D0-4D2A-881B-660DFF83C2B4}">
            <xm:f>IF($D$10="No", '3. Project Location'!$H$6 &gt; 33,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C49 O49 Q49</xm:sqref>
        </x14:conditionalFormatting>
        <x14:conditionalFormatting xmlns:xm="http://schemas.microsoft.com/office/excel/2006/main">
          <x14:cfRule type="expression" priority="134" id="{82CF110A-2A47-4A65-84B0-B03B5016A6F6}">
            <xm:f>IF($D$10="No", '3. Project Location'!$H$6 &gt; 34,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C50 O50 Q50</xm:sqref>
        </x14:conditionalFormatting>
        <x14:conditionalFormatting xmlns:xm="http://schemas.microsoft.com/office/excel/2006/main">
          <x14:cfRule type="expression" priority="132" id="{EC99CE6F-5F37-4EF4-A85F-1637A988C6B6}">
            <xm:f>IF($D$10="No", '3. Project Location'!$H$6 &gt; 35,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C51 O51 Q51</xm:sqref>
        </x14:conditionalFormatting>
        <x14:conditionalFormatting xmlns:xm="http://schemas.microsoft.com/office/excel/2006/main">
          <x14:cfRule type="expression" priority="130" id="{AA356990-BFB9-422F-9A17-8CC135E6211A}">
            <xm:f>IF($D$10="No", '3. Project Location'!$H$6 &gt; 36,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C52 O52 Q52</xm:sqref>
        </x14:conditionalFormatting>
        <x14:conditionalFormatting xmlns:xm="http://schemas.microsoft.com/office/excel/2006/main">
          <x14:cfRule type="expression" priority="128" id="{BC9CFD37-C4AA-4BB1-BA9C-4757C87E9D94}">
            <xm:f>IF($D$10="No", '3. Project Location'!$H$6 &gt; 37,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C53 O53 Q53</xm:sqref>
        </x14:conditionalFormatting>
        <x14:conditionalFormatting xmlns:xm="http://schemas.microsoft.com/office/excel/2006/main">
          <x14:cfRule type="expression" priority="126" id="{E9CD927D-FB0A-4D79-90CB-5F0980B4C13F}">
            <xm:f>IF($D$10="No", '3. Project Location'!$H$6 &gt; 38,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C54 O54 Q54</xm:sqref>
        </x14:conditionalFormatting>
        <x14:conditionalFormatting xmlns:xm="http://schemas.microsoft.com/office/excel/2006/main">
          <x14:cfRule type="expression" priority="124" id="{5DB16EB6-6A75-4803-A0EB-60D2E03491CC}">
            <xm:f>IF($D$10="No", '3. Project Location'!$H$6 &gt; 39,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C55 O55 Q55</xm:sqref>
        </x14:conditionalFormatting>
        <x14:conditionalFormatting xmlns:xm="http://schemas.microsoft.com/office/excel/2006/main">
          <x14:cfRule type="expression" priority="122" id="{05A19578-B9BD-4DE7-9908-6A413679FCDE}">
            <xm:f>IF($D$10="No", '3. Project Location'!$H$6 &gt; 40,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C56 O56 Q56</xm:sqref>
        </x14:conditionalFormatting>
        <x14:conditionalFormatting xmlns:xm="http://schemas.microsoft.com/office/excel/2006/main">
          <x14:cfRule type="expression" priority="120" id="{B91B2FFC-E267-4F59-8425-B8A748CC393B}">
            <xm:f>IF($D$10="No", '3. Project Location'!$H$6 &gt; 41,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C57 O57 Q57</xm:sqref>
        </x14:conditionalFormatting>
        <x14:conditionalFormatting xmlns:xm="http://schemas.microsoft.com/office/excel/2006/main">
          <x14:cfRule type="expression" priority="118" id="{020F4AFD-F019-48D9-AB50-95E6415788DD}">
            <xm:f>IF($D$10="No", '3. Project Location'!$H$6 &gt; 42,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C58 O58 Q58</xm:sqref>
        </x14:conditionalFormatting>
        <x14:conditionalFormatting xmlns:xm="http://schemas.microsoft.com/office/excel/2006/main">
          <x14:cfRule type="expression" priority="116" id="{389560DF-32EC-4745-AF40-775400B9FF52}">
            <xm:f>IF($D$10="No", '3. Project Location'!$H$6 &gt; 43,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C59 O59 Q59</xm:sqref>
        </x14:conditionalFormatting>
        <x14:conditionalFormatting xmlns:xm="http://schemas.microsoft.com/office/excel/2006/main">
          <x14:cfRule type="expression" priority="114" id="{70244EC0-3294-4866-9369-C5A2CF0F0446}">
            <xm:f>IF($D$10="No", '3. Project Location'!$H$6 &gt; 44,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C60 O60 Q60</xm:sqref>
        </x14:conditionalFormatting>
        <x14:conditionalFormatting xmlns:xm="http://schemas.microsoft.com/office/excel/2006/main">
          <x14:cfRule type="expression" priority="112" id="{E97929AE-CE3C-407C-96F6-0B30E933B940}">
            <xm:f>IF($D$10="No", '3. Project Location'!$H$6 &gt; 45,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C61 O61 Q61</xm:sqref>
        </x14:conditionalFormatting>
        <x14:conditionalFormatting xmlns:xm="http://schemas.microsoft.com/office/excel/2006/main">
          <x14:cfRule type="expression" priority="108" id="{6E73F1DC-0FCF-4C99-AC70-811DA3ADD1BD}">
            <xm:f>IF($D$10="No", '3. Project Location'!$H$6 &gt; 46, IF($D$10="Yes", '3. Project Location'!$H$6 &gt; 23, FALSE))</xm:f>
            <x14:dxf>
              <fill>
                <patternFill>
                  <bgColor rgb="FFFFFF99"/>
                </patternFill>
              </fill>
              <border>
                <left style="thin">
                  <color auto="1"/>
                </left>
                <right style="thin">
                  <color auto="1"/>
                </right>
                <top style="thin">
                  <color auto="1"/>
                </top>
                <bottom style="thin">
                  <color auto="1"/>
                </bottom>
                <vertical/>
                <horizontal/>
              </border>
            </x14:dxf>
          </x14:cfRule>
          <xm:sqref>C62:C63 O62:O63 Q62:Q63</xm:sqref>
        </x14:conditionalFormatting>
        <x14:conditionalFormatting xmlns:xm="http://schemas.microsoft.com/office/excel/2006/main">
          <x14:cfRule type="expression" priority="106" id="{250A69F6-DDA3-46FB-A022-A8E73D08C3C4}">
            <xm:f>IF($D$10="No", '3. Project Location'!$H$6 &gt; 48,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C64 O64 Q64</xm:sqref>
        </x14:conditionalFormatting>
        <x14:conditionalFormatting xmlns:xm="http://schemas.microsoft.com/office/excel/2006/main">
          <x14:cfRule type="expression" priority="104" id="{8A31223E-1050-4557-A700-4EBCEDCDDA7A}">
            <xm:f>IF($D$10="No", '3. Project Location'!$H$6 &gt; 49,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C65 O65 Q65</xm:sqref>
        </x14:conditionalFormatting>
        <x14:conditionalFormatting xmlns:xm="http://schemas.microsoft.com/office/excel/2006/main">
          <x14:cfRule type="expression" priority="102" id="{C23CF16B-DB0D-409B-93D6-D479E74BCB4C}">
            <xm:f>IF($D$10="No", '3. Project Location'!$H$6 &gt; 50,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C66 O66 Q66</xm:sqref>
        </x14:conditionalFormatting>
        <x14:conditionalFormatting xmlns:xm="http://schemas.microsoft.com/office/excel/2006/main">
          <x14:cfRule type="expression" priority="100" id="{09E7FBE7-EB55-46B9-8AB1-DDDAE9862770}">
            <xm:f>IF($D$10="No", '3. Project Location'!$H$6 &gt; 51,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C67 O67 Q67</xm:sqref>
        </x14:conditionalFormatting>
        <x14:conditionalFormatting xmlns:xm="http://schemas.microsoft.com/office/excel/2006/main">
          <x14:cfRule type="expression" priority="98" id="{D1EC1A4C-F43F-49DA-82FF-6E234B8E18CD}">
            <xm:f>IF($D$10="No", '3. Project Location'!$H$6 &gt; 52,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C68 O68 Q68</xm:sqref>
        </x14:conditionalFormatting>
        <x14:conditionalFormatting xmlns:xm="http://schemas.microsoft.com/office/excel/2006/main">
          <x14:cfRule type="expression" priority="96" id="{FCA220DB-D725-49C4-9716-1C75A6B2ABC3}">
            <xm:f>IF($D$10="No", '3. Project Location'!$H$6 &gt; 53,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C69 O69 Q69</xm:sqref>
        </x14:conditionalFormatting>
        <x14:conditionalFormatting xmlns:xm="http://schemas.microsoft.com/office/excel/2006/main">
          <x14:cfRule type="expression" priority="94" id="{E888EEA0-D503-4748-9486-25F572751033}">
            <xm:f>IF($D$10="No", '3. Project Location'!$H$6 &gt; 54,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C70 O70 Q70</xm:sqref>
        </x14:conditionalFormatting>
        <x14:conditionalFormatting xmlns:xm="http://schemas.microsoft.com/office/excel/2006/main">
          <x14:cfRule type="expression" priority="92" id="{82E38DEE-B703-432F-916E-549738CCD1B4}">
            <xm:f>IF($D$10="No", '3. Project Location'!$H$6 &gt; 55,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C71 O71 Q71</xm:sqref>
        </x14:conditionalFormatting>
        <x14:conditionalFormatting xmlns:xm="http://schemas.microsoft.com/office/excel/2006/main">
          <x14:cfRule type="expression" priority="90" id="{964B6A6C-008F-45A1-8245-0E8727D7A4F0}">
            <xm:f>IF($D$10="No", '3. Project Location'!$H$6 &gt; 56,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C72 O72 Q72</xm:sqref>
        </x14:conditionalFormatting>
        <x14:conditionalFormatting xmlns:xm="http://schemas.microsoft.com/office/excel/2006/main">
          <x14:cfRule type="expression" priority="88" id="{DD4D8392-F577-46E0-9D91-6EAD15738275}">
            <xm:f>IF($D$10="No", '3. Project Location'!$H$6 &gt; 57,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C73 O73 Q73</xm:sqref>
        </x14:conditionalFormatting>
        <x14:conditionalFormatting xmlns:xm="http://schemas.microsoft.com/office/excel/2006/main">
          <x14:cfRule type="expression" priority="86" id="{C6FDAC2E-DAC7-40E0-862F-AA5E9100D29F}">
            <xm:f>IF($D$10="No", '3. Project Location'!$H$6 &gt; 58,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C74 O74 Q74</xm:sqref>
        </x14:conditionalFormatting>
        <x14:conditionalFormatting xmlns:xm="http://schemas.microsoft.com/office/excel/2006/main">
          <x14:cfRule type="expression" priority="84" id="{E27B0BEC-AB6F-4D41-B657-E5315432E857}">
            <xm:f>IF($D$10="No", '3. Project Location'!$H$6 &gt; 59,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C75 O75 Q75</xm:sqref>
        </x14:conditionalFormatting>
        <x14:conditionalFormatting xmlns:xm="http://schemas.microsoft.com/office/excel/2006/main">
          <x14:cfRule type="expression" priority="82" id="{3A7DF383-468E-4BB2-B2EA-2F6A384DB6EA}">
            <xm:f>IF($D$10="No", '3. Project Location'!$H$6 &gt; 60,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C76 O76 Q76</xm:sqref>
        </x14:conditionalFormatting>
        <x14:conditionalFormatting xmlns:xm="http://schemas.microsoft.com/office/excel/2006/main">
          <x14:cfRule type="expression" priority="80" id="{1D0D81E1-94B0-47E3-982D-4836DB5FD3A7}">
            <xm:f>IF($D$10="No", '3. Project Location'!$H$6 &gt; 61,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C77 O77 Q77</xm:sqref>
        </x14:conditionalFormatting>
        <x14:conditionalFormatting xmlns:xm="http://schemas.microsoft.com/office/excel/2006/main">
          <x14:cfRule type="expression" priority="78" id="{D99F6723-AA69-4FB7-8C88-9A10056944D4}">
            <xm:f>IF($D$10="No", '3. Project Location'!$H$6 &gt; 62,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C78 O78 Q78</xm:sqref>
        </x14:conditionalFormatting>
        <x14:conditionalFormatting xmlns:xm="http://schemas.microsoft.com/office/excel/2006/main">
          <x14:cfRule type="expression" priority="76" id="{E10CA9B7-3805-4B40-B6C1-29CB05F0F80A}">
            <xm:f>IF($D$10="No", '3. Project Location'!$H$6 &gt; 63,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C79 O79 Q79</xm:sqref>
        </x14:conditionalFormatting>
        <x14:conditionalFormatting xmlns:xm="http://schemas.microsoft.com/office/excel/2006/main">
          <x14:cfRule type="expression" priority="74" id="{25183F1F-9797-41D7-B7FA-3F478249D790}">
            <xm:f>IF($D$10="No", '3. Project Location'!$H$6 &gt; 64,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C80 O80 Q80</xm:sqref>
        </x14:conditionalFormatting>
        <x14:conditionalFormatting xmlns:xm="http://schemas.microsoft.com/office/excel/2006/main">
          <x14:cfRule type="expression" priority="72" id="{AFAECE6F-7E06-42D3-804D-036754390E99}">
            <xm:f>IF($D$10="No", '3. Project Location'!$H$6 &gt; 65,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C81 O81 Q81</xm:sqref>
        </x14:conditionalFormatting>
        <x14:conditionalFormatting xmlns:xm="http://schemas.microsoft.com/office/excel/2006/main">
          <x14:cfRule type="expression" priority="70" id="{1CAAACB2-307C-4419-84D1-C67018E30982}">
            <xm:f>IF($D$10="No", '3. Project Location'!$H$6 &gt; 66,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C82 O82 Q82</xm:sqref>
        </x14:conditionalFormatting>
        <x14:conditionalFormatting xmlns:xm="http://schemas.microsoft.com/office/excel/2006/main">
          <x14:cfRule type="expression" priority="68" id="{9F4F6F5D-3F13-484E-B35E-0EC69643E209}">
            <xm:f>IF($D$10="No", '3. Project Location'!$H$6 &gt; 67,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C83 O83 Q83</xm:sqref>
        </x14:conditionalFormatting>
        <x14:conditionalFormatting xmlns:xm="http://schemas.microsoft.com/office/excel/2006/main">
          <x14:cfRule type="expression" priority="66" id="{6DEFE811-F55A-4423-908E-764D87E61C71}">
            <xm:f>IF($D$10="No", '3. Project Location'!$H$6 &gt; 68,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C84 O84 Q84</xm:sqref>
        </x14:conditionalFormatting>
        <x14:conditionalFormatting xmlns:xm="http://schemas.microsoft.com/office/excel/2006/main">
          <x14:cfRule type="expression" priority="64" id="{736E3CBA-57EE-4521-9DF5-B68D2856694B}">
            <xm:f>IF($D$10="No", '3. Project Location'!$H$6 &gt; 69,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C85 O85 Q85</xm:sqref>
        </x14:conditionalFormatting>
        <x14:conditionalFormatting xmlns:xm="http://schemas.microsoft.com/office/excel/2006/main">
          <x14:cfRule type="expression" priority="62" id="{C5680EB0-0931-41A3-92E8-916EBF90DD27}">
            <xm:f>IF($D$10="No", '3. Project Location'!$H$6 &gt; 70,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C86 O86 Q86</xm:sqref>
        </x14:conditionalFormatting>
        <x14:conditionalFormatting xmlns:xm="http://schemas.microsoft.com/office/excel/2006/main">
          <x14:cfRule type="expression" priority="60" id="{624EAED1-BAEF-4CAF-97CF-88D9383E067F}">
            <xm:f>IF($D$10="No", '3. Project Location'!$H$6 &gt; 71,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C87 O87 Q87</xm:sqref>
        </x14:conditionalFormatting>
        <x14:conditionalFormatting xmlns:xm="http://schemas.microsoft.com/office/excel/2006/main">
          <x14:cfRule type="expression" priority="58" id="{96CD20B0-1CC6-4971-A40E-E7165B83A1DC}">
            <xm:f>IF($D$10="No", '3. Project Location'!$H$6 &gt; 72,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C88 O88 Q88</xm:sqref>
        </x14:conditionalFormatting>
        <x14:conditionalFormatting xmlns:xm="http://schemas.microsoft.com/office/excel/2006/main">
          <x14:cfRule type="expression" priority="56" id="{342E43ED-B542-4808-8D94-93900795AC4F}">
            <xm:f>IF($D$10="No", '3. Project Location'!$H$6 &gt; 73,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C89 O89 Q89</xm:sqref>
        </x14:conditionalFormatting>
        <x14:conditionalFormatting xmlns:xm="http://schemas.microsoft.com/office/excel/2006/main">
          <x14:cfRule type="expression" priority="54" id="{B8856988-8CDE-40D9-AF13-5D2E2B7EA3C9}">
            <xm:f>IF($D$10="No", '3. Project Location'!$H$6 &gt; 74,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C90 O90 Q90</xm:sqref>
        </x14:conditionalFormatting>
        <x14:conditionalFormatting xmlns:xm="http://schemas.microsoft.com/office/excel/2006/main">
          <x14:cfRule type="expression" priority="52" id="{484C768A-3AD0-46D7-8BFB-F5A819968F71}">
            <xm:f>IF($D$10="No", '3. Project Location'!$H$6 &gt; 75,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C91 O91 Q91</xm:sqref>
        </x14:conditionalFormatting>
        <x14:conditionalFormatting xmlns:xm="http://schemas.microsoft.com/office/excel/2006/main">
          <x14:cfRule type="expression" priority="50" id="{BADBD1EB-B5E3-4A98-9149-33F82AF2227D}">
            <xm:f>IF($D$10="No", '3. Project Location'!$H$6 &gt; 76,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C92 O92 Q92</xm:sqref>
        </x14:conditionalFormatting>
        <x14:conditionalFormatting xmlns:xm="http://schemas.microsoft.com/office/excel/2006/main">
          <x14:cfRule type="expression" priority="48" id="{8EBFE217-3B7B-427F-985E-133CD80C5D7C}">
            <xm:f>IF($D$10="No", '3. Project Location'!$H$6 &gt; 77,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C93 O93 Q93</xm:sqref>
        </x14:conditionalFormatting>
        <x14:conditionalFormatting xmlns:xm="http://schemas.microsoft.com/office/excel/2006/main">
          <x14:cfRule type="expression" priority="46" id="{4DDA8E85-BD96-4C4A-A7E9-CDB057F3DE67}">
            <xm:f>IF($D$10="No", '3. Project Location'!$H$6 &gt; 78,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C94 O94 Q94</xm:sqref>
        </x14:conditionalFormatting>
        <x14:conditionalFormatting xmlns:xm="http://schemas.microsoft.com/office/excel/2006/main">
          <x14:cfRule type="expression" priority="44" id="{9EE2C731-2831-46E8-A560-8BA40E9968D4}">
            <xm:f>IF($D$10="No", '3. Project Location'!$H$6 &gt; 79,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C95 O95 Q95</xm:sqref>
        </x14:conditionalFormatting>
        <x14:conditionalFormatting xmlns:xm="http://schemas.microsoft.com/office/excel/2006/main">
          <x14:cfRule type="expression" priority="42" id="{CDA3A5E6-54DF-4884-A6B9-2F62D2C3A532}">
            <xm:f>IF($D$10="No", '3. Project Location'!$H$6 &gt; 80,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C96 O96 Q96</xm:sqref>
        </x14:conditionalFormatting>
        <x14:conditionalFormatting xmlns:xm="http://schemas.microsoft.com/office/excel/2006/main">
          <x14:cfRule type="expression" priority="40" id="{A76869AD-DA02-4F27-B516-8DE75B1F2D62}">
            <xm:f>IF($D$10="No", '3. Project Location'!$H$6 &gt; 81,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C97 O97 Q97</xm:sqref>
        </x14:conditionalFormatting>
        <x14:conditionalFormatting xmlns:xm="http://schemas.microsoft.com/office/excel/2006/main">
          <x14:cfRule type="expression" priority="38" id="{E9F382EF-1DD9-4528-8C55-545B3581FDEE}">
            <xm:f>IF($D$10="No", '3. Project Location'!$H$6 &gt; 82,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C98 O98 Q98</xm:sqref>
        </x14:conditionalFormatting>
        <x14:conditionalFormatting xmlns:xm="http://schemas.microsoft.com/office/excel/2006/main">
          <x14:cfRule type="expression" priority="36" id="{EDB284C8-0DF8-4D4C-9B85-D964D4D645E2}">
            <xm:f>IF($D$10="No", '3. Project Location'!$H$6 &gt; 83,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C99 O99 Q99</xm:sqref>
        </x14:conditionalFormatting>
        <x14:conditionalFormatting xmlns:xm="http://schemas.microsoft.com/office/excel/2006/main">
          <x14:cfRule type="expression" priority="34" id="{B114A0FD-64D9-4D83-B8E0-F63857F1FDCC}">
            <xm:f>IF($D$10="No", '3. Project Location'!$H$6 &gt; 84,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C100 O100 Q100</xm:sqref>
        </x14:conditionalFormatting>
        <x14:conditionalFormatting xmlns:xm="http://schemas.microsoft.com/office/excel/2006/main">
          <x14:cfRule type="expression" priority="32" id="{BEF55788-95F3-4535-8481-4CC252FF488A}">
            <xm:f>IF($D$10="No", '3. Project Location'!$H$6 &gt; 85,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C101 O101 Q101</xm:sqref>
        </x14:conditionalFormatting>
        <x14:conditionalFormatting xmlns:xm="http://schemas.microsoft.com/office/excel/2006/main">
          <x14:cfRule type="expression" priority="30" id="{0DB74593-D6F3-4351-9E91-4AC7811F30C6}">
            <xm:f>IF($D$10="No", '3. Project Location'!$H$6 &gt; 86,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C102 O102 Q102</xm:sqref>
        </x14:conditionalFormatting>
        <x14:conditionalFormatting xmlns:xm="http://schemas.microsoft.com/office/excel/2006/main">
          <x14:cfRule type="expression" priority="28" id="{C11A5169-3462-4E80-A211-2977330D9B51}">
            <xm:f>IF($D$10="No", '3. Project Location'!$H$6 &gt; 87,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C103 O103 Q103</xm:sqref>
        </x14:conditionalFormatting>
        <x14:conditionalFormatting xmlns:xm="http://schemas.microsoft.com/office/excel/2006/main">
          <x14:cfRule type="expression" priority="26" id="{19B40563-9711-48B6-9604-CAE7FC21AF9D}">
            <xm:f>IF($D$10="No", '3. Project Location'!$H$6 &gt; 88,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C104 O104 Q104</xm:sqref>
        </x14:conditionalFormatting>
        <x14:conditionalFormatting xmlns:xm="http://schemas.microsoft.com/office/excel/2006/main">
          <x14:cfRule type="expression" priority="24" id="{DA23B2EA-0946-46D5-8B6F-EDB7D459A741}">
            <xm:f>IF($D$10="No", '3. Project Location'!$H$6 &gt; 89,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C105 O105 Q105</xm:sqref>
        </x14:conditionalFormatting>
        <x14:conditionalFormatting xmlns:xm="http://schemas.microsoft.com/office/excel/2006/main">
          <x14:cfRule type="expression" priority="22" id="{0C0234DD-60B5-4920-A47D-00D2A994D22E}">
            <xm:f>IF($D$10="No", '3. Project Location'!$H$6 &gt; 90,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C106 O106 Q106</xm:sqref>
        </x14:conditionalFormatting>
        <x14:conditionalFormatting xmlns:xm="http://schemas.microsoft.com/office/excel/2006/main">
          <x14:cfRule type="expression" priority="20" id="{BFCF836A-C901-42C2-92F8-7F45048AC6D4}">
            <xm:f>IF($D$10="No", '3. Project Location'!$H$6 &gt; 91,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C107 O107 Q107</xm:sqref>
        </x14:conditionalFormatting>
        <x14:conditionalFormatting xmlns:xm="http://schemas.microsoft.com/office/excel/2006/main">
          <x14:cfRule type="expression" priority="18" id="{DD9553F8-9187-49B3-9A4D-1622B3C50442}">
            <xm:f>IF($D$10="No", '3. Project Location'!$H$6 &gt; 92,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C108 O108 Q108</xm:sqref>
        </x14:conditionalFormatting>
        <x14:conditionalFormatting xmlns:xm="http://schemas.microsoft.com/office/excel/2006/main">
          <x14:cfRule type="expression" priority="16" id="{4C41FD6F-3DBD-4EE0-AE7C-102C7BE791AB}">
            <xm:f>IF($D$10="No", '3. Project Location'!$H$6 &gt; 93,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C109 O109 Q109</xm:sqref>
        </x14:conditionalFormatting>
        <x14:conditionalFormatting xmlns:xm="http://schemas.microsoft.com/office/excel/2006/main">
          <x14:cfRule type="expression" priority="14" id="{82697948-9400-47E1-8D27-A40A3218D813}">
            <xm:f>IF($D$10="No", '3. Project Location'!$H$6 &gt; 94,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C110 O110 Q110</xm:sqref>
        </x14:conditionalFormatting>
        <x14:conditionalFormatting xmlns:xm="http://schemas.microsoft.com/office/excel/2006/main">
          <x14:cfRule type="expression" priority="12" id="{649B4CB0-4419-4CB6-BD60-D7F84DB62B22}">
            <xm:f>IF($D$10="No", '3. Project Location'!$H$6 &gt; 95,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C111 O111 Q111</xm:sqref>
        </x14:conditionalFormatting>
        <x14:conditionalFormatting xmlns:xm="http://schemas.microsoft.com/office/excel/2006/main">
          <x14:cfRule type="expression" priority="10" id="{09D40F71-5DE0-4F32-AA78-4FB8B69A9D56}">
            <xm:f>IF($D$10="No", '3. Project Location'!$H$6 &gt; 96,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C112 O112 Q112</xm:sqref>
        </x14:conditionalFormatting>
        <x14:conditionalFormatting xmlns:xm="http://schemas.microsoft.com/office/excel/2006/main">
          <x14:cfRule type="expression" priority="8" id="{C25F0689-0992-4C73-9A68-5AB534BED2E4}">
            <xm:f>IF($D$10="No", '3. Project Location'!$H$6 &gt; 97,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C113 O113 Q113</xm:sqref>
        </x14:conditionalFormatting>
        <x14:conditionalFormatting xmlns:xm="http://schemas.microsoft.com/office/excel/2006/main">
          <x14:cfRule type="expression" priority="6" id="{1434E57C-4072-409C-9D5C-24BDA9687B05}">
            <xm:f>IF($D$10="No", '3. Project Location'!$H$6 &gt; 98,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C114 O114 Q114</xm:sqref>
        </x14:conditionalFormatting>
        <x14:conditionalFormatting xmlns:xm="http://schemas.microsoft.com/office/excel/2006/main">
          <x14:cfRule type="expression" priority="4" id="{20EAE1EB-6289-4380-B5F3-ABCFB753F7C8}">
            <xm:f>IF($D$10="No", '3. Project Location'!$H$6 &gt; 99,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C115 O115 Q115</xm:sqref>
        </x14:conditionalFormatting>
        <x14:conditionalFormatting xmlns:xm="http://schemas.microsoft.com/office/excel/2006/main">
          <x14:cfRule type="expression" priority="199" id="{68686BAC-632E-4150-B9BD-CBFC8915E8D3}">
            <xm:f>OR(AND($D$10="No", '3. Project Location'!$H$6 &gt; 1), $D$10="Yes")</xm:f>
            <x14:dxf>
              <fill>
                <patternFill>
                  <bgColor rgb="FF92D050"/>
                </patternFill>
              </fill>
              <border>
                <left style="thin">
                  <color auto="1"/>
                </left>
                <right style="thin">
                  <color auto="1"/>
                </right>
                <top style="thin">
                  <color auto="1"/>
                </top>
                <bottom style="thin">
                  <color auto="1"/>
                </bottom>
                <vertical/>
                <horizontal/>
              </border>
            </x14:dxf>
          </x14:cfRule>
          <xm:sqref>D17:N17 P17</xm:sqref>
        </x14:conditionalFormatting>
        <x14:conditionalFormatting xmlns:xm="http://schemas.microsoft.com/office/excel/2006/main">
          <x14:cfRule type="expression" priority="197" id="{6113E615-27AA-42AC-9F30-7265852B95D2}">
            <xm:f>IF($D$10="No", '3. Project Location'!$H$6 &gt; 2,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D18:N18 P18</xm:sqref>
        </x14:conditionalFormatting>
        <x14:conditionalFormatting xmlns:xm="http://schemas.microsoft.com/office/excel/2006/main">
          <x14:cfRule type="expression" priority="193" id="{EFEBCAD9-1201-44B7-813F-1A4C90DB419B}">
            <xm:f>IF($D$10="No", '3. Project Location'!$H$6 &gt; 3,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D19:N19 P19</xm:sqref>
        </x14:conditionalFormatting>
        <x14:conditionalFormatting xmlns:xm="http://schemas.microsoft.com/office/excel/2006/main">
          <x14:cfRule type="expression" priority="1" id="{735AB6FC-4664-422B-A081-C348936E2B70}">
            <xm:f>IF($D$10="No", '3. Project Location'!$H$6 &gt; 4, IF($D$10="Yes", '3. Project Location'!$H$6 &gt; 2, FALSE))</xm:f>
            <x14:dxf>
              <fill>
                <patternFill>
                  <bgColor rgb="FF92D050"/>
                </patternFill>
              </fill>
              <border>
                <left style="thin">
                  <color auto="1"/>
                </left>
                <right style="thin">
                  <color auto="1"/>
                </right>
                <top style="thin">
                  <color auto="1"/>
                </top>
                <bottom style="thin">
                  <color auto="1"/>
                </bottom>
              </border>
            </x14:dxf>
          </x14:cfRule>
          <xm:sqref>D20:N20 P20</xm:sqref>
        </x14:conditionalFormatting>
        <x14:conditionalFormatting xmlns:xm="http://schemas.microsoft.com/office/excel/2006/main">
          <x14:cfRule type="expression" priority="191" id="{4B3C5139-03E5-4C59-B5C9-54633D56083F}">
            <xm:f>IF($D$10="No", '3. Project Location'!$H$6 &gt; 5, IF($D$10="Yes", '3. Project Location'!$H$6 &gt; 2, FALSE))</xm:f>
            <x14:dxf>
              <fill>
                <patternFill>
                  <bgColor rgb="FF92D050"/>
                </patternFill>
              </fill>
              <border>
                <left style="thin">
                  <color auto="1"/>
                </left>
                <right style="thin">
                  <color auto="1"/>
                </right>
                <top style="thin">
                  <color auto="1"/>
                </top>
                <bottom style="thin">
                  <color auto="1"/>
                </bottom>
                <vertical/>
                <horizontal/>
              </border>
            </x14:dxf>
          </x14:cfRule>
          <xm:sqref>D21:N21 P21</xm:sqref>
        </x14:conditionalFormatting>
        <x14:conditionalFormatting xmlns:xm="http://schemas.microsoft.com/office/excel/2006/main">
          <x14:cfRule type="expression" priority="189" id="{C4A8CE8C-37FB-417F-9A71-7CA7C9A36924}">
            <xm:f>IF($D$10="No", '3. Project Location'!$H$6 &gt; 6,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D22:N22 P22</xm:sqref>
        </x14:conditionalFormatting>
        <x14:conditionalFormatting xmlns:xm="http://schemas.microsoft.com/office/excel/2006/main">
          <x14:cfRule type="expression" priority="187" id="{B2201DA0-3340-46E6-9D53-482A3F95BFD9}">
            <xm:f>IF($D$10="No", '3. Project Location'!$H$6 &gt; 7,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D23:N23 P23</xm:sqref>
        </x14:conditionalFormatting>
        <x14:conditionalFormatting xmlns:xm="http://schemas.microsoft.com/office/excel/2006/main">
          <x14:cfRule type="expression" priority="185" id="{BAA61D9B-0C8E-44B3-85B8-F591A02C8150}">
            <xm:f>IF($D$10="No", '3. Project Location'!$H$6 &gt; 8,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D24:N24 P24</xm:sqref>
        </x14:conditionalFormatting>
        <x14:conditionalFormatting xmlns:xm="http://schemas.microsoft.com/office/excel/2006/main">
          <x14:cfRule type="expression" priority="183" id="{B7B26E81-4A9A-44BE-A508-FB66BCC5910F}">
            <xm:f>IF($D$10="No", '3. Project Location'!$H$6 &gt; 9,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D25:N25 P25</xm:sqref>
        </x14:conditionalFormatting>
        <x14:conditionalFormatting xmlns:xm="http://schemas.microsoft.com/office/excel/2006/main">
          <x14:cfRule type="expression" priority="181" id="{F6949C1C-4B0E-479F-A915-9CE6620F1179}">
            <xm:f>IF($D$10="No", '3. Project Location'!$H$6 &gt; 10,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D26:N26 P26</xm:sqref>
        </x14:conditionalFormatting>
        <x14:conditionalFormatting xmlns:xm="http://schemas.microsoft.com/office/excel/2006/main">
          <x14:cfRule type="expression" priority="179" id="{869D72E8-5448-4C0B-BFC7-716C16BC13C6}">
            <xm:f>IF($D$10="No", '3. Project Location'!$H$6 &gt; 11,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D27:N27 P27</xm:sqref>
        </x14:conditionalFormatting>
        <x14:conditionalFormatting xmlns:xm="http://schemas.microsoft.com/office/excel/2006/main">
          <x14:cfRule type="expression" priority="177" id="{4FE5749A-314B-450A-99B2-20C5F05DE9BC}">
            <xm:f>IF($D$10="No", '3. Project Location'!$H$6 &gt; 12,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D28:N28 P28</xm:sqref>
        </x14:conditionalFormatting>
        <x14:conditionalFormatting xmlns:xm="http://schemas.microsoft.com/office/excel/2006/main">
          <x14:cfRule type="expression" priority="175" id="{692DF4BF-E4D7-4BDD-A06F-8F4ACD92CA8A}">
            <xm:f>IF($D$10="No", '3. Project Location'!$H$6 &gt; 13,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D29:N29 P29</xm:sqref>
        </x14:conditionalFormatting>
        <x14:conditionalFormatting xmlns:xm="http://schemas.microsoft.com/office/excel/2006/main">
          <x14:cfRule type="expression" priority="173" id="{971985D5-BF3F-46C2-A3FE-57F0695E8BBF}">
            <xm:f>IF($D$10="No", '3. Project Location'!$H$6 &gt; 14,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D30:N30 P30</xm:sqref>
        </x14:conditionalFormatting>
        <x14:conditionalFormatting xmlns:xm="http://schemas.microsoft.com/office/excel/2006/main">
          <x14:cfRule type="expression" priority="171" id="{BE0C7B6D-D4E8-44BD-961E-EE680C6833E1}">
            <xm:f>IF($D$10="No", '3. Project Location'!$H$6 &gt; 15,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D31:N31 P31</xm:sqref>
        </x14:conditionalFormatting>
        <x14:conditionalFormatting xmlns:xm="http://schemas.microsoft.com/office/excel/2006/main">
          <x14:cfRule type="expression" priority="169" id="{9357FE44-113D-47E5-B05F-6B1FA5395C41}">
            <xm:f>IF($D$10="No", '3. Project Location'!$H$6 &gt; 16,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D32:N32 P32</xm:sqref>
        </x14:conditionalFormatting>
        <x14:conditionalFormatting xmlns:xm="http://schemas.microsoft.com/office/excel/2006/main">
          <x14:cfRule type="expression" priority="167" id="{82350E88-7146-4AEF-A997-A5D811F137AB}">
            <xm:f>IF($D$10="No", '3. Project Location'!$H$6 &gt; 17,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D33:N33 P33</xm:sqref>
        </x14:conditionalFormatting>
        <x14:conditionalFormatting xmlns:xm="http://schemas.microsoft.com/office/excel/2006/main">
          <x14:cfRule type="expression" priority="165" id="{60EEB8E5-EB36-4D90-AEBE-6279F29E9BEC}">
            <xm:f>IF($D$10="No", '3. Project Location'!$H$6 &gt; 18,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D34:N34 P34</xm:sqref>
        </x14:conditionalFormatting>
        <x14:conditionalFormatting xmlns:xm="http://schemas.microsoft.com/office/excel/2006/main">
          <x14:cfRule type="expression" priority="163" id="{1C867C46-37D1-4A11-8B9C-A235FC846311}">
            <xm:f>IF($D$10="No", '3. Project Location'!$H$6 &gt; 19,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D35:N35 P35</xm:sqref>
        </x14:conditionalFormatting>
        <x14:conditionalFormatting xmlns:xm="http://schemas.microsoft.com/office/excel/2006/main">
          <x14:cfRule type="expression" priority="161" id="{70C06491-BFCF-456F-9877-53E8BD26954B}">
            <xm:f>IF($D$10="No", '3. Project Location'!$H$6 &gt; 20,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D36:N36 P36</xm:sqref>
        </x14:conditionalFormatting>
        <x14:conditionalFormatting xmlns:xm="http://schemas.microsoft.com/office/excel/2006/main">
          <x14:cfRule type="expression" priority="159" id="{1BE9069E-2516-402C-B970-D13748D3EE2F}">
            <xm:f>IF($D$10="No", '3. Project Location'!$H$6 &gt; 21,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D37:N37 P37</xm:sqref>
        </x14:conditionalFormatting>
        <x14:conditionalFormatting xmlns:xm="http://schemas.microsoft.com/office/excel/2006/main">
          <x14:cfRule type="expression" priority="157" id="{DD74AF75-ED39-4526-BA7F-AE0B26E84072}">
            <xm:f>IF($D$10="No", '3. Project Location'!$H$6 &gt; 22,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D38:N38 P38</xm:sqref>
        </x14:conditionalFormatting>
        <x14:conditionalFormatting xmlns:xm="http://schemas.microsoft.com/office/excel/2006/main">
          <x14:cfRule type="expression" priority="155" id="{53DDC33B-A863-48D5-8302-B99CFF6E0372}">
            <xm:f>IF($D$10="No", '3. Project Location'!$H$6 &gt; 23,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D39:N39 P39</xm:sqref>
        </x14:conditionalFormatting>
        <x14:conditionalFormatting xmlns:xm="http://schemas.microsoft.com/office/excel/2006/main">
          <x14:cfRule type="expression" priority="153" id="{011EBC58-A72C-4947-AA10-ECAC211DC82D}">
            <xm:f>IF($D$10="No", '3. Project Location'!$H$6 &gt; 24,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D40:N40 P40</xm:sqref>
        </x14:conditionalFormatting>
        <x14:conditionalFormatting xmlns:xm="http://schemas.microsoft.com/office/excel/2006/main">
          <x14:cfRule type="expression" priority="151" id="{0FEB64E5-9876-49F3-B2C0-440B76002724}">
            <xm:f>IF($D$10="No", '3. Project Location'!$H$6 &gt; 25,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D41:N41 P41</xm:sqref>
        </x14:conditionalFormatting>
        <x14:conditionalFormatting xmlns:xm="http://schemas.microsoft.com/office/excel/2006/main">
          <x14:cfRule type="expression" priority="149" id="{7C18A7BF-27EC-4F30-B679-6A163DEAC9F8}">
            <xm:f>IF($D$10="No", '3. Project Location'!$H$6 &gt; 26,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D42:N42 P42</xm:sqref>
        </x14:conditionalFormatting>
        <x14:conditionalFormatting xmlns:xm="http://schemas.microsoft.com/office/excel/2006/main">
          <x14:cfRule type="expression" priority="147" id="{B81EA6E0-7AD7-48C9-ADBA-4CF0A3173F9D}">
            <xm:f>IF($D$10="No", '3. Project Location'!$H$6 &gt; 27,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D43:N43 P43</xm:sqref>
        </x14:conditionalFormatting>
        <x14:conditionalFormatting xmlns:xm="http://schemas.microsoft.com/office/excel/2006/main">
          <x14:cfRule type="expression" priority="145" id="{0BAD7DB0-B47E-4F8F-B381-CD741EE8C02A}">
            <xm:f>IF($D$10="No", '3. Project Location'!$H$6 &gt; 28,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D44:N44 P44</xm:sqref>
        </x14:conditionalFormatting>
        <x14:conditionalFormatting xmlns:xm="http://schemas.microsoft.com/office/excel/2006/main">
          <x14:cfRule type="expression" priority="143" id="{1F7A9BE4-FDF7-4D17-812F-574EB5506835}">
            <xm:f>IF($D$10="No", '3. Project Location'!$H$6 &gt; 29,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D45:N45 P45</xm:sqref>
        </x14:conditionalFormatting>
        <x14:conditionalFormatting xmlns:xm="http://schemas.microsoft.com/office/excel/2006/main">
          <x14:cfRule type="expression" priority="141" id="{8F963C49-7AA4-493E-8A42-1F80B90DEBE4}">
            <xm:f>IF($D$10="No", '3. Project Location'!$H$6 &gt; 30,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D46:N46 P46</xm:sqref>
        </x14:conditionalFormatting>
        <x14:conditionalFormatting xmlns:xm="http://schemas.microsoft.com/office/excel/2006/main">
          <x14:cfRule type="expression" priority="139" id="{C12435E9-BFE5-4BFB-A21F-7058F0C0EE02}">
            <xm:f>IF($D$10="No", '3. Project Location'!$H$6 &gt; 31,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D47:N47 P47</xm:sqref>
        </x14:conditionalFormatting>
        <x14:conditionalFormatting xmlns:xm="http://schemas.microsoft.com/office/excel/2006/main">
          <x14:cfRule type="expression" priority="137" id="{7DB3BFFA-7FCF-426D-BCA8-E1FB781ED2B1}">
            <xm:f>IF($D$10="No", '3. Project Location'!$H$6 &gt; 32,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D48:N48 P48</xm:sqref>
        </x14:conditionalFormatting>
        <x14:conditionalFormatting xmlns:xm="http://schemas.microsoft.com/office/excel/2006/main">
          <x14:cfRule type="expression" priority="135" id="{CF1E687D-3E5A-4D0B-AC78-055928085891}">
            <xm:f>IF($D$10="No", '3. Project Location'!$H$6 &gt; 33,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D49:N49 P49</xm:sqref>
        </x14:conditionalFormatting>
        <x14:conditionalFormatting xmlns:xm="http://schemas.microsoft.com/office/excel/2006/main">
          <x14:cfRule type="expression" priority="133" id="{ECDCAA2A-D9B4-4F8B-AEE6-6E6F731C7EC9}">
            <xm:f>IF($D$10="No", '3. Project Location'!$H$6 &gt; 34,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D50:N50 P50</xm:sqref>
        </x14:conditionalFormatting>
        <x14:conditionalFormatting xmlns:xm="http://schemas.microsoft.com/office/excel/2006/main">
          <x14:cfRule type="expression" priority="131" id="{772C833B-554A-4C1D-92E7-239411754929}">
            <xm:f>IF($D$10="No", '3. Project Location'!$H$6 &gt; 35,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D51:N51 P51</xm:sqref>
        </x14:conditionalFormatting>
        <x14:conditionalFormatting xmlns:xm="http://schemas.microsoft.com/office/excel/2006/main">
          <x14:cfRule type="expression" priority="129" id="{C71CF054-CEEE-4E1D-ADFF-FA43B35CD5A4}">
            <xm:f>IF($D$10="No", '3. Project Location'!$H$6 &gt; 36,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D52:N52 P52</xm:sqref>
        </x14:conditionalFormatting>
        <x14:conditionalFormatting xmlns:xm="http://schemas.microsoft.com/office/excel/2006/main">
          <x14:cfRule type="expression" priority="127" id="{C91B8169-E022-4C99-9757-F5A102ED2083}">
            <xm:f>IF($D$10="No", '3. Project Location'!$H$6 &gt; 37,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D53:N53 P53</xm:sqref>
        </x14:conditionalFormatting>
        <x14:conditionalFormatting xmlns:xm="http://schemas.microsoft.com/office/excel/2006/main">
          <x14:cfRule type="expression" priority="125" id="{DC2B3CA9-6C46-4DE6-A6AE-F979AF9A781E}">
            <xm:f>IF($D$10="No", '3. Project Location'!$H$6 &gt; 38,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D54:N54 P54</xm:sqref>
        </x14:conditionalFormatting>
        <x14:conditionalFormatting xmlns:xm="http://schemas.microsoft.com/office/excel/2006/main">
          <x14:cfRule type="expression" priority="123" id="{52859034-9FFC-4BBA-A4EE-CD5C7BF5FD0C}">
            <xm:f>IF($D$10="No", '3. Project Location'!$H$6 &gt; 39,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D55:N55 P55</xm:sqref>
        </x14:conditionalFormatting>
        <x14:conditionalFormatting xmlns:xm="http://schemas.microsoft.com/office/excel/2006/main">
          <x14:cfRule type="expression" priority="121" id="{0FFFBF2A-3801-4EEF-833B-833BF549C44B}">
            <xm:f>IF($D$10="No", '3. Project Location'!$H$6 &gt; 40, IF($D$10="Yes", '3. Project Location'!$H$6 &gt; 20, FALSE))</xm:f>
            <x14:dxf>
              <fill>
                <patternFill>
                  <bgColor rgb="FF92D050"/>
                </patternFill>
              </fill>
              <border>
                <left style="thin">
                  <color auto="1"/>
                </left>
                <right style="thin">
                  <color auto="1"/>
                </right>
                <top style="thin">
                  <color auto="1"/>
                </top>
                <bottom style="thin">
                  <color auto="1"/>
                </bottom>
                <vertical/>
                <horizontal/>
              </border>
            </x14:dxf>
          </x14:cfRule>
          <xm:sqref>D56:N56 P56</xm:sqref>
        </x14:conditionalFormatting>
        <x14:conditionalFormatting xmlns:xm="http://schemas.microsoft.com/office/excel/2006/main">
          <x14:cfRule type="expression" priority="119" id="{E946867F-C2A9-4C2A-9957-8011595EBB94}">
            <xm:f>IF($D$10="No", '3. Project Location'!$H$6 &gt; 41, IF($D$10="Yes", '3. Project Location'!$H$6 &gt; 20, FALSE))</xm:f>
            <x14:dxf>
              <fill>
                <patternFill>
                  <bgColor rgb="FF92D050"/>
                </patternFill>
              </fill>
              <border>
                <left style="thin">
                  <color auto="1"/>
                </left>
                <right style="thin">
                  <color auto="1"/>
                </right>
                <top style="thin">
                  <color auto="1"/>
                </top>
                <bottom style="thin">
                  <color auto="1"/>
                </bottom>
              </border>
            </x14:dxf>
          </x14:cfRule>
          <xm:sqref>D57:N57 P57</xm:sqref>
        </x14:conditionalFormatting>
        <x14:conditionalFormatting xmlns:xm="http://schemas.microsoft.com/office/excel/2006/main">
          <x14:cfRule type="expression" priority="117" id="{FF6C5C73-E562-4E0A-A276-13FF66240AD8}">
            <xm:f>IF($D$10="No", '3. Project Location'!$H$6 &gt; 42,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D58:N58 P58</xm:sqref>
        </x14:conditionalFormatting>
        <x14:conditionalFormatting xmlns:xm="http://schemas.microsoft.com/office/excel/2006/main">
          <x14:cfRule type="expression" priority="115" id="{D3406570-AD90-44DB-9ACC-C59E795C746F}">
            <xm:f>IF($D$10="No", '3. Project Location'!$H$6 &gt; 43,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D59:N59 P59</xm:sqref>
        </x14:conditionalFormatting>
        <x14:conditionalFormatting xmlns:xm="http://schemas.microsoft.com/office/excel/2006/main">
          <x14:cfRule type="expression" priority="113" id="{0ABE1728-D674-4FDF-8755-DF8B2ECEF942}">
            <xm:f>IF($D$10="No", '3. Project Location'!$H$6 &gt; 44,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D60:N60 P60</xm:sqref>
        </x14:conditionalFormatting>
        <x14:conditionalFormatting xmlns:xm="http://schemas.microsoft.com/office/excel/2006/main">
          <x14:cfRule type="expression" priority="111" id="{C0676629-5BAC-4F16-86F5-D470A7839CFD}">
            <xm:f>IF($D$10="No", '3. Project Location'!$H$6 &gt; 45,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D61:N61 P61</xm:sqref>
        </x14:conditionalFormatting>
        <x14:conditionalFormatting xmlns:xm="http://schemas.microsoft.com/office/excel/2006/main">
          <x14:cfRule type="expression" priority="107" id="{1237EF88-8CA2-4CBC-8353-8C6A24507088}">
            <xm:f>IF($D$10="No", '3. Project Location'!$H$6 &gt; 46, IF($D$10="Yes", '3. Project Location'!$H$6 &gt; 23, FALSE))</xm:f>
            <x14:dxf>
              <fill>
                <patternFill>
                  <bgColor rgb="FF92D050"/>
                </patternFill>
              </fill>
              <border>
                <left style="thin">
                  <color auto="1"/>
                </left>
                <right style="thin">
                  <color auto="1"/>
                </right>
                <top style="thin">
                  <color auto="1"/>
                </top>
                <bottom style="thin">
                  <color auto="1"/>
                </bottom>
                <vertical/>
                <horizontal/>
              </border>
            </x14:dxf>
          </x14:cfRule>
          <xm:sqref>D62:N63 P62:P63</xm:sqref>
        </x14:conditionalFormatting>
        <x14:conditionalFormatting xmlns:xm="http://schemas.microsoft.com/office/excel/2006/main">
          <x14:cfRule type="expression" priority="105" id="{93B65468-B5B2-49EA-ACE3-4D575F8A01E4}">
            <xm:f>IF($D$10="No", '3. Project Location'!$H$6 &gt; 48,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D64:N64 P64</xm:sqref>
        </x14:conditionalFormatting>
        <x14:conditionalFormatting xmlns:xm="http://schemas.microsoft.com/office/excel/2006/main">
          <x14:cfRule type="expression" priority="103" id="{2A6E1003-BDB4-4D76-9E93-5FA1E6B824C7}">
            <xm:f>IF($D$10="No", '3. Project Location'!$H$6 &gt; 49,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D65:N65 P65</xm:sqref>
        </x14:conditionalFormatting>
        <x14:conditionalFormatting xmlns:xm="http://schemas.microsoft.com/office/excel/2006/main">
          <x14:cfRule type="expression" priority="101" id="{4550B748-11D8-4D11-A7E3-F7310FEB01EF}">
            <xm:f>IF($D$10="No", '3. Project Location'!$H$6 &gt; 50,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D66:N66 P66</xm:sqref>
        </x14:conditionalFormatting>
        <x14:conditionalFormatting xmlns:xm="http://schemas.microsoft.com/office/excel/2006/main">
          <x14:cfRule type="expression" priority="99" id="{8B77B416-EB1C-492C-85DE-8B57E9793C32}">
            <xm:f>IF($D$10="No", '3. Project Location'!$H$6 &gt; 51,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D67:N67 P67</xm:sqref>
        </x14:conditionalFormatting>
        <x14:conditionalFormatting xmlns:xm="http://schemas.microsoft.com/office/excel/2006/main">
          <x14:cfRule type="expression" priority="97" id="{715D0477-6720-4561-B930-F974B70E5629}">
            <xm:f>IF($D$10="No", '3. Project Location'!$H$6 &gt; 52,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D68:N68 P68</xm:sqref>
        </x14:conditionalFormatting>
        <x14:conditionalFormatting xmlns:xm="http://schemas.microsoft.com/office/excel/2006/main">
          <x14:cfRule type="expression" priority="95" id="{80DF87E4-B291-4D00-966E-F73544697AB4}">
            <xm:f>IF($D$10="No", '3. Project Location'!$H$6 &gt; 53,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D69:N69 P69</xm:sqref>
        </x14:conditionalFormatting>
        <x14:conditionalFormatting xmlns:xm="http://schemas.microsoft.com/office/excel/2006/main">
          <x14:cfRule type="expression" priority="93" id="{95CB3CCF-17C5-4407-99B2-FA527BB23948}">
            <xm:f>IF($D$10="No", '3. Project Location'!$H$6 &gt; 54,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D70:N70 P70</xm:sqref>
        </x14:conditionalFormatting>
        <x14:conditionalFormatting xmlns:xm="http://schemas.microsoft.com/office/excel/2006/main">
          <x14:cfRule type="expression" priority="91" id="{939E8BA0-B63F-4823-AA8E-F98EF5D7D5DF}">
            <xm:f>IF($D$10="No", '3. Project Location'!$H$6 &gt; 55,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D71:N71 P71</xm:sqref>
        </x14:conditionalFormatting>
        <x14:conditionalFormatting xmlns:xm="http://schemas.microsoft.com/office/excel/2006/main">
          <x14:cfRule type="expression" priority="89" id="{ADF771A6-44AD-40E2-A9E2-64410EDAFC7F}">
            <xm:f>IF($D$10="No", '3. Project Location'!$H$6 &gt; 56,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D72:N72 P72</xm:sqref>
        </x14:conditionalFormatting>
        <x14:conditionalFormatting xmlns:xm="http://schemas.microsoft.com/office/excel/2006/main">
          <x14:cfRule type="expression" priority="87" id="{599B8D8C-162E-4ABC-9BB4-AEED00C13874}">
            <xm:f>IF($D$10="No", '3. Project Location'!$H$6 &gt; 57,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D73:N73 P73</xm:sqref>
        </x14:conditionalFormatting>
        <x14:conditionalFormatting xmlns:xm="http://schemas.microsoft.com/office/excel/2006/main">
          <x14:cfRule type="expression" priority="85" id="{0E428D7C-7751-4DEA-96E7-E76D0FF87DA2}">
            <xm:f>IF($D$10="No", '3. Project Location'!$H$6 &gt; 58,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D74:N74 P74</xm:sqref>
        </x14:conditionalFormatting>
        <x14:conditionalFormatting xmlns:xm="http://schemas.microsoft.com/office/excel/2006/main">
          <x14:cfRule type="expression" priority="83" id="{F81C06A0-905A-4908-9FE5-03F2EACFEFE6}">
            <xm:f>IF($D$10="No", '3. Project Location'!$H$6 &gt; 59,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D75:N75 P75</xm:sqref>
        </x14:conditionalFormatting>
        <x14:conditionalFormatting xmlns:xm="http://schemas.microsoft.com/office/excel/2006/main">
          <x14:cfRule type="expression" priority="81" id="{92E2C0E4-CCAC-43F4-9D44-A28FEFA1EB8F}">
            <xm:f>IF($D$10="No", '3. Project Location'!$H$6 &gt; 60,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D76:N76 P76</xm:sqref>
        </x14:conditionalFormatting>
        <x14:conditionalFormatting xmlns:xm="http://schemas.microsoft.com/office/excel/2006/main">
          <x14:cfRule type="expression" priority="79" id="{FB687D29-70A6-4C8E-9B3D-FB4DFAB0C9DD}">
            <xm:f>IF($D$10="No", '3. Project Location'!$H$6 &gt; 61,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D77:N77 P77</xm:sqref>
        </x14:conditionalFormatting>
        <x14:conditionalFormatting xmlns:xm="http://schemas.microsoft.com/office/excel/2006/main">
          <x14:cfRule type="expression" priority="77" id="{C436282D-0933-449A-A874-6D864FA7AC7A}">
            <xm:f>IF($D$10="No", '3. Project Location'!$H$6 &gt; 62,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D78:N78 P78</xm:sqref>
        </x14:conditionalFormatting>
        <x14:conditionalFormatting xmlns:xm="http://schemas.microsoft.com/office/excel/2006/main">
          <x14:cfRule type="expression" priority="75" id="{8B685850-3453-4475-8DC9-BA551673DABC}">
            <xm:f>IF($D$10="No", '3. Project Location'!$H$6 &gt; 63,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D79:N79 P79</xm:sqref>
        </x14:conditionalFormatting>
        <x14:conditionalFormatting xmlns:xm="http://schemas.microsoft.com/office/excel/2006/main">
          <x14:cfRule type="expression" priority="73" id="{7CB69C33-B271-481B-919D-7F82C3AC8C67}">
            <xm:f>IF($D$10="No", '3. Project Location'!$H$6 &gt; 64,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D80:N80 P80</xm:sqref>
        </x14:conditionalFormatting>
        <x14:conditionalFormatting xmlns:xm="http://schemas.microsoft.com/office/excel/2006/main">
          <x14:cfRule type="expression" priority="71" id="{D56D9531-9E1F-47FB-A109-51D50A2AD558}">
            <xm:f>IF($D$10="No", '3. Project Location'!$H$6 &gt; 65,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D81:N81 P81</xm:sqref>
        </x14:conditionalFormatting>
        <x14:conditionalFormatting xmlns:xm="http://schemas.microsoft.com/office/excel/2006/main">
          <x14:cfRule type="expression" priority="69" id="{EB3B559C-ACFB-4D74-B4BF-7CE6701C27EC}">
            <xm:f>IF($D$10="No", '3. Project Location'!$H$6 &gt; 66,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D82:N82 P82</xm:sqref>
        </x14:conditionalFormatting>
        <x14:conditionalFormatting xmlns:xm="http://schemas.microsoft.com/office/excel/2006/main">
          <x14:cfRule type="expression" priority="67" id="{A32DC116-5740-402A-953B-B4BDDE5793D9}">
            <xm:f>IF($D$10="No", '3. Project Location'!$H$6 &gt; 67,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D83:N83 P83</xm:sqref>
        </x14:conditionalFormatting>
        <x14:conditionalFormatting xmlns:xm="http://schemas.microsoft.com/office/excel/2006/main">
          <x14:cfRule type="expression" priority="65" id="{54EC5DF8-FBF1-4A82-AAF6-2A631979DC5E}">
            <xm:f>IF($D$10="No", '3. Project Location'!$H$6 &gt; 68,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D84:N84 P84</xm:sqref>
        </x14:conditionalFormatting>
        <x14:conditionalFormatting xmlns:xm="http://schemas.microsoft.com/office/excel/2006/main">
          <x14:cfRule type="expression" priority="63" id="{64428D21-4901-4FAC-A754-3BDB3CF33B95}">
            <xm:f>IF($D$10="No", '3. Project Location'!$H$6 &gt; 69,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D85:N85 P85</xm:sqref>
        </x14:conditionalFormatting>
        <x14:conditionalFormatting xmlns:xm="http://schemas.microsoft.com/office/excel/2006/main">
          <x14:cfRule type="expression" priority="61" id="{5EEC47CC-A87A-4D42-8F83-16D3AB763FFD}">
            <xm:f>IF($D$10="No", '3. Project Location'!$H$6 &gt; 70,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D86:N86 P86</xm:sqref>
        </x14:conditionalFormatting>
        <x14:conditionalFormatting xmlns:xm="http://schemas.microsoft.com/office/excel/2006/main">
          <x14:cfRule type="expression" priority="59" id="{9C57910A-BF1F-4B3D-9EA4-91D47E4B0E93}">
            <xm:f>IF($D$10="No", '3. Project Location'!$H$6 &gt; 71,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D87:N87 P87</xm:sqref>
        </x14:conditionalFormatting>
        <x14:conditionalFormatting xmlns:xm="http://schemas.microsoft.com/office/excel/2006/main">
          <x14:cfRule type="expression" priority="57" id="{449C3F6B-4D54-43F1-A724-AED9573E5901}">
            <xm:f>IF($D$10="No", '3. Project Location'!$H$6 &gt; 72,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D88:N88 P88</xm:sqref>
        </x14:conditionalFormatting>
        <x14:conditionalFormatting xmlns:xm="http://schemas.microsoft.com/office/excel/2006/main">
          <x14:cfRule type="expression" priority="55" id="{DB3DDEDE-3D91-4C76-AB7B-D59581310BD9}">
            <xm:f>IF($D$10="No", '3. Project Location'!$H$6 &gt; 73,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D89:N89 P89</xm:sqref>
        </x14:conditionalFormatting>
        <x14:conditionalFormatting xmlns:xm="http://schemas.microsoft.com/office/excel/2006/main">
          <x14:cfRule type="expression" priority="53" id="{A4852D0C-84AA-4C03-8712-7506B87E66E5}">
            <xm:f>IF($D$10="No", '3. Project Location'!$H$6 &gt; 74,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D90:N90 P90</xm:sqref>
        </x14:conditionalFormatting>
        <x14:conditionalFormatting xmlns:xm="http://schemas.microsoft.com/office/excel/2006/main">
          <x14:cfRule type="expression" priority="51" id="{547E724A-BFD5-4670-8D01-BEC4C77BE807}">
            <xm:f>IF($D$10="No", '3. Project Location'!$H$6 &gt; 75,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D91:N91 P91</xm:sqref>
        </x14:conditionalFormatting>
        <x14:conditionalFormatting xmlns:xm="http://schemas.microsoft.com/office/excel/2006/main">
          <x14:cfRule type="expression" priority="49" id="{6F213C04-A33F-4186-865B-1D024B4BB394}">
            <xm:f>IF($D$10="No", '3. Project Location'!$H$6 &gt; 76,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D92:N92 P92</xm:sqref>
        </x14:conditionalFormatting>
        <x14:conditionalFormatting xmlns:xm="http://schemas.microsoft.com/office/excel/2006/main">
          <x14:cfRule type="expression" priority="47" id="{E96644AA-BAB8-419E-BC38-3B9607F790CC}">
            <xm:f>IF($D$10="No", '3. Project Location'!$H$6 &gt; 77,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D93:N93 P93</xm:sqref>
        </x14:conditionalFormatting>
        <x14:conditionalFormatting xmlns:xm="http://schemas.microsoft.com/office/excel/2006/main">
          <x14:cfRule type="expression" priority="45" id="{7E279D13-B061-408C-9B0A-6FEFFFC70F92}">
            <xm:f>IF($D$10="No", '3. Project Location'!$H$6 &gt; 78,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D94:N94 P94</xm:sqref>
        </x14:conditionalFormatting>
        <x14:conditionalFormatting xmlns:xm="http://schemas.microsoft.com/office/excel/2006/main">
          <x14:cfRule type="expression" priority="43" id="{3CDBC2E4-BC1B-430F-AF83-984C4160BF6D}">
            <xm:f>IF($D$10="No", '3. Project Location'!$H$6 &gt; 79,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D95:N95 P95</xm:sqref>
        </x14:conditionalFormatting>
        <x14:conditionalFormatting xmlns:xm="http://schemas.microsoft.com/office/excel/2006/main">
          <x14:cfRule type="expression" priority="41" id="{3336B7CB-070B-43A0-9FEA-0DB596B00574}">
            <xm:f>IF($D$10="No", '3. Project Location'!$H$6 &gt; 80,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D96:N96 P96</xm:sqref>
        </x14:conditionalFormatting>
        <x14:conditionalFormatting xmlns:xm="http://schemas.microsoft.com/office/excel/2006/main">
          <x14:cfRule type="expression" priority="39" id="{268B94E1-EB46-45D7-A04B-180EFD4A2CB2}">
            <xm:f>IF($D$10="No", '3. Project Location'!$H$6 &gt; 81,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D97:N97 P97</xm:sqref>
        </x14:conditionalFormatting>
        <x14:conditionalFormatting xmlns:xm="http://schemas.microsoft.com/office/excel/2006/main">
          <x14:cfRule type="expression" priority="37" id="{4EC11FFF-AD71-4AF1-AB25-FF82E2023CA7}">
            <xm:f>IF($D$10="No", '3. Project Location'!$H$6 &gt; 82,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D98:N98 P98</xm:sqref>
        </x14:conditionalFormatting>
        <x14:conditionalFormatting xmlns:xm="http://schemas.microsoft.com/office/excel/2006/main">
          <x14:cfRule type="expression" priority="35" id="{F5EC32FD-E96D-47AC-8EA3-274D1A5864C2}">
            <xm:f>IF($D$10="No", '3. Project Location'!$H$6 &gt; 83,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D99:N99 P99</xm:sqref>
        </x14:conditionalFormatting>
        <x14:conditionalFormatting xmlns:xm="http://schemas.microsoft.com/office/excel/2006/main">
          <x14:cfRule type="expression" priority="33" id="{B75D2992-4E65-44D1-8B56-D662C91EFC8B}">
            <xm:f>IF($D$10="No", '3. Project Location'!$H$6 &gt; 84,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D100:N100 P100</xm:sqref>
        </x14:conditionalFormatting>
        <x14:conditionalFormatting xmlns:xm="http://schemas.microsoft.com/office/excel/2006/main">
          <x14:cfRule type="expression" priority="31" id="{31CDAD35-01D4-4B1A-BA04-382B562FB5D1}">
            <xm:f>IF($D$10="No", '3. Project Location'!$H$6 &gt; 85,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D101:N101 P101</xm:sqref>
        </x14:conditionalFormatting>
        <x14:conditionalFormatting xmlns:xm="http://schemas.microsoft.com/office/excel/2006/main">
          <x14:cfRule type="expression" priority="29" id="{5128EF5B-3AB3-47C7-9CD3-3FCA2C5953CB}">
            <xm:f>IF($D$10="No", '3. Project Location'!$H$6 &gt; 86,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D102:N102 P102</xm:sqref>
        </x14:conditionalFormatting>
        <x14:conditionalFormatting xmlns:xm="http://schemas.microsoft.com/office/excel/2006/main">
          <x14:cfRule type="expression" priority="27" id="{E58B0BFE-54CE-4F17-87A5-45A9FC043CAB}">
            <xm:f>IF($D$10="No", '3. Project Location'!$H$6 &gt; 87,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D103:N103 P103</xm:sqref>
        </x14:conditionalFormatting>
        <x14:conditionalFormatting xmlns:xm="http://schemas.microsoft.com/office/excel/2006/main">
          <x14:cfRule type="expression" priority="25" id="{77533BC0-7D3E-4BBF-BFEA-BCB47A9649DC}">
            <xm:f>IF($D$10="No", '3. Project Location'!$H$6 &gt; 88,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D104:N104 P104</xm:sqref>
        </x14:conditionalFormatting>
        <x14:conditionalFormatting xmlns:xm="http://schemas.microsoft.com/office/excel/2006/main">
          <x14:cfRule type="expression" priority="23" id="{4137068C-A6EC-4975-B78C-0369DB2BABD1}">
            <xm:f>IF($D$10="No", '3. Project Location'!$H$6 &gt; 89,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D105:N105 P105</xm:sqref>
        </x14:conditionalFormatting>
        <x14:conditionalFormatting xmlns:xm="http://schemas.microsoft.com/office/excel/2006/main">
          <x14:cfRule type="expression" priority="21" id="{270DB9D4-B871-4CE8-96BD-85953377DE6B}">
            <xm:f>IF($D$10="No", '3. Project Location'!$H$6 &gt; 90,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D106:N106 P106</xm:sqref>
        </x14:conditionalFormatting>
        <x14:conditionalFormatting xmlns:xm="http://schemas.microsoft.com/office/excel/2006/main">
          <x14:cfRule type="expression" priority="19" id="{F9592A05-720D-407A-BB71-0355536BF371}">
            <xm:f>IF($D$10="No", '3. Project Location'!$H$6 &gt; 91,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D107:N107 P107</xm:sqref>
        </x14:conditionalFormatting>
        <x14:conditionalFormatting xmlns:xm="http://schemas.microsoft.com/office/excel/2006/main">
          <x14:cfRule type="expression" priority="17" id="{7B21C66D-929F-42CB-B0AE-F45219F2E828}">
            <xm:f>IF($D$10="No", '3. Project Location'!$H$6 &gt; 92,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D108:N108 P108</xm:sqref>
        </x14:conditionalFormatting>
        <x14:conditionalFormatting xmlns:xm="http://schemas.microsoft.com/office/excel/2006/main">
          <x14:cfRule type="expression" priority="15" id="{BE21E54E-EFB4-4692-94FE-683C67099176}">
            <xm:f>IF($D$10="No", '3. Project Location'!$H$6 &gt; 93,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D109:N109 P109</xm:sqref>
        </x14:conditionalFormatting>
        <x14:conditionalFormatting xmlns:xm="http://schemas.microsoft.com/office/excel/2006/main">
          <x14:cfRule type="expression" priority="13" id="{E8262A24-EFD4-4423-97FC-4AE28369C70F}">
            <xm:f>IF($D$10="No", '3. Project Location'!$H$6 &gt; 94,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D110:N110 P110</xm:sqref>
        </x14:conditionalFormatting>
        <x14:conditionalFormatting xmlns:xm="http://schemas.microsoft.com/office/excel/2006/main">
          <x14:cfRule type="expression" priority="11" id="{79829FA9-DFB8-475D-80FA-6CF1EDF2091B}">
            <xm:f>IF($D$10="No", '3. Project Location'!$H$6 &gt; 95,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D111:N111 P111</xm:sqref>
        </x14:conditionalFormatting>
        <x14:conditionalFormatting xmlns:xm="http://schemas.microsoft.com/office/excel/2006/main">
          <x14:cfRule type="expression" priority="9" id="{152EF264-7B3E-4138-A5A4-AE69192927D2}">
            <xm:f>IF($D$10="No", '3. Project Location'!$H$6 &gt; 96,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D112:N112 P112</xm:sqref>
        </x14:conditionalFormatting>
        <x14:conditionalFormatting xmlns:xm="http://schemas.microsoft.com/office/excel/2006/main">
          <x14:cfRule type="expression" priority="7" id="{12E29BE1-D4CC-4CB6-833F-0CAC5E470661}">
            <xm:f>IF($D$10="No", '3. Project Location'!$H$6 &gt; 97,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D113:N113 P113</xm:sqref>
        </x14:conditionalFormatting>
        <x14:conditionalFormatting xmlns:xm="http://schemas.microsoft.com/office/excel/2006/main">
          <x14:cfRule type="expression" priority="5" id="{5F1E4BD4-2324-4324-9341-38085913FBCE}">
            <xm:f>IF($D$10="No", '3. Project Location'!$H$6 &gt; 98,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D114:N114 P114</xm:sqref>
        </x14:conditionalFormatting>
        <x14:conditionalFormatting xmlns:xm="http://schemas.microsoft.com/office/excel/2006/main">
          <x14:cfRule type="expression" priority="3" id="{B02186F8-7DF1-4A5E-818B-16FFBD8F42A3}">
            <xm:f>IF($D$10="No", '3. Project Location'!$H$6 &gt; 99,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D115:N115 P115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314024-BA02-4CC0-9D58-ED980701507E}">
          <x14:formula1>
            <xm:f>'Dropdown Lists'!$AI$2:$AI$6</xm:f>
          </x14:formula1>
          <xm:sqref>D16:D115</xm:sqref>
        </x14:dataValidation>
        <x14:dataValidation type="list" allowBlank="1" showInputMessage="1" showErrorMessage="1" xr:uid="{11328FB6-3E3A-4686-9310-A6715CEA87A1}">
          <x14:formula1>
            <xm:f>'Dropdown Lists'!$A$2:$A$3</xm:f>
          </x14:formula1>
          <xm:sqref>D10 G7 G11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4574-F0F1-470A-8470-D761BDAB6A36}">
  <sheetPr codeName="Sheet40"/>
  <dimension ref="A1:AU654"/>
  <sheetViews>
    <sheetView topLeftCell="A114" workbookViewId="0">
      <selection activeCell="E148" sqref="E148"/>
    </sheetView>
  </sheetViews>
  <sheetFormatPr defaultColWidth="9.140625" defaultRowHeight="15"/>
  <cols>
    <col min="1" max="1" width="34" style="41" customWidth="1"/>
    <col min="2" max="2" width="39.28515625" customWidth="1"/>
    <col min="3" max="3" width="54.28515625" customWidth="1"/>
    <col min="4" max="4" width="23.85546875" bestFit="1" customWidth="1"/>
    <col min="5" max="5" width="21.5703125" customWidth="1"/>
    <col min="6" max="6" width="18.85546875" customWidth="1"/>
    <col min="7" max="7" width="29.140625" customWidth="1"/>
    <col min="8" max="8" width="25" customWidth="1"/>
    <col min="9" max="9" width="22.7109375" bestFit="1" customWidth="1"/>
    <col min="10" max="10" width="20" customWidth="1"/>
    <col min="11" max="11" width="23.5703125" customWidth="1"/>
    <col min="12" max="12" width="16.5703125" customWidth="1"/>
    <col min="13" max="13" width="28.42578125" customWidth="1"/>
    <col min="14" max="14" width="20.5703125" customWidth="1"/>
    <col min="15" max="16" width="15.42578125" customWidth="1"/>
    <col min="17" max="17" width="27" customWidth="1"/>
    <col min="18" max="23" width="16.5703125" customWidth="1"/>
    <col min="24" max="24" width="4.5703125" customWidth="1"/>
    <col min="25" max="25" width="43" bestFit="1" customWidth="1"/>
    <col min="26" max="26" width="31" style="50" customWidth="1"/>
    <col min="27" max="27" width="23.42578125" bestFit="1" customWidth="1"/>
    <col min="28" max="28" width="31.5703125" bestFit="1" customWidth="1"/>
    <col min="29" max="29" width="20" bestFit="1" customWidth="1"/>
    <col min="30" max="30" width="22.85546875" customWidth="1"/>
    <col min="31" max="31" width="43.5703125" customWidth="1"/>
    <col min="32" max="32" width="22" customWidth="1"/>
    <col min="33" max="33" width="13.85546875" customWidth="1"/>
    <col min="34" max="34" width="15.42578125" customWidth="1"/>
    <col min="35" max="35" width="18.85546875" bestFit="1" customWidth="1"/>
    <col min="36" max="36" width="17.5703125" customWidth="1"/>
    <col min="37" max="37" width="33.140625" bestFit="1" customWidth="1"/>
    <col min="39" max="39" width="17.42578125" bestFit="1" customWidth="1"/>
    <col min="43" max="43" width="12.140625" bestFit="1" customWidth="1"/>
    <col min="46" max="46" width="15.85546875" bestFit="1" customWidth="1"/>
    <col min="47" max="47" width="11" bestFit="1" customWidth="1"/>
    <col min="53" max="54" width="15.85546875" bestFit="1" customWidth="1"/>
  </cols>
  <sheetData>
    <row r="1" spans="1:39" ht="15.75" thickBot="1">
      <c r="A1" s="1805" t="s">
        <v>1581</v>
      </c>
      <c r="B1" s="1806"/>
      <c r="C1" s="1806"/>
      <c r="D1" s="1806"/>
      <c r="E1" s="1806"/>
      <c r="F1" s="1806"/>
      <c r="G1" s="1806"/>
      <c r="H1" s="1806"/>
      <c r="I1" s="1806"/>
      <c r="J1" s="1806"/>
      <c r="K1" s="1806"/>
      <c r="L1" s="1806"/>
      <c r="M1" s="1806"/>
      <c r="N1" s="1806"/>
      <c r="O1" s="1806"/>
      <c r="P1" s="1806"/>
      <c r="Q1" s="1806"/>
      <c r="R1" s="1807"/>
      <c r="S1" s="1767"/>
      <c r="T1" s="1767"/>
      <c r="U1" s="1767"/>
      <c r="V1" s="1767"/>
      <c r="W1" s="1767"/>
      <c r="X1" s="181"/>
      <c r="Y1" s="1805" t="s">
        <v>1582</v>
      </c>
      <c r="Z1" s="1806"/>
      <c r="AA1" s="1806"/>
      <c r="AB1" s="1806"/>
      <c r="AC1" s="1806"/>
      <c r="AD1" s="1806"/>
      <c r="AE1" s="1806"/>
      <c r="AF1" s="1806"/>
      <c r="AG1" s="1806"/>
      <c r="AH1" s="1806"/>
      <c r="AI1" s="1806"/>
      <c r="AJ1" s="1806"/>
      <c r="AK1" s="1806"/>
      <c r="AL1" s="1806"/>
      <c r="AM1" s="1807"/>
    </row>
    <row r="2" spans="1:39">
      <c r="A2" s="41" t="s">
        <v>6</v>
      </c>
      <c r="B2" t="s">
        <v>1583</v>
      </c>
      <c r="X2" s="181"/>
      <c r="Y2" t="s">
        <v>1584</v>
      </c>
      <c r="AB2" t="str">
        <f>IF(Z2="","",Z2)</f>
        <v/>
      </c>
    </row>
    <row r="3" spans="1:39">
      <c r="A3" s="41" t="s">
        <v>1585</v>
      </c>
      <c r="B3" t="s">
        <v>1586</v>
      </c>
      <c r="C3" t="str">
        <f>IF(Project_Name="","",Project_Name)</f>
        <v/>
      </c>
      <c r="X3" s="181"/>
      <c r="Y3" t="s">
        <v>525</v>
      </c>
      <c r="Z3" s="50" t="str">
        <f>IF($Z$2="","",IF(Property_address="","",Property_address))</f>
        <v/>
      </c>
    </row>
    <row r="4" spans="1:39">
      <c r="X4" s="181"/>
      <c r="Y4" t="s">
        <v>528</v>
      </c>
      <c r="Z4" s="50" t="str">
        <f>IF($Z$2="","",IF(Property_City="","",Property_City))</f>
        <v/>
      </c>
    </row>
    <row r="5" spans="1:39">
      <c r="X5" s="181"/>
      <c r="Y5" t="s">
        <v>529</v>
      </c>
      <c r="Z5" s="53" t="str">
        <f>IF($Z$2="","",IF(Property_County="","",Property_County&amp;" "&amp;"County"))</f>
        <v/>
      </c>
      <c r="AA5" t="s">
        <v>1587</v>
      </c>
    </row>
    <row r="6" spans="1:39">
      <c r="X6" s="181"/>
      <c r="Y6" t="s">
        <v>244</v>
      </c>
      <c r="Z6" s="53" t="str">
        <f>IF($Z$2="","","WI")</f>
        <v/>
      </c>
    </row>
    <row r="7" spans="1:39">
      <c r="X7" s="181"/>
    </row>
    <row r="8" spans="1:39">
      <c r="X8" s="181"/>
    </row>
    <row r="9" spans="1:39">
      <c r="X9" s="181"/>
    </row>
    <row r="10" spans="1:39">
      <c r="X10" s="181"/>
    </row>
    <row r="11" spans="1:39">
      <c r="X11" s="181"/>
      <c r="Y11" t="s">
        <v>1588</v>
      </c>
    </row>
    <row r="12" spans="1:39">
      <c r="X12" s="181"/>
      <c r="Y12" t="s">
        <v>539</v>
      </c>
    </row>
    <row r="13" spans="1:39">
      <c r="X13" s="181"/>
    </row>
    <row r="14" spans="1:39">
      <c r="X14" s="181"/>
    </row>
    <row r="15" spans="1:39">
      <c r="X15" s="181"/>
    </row>
    <row r="16" spans="1:39">
      <c r="A16" s="41" t="s">
        <v>570</v>
      </c>
      <c r="X16" s="181"/>
    </row>
    <row r="17" spans="2:33">
      <c r="M17" t="s">
        <v>1589</v>
      </c>
      <c r="X17" s="181"/>
    </row>
    <row r="18" spans="2:33">
      <c r="M18" t="s">
        <v>1590</v>
      </c>
      <c r="X18" s="181"/>
    </row>
    <row r="19" spans="2:33">
      <c r="M19" t="s">
        <v>1591</v>
      </c>
      <c r="X19" s="181"/>
    </row>
    <row r="20" spans="2:33">
      <c r="M20" t="s">
        <v>1590</v>
      </c>
      <c r="X20" s="181"/>
      <c r="Y20" t="s">
        <v>314</v>
      </c>
      <c r="Z20" s="50" t="str">
        <f>IF($Z$2="","",IF(ProLink!F44&gt;0,"True","False"))</f>
        <v/>
      </c>
    </row>
    <row r="21" spans="2:33">
      <c r="X21" s="181"/>
    </row>
    <row r="22" spans="2:33">
      <c r="M22" t="s">
        <v>1592</v>
      </c>
      <c r="X22" s="181"/>
    </row>
    <row r="23" spans="2:33">
      <c r="M23" t="s">
        <v>230</v>
      </c>
      <c r="X23" s="181"/>
    </row>
    <row r="24" spans="2:33">
      <c r="M24" t="s">
        <v>1593</v>
      </c>
      <c r="X24" s="181"/>
    </row>
    <row r="25" spans="2:33">
      <c r="E25" t="s">
        <v>1594</v>
      </c>
      <c r="G25" t="s">
        <v>1595</v>
      </c>
      <c r="N25" s="182" t="str">
        <f>IF(ISNUMBER(SEARCH("40%",Minimum_Set_Aside_Requirements)),"40/60","")</f>
        <v/>
      </c>
      <c r="O25" s="182" t="str">
        <f>IF(ISNUMBER(SEARCH("20%",Minimum_Set_Aside_Requirements)),"20/50","")</f>
        <v/>
      </c>
      <c r="P25" s="182" t="str">
        <f>IF(Minimum_Set_Aside_Requirements="Income Averaging", "Income Averaging","")</f>
        <v/>
      </c>
      <c r="X25" s="181"/>
    </row>
    <row r="26" spans="2:33">
      <c r="M26" t="s">
        <v>712</v>
      </c>
      <c r="X26" s="181"/>
    </row>
    <row r="27" spans="2:33">
      <c r="M27" t="s">
        <v>1596</v>
      </c>
      <c r="X27" s="181"/>
    </row>
    <row r="28" spans="2:33">
      <c r="X28" s="181"/>
    </row>
    <row r="29" spans="2:33">
      <c r="B29" t="s">
        <v>1594</v>
      </c>
      <c r="E29" t="s">
        <v>280</v>
      </c>
      <c r="F29" t="s">
        <v>648</v>
      </c>
      <c r="G29" t="s">
        <v>651</v>
      </c>
      <c r="H29" t="s">
        <v>654</v>
      </c>
      <c r="I29" t="s">
        <v>1597</v>
      </c>
      <c r="J29" t="s">
        <v>660</v>
      </c>
      <c r="K29" t="s">
        <v>662</v>
      </c>
      <c r="X29" s="181"/>
      <c r="Z29"/>
      <c r="AA29" t="s">
        <v>280</v>
      </c>
      <c r="AB29" t="s">
        <v>648</v>
      </c>
      <c r="AC29" t="s">
        <v>651</v>
      </c>
      <c r="AD29" t="s">
        <v>654</v>
      </c>
      <c r="AE29" t="s">
        <v>1597</v>
      </c>
      <c r="AF29" t="s">
        <v>660</v>
      </c>
      <c r="AG29" t="s">
        <v>662</v>
      </c>
    </row>
    <row r="30" spans="2:33">
      <c r="B30" t="s">
        <v>645</v>
      </c>
      <c r="X30" s="181"/>
      <c r="Y30" t="s">
        <v>1598</v>
      </c>
      <c r="Z30" s="52" t="str">
        <f t="array" ref="Z30">IFERROR(INDEX($AA$30:$AG$30,SMALL(IF($AA$30:$AG$30&lt;&gt;"",COLUMN($AA$30:$AG$30)-COLUMN($AA$30)+1),1)),"")</f>
        <v/>
      </c>
      <c r="AA30" s="50" t="str">
        <f>IF($Z$2="","",IF(ProLink!F72="False","","General"))</f>
        <v/>
      </c>
      <c r="AB30" s="50" t="str">
        <f>IF($Z$2="","",IF(ProLink!F74="False","","Elderly"))</f>
        <v/>
      </c>
      <c r="AC30" s="50" t="str">
        <f>IF($Z$2="","",IF(ProLink!F76="False","","Homeless"))</f>
        <v/>
      </c>
      <c r="AD30" s="50" t="str">
        <f>IF($Z$2="","",IF(ProLink!F78="False","","Disabled"))</f>
        <v/>
      </c>
      <c r="AE30" s="50" t="str">
        <f>IF($Z$2="","",IF(ProLink!F80="False","","General"))</f>
        <v/>
      </c>
      <c r="AF30" s="50" t="str">
        <f>IF($Z$2="","",IF(ProLink!F82="False","","Disabled"))</f>
        <v/>
      </c>
      <c r="AG30" s="50" t="str">
        <f>IF($Z$2="","",IF(ProLink!F84="False","","Disabled"))</f>
        <v/>
      </c>
    </row>
    <row r="31" spans="2:33">
      <c r="B31" t="s">
        <v>696</v>
      </c>
      <c r="E31" t="str">
        <f>IF(ProLink!F72="False","",E29)</f>
        <v/>
      </c>
      <c r="F31" t="str">
        <f>IF(ProLink!F74="False","",F29)</f>
        <v/>
      </c>
      <c r="G31" t="str">
        <f>IF(ProLink!F76="False","",G29)</f>
        <v/>
      </c>
      <c r="H31" t="str">
        <f>IF(ProLink!F78="False","","Assisted Living")</f>
        <v/>
      </c>
      <c r="I31" t="str">
        <f>IF(ProLink!F80="False","",I29)</f>
        <v/>
      </c>
      <c r="J31" t="str">
        <f>IF(ProLink!F82="False","",J29)</f>
        <v/>
      </c>
      <c r="K31" t="str">
        <f>IF(ProLink!F84="False","",K29)</f>
        <v/>
      </c>
      <c r="X31" s="181"/>
      <c r="Y31" t="s">
        <v>1599</v>
      </c>
      <c r="Z31" s="52" t="str">
        <f t="array" ref="Z31">IFERROR(INDEX($AA$31:$AG$31,SMALL(IF($AA$31:$AG$31&lt;&gt;"",COLUMN($AA$31:$AG$31)-COLUMN($AA$31)+1),1)),"")</f>
        <v/>
      </c>
      <c r="AA31" t="str">
        <f>IF($Z$2="","",IF(AA30="","","All Family"))</f>
        <v/>
      </c>
      <c r="AB31" t="str">
        <f>IF($Z$2="","",IF(AB30="","","All Elderly"))</f>
        <v/>
      </c>
      <c r="AC31" t="str">
        <f>IF($Z$2="","",IF(AC30="","","Homeless"))</f>
        <v/>
      </c>
      <c r="AD31" t="str">
        <f>IF($Z$2="","",IF(AD30="","","Supportive Services"))</f>
        <v/>
      </c>
      <c r="AE31" t="str">
        <f>IF($Z$2="","",IF(AE30="","","Single Room Occupancy"))</f>
        <v/>
      </c>
      <c r="AF31" t="str">
        <f>IF($Z$2="","",IF(AF30="","","CBRF"))</f>
        <v/>
      </c>
      <c r="AG31" t="str">
        <f>IF($Z$2="","",IF(AG30="","","RCAR"))</f>
        <v/>
      </c>
    </row>
    <row r="32" spans="2:33">
      <c r="B32" t="s">
        <v>693</v>
      </c>
      <c r="X32" s="181"/>
      <c r="Y32" t="s">
        <v>1600</v>
      </c>
      <c r="Z32" s="52" t="str">
        <f t="array" ref="Z32">IFERROR(INDEX($AA$30:$AG$30,SMALL(IF($AA$30:$AG$30&lt;&gt;"",COLUMN($AA$30:$AG$30)-COLUMN($AA$30)+1),2)),"")</f>
        <v/>
      </c>
    </row>
    <row r="33" spans="1:26">
      <c r="B33" t="s">
        <v>717</v>
      </c>
      <c r="X33" s="181"/>
      <c r="Y33" t="s">
        <v>1601</v>
      </c>
      <c r="Z33" s="52" t="str">
        <f t="array" ref="Z33">IFERROR(INDEX($AA$31:$AG$31,SMALL(IF($AA$31:$AG$31&lt;&gt;"",COLUMN($AA$31:$AG$31)-COLUMN($AA$31)+1),2)),"")</f>
        <v/>
      </c>
    </row>
    <row r="34" spans="1:26">
      <c r="B34" t="s">
        <v>1602</v>
      </c>
      <c r="X34" s="181"/>
    </row>
    <row r="35" spans="1:26">
      <c r="B35" t="s">
        <v>1603</v>
      </c>
      <c r="X35" s="181"/>
    </row>
    <row r="36" spans="1:26">
      <c r="B36" s="443" t="s">
        <v>1604</v>
      </c>
      <c r="C36" s="436"/>
      <c r="D36" s="436" t="s">
        <v>1605</v>
      </c>
      <c r="E36" s="436" t="s">
        <v>1606</v>
      </c>
      <c r="F36" s="436" t="s">
        <v>1607</v>
      </c>
      <c r="G36" s="436" t="s">
        <v>293</v>
      </c>
      <c r="H36" s="437" t="s">
        <v>1608</v>
      </c>
      <c r="X36" s="181"/>
    </row>
    <row r="37" spans="1:26">
      <c r="B37" s="438" t="s">
        <v>690</v>
      </c>
      <c r="D37" t="str">
        <f>IF(AND(ProLink!F105="False", ProLink!F106="False", ProLink!F107="False"), "True", "False")</f>
        <v>True</v>
      </c>
      <c r="H37" s="439"/>
      <c r="X37" s="181"/>
    </row>
    <row r="38" spans="1:26">
      <c r="B38" s="440"/>
      <c r="C38" s="441"/>
      <c r="D38" s="441" t="str">
        <f>IF(D37="False","",D36)</f>
        <v>Apartments</v>
      </c>
      <c r="E38" s="441" t="str">
        <f>IF(ProLink!F105="False","",E36)</f>
        <v/>
      </c>
      <c r="F38" s="441" t="str">
        <f>IF(ProLink!F106="False","",F36)</f>
        <v/>
      </c>
      <c r="G38" s="441" t="str">
        <f>IF(ProLink!F107="False","",G36)</f>
        <v/>
      </c>
      <c r="H38" s="442" t="str">
        <f>IF(H37="False","",H36)</f>
        <v>Other-Mixed</v>
      </c>
      <c r="X38" s="181"/>
    </row>
    <row r="39" spans="1:26">
      <c r="A39" s="41" t="s">
        <v>1609</v>
      </c>
      <c r="B39" t="s">
        <v>735</v>
      </c>
      <c r="X39" s="181"/>
      <c r="Y39" t="s">
        <v>735</v>
      </c>
      <c r="Z39" s="50" t="str">
        <f>IF($Z$2="","",Developer_Name)</f>
        <v/>
      </c>
    </row>
    <row r="40" spans="1:26">
      <c r="B40" t="s">
        <v>1610</v>
      </c>
      <c r="X40" s="181"/>
    </row>
    <row r="41" spans="1:26">
      <c r="B41" t="s">
        <v>739</v>
      </c>
      <c r="X41" s="181"/>
    </row>
    <row r="42" spans="1:26">
      <c r="B42" t="s">
        <v>1611</v>
      </c>
      <c r="X42" s="181"/>
    </row>
    <row r="43" spans="1:26">
      <c r="B43" t="s">
        <v>1612</v>
      </c>
      <c r="X43" s="181"/>
    </row>
    <row r="44" spans="1:26">
      <c r="B44" t="s">
        <v>1613</v>
      </c>
      <c r="X44" s="181"/>
    </row>
    <row r="45" spans="1:26">
      <c r="B45" t="s">
        <v>1614</v>
      </c>
      <c r="X45" s="181"/>
    </row>
    <row r="46" spans="1:26">
      <c r="X46" s="181"/>
    </row>
    <row r="47" spans="1:26">
      <c r="X47" s="181"/>
    </row>
    <row r="48" spans="1:26">
      <c r="X48" s="181"/>
    </row>
    <row r="49" spans="1:26">
      <c r="X49" s="181"/>
    </row>
    <row r="50" spans="1:26">
      <c r="X50" s="181"/>
    </row>
    <row r="51" spans="1:26">
      <c r="A51" s="41" t="s">
        <v>751</v>
      </c>
      <c r="B51" t="s">
        <v>1615</v>
      </c>
      <c r="C51">
        <f>Total_Site_Acreage</f>
        <v>0</v>
      </c>
      <c r="X51" s="181"/>
    </row>
    <row r="52" spans="1:26">
      <c r="B52" t="s">
        <v>1616</v>
      </c>
      <c r="C52" t="str">
        <f>IF(Year_Built="","",Year_Built)</f>
        <v/>
      </c>
      <c r="X52" s="181"/>
      <c r="Y52" t="s">
        <v>1616</v>
      </c>
      <c r="Z52" s="50" t="str">
        <f>IF($Z$2="","",IF(Year_Built="","",Year_Built))</f>
        <v/>
      </c>
    </row>
    <row r="53" spans="1:26">
      <c r="B53" t="s">
        <v>570</v>
      </c>
      <c r="X53" s="181"/>
      <c r="Y53" t="s">
        <v>570</v>
      </c>
      <c r="Z53" s="50" t="str">
        <f>IF($Z$2="","",IF(Property_Description="","",Property_Description))</f>
        <v/>
      </c>
    </row>
    <row r="54" spans="1:26">
      <c r="B54" t="s">
        <v>1617</v>
      </c>
      <c r="C54">
        <f>Total_Buildable_Acreage</f>
        <v>0</v>
      </c>
      <c r="X54" s="181"/>
    </row>
    <row r="55" spans="1:26">
      <c r="B55" t="s">
        <v>1618</v>
      </c>
      <c r="C55" s="52" t="str">
        <f>IF(Demotition_Required="","",Demotition_Required)</f>
        <v/>
      </c>
      <c r="X55" s="181"/>
    </row>
    <row r="56" spans="1:26">
      <c r="B56" t="s">
        <v>1619</v>
      </c>
      <c r="C56" s="52" t="str">
        <f>IF(Buildings_Occupied="","",Buildings_Occupied)</f>
        <v/>
      </c>
      <c r="X56" s="181"/>
    </row>
    <row r="57" spans="1:26">
      <c r="B57" t="s">
        <v>764</v>
      </c>
      <c r="C57" s="52" t="str">
        <f>IF(Temporary_Displaced="","",Temporary_Displaced)</f>
        <v/>
      </c>
      <c r="X57" s="181"/>
    </row>
    <row r="58" spans="1:26">
      <c r="B58" t="s">
        <v>768</v>
      </c>
      <c r="C58" s="52" t="str">
        <f>IF(Permanently_Displaced="","",Permanently_Displaced)</f>
        <v/>
      </c>
      <c r="X58" s="181"/>
    </row>
    <row r="59" spans="1:26">
      <c r="B59" t="s">
        <v>1620</v>
      </c>
      <c r="C59" s="52" t="str">
        <f>IF(Flood_Zone="","",Flood_Zone)</f>
        <v/>
      </c>
      <c r="X59" s="181"/>
    </row>
    <row r="60" spans="1:26">
      <c r="X60" s="181"/>
    </row>
    <row r="61" spans="1:26">
      <c r="X61" s="181"/>
    </row>
    <row r="62" spans="1:26">
      <c r="X62" s="181"/>
    </row>
    <row r="63" spans="1:26">
      <c r="X63" s="181"/>
    </row>
    <row r="64" spans="1:26">
      <c r="A64" s="41" t="s">
        <v>775</v>
      </c>
      <c r="B64" t="s">
        <v>1621</v>
      </c>
      <c r="C64">
        <f>IF(Building_Address_1="","",Building_Address_1)</f>
        <v>0</v>
      </c>
      <c r="D64" t="s">
        <v>1622</v>
      </c>
      <c r="E64">
        <f>IF(Building_City_1="","",Building_City_1)</f>
        <v>0</v>
      </c>
      <c r="G64" t="s">
        <v>1623</v>
      </c>
      <c r="H64" s="52" t="str">
        <f t="shared" ref="H64:H97" si="0">IF(C64="","","WI")</f>
        <v>WI</v>
      </c>
      <c r="I64" t="s">
        <v>1624</v>
      </c>
      <c r="J64">
        <f>IF(Building_Zip_Code_1="","",Building_Zip_Code_1)</f>
        <v>0</v>
      </c>
      <c r="K64" t="s">
        <v>1625</v>
      </c>
      <c r="L64" t="str">
        <f>IF(MKT_Units_1="","",MKT_Units_1)</f>
        <v/>
      </c>
      <c r="M64" t="s">
        <v>1626</v>
      </c>
      <c r="N64" t="str">
        <f>IF(TC_Units_1="","",TC_Units_1)</f>
        <v/>
      </c>
      <c r="X64" s="181"/>
    </row>
    <row r="65" spans="2:24">
      <c r="B65" t="s">
        <v>1627</v>
      </c>
      <c r="C65" t="str">
        <f>IF(Building_Address_2="","",Building_Address_2)</f>
        <v/>
      </c>
      <c r="D65" t="s">
        <v>1628</v>
      </c>
      <c r="E65" t="str">
        <f>IF(Building_City_2="","",Building_City_2)</f>
        <v/>
      </c>
      <c r="G65" t="s">
        <v>1629</v>
      </c>
      <c r="H65" s="52" t="str">
        <f t="shared" si="0"/>
        <v/>
      </c>
      <c r="I65" t="s">
        <v>1630</v>
      </c>
      <c r="J65" t="str">
        <f>IF(Building_Zip_Code_2="","",Building_Zip_Code_2)</f>
        <v/>
      </c>
      <c r="K65" t="s">
        <v>1631</v>
      </c>
      <c r="L65" t="str" cm="1">
        <f t="array" ref="L65">IF(MKT_Units_2="","",MKT_Units_2)</f>
        <v/>
      </c>
      <c r="M65" t="s">
        <v>1632</v>
      </c>
      <c r="N65" t="str">
        <f>IF(TC_Units_2="","",TC_Units_2)</f>
        <v/>
      </c>
      <c r="X65" s="181"/>
    </row>
    <row r="66" spans="2:24">
      <c r="B66" t="s">
        <v>1633</v>
      </c>
      <c r="C66" t="str">
        <f>IF(Building_Address_3="","",Building_Address_3)</f>
        <v/>
      </c>
      <c r="D66" t="s">
        <v>1634</v>
      </c>
      <c r="E66" t="str">
        <f>IF(Building_City_3="","",Building_City_3)</f>
        <v/>
      </c>
      <c r="G66" t="s">
        <v>1635</v>
      </c>
      <c r="H66" s="52" t="str">
        <f t="shared" si="0"/>
        <v/>
      </c>
      <c r="I66" t="s">
        <v>1636</v>
      </c>
      <c r="J66" t="str">
        <f>IF(Building_Zip_Code_3="","",Building_Zip_Code_3)</f>
        <v/>
      </c>
      <c r="K66" t="s">
        <v>1637</v>
      </c>
      <c r="L66" t="str">
        <f>IF(MKT_Units_3="","",MKT_Units_3)</f>
        <v/>
      </c>
      <c r="M66" t="s">
        <v>1638</v>
      </c>
      <c r="N66" t="str">
        <f>IF(TC_Units_3="","",TC_Units_3)</f>
        <v/>
      </c>
      <c r="X66" s="181"/>
    </row>
    <row r="67" spans="2:24">
      <c r="B67" t="s">
        <v>1639</v>
      </c>
      <c r="C67" t="str">
        <f>IF(Building_Address_4="","",Building_Address_4)</f>
        <v/>
      </c>
      <c r="D67" t="s">
        <v>1640</v>
      </c>
      <c r="E67" t="str">
        <f>IF(Building_City_4="","",Building_City_4)</f>
        <v/>
      </c>
      <c r="G67" t="s">
        <v>1641</v>
      </c>
      <c r="H67" s="52" t="str">
        <f t="shared" si="0"/>
        <v/>
      </c>
      <c r="I67" t="s">
        <v>1642</v>
      </c>
      <c r="J67" t="str">
        <f>IF(Building_Zip_Code_4="","",Building_Zip_Code_4)</f>
        <v/>
      </c>
      <c r="K67" t="s">
        <v>1643</v>
      </c>
      <c r="L67" t="str">
        <f>IF(MKT_Units_4="","",MKT_Units_4)</f>
        <v/>
      </c>
      <c r="M67" t="s">
        <v>1644</v>
      </c>
      <c r="N67" t="str">
        <f>IF(TC_Units_4="","",TC_Units_4)</f>
        <v/>
      </c>
      <c r="X67" s="181"/>
    </row>
    <row r="68" spans="2:24">
      <c r="B68" t="s">
        <v>1645</v>
      </c>
      <c r="C68" t="str">
        <f>IF(Building_Address_5="","",Building_Address_5)</f>
        <v/>
      </c>
      <c r="D68" t="s">
        <v>1646</v>
      </c>
      <c r="E68" t="str">
        <f>IF(Building_City_5="","",Building_City_5)</f>
        <v/>
      </c>
      <c r="G68" t="s">
        <v>1647</v>
      </c>
      <c r="H68" s="52" t="str">
        <f t="shared" si="0"/>
        <v/>
      </c>
      <c r="I68" t="s">
        <v>1648</v>
      </c>
      <c r="J68" t="str">
        <f>IF(Building_Zip_Code_5="","",Building_Zip_Code_5)</f>
        <v/>
      </c>
      <c r="K68" t="s">
        <v>1649</v>
      </c>
      <c r="L68" t="str">
        <f>IF(MKT_Units_5="","",MKT_Units_5)</f>
        <v/>
      </c>
      <c r="M68" t="s">
        <v>1650</v>
      </c>
      <c r="N68" t="str">
        <f>IF(TC_Units_5="","",TC_Units_5)</f>
        <v/>
      </c>
      <c r="X68" s="181"/>
    </row>
    <row r="69" spans="2:24">
      <c r="B69" t="s">
        <v>1651</v>
      </c>
      <c r="C69" t="str">
        <f>IF(Building_Address_6="","",Building_Address_6)</f>
        <v/>
      </c>
      <c r="D69" t="s">
        <v>1652</v>
      </c>
      <c r="E69" t="str">
        <f>IF(Building_City_6="","",Building_City_6)</f>
        <v/>
      </c>
      <c r="G69" t="s">
        <v>1653</v>
      </c>
      <c r="H69" s="52" t="str">
        <f t="shared" si="0"/>
        <v/>
      </c>
      <c r="I69" t="s">
        <v>1654</v>
      </c>
      <c r="J69" t="str">
        <f>IF(Building_Zip_Code_6="","",Building_Zip_Code_6)</f>
        <v/>
      </c>
      <c r="K69" t="s">
        <v>1655</v>
      </c>
      <c r="L69" t="str">
        <f>IF(MKT_Units_6="","",MKT_Units_6)</f>
        <v/>
      </c>
      <c r="M69" t="s">
        <v>1656</v>
      </c>
      <c r="N69" t="str">
        <f>IF(TC_Units_6="","",TC_Units_6)</f>
        <v/>
      </c>
      <c r="X69" s="181"/>
    </row>
    <row r="70" spans="2:24">
      <c r="B70" t="s">
        <v>1657</v>
      </c>
      <c r="C70" t="str">
        <f>IF(Building_Address_7="","",Building_Address_7)</f>
        <v/>
      </c>
      <c r="D70" t="s">
        <v>1658</v>
      </c>
      <c r="E70" t="str">
        <f>IF(Building_City_7="","",Building_City_7)</f>
        <v/>
      </c>
      <c r="G70" t="s">
        <v>1659</v>
      </c>
      <c r="H70" s="52" t="str">
        <f t="shared" si="0"/>
        <v/>
      </c>
      <c r="I70" t="s">
        <v>1660</v>
      </c>
      <c r="J70" t="str">
        <f>IF(Building_Zip_Code_7="","",Building_Zip_Code_7)</f>
        <v/>
      </c>
      <c r="K70" t="s">
        <v>1661</v>
      </c>
      <c r="L70" t="str">
        <f>IF(MKT_Units_7="","",MKT_Units_7)</f>
        <v/>
      </c>
      <c r="M70" t="s">
        <v>1662</v>
      </c>
      <c r="N70" t="str">
        <f>IF(TC_Units_7="","",TC_Units_7)</f>
        <v/>
      </c>
      <c r="X70" s="181"/>
    </row>
    <row r="71" spans="2:24">
      <c r="B71" t="s">
        <v>1663</v>
      </c>
      <c r="C71" t="str">
        <f>IF(Building_Address_8="","",Building_Address_8)</f>
        <v/>
      </c>
      <c r="D71" t="s">
        <v>1664</v>
      </c>
      <c r="E71" t="str">
        <f>IF(Building_City_8="","",Building_City_8)</f>
        <v/>
      </c>
      <c r="G71" t="s">
        <v>1665</v>
      </c>
      <c r="H71" s="52" t="str">
        <f t="shared" si="0"/>
        <v/>
      </c>
      <c r="I71" t="s">
        <v>1666</v>
      </c>
      <c r="J71" t="str">
        <f>IF(Building_Zip_Code_8="","",Building_Zip_Code_8)</f>
        <v/>
      </c>
      <c r="K71" t="s">
        <v>1667</v>
      </c>
      <c r="L71" t="str">
        <f>IF(MKT_Units_8="","",MKT_Units_8)</f>
        <v/>
      </c>
      <c r="M71" t="s">
        <v>1668</v>
      </c>
      <c r="N71" t="str">
        <f>IF(TC_Units_8="","",TC_Units_8)</f>
        <v/>
      </c>
      <c r="X71" s="181"/>
    </row>
    <row r="72" spans="2:24">
      <c r="B72" t="s">
        <v>1669</v>
      </c>
      <c r="C72" t="str">
        <f>IF(Building_Address_9="","",Building_Address_9)</f>
        <v/>
      </c>
      <c r="D72" t="s">
        <v>1670</v>
      </c>
      <c r="E72" t="str">
        <f>IF(Building_City_9="","",Building_City_9)</f>
        <v/>
      </c>
      <c r="G72" t="s">
        <v>1671</v>
      </c>
      <c r="H72" s="52" t="str">
        <f t="shared" si="0"/>
        <v/>
      </c>
      <c r="I72" t="s">
        <v>1672</v>
      </c>
      <c r="J72" t="str">
        <f>IF(Building_Zip_Code_9="","",Building_Zip_Code_9)</f>
        <v/>
      </c>
      <c r="K72" t="s">
        <v>1673</v>
      </c>
      <c r="L72" t="str">
        <f>IF(MKT_Units_9="","",MKT_Units_9)</f>
        <v/>
      </c>
      <c r="M72" t="s">
        <v>1674</v>
      </c>
      <c r="N72" t="str">
        <f>IF(TC_Units_9="","",TC_Units_9)</f>
        <v/>
      </c>
      <c r="X72" s="181"/>
    </row>
    <row r="73" spans="2:24">
      <c r="B73" t="s">
        <v>1675</v>
      </c>
      <c r="C73" t="str">
        <f>IF(Building_Address_10="","",Building_Address_10)</f>
        <v/>
      </c>
      <c r="D73" t="s">
        <v>1676</v>
      </c>
      <c r="E73" t="str">
        <f>IF(Building_City_10="","",Building_City_10)</f>
        <v/>
      </c>
      <c r="G73" t="s">
        <v>1677</v>
      </c>
      <c r="H73" s="52" t="str">
        <f t="shared" si="0"/>
        <v/>
      </c>
      <c r="I73" t="s">
        <v>1678</v>
      </c>
      <c r="J73" t="str">
        <f>IF(Building_Zip_Code_10="","",Building_Zip_Code_10)</f>
        <v/>
      </c>
      <c r="K73" t="s">
        <v>1679</v>
      </c>
      <c r="L73" t="str">
        <f>IF(MKT_Units_10="","",MKT_Units_10)</f>
        <v/>
      </c>
      <c r="M73" t="s">
        <v>1680</v>
      </c>
      <c r="N73" t="str">
        <f>IF(TC_Units_10="","",TC_Units_10)</f>
        <v/>
      </c>
      <c r="X73" s="181"/>
    </row>
    <row r="74" spans="2:24">
      <c r="B74" t="s">
        <v>1681</v>
      </c>
      <c r="C74" t="str">
        <f>IF(Building_Address_11="","",Building_Address_11)</f>
        <v/>
      </c>
      <c r="D74" t="s">
        <v>1682</v>
      </c>
      <c r="E74" t="str">
        <f>IF(Building_City_11="","",Building_City_11)</f>
        <v/>
      </c>
      <c r="G74" t="s">
        <v>1683</v>
      </c>
      <c r="H74" s="52" t="str">
        <f t="shared" si="0"/>
        <v/>
      </c>
      <c r="I74" t="s">
        <v>1684</v>
      </c>
      <c r="J74" t="str">
        <f>IF(Building_Zip_Code_11="","",Building_Zip_Code_11)</f>
        <v/>
      </c>
      <c r="K74" t="s">
        <v>1685</v>
      </c>
      <c r="L74" t="str">
        <f>IF(MKT_Units_11="","",MKT_Units_11)</f>
        <v/>
      </c>
      <c r="M74" t="s">
        <v>1686</v>
      </c>
      <c r="N74" t="str">
        <f>IF(TC_Units_11="","",TC_Units_11)</f>
        <v/>
      </c>
      <c r="X74" s="181"/>
    </row>
    <row r="75" spans="2:24">
      <c r="B75" t="s">
        <v>1687</v>
      </c>
      <c r="C75" t="str">
        <f>IF(Building_Address_12="","",Building_Address_12)</f>
        <v/>
      </c>
      <c r="D75" t="s">
        <v>1688</v>
      </c>
      <c r="E75" t="str">
        <f>IF(Building_City_12="","",Building_City_12)</f>
        <v/>
      </c>
      <c r="G75" t="s">
        <v>1689</v>
      </c>
      <c r="H75" s="52" t="str">
        <f t="shared" si="0"/>
        <v/>
      </c>
      <c r="I75" t="s">
        <v>1690</v>
      </c>
      <c r="J75" t="str">
        <f>IF(Building_Zip_Code_12="","",Building_Zip_Code_12)</f>
        <v/>
      </c>
      <c r="K75" t="s">
        <v>1691</v>
      </c>
      <c r="L75" t="str">
        <f>IF(MKT_Units_12="","",MKT_Units_12)</f>
        <v/>
      </c>
      <c r="M75" t="s">
        <v>1692</v>
      </c>
      <c r="N75" t="str">
        <f>IF(TC_Units_12="","",TC_Units_12)</f>
        <v/>
      </c>
      <c r="X75" s="181"/>
    </row>
    <row r="76" spans="2:24">
      <c r="B76" t="s">
        <v>1693</v>
      </c>
      <c r="C76" t="str">
        <f>IF(Building_Address_13="","",Building_Address_13)</f>
        <v/>
      </c>
      <c r="D76" t="s">
        <v>1694</v>
      </c>
      <c r="E76" t="str">
        <f>IF(Building_City_13="","",Building_City_13)</f>
        <v/>
      </c>
      <c r="G76" t="s">
        <v>1695</v>
      </c>
      <c r="H76" s="52" t="str">
        <f t="shared" si="0"/>
        <v/>
      </c>
      <c r="I76" t="s">
        <v>1696</v>
      </c>
      <c r="J76" t="str">
        <f>IF(Building_Zip_Code_13="","",Building_Zip_Code_13)</f>
        <v/>
      </c>
      <c r="K76" t="s">
        <v>1697</v>
      </c>
      <c r="L76" t="str">
        <f>IF(MKT_Units_13="","",MKT_Units_13)</f>
        <v/>
      </c>
      <c r="M76" t="s">
        <v>1698</v>
      </c>
      <c r="N76" t="str">
        <f>IF(TC_Units_13="","",TC_Units_13)</f>
        <v/>
      </c>
      <c r="X76" s="181"/>
    </row>
    <row r="77" spans="2:24">
      <c r="B77" t="s">
        <v>1699</v>
      </c>
      <c r="C77" t="str">
        <f>IF(Building_Address_14="","",Building_Address_14)</f>
        <v/>
      </c>
      <c r="D77" t="s">
        <v>1700</v>
      </c>
      <c r="E77" t="str">
        <f>IF(Building_City_14="","",Building_City_14)</f>
        <v/>
      </c>
      <c r="G77" t="s">
        <v>1701</v>
      </c>
      <c r="H77" s="52" t="str">
        <f t="shared" si="0"/>
        <v/>
      </c>
      <c r="I77" t="s">
        <v>1702</v>
      </c>
      <c r="J77" t="str">
        <f>IF(Building_Zip_Code_14="","",Building_Zip_Code_14)</f>
        <v/>
      </c>
      <c r="K77" t="s">
        <v>1703</v>
      </c>
      <c r="L77" t="str">
        <f>IF(MKT_Units_14="","",MKT_Units_14)</f>
        <v/>
      </c>
      <c r="M77" t="s">
        <v>1704</v>
      </c>
      <c r="N77" t="str">
        <f>IF(TC_Units_14="","",TC_Units_14)</f>
        <v/>
      </c>
      <c r="X77" s="181"/>
    </row>
    <row r="78" spans="2:24">
      <c r="B78" t="s">
        <v>1705</v>
      </c>
      <c r="C78" t="str">
        <f>IF(Building_Address_15="","",Building_Address_15)</f>
        <v/>
      </c>
      <c r="D78" t="s">
        <v>1706</v>
      </c>
      <c r="E78" t="str">
        <f>IF(Building_City_15="","",Building_City_15)</f>
        <v/>
      </c>
      <c r="G78" t="s">
        <v>1707</v>
      </c>
      <c r="H78" s="52" t="str">
        <f t="shared" si="0"/>
        <v/>
      </c>
      <c r="I78" t="s">
        <v>1708</v>
      </c>
      <c r="J78" t="str">
        <f>IF(Building_Zip_Code_15="","",Building_Zip_Code_15)</f>
        <v/>
      </c>
      <c r="K78" t="s">
        <v>1709</v>
      </c>
      <c r="L78" t="str">
        <f>IF(MKT_Units_15="","",MKT_Units_15)</f>
        <v/>
      </c>
      <c r="M78" t="s">
        <v>1710</v>
      </c>
      <c r="N78" t="str">
        <f>IF(TC_Units_15="","",TC_Units_15)</f>
        <v/>
      </c>
      <c r="X78" s="181"/>
    </row>
    <row r="79" spans="2:24">
      <c r="B79" t="s">
        <v>1711</v>
      </c>
      <c r="C79" t="str">
        <f>IF(Building_Address_16="","",Building_Address_16)</f>
        <v/>
      </c>
      <c r="D79" t="s">
        <v>1712</v>
      </c>
      <c r="E79" t="str">
        <f>IF(Building_City_16="","",Building_City_16)</f>
        <v/>
      </c>
      <c r="G79" t="s">
        <v>1713</v>
      </c>
      <c r="H79" s="52" t="str">
        <f t="shared" si="0"/>
        <v/>
      </c>
      <c r="I79" t="s">
        <v>1714</v>
      </c>
      <c r="J79" t="str">
        <f>IF(Building_Zip_Code_16="","",Building_Zip_Code_16)</f>
        <v/>
      </c>
      <c r="K79" t="s">
        <v>1715</v>
      </c>
      <c r="L79" t="str">
        <f>IF(MKT_Units_16="","",MKT_Units_16)</f>
        <v/>
      </c>
      <c r="M79" t="s">
        <v>1716</v>
      </c>
      <c r="N79" t="str">
        <f>IF(TC_Units_16="","",TC_Units_16)</f>
        <v/>
      </c>
      <c r="X79" s="181"/>
    </row>
    <row r="80" spans="2:24">
      <c r="B80" t="s">
        <v>1717</v>
      </c>
      <c r="C80" t="str">
        <f>IF(Building_Address_17="","",Building_Address_17)</f>
        <v/>
      </c>
      <c r="D80" t="s">
        <v>1718</v>
      </c>
      <c r="E80" t="str">
        <f>IF(Building_City_17="","",Building_City_17)</f>
        <v/>
      </c>
      <c r="G80" t="s">
        <v>1719</v>
      </c>
      <c r="H80" s="52" t="str">
        <f t="shared" si="0"/>
        <v/>
      </c>
      <c r="I80" t="s">
        <v>1720</v>
      </c>
      <c r="J80" t="str">
        <f>IF(Building_Zip_Code_17="","",Building_Zip_Code_17)</f>
        <v/>
      </c>
      <c r="K80" t="s">
        <v>1721</v>
      </c>
      <c r="L80" t="str">
        <f>IF(MKT_Units_17="","",MKT_Units_17)</f>
        <v/>
      </c>
      <c r="M80" t="s">
        <v>1722</v>
      </c>
      <c r="N80" t="str">
        <f>IF(TC_Units_17="","",TC_Units_17)</f>
        <v/>
      </c>
      <c r="X80" s="181"/>
    </row>
    <row r="81" spans="2:24">
      <c r="B81" t="s">
        <v>1723</v>
      </c>
      <c r="C81" t="str">
        <f>IF(Building_Address_18="","",Building_Address_18)</f>
        <v/>
      </c>
      <c r="D81" t="s">
        <v>1724</v>
      </c>
      <c r="E81" t="str">
        <f>IF(Building_City_18="","",Building_City_18)</f>
        <v/>
      </c>
      <c r="G81" t="s">
        <v>1725</v>
      </c>
      <c r="H81" s="52" t="str">
        <f t="shared" si="0"/>
        <v/>
      </c>
      <c r="I81" t="s">
        <v>1726</v>
      </c>
      <c r="J81" t="str">
        <f>IF(Building_Zip_Code_18="","",Building_Zip_Code_18)</f>
        <v/>
      </c>
      <c r="K81" t="s">
        <v>1727</v>
      </c>
      <c r="L81" t="str">
        <f>IF(MKT_Units_18="","",MKT_Units_18)</f>
        <v/>
      </c>
      <c r="M81" t="s">
        <v>1728</v>
      </c>
      <c r="N81" t="str">
        <f>IF(TC_Units_18="","",TC_Units_18)</f>
        <v/>
      </c>
      <c r="X81" s="181"/>
    </row>
    <row r="82" spans="2:24">
      <c r="B82" t="s">
        <v>1729</v>
      </c>
      <c r="C82" t="str">
        <f>IF(Building_Address_19="","",Building_Address_19)</f>
        <v/>
      </c>
      <c r="D82" t="s">
        <v>1730</v>
      </c>
      <c r="E82" t="str">
        <f>IF(Building_City_19="","",Building_City_19)</f>
        <v/>
      </c>
      <c r="G82" t="s">
        <v>1731</v>
      </c>
      <c r="H82" s="52" t="str">
        <f t="shared" si="0"/>
        <v/>
      </c>
      <c r="I82" t="s">
        <v>1732</v>
      </c>
      <c r="J82" t="str">
        <f>IF(Building_Zip_Code_19="","",Building_Zip_Code_19)</f>
        <v/>
      </c>
      <c r="K82" t="s">
        <v>1733</v>
      </c>
      <c r="L82" t="str">
        <f>IF(MKT_Units_19="","",MKT_Units_19)</f>
        <v/>
      </c>
      <c r="M82" t="s">
        <v>1734</v>
      </c>
      <c r="N82" t="str">
        <f>IF(TC_Units_19="","",TC_Units_19)</f>
        <v/>
      </c>
      <c r="X82" s="181"/>
    </row>
    <row r="83" spans="2:24">
      <c r="B83" t="s">
        <v>1735</v>
      </c>
      <c r="C83" t="str">
        <f>IF(Building_Address_20="","",Building_Address_20)</f>
        <v/>
      </c>
      <c r="D83" t="s">
        <v>1736</v>
      </c>
      <c r="E83" t="str">
        <f>IF(Building_City_20="","",Building_City_20)</f>
        <v/>
      </c>
      <c r="G83" t="s">
        <v>1737</v>
      </c>
      <c r="H83" s="52" t="str">
        <f t="shared" si="0"/>
        <v/>
      </c>
      <c r="I83" t="s">
        <v>1738</v>
      </c>
      <c r="J83" t="str">
        <f>IF(Building_Zip_Code_20="","",Building_Zip_Code_20)</f>
        <v/>
      </c>
      <c r="K83" t="s">
        <v>1739</v>
      </c>
      <c r="L83" t="str">
        <f>IF(MKT_Units_20="","",MKT_Units_20)</f>
        <v/>
      </c>
      <c r="M83" t="s">
        <v>1740</v>
      </c>
      <c r="N83" t="str">
        <f>IF(TC_Units_20="","",TC_Units_20)</f>
        <v/>
      </c>
      <c r="X83" s="181"/>
    </row>
    <row r="84" spans="2:24">
      <c r="B84" t="s">
        <v>1741</v>
      </c>
      <c r="C84" t="str">
        <f>IF(Building_Address_21="","",Building_Address_21)</f>
        <v/>
      </c>
      <c r="D84" t="s">
        <v>1742</v>
      </c>
      <c r="E84" t="str">
        <f>IF(Building_City_21="","",Building_City_21)</f>
        <v/>
      </c>
      <c r="G84" t="s">
        <v>1743</v>
      </c>
      <c r="H84" s="52" t="str">
        <f t="shared" si="0"/>
        <v/>
      </c>
      <c r="I84" t="s">
        <v>1744</v>
      </c>
      <c r="J84" t="str">
        <f>IF(Building_Zip_Code_21="","",Building_Zip_Code_21)</f>
        <v/>
      </c>
      <c r="K84" t="s">
        <v>1745</v>
      </c>
      <c r="L84" t="str">
        <f>IF(MKT_Units_21="","",MKT_Units_21)</f>
        <v/>
      </c>
      <c r="M84" t="s">
        <v>1746</v>
      </c>
      <c r="N84" t="str">
        <f>IF(TC_Units_21="","",TC_Units_21)</f>
        <v/>
      </c>
      <c r="X84" s="181"/>
    </row>
    <row r="85" spans="2:24">
      <c r="B85" t="s">
        <v>1747</v>
      </c>
      <c r="C85" t="str">
        <f>IF(Building_Address_22="","",Building_Address_22)</f>
        <v/>
      </c>
      <c r="D85" t="s">
        <v>1748</v>
      </c>
      <c r="E85" t="str">
        <f>IF(Building_City_22="","",Building_City_22)</f>
        <v/>
      </c>
      <c r="G85" t="s">
        <v>1749</v>
      </c>
      <c r="H85" s="52" t="str">
        <f t="shared" si="0"/>
        <v/>
      </c>
      <c r="I85" t="s">
        <v>1750</v>
      </c>
      <c r="J85" t="str">
        <f>IF(Building_Zip_Code_22="","",Building_Zip_Code_22)</f>
        <v/>
      </c>
      <c r="K85" t="s">
        <v>1751</v>
      </c>
      <c r="L85" t="str">
        <f>IF(MKT_Units_22="","",MKT_Units_22)</f>
        <v/>
      </c>
      <c r="M85" t="s">
        <v>1752</v>
      </c>
      <c r="N85" t="str">
        <f>IF(TC_Units_22="","",TC_Units_22)</f>
        <v/>
      </c>
      <c r="X85" s="181"/>
    </row>
    <row r="86" spans="2:24">
      <c r="B86" t="s">
        <v>1753</v>
      </c>
      <c r="C86" t="str">
        <f>IF(Building_Address_23="","",Building_Address_23)</f>
        <v/>
      </c>
      <c r="D86" t="s">
        <v>1754</v>
      </c>
      <c r="E86" t="str">
        <f>IF(Building_City_23="","",Building_City_23)</f>
        <v/>
      </c>
      <c r="G86" t="s">
        <v>1755</v>
      </c>
      <c r="H86" s="52" t="str">
        <f t="shared" si="0"/>
        <v/>
      </c>
      <c r="I86" t="s">
        <v>1756</v>
      </c>
      <c r="J86" t="str">
        <f>IF(Building_Zip_Code_23="","",Building_Zip_Code_23)</f>
        <v/>
      </c>
      <c r="K86" t="s">
        <v>1757</v>
      </c>
      <c r="L86" t="str">
        <f>IF(MKT_Units_23="","",MKT_Units_23)</f>
        <v/>
      </c>
      <c r="M86" t="s">
        <v>1758</v>
      </c>
      <c r="N86" t="str">
        <f>IF(TC_Units_23="","",TC_Units_23)</f>
        <v/>
      </c>
      <c r="X86" s="181"/>
    </row>
    <row r="87" spans="2:24">
      <c r="B87" t="s">
        <v>1759</v>
      </c>
      <c r="C87" t="str">
        <f>IF(Building_Address_24="","",Building_Address_24)</f>
        <v/>
      </c>
      <c r="D87" t="s">
        <v>1760</v>
      </c>
      <c r="E87" t="str">
        <f>IF(Building_City_24="","",Building_City_24)</f>
        <v/>
      </c>
      <c r="G87" t="s">
        <v>1761</v>
      </c>
      <c r="H87" s="52" t="str">
        <f t="shared" si="0"/>
        <v/>
      </c>
      <c r="I87" t="s">
        <v>1762</v>
      </c>
      <c r="J87" t="str">
        <f>IF(Building_Zip_Code_24="","",Building_Zip_Code_24)</f>
        <v/>
      </c>
      <c r="K87" t="s">
        <v>1763</v>
      </c>
      <c r="L87" t="str">
        <f>IF(MKT_Units_24="","",MKT_Units_24)</f>
        <v/>
      </c>
      <c r="M87" t="s">
        <v>1764</v>
      </c>
      <c r="N87" t="str">
        <f>IF(TC_Units_24="","",TC_Units_24)</f>
        <v/>
      </c>
      <c r="X87" s="181"/>
    </row>
    <row r="88" spans="2:24">
      <c r="B88" t="s">
        <v>1765</v>
      </c>
      <c r="C88" t="str">
        <f>IF(Building_Address_25="","",Building_Address_25)</f>
        <v/>
      </c>
      <c r="D88" t="s">
        <v>1766</v>
      </c>
      <c r="E88" t="str">
        <f>IF(Building_City_25="","",Building_City_25)</f>
        <v/>
      </c>
      <c r="G88" t="s">
        <v>1767</v>
      </c>
      <c r="H88" s="52" t="str">
        <f t="shared" si="0"/>
        <v/>
      </c>
      <c r="I88" t="s">
        <v>1768</v>
      </c>
      <c r="J88" t="str">
        <f>IF(Building_Zip_Code_25="","",Building_Zip_Code_25)</f>
        <v/>
      </c>
      <c r="K88" t="s">
        <v>1769</v>
      </c>
      <c r="L88" t="str">
        <f>IF(MKT_Units_25="","",MKT_Units_25)</f>
        <v/>
      </c>
      <c r="M88" t="s">
        <v>1770</v>
      </c>
      <c r="N88" t="str">
        <f>IF(TC_Units_25="","",TC_Units_25)</f>
        <v/>
      </c>
      <c r="X88" s="181"/>
    </row>
    <row r="89" spans="2:24">
      <c r="B89" t="s">
        <v>1771</v>
      </c>
      <c r="C89" t="str">
        <f>IF(Building_Address_26="","",Building_Address_26)</f>
        <v/>
      </c>
      <c r="D89" t="s">
        <v>1772</v>
      </c>
      <c r="E89" t="str">
        <f>IF(Building_City_26="","",Building_City_26)</f>
        <v/>
      </c>
      <c r="G89" t="s">
        <v>1773</v>
      </c>
      <c r="H89" s="52" t="str">
        <f t="shared" si="0"/>
        <v/>
      </c>
      <c r="I89" t="s">
        <v>1774</v>
      </c>
      <c r="J89" t="str">
        <f>IF(Building_Zip_Code_26="","",Building_Zip_Code_26)</f>
        <v/>
      </c>
      <c r="K89" t="s">
        <v>1775</v>
      </c>
      <c r="L89" t="str">
        <f>IF(MKT_Units_26="","",MKT_Units_26)</f>
        <v/>
      </c>
      <c r="M89" t="s">
        <v>1776</v>
      </c>
      <c r="N89" t="str">
        <f>IF(TC_Units_26="","",TC_Units_26)</f>
        <v/>
      </c>
      <c r="X89" s="181"/>
    </row>
    <row r="90" spans="2:24">
      <c r="B90" t="s">
        <v>1777</v>
      </c>
      <c r="C90" t="str">
        <f>IF(Building_Address_27="","",Building_Address_27)</f>
        <v/>
      </c>
      <c r="D90" t="s">
        <v>1778</v>
      </c>
      <c r="E90" t="str">
        <f>IF(Building_City_27="","",Building_City_27)</f>
        <v/>
      </c>
      <c r="G90" t="s">
        <v>1779</v>
      </c>
      <c r="H90" s="52" t="str">
        <f t="shared" si="0"/>
        <v/>
      </c>
      <c r="I90" t="s">
        <v>1780</v>
      </c>
      <c r="J90" t="str">
        <f>IF(Building_Zip_Code_27="","",Building_Zip_Code_27)</f>
        <v/>
      </c>
      <c r="K90" t="s">
        <v>1781</v>
      </c>
      <c r="L90" t="str">
        <f>IF(MKT_Units_27="","",MKT_Units_27)</f>
        <v/>
      </c>
      <c r="M90" t="s">
        <v>1782</v>
      </c>
      <c r="N90" t="str">
        <f>IF(TC_Units_27="","",TC_Units_27)</f>
        <v/>
      </c>
      <c r="X90" s="181"/>
    </row>
    <row r="91" spans="2:24">
      <c r="B91" t="s">
        <v>1783</v>
      </c>
      <c r="C91" t="str">
        <f>IF(Building_Address_28="","",Building_Address_28)</f>
        <v/>
      </c>
      <c r="D91" t="s">
        <v>1784</v>
      </c>
      <c r="E91" t="str">
        <f>IF(Building_City_28="","",Building_City_28)</f>
        <v/>
      </c>
      <c r="G91" t="s">
        <v>1785</v>
      </c>
      <c r="H91" s="52" t="str">
        <f t="shared" si="0"/>
        <v/>
      </c>
      <c r="I91" t="s">
        <v>1786</v>
      </c>
      <c r="J91" t="str">
        <f>IF(Building_Zip_Code_28="","",Building_Zip_Code_28)</f>
        <v/>
      </c>
      <c r="K91" t="s">
        <v>1787</v>
      </c>
      <c r="L91" t="str">
        <f>IF(MKT_Units_28="","",MKT_Units_28)</f>
        <v/>
      </c>
      <c r="M91" t="s">
        <v>1788</v>
      </c>
      <c r="N91" t="str">
        <f>IF(TC_Units_28="","",TC_Units_28)</f>
        <v/>
      </c>
      <c r="X91" s="181"/>
    </row>
    <row r="92" spans="2:24">
      <c r="B92" t="s">
        <v>1789</v>
      </c>
      <c r="C92" t="str">
        <f>IF(Building_Address_29="","",Building_Address_29)</f>
        <v/>
      </c>
      <c r="D92" t="s">
        <v>1790</v>
      </c>
      <c r="E92" t="str">
        <f>IF(Building_City_29="","",Building_City_29)</f>
        <v/>
      </c>
      <c r="G92" t="s">
        <v>1791</v>
      </c>
      <c r="H92" s="52" t="str">
        <f t="shared" si="0"/>
        <v/>
      </c>
      <c r="I92" t="s">
        <v>1792</v>
      </c>
      <c r="J92" t="str">
        <f>IF(Building_Zip_Code_29="","",Building_Zip_Code_29)</f>
        <v/>
      </c>
      <c r="K92" t="s">
        <v>1793</v>
      </c>
      <c r="L92" t="str">
        <f>IF(MKT_Units_29="","",MKT_Units_29)</f>
        <v/>
      </c>
      <c r="M92" t="s">
        <v>1794</v>
      </c>
      <c r="N92" t="str">
        <f>IF(TC_Units_29="","",TC_Units_29)</f>
        <v/>
      </c>
      <c r="X92" s="181"/>
    </row>
    <row r="93" spans="2:24">
      <c r="B93" t="s">
        <v>1795</v>
      </c>
      <c r="C93" t="str">
        <f>IF(Building_Address_30="","",Building_Address_30)</f>
        <v/>
      </c>
      <c r="D93" t="s">
        <v>1796</v>
      </c>
      <c r="E93" t="str">
        <f>IF(Building_City_30="","",Building_City_30)</f>
        <v/>
      </c>
      <c r="G93" t="s">
        <v>1797</v>
      </c>
      <c r="H93" s="52" t="str">
        <f t="shared" si="0"/>
        <v/>
      </c>
      <c r="I93" t="s">
        <v>1798</v>
      </c>
      <c r="J93" t="str">
        <f>IF(Building_Zip_Code_30="","",Building_Zip_Code_30)</f>
        <v/>
      </c>
      <c r="K93" t="s">
        <v>1799</v>
      </c>
      <c r="L93" t="str">
        <f>IF(MKT_Units_30="","",MKT_Units_30)</f>
        <v/>
      </c>
      <c r="M93" t="s">
        <v>1800</v>
      </c>
      <c r="N93" t="str">
        <f>IF(TC_Units_30="","",TC_Units_30)</f>
        <v/>
      </c>
      <c r="X93" s="181"/>
    </row>
    <row r="94" spans="2:24">
      <c r="B94" t="s">
        <v>1801</v>
      </c>
      <c r="C94" t="str">
        <f>IF(Building_Address_31="","",Building_Address_31)</f>
        <v/>
      </c>
      <c r="D94" t="s">
        <v>1802</v>
      </c>
      <c r="E94" t="str">
        <f>IF(Building_City_31="","",Building_City_31)</f>
        <v/>
      </c>
      <c r="G94" t="s">
        <v>1803</v>
      </c>
      <c r="H94" s="52" t="str">
        <f t="shared" si="0"/>
        <v/>
      </c>
      <c r="I94" t="s">
        <v>1804</v>
      </c>
      <c r="J94" t="str">
        <f>IF(Building_Zip_Code_31="","",Building_Zip_Code_31)</f>
        <v/>
      </c>
      <c r="K94" t="s">
        <v>1805</v>
      </c>
      <c r="L94" t="str">
        <f>IF(MKT_Units_31="","",MKT_Units_31)</f>
        <v/>
      </c>
      <c r="M94" t="s">
        <v>1806</v>
      </c>
      <c r="N94" t="str">
        <f>IF(TC_Units_31="","",TC_Units_31)</f>
        <v/>
      </c>
      <c r="X94" s="181"/>
    </row>
    <row r="95" spans="2:24">
      <c r="B95" t="s">
        <v>1807</v>
      </c>
      <c r="C95" t="str">
        <f>IF(Building_Address_32="","",Building_Address_32)</f>
        <v/>
      </c>
      <c r="D95" t="s">
        <v>1808</v>
      </c>
      <c r="E95" t="str">
        <f>IF(Building_City_32="","",Building_City_32)</f>
        <v/>
      </c>
      <c r="G95" t="s">
        <v>1809</v>
      </c>
      <c r="H95" s="52" t="str">
        <f t="shared" si="0"/>
        <v/>
      </c>
      <c r="I95" t="s">
        <v>1810</v>
      </c>
      <c r="J95" t="str">
        <f>IF(Building_Zip_Code_32="","",Building_Zip_Code_32)</f>
        <v/>
      </c>
      <c r="K95" t="s">
        <v>1811</v>
      </c>
      <c r="L95" t="str">
        <f>IF(MKT_Units_32="","",MKT_Units_32)</f>
        <v/>
      </c>
      <c r="M95" t="s">
        <v>1812</v>
      </c>
      <c r="N95" t="str">
        <f>IF(TC_Units_32="","",TC_Units_32)</f>
        <v/>
      </c>
      <c r="X95" s="181"/>
    </row>
    <row r="96" spans="2:24">
      <c r="B96" t="s">
        <v>1813</v>
      </c>
      <c r="C96" t="str">
        <f>IF(Building_Address_33="","",Building_Address_33)</f>
        <v/>
      </c>
      <c r="D96" t="s">
        <v>1814</v>
      </c>
      <c r="E96" t="str">
        <f>IF(Building_City_33="","",Building_City_33)</f>
        <v/>
      </c>
      <c r="G96" t="s">
        <v>1815</v>
      </c>
      <c r="H96" s="52" t="str">
        <f t="shared" si="0"/>
        <v/>
      </c>
      <c r="I96" t="s">
        <v>1816</v>
      </c>
      <c r="J96" t="str">
        <f>IF(Building_Zip_Code_33="","",Building_Zip_Code_33)</f>
        <v/>
      </c>
      <c r="K96" t="s">
        <v>1817</v>
      </c>
      <c r="L96" t="str">
        <f>IF(MKT_Units_33="","",MKT_Units_33)</f>
        <v/>
      </c>
      <c r="M96" t="s">
        <v>1818</v>
      </c>
      <c r="N96" t="str">
        <f>IF(TC_Units_33="","",TC_Units_33)</f>
        <v/>
      </c>
      <c r="X96" s="181"/>
    </row>
    <row r="97" spans="1:24">
      <c r="B97" t="s">
        <v>1819</v>
      </c>
      <c r="C97" t="str">
        <f>IF(Building_Address_34="","",Building_Address_34)</f>
        <v/>
      </c>
      <c r="D97" t="s">
        <v>1820</v>
      </c>
      <c r="E97" t="str">
        <f>IF(Building_City_34="","",Building_City_34)</f>
        <v/>
      </c>
      <c r="G97" t="s">
        <v>1821</v>
      </c>
      <c r="H97" s="52" t="str">
        <f t="shared" si="0"/>
        <v/>
      </c>
      <c r="I97" t="s">
        <v>1822</v>
      </c>
      <c r="J97" t="str">
        <f>IF(Building_Zip_Code_34="","",Building_Zip_Code_34)</f>
        <v/>
      </c>
      <c r="K97" t="s">
        <v>1823</v>
      </c>
      <c r="L97" t="str">
        <f>IF(MKT_Units_34="","",MKT_Units_34)</f>
        <v/>
      </c>
      <c r="M97" t="s">
        <v>1824</v>
      </c>
      <c r="N97" t="str">
        <f>IF(TC_Units_34="","",TC_Units_34)</f>
        <v/>
      </c>
      <c r="X97" s="181"/>
    </row>
    <row r="98" spans="1:24">
      <c r="B98" t="s">
        <v>1825</v>
      </c>
      <c r="C98" cm="1">
        <f t="array" ref="C98">SUMPRODUCT(--(LEN(C64:C97)&gt;0))</f>
        <v>1</v>
      </c>
      <c r="X98" s="181"/>
    </row>
    <row r="99" spans="1:24">
      <c r="X99" s="181"/>
    </row>
    <row r="100" spans="1:24" ht="30">
      <c r="B100" s="55" t="s">
        <v>1826</v>
      </c>
      <c r="C100" s="52" t="str">
        <f>IF(Identity_Interest_Direct_Indirect="","",Identity_Interest_Direct_Indirect)</f>
        <v/>
      </c>
      <c r="X100" s="181"/>
    </row>
    <row r="101" spans="1:24">
      <c r="B101" s="39" t="s">
        <v>1827</v>
      </c>
      <c r="C101" s="56" t="str">
        <f>IF(Rehabilitation_expenditures_allocable_to_low_income_units="","",Rehabilitation_expenditures_allocable_to_low_income_units)</f>
        <v/>
      </c>
      <c r="X101" s="181"/>
    </row>
    <row r="102" spans="1:24">
      <c r="B102" s="39" t="s">
        <v>1828</v>
      </c>
      <c r="C102" s="56" t="str">
        <f>IF(Adjusted_building_basis="","",Adjusted_building_basis)</f>
        <v/>
      </c>
      <c r="X102" s="181"/>
    </row>
    <row r="103" spans="1:24">
      <c r="X103" s="181"/>
    </row>
    <row r="104" spans="1:24">
      <c r="X104" s="181"/>
    </row>
    <row r="105" spans="1:24">
      <c r="X105" s="181"/>
    </row>
    <row r="106" spans="1:24">
      <c r="A106" s="41" t="s">
        <v>1829</v>
      </c>
      <c r="B106" t="s">
        <v>780</v>
      </c>
      <c r="C106" t="str">
        <f>IF(Owner_Name = "","",UPPER(Owner_Name))</f>
        <v/>
      </c>
      <c r="X106" s="181"/>
    </row>
    <row r="107" spans="1:24">
      <c r="B107" t="s">
        <v>525</v>
      </c>
      <c r="C107" t="str">
        <f>IF(Owner_Address="","",UPPER(Owner_Address))</f>
        <v/>
      </c>
      <c r="X107" s="181"/>
    </row>
    <row r="108" spans="1:24">
      <c r="B108" t="s">
        <v>528</v>
      </c>
      <c r="C108" t="str">
        <f>IF(Owner_City="","",UPPER(Owner_City))</f>
        <v/>
      </c>
      <c r="X108" s="181"/>
    </row>
    <row r="109" spans="1:24">
      <c r="B109" t="s">
        <v>244</v>
      </c>
      <c r="C109" s="52" t="str">
        <f>IF(Owner_State="","",Owner_State)</f>
        <v/>
      </c>
      <c r="D109" t="s">
        <v>1587</v>
      </c>
      <c r="X109" s="181"/>
    </row>
    <row r="110" spans="1:24">
      <c r="B110" t="s">
        <v>1588</v>
      </c>
      <c r="C110" t="str">
        <f>IF(Owner_Zip="","",Owner_Zip)</f>
        <v/>
      </c>
      <c r="X110" s="181"/>
    </row>
    <row r="111" spans="1:24">
      <c r="B111" t="s">
        <v>1830</v>
      </c>
      <c r="C111" t="str">
        <f>IF(Federal_Tax_ID_Number_of_Ownership_Entity="","",Federal_Tax_ID_Number_of_Ownership_Entity)</f>
        <v/>
      </c>
      <c r="X111" s="181"/>
    </row>
    <row r="112" spans="1:24">
      <c r="B112" t="s">
        <v>1831</v>
      </c>
      <c r="D112" t="s">
        <v>1832</v>
      </c>
      <c r="X112" s="181"/>
    </row>
    <row r="113" spans="1:24">
      <c r="B113" t="s">
        <v>508</v>
      </c>
      <c r="D113" t="s">
        <v>1832</v>
      </c>
      <c r="X113" s="181"/>
    </row>
    <row r="114" spans="1:24">
      <c r="B114" t="s">
        <v>783</v>
      </c>
      <c r="C114" t="str">
        <f>IF(Ownership_Contact_Person_First_Name="","",UPPER(Ownership_Contact_Person_First_Name))</f>
        <v/>
      </c>
      <c r="X114" s="181"/>
    </row>
    <row r="115" spans="1:24">
      <c r="B115" t="s">
        <v>784</v>
      </c>
      <c r="C115" t="str">
        <f>IF(Ownership_Contact_Person_Last_Name="","",UPPER(Ownership_Contact_Person_Last_Name))</f>
        <v/>
      </c>
      <c r="X115" s="181"/>
    </row>
    <row r="116" spans="1:24">
      <c r="X116" s="181"/>
    </row>
    <row r="117" spans="1:24">
      <c r="X117" s="181"/>
    </row>
    <row r="118" spans="1:24">
      <c r="X118" s="181"/>
    </row>
    <row r="119" spans="1:24">
      <c r="C119" s="41" t="s">
        <v>1833</v>
      </c>
      <c r="X119" s="181"/>
    </row>
    <row r="120" spans="1:24">
      <c r="A120" s="41" t="s">
        <v>174</v>
      </c>
      <c r="B120" t="s">
        <v>1834</v>
      </c>
      <c r="C120" t="str">
        <f>IF(Mgmt_Company_Name="","",UPPER(Mgmt_Company_Name))</f>
        <v/>
      </c>
      <c r="X120" s="181"/>
    </row>
    <row r="121" spans="1:24">
      <c r="B121" t="s">
        <v>1835</v>
      </c>
      <c r="C121" t="str">
        <f>CONCATENATE(Mgmt_Contact_First_Name," ", UPPER(Mgmt_Contact_Last_Name))</f>
        <v xml:space="preserve"> </v>
      </c>
      <c r="X121" s="181"/>
    </row>
    <row r="122" spans="1:24">
      <c r="B122" t="s">
        <v>1836</v>
      </c>
      <c r="C122" t="str">
        <f>IF(Consultant_Name="","",UPPER(Consultant_Name))</f>
        <v/>
      </c>
      <c r="X122" s="181"/>
    </row>
    <row r="123" spans="1:24">
      <c r="B123" t="s">
        <v>1835</v>
      </c>
      <c r="C123" t="str">
        <f>CONCATENATE(Consultant_Contact_First_Name," ",UPPER(Consultant_Contact_Last_Name))</f>
        <v xml:space="preserve"> </v>
      </c>
      <c r="X123" s="181"/>
    </row>
    <row r="124" spans="1:24">
      <c r="B124" t="s">
        <v>1837</v>
      </c>
      <c r="C124" t="str">
        <f>IF(Contractor_Name="","",UPPER(Contractor_Name))</f>
        <v/>
      </c>
      <c r="D124" t="str">
        <f>C124</f>
        <v/>
      </c>
      <c r="E124" t="str">
        <f>IF(GC_Telephone_Number="","",GC_Telephone_Number)</f>
        <v/>
      </c>
      <c r="X124" s="181"/>
    </row>
    <row r="125" spans="1:24">
      <c r="B125" t="s">
        <v>1835</v>
      </c>
      <c r="C125" t="str">
        <f>CONCATENATE(Contractor_Contact_First_Name," ",UPPER(Contractor_Contact_Last_Name))</f>
        <v xml:space="preserve"> </v>
      </c>
      <c r="D125" t="str">
        <f>C125</f>
        <v xml:space="preserve"> </v>
      </c>
      <c r="X125" s="181"/>
    </row>
    <row r="126" spans="1:24">
      <c r="B126" t="s">
        <v>1838</v>
      </c>
      <c r="C126" t="str">
        <f>IF(Syndicator="","",UPPER(Syndicator))</f>
        <v/>
      </c>
      <c r="X126" s="181"/>
    </row>
    <row r="127" spans="1:24">
      <c r="B127" t="s">
        <v>1839</v>
      </c>
      <c r="C127" t="str">
        <f>IF(Architect="","",UPPER(Architect))</f>
        <v/>
      </c>
      <c r="X127" s="181"/>
    </row>
    <row r="128" spans="1:24">
      <c r="B128" t="s">
        <v>1840</v>
      </c>
      <c r="C128" t="str">
        <f>CONCATENATE(Architect_Contact_First_Name," ",UPPER(Architect_Contact_Last_Name))</f>
        <v xml:space="preserve"> </v>
      </c>
      <c r="D128" t="str">
        <f>C128</f>
        <v xml:space="preserve"> </v>
      </c>
      <c r="X128" s="181"/>
    </row>
    <row r="129" spans="2:47">
      <c r="B129" t="s">
        <v>1841</v>
      </c>
      <c r="C129" t="str">
        <f>IF(Accountant="","",UPPER(Accountant))</f>
        <v/>
      </c>
      <c r="X129" s="181"/>
    </row>
    <row r="130" spans="2:47">
      <c r="B130" t="s">
        <v>1835</v>
      </c>
      <c r="C130" t="str">
        <f>CONCATENATE(Accountant_Contact_First_Name," ",UPPER(Accountant_Contact_Last_Name))</f>
        <v xml:space="preserve"> </v>
      </c>
      <c r="X130" s="181"/>
    </row>
    <row r="131" spans="2:47">
      <c r="X131" s="181"/>
    </row>
    <row r="132" spans="2:47">
      <c r="B132" t="s">
        <v>1842</v>
      </c>
      <c r="C132" s="41" t="s">
        <v>1833</v>
      </c>
      <c r="D132" t="s">
        <v>1843</v>
      </c>
      <c r="E132" t="s">
        <v>1844</v>
      </c>
      <c r="F132" t="s">
        <v>1845</v>
      </c>
      <c r="G132" s="41" t="s">
        <v>1846</v>
      </c>
      <c r="H132" s="41" t="s">
        <v>1847</v>
      </c>
      <c r="I132" t="s">
        <v>244</v>
      </c>
      <c r="J132" t="s">
        <v>532</v>
      </c>
      <c r="K132" t="s">
        <v>1848</v>
      </c>
      <c r="L132" t="s">
        <v>1849</v>
      </c>
      <c r="M132" t="s">
        <v>1843</v>
      </c>
      <c r="N132" t="s">
        <v>1844</v>
      </c>
      <c r="O132" t="s">
        <v>1850</v>
      </c>
      <c r="P132" t="s">
        <v>1851</v>
      </c>
      <c r="Q132" t="s">
        <v>1852</v>
      </c>
      <c r="R132" t="s">
        <v>1845</v>
      </c>
      <c r="S132" t="s">
        <v>525</v>
      </c>
      <c r="T132" t="s">
        <v>528</v>
      </c>
      <c r="U132" t="s">
        <v>244</v>
      </c>
      <c r="V132" t="s">
        <v>1588</v>
      </c>
      <c r="W132" t="s">
        <v>1848</v>
      </c>
      <c r="X132" s="181"/>
      <c r="Z132" t="s">
        <v>1842</v>
      </c>
      <c r="AA132" t="s">
        <v>1853</v>
      </c>
      <c r="AB132" t="s">
        <v>1843</v>
      </c>
      <c r="AC132" t="s">
        <v>1844</v>
      </c>
      <c r="AD132" t="s">
        <v>1854</v>
      </c>
      <c r="AE132" t="s">
        <v>1852</v>
      </c>
      <c r="AF132" t="s">
        <v>1845</v>
      </c>
      <c r="AG132" t="s">
        <v>525</v>
      </c>
      <c r="AH132" t="s">
        <v>528</v>
      </c>
      <c r="AI132" t="s">
        <v>244</v>
      </c>
      <c r="AJ132" t="s">
        <v>1588</v>
      </c>
      <c r="AK132" t="s">
        <v>1848</v>
      </c>
    </row>
    <row r="133" spans="2:47">
      <c r="B133" t="s">
        <v>1855</v>
      </c>
      <c r="C133" t="str">
        <f>UPPER(ProLink!F133)</f>
        <v/>
      </c>
      <c r="D133" s="52" t="str">
        <f t="shared" ref="D133:D137" si="1">IF(C133="","","Company")</f>
        <v/>
      </c>
      <c r="E133" s="52" t="str">
        <f>IF(C133="","","Developer")</f>
        <v/>
      </c>
      <c r="G133" t="str">
        <f>IF(DEV_Street_Address="","",UPPER(DEV_Street_Address))</f>
        <v/>
      </c>
      <c r="H133" t="str">
        <f>IF(Developer_City="","",UPPER(Developer_City))</f>
        <v/>
      </c>
      <c r="I133" t="str">
        <f>IF(Developer_State="","",Developer_State)</f>
        <v/>
      </c>
      <c r="J133" t="str">
        <f>IF(Developer_Zip_Code="","",Developer_Zip_Code)</f>
        <v/>
      </c>
      <c r="L133" t="str">
        <f>IF(AM133="", "", AM133)</f>
        <v/>
      </c>
      <c r="M133" s="49" t="str">
        <f>IF(AN133="", "", AN133)</f>
        <v/>
      </c>
      <c r="N133" s="49" t="str">
        <f>IF(AO133="", "", AO133)</f>
        <v/>
      </c>
      <c r="O133" t="str">
        <f t="shared" ref="O133:O162" si="2">IF(M133="Company",L133,"")</f>
        <v/>
      </c>
      <c r="P133" t="str">
        <f>IF(M133="Individual",LEFT(L133,SEARCH(" ",L133)-1),"")</f>
        <v/>
      </c>
      <c r="Q133" t="str">
        <f t="shared" ref="Q133:Q162" si="3">IF(M133="Individual",MID(L133,SEARCH(" ",L133)+1,LEN(M133)),"")</f>
        <v/>
      </c>
      <c r="R133" t="str">
        <f t="shared" ref="R133:W133" si="4">IF(AP133="", "", AP133)</f>
        <v/>
      </c>
      <c r="S133" t="str">
        <f t="shared" si="4"/>
        <v/>
      </c>
      <c r="T133" t="str">
        <f t="shared" si="4"/>
        <v/>
      </c>
      <c r="U133" t="str">
        <f t="shared" si="4"/>
        <v/>
      </c>
      <c r="V133" t="str">
        <f t="shared" si="4"/>
        <v/>
      </c>
      <c r="W133" t="str">
        <f t="shared" si="4"/>
        <v/>
      </c>
      <c r="X133" s="181"/>
      <c r="Z133" t="s">
        <v>1855</v>
      </c>
      <c r="AA133" t="str">
        <f t="shared" ref="AA133:AA162" si="5">IF($Z$2="","",O133)</f>
        <v/>
      </c>
      <c r="AB133" s="52" t="str">
        <f t="shared" ref="AB133:AB162" si="6">IF($Z$2="","",M133)</f>
        <v/>
      </c>
      <c r="AC133" s="52" t="str">
        <f t="shared" ref="AC133:AC162" si="7">IF($Z$2="","",N133)</f>
        <v/>
      </c>
      <c r="AD133" t="str">
        <f t="shared" ref="AD133:AD162" si="8">IF($Z$2="","",P133)</f>
        <v/>
      </c>
      <c r="AE133" t="str">
        <f t="shared" ref="AE133:AE162" si="9">IF($Z$2="","",Q133)</f>
        <v/>
      </c>
      <c r="AF133" t="str">
        <f t="shared" ref="AF133:AF162" si="10">IF($Z$2="","",R133)</f>
        <v/>
      </c>
      <c r="AG133" t="str">
        <f t="shared" ref="AG133:AG162" si="11">IF($Z$2="","",S133)</f>
        <v/>
      </c>
      <c r="AH133" t="str">
        <f t="shared" ref="AH133:AH162" si="12">IF($Z$2="","",T133)</f>
        <v/>
      </c>
      <c r="AI133" s="52" t="str">
        <f t="shared" ref="AI133:AI162" si="13">IF($Z$2="","",U133)</f>
        <v/>
      </c>
      <c r="AJ133" t="str">
        <f t="shared" ref="AJ133:AJ162" si="14">IF($Z$2="","",V133)</f>
        <v/>
      </c>
      <c r="AK133" t="str">
        <f t="shared" ref="AK133:AK162" si="15">IF($Z$2="","",W133)</f>
        <v/>
      </c>
      <c r="AL133">
        <f>IF(C133&amp;D133&amp;E133&amp;F133&amp;G133&amp;H133&amp;I133&amp;J133&amp;K133="", 0, ROW()-ROW($C$133)+1)</f>
        <v>0</v>
      </c>
      <c r="AM133" t="str" cm="1">
        <f t="array" ref="AM133">IFERROR(INDEX(C$133:C$162, SMALL(IF(AL$133:AL$162&gt;0, AL$133:AL$162), ROW(A1))), "")</f>
        <v/>
      </c>
      <c r="AN133" t="str" cm="1">
        <f t="array" ref="AN133">IF(AM133="", "", INDEX(D$133:D$162, SMALL(IF(AL$133:AL$162&gt;0, AL$133:AL$162), ROW(A1))))</f>
        <v/>
      </c>
      <c r="AO133" t="str" cm="1">
        <f t="array" ref="AO133">IF(AM133="", "", INDEX(E$133:E$162, SMALL(IF(AL$133:AL$162&gt;0, AL$133:AL$162), ROW(A1))))</f>
        <v/>
      </c>
      <c r="AP133" t="str" cm="1">
        <f t="array" ref="AP133">IF(AM133="", "", IF(INDEX(F$133:F$162, SMALL(IF(AL$133:AL$162&gt;0, AL$133:AL$162), ROW(A1)))="", "", INDEX(F$133:F$162, SMALL(IF(AL$133:AL$162&gt;0, AL$133:AL$162), ROW(A1)))))</f>
        <v/>
      </c>
      <c r="AQ133" t="str" cm="1">
        <f t="array" ref="AQ133">IF(AM133="", "", IF(INDEX(G$133:G$162, SMALL(IF(AL$133:AL$162&gt;0, AL$133:AL$162), ROW(A1)))="", "", INDEX(G$133:G$162, SMALL(IF(AL$133:AL$162&gt;0, AL$133:AL$162), ROW(A1)))))</f>
        <v/>
      </c>
      <c r="AR133" t="str" cm="1">
        <f t="array" ref="AR133">IF(AM133="", "", IF(INDEX(H$133:H$162, SMALL(IF(AL$133:AL$162&gt;0, AL$133:AL$162), ROW(A1)))="", "", INDEX(H$133:H$162, SMALL(IF(AL$133:AL$162&gt;0, AL$133:AL$162), ROW(A1)))))</f>
        <v/>
      </c>
      <c r="AS133" t="str" cm="1">
        <f t="array" ref="AS133">IF(AM133="", "", IF(INDEX(I$133:I$162, SMALL(IF(AL$133:AL$162&gt;0, AL$133:AL$162), ROW(A1)))="", "", INDEX(I$133:I$162, SMALL(IF(AL$133:AL$162&gt;0, AL$133:AL$162), ROW(A1)))))</f>
        <v/>
      </c>
      <c r="AT133" t="str" cm="1">
        <f t="array" ref="AT133">IF(AM133="", "", IF(INDEX(J$133:J$162, SMALL(IF(AL$133:AL$162&gt;0, AL$133:AL$162), ROW(A1)))="", "", INDEX(J$133:J$162, SMALL(IF(AL$133:AL$162&gt;0, AL$133:AL$162), ROW(A1)))))</f>
        <v/>
      </c>
      <c r="AU133" t="str" cm="1">
        <f t="array" ref="AU133">IF(AM133="", "", IF(INDEX(K$133:K$162, SMALL(IF(AL$133:AL$162&gt;0, AL$133:AL$162), ROW(A1)))="", "", INDEX(K$133:K$162, SMALL(IF(AL$133:AL$162&gt;0, AL$133:AL$162), ROW(A1)))))</f>
        <v/>
      </c>
    </row>
    <row r="134" spans="2:47">
      <c r="B134" t="s">
        <v>1856</v>
      </c>
      <c r="C134" t="str">
        <f>UPPER(C106)</f>
        <v/>
      </c>
      <c r="D134" s="52" t="str">
        <f t="shared" si="1"/>
        <v/>
      </c>
      <c r="E134" t="str">
        <f>IF(C134="","","Owner")</f>
        <v/>
      </c>
      <c r="G134" t="str">
        <f>IF(Owner_Address="","",UPPER(Owner_Address))</f>
        <v/>
      </c>
      <c r="H134" t="str">
        <f>IF(Owner_City="","",UPPER(Owner_City))</f>
        <v/>
      </c>
      <c r="I134" t="str">
        <f>IF(Owner_State="","",Owner_State)</f>
        <v/>
      </c>
      <c r="J134" t="str">
        <f>IF(Owner_Zip="","",Owner_Zip)</f>
        <v/>
      </c>
      <c r="L134" t="str">
        <f t="shared" ref="L134:L162" si="16">IF(AM134="", "", AM134)</f>
        <v/>
      </c>
      <c r="M134" s="49" t="str">
        <f t="shared" ref="M134:M162" si="17">IF(AN134="", "", AN134)</f>
        <v/>
      </c>
      <c r="N134" s="49" t="str">
        <f t="shared" ref="N134:N162" si="18">IF(AO134="", "", AO134)</f>
        <v/>
      </c>
      <c r="O134" t="str">
        <f t="shared" si="2"/>
        <v/>
      </c>
      <c r="P134" t="str">
        <f t="shared" ref="P134:P162" si="19">IF(M134="Individual",LEFT(L134,SEARCH(" ",L134)-1),"")</f>
        <v/>
      </c>
      <c r="Q134" t="str">
        <f t="shared" si="3"/>
        <v/>
      </c>
      <c r="R134" t="str">
        <f t="shared" ref="R134:R162" si="20">IF(AP134="", "", AP134)</f>
        <v/>
      </c>
      <c r="S134" t="str">
        <f t="shared" ref="S134:S162" si="21">IF(AQ134="", "", AQ134)</f>
        <v/>
      </c>
      <c r="T134" t="str">
        <f t="shared" ref="T134:T162" si="22">IF(AR134="", "", AR134)</f>
        <v/>
      </c>
      <c r="U134" t="str">
        <f t="shared" ref="U134:U162" si="23">IF(AS134="", "", AS134)</f>
        <v/>
      </c>
      <c r="V134" t="str">
        <f t="shared" ref="V134:V162" si="24">IF(AT134="", "", AT134)</f>
        <v/>
      </c>
      <c r="W134" t="str">
        <f t="shared" ref="W134:W162" si="25">IF(AU134="", "", AU134)</f>
        <v/>
      </c>
      <c r="X134" s="181"/>
      <c r="Z134" t="s">
        <v>1856</v>
      </c>
      <c r="AA134" t="str">
        <f t="shared" si="5"/>
        <v/>
      </c>
      <c r="AB134" s="52" t="str">
        <f t="shared" si="6"/>
        <v/>
      </c>
      <c r="AC134" s="52" t="str">
        <f t="shared" si="7"/>
        <v/>
      </c>
      <c r="AD134" t="str">
        <f t="shared" si="8"/>
        <v/>
      </c>
      <c r="AE134" t="str">
        <f t="shared" si="9"/>
        <v/>
      </c>
      <c r="AF134" t="str">
        <f t="shared" si="10"/>
        <v/>
      </c>
      <c r="AG134" t="str">
        <f t="shared" si="11"/>
        <v/>
      </c>
      <c r="AH134" t="str">
        <f t="shared" si="12"/>
        <v/>
      </c>
      <c r="AI134" s="52" t="str">
        <f t="shared" si="13"/>
        <v/>
      </c>
      <c r="AJ134" t="str">
        <f t="shared" si="14"/>
        <v/>
      </c>
      <c r="AK134" t="str">
        <f t="shared" si="15"/>
        <v/>
      </c>
      <c r="AL134">
        <f t="shared" ref="AL134:AL162" si="26">IF(C134&amp;D134&amp;E134&amp;F134&amp;G134&amp;H134&amp;I134&amp;J134&amp;K134="", 0, ROW()-ROW($C$133)+1)</f>
        <v>0</v>
      </c>
      <c r="AM134" t="str" cm="1">
        <f t="array" ref="AM134">IFERROR(INDEX(C$133:C$162, SMALL(IF(AL$133:AL$162&gt;0, AL$133:AL$162), ROW(A2))), "")</f>
        <v/>
      </c>
      <c r="AN134" t="str" cm="1">
        <f t="array" ref="AN134">IF(AM134="", "", INDEX(D$133:D$162, SMALL(IF(AL$133:AL$162&gt;0, AL$133:AL$162), ROW(A2))))</f>
        <v/>
      </c>
      <c r="AO134" t="str" cm="1">
        <f t="array" ref="AO134">IF(AM134="", "", INDEX(E$133:E$162, SMALL(IF(AL$133:AL$162&gt;0, AL$133:AL$162), ROW(A2))))</f>
        <v/>
      </c>
      <c r="AP134" t="str" cm="1">
        <f t="array" ref="AP134">IF(AM134="", "", IF(INDEX(F$133:F$162, SMALL(IF(AL$133:AL$162&gt;0, AL$133:AL$162), ROW(A2)))="", "", INDEX(F$133:F$162, SMALL(IF(AL$133:AL$162&gt;0, AL$133:AL$162), ROW(A2)))))</f>
        <v/>
      </c>
      <c r="AQ134" t="str" cm="1">
        <f t="array" ref="AQ134">IF(AM134="", "", IF(INDEX(G$133:G$162, SMALL(IF(AL$133:AL$162&gt;0, AL$133:AL$162), ROW(A2)))="", "", INDEX(G$133:G$162, SMALL(IF(AL$133:AL$162&gt;0, AL$133:AL$162), ROW(A2)))))</f>
        <v/>
      </c>
      <c r="AR134" t="str" cm="1">
        <f t="array" ref="AR134">IF(AM134="", "", IF(INDEX(H$133:H$162, SMALL(IF(AL$133:AL$162&gt;0, AL$133:AL$162), ROW(A2)))="", "", INDEX(H$133:H$162, SMALL(IF(AL$133:AL$162&gt;0, AL$133:AL$162), ROW(A2)))))</f>
        <v/>
      </c>
      <c r="AS134" t="str" cm="1">
        <f t="array" ref="AS134">IF(AM134="", "", IF(INDEX(I$133:I$162, SMALL(IF(AL$133:AL$162&gt;0, AL$133:AL$162), ROW(A2)))="", "", INDEX(I$133:I$162, SMALL(IF(AL$133:AL$162&gt;0, AL$133:AL$162), ROW(A2)))))</f>
        <v/>
      </c>
      <c r="AT134" t="str" cm="1">
        <f t="array" ref="AT134">IF(AM134="", "", IF(INDEX(J$133:J$162, SMALL(IF(AL$133:AL$162&gt;0, AL$133:AL$162), ROW(A2)))="", "", INDEX(J$133:J$162, SMALL(IF(AL$133:AL$162&gt;0, AL$133:AL$162), ROW(A2)))))</f>
        <v/>
      </c>
      <c r="AU134" t="str" cm="1">
        <f t="array" ref="AU134">IF(AM134="", "", IF(INDEX(K$133:K$162, SMALL(IF(AL$133:AL$162&gt;0, AL$133:AL$162), ROW(A2)))="", "", INDEX(K$133:K$162, SMALL(IF(AL$133:AL$162&gt;0, AL$133:AL$162), ROW(A2)))))</f>
        <v/>
      </c>
    </row>
    <row r="135" spans="2:47">
      <c r="B135" t="s">
        <v>1857</v>
      </c>
      <c r="C135" t="str">
        <f>IF(Entity_Principal_Name_1="","",UPPER(Entity_Principal_Name_1))</f>
        <v/>
      </c>
      <c r="D135" s="52" t="str">
        <f t="shared" si="1"/>
        <v/>
      </c>
      <c r="E135" t="str">
        <f>IF(C135="","","")</f>
        <v/>
      </c>
      <c r="L135" t="str">
        <f t="shared" si="16"/>
        <v/>
      </c>
      <c r="M135" s="49" t="str">
        <f t="shared" si="17"/>
        <v/>
      </c>
      <c r="N135" s="49" t="str">
        <f t="shared" si="18"/>
        <v/>
      </c>
      <c r="O135" t="str">
        <f t="shared" si="2"/>
        <v/>
      </c>
      <c r="P135" t="str">
        <f t="shared" si="19"/>
        <v/>
      </c>
      <c r="Q135" t="str">
        <f t="shared" si="3"/>
        <v/>
      </c>
      <c r="R135" t="str">
        <f t="shared" si="20"/>
        <v/>
      </c>
      <c r="S135" t="str">
        <f t="shared" si="21"/>
        <v/>
      </c>
      <c r="T135" t="str">
        <f t="shared" si="22"/>
        <v/>
      </c>
      <c r="U135" t="str">
        <f t="shared" si="23"/>
        <v/>
      </c>
      <c r="V135" t="str">
        <f t="shared" si="24"/>
        <v/>
      </c>
      <c r="W135" t="str">
        <f t="shared" si="25"/>
        <v/>
      </c>
      <c r="X135" s="181"/>
      <c r="Z135" t="s">
        <v>1857</v>
      </c>
      <c r="AA135" t="str">
        <f t="shared" si="5"/>
        <v/>
      </c>
      <c r="AB135" s="52" t="str">
        <f t="shared" si="6"/>
        <v/>
      </c>
      <c r="AC135" s="52" t="str">
        <f t="shared" si="7"/>
        <v/>
      </c>
      <c r="AD135" t="str">
        <f t="shared" si="8"/>
        <v/>
      </c>
      <c r="AE135" t="str">
        <f t="shared" si="9"/>
        <v/>
      </c>
      <c r="AF135" t="str">
        <f t="shared" si="10"/>
        <v/>
      </c>
      <c r="AG135" t="str">
        <f t="shared" si="11"/>
        <v/>
      </c>
      <c r="AH135" t="str">
        <f t="shared" si="12"/>
        <v/>
      </c>
      <c r="AI135" s="52" t="str">
        <f t="shared" si="13"/>
        <v/>
      </c>
      <c r="AJ135" t="str">
        <f t="shared" si="14"/>
        <v/>
      </c>
      <c r="AK135" t="str">
        <f t="shared" si="15"/>
        <v/>
      </c>
      <c r="AL135">
        <f t="shared" si="26"/>
        <v>0</v>
      </c>
      <c r="AM135" t="str" cm="1">
        <f t="array" ref="AM135">IFERROR(INDEX(C$133:C$162, SMALL(IF(AL$133:AL$162&gt;0, AL$133:AL$162), ROW(A3))), "")</f>
        <v/>
      </c>
      <c r="AN135" t="str" cm="1">
        <f t="array" ref="AN135">IF(AM135="", "", INDEX(D$133:D$162, SMALL(IF(AL$133:AL$162&gt;0, AL$133:AL$162), ROW(A3))))</f>
        <v/>
      </c>
      <c r="AO135" t="str" cm="1">
        <f t="array" ref="AO135">IF(AM135="", "", INDEX(E$133:E$162, SMALL(IF(AL$133:AL$162&gt;0, AL$133:AL$162), ROW(A3))))</f>
        <v/>
      </c>
      <c r="AP135" t="str" cm="1">
        <f t="array" ref="AP135">IF(AM135="", "", IF(INDEX(F$133:F$162, SMALL(IF(AL$133:AL$162&gt;0, AL$133:AL$162), ROW(A3)))="", "", INDEX(F$133:F$162, SMALL(IF(AL$133:AL$162&gt;0, AL$133:AL$162), ROW(A3)))))</f>
        <v/>
      </c>
      <c r="AQ135" t="str" cm="1">
        <f t="array" ref="AQ135">IF(AM135="", "", IF(INDEX(G$133:G$162, SMALL(IF(AL$133:AL$162&gt;0, AL$133:AL$162), ROW(A3)))="", "", INDEX(G$133:G$162, SMALL(IF(AL$133:AL$162&gt;0, AL$133:AL$162), ROW(A3)))))</f>
        <v/>
      </c>
      <c r="AR135" t="str" cm="1">
        <f t="array" ref="AR135">IF(AM135="", "", IF(INDEX(H$133:H$162, SMALL(IF(AL$133:AL$162&gt;0, AL$133:AL$162), ROW(A3)))="", "", INDEX(H$133:H$162, SMALL(IF(AL$133:AL$162&gt;0, AL$133:AL$162), ROW(A3)))))</f>
        <v/>
      </c>
      <c r="AS135" t="str" cm="1">
        <f t="array" ref="AS135">IF(AM135="", "", IF(INDEX(I$133:I$162, SMALL(IF(AL$133:AL$162&gt;0, AL$133:AL$162), ROW(A3)))="", "", INDEX(I$133:I$162, SMALL(IF(AL$133:AL$162&gt;0, AL$133:AL$162), ROW(A3)))))</f>
        <v/>
      </c>
      <c r="AT135" t="str" cm="1">
        <f t="array" ref="AT135">IF(AM135="", "", IF(INDEX(J$133:J$162, SMALL(IF(AL$133:AL$162&gt;0, AL$133:AL$162), ROW(A3)))="", "", INDEX(J$133:J$162, SMALL(IF(AL$133:AL$162&gt;0, AL$133:AL$162), ROW(A3)))))</f>
        <v/>
      </c>
      <c r="AU135" t="str" cm="1">
        <f t="array" ref="AU135">IF(AM135="", "", IF(INDEX(K$133:K$162, SMALL(IF(AL$133:AL$162&gt;0, AL$133:AL$162), ROW(A3)))="", "", INDEX(K$133:K$162, SMALL(IF(AL$133:AL$162&gt;0, AL$133:AL$162), ROW(A3)))))</f>
        <v/>
      </c>
    </row>
    <row r="136" spans="2:47">
      <c r="B136" t="s">
        <v>1858</v>
      </c>
      <c r="C136" t="str">
        <f>IF(Entity_Principal_Name_2="","",UPPER(Entity_Principal_Name_2))</f>
        <v/>
      </c>
      <c r="D136" s="52" t="str">
        <f t="shared" si="1"/>
        <v/>
      </c>
      <c r="E136" t="str">
        <f>IF(C136="","","")</f>
        <v/>
      </c>
      <c r="L136" t="str">
        <f t="shared" si="16"/>
        <v/>
      </c>
      <c r="M136" s="49" t="str">
        <f t="shared" si="17"/>
        <v/>
      </c>
      <c r="N136" s="49" t="str">
        <f t="shared" si="18"/>
        <v/>
      </c>
      <c r="O136" t="str">
        <f t="shared" si="2"/>
        <v/>
      </c>
      <c r="P136" t="str">
        <f t="shared" si="19"/>
        <v/>
      </c>
      <c r="Q136" t="str">
        <f t="shared" si="3"/>
        <v/>
      </c>
      <c r="R136" t="str">
        <f t="shared" si="20"/>
        <v/>
      </c>
      <c r="S136" t="str">
        <f t="shared" si="21"/>
        <v/>
      </c>
      <c r="T136" t="str">
        <f t="shared" si="22"/>
        <v/>
      </c>
      <c r="U136" t="str">
        <f t="shared" si="23"/>
        <v/>
      </c>
      <c r="V136" t="str">
        <f t="shared" si="24"/>
        <v/>
      </c>
      <c r="W136" t="str">
        <f t="shared" si="25"/>
        <v/>
      </c>
      <c r="X136" s="181"/>
      <c r="Z136" t="s">
        <v>1858</v>
      </c>
      <c r="AA136" t="str">
        <f t="shared" si="5"/>
        <v/>
      </c>
      <c r="AB136" s="52" t="str">
        <f t="shared" si="6"/>
        <v/>
      </c>
      <c r="AC136" s="52" t="str">
        <f t="shared" si="7"/>
        <v/>
      </c>
      <c r="AD136" t="str">
        <f t="shared" si="8"/>
        <v/>
      </c>
      <c r="AE136" t="str">
        <f t="shared" si="9"/>
        <v/>
      </c>
      <c r="AF136" t="str">
        <f t="shared" si="10"/>
        <v/>
      </c>
      <c r="AG136" t="str">
        <f t="shared" si="11"/>
        <v/>
      </c>
      <c r="AH136" t="str">
        <f t="shared" si="12"/>
        <v/>
      </c>
      <c r="AI136" s="52" t="str">
        <f t="shared" si="13"/>
        <v/>
      </c>
      <c r="AJ136" t="str">
        <f t="shared" si="14"/>
        <v/>
      </c>
      <c r="AK136" t="str">
        <f t="shared" si="15"/>
        <v/>
      </c>
      <c r="AL136">
        <f t="shared" si="26"/>
        <v>0</v>
      </c>
      <c r="AM136" t="str" cm="1">
        <f t="array" ref="AM136">IFERROR(INDEX(C$133:C$162, SMALL(IF(AL$133:AL$162&gt;0, AL$133:AL$162), ROW(A4))), "")</f>
        <v/>
      </c>
      <c r="AN136" t="str" cm="1">
        <f t="array" ref="AN136">IF(AM136="", "", INDEX(D$133:D$162, SMALL(IF(AL$133:AL$162&gt;0, AL$133:AL$162), ROW(A4))))</f>
        <v/>
      </c>
      <c r="AO136" t="str" cm="1">
        <f t="array" ref="AO136">IF(AM136="", "", INDEX(E$133:E$162, SMALL(IF(AL$133:AL$162&gt;0, AL$133:AL$162), ROW(A4))))</f>
        <v/>
      </c>
      <c r="AP136" t="str" cm="1">
        <f t="array" ref="AP136">IF(AM136="", "", IF(INDEX(F$133:F$162, SMALL(IF(AL$133:AL$162&gt;0, AL$133:AL$162), ROW(A4)))="", "", INDEX(F$133:F$162, SMALL(IF(AL$133:AL$162&gt;0, AL$133:AL$162), ROW(A4)))))</f>
        <v/>
      </c>
      <c r="AQ136" t="str" cm="1">
        <f t="array" ref="AQ136">IF(AM136="", "", IF(INDEX(G$133:G$162, SMALL(IF(AL$133:AL$162&gt;0, AL$133:AL$162), ROW(A4)))="", "", INDEX(G$133:G$162, SMALL(IF(AL$133:AL$162&gt;0, AL$133:AL$162), ROW(A4)))))</f>
        <v/>
      </c>
      <c r="AR136" t="str" cm="1">
        <f t="array" ref="AR136">IF(AM136="", "", IF(INDEX(H$133:H$162, SMALL(IF(AL$133:AL$162&gt;0, AL$133:AL$162), ROW(A4)))="", "", INDEX(H$133:H$162, SMALL(IF(AL$133:AL$162&gt;0, AL$133:AL$162), ROW(A4)))))</f>
        <v/>
      </c>
      <c r="AS136" t="str" cm="1">
        <f t="array" ref="AS136">IF(AM136="", "", IF(INDEX(I$133:I$162, SMALL(IF(AL$133:AL$162&gt;0, AL$133:AL$162), ROW(A4)))="", "", INDEX(I$133:I$162, SMALL(IF(AL$133:AL$162&gt;0, AL$133:AL$162), ROW(A4)))))</f>
        <v/>
      </c>
      <c r="AT136" t="str" cm="1">
        <f t="array" ref="AT136">IF(AM136="", "", IF(INDEX(J$133:J$162, SMALL(IF(AL$133:AL$162&gt;0, AL$133:AL$162), ROW(A4)))="", "", INDEX(J$133:J$162, SMALL(IF(AL$133:AL$162&gt;0, AL$133:AL$162), ROW(A4)))))</f>
        <v/>
      </c>
      <c r="AU136" t="str" cm="1">
        <f t="array" ref="AU136">IF(AM136="", "", IF(INDEX(K$133:K$162, SMALL(IF(AL$133:AL$162&gt;0, AL$133:AL$162), ROW(A4)))="", "", INDEX(K$133:K$162, SMALL(IF(AL$133:AL$162&gt;0, AL$133:AL$162), ROW(A4)))))</f>
        <v/>
      </c>
    </row>
    <row r="137" spans="2:47">
      <c r="B137" t="s">
        <v>1859</v>
      </c>
      <c r="C137" t="str">
        <f>IF(Entity_Principal_Name_3="","",UPPER(Entity_Principal_Name_3))</f>
        <v/>
      </c>
      <c r="D137" s="52" t="str">
        <f t="shared" si="1"/>
        <v/>
      </c>
      <c r="E137" t="str">
        <f>IF(C137="","","")</f>
        <v/>
      </c>
      <c r="L137" t="str">
        <f t="shared" si="16"/>
        <v/>
      </c>
      <c r="M137" s="49" t="str">
        <f t="shared" si="17"/>
        <v/>
      </c>
      <c r="N137" s="49" t="str">
        <f t="shared" si="18"/>
        <v/>
      </c>
      <c r="O137" t="str">
        <f t="shared" si="2"/>
        <v/>
      </c>
      <c r="P137" t="str">
        <f t="shared" si="19"/>
        <v/>
      </c>
      <c r="Q137" t="str">
        <f t="shared" si="3"/>
        <v/>
      </c>
      <c r="R137" t="str">
        <f t="shared" si="20"/>
        <v/>
      </c>
      <c r="S137" t="str">
        <f t="shared" si="21"/>
        <v/>
      </c>
      <c r="T137" t="str">
        <f t="shared" si="22"/>
        <v/>
      </c>
      <c r="U137" t="str">
        <f t="shared" si="23"/>
        <v/>
      </c>
      <c r="V137" t="str">
        <f t="shared" si="24"/>
        <v/>
      </c>
      <c r="W137" t="str">
        <f t="shared" si="25"/>
        <v/>
      </c>
      <c r="X137" s="181"/>
      <c r="Z137" t="s">
        <v>1859</v>
      </c>
      <c r="AA137" t="str">
        <f t="shared" si="5"/>
        <v/>
      </c>
      <c r="AB137" s="52" t="str">
        <f t="shared" si="6"/>
        <v/>
      </c>
      <c r="AC137" s="52" t="str">
        <f t="shared" si="7"/>
        <v/>
      </c>
      <c r="AD137" t="str">
        <f t="shared" si="8"/>
        <v/>
      </c>
      <c r="AE137" t="str">
        <f t="shared" si="9"/>
        <v/>
      </c>
      <c r="AF137" t="str">
        <f t="shared" si="10"/>
        <v/>
      </c>
      <c r="AG137" t="str">
        <f t="shared" si="11"/>
        <v/>
      </c>
      <c r="AH137" t="str">
        <f t="shared" si="12"/>
        <v/>
      </c>
      <c r="AI137" s="52" t="str">
        <f t="shared" si="13"/>
        <v/>
      </c>
      <c r="AJ137" t="str">
        <f t="shared" si="14"/>
        <v/>
      </c>
      <c r="AK137" t="str">
        <f t="shared" si="15"/>
        <v/>
      </c>
      <c r="AL137">
        <f t="shared" si="26"/>
        <v>0</v>
      </c>
      <c r="AM137" t="str" cm="1">
        <f t="array" ref="AM137">IFERROR(INDEX(C$133:C$162, SMALL(IF(AL$133:AL$162&gt;0, AL$133:AL$162), ROW(A5))), "")</f>
        <v/>
      </c>
      <c r="AN137" t="str" cm="1">
        <f t="array" ref="AN137">IF(AM137="", "", INDEX(D$133:D$162, SMALL(IF(AL$133:AL$162&gt;0, AL$133:AL$162), ROW(A5))))</f>
        <v/>
      </c>
      <c r="AO137" t="str" cm="1">
        <f t="array" ref="AO137">IF(AM137="", "", INDEX(E$133:E$162, SMALL(IF(AL$133:AL$162&gt;0, AL$133:AL$162), ROW(A5))))</f>
        <v/>
      </c>
      <c r="AP137" t="str" cm="1">
        <f t="array" ref="AP137">IF(AM137="", "", IF(INDEX(F$133:F$162, SMALL(IF(AL$133:AL$162&gt;0, AL$133:AL$162), ROW(A5)))="", "", INDEX(F$133:F$162, SMALL(IF(AL$133:AL$162&gt;0, AL$133:AL$162), ROW(A5)))))</f>
        <v/>
      </c>
      <c r="AQ137" t="str" cm="1">
        <f t="array" ref="AQ137">IF(AM137="", "", IF(INDEX(G$133:G$162, SMALL(IF(AL$133:AL$162&gt;0, AL$133:AL$162), ROW(A5)))="", "", INDEX(G$133:G$162, SMALL(IF(AL$133:AL$162&gt;0, AL$133:AL$162), ROW(A5)))))</f>
        <v/>
      </c>
      <c r="AR137" t="str" cm="1">
        <f t="array" ref="AR137">IF(AM137="", "", IF(INDEX(H$133:H$162, SMALL(IF(AL$133:AL$162&gt;0, AL$133:AL$162), ROW(A5)))="", "", INDEX(H$133:H$162, SMALL(IF(AL$133:AL$162&gt;0, AL$133:AL$162), ROW(A5)))))</f>
        <v/>
      </c>
      <c r="AS137" t="str" cm="1">
        <f t="array" ref="AS137">IF(AM137="", "", IF(INDEX(I$133:I$162, SMALL(IF(AL$133:AL$162&gt;0, AL$133:AL$162), ROW(A5)))="", "", INDEX(I$133:I$162, SMALL(IF(AL$133:AL$162&gt;0, AL$133:AL$162), ROW(A5)))))</f>
        <v/>
      </c>
      <c r="AT137" t="str" cm="1">
        <f t="array" ref="AT137">IF(AM137="", "", IF(INDEX(J$133:J$162, SMALL(IF(AL$133:AL$162&gt;0, AL$133:AL$162), ROW(A5)))="", "", INDEX(J$133:J$162, SMALL(IF(AL$133:AL$162&gt;0, AL$133:AL$162), ROW(A5)))))</f>
        <v/>
      </c>
      <c r="AU137" t="str" cm="1">
        <f t="array" ref="AU137">IF(AM137="", "", IF(INDEX(K$133:K$162, SMALL(IF(AL$133:AL$162&gt;0, AL$133:AL$162), ROW(A5)))="", "", INDEX(K$133:K$162, SMALL(IF(AL$133:AL$162&gt;0, AL$133:AL$162), ROW(A5)))))</f>
        <v/>
      </c>
    </row>
    <row r="138" spans="2:47">
      <c r="B138" t="s">
        <v>1860</v>
      </c>
      <c r="C138" s="52" t="str">
        <f>UPPER(C120)</f>
        <v/>
      </c>
      <c r="D138" s="52" t="str">
        <f t="shared" ref="D138:D148" si="27">IF(C138="","","Company")</f>
        <v/>
      </c>
      <c r="E138" s="52" t="str">
        <f>IF(C138="","","Management Agent")</f>
        <v/>
      </c>
      <c r="F138" t="str">
        <f>IF(MA_Email_Address="","",MA_Email_Address)</f>
        <v/>
      </c>
      <c r="G138" t="str">
        <f>IF(MA_Street_Address="","",UPPER(MA_Street_Address))</f>
        <v/>
      </c>
      <c r="H138" t="str">
        <f>IF(MA_City="","",UPPER(MA_City))</f>
        <v/>
      </c>
      <c r="I138" t="str">
        <f>IF(MA_State="","",MA_State)</f>
        <v/>
      </c>
      <c r="J138" t="str">
        <f>IF(MA_Zipcode="","",MA_Zipcode)</f>
        <v/>
      </c>
      <c r="K138" t="str">
        <f>IF(MA_Telephone_Number="","",MA_Telephone_Number)</f>
        <v/>
      </c>
      <c r="L138" t="str">
        <f t="shared" si="16"/>
        <v/>
      </c>
      <c r="M138" s="49" t="str">
        <f t="shared" si="17"/>
        <v/>
      </c>
      <c r="N138" s="49" t="str">
        <f t="shared" si="18"/>
        <v/>
      </c>
      <c r="O138" t="str">
        <f t="shared" si="2"/>
        <v/>
      </c>
      <c r="P138" t="str">
        <f t="shared" si="19"/>
        <v/>
      </c>
      <c r="Q138" t="str">
        <f t="shared" si="3"/>
        <v/>
      </c>
      <c r="R138" t="str">
        <f t="shared" si="20"/>
        <v/>
      </c>
      <c r="S138" t="str">
        <f t="shared" si="21"/>
        <v/>
      </c>
      <c r="T138" t="str">
        <f t="shared" si="22"/>
        <v/>
      </c>
      <c r="U138" t="str">
        <f t="shared" si="23"/>
        <v/>
      </c>
      <c r="V138" t="str">
        <f t="shared" si="24"/>
        <v/>
      </c>
      <c r="W138" t="str">
        <f t="shared" si="25"/>
        <v/>
      </c>
      <c r="X138" s="181"/>
      <c r="Z138" t="s">
        <v>1860</v>
      </c>
      <c r="AA138" t="str">
        <f t="shared" si="5"/>
        <v/>
      </c>
      <c r="AB138" s="52" t="str">
        <f t="shared" si="6"/>
        <v/>
      </c>
      <c r="AC138" s="52" t="str">
        <f t="shared" si="7"/>
        <v/>
      </c>
      <c r="AD138" t="str">
        <f t="shared" si="8"/>
        <v/>
      </c>
      <c r="AE138" t="str">
        <f t="shared" si="9"/>
        <v/>
      </c>
      <c r="AF138" t="str">
        <f t="shared" si="10"/>
        <v/>
      </c>
      <c r="AG138" t="str">
        <f t="shared" si="11"/>
        <v/>
      </c>
      <c r="AH138" t="str">
        <f t="shared" si="12"/>
        <v/>
      </c>
      <c r="AI138" s="52" t="str">
        <f t="shared" si="13"/>
        <v/>
      </c>
      <c r="AJ138" t="str">
        <f t="shared" si="14"/>
        <v/>
      </c>
      <c r="AK138" t="str">
        <f t="shared" si="15"/>
        <v/>
      </c>
      <c r="AL138">
        <f t="shared" si="26"/>
        <v>0</v>
      </c>
      <c r="AM138" t="str" cm="1">
        <f t="array" ref="AM138">IFERROR(INDEX(C$133:C$162, SMALL(IF(AL$133:AL$162&gt;0, AL$133:AL$162), ROW(A6))), "")</f>
        <v/>
      </c>
      <c r="AN138" t="str" cm="1">
        <f t="array" ref="AN138">IF(AM138="", "", INDEX(D$133:D$162, SMALL(IF(AL$133:AL$162&gt;0, AL$133:AL$162), ROW(A6))))</f>
        <v/>
      </c>
      <c r="AO138" t="str" cm="1">
        <f t="array" ref="AO138">IF(AM138="", "", INDEX(E$133:E$162, SMALL(IF(AL$133:AL$162&gt;0, AL$133:AL$162), ROW(A6))))</f>
        <v/>
      </c>
      <c r="AP138" t="str" cm="1">
        <f t="array" ref="AP138">IF(AM138="", "", IF(INDEX(F$133:F$162, SMALL(IF(AL$133:AL$162&gt;0, AL$133:AL$162), ROW(A6)))="", "", INDEX(F$133:F$162, SMALL(IF(AL$133:AL$162&gt;0, AL$133:AL$162), ROW(A6)))))</f>
        <v/>
      </c>
      <c r="AQ138" t="str" cm="1">
        <f t="array" ref="AQ138">IF(AM138="", "", IF(INDEX(G$133:G$162, SMALL(IF(AL$133:AL$162&gt;0, AL$133:AL$162), ROW(A6)))="", "", INDEX(G$133:G$162, SMALL(IF(AL$133:AL$162&gt;0, AL$133:AL$162), ROW(A6)))))</f>
        <v/>
      </c>
      <c r="AR138" t="str" cm="1">
        <f t="array" ref="AR138">IF(AM138="", "", IF(INDEX(H$133:H$162, SMALL(IF(AL$133:AL$162&gt;0, AL$133:AL$162), ROW(A6)))="", "", INDEX(H$133:H$162, SMALL(IF(AL$133:AL$162&gt;0, AL$133:AL$162), ROW(A6)))))</f>
        <v/>
      </c>
      <c r="AS138" t="str" cm="1">
        <f t="array" ref="AS138">IF(AM138="", "", IF(INDEX(I$133:I$162, SMALL(IF(AL$133:AL$162&gt;0, AL$133:AL$162), ROW(A6)))="", "", INDEX(I$133:I$162, SMALL(IF(AL$133:AL$162&gt;0, AL$133:AL$162), ROW(A6)))))</f>
        <v/>
      </c>
      <c r="AT138" t="str" cm="1">
        <f t="array" ref="AT138">IF(AM138="", "", IF(INDEX(J$133:J$162, SMALL(IF(AL$133:AL$162&gt;0, AL$133:AL$162), ROW(A6)))="", "", INDEX(J$133:J$162, SMALL(IF(AL$133:AL$162&gt;0, AL$133:AL$162), ROW(A6)))))</f>
        <v/>
      </c>
      <c r="AU138" t="str" cm="1">
        <f t="array" ref="AU138">IF(AM138="", "", IF(INDEX(K$133:K$162, SMALL(IF(AL$133:AL$162&gt;0, AL$133:AL$162), ROW(A6)))="", "", INDEX(K$133:K$162, SMALL(IF(AL$133:AL$162&gt;0, AL$133:AL$162), ROW(A6)))))</f>
        <v/>
      </c>
    </row>
    <row r="139" spans="2:47">
      <c r="B139" t="s">
        <v>1861</v>
      </c>
      <c r="C139" s="52" t="str">
        <f>UPPER(C122)</f>
        <v/>
      </c>
      <c r="D139" s="52" t="str">
        <f t="shared" si="27"/>
        <v/>
      </c>
      <c r="E139" t="str">
        <f>IF(C139="","","Consultant/Application Preparer")</f>
        <v/>
      </c>
      <c r="F139" t="str">
        <f>IF(Consultant_Email_Address="","",Consultant_Email_Address)</f>
        <v/>
      </c>
      <c r="G139" t="str">
        <f>IF(Consultant_Street_Address="","",UPPER(Consultant_Street_Address))</f>
        <v/>
      </c>
      <c r="H139" t="str">
        <f>IF(Consultant_City="","",UPPER(Consultant_City))</f>
        <v/>
      </c>
      <c r="I139" t="str">
        <f>IF(Consultant_State="","",Consultant_State)</f>
        <v/>
      </c>
      <c r="J139" t="str">
        <f>IF(Consultant_Zipcode="","",Consultant_Zipcode)</f>
        <v/>
      </c>
      <c r="K139" t="str">
        <f>IF(Consultant_Telephone_Number="","",Consultant_Telephone_Number)</f>
        <v/>
      </c>
      <c r="L139" t="str">
        <f t="shared" si="16"/>
        <v/>
      </c>
      <c r="M139" s="49" t="str">
        <f t="shared" si="17"/>
        <v/>
      </c>
      <c r="N139" s="49" t="str">
        <f t="shared" si="18"/>
        <v/>
      </c>
      <c r="O139" t="str">
        <f t="shared" si="2"/>
        <v/>
      </c>
      <c r="P139" t="str">
        <f t="shared" si="19"/>
        <v/>
      </c>
      <c r="Q139" t="str">
        <f t="shared" si="3"/>
        <v/>
      </c>
      <c r="R139" t="str">
        <f t="shared" si="20"/>
        <v/>
      </c>
      <c r="S139" t="str">
        <f t="shared" si="21"/>
        <v/>
      </c>
      <c r="T139" t="str">
        <f t="shared" si="22"/>
        <v/>
      </c>
      <c r="U139" t="str">
        <f t="shared" si="23"/>
        <v/>
      </c>
      <c r="V139" t="str">
        <f t="shared" si="24"/>
        <v/>
      </c>
      <c r="W139" t="str">
        <f t="shared" si="25"/>
        <v/>
      </c>
      <c r="X139" s="181"/>
      <c r="Z139" t="s">
        <v>1861</v>
      </c>
      <c r="AA139" t="str">
        <f t="shared" si="5"/>
        <v/>
      </c>
      <c r="AB139" s="52" t="str">
        <f t="shared" si="6"/>
        <v/>
      </c>
      <c r="AC139" s="52" t="str">
        <f t="shared" si="7"/>
        <v/>
      </c>
      <c r="AD139" t="str">
        <f t="shared" si="8"/>
        <v/>
      </c>
      <c r="AE139" t="str">
        <f t="shared" si="9"/>
        <v/>
      </c>
      <c r="AF139" t="str">
        <f t="shared" si="10"/>
        <v/>
      </c>
      <c r="AG139" t="str">
        <f t="shared" si="11"/>
        <v/>
      </c>
      <c r="AH139" t="str">
        <f t="shared" si="12"/>
        <v/>
      </c>
      <c r="AI139" s="52" t="str">
        <f t="shared" si="13"/>
        <v/>
      </c>
      <c r="AJ139" t="str">
        <f t="shared" si="14"/>
        <v/>
      </c>
      <c r="AK139" t="str">
        <f t="shared" si="15"/>
        <v/>
      </c>
      <c r="AL139">
        <f t="shared" si="26"/>
        <v>0</v>
      </c>
      <c r="AM139" t="str" cm="1">
        <f t="array" ref="AM139">IFERROR(INDEX(C$133:C$162, SMALL(IF(AL$133:AL$162&gt;0, AL$133:AL$162), ROW(A7))), "")</f>
        <v/>
      </c>
      <c r="AN139" t="str" cm="1">
        <f t="array" ref="AN139">IF(AM139="", "", INDEX(D$133:D$162, SMALL(IF(AL$133:AL$162&gt;0, AL$133:AL$162), ROW(A7))))</f>
        <v/>
      </c>
      <c r="AO139" t="str" cm="1">
        <f t="array" ref="AO139">IF(AM139="", "", INDEX(E$133:E$162, SMALL(IF(AL$133:AL$162&gt;0, AL$133:AL$162), ROW(A7))))</f>
        <v/>
      </c>
      <c r="AP139" t="str" cm="1">
        <f t="array" ref="AP139">IF(AM139="", "", IF(INDEX(F$133:F$162, SMALL(IF(AL$133:AL$162&gt;0, AL$133:AL$162), ROW(A7)))="", "", INDEX(F$133:F$162, SMALL(IF(AL$133:AL$162&gt;0, AL$133:AL$162), ROW(A7)))))</f>
        <v/>
      </c>
      <c r="AQ139" t="str" cm="1">
        <f t="array" ref="AQ139">IF(AM139="", "", IF(INDEX(G$133:G$162, SMALL(IF(AL$133:AL$162&gt;0, AL$133:AL$162), ROW(A7)))="", "", INDEX(G$133:G$162, SMALL(IF(AL$133:AL$162&gt;0, AL$133:AL$162), ROW(A7)))))</f>
        <v/>
      </c>
      <c r="AR139" t="str" cm="1">
        <f t="array" ref="AR139">IF(AM139="", "", IF(INDEX(H$133:H$162, SMALL(IF(AL$133:AL$162&gt;0, AL$133:AL$162), ROW(A7)))="", "", INDEX(H$133:H$162, SMALL(IF(AL$133:AL$162&gt;0, AL$133:AL$162), ROW(A7)))))</f>
        <v/>
      </c>
      <c r="AS139" t="str" cm="1">
        <f t="array" ref="AS139">IF(AM139="", "", IF(INDEX(I$133:I$162, SMALL(IF(AL$133:AL$162&gt;0, AL$133:AL$162), ROW(A7)))="", "", INDEX(I$133:I$162, SMALL(IF(AL$133:AL$162&gt;0, AL$133:AL$162), ROW(A7)))))</f>
        <v/>
      </c>
      <c r="AT139" t="str" cm="1">
        <f t="array" ref="AT139">IF(AM139="", "", IF(INDEX(J$133:J$162, SMALL(IF(AL$133:AL$162&gt;0, AL$133:AL$162), ROW(A7)))="", "", INDEX(J$133:J$162, SMALL(IF(AL$133:AL$162&gt;0, AL$133:AL$162), ROW(A7)))))</f>
        <v/>
      </c>
      <c r="AU139" t="str" cm="1">
        <f t="array" ref="AU139">IF(AM139="", "", IF(INDEX(K$133:K$162, SMALL(IF(AL$133:AL$162&gt;0, AL$133:AL$162), ROW(A7)))="", "", INDEX(K$133:K$162, SMALL(IF(AL$133:AL$162&gt;0, AL$133:AL$162), ROW(A7)))))</f>
        <v/>
      </c>
    </row>
    <row r="140" spans="2:47">
      <c r="B140" t="s">
        <v>1862</v>
      </c>
      <c r="C140" s="52" t="str">
        <f>UPPER(C124)</f>
        <v/>
      </c>
      <c r="D140" s="52" t="str">
        <f t="shared" si="27"/>
        <v/>
      </c>
      <c r="E140" s="52" t="str">
        <f>IF(C140="","","General Contractor")</f>
        <v/>
      </c>
      <c r="F140" t="str">
        <f>IF(Contractor_Email_Address="","",Contractor_Email_Address)</f>
        <v/>
      </c>
      <c r="G140" t="str">
        <f>IF(Contractor_Street_Address="","",UPPER(Contractor_Street_Address))</f>
        <v/>
      </c>
      <c r="H140" t="str">
        <f>IF(Contractor_City="","",UPPER(Contractor_City))</f>
        <v/>
      </c>
      <c r="I140" t="str">
        <f>IF(Contractor_State="","",Contractor_State)</f>
        <v/>
      </c>
      <c r="J140" t="str">
        <f>IF(Contractor_Zipcode="","",Contractor_Zipcode)</f>
        <v/>
      </c>
      <c r="K140" t="str">
        <f>IF(Contractor_Telephone_Number="","",Contractor_Telephone_Number)</f>
        <v/>
      </c>
      <c r="L140" t="str">
        <f t="shared" si="16"/>
        <v/>
      </c>
      <c r="M140" s="49" t="str">
        <f t="shared" si="17"/>
        <v/>
      </c>
      <c r="N140" s="49" t="str">
        <f t="shared" si="18"/>
        <v/>
      </c>
      <c r="O140" t="str">
        <f t="shared" si="2"/>
        <v/>
      </c>
      <c r="P140" t="str">
        <f t="shared" si="19"/>
        <v/>
      </c>
      <c r="Q140" t="str">
        <f t="shared" si="3"/>
        <v/>
      </c>
      <c r="R140" t="str">
        <f t="shared" si="20"/>
        <v/>
      </c>
      <c r="S140" t="str">
        <f t="shared" si="21"/>
        <v/>
      </c>
      <c r="T140" t="str">
        <f t="shared" si="22"/>
        <v/>
      </c>
      <c r="U140" t="str">
        <f t="shared" si="23"/>
        <v/>
      </c>
      <c r="V140" t="str">
        <f t="shared" si="24"/>
        <v/>
      </c>
      <c r="W140" t="str">
        <f t="shared" si="25"/>
        <v/>
      </c>
      <c r="X140" s="181"/>
      <c r="Z140" t="s">
        <v>1862</v>
      </c>
      <c r="AA140" t="str">
        <f t="shared" si="5"/>
        <v/>
      </c>
      <c r="AB140" s="52" t="str">
        <f t="shared" si="6"/>
        <v/>
      </c>
      <c r="AC140" s="52" t="str">
        <f t="shared" si="7"/>
        <v/>
      </c>
      <c r="AD140" t="str">
        <f t="shared" si="8"/>
        <v/>
      </c>
      <c r="AE140" t="str">
        <f t="shared" si="9"/>
        <v/>
      </c>
      <c r="AF140" t="str">
        <f t="shared" si="10"/>
        <v/>
      </c>
      <c r="AG140" t="str">
        <f t="shared" si="11"/>
        <v/>
      </c>
      <c r="AH140" t="str">
        <f t="shared" si="12"/>
        <v/>
      </c>
      <c r="AI140" s="52" t="str">
        <f t="shared" si="13"/>
        <v/>
      </c>
      <c r="AJ140" t="str">
        <f t="shared" si="14"/>
        <v/>
      </c>
      <c r="AK140" t="str">
        <f t="shared" si="15"/>
        <v/>
      </c>
      <c r="AL140">
        <f t="shared" si="26"/>
        <v>0</v>
      </c>
      <c r="AM140" t="str" cm="1">
        <f t="array" ref="AM140">IFERROR(INDEX(C$133:C$162, SMALL(IF(AL$133:AL$162&gt;0, AL$133:AL$162), ROW(A8))), "")</f>
        <v/>
      </c>
      <c r="AN140" t="str" cm="1">
        <f t="array" ref="AN140">IF(AM140="", "", INDEX(D$133:D$162, SMALL(IF(AL$133:AL$162&gt;0, AL$133:AL$162), ROW(A8))))</f>
        <v/>
      </c>
      <c r="AO140" t="str" cm="1">
        <f t="array" ref="AO140">IF(AM140="", "", INDEX(E$133:E$162, SMALL(IF(AL$133:AL$162&gt;0, AL$133:AL$162), ROW(A8))))</f>
        <v/>
      </c>
      <c r="AP140" t="str" cm="1">
        <f t="array" ref="AP140">IF(AM140="", "", IF(INDEX(F$133:F$162, SMALL(IF(AL$133:AL$162&gt;0, AL$133:AL$162), ROW(A8)))="", "", INDEX(F$133:F$162, SMALL(IF(AL$133:AL$162&gt;0, AL$133:AL$162), ROW(A8)))))</f>
        <v/>
      </c>
      <c r="AQ140" t="str" cm="1">
        <f t="array" ref="AQ140">IF(AM140="", "", IF(INDEX(G$133:G$162, SMALL(IF(AL$133:AL$162&gt;0, AL$133:AL$162), ROW(A8)))="", "", INDEX(G$133:G$162, SMALL(IF(AL$133:AL$162&gt;0, AL$133:AL$162), ROW(A8)))))</f>
        <v/>
      </c>
      <c r="AR140" t="str" cm="1">
        <f t="array" ref="AR140">IF(AM140="", "", IF(INDEX(H$133:H$162, SMALL(IF(AL$133:AL$162&gt;0, AL$133:AL$162), ROW(A8)))="", "", INDEX(H$133:H$162, SMALL(IF(AL$133:AL$162&gt;0, AL$133:AL$162), ROW(A8)))))</f>
        <v/>
      </c>
      <c r="AS140" t="str" cm="1">
        <f t="array" ref="AS140">IF(AM140="", "", IF(INDEX(I$133:I$162, SMALL(IF(AL$133:AL$162&gt;0, AL$133:AL$162), ROW(A8)))="", "", INDEX(I$133:I$162, SMALL(IF(AL$133:AL$162&gt;0, AL$133:AL$162), ROW(A8)))))</f>
        <v/>
      </c>
      <c r="AT140" t="str" cm="1">
        <f t="array" ref="AT140">IF(AM140="", "", IF(INDEX(J$133:J$162, SMALL(IF(AL$133:AL$162&gt;0, AL$133:AL$162), ROW(A8)))="", "", INDEX(J$133:J$162, SMALL(IF(AL$133:AL$162&gt;0, AL$133:AL$162), ROW(A8)))))</f>
        <v/>
      </c>
      <c r="AU140" t="str" cm="1">
        <f t="array" ref="AU140">IF(AM140="", "", IF(INDEX(K$133:K$162, SMALL(IF(AL$133:AL$162&gt;0, AL$133:AL$162), ROW(A8)))="", "", INDEX(K$133:K$162, SMALL(IF(AL$133:AL$162&gt;0, AL$133:AL$162), ROW(A8)))))</f>
        <v/>
      </c>
    </row>
    <row r="141" spans="2:47">
      <c r="B141" t="s">
        <v>1863</v>
      </c>
      <c r="C141" s="52" t="str">
        <f>UPPER(C126)</f>
        <v/>
      </c>
      <c r="D141" s="52" t="str">
        <f t="shared" si="27"/>
        <v/>
      </c>
      <c r="E141" t="str">
        <f>IF(C141="","","Equity Investor/Syndicator")</f>
        <v/>
      </c>
      <c r="F141" t="str">
        <f>IF(Syndicator_Email_Address="","",Syndicator_Email_Address)</f>
        <v/>
      </c>
      <c r="G141" t="str">
        <f>IF(Syndicator_Street_Address="","",UPPER(Syndicator_Street_Address))</f>
        <v/>
      </c>
      <c r="H141" t="str">
        <f>IF(Syndicator_City="","",UPPER(Syndicator_City))</f>
        <v/>
      </c>
      <c r="I141" t="str">
        <f>IF(Syndicator_State="","",Syndicator_State)</f>
        <v/>
      </c>
      <c r="J141" t="str">
        <f>IF(Syndicator_Zipcode="","",Syndicator_Zipcode)</f>
        <v/>
      </c>
      <c r="K141" t="str">
        <f>IF(Syndicator_Telephone_Number="","",Syndicator_Telephone_Number)</f>
        <v/>
      </c>
      <c r="L141" t="str">
        <f t="shared" si="16"/>
        <v/>
      </c>
      <c r="M141" s="49" t="str">
        <f t="shared" si="17"/>
        <v/>
      </c>
      <c r="N141" s="49" t="str">
        <f t="shared" si="18"/>
        <v/>
      </c>
      <c r="O141" t="str">
        <f t="shared" si="2"/>
        <v/>
      </c>
      <c r="P141" t="str">
        <f t="shared" si="19"/>
        <v/>
      </c>
      <c r="Q141" t="str">
        <f t="shared" si="3"/>
        <v/>
      </c>
      <c r="R141" t="str">
        <f>IF(AP141="", "", AP141)</f>
        <v/>
      </c>
      <c r="S141" t="str">
        <f t="shared" si="21"/>
        <v/>
      </c>
      <c r="T141" t="str">
        <f t="shared" si="22"/>
        <v/>
      </c>
      <c r="U141" t="str">
        <f t="shared" si="23"/>
        <v/>
      </c>
      <c r="V141" t="str">
        <f t="shared" si="24"/>
        <v/>
      </c>
      <c r="W141" t="str">
        <f t="shared" si="25"/>
        <v/>
      </c>
      <c r="X141" s="181"/>
      <c r="Z141" t="s">
        <v>1863</v>
      </c>
      <c r="AA141" t="str">
        <f t="shared" si="5"/>
        <v/>
      </c>
      <c r="AB141" s="52" t="str">
        <f t="shared" si="6"/>
        <v/>
      </c>
      <c r="AC141" s="52" t="str">
        <f t="shared" si="7"/>
        <v/>
      </c>
      <c r="AD141" t="str">
        <f t="shared" si="8"/>
        <v/>
      </c>
      <c r="AE141" t="str">
        <f t="shared" si="9"/>
        <v/>
      </c>
      <c r="AF141" t="str">
        <f t="shared" si="10"/>
        <v/>
      </c>
      <c r="AG141" t="str">
        <f t="shared" si="11"/>
        <v/>
      </c>
      <c r="AH141" t="str">
        <f t="shared" si="12"/>
        <v/>
      </c>
      <c r="AI141" s="52" t="str">
        <f t="shared" si="13"/>
        <v/>
      </c>
      <c r="AJ141" t="str">
        <f t="shared" si="14"/>
        <v/>
      </c>
      <c r="AK141" t="str">
        <f t="shared" si="15"/>
        <v/>
      </c>
      <c r="AL141">
        <f t="shared" si="26"/>
        <v>0</v>
      </c>
      <c r="AM141" t="str" cm="1">
        <f t="array" ref="AM141">IFERROR(INDEX(C$133:C$162, SMALL(IF(AL$133:AL$162&gt;0, AL$133:AL$162), ROW(A9))), "")</f>
        <v/>
      </c>
      <c r="AN141" t="str" cm="1">
        <f t="array" ref="AN141">IF(AM141="", "", INDEX(D$133:D$162, SMALL(IF(AL$133:AL$162&gt;0, AL$133:AL$162), ROW(A9))))</f>
        <v/>
      </c>
      <c r="AO141" t="str" cm="1">
        <f t="array" ref="AO141">IF(AM141="", "", INDEX(E$133:E$162, SMALL(IF(AL$133:AL$162&gt;0, AL$133:AL$162), ROW(A9))))</f>
        <v/>
      </c>
      <c r="AP141" t="str" cm="1">
        <f t="array" ref="AP141">IF(AM141="", "", IF(INDEX(F$133:F$162, SMALL(IF(AL$133:AL$162&gt;0, AL$133:AL$162), ROW(A9)))="", "", INDEX(F$133:F$162, SMALL(IF(AL$133:AL$162&gt;0, AL$133:AL$162), ROW(A9)))))</f>
        <v/>
      </c>
      <c r="AQ141" t="str" cm="1">
        <f t="array" ref="AQ141">IF(AM141="", "", IF(INDEX(G$133:G$162, SMALL(IF(AL$133:AL$162&gt;0, AL$133:AL$162), ROW(A9)))="", "", INDEX(G$133:G$162, SMALL(IF(AL$133:AL$162&gt;0, AL$133:AL$162), ROW(A9)))))</f>
        <v/>
      </c>
      <c r="AR141" t="str" cm="1">
        <f t="array" ref="AR141">IF(AM141="", "", IF(INDEX(H$133:H$162, SMALL(IF(AL$133:AL$162&gt;0, AL$133:AL$162), ROW(A9)))="", "", INDEX(H$133:H$162, SMALL(IF(AL$133:AL$162&gt;0, AL$133:AL$162), ROW(A9)))))</f>
        <v/>
      </c>
      <c r="AS141" t="str" cm="1">
        <f t="array" ref="AS141">IF(AM141="", "", IF(INDEX(I$133:I$162, SMALL(IF(AL$133:AL$162&gt;0, AL$133:AL$162), ROW(A9)))="", "", INDEX(I$133:I$162, SMALL(IF(AL$133:AL$162&gt;0, AL$133:AL$162), ROW(A9)))))</f>
        <v/>
      </c>
      <c r="AT141" t="str" cm="1">
        <f t="array" ref="AT141">IF(AM141="", "", IF(INDEX(J$133:J$162, SMALL(IF(AL$133:AL$162&gt;0, AL$133:AL$162), ROW(A9)))="", "", INDEX(J$133:J$162, SMALL(IF(AL$133:AL$162&gt;0, AL$133:AL$162), ROW(A9)))))</f>
        <v/>
      </c>
      <c r="AU141" t="str" cm="1">
        <f t="array" ref="AU141">IF(AM141="", "", IF(INDEX(K$133:K$162, SMALL(IF(AL$133:AL$162&gt;0, AL$133:AL$162), ROW(A9)))="", "", INDEX(K$133:K$162, SMALL(IF(AL$133:AL$162&gt;0, AL$133:AL$162), ROW(A9)))))</f>
        <v/>
      </c>
    </row>
    <row r="142" spans="2:47">
      <c r="B142" t="s">
        <v>1864</v>
      </c>
      <c r="C142" s="52" t="str">
        <f>UPPER(C127)</f>
        <v/>
      </c>
      <c r="D142" s="52" t="str">
        <f t="shared" si="27"/>
        <v/>
      </c>
      <c r="E142" s="52" t="str">
        <f>IF(C142="","","Architect")</f>
        <v/>
      </c>
      <c r="F142" t="str">
        <f>IF(Architect_Email_Address="","",Architect_Email_Address)</f>
        <v/>
      </c>
      <c r="G142" t="str">
        <f>IF(Architect_Street_Address="","",UPPER(Architect_Street_Address))</f>
        <v/>
      </c>
      <c r="H142" t="str">
        <f>IF(Architect_City="","",UPPER(Architect_City))</f>
        <v/>
      </c>
      <c r="I142" t="str">
        <f>IF(Architect_State="","",Architect_State)</f>
        <v/>
      </c>
      <c r="J142" t="str">
        <f>IF(Architect_Zipcode="","",Architect_Zipcode)</f>
        <v/>
      </c>
      <c r="K142" t="str">
        <f>IF(Architect_Telephone_Number="","",Architect_Telephone_Number)</f>
        <v/>
      </c>
      <c r="L142" t="str">
        <f t="shared" si="16"/>
        <v/>
      </c>
      <c r="M142" s="49" t="str">
        <f t="shared" si="17"/>
        <v/>
      </c>
      <c r="N142" s="49" t="str">
        <f t="shared" si="18"/>
        <v/>
      </c>
      <c r="O142" t="str">
        <f t="shared" si="2"/>
        <v/>
      </c>
      <c r="P142" t="str">
        <f t="shared" si="19"/>
        <v/>
      </c>
      <c r="Q142" t="str">
        <f t="shared" si="3"/>
        <v/>
      </c>
      <c r="R142" t="str">
        <f t="shared" si="20"/>
        <v/>
      </c>
      <c r="S142" t="str">
        <f t="shared" si="21"/>
        <v/>
      </c>
      <c r="T142" t="str">
        <f t="shared" si="22"/>
        <v/>
      </c>
      <c r="U142" t="str">
        <f t="shared" si="23"/>
        <v/>
      </c>
      <c r="V142" t="str">
        <f t="shared" si="24"/>
        <v/>
      </c>
      <c r="W142" t="str">
        <f t="shared" si="25"/>
        <v/>
      </c>
      <c r="X142" s="181"/>
      <c r="Z142" t="s">
        <v>1864</v>
      </c>
      <c r="AA142" t="str">
        <f t="shared" si="5"/>
        <v/>
      </c>
      <c r="AB142" s="52" t="str">
        <f t="shared" si="6"/>
        <v/>
      </c>
      <c r="AC142" s="52" t="str">
        <f t="shared" si="7"/>
        <v/>
      </c>
      <c r="AD142" t="str">
        <f t="shared" si="8"/>
        <v/>
      </c>
      <c r="AE142" t="str">
        <f t="shared" si="9"/>
        <v/>
      </c>
      <c r="AF142" t="str">
        <f t="shared" si="10"/>
        <v/>
      </c>
      <c r="AG142" t="str">
        <f t="shared" si="11"/>
        <v/>
      </c>
      <c r="AH142" t="str">
        <f t="shared" si="12"/>
        <v/>
      </c>
      <c r="AI142" s="52" t="str">
        <f t="shared" si="13"/>
        <v/>
      </c>
      <c r="AJ142" t="str">
        <f t="shared" si="14"/>
        <v/>
      </c>
      <c r="AK142" t="str">
        <f t="shared" si="15"/>
        <v/>
      </c>
      <c r="AL142">
        <f t="shared" si="26"/>
        <v>0</v>
      </c>
      <c r="AM142" t="str" cm="1">
        <f t="array" ref="AM142">IFERROR(INDEX(C$133:C$162, SMALL(IF(AL$133:AL$162&gt;0, AL$133:AL$162), ROW(A10))), "")</f>
        <v/>
      </c>
      <c r="AN142" t="str" cm="1">
        <f t="array" ref="AN142">IF(AM142="", "", INDEX(D$133:D$162, SMALL(IF(AL$133:AL$162&gt;0, AL$133:AL$162), ROW(A10))))</f>
        <v/>
      </c>
      <c r="AO142" t="str" cm="1">
        <f t="array" ref="AO142">IF(AM142="", "", INDEX(E$133:E$162, SMALL(IF(AL$133:AL$162&gt;0, AL$133:AL$162), ROW(A10))))</f>
        <v/>
      </c>
      <c r="AP142" t="str" cm="1">
        <f t="array" ref="AP142">IF(AM142="", "", IF(INDEX(F$133:F$162, SMALL(IF(AL$133:AL$162&gt;0, AL$133:AL$162), ROW(A10)))="", "", INDEX(F$133:F$162, SMALL(IF(AL$133:AL$162&gt;0, AL$133:AL$162), ROW(A10)))))</f>
        <v/>
      </c>
      <c r="AQ142" t="str" cm="1">
        <f t="array" ref="AQ142">IF(AM142="", "", IF(INDEX(G$133:G$162, SMALL(IF(AL$133:AL$162&gt;0, AL$133:AL$162), ROW(A10)))="", "", INDEX(G$133:G$162, SMALL(IF(AL$133:AL$162&gt;0, AL$133:AL$162), ROW(A10)))))</f>
        <v/>
      </c>
      <c r="AR142" t="str" cm="1">
        <f t="array" ref="AR142">IF(AM142="", "", IF(INDEX(H$133:H$162, SMALL(IF(AL$133:AL$162&gt;0, AL$133:AL$162), ROW(A10)))="", "", INDEX(H$133:H$162, SMALL(IF(AL$133:AL$162&gt;0, AL$133:AL$162), ROW(A10)))))</f>
        <v/>
      </c>
      <c r="AS142" t="str" cm="1">
        <f t="array" ref="AS142">IF(AM142="", "", IF(INDEX(I$133:I$162, SMALL(IF(AL$133:AL$162&gt;0, AL$133:AL$162), ROW(A10)))="", "", INDEX(I$133:I$162, SMALL(IF(AL$133:AL$162&gt;0, AL$133:AL$162), ROW(A10)))))</f>
        <v/>
      </c>
      <c r="AT142" t="str" cm="1">
        <f t="array" ref="AT142">IF(AM142="", "", IF(INDEX(J$133:J$162, SMALL(IF(AL$133:AL$162&gt;0, AL$133:AL$162), ROW(A10)))="", "", INDEX(J$133:J$162, SMALL(IF(AL$133:AL$162&gt;0, AL$133:AL$162), ROW(A10)))))</f>
        <v/>
      </c>
      <c r="AU142" t="str" cm="1">
        <f t="array" ref="AU142">IF(AM142="", "", IF(INDEX(K$133:K$162, SMALL(IF(AL$133:AL$162&gt;0, AL$133:AL$162), ROW(A10)))="", "", INDEX(K$133:K$162, SMALL(IF(AL$133:AL$162&gt;0, AL$133:AL$162), ROW(A10)))))</f>
        <v/>
      </c>
    </row>
    <row r="143" spans="2:47">
      <c r="B143" t="s">
        <v>1865</v>
      </c>
      <c r="C143" t="str">
        <f>IF(Design_Architect="","",UPPER(Design_Architect))</f>
        <v/>
      </c>
      <c r="D143" s="52" t="str">
        <f t="shared" si="27"/>
        <v/>
      </c>
      <c r="E143" s="52" t="str">
        <f>IF(C143="","","Architect")</f>
        <v/>
      </c>
      <c r="F143" t="str">
        <f>IF(DA_Email_Address="","",DA_Email_Address)</f>
        <v/>
      </c>
      <c r="G143" t="str">
        <f>IF(DA_Street_Address="","",UPPER(DA_Street_Address))</f>
        <v/>
      </c>
      <c r="H143" t="str">
        <f>IF(DA_City="","",UPPER(DA_City))</f>
        <v/>
      </c>
      <c r="I143" t="str">
        <f>IF(DA_State="","",DA_State)</f>
        <v/>
      </c>
      <c r="J143" t="str">
        <f>IF(DA_Zipcode="","",DA_Zipcode)</f>
        <v/>
      </c>
      <c r="K143" t="str">
        <f>IF(DA_Telephone_Number="","",DA_Telephone_Number)</f>
        <v/>
      </c>
      <c r="L143" t="str">
        <f t="shared" si="16"/>
        <v/>
      </c>
      <c r="M143" s="49" t="str">
        <f t="shared" si="17"/>
        <v/>
      </c>
      <c r="N143" s="49" t="str">
        <f t="shared" si="18"/>
        <v/>
      </c>
      <c r="O143" t="str">
        <f t="shared" si="2"/>
        <v/>
      </c>
      <c r="P143" t="str">
        <f t="shared" si="19"/>
        <v/>
      </c>
      <c r="Q143" t="str">
        <f t="shared" si="3"/>
        <v/>
      </c>
      <c r="R143" t="str">
        <f t="shared" si="20"/>
        <v/>
      </c>
      <c r="S143" t="str">
        <f t="shared" si="21"/>
        <v/>
      </c>
      <c r="T143" t="str">
        <f t="shared" si="22"/>
        <v/>
      </c>
      <c r="U143" t="str">
        <f t="shared" si="23"/>
        <v/>
      </c>
      <c r="V143" t="str">
        <f t="shared" si="24"/>
        <v/>
      </c>
      <c r="W143" t="str">
        <f t="shared" si="25"/>
        <v/>
      </c>
      <c r="X143" s="181"/>
      <c r="Z143" t="s">
        <v>1865</v>
      </c>
      <c r="AA143" t="str">
        <f t="shared" si="5"/>
        <v/>
      </c>
      <c r="AB143" s="52" t="str">
        <f t="shared" si="6"/>
        <v/>
      </c>
      <c r="AC143" s="52" t="str">
        <f t="shared" si="7"/>
        <v/>
      </c>
      <c r="AD143" t="str">
        <f t="shared" si="8"/>
        <v/>
      </c>
      <c r="AE143" t="str">
        <f t="shared" si="9"/>
        <v/>
      </c>
      <c r="AF143" t="str">
        <f t="shared" si="10"/>
        <v/>
      </c>
      <c r="AG143" t="str">
        <f t="shared" si="11"/>
        <v/>
      </c>
      <c r="AH143" t="str">
        <f t="shared" si="12"/>
        <v/>
      </c>
      <c r="AI143" s="52" t="str">
        <f t="shared" si="13"/>
        <v/>
      </c>
      <c r="AJ143" t="str">
        <f t="shared" si="14"/>
        <v/>
      </c>
      <c r="AK143" t="str">
        <f t="shared" si="15"/>
        <v/>
      </c>
      <c r="AL143">
        <f t="shared" si="26"/>
        <v>0</v>
      </c>
      <c r="AM143" t="str" cm="1">
        <f t="array" ref="AM143">IFERROR(INDEX(C$133:C$162, SMALL(IF(AL$133:AL$162&gt;0, AL$133:AL$162), ROW(A11))), "")</f>
        <v/>
      </c>
      <c r="AN143" t="str" cm="1">
        <f t="array" ref="AN143">IF(AM143="", "", INDEX(D$133:D$162, SMALL(IF(AL$133:AL$162&gt;0, AL$133:AL$162), ROW(A11))))</f>
        <v/>
      </c>
      <c r="AO143" t="str" cm="1">
        <f t="array" ref="AO143">IF(AM143="", "", INDEX(E$133:E$162, SMALL(IF(AL$133:AL$162&gt;0, AL$133:AL$162), ROW(A11))))</f>
        <v/>
      </c>
      <c r="AP143" t="str" cm="1">
        <f t="array" ref="AP143">IF(AM143="", "", IF(INDEX(F$133:F$162, SMALL(IF(AL$133:AL$162&gt;0, AL$133:AL$162), ROW(A11)))="", "", INDEX(F$133:F$162, SMALL(IF(AL$133:AL$162&gt;0, AL$133:AL$162), ROW(A11)))))</f>
        <v/>
      </c>
      <c r="AQ143" t="str" cm="1">
        <f t="array" ref="AQ143">IF(AM143="", "", IF(INDEX(G$133:G$162, SMALL(IF(AL$133:AL$162&gt;0, AL$133:AL$162), ROW(A11)))="", "", INDEX(G$133:G$162, SMALL(IF(AL$133:AL$162&gt;0, AL$133:AL$162), ROW(A11)))))</f>
        <v/>
      </c>
      <c r="AR143" t="str" cm="1">
        <f t="array" ref="AR143">IF(AM143="", "", IF(INDEX(H$133:H$162, SMALL(IF(AL$133:AL$162&gt;0, AL$133:AL$162), ROW(A11)))="", "", INDEX(H$133:H$162, SMALL(IF(AL$133:AL$162&gt;0, AL$133:AL$162), ROW(A11)))))</f>
        <v/>
      </c>
      <c r="AS143" t="str" cm="1">
        <f t="array" ref="AS143">IF(AM143="", "", IF(INDEX(I$133:I$162, SMALL(IF(AL$133:AL$162&gt;0, AL$133:AL$162), ROW(A11)))="", "", INDEX(I$133:I$162, SMALL(IF(AL$133:AL$162&gt;0, AL$133:AL$162), ROW(A11)))))</f>
        <v/>
      </c>
      <c r="AT143" t="str" cm="1">
        <f t="array" ref="AT143">IF(AM143="", "", IF(INDEX(J$133:J$162, SMALL(IF(AL$133:AL$162&gt;0, AL$133:AL$162), ROW(A11)))="", "", INDEX(J$133:J$162, SMALL(IF(AL$133:AL$162&gt;0, AL$133:AL$162), ROW(A11)))))</f>
        <v/>
      </c>
      <c r="AU143" t="str" cm="1">
        <f t="array" ref="AU143">IF(AM143="", "", IF(INDEX(K$133:K$162, SMALL(IF(AL$133:AL$162&gt;0, AL$133:AL$162), ROW(A11)))="", "", INDEX(K$133:K$162, SMALL(IF(AL$133:AL$162&gt;0, AL$133:AL$162), ROW(A11)))))</f>
        <v/>
      </c>
    </row>
    <row r="144" spans="2:47">
      <c r="B144" t="s">
        <v>1866</v>
      </c>
      <c r="C144" t="str">
        <f>IF(Attorney="","",UPPER(Attorney))</f>
        <v/>
      </c>
      <c r="D144" s="52" t="str">
        <f t="shared" si="27"/>
        <v/>
      </c>
      <c r="E144" t="str">
        <f>IF(C144="","","Attorney")</f>
        <v/>
      </c>
      <c r="F144" t="str">
        <f>IF(Attorney_Email_Address="","",Attorney_Email_Address)</f>
        <v/>
      </c>
      <c r="G144" t="str">
        <f>IF(Attorney_Street_Address="","",UPPER(Attorney_Street_Address))</f>
        <v/>
      </c>
      <c r="H144" t="str">
        <f>IF(Attorney_City="","",UPPER(Attorney_City))</f>
        <v/>
      </c>
      <c r="I144" t="str">
        <f>IF(Attorney_State="","",Attorney_State)</f>
        <v/>
      </c>
      <c r="J144" t="str">
        <f>IF(Attorney_Zipcode="","",Attorney_Zipcode)</f>
        <v/>
      </c>
      <c r="K144" t="str">
        <f>IF(Attorney_Telephone_Number="","",Attorney_Telephone_Number)</f>
        <v/>
      </c>
      <c r="L144" t="str">
        <f t="shared" si="16"/>
        <v/>
      </c>
      <c r="M144" s="49" t="str">
        <f t="shared" si="17"/>
        <v/>
      </c>
      <c r="N144" s="49" t="str">
        <f t="shared" si="18"/>
        <v/>
      </c>
      <c r="O144" t="str">
        <f t="shared" si="2"/>
        <v/>
      </c>
      <c r="P144" t="str">
        <f t="shared" si="19"/>
        <v/>
      </c>
      <c r="Q144" t="str">
        <f t="shared" si="3"/>
        <v/>
      </c>
      <c r="R144" t="str">
        <f t="shared" si="20"/>
        <v/>
      </c>
      <c r="S144" t="str">
        <f t="shared" si="21"/>
        <v/>
      </c>
      <c r="T144" t="str">
        <f t="shared" si="22"/>
        <v/>
      </c>
      <c r="U144" t="str">
        <f t="shared" si="23"/>
        <v/>
      </c>
      <c r="V144" t="str">
        <f t="shared" si="24"/>
        <v/>
      </c>
      <c r="W144" t="str">
        <f t="shared" si="25"/>
        <v/>
      </c>
      <c r="X144" s="181"/>
      <c r="Z144" t="s">
        <v>1866</v>
      </c>
      <c r="AA144" t="str">
        <f t="shared" si="5"/>
        <v/>
      </c>
      <c r="AB144" s="52" t="str">
        <f t="shared" si="6"/>
        <v/>
      </c>
      <c r="AC144" s="52" t="str">
        <f t="shared" si="7"/>
        <v/>
      </c>
      <c r="AD144" t="str">
        <f t="shared" si="8"/>
        <v/>
      </c>
      <c r="AE144" t="str">
        <f t="shared" si="9"/>
        <v/>
      </c>
      <c r="AF144" t="str">
        <f t="shared" si="10"/>
        <v/>
      </c>
      <c r="AG144" t="str">
        <f t="shared" si="11"/>
        <v/>
      </c>
      <c r="AH144" t="str">
        <f t="shared" si="12"/>
        <v/>
      </c>
      <c r="AI144" s="52" t="str">
        <f t="shared" si="13"/>
        <v/>
      </c>
      <c r="AJ144" t="str">
        <f t="shared" si="14"/>
        <v/>
      </c>
      <c r="AK144" t="str">
        <f t="shared" si="15"/>
        <v/>
      </c>
      <c r="AL144">
        <f t="shared" si="26"/>
        <v>0</v>
      </c>
      <c r="AM144" t="str" cm="1">
        <f t="array" ref="AM144">IFERROR(INDEX(C$133:C$162, SMALL(IF(AL$133:AL$162&gt;0, AL$133:AL$162), ROW(A12))), "")</f>
        <v/>
      </c>
      <c r="AN144" t="str" cm="1">
        <f t="array" ref="AN144">IF(AM144="", "", INDEX(D$133:D$162, SMALL(IF(AL$133:AL$162&gt;0, AL$133:AL$162), ROW(A12))))</f>
        <v/>
      </c>
      <c r="AO144" t="str" cm="1">
        <f t="array" ref="AO144">IF(AM144="", "", INDEX(E$133:E$162, SMALL(IF(AL$133:AL$162&gt;0, AL$133:AL$162), ROW(A12))))</f>
        <v/>
      </c>
      <c r="AP144" t="str" cm="1">
        <f t="array" ref="AP144">IF(AM144="", "", IF(INDEX(F$133:F$162, SMALL(IF(AL$133:AL$162&gt;0, AL$133:AL$162), ROW(A12)))="", "", INDEX(F$133:F$162, SMALL(IF(AL$133:AL$162&gt;0, AL$133:AL$162), ROW(A12)))))</f>
        <v/>
      </c>
      <c r="AQ144" t="str" cm="1">
        <f t="array" ref="AQ144">IF(AM144="", "", IF(INDEX(G$133:G$162, SMALL(IF(AL$133:AL$162&gt;0, AL$133:AL$162), ROW(A12)))="", "", INDEX(G$133:G$162, SMALL(IF(AL$133:AL$162&gt;0, AL$133:AL$162), ROW(A12)))))</f>
        <v/>
      </c>
      <c r="AR144" t="str" cm="1">
        <f t="array" ref="AR144">IF(AM144="", "", IF(INDEX(H$133:H$162, SMALL(IF(AL$133:AL$162&gt;0, AL$133:AL$162), ROW(A12)))="", "", INDEX(H$133:H$162, SMALL(IF(AL$133:AL$162&gt;0, AL$133:AL$162), ROW(A12)))))</f>
        <v/>
      </c>
      <c r="AS144" t="str" cm="1">
        <f t="array" ref="AS144">IF(AM144="", "", IF(INDEX(I$133:I$162, SMALL(IF(AL$133:AL$162&gt;0, AL$133:AL$162), ROW(A12)))="", "", INDEX(I$133:I$162, SMALL(IF(AL$133:AL$162&gt;0, AL$133:AL$162), ROW(A12)))))</f>
        <v/>
      </c>
      <c r="AT144" t="str" cm="1">
        <f t="array" ref="AT144">IF(AM144="", "", IF(INDEX(J$133:J$162, SMALL(IF(AL$133:AL$162&gt;0, AL$133:AL$162), ROW(A12)))="", "", INDEX(J$133:J$162, SMALL(IF(AL$133:AL$162&gt;0, AL$133:AL$162), ROW(A12)))))</f>
        <v/>
      </c>
      <c r="AU144" t="str" cm="1">
        <f t="array" ref="AU144">IF(AM144="", "", IF(INDEX(K$133:K$162, SMALL(IF(AL$133:AL$162&gt;0, AL$133:AL$162), ROW(A12)))="", "", INDEX(K$133:K$162, SMALL(IF(AL$133:AL$162&gt;0, AL$133:AL$162), ROW(A12)))))</f>
        <v/>
      </c>
    </row>
    <row r="145" spans="2:47">
      <c r="B145" t="s">
        <v>1867</v>
      </c>
      <c r="C145" s="52" t="str">
        <f>UPPER(C129)</f>
        <v/>
      </c>
      <c r="D145" s="52" t="str">
        <f t="shared" si="27"/>
        <v/>
      </c>
      <c r="E145" s="52" t="str">
        <f>IF(C145="","","Accountant")</f>
        <v/>
      </c>
      <c r="F145" t="str">
        <f>IF(Accountant_Email_Address="","",Accountant_Email_Address)</f>
        <v/>
      </c>
      <c r="G145" t="str">
        <f>IF(Accountant_Street_Address="","",UPPER(Accountant_Street_Address))</f>
        <v/>
      </c>
      <c r="H145" t="str">
        <f>IF(Accountant_City="","",UPPER(Accountant_City))</f>
        <v/>
      </c>
      <c r="I145" t="str">
        <f>IF(Accountant_State="","",Accountant_State)</f>
        <v/>
      </c>
      <c r="J145" t="str">
        <f>IF(Accountant_Zipcode="","",Accountant_Zipcode)</f>
        <v/>
      </c>
      <c r="K145" t="str">
        <f>IF(Accountant_Telephone_Number="","",Accountant_Telephone_Number)</f>
        <v/>
      </c>
      <c r="L145" t="str">
        <f t="shared" si="16"/>
        <v/>
      </c>
      <c r="M145" s="49" t="str">
        <f t="shared" si="17"/>
        <v/>
      </c>
      <c r="N145" s="49" t="str">
        <f t="shared" si="18"/>
        <v/>
      </c>
      <c r="O145" t="str">
        <f t="shared" si="2"/>
        <v/>
      </c>
      <c r="P145" t="str">
        <f t="shared" si="19"/>
        <v/>
      </c>
      <c r="Q145" t="str">
        <f t="shared" si="3"/>
        <v/>
      </c>
      <c r="R145" t="str">
        <f t="shared" si="20"/>
        <v/>
      </c>
      <c r="S145" t="str">
        <f t="shared" si="21"/>
        <v/>
      </c>
      <c r="T145" t="str">
        <f t="shared" si="22"/>
        <v/>
      </c>
      <c r="U145" t="str">
        <f t="shared" si="23"/>
        <v/>
      </c>
      <c r="V145" t="str">
        <f t="shared" si="24"/>
        <v/>
      </c>
      <c r="W145" t="str">
        <f t="shared" si="25"/>
        <v/>
      </c>
      <c r="X145" s="181"/>
      <c r="Z145" t="s">
        <v>1867</v>
      </c>
      <c r="AA145" t="str">
        <f t="shared" si="5"/>
        <v/>
      </c>
      <c r="AB145" s="52" t="str">
        <f t="shared" si="6"/>
        <v/>
      </c>
      <c r="AC145" s="52" t="str">
        <f t="shared" si="7"/>
        <v/>
      </c>
      <c r="AD145" t="str">
        <f t="shared" si="8"/>
        <v/>
      </c>
      <c r="AE145" t="str">
        <f t="shared" si="9"/>
        <v/>
      </c>
      <c r="AF145" t="str">
        <f t="shared" si="10"/>
        <v/>
      </c>
      <c r="AG145" t="str">
        <f t="shared" si="11"/>
        <v/>
      </c>
      <c r="AH145" t="str">
        <f t="shared" si="12"/>
        <v/>
      </c>
      <c r="AI145" s="52" t="str">
        <f t="shared" si="13"/>
        <v/>
      </c>
      <c r="AJ145" t="str">
        <f t="shared" si="14"/>
        <v/>
      </c>
      <c r="AK145" t="str">
        <f t="shared" si="15"/>
        <v/>
      </c>
      <c r="AL145">
        <f t="shared" si="26"/>
        <v>0</v>
      </c>
      <c r="AM145" t="str" cm="1">
        <f t="array" ref="AM145">IFERROR(INDEX(C$133:C$162, SMALL(IF(AL$133:AL$162&gt;0, AL$133:AL$162), ROW(A13))), "")</f>
        <v/>
      </c>
      <c r="AN145" t="str" cm="1">
        <f t="array" ref="AN145">IF(AM145="", "", INDEX(D$133:D$162, SMALL(IF(AL$133:AL$162&gt;0, AL$133:AL$162), ROW(A13))))</f>
        <v/>
      </c>
      <c r="AO145" t="str" cm="1">
        <f t="array" ref="AO145">IF(AM145="", "", INDEX(E$133:E$162, SMALL(IF(AL$133:AL$162&gt;0, AL$133:AL$162), ROW(A13))))</f>
        <v/>
      </c>
      <c r="AP145" t="str" cm="1">
        <f t="array" ref="AP145">IF(AM145="", "", IF(INDEX(F$133:F$162, SMALL(IF(AL$133:AL$162&gt;0, AL$133:AL$162), ROW(A13)))="", "", INDEX(F$133:F$162, SMALL(IF(AL$133:AL$162&gt;0, AL$133:AL$162), ROW(A13)))))</f>
        <v/>
      </c>
      <c r="AQ145" t="str" cm="1">
        <f t="array" ref="AQ145">IF(AM145="", "", IF(INDEX(G$133:G$162, SMALL(IF(AL$133:AL$162&gt;0, AL$133:AL$162), ROW(A13)))="", "", INDEX(G$133:G$162, SMALL(IF(AL$133:AL$162&gt;0, AL$133:AL$162), ROW(A13)))))</f>
        <v/>
      </c>
      <c r="AR145" t="str" cm="1">
        <f t="array" ref="AR145">IF(AM145="", "", IF(INDEX(H$133:H$162, SMALL(IF(AL$133:AL$162&gt;0, AL$133:AL$162), ROW(A13)))="", "", INDEX(H$133:H$162, SMALL(IF(AL$133:AL$162&gt;0, AL$133:AL$162), ROW(A13)))))</f>
        <v/>
      </c>
      <c r="AS145" t="str" cm="1">
        <f t="array" ref="AS145">IF(AM145="", "", IF(INDEX(I$133:I$162, SMALL(IF(AL$133:AL$162&gt;0, AL$133:AL$162), ROW(A13)))="", "", INDEX(I$133:I$162, SMALL(IF(AL$133:AL$162&gt;0, AL$133:AL$162), ROW(A13)))))</f>
        <v/>
      </c>
      <c r="AT145" t="str" cm="1">
        <f t="array" ref="AT145">IF(AM145="", "", IF(INDEX(J$133:J$162, SMALL(IF(AL$133:AL$162&gt;0, AL$133:AL$162), ROW(A13)))="", "", INDEX(J$133:J$162, SMALL(IF(AL$133:AL$162&gt;0, AL$133:AL$162), ROW(A13)))))</f>
        <v/>
      </c>
      <c r="AU145" t="str" cm="1">
        <f t="array" ref="AU145">IF(AM145="", "", IF(INDEX(K$133:K$162, SMALL(IF(AL$133:AL$162&gt;0, AL$133:AL$162), ROW(A13)))="", "", INDEX(K$133:K$162, SMALL(IF(AL$133:AL$162&gt;0, AL$133:AL$162), ROW(A13)))))</f>
        <v/>
      </c>
    </row>
    <row r="146" spans="2:47">
      <c r="B146" t="s">
        <v>1868</v>
      </c>
      <c r="C146" t="str">
        <f>IF(Developer_Name_2="","",UPPER(Developer_Name_2))</f>
        <v/>
      </c>
      <c r="D146" s="52" t="str">
        <f t="shared" si="27"/>
        <v/>
      </c>
      <c r="E146" s="52" t="str">
        <f>IF(C146="","","Co-Developer")</f>
        <v/>
      </c>
      <c r="G146" t="str">
        <f>IF(DEV2_Street_Address="","",UPPER(DEV2_Street_Address))</f>
        <v/>
      </c>
      <c r="H146" t="str">
        <f>IF(DEV2_City="","",UPPER(DEV2_City))</f>
        <v/>
      </c>
      <c r="I146" t="str">
        <f>IF(DEV2_State="","",DEV2_State)</f>
        <v/>
      </c>
      <c r="J146" t="str">
        <f>IF(DEV2_Zip_Code="","",DEV2_Zip_Code)</f>
        <v/>
      </c>
      <c r="L146" t="str">
        <f t="shared" si="16"/>
        <v/>
      </c>
      <c r="M146" s="49" t="str">
        <f t="shared" si="17"/>
        <v/>
      </c>
      <c r="N146" s="49" t="str">
        <f t="shared" si="18"/>
        <v/>
      </c>
      <c r="O146" t="str">
        <f t="shared" si="2"/>
        <v/>
      </c>
      <c r="P146" t="str">
        <f t="shared" si="19"/>
        <v/>
      </c>
      <c r="Q146" t="str">
        <f t="shared" si="3"/>
        <v/>
      </c>
      <c r="R146" t="str">
        <f t="shared" si="20"/>
        <v/>
      </c>
      <c r="S146" t="str">
        <f t="shared" si="21"/>
        <v/>
      </c>
      <c r="T146" t="str">
        <f t="shared" si="22"/>
        <v/>
      </c>
      <c r="U146" t="str">
        <f t="shared" si="23"/>
        <v/>
      </c>
      <c r="V146" t="str">
        <f t="shared" si="24"/>
        <v/>
      </c>
      <c r="W146" t="str">
        <f t="shared" si="25"/>
        <v/>
      </c>
      <c r="X146" s="181"/>
      <c r="Z146" t="s">
        <v>1868</v>
      </c>
      <c r="AA146" t="str">
        <f t="shared" si="5"/>
        <v/>
      </c>
      <c r="AB146" s="52" t="str">
        <f t="shared" si="6"/>
        <v/>
      </c>
      <c r="AC146" s="52" t="str">
        <f t="shared" si="7"/>
        <v/>
      </c>
      <c r="AD146" t="str">
        <f t="shared" si="8"/>
        <v/>
      </c>
      <c r="AE146" t="str">
        <f t="shared" si="9"/>
        <v/>
      </c>
      <c r="AF146" t="str">
        <f t="shared" si="10"/>
        <v/>
      </c>
      <c r="AG146" t="str">
        <f t="shared" si="11"/>
        <v/>
      </c>
      <c r="AH146" t="str">
        <f t="shared" si="12"/>
        <v/>
      </c>
      <c r="AI146" s="52" t="str">
        <f t="shared" si="13"/>
        <v/>
      </c>
      <c r="AJ146" t="str">
        <f t="shared" si="14"/>
        <v/>
      </c>
      <c r="AK146" t="str">
        <f t="shared" si="15"/>
        <v/>
      </c>
      <c r="AL146">
        <f t="shared" si="26"/>
        <v>0</v>
      </c>
      <c r="AM146" t="str" cm="1">
        <f t="array" ref="AM146">IFERROR(INDEX(C$133:C$162, SMALL(IF(AL$133:AL$162&gt;0, AL$133:AL$162), ROW(A14))), "")</f>
        <v/>
      </c>
      <c r="AN146" t="str" cm="1">
        <f t="array" ref="AN146">IF(AM146="", "", INDEX(D$133:D$162, SMALL(IF(AL$133:AL$162&gt;0, AL$133:AL$162), ROW(A14))))</f>
        <v/>
      </c>
      <c r="AO146" t="str" cm="1">
        <f t="array" ref="AO146">IF(AM146="", "", INDEX(E$133:E$162, SMALL(IF(AL$133:AL$162&gt;0, AL$133:AL$162), ROW(A14))))</f>
        <v/>
      </c>
      <c r="AP146" t="str" cm="1">
        <f t="array" ref="AP146">IF(AM146="", "", IF(INDEX(F$133:F$162, SMALL(IF(AL$133:AL$162&gt;0, AL$133:AL$162), ROW(A14)))="", "", INDEX(F$133:F$162, SMALL(IF(AL$133:AL$162&gt;0, AL$133:AL$162), ROW(A14)))))</f>
        <v/>
      </c>
      <c r="AQ146" t="str" cm="1">
        <f t="array" ref="AQ146">IF(AM146="", "", IF(INDEX(G$133:G$162, SMALL(IF(AL$133:AL$162&gt;0, AL$133:AL$162), ROW(A14)))="", "", INDEX(G$133:G$162, SMALL(IF(AL$133:AL$162&gt;0, AL$133:AL$162), ROW(A14)))))</f>
        <v/>
      </c>
      <c r="AR146" t="str" cm="1">
        <f t="array" ref="AR146">IF(AM146="", "", IF(INDEX(H$133:H$162, SMALL(IF(AL$133:AL$162&gt;0, AL$133:AL$162), ROW(A14)))="", "", INDEX(H$133:H$162, SMALL(IF(AL$133:AL$162&gt;0, AL$133:AL$162), ROW(A14)))))</f>
        <v/>
      </c>
      <c r="AS146" t="str" cm="1">
        <f t="array" ref="AS146">IF(AM146="", "", IF(INDEX(I$133:I$162, SMALL(IF(AL$133:AL$162&gt;0, AL$133:AL$162), ROW(A14)))="", "", INDEX(I$133:I$162, SMALL(IF(AL$133:AL$162&gt;0, AL$133:AL$162), ROW(A14)))))</f>
        <v/>
      </c>
      <c r="AT146" t="str" cm="1">
        <f t="array" ref="AT146">IF(AM146="", "", IF(INDEX(J$133:J$162, SMALL(IF(AL$133:AL$162&gt;0, AL$133:AL$162), ROW(A14)))="", "", INDEX(J$133:J$162, SMALL(IF(AL$133:AL$162&gt;0, AL$133:AL$162), ROW(A14)))))</f>
        <v/>
      </c>
      <c r="AU146" t="str" cm="1">
        <f t="array" ref="AU146">IF(AM146="", "", IF(INDEX(K$133:K$162, SMALL(IF(AL$133:AL$162&gt;0, AL$133:AL$162), ROW(A14)))="", "", INDEX(K$133:K$162, SMALL(IF(AL$133:AL$162&gt;0, AL$133:AL$162), ROW(A14)))))</f>
        <v/>
      </c>
    </row>
    <row r="147" spans="2:47">
      <c r="B147" t="s">
        <v>1869</v>
      </c>
      <c r="C147" t="str">
        <f>IF(Developer_Name_3="","",UPPER(Developer_Name_3))</f>
        <v/>
      </c>
      <c r="D147" t="str">
        <f t="shared" si="27"/>
        <v/>
      </c>
      <c r="E147" s="52" t="str">
        <f>IF(C147="","","Co-Developer")</f>
        <v/>
      </c>
      <c r="G147" t="str">
        <f>IF(DEV3_Street_Address="","",UPPER(DEV3_Street_Address))</f>
        <v/>
      </c>
      <c r="H147" t="str">
        <f>IF(DEV3_City="","",UPPER(DEV3_City))</f>
        <v/>
      </c>
      <c r="I147" t="str">
        <f>IF(DEV3_State="","",DEV3_State)</f>
        <v/>
      </c>
      <c r="J147" t="str">
        <f>IF(DEV3_Zip_Code="","",DEV3_Zip_Code)</f>
        <v/>
      </c>
      <c r="L147" t="str">
        <f t="shared" si="16"/>
        <v/>
      </c>
      <c r="M147" s="49" t="str">
        <f t="shared" si="17"/>
        <v/>
      </c>
      <c r="N147" s="49" t="str">
        <f t="shared" si="18"/>
        <v/>
      </c>
      <c r="O147" t="str">
        <f t="shared" si="2"/>
        <v/>
      </c>
      <c r="P147" t="str">
        <f t="shared" si="19"/>
        <v/>
      </c>
      <c r="Q147" t="str">
        <f t="shared" si="3"/>
        <v/>
      </c>
      <c r="R147" t="str">
        <f t="shared" si="20"/>
        <v/>
      </c>
      <c r="S147" t="str">
        <f t="shared" si="21"/>
        <v/>
      </c>
      <c r="T147" t="str">
        <f t="shared" si="22"/>
        <v/>
      </c>
      <c r="U147" t="str">
        <f t="shared" si="23"/>
        <v/>
      </c>
      <c r="V147" t="str">
        <f t="shared" si="24"/>
        <v/>
      </c>
      <c r="W147" t="str">
        <f t="shared" si="25"/>
        <v/>
      </c>
      <c r="X147" s="181"/>
      <c r="Z147" t="s">
        <v>1869</v>
      </c>
      <c r="AA147" t="str">
        <f t="shared" si="5"/>
        <v/>
      </c>
      <c r="AB147" s="52" t="str">
        <f t="shared" si="6"/>
        <v/>
      </c>
      <c r="AC147" s="52" t="str">
        <f t="shared" si="7"/>
        <v/>
      </c>
      <c r="AD147" t="str">
        <f t="shared" si="8"/>
        <v/>
      </c>
      <c r="AE147" t="str">
        <f t="shared" si="9"/>
        <v/>
      </c>
      <c r="AF147" t="str">
        <f t="shared" si="10"/>
        <v/>
      </c>
      <c r="AG147" t="str">
        <f t="shared" si="11"/>
        <v/>
      </c>
      <c r="AH147" t="str">
        <f t="shared" si="12"/>
        <v/>
      </c>
      <c r="AI147" s="52" t="str">
        <f t="shared" si="13"/>
        <v/>
      </c>
      <c r="AJ147" t="str">
        <f t="shared" si="14"/>
        <v/>
      </c>
      <c r="AK147" t="str">
        <f t="shared" si="15"/>
        <v/>
      </c>
      <c r="AL147">
        <f t="shared" si="26"/>
        <v>0</v>
      </c>
      <c r="AM147" t="str" cm="1">
        <f t="array" ref="AM147">IFERROR(INDEX(C$133:C$162, SMALL(IF(AL$133:AL$162&gt;0, AL$133:AL$162), ROW(A15))), "")</f>
        <v/>
      </c>
      <c r="AN147" t="str" cm="1">
        <f t="array" ref="AN147">IF(AM147="", "", INDEX(D$133:D$162, SMALL(IF(AL$133:AL$162&gt;0, AL$133:AL$162), ROW(A15))))</f>
        <v/>
      </c>
      <c r="AO147" t="str" cm="1">
        <f t="array" ref="AO147">IF(AM147="", "", INDEX(E$133:E$162, SMALL(IF(AL$133:AL$162&gt;0, AL$133:AL$162), ROW(A15))))</f>
        <v/>
      </c>
      <c r="AP147" t="str" cm="1">
        <f t="array" ref="AP147">IF(AM147="", "", IF(INDEX(F$133:F$162, SMALL(IF(AL$133:AL$162&gt;0, AL$133:AL$162), ROW(A15)))="", "", INDEX(F$133:F$162, SMALL(IF(AL$133:AL$162&gt;0, AL$133:AL$162), ROW(A15)))))</f>
        <v/>
      </c>
      <c r="AQ147" t="str" cm="1">
        <f t="array" ref="AQ147">IF(AM147="", "", IF(INDEX(G$133:G$162, SMALL(IF(AL$133:AL$162&gt;0, AL$133:AL$162), ROW(A15)))="", "", INDEX(G$133:G$162, SMALL(IF(AL$133:AL$162&gt;0, AL$133:AL$162), ROW(A15)))))</f>
        <v/>
      </c>
      <c r="AR147" t="str" cm="1">
        <f t="array" ref="AR147">IF(AM147="", "", IF(INDEX(H$133:H$162, SMALL(IF(AL$133:AL$162&gt;0, AL$133:AL$162), ROW(A15)))="", "", INDEX(H$133:H$162, SMALL(IF(AL$133:AL$162&gt;0, AL$133:AL$162), ROW(A15)))))</f>
        <v/>
      </c>
      <c r="AS147" t="str" cm="1">
        <f t="array" ref="AS147">IF(AM147="", "", IF(INDEX(I$133:I$162, SMALL(IF(AL$133:AL$162&gt;0, AL$133:AL$162), ROW(A15)))="", "", INDEX(I$133:I$162, SMALL(IF(AL$133:AL$162&gt;0, AL$133:AL$162), ROW(A15)))))</f>
        <v/>
      </c>
      <c r="AT147" t="str" cm="1">
        <f t="array" ref="AT147">IF(AM147="", "", IF(INDEX(J$133:J$162, SMALL(IF(AL$133:AL$162&gt;0, AL$133:AL$162), ROW(A15)))="", "", INDEX(J$133:J$162, SMALL(IF(AL$133:AL$162&gt;0, AL$133:AL$162), ROW(A15)))))</f>
        <v/>
      </c>
      <c r="AU147" t="str" cm="1">
        <f t="array" ref="AU147">IF(AM147="", "", IF(INDEX(K$133:K$162, SMALL(IF(AL$133:AL$162&gt;0, AL$133:AL$162), ROW(A15)))="", "", INDEX(K$133:K$162, SMALL(IF(AL$133:AL$162&gt;0, AL$133:AL$162), ROW(A15)))))</f>
        <v/>
      </c>
    </row>
    <row r="148" spans="2:47">
      <c r="B148" t="s">
        <v>1870</v>
      </c>
      <c r="C148" t="str">
        <f>IF(Developer_Name_4="","",UPPER(Developer_Name_4))</f>
        <v/>
      </c>
      <c r="D148" t="str">
        <f t="shared" si="27"/>
        <v/>
      </c>
      <c r="E148" s="52" t="str">
        <f>IF(C148="","","Co-Developer")</f>
        <v/>
      </c>
      <c r="G148" t="str">
        <f>IF(DEV4_Street_Address="","",UPPER(DEV4_Street_Address))</f>
        <v/>
      </c>
      <c r="H148" t="str">
        <f>IF(DEV4_City="","",UPPER(DEV4_City))</f>
        <v/>
      </c>
      <c r="I148" t="str">
        <f>IF(DEV4_State="","",DEV4_State)</f>
        <v/>
      </c>
      <c r="J148" t="str">
        <f>IF(DEV4_Zip_Code="","",DEV4_Zip_Code)</f>
        <v/>
      </c>
      <c r="L148" t="str">
        <f t="shared" si="16"/>
        <v/>
      </c>
      <c r="M148" s="49" t="str">
        <f t="shared" si="17"/>
        <v/>
      </c>
      <c r="N148" s="49" t="str">
        <f t="shared" si="18"/>
        <v/>
      </c>
      <c r="O148" t="str">
        <f t="shared" si="2"/>
        <v/>
      </c>
      <c r="P148" t="str">
        <f t="shared" si="19"/>
        <v/>
      </c>
      <c r="Q148" t="str">
        <f t="shared" si="3"/>
        <v/>
      </c>
      <c r="R148" t="str">
        <f t="shared" si="20"/>
        <v/>
      </c>
      <c r="S148" t="str">
        <f t="shared" si="21"/>
        <v/>
      </c>
      <c r="T148" t="str">
        <f t="shared" si="22"/>
        <v/>
      </c>
      <c r="U148" t="str">
        <f t="shared" si="23"/>
        <v/>
      </c>
      <c r="V148" t="str">
        <f t="shared" si="24"/>
        <v/>
      </c>
      <c r="W148" t="str">
        <f t="shared" si="25"/>
        <v/>
      </c>
      <c r="X148" s="181"/>
      <c r="Z148" t="s">
        <v>1870</v>
      </c>
      <c r="AA148" t="str">
        <f t="shared" si="5"/>
        <v/>
      </c>
      <c r="AB148" s="52" t="str">
        <f t="shared" si="6"/>
        <v/>
      </c>
      <c r="AC148" s="52" t="str">
        <f t="shared" si="7"/>
        <v/>
      </c>
      <c r="AD148" t="str">
        <f t="shared" si="8"/>
        <v/>
      </c>
      <c r="AE148" t="str">
        <f t="shared" si="9"/>
        <v/>
      </c>
      <c r="AF148" t="str">
        <f t="shared" si="10"/>
        <v/>
      </c>
      <c r="AG148" t="str">
        <f t="shared" si="11"/>
        <v/>
      </c>
      <c r="AH148" t="str">
        <f t="shared" si="12"/>
        <v/>
      </c>
      <c r="AI148" s="52" t="str">
        <f t="shared" si="13"/>
        <v/>
      </c>
      <c r="AJ148" t="str">
        <f t="shared" si="14"/>
        <v/>
      </c>
      <c r="AK148" t="str">
        <f t="shared" si="15"/>
        <v/>
      </c>
      <c r="AL148">
        <f t="shared" si="26"/>
        <v>0</v>
      </c>
      <c r="AM148" t="str" cm="1">
        <f t="array" ref="AM148">IFERROR(INDEX(C$133:C$162, SMALL(IF(AL$133:AL$162&gt;0, AL$133:AL$162), ROW(A16))), "")</f>
        <v/>
      </c>
      <c r="AN148" t="str" cm="1">
        <f t="array" ref="AN148">IF(AM148="", "", INDEX(D$133:D$162, SMALL(IF(AL$133:AL$162&gt;0, AL$133:AL$162), ROW(A16))))</f>
        <v/>
      </c>
      <c r="AO148" t="str" cm="1">
        <f t="array" ref="AO148">IF(AM148="", "", INDEX(E$133:E$162, SMALL(IF(AL$133:AL$162&gt;0, AL$133:AL$162), ROW(A16))))</f>
        <v/>
      </c>
      <c r="AP148" t="str" cm="1">
        <f t="array" ref="AP148">IF(AM148="", "", IF(INDEX(F$133:F$162, SMALL(IF(AL$133:AL$162&gt;0, AL$133:AL$162), ROW(A16)))="", "", INDEX(F$133:F$162, SMALL(IF(AL$133:AL$162&gt;0, AL$133:AL$162), ROW(A16)))))</f>
        <v/>
      </c>
      <c r="AQ148" t="str" cm="1">
        <f t="array" ref="AQ148">IF(AM148="", "", IF(INDEX(G$133:G$162, SMALL(IF(AL$133:AL$162&gt;0, AL$133:AL$162), ROW(A16)))="", "", INDEX(G$133:G$162, SMALL(IF(AL$133:AL$162&gt;0, AL$133:AL$162), ROW(A16)))))</f>
        <v/>
      </c>
      <c r="AR148" t="str" cm="1">
        <f t="array" ref="AR148">IF(AM148="", "", IF(INDEX(H$133:H$162, SMALL(IF(AL$133:AL$162&gt;0, AL$133:AL$162), ROW(A16)))="", "", INDEX(H$133:H$162, SMALL(IF(AL$133:AL$162&gt;0, AL$133:AL$162), ROW(A16)))))</f>
        <v/>
      </c>
      <c r="AS148" t="str" cm="1">
        <f t="array" ref="AS148">IF(AM148="", "", IF(INDEX(I$133:I$162, SMALL(IF(AL$133:AL$162&gt;0, AL$133:AL$162), ROW(A16)))="", "", INDEX(I$133:I$162, SMALL(IF(AL$133:AL$162&gt;0, AL$133:AL$162), ROW(A16)))))</f>
        <v/>
      </c>
      <c r="AT148" t="str" cm="1">
        <f t="array" ref="AT148">IF(AM148="", "", IF(INDEX(J$133:J$162, SMALL(IF(AL$133:AL$162&gt;0, AL$133:AL$162), ROW(A16)))="", "", INDEX(J$133:J$162, SMALL(IF(AL$133:AL$162&gt;0, AL$133:AL$162), ROW(A16)))))</f>
        <v/>
      </c>
      <c r="AU148" t="str" cm="1">
        <f t="array" ref="AU148">IF(AM148="", "", IF(INDEX(K$133:K$162, SMALL(IF(AL$133:AL$162&gt;0, AL$133:AL$162), ROW(A16)))="", "", INDEX(K$133:K$162, SMALL(IF(AL$133:AL$162&gt;0, AL$133:AL$162), ROW(A16)))))</f>
        <v/>
      </c>
    </row>
    <row r="149" spans="2:47">
      <c r="B149" t="s">
        <v>1871</v>
      </c>
      <c r="C149" t="str">
        <f>IF(DEV_Contact_First_Name="","",UPPER(CONCATENATE(DEV_Contact_First_Name&amp;" "&amp;DEV_Contact_Last_Name)))</f>
        <v/>
      </c>
      <c r="D149" t="str">
        <f t="shared" ref="D149:D162" si="28">IF(C149="","","Individual")</f>
        <v/>
      </c>
      <c r="E149" t="str">
        <f t="shared" ref="E149:E152" si="29">IF(C149="","","Developer")</f>
        <v/>
      </c>
      <c r="F149" t="str">
        <f>IF(DEV_Email_Address="","",DEV_Email_Address)</f>
        <v/>
      </c>
      <c r="K149" t="str">
        <f>IF(DEV_Telephone_Number="","",DEV_Telephone_Number)</f>
        <v/>
      </c>
      <c r="L149" t="str">
        <f t="shared" si="16"/>
        <v/>
      </c>
      <c r="M149" s="49" t="str">
        <f t="shared" si="17"/>
        <v/>
      </c>
      <c r="N149" s="49" t="str">
        <f t="shared" si="18"/>
        <v/>
      </c>
      <c r="O149" t="str">
        <f t="shared" si="2"/>
        <v/>
      </c>
      <c r="P149" t="str">
        <f t="shared" si="19"/>
        <v/>
      </c>
      <c r="Q149" t="str">
        <f t="shared" si="3"/>
        <v/>
      </c>
      <c r="R149" t="str">
        <f t="shared" si="20"/>
        <v/>
      </c>
      <c r="S149" t="str">
        <f t="shared" si="21"/>
        <v/>
      </c>
      <c r="T149" t="str">
        <f t="shared" si="22"/>
        <v/>
      </c>
      <c r="U149" t="str">
        <f t="shared" si="23"/>
        <v/>
      </c>
      <c r="V149" t="str">
        <f t="shared" si="24"/>
        <v/>
      </c>
      <c r="W149" t="str">
        <f t="shared" si="25"/>
        <v/>
      </c>
      <c r="X149" s="181"/>
      <c r="Z149" t="s">
        <v>1871</v>
      </c>
      <c r="AA149" t="str">
        <f t="shared" si="5"/>
        <v/>
      </c>
      <c r="AB149" s="52" t="str">
        <f t="shared" si="6"/>
        <v/>
      </c>
      <c r="AC149" s="52" t="str">
        <f t="shared" si="7"/>
        <v/>
      </c>
      <c r="AD149" t="str">
        <f t="shared" si="8"/>
        <v/>
      </c>
      <c r="AE149" t="str">
        <f t="shared" si="9"/>
        <v/>
      </c>
      <c r="AF149" t="str">
        <f t="shared" si="10"/>
        <v/>
      </c>
      <c r="AG149" t="str">
        <f t="shared" si="11"/>
        <v/>
      </c>
      <c r="AH149" t="str">
        <f t="shared" si="12"/>
        <v/>
      </c>
      <c r="AI149" s="52" t="str">
        <f t="shared" si="13"/>
        <v/>
      </c>
      <c r="AJ149" t="str">
        <f t="shared" si="14"/>
        <v/>
      </c>
      <c r="AK149" t="str">
        <f t="shared" si="15"/>
        <v/>
      </c>
      <c r="AL149">
        <f t="shared" si="26"/>
        <v>0</v>
      </c>
      <c r="AM149" t="str" cm="1">
        <f t="array" ref="AM149">IFERROR(INDEX(C$133:C$162, SMALL(IF(AL$133:AL$162&gt;0, AL$133:AL$162), ROW(A17))), "")</f>
        <v/>
      </c>
      <c r="AN149" t="str" cm="1">
        <f t="array" ref="AN149">IF(AM149="", "", INDEX(D$133:D$162, SMALL(IF(AL$133:AL$162&gt;0, AL$133:AL$162), ROW(A17))))</f>
        <v/>
      </c>
      <c r="AO149" t="str" cm="1">
        <f t="array" ref="AO149">IF(AM149="", "", INDEX(E$133:E$162, SMALL(IF(AL$133:AL$162&gt;0, AL$133:AL$162), ROW(A17))))</f>
        <v/>
      </c>
      <c r="AP149" t="str" cm="1">
        <f t="array" ref="AP149">IF(AM149="", "", IF(INDEX(F$133:F$162, SMALL(IF(AL$133:AL$162&gt;0, AL$133:AL$162), ROW(A17)))="", "", INDEX(F$133:F$162, SMALL(IF(AL$133:AL$162&gt;0, AL$133:AL$162), ROW(A17)))))</f>
        <v/>
      </c>
      <c r="AQ149" t="str" cm="1">
        <f t="array" ref="AQ149">IF(AM149="", "", IF(INDEX(G$133:G$162, SMALL(IF(AL$133:AL$162&gt;0, AL$133:AL$162), ROW(A17)))="", "", INDEX(G$133:G$162, SMALL(IF(AL$133:AL$162&gt;0, AL$133:AL$162), ROW(A17)))))</f>
        <v/>
      </c>
      <c r="AR149" t="str" cm="1">
        <f t="array" ref="AR149">IF(AM149="", "", IF(INDEX(H$133:H$162, SMALL(IF(AL$133:AL$162&gt;0, AL$133:AL$162), ROW(A17)))="", "", INDEX(H$133:H$162, SMALL(IF(AL$133:AL$162&gt;0, AL$133:AL$162), ROW(A17)))))</f>
        <v/>
      </c>
      <c r="AS149" t="str" cm="1">
        <f t="array" ref="AS149">IF(AM149="", "", IF(INDEX(I$133:I$162, SMALL(IF(AL$133:AL$162&gt;0, AL$133:AL$162), ROW(A17)))="", "", INDEX(I$133:I$162, SMALL(IF(AL$133:AL$162&gt;0, AL$133:AL$162), ROW(A17)))))</f>
        <v/>
      </c>
      <c r="AT149" t="str" cm="1">
        <f t="array" ref="AT149">IF(AM149="", "", IF(INDEX(J$133:J$162, SMALL(IF(AL$133:AL$162&gt;0, AL$133:AL$162), ROW(A17)))="", "", INDEX(J$133:J$162, SMALL(IF(AL$133:AL$162&gt;0, AL$133:AL$162), ROW(A17)))))</f>
        <v/>
      </c>
      <c r="AU149" t="str" cm="1">
        <f t="array" ref="AU149">IF(AM149="", "", IF(INDEX(K$133:K$162, SMALL(IF(AL$133:AL$162&gt;0, AL$133:AL$162), ROW(A17)))="", "", INDEX(K$133:K$162, SMALL(IF(AL$133:AL$162&gt;0, AL$133:AL$162), ROW(A17)))))</f>
        <v/>
      </c>
    </row>
    <row r="150" spans="2:47">
      <c r="B150" t="s">
        <v>1872</v>
      </c>
      <c r="C150" t="str">
        <f>IF(DEV_Contact_First_Name_2="","",UPPER(CONCATENATE(DEV_Contact_First_Name_2," ",DEV_Contact_Last_Name_2)))</f>
        <v/>
      </c>
      <c r="D150" t="str">
        <f t="shared" si="28"/>
        <v/>
      </c>
      <c r="E150" t="str">
        <f t="shared" si="29"/>
        <v/>
      </c>
      <c r="F150" t="str">
        <f>IF(DEV2_Email_Address="","",DEV2_Email_Address)</f>
        <v/>
      </c>
      <c r="K150" t="str">
        <f>IF(DEV2_Telephone_Number="","",DEV2_Telephone_Number)</f>
        <v/>
      </c>
      <c r="L150" t="str">
        <f t="shared" si="16"/>
        <v/>
      </c>
      <c r="M150" s="49" t="str">
        <f t="shared" si="17"/>
        <v/>
      </c>
      <c r="N150" s="49" t="str">
        <f t="shared" si="18"/>
        <v/>
      </c>
      <c r="O150" t="str">
        <f t="shared" si="2"/>
        <v/>
      </c>
      <c r="P150" t="str">
        <f t="shared" si="19"/>
        <v/>
      </c>
      <c r="Q150" t="str">
        <f t="shared" si="3"/>
        <v/>
      </c>
      <c r="R150" t="str">
        <f t="shared" si="20"/>
        <v/>
      </c>
      <c r="S150" t="str">
        <f t="shared" si="21"/>
        <v/>
      </c>
      <c r="T150" t="str">
        <f t="shared" si="22"/>
        <v/>
      </c>
      <c r="U150" t="str">
        <f t="shared" si="23"/>
        <v/>
      </c>
      <c r="V150" t="str">
        <f t="shared" si="24"/>
        <v/>
      </c>
      <c r="W150" t="str">
        <f t="shared" si="25"/>
        <v/>
      </c>
      <c r="X150" s="181"/>
      <c r="Z150" t="s">
        <v>1872</v>
      </c>
      <c r="AA150" t="str">
        <f t="shared" si="5"/>
        <v/>
      </c>
      <c r="AB150" s="52" t="str">
        <f t="shared" si="6"/>
        <v/>
      </c>
      <c r="AC150" s="52" t="str">
        <f t="shared" si="7"/>
        <v/>
      </c>
      <c r="AD150" t="str">
        <f t="shared" si="8"/>
        <v/>
      </c>
      <c r="AE150" t="str">
        <f t="shared" si="9"/>
        <v/>
      </c>
      <c r="AF150" t="str">
        <f t="shared" si="10"/>
        <v/>
      </c>
      <c r="AG150" t="str">
        <f t="shared" si="11"/>
        <v/>
      </c>
      <c r="AH150" t="str">
        <f t="shared" si="12"/>
        <v/>
      </c>
      <c r="AI150" s="52" t="str">
        <f t="shared" si="13"/>
        <v/>
      </c>
      <c r="AJ150" t="str">
        <f t="shared" si="14"/>
        <v/>
      </c>
      <c r="AK150" t="str">
        <f t="shared" si="15"/>
        <v/>
      </c>
      <c r="AL150">
        <f t="shared" si="26"/>
        <v>0</v>
      </c>
      <c r="AM150" t="str" cm="1">
        <f t="array" ref="AM150">IFERROR(INDEX(C$133:C$162, SMALL(IF(AL$133:AL$162&gt;0, AL$133:AL$162), ROW(A18))), "")</f>
        <v/>
      </c>
      <c r="AN150" t="str" cm="1">
        <f t="array" ref="AN150">IF(AM150="", "", INDEX(D$133:D$162, SMALL(IF(AL$133:AL$162&gt;0, AL$133:AL$162), ROW(A18))))</f>
        <v/>
      </c>
      <c r="AO150" t="str" cm="1">
        <f t="array" ref="AO150">IF(AM150="", "", INDEX(E$133:E$162, SMALL(IF(AL$133:AL$162&gt;0, AL$133:AL$162), ROW(A18))))</f>
        <v/>
      </c>
      <c r="AP150" t="str" cm="1">
        <f t="array" ref="AP150">IF(AM150="", "", IF(INDEX(F$133:F$162, SMALL(IF(AL$133:AL$162&gt;0, AL$133:AL$162), ROW(A18)))="", "", INDEX(F$133:F$162, SMALL(IF(AL$133:AL$162&gt;0, AL$133:AL$162), ROW(A18)))))</f>
        <v/>
      </c>
      <c r="AQ150" t="str" cm="1">
        <f t="array" ref="AQ150">IF(AM150="", "", IF(INDEX(G$133:G$162, SMALL(IF(AL$133:AL$162&gt;0, AL$133:AL$162), ROW(A18)))="", "", INDEX(G$133:G$162, SMALL(IF(AL$133:AL$162&gt;0, AL$133:AL$162), ROW(A18)))))</f>
        <v/>
      </c>
      <c r="AR150" t="str" cm="1">
        <f t="array" ref="AR150">IF(AM150="", "", IF(INDEX(H$133:H$162, SMALL(IF(AL$133:AL$162&gt;0, AL$133:AL$162), ROW(A18)))="", "", INDEX(H$133:H$162, SMALL(IF(AL$133:AL$162&gt;0, AL$133:AL$162), ROW(A18)))))</f>
        <v/>
      </c>
      <c r="AS150" t="str" cm="1">
        <f t="array" ref="AS150">IF(AM150="", "", IF(INDEX(I$133:I$162, SMALL(IF(AL$133:AL$162&gt;0, AL$133:AL$162), ROW(A18)))="", "", INDEX(I$133:I$162, SMALL(IF(AL$133:AL$162&gt;0, AL$133:AL$162), ROW(A18)))))</f>
        <v/>
      </c>
      <c r="AT150" t="str" cm="1">
        <f t="array" ref="AT150">IF(AM150="", "", IF(INDEX(J$133:J$162, SMALL(IF(AL$133:AL$162&gt;0, AL$133:AL$162), ROW(A18)))="", "", INDEX(J$133:J$162, SMALL(IF(AL$133:AL$162&gt;0, AL$133:AL$162), ROW(A18)))))</f>
        <v/>
      </c>
      <c r="AU150" t="str" cm="1">
        <f t="array" ref="AU150">IF(AM150="", "", IF(INDEX(K$133:K$162, SMALL(IF(AL$133:AL$162&gt;0, AL$133:AL$162), ROW(A18)))="", "", INDEX(K$133:K$162, SMALL(IF(AL$133:AL$162&gt;0, AL$133:AL$162), ROW(A18)))))</f>
        <v/>
      </c>
    </row>
    <row r="151" spans="2:47">
      <c r="B151" t="s">
        <v>1873</v>
      </c>
      <c r="C151" t="str">
        <f>IF(DEV_Contact_First_Name_3="","",UPPER(CONCATENATE(DEV_Contact_First_Name_3," ",DEV_Contact_Last_Name_3)))</f>
        <v/>
      </c>
      <c r="D151" t="str">
        <f t="shared" si="28"/>
        <v/>
      </c>
      <c r="E151" t="str">
        <f t="shared" si="29"/>
        <v/>
      </c>
      <c r="F151" t="str">
        <f>IF(DEV3_Email_Address="","",DEV3_Email_Address)</f>
        <v/>
      </c>
      <c r="K151" t="str">
        <f>IF(DEV3_Telephone_Number="","",DEV3_Telephone_Number)</f>
        <v/>
      </c>
      <c r="L151" t="str">
        <f t="shared" si="16"/>
        <v/>
      </c>
      <c r="M151" s="49" t="str">
        <f t="shared" si="17"/>
        <v/>
      </c>
      <c r="N151" s="49" t="str">
        <f t="shared" si="18"/>
        <v/>
      </c>
      <c r="O151" t="str">
        <f t="shared" si="2"/>
        <v/>
      </c>
      <c r="P151" t="str">
        <f t="shared" si="19"/>
        <v/>
      </c>
      <c r="Q151" t="str">
        <f t="shared" si="3"/>
        <v/>
      </c>
      <c r="R151" t="str">
        <f t="shared" si="20"/>
        <v/>
      </c>
      <c r="S151" t="str">
        <f t="shared" si="21"/>
        <v/>
      </c>
      <c r="T151" t="str">
        <f t="shared" si="22"/>
        <v/>
      </c>
      <c r="U151" t="str">
        <f t="shared" si="23"/>
        <v/>
      </c>
      <c r="V151" t="str">
        <f t="shared" si="24"/>
        <v/>
      </c>
      <c r="W151" t="str">
        <f t="shared" si="25"/>
        <v/>
      </c>
      <c r="X151" s="181"/>
      <c r="Z151" t="s">
        <v>1873</v>
      </c>
      <c r="AA151" t="str">
        <f t="shared" si="5"/>
        <v/>
      </c>
      <c r="AB151" s="52" t="str">
        <f t="shared" si="6"/>
        <v/>
      </c>
      <c r="AC151" s="52" t="str">
        <f t="shared" si="7"/>
        <v/>
      </c>
      <c r="AD151" t="str">
        <f t="shared" si="8"/>
        <v/>
      </c>
      <c r="AE151" t="str">
        <f t="shared" si="9"/>
        <v/>
      </c>
      <c r="AF151" t="str">
        <f t="shared" si="10"/>
        <v/>
      </c>
      <c r="AG151" t="str">
        <f t="shared" si="11"/>
        <v/>
      </c>
      <c r="AH151" t="str">
        <f t="shared" si="12"/>
        <v/>
      </c>
      <c r="AI151" s="52" t="str">
        <f t="shared" si="13"/>
        <v/>
      </c>
      <c r="AJ151" t="str">
        <f t="shared" si="14"/>
        <v/>
      </c>
      <c r="AK151" t="str">
        <f t="shared" si="15"/>
        <v/>
      </c>
      <c r="AL151">
        <f t="shared" si="26"/>
        <v>0</v>
      </c>
      <c r="AM151" t="str" cm="1">
        <f t="array" ref="AM151">IFERROR(INDEX(C$133:C$162, SMALL(IF(AL$133:AL$162&gt;0, AL$133:AL$162), ROW(A19))), "")</f>
        <v/>
      </c>
      <c r="AN151" t="str" cm="1">
        <f t="array" ref="AN151">IF(AM151="", "", INDEX(D$133:D$162, SMALL(IF(AL$133:AL$162&gt;0, AL$133:AL$162), ROW(A19))))</f>
        <v/>
      </c>
      <c r="AO151" t="str" cm="1">
        <f t="array" ref="AO151">IF(AM151="", "", INDEX(E$133:E$162, SMALL(IF(AL$133:AL$162&gt;0, AL$133:AL$162), ROW(A19))))</f>
        <v/>
      </c>
      <c r="AP151" t="str" cm="1">
        <f t="array" ref="AP151">IF(AM151="", "", IF(INDEX(F$133:F$162, SMALL(IF(AL$133:AL$162&gt;0, AL$133:AL$162), ROW(A19)))="", "", INDEX(F$133:F$162, SMALL(IF(AL$133:AL$162&gt;0, AL$133:AL$162), ROW(A19)))))</f>
        <v/>
      </c>
      <c r="AQ151" t="str" cm="1">
        <f t="array" ref="AQ151">IF(AM151="", "", IF(INDEX(G$133:G$162, SMALL(IF(AL$133:AL$162&gt;0, AL$133:AL$162), ROW(A19)))="", "", INDEX(G$133:G$162, SMALL(IF(AL$133:AL$162&gt;0, AL$133:AL$162), ROW(A19)))))</f>
        <v/>
      </c>
      <c r="AR151" t="str" cm="1">
        <f t="array" ref="AR151">IF(AM151="", "", IF(INDEX(H$133:H$162, SMALL(IF(AL$133:AL$162&gt;0, AL$133:AL$162), ROW(A19)))="", "", INDEX(H$133:H$162, SMALL(IF(AL$133:AL$162&gt;0, AL$133:AL$162), ROW(A19)))))</f>
        <v/>
      </c>
      <c r="AS151" t="str" cm="1">
        <f t="array" ref="AS151">IF(AM151="", "", IF(INDEX(I$133:I$162, SMALL(IF(AL$133:AL$162&gt;0, AL$133:AL$162), ROW(A19)))="", "", INDEX(I$133:I$162, SMALL(IF(AL$133:AL$162&gt;0, AL$133:AL$162), ROW(A19)))))</f>
        <v/>
      </c>
      <c r="AT151" t="str" cm="1">
        <f t="array" ref="AT151">IF(AM151="", "", IF(INDEX(J$133:J$162, SMALL(IF(AL$133:AL$162&gt;0, AL$133:AL$162), ROW(A19)))="", "", INDEX(J$133:J$162, SMALL(IF(AL$133:AL$162&gt;0, AL$133:AL$162), ROW(A19)))))</f>
        <v/>
      </c>
      <c r="AU151" t="str" cm="1">
        <f t="array" ref="AU151">IF(AM151="", "", IF(INDEX(K$133:K$162, SMALL(IF(AL$133:AL$162&gt;0, AL$133:AL$162), ROW(A19)))="", "", INDEX(K$133:K$162, SMALL(IF(AL$133:AL$162&gt;0, AL$133:AL$162), ROW(A19)))))</f>
        <v/>
      </c>
    </row>
    <row r="152" spans="2:47">
      <c r="B152" t="s">
        <v>1874</v>
      </c>
      <c r="C152" t="str">
        <f>IF(DEV_Contact_First_Name_4="","",UPPER(CONCATENATE(DEV_Contact_First_Name_4," ",DEV_Contact_Last_Name_4)))</f>
        <v/>
      </c>
      <c r="D152" t="str">
        <f t="shared" si="28"/>
        <v/>
      </c>
      <c r="E152" t="str">
        <f t="shared" si="29"/>
        <v/>
      </c>
      <c r="F152" t="str">
        <f>IF(DEV4_Email_Address="","",DEV4_Email_Address)</f>
        <v/>
      </c>
      <c r="K152" t="str">
        <f>IF(DEV4_Telephone_Number="","",DEV4_Telephone_Number)</f>
        <v/>
      </c>
      <c r="L152" t="str">
        <f t="shared" si="16"/>
        <v/>
      </c>
      <c r="M152" s="49" t="str">
        <f t="shared" si="17"/>
        <v/>
      </c>
      <c r="N152" s="49" t="str">
        <f t="shared" si="18"/>
        <v/>
      </c>
      <c r="O152" t="str">
        <f t="shared" si="2"/>
        <v/>
      </c>
      <c r="P152" t="str">
        <f t="shared" si="19"/>
        <v/>
      </c>
      <c r="Q152" t="str">
        <f t="shared" si="3"/>
        <v/>
      </c>
      <c r="R152" t="str">
        <f t="shared" si="20"/>
        <v/>
      </c>
      <c r="S152" t="str">
        <f t="shared" si="21"/>
        <v/>
      </c>
      <c r="T152" t="str">
        <f t="shared" si="22"/>
        <v/>
      </c>
      <c r="U152" t="str">
        <f t="shared" si="23"/>
        <v/>
      </c>
      <c r="V152" t="str">
        <f t="shared" si="24"/>
        <v/>
      </c>
      <c r="W152" t="str">
        <f t="shared" si="25"/>
        <v/>
      </c>
      <c r="X152" s="181"/>
      <c r="Z152" t="s">
        <v>1874</v>
      </c>
      <c r="AA152" t="str">
        <f t="shared" si="5"/>
        <v/>
      </c>
      <c r="AB152" s="52" t="str">
        <f t="shared" si="6"/>
        <v/>
      </c>
      <c r="AC152" s="52" t="str">
        <f t="shared" si="7"/>
        <v/>
      </c>
      <c r="AD152" t="str">
        <f t="shared" si="8"/>
        <v/>
      </c>
      <c r="AE152" t="str">
        <f t="shared" si="9"/>
        <v/>
      </c>
      <c r="AF152" t="str">
        <f t="shared" si="10"/>
        <v/>
      </c>
      <c r="AG152" t="str">
        <f t="shared" si="11"/>
        <v/>
      </c>
      <c r="AH152" t="str">
        <f t="shared" si="12"/>
        <v/>
      </c>
      <c r="AI152" s="52" t="str">
        <f t="shared" si="13"/>
        <v/>
      </c>
      <c r="AJ152" t="str">
        <f t="shared" si="14"/>
        <v/>
      </c>
      <c r="AK152" t="str">
        <f t="shared" si="15"/>
        <v/>
      </c>
      <c r="AL152">
        <f t="shared" si="26"/>
        <v>0</v>
      </c>
      <c r="AM152" t="str" cm="1">
        <f t="array" ref="AM152">IFERROR(INDEX(C$133:C$162, SMALL(IF(AL$133:AL$162&gt;0, AL$133:AL$162), ROW(A20))), "")</f>
        <v/>
      </c>
      <c r="AN152" t="str" cm="1">
        <f t="array" ref="AN152">IF(AM152="", "", INDEX(D$133:D$162, SMALL(IF(AL$133:AL$162&gt;0, AL$133:AL$162), ROW(A20))))</f>
        <v/>
      </c>
      <c r="AO152" t="str" cm="1">
        <f t="array" ref="AO152">IF(AM152="", "", INDEX(E$133:E$162, SMALL(IF(AL$133:AL$162&gt;0, AL$133:AL$162), ROW(A20))))</f>
        <v/>
      </c>
      <c r="AP152" t="str" cm="1">
        <f t="array" ref="AP152">IF(AM152="", "", IF(INDEX(F$133:F$162, SMALL(IF(AL$133:AL$162&gt;0, AL$133:AL$162), ROW(A20)))="", "", INDEX(F$133:F$162, SMALL(IF(AL$133:AL$162&gt;0, AL$133:AL$162), ROW(A20)))))</f>
        <v/>
      </c>
      <c r="AQ152" t="str" cm="1">
        <f t="array" ref="AQ152">IF(AM152="", "", IF(INDEX(G$133:G$162, SMALL(IF(AL$133:AL$162&gt;0, AL$133:AL$162), ROW(A20)))="", "", INDEX(G$133:G$162, SMALL(IF(AL$133:AL$162&gt;0, AL$133:AL$162), ROW(A20)))))</f>
        <v/>
      </c>
      <c r="AR152" t="str" cm="1">
        <f t="array" ref="AR152">IF(AM152="", "", IF(INDEX(H$133:H$162, SMALL(IF(AL$133:AL$162&gt;0, AL$133:AL$162), ROW(A20)))="", "", INDEX(H$133:H$162, SMALL(IF(AL$133:AL$162&gt;0, AL$133:AL$162), ROW(A20)))))</f>
        <v/>
      </c>
      <c r="AS152" t="str" cm="1">
        <f t="array" ref="AS152">IF(AM152="", "", IF(INDEX(I$133:I$162, SMALL(IF(AL$133:AL$162&gt;0, AL$133:AL$162), ROW(A20)))="", "", INDEX(I$133:I$162, SMALL(IF(AL$133:AL$162&gt;0, AL$133:AL$162), ROW(A20)))))</f>
        <v/>
      </c>
      <c r="AT152" t="str" cm="1">
        <f t="array" ref="AT152">IF(AM152="", "", IF(INDEX(J$133:J$162, SMALL(IF(AL$133:AL$162&gt;0, AL$133:AL$162), ROW(A20)))="", "", INDEX(J$133:J$162, SMALL(IF(AL$133:AL$162&gt;0, AL$133:AL$162), ROW(A20)))))</f>
        <v/>
      </c>
      <c r="AU152" t="str" cm="1">
        <f t="array" ref="AU152">IF(AM152="", "", IF(INDEX(K$133:K$162, SMALL(IF(AL$133:AL$162&gt;0, AL$133:AL$162), ROW(A20)))="", "", INDEX(K$133:K$162, SMALL(IF(AL$133:AL$162&gt;0, AL$133:AL$162), ROW(A20)))))</f>
        <v/>
      </c>
    </row>
    <row r="153" spans="2:47">
      <c r="B153" t="s">
        <v>1875</v>
      </c>
      <c r="C153" t="str">
        <f>IF(Mgmt_Contact_First_Name="","",UPPER(CONCATENATE(Mgmt_Contact_First_Name," ",Mgmt_Contact_Last_Name)))</f>
        <v/>
      </c>
      <c r="D153" t="str">
        <f t="shared" si="28"/>
        <v/>
      </c>
      <c r="E153" t="str">
        <f>IF(C153="","","Management Entity")</f>
        <v/>
      </c>
      <c r="L153" t="str">
        <f t="shared" si="16"/>
        <v/>
      </c>
      <c r="M153" s="49" t="str">
        <f t="shared" si="17"/>
        <v/>
      </c>
      <c r="N153" s="49" t="str">
        <f t="shared" si="18"/>
        <v/>
      </c>
      <c r="O153" t="str">
        <f t="shared" si="2"/>
        <v/>
      </c>
      <c r="P153" t="str">
        <f t="shared" si="19"/>
        <v/>
      </c>
      <c r="Q153" t="str">
        <f t="shared" si="3"/>
        <v/>
      </c>
      <c r="R153" t="str">
        <f t="shared" si="20"/>
        <v/>
      </c>
      <c r="S153" t="str">
        <f t="shared" si="21"/>
        <v/>
      </c>
      <c r="T153" t="str">
        <f t="shared" si="22"/>
        <v/>
      </c>
      <c r="U153" t="str">
        <f t="shared" si="23"/>
        <v/>
      </c>
      <c r="V153" t="str">
        <f t="shared" si="24"/>
        <v/>
      </c>
      <c r="W153" t="str">
        <f t="shared" si="25"/>
        <v/>
      </c>
      <c r="X153" s="181"/>
      <c r="Z153" t="s">
        <v>1875</v>
      </c>
      <c r="AA153" t="str">
        <f t="shared" si="5"/>
        <v/>
      </c>
      <c r="AB153" s="52" t="str">
        <f t="shared" si="6"/>
        <v/>
      </c>
      <c r="AC153" s="52" t="str">
        <f t="shared" si="7"/>
        <v/>
      </c>
      <c r="AD153" t="str">
        <f t="shared" si="8"/>
        <v/>
      </c>
      <c r="AE153" t="str">
        <f t="shared" si="9"/>
        <v/>
      </c>
      <c r="AF153" t="str">
        <f t="shared" si="10"/>
        <v/>
      </c>
      <c r="AG153" t="str">
        <f t="shared" si="11"/>
        <v/>
      </c>
      <c r="AH153" t="str">
        <f t="shared" si="12"/>
        <v/>
      </c>
      <c r="AI153" s="52" t="str">
        <f t="shared" si="13"/>
        <v/>
      </c>
      <c r="AJ153" t="str">
        <f t="shared" si="14"/>
        <v/>
      </c>
      <c r="AK153" t="str">
        <f t="shared" si="15"/>
        <v/>
      </c>
      <c r="AL153">
        <f t="shared" si="26"/>
        <v>0</v>
      </c>
      <c r="AM153" t="str" cm="1">
        <f t="array" ref="AM153">IFERROR(INDEX(C$133:C$162, SMALL(IF(AL$133:AL$162&gt;0, AL$133:AL$162), ROW(A21))), "")</f>
        <v/>
      </c>
      <c r="AN153" t="str" cm="1">
        <f t="array" ref="AN153">IF(AM153="", "", INDEX(D$133:D$162, SMALL(IF(AL$133:AL$162&gt;0, AL$133:AL$162), ROW(A21))))</f>
        <v/>
      </c>
      <c r="AO153" t="str" cm="1">
        <f t="array" ref="AO153">IF(AM153="", "", INDEX(E$133:E$162, SMALL(IF(AL$133:AL$162&gt;0, AL$133:AL$162), ROW(A21))))</f>
        <v/>
      </c>
      <c r="AP153" t="str" cm="1">
        <f t="array" ref="AP153">IF(AM153="", "", IF(INDEX(F$133:F$162, SMALL(IF(AL$133:AL$162&gt;0, AL$133:AL$162), ROW(A21)))="", "", INDEX(F$133:F$162, SMALL(IF(AL$133:AL$162&gt;0, AL$133:AL$162), ROW(A21)))))</f>
        <v/>
      </c>
      <c r="AQ153" t="str" cm="1">
        <f t="array" ref="AQ153">IF(AM153="", "", IF(INDEX(G$133:G$162, SMALL(IF(AL$133:AL$162&gt;0, AL$133:AL$162), ROW(A21)))="", "", INDEX(G$133:G$162, SMALL(IF(AL$133:AL$162&gt;0, AL$133:AL$162), ROW(A21)))))</f>
        <v/>
      </c>
      <c r="AR153" t="str" cm="1">
        <f t="array" ref="AR153">IF(AM153="", "", IF(INDEX(H$133:H$162, SMALL(IF(AL$133:AL$162&gt;0, AL$133:AL$162), ROW(A21)))="", "", INDEX(H$133:H$162, SMALL(IF(AL$133:AL$162&gt;0, AL$133:AL$162), ROW(A21)))))</f>
        <v/>
      </c>
      <c r="AS153" t="str" cm="1">
        <f t="array" ref="AS153">IF(AM153="", "", IF(INDEX(I$133:I$162, SMALL(IF(AL$133:AL$162&gt;0, AL$133:AL$162), ROW(A21)))="", "", INDEX(I$133:I$162, SMALL(IF(AL$133:AL$162&gt;0, AL$133:AL$162), ROW(A21)))))</f>
        <v/>
      </c>
      <c r="AT153" t="str" cm="1">
        <f t="array" ref="AT153">IF(AM153="", "", IF(INDEX(J$133:J$162, SMALL(IF(AL$133:AL$162&gt;0, AL$133:AL$162), ROW(A21)))="", "", INDEX(J$133:J$162, SMALL(IF(AL$133:AL$162&gt;0, AL$133:AL$162), ROW(A21)))))</f>
        <v/>
      </c>
      <c r="AU153" t="str" cm="1">
        <f t="array" ref="AU153">IF(AM153="", "", IF(INDEX(K$133:K$162, SMALL(IF(AL$133:AL$162&gt;0, AL$133:AL$162), ROW(A21)))="", "", INDEX(K$133:K$162, SMALL(IF(AL$133:AL$162&gt;0, AL$133:AL$162), ROW(A21)))))</f>
        <v/>
      </c>
    </row>
    <row r="154" spans="2:47">
      <c r="B154" t="s">
        <v>1876</v>
      </c>
      <c r="C154" t="str">
        <f>IF(Consultant_Contact_First_Name="","",UPPER(CONCATENATE(Consultant_Contact_First_Name," ",Consultant_Contact_Last_Name)))</f>
        <v/>
      </c>
      <c r="D154" t="str">
        <f t="shared" si="28"/>
        <v/>
      </c>
      <c r="E154" t="str">
        <f>IF(C154="","","Consultant/Application Preparer")</f>
        <v/>
      </c>
      <c r="L154" t="str">
        <f t="shared" si="16"/>
        <v/>
      </c>
      <c r="M154" s="49" t="str">
        <f t="shared" si="17"/>
        <v/>
      </c>
      <c r="N154" s="49" t="str">
        <f t="shared" si="18"/>
        <v/>
      </c>
      <c r="O154" t="str">
        <f t="shared" si="2"/>
        <v/>
      </c>
      <c r="P154" t="str">
        <f t="shared" si="19"/>
        <v/>
      </c>
      <c r="Q154" t="str">
        <f t="shared" si="3"/>
        <v/>
      </c>
      <c r="R154" t="str">
        <f t="shared" si="20"/>
        <v/>
      </c>
      <c r="S154" t="str">
        <f t="shared" si="21"/>
        <v/>
      </c>
      <c r="T154" t="str">
        <f t="shared" si="22"/>
        <v/>
      </c>
      <c r="U154" t="str">
        <f t="shared" si="23"/>
        <v/>
      </c>
      <c r="V154" t="str">
        <f t="shared" si="24"/>
        <v/>
      </c>
      <c r="W154" t="str">
        <f t="shared" si="25"/>
        <v/>
      </c>
      <c r="X154" s="181"/>
      <c r="Z154" t="s">
        <v>1876</v>
      </c>
      <c r="AA154" t="str">
        <f t="shared" si="5"/>
        <v/>
      </c>
      <c r="AB154" s="52" t="str">
        <f t="shared" si="6"/>
        <v/>
      </c>
      <c r="AC154" s="52" t="str">
        <f t="shared" si="7"/>
        <v/>
      </c>
      <c r="AD154" t="str">
        <f t="shared" si="8"/>
        <v/>
      </c>
      <c r="AE154" t="str">
        <f t="shared" si="9"/>
        <v/>
      </c>
      <c r="AF154" t="str">
        <f t="shared" si="10"/>
        <v/>
      </c>
      <c r="AG154" t="str">
        <f t="shared" si="11"/>
        <v/>
      </c>
      <c r="AH154" t="str">
        <f t="shared" si="12"/>
        <v/>
      </c>
      <c r="AI154" s="52" t="str">
        <f t="shared" si="13"/>
        <v/>
      </c>
      <c r="AJ154" t="str">
        <f t="shared" si="14"/>
        <v/>
      </c>
      <c r="AK154" t="str">
        <f t="shared" si="15"/>
        <v/>
      </c>
      <c r="AL154">
        <f t="shared" si="26"/>
        <v>0</v>
      </c>
      <c r="AM154" t="str" cm="1">
        <f t="array" ref="AM154">IFERROR(INDEX(C$133:C$162, SMALL(IF(AL$133:AL$162&gt;0, AL$133:AL$162), ROW(A22))), "")</f>
        <v/>
      </c>
      <c r="AN154" t="str" cm="1">
        <f t="array" ref="AN154">IF(AM154="", "", INDEX(D$133:D$162, SMALL(IF(AL$133:AL$162&gt;0, AL$133:AL$162), ROW(A22))))</f>
        <v/>
      </c>
      <c r="AO154" t="str" cm="1">
        <f t="array" ref="AO154">IF(AM154="", "", INDEX(E$133:E$162, SMALL(IF(AL$133:AL$162&gt;0, AL$133:AL$162), ROW(A22))))</f>
        <v/>
      </c>
      <c r="AP154" t="str" cm="1">
        <f t="array" ref="AP154">IF(AM154="", "", IF(INDEX(F$133:F$162, SMALL(IF(AL$133:AL$162&gt;0, AL$133:AL$162), ROW(A22)))="", "", INDEX(F$133:F$162, SMALL(IF(AL$133:AL$162&gt;0, AL$133:AL$162), ROW(A22)))))</f>
        <v/>
      </c>
      <c r="AQ154" t="str" cm="1">
        <f t="array" ref="AQ154">IF(AM154="", "", IF(INDEX(G$133:G$162, SMALL(IF(AL$133:AL$162&gt;0, AL$133:AL$162), ROW(A22)))="", "", INDEX(G$133:G$162, SMALL(IF(AL$133:AL$162&gt;0, AL$133:AL$162), ROW(A22)))))</f>
        <v/>
      </c>
      <c r="AR154" t="str" cm="1">
        <f t="array" ref="AR154">IF(AM154="", "", IF(INDEX(H$133:H$162, SMALL(IF(AL$133:AL$162&gt;0, AL$133:AL$162), ROW(A22)))="", "", INDEX(H$133:H$162, SMALL(IF(AL$133:AL$162&gt;0, AL$133:AL$162), ROW(A22)))))</f>
        <v/>
      </c>
      <c r="AS154" t="str" cm="1">
        <f t="array" ref="AS154">IF(AM154="", "", IF(INDEX(I$133:I$162, SMALL(IF(AL$133:AL$162&gt;0, AL$133:AL$162), ROW(A22)))="", "", INDEX(I$133:I$162, SMALL(IF(AL$133:AL$162&gt;0, AL$133:AL$162), ROW(A22)))))</f>
        <v/>
      </c>
      <c r="AT154" t="str" cm="1">
        <f t="array" ref="AT154">IF(AM154="", "", IF(INDEX(J$133:J$162, SMALL(IF(AL$133:AL$162&gt;0, AL$133:AL$162), ROW(A22)))="", "", INDEX(J$133:J$162, SMALL(IF(AL$133:AL$162&gt;0, AL$133:AL$162), ROW(A22)))))</f>
        <v/>
      </c>
      <c r="AU154" t="str" cm="1">
        <f t="array" ref="AU154">IF(AM154="", "", IF(INDEX(K$133:K$162, SMALL(IF(AL$133:AL$162&gt;0, AL$133:AL$162), ROW(A22)))="", "", INDEX(K$133:K$162, SMALL(IF(AL$133:AL$162&gt;0, AL$133:AL$162), ROW(A22)))))</f>
        <v/>
      </c>
    </row>
    <row r="155" spans="2:47">
      <c r="B155" t="s">
        <v>1877</v>
      </c>
      <c r="C155" t="str">
        <f>IF(Contractor_Contact_First_Name="","",UPPER(CONCATENATE(Contractor_Contact_First_Name," ",Contractor_Contact_Last_Name)))</f>
        <v/>
      </c>
      <c r="D155" t="str">
        <f t="shared" si="28"/>
        <v/>
      </c>
      <c r="E155" t="str">
        <f>IF(C155="","","General Contractor")</f>
        <v/>
      </c>
      <c r="L155" t="str">
        <f t="shared" si="16"/>
        <v/>
      </c>
      <c r="M155" s="49" t="str">
        <f t="shared" si="17"/>
        <v/>
      </c>
      <c r="N155" s="49" t="str">
        <f t="shared" si="18"/>
        <v/>
      </c>
      <c r="O155" t="str">
        <f t="shared" si="2"/>
        <v/>
      </c>
      <c r="P155" t="str">
        <f t="shared" si="19"/>
        <v/>
      </c>
      <c r="Q155" t="str">
        <f t="shared" si="3"/>
        <v/>
      </c>
      <c r="R155" t="str">
        <f t="shared" si="20"/>
        <v/>
      </c>
      <c r="S155" t="str">
        <f t="shared" si="21"/>
        <v/>
      </c>
      <c r="T155" t="str">
        <f t="shared" si="22"/>
        <v/>
      </c>
      <c r="U155" t="str">
        <f t="shared" si="23"/>
        <v/>
      </c>
      <c r="V155" t="str">
        <f t="shared" si="24"/>
        <v/>
      </c>
      <c r="W155" t="str">
        <f t="shared" si="25"/>
        <v/>
      </c>
      <c r="X155" s="181"/>
      <c r="Z155" t="s">
        <v>1877</v>
      </c>
      <c r="AA155" t="str">
        <f t="shared" si="5"/>
        <v/>
      </c>
      <c r="AB155" s="52" t="str">
        <f t="shared" si="6"/>
        <v/>
      </c>
      <c r="AC155" s="52" t="str">
        <f t="shared" si="7"/>
        <v/>
      </c>
      <c r="AD155" t="str">
        <f t="shared" si="8"/>
        <v/>
      </c>
      <c r="AE155" t="str">
        <f t="shared" si="9"/>
        <v/>
      </c>
      <c r="AF155" t="str">
        <f t="shared" si="10"/>
        <v/>
      </c>
      <c r="AG155" t="str">
        <f t="shared" si="11"/>
        <v/>
      </c>
      <c r="AH155" t="str">
        <f t="shared" si="12"/>
        <v/>
      </c>
      <c r="AI155" s="52" t="str">
        <f t="shared" si="13"/>
        <v/>
      </c>
      <c r="AJ155" t="str">
        <f t="shared" si="14"/>
        <v/>
      </c>
      <c r="AK155" t="str">
        <f t="shared" si="15"/>
        <v/>
      </c>
      <c r="AL155">
        <f t="shared" si="26"/>
        <v>0</v>
      </c>
      <c r="AM155" t="str" cm="1">
        <f t="array" ref="AM155">IFERROR(INDEX(C$133:C$162, SMALL(IF(AL$133:AL$162&gt;0, AL$133:AL$162), ROW(A23))), "")</f>
        <v/>
      </c>
      <c r="AN155" t="str" cm="1">
        <f t="array" ref="AN155">IF(AM155="", "", INDEX(D$133:D$162, SMALL(IF(AL$133:AL$162&gt;0, AL$133:AL$162), ROW(A23))))</f>
        <v/>
      </c>
      <c r="AO155" t="str" cm="1">
        <f t="array" ref="AO155">IF(AM155="", "", INDEX(E$133:E$162, SMALL(IF(AL$133:AL$162&gt;0, AL$133:AL$162), ROW(A23))))</f>
        <v/>
      </c>
      <c r="AP155" t="str" cm="1">
        <f t="array" ref="AP155">IF(AM155="", "", IF(INDEX(F$133:F$162, SMALL(IF(AL$133:AL$162&gt;0, AL$133:AL$162), ROW(A23)))="", "", INDEX(F$133:F$162, SMALL(IF(AL$133:AL$162&gt;0, AL$133:AL$162), ROW(A23)))))</f>
        <v/>
      </c>
      <c r="AQ155" t="str" cm="1">
        <f t="array" ref="AQ155">IF(AM155="", "", IF(INDEX(G$133:G$162, SMALL(IF(AL$133:AL$162&gt;0, AL$133:AL$162), ROW(A23)))="", "", INDEX(G$133:G$162, SMALL(IF(AL$133:AL$162&gt;0, AL$133:AL$162), ROW(A23)))))</f>
        <v/>
      </c>
      <c r="AR155" t="str" cm="1">
        <f t="array" ref="AR155">IF(AM155="", "", IF(INDEX(H$133:H$162, SMALL(IF(AL$133:AL$162&gt;0, AL$133:AL$162), ROW(A23)))="", "", INDEX(H$133:H$162, SMALL(IF(AL$133:AL$162&gt;0, AL$133:AL$162), ROW(A23)))))</f>
        <v/>
      </c>
      <c r="AS155" t="str" cm="1">
        <f t="array" ref="AS155">IF(AM155="", "", IF(INDEX(I$133:I$162, SMALL(IF(AL$133:AL$162&gt;0, AL$133:AL$162), ROW(A23)))="", "", INDEX(I$133:I$162, SMALL(IF(AL$133:AL$162&gt;0, AL$133:AL$162), ROW(A23)))))</f>
        <v/>
      </c>
      <c r="AT155" t="str" cm="1">
        <f t="array" ref="AT155">IF(AM155="", "", IF(INDEX(J$133:J$162, SMALL(IF(AL$133:AL$162&gt;0, AL$133:AL$162), ROW(A23)))="", "", INDEX(J$133:J$162, SMALL(IF(AL$133:AL$162&gt;0, AL$133:AL$162), ROW(A23)))))</f>
        <v/>
      </c>
      <c r="AU155" t="str" cm="1">
        <f t="array" ref="AU155">IF(AM155="", "", IF(INDEX(K$133:K$162, SMALL(IF(AL$133:AL$162&gt;0, AL$133:AL$162), ROW(A23)))="", "", INDEX(K$133:K$162, SMALL(IF(AL$133:AL$162&gt;0, AL$133:AL$162), ROW(A23)))))</f>
        <v/>
      </c>
    </row>
    <row r="156" spans="2:47">
      <c r="B156" t="s">
        <v>1878</v>
      </c>
      <c r="C156" t="str">
        <f>IF(Syndicator_First_Name="","",UPPER(CONCATENATE(Syndicator_First_Name," ",Syndicator_Last_Name)))</f>
        <v/>
      </c>
      <c r="D156" t="str">
        <f t="shared" si="28"/>
        <v/>
      </c>
      <c r="E156" t="str">
        <f>IF(C156="","","Equity Investor/Syndicator")</f>
        <v/>
      </c>
      <c r="L156" t="str">
        <f t="shared" si="16"/>
        <v/>
      </c>
      <c r="M156" s="49" t="str">
        <f t="shared" si="17"/>
        <v/>
      </c>
      <c r="N156" s="49" t="str">
        <f t="shared" si="18"/>
        <v/>
      </c>
      <c r="O156" t="str">
        <f t="shared" si="2"/>
        <v/>
      </c>
      <c r="P156" t="str">
        <f t="shared" si="19"/>
        <v/>
      </c>
      <c r="Q156" t="str">
        <f t="shared" si="3"/>
        <v/>
      </c>
      <c r="R156" t="str">
        <f t="shared" si="20"/>
        <v/>
      </c>
      <c r="S156" t="str">
        <f t="shared" si="21"/>
        <v/>
      </c>
      <c r="T156" t="str">
        <f t="shared" si="22"/>
        <v/>
      </c>
      <c r="U156" t="str">
        <f t="shared" si="23"/>
        <v/>
      </c>
      <c r="V156" t="str">
        <f t="shared" si="24"/>
        <v/>
      </c>
      <c r="W156" t="str">
        <f t="shared" si="25"/>
        <v/>
      </c>
      <c r="X156" s="181"/>
      <c r="Z156" t="s">
        <v>1878</v>
      </c>
      <c r="AA156" t="str">
        <f t="shared" si="5"/>
        <v/>
      </c>
      <c r="AB156" s="52" t="str">
        <f t="shared" si="6"/>
        <v/>
      </c>
      <c r="AC156" s="52" t="str">
        <f t="shared" si="7"/>
        <v/>
      </c>
      <c r="AD156" t="str">
        <f t="shared" si="8"/>
        <v/>
      </c>
      <c r="AE156" t="str">
        <f t="shared" si="9"/>
        <v/>
      </c>
      <c r="AF156" t="str">
        <f t="shared" si="10"/>
        <v/>
      </c>
      <c r="AG156" t="str">
        <f t="shared" si="11"/>
        <v/>
      </c>
      <c r="AH156" t="str">
        <f t="shared" si="12"/>
        <v/>
      </c>
      <c r="AI156" s="52" t="str">
        <f t="shared" si="13"/>
        <v/>
      </c>
      <c r="AJ156" t="str">
        <f t="shared" si="14"/>
        <v/>
      </c>
      <c r="AK156" t="str">
        <f t="shared" si="15"/>
        <v/>
      </c>
      <c r="AL156">
        <f t="shared" si="26"/>
        <v>0</v>
      </c>
      <c r="AM156" t="str" cm="1">
        <f t="array" ref="AM156">IFERROR(INDEX(C$133:C$162, SMALL(IF(AL$133:AL$162&gt;0, AL$133:AL$162), ROW(A24))), "")</f>
        <v/>
      </c>
      <c r="AN156" t="str" cm="1">
        <f t="array" ref="AN156">IF(AM156="", "", INDEX(D$133:D$162, SMALL(IF(AL$133:AL$162&gt;0, AL$133:AL$162), ROW(A24))))</f>
        <v/>
      </c>
      <c r="AO156" t="str" cm="1">
        <f t="array" ref="AO156">IF(AM156="", "", INDEX(E$133:E$162, SMALL(IF(AL$133:AL$162&gt;0, AL$133:AL$162), ROW(A24))))</f>
        <v/>
      </c>
      <c r="AP156" t="str" cm="1">
        <f t="array" ref="AP156">IF(AM156="", "", IF(INDEX(F$133:F$162, SMALL(IF(AL$133:AL$162&gt;0, AL$133:AL$162), ROW(A24)))="", "", INDEX(F$133:F$162, SMALL(IF(AL$133:AL$162&gt;0, AL$133:AL$162), ROW(A24)))))</f>
        <v/>
      </c>
      <c r="AQ156" t="str" cm="1">
        <f t="array" ref="AQ156">IF(AM156="", "", IF(INDEX(G$133:G$162, SMALL(IF(AL$133:AL$162&gt;0, AL$133:AL$162), ROW(A24)))="", "", INDEX(G$133:G$162, SMALL(IF(AL$133:AL$162&gt;0, AL$133:AL$162), ROW(A24)))))</f>
        <v/>
      </c>
      <c r="AR156" t="str" cm="1">
        <f t="array" ref="AR156">IF(AM156="", "", IF(INDEX(H$133:H$162, SMALL(IF(AL$133:AL$162&gt;0, AL$133:AL$162), ROW(A24)))="", "", INDEX(H$133:H$162, SMALL(IF(AL$133:AL$162&gt;0, AL$133:AL$162), ROW(A24)))))</f>
        <v/>
      </c>
      <c r="AS156" t="str" cm="1">
        <f t="array" ref="AS156">IF(AM156="", "", IF(INDEX(I$133:I$162, SMALL(IF(AL$133:AL$162&gt;0, AL$133:AL$162), ROW(A24)))="", "", INDEX(I$133:I$162, SMALL(IF(AL$133:AL$162&gt;0, AL$133:AL$162), ROW(A24)))))</f>
        <v/>
      </c>
      <c r="AT156" t="str" cm="1">
        <f t="array" ref="AT156">IF(AM156="", "", IF(INDEX(J$133:J$162, SMALL(IF(AL$133:AL$162&gt;0, AL$133:AL$162), ROW(A24)))="", "", INDEX(J$133:J$162, SMALL(IF(AL$133:AL$162&gt;0, AL$133:AL$162), ROW(A24)))))</f>
        <v/>
      </c>
      <c r="AU156" t="str" cm="1">
        <f t="array" ref="AU156">IF(AM156="", "", IF(INDEX(K$133:K$162, SMALL(IF(AL$133:AL$162&gt;0, AL$133:AL$162), ROW(A24)))="", "", INDEX(K$133:K$162, SMALL(IF(AL$133:AL$162&gt;0, AL$133:AL$162), ROW(A24)))))</f>
        <v/>
      </c>
    </row>
    <row r="157" spans="2:47">
      <c r="B157" t="s">
        <v>1879</v>
      </c>
      <c r="C157" t="str">
        <f>IF(DA_First_Name="","",UPPER(CONCATENATE(DA_First_Name," ",DA_Last_Name)))</f>
        <v/>
      </c>
      <c r="D157" t="str">
        <f t="shared" si="28"/>
        <v/>
      </c>
      <c r="E157" t="str">
        <f>IF(C157="","","Architect")</f>
        <v/>
      </c>
      <c r="L157" t="str">
        <f t="shared" si="16"/>
        <v/>
      </c>
      <c r="M157" s="49" t="str">
        <f t="shared" si="17"/>
        <v/>
      </c>
      <c r="N157" s="49" t="str">
        <f t="shared" si="18"/>
        <v/>
      </c>
      <c r="O157" t="str">
        <f t="shared" si="2"/>
        <v/>
      </c>
      <c r="P157" t="str">
        <f t="shared" si="19"/>
        <v/>
      </c>
      <c r="Q157" t="str">
        <f t="shared" si="3"/>
        <v/>
      </c>
      <c r="R157" t="str">
        <f t="shared" si="20"/>
        <v/>
      </c>
      <c r="S157" t="str">
        <f t="shared" si="21"/>
        <v/>
      </c>
      <c r="T157" t="str">
        <f t="shared" si="22"/>
        <v/>
      </c>
      <c r="U157" t="str">
        <f t="shared" si="23"/>
        <v/>
      </c>
      <c r="V157" t="str">
        <f t="shared" si="24"/>
        <v/>
      </c>
      <c r="W157" t="str">
        <f t="shared" si="25"/>
        <v/>
      </c>
      <c r="X157" s="181"/>
      <c r="Z157" t="s">
        <v>1879</v>
      </c>
      <c r="AA157" t="str">
        <f t="shared" si="5"/>
        <v/>
      </c>
      <c r="AB157" s="52" t="str">
        <f t="shared" si="6"/>
        <v/>
      </c>
      <c r="AC157" s="52" t="str">
        <f t="shared" si="7"/>
        <v/>
      </c>
      <c r="AD157" t="str">
        <f t="shared" si="8"/>
        <v/>
      </c>
      <c r="AE157" t="str">
        <f t="shared" si="9"/>
        <v/>
      </c>
      <c r="AF157" t="str">
        <f t="shared" si="10"/>
        <v/>
      </c>
      <c r="AG157" t="str">
        <f t="shared" si="11"/>
        <v/>
      </c>
      <c r="AH157" t="str">
        <f t="shared" si="12"/>
        <v/>
      </c>
      <c r="AI157" s="52" t="str">
        <f t="shared" si="13"/>
        <v/>
      </c>
      <c r="AJ157" t="str">
        <f t="shared" si="14"/>
        <v/>
      </c>
      <c r="AK157" t="str">
        <f t="shared" si="15"/>
        <v/>
      </c>
      <c r="AL157">
        <f t="shared" si="26"/>
        <v>0</v>
      </c>
      <c r="AM157" t="str" cm="1">
        <f t="array" ref="AM157">IFERROR(INDEX(C$133:C$162, SMALL(IF(AL$133:AL$162&gt;0, AL$133:AL$162), ROW(A25))), "")</f>
        <v/>
      </c>
      <c r="AN157" t="str" cm="1">
        <f t="array" ref="AN157">IF(AM157="", "", INDEX(D$133:D$162, SMALL(IF(AL$133:AL$162&gt;0, AL$133:AL$162), ROW(A25))))</f>
        <v/>
      </c>
      <c r="AO157" t="str" cm="1">
        <f t="array" ref="AO157">IF(AM157="", "", INDEX(E$133:E$162, SMALL(IF(AL$133:AL$162&gt;0, AL$133:AL$162), ROW(A25))))</f>
        <v/>
      </c>
      <c r="AP157" t="str" cm="1">
        <f t="array" ref="AP157">IF(AM157="", "", IF(INDEX(F$133:F$162, SMALL(IF(AL$133:AL$162&gt;0, AL$133:AL$162), ROW(A25)))="", "", INDEX(F$133:F$162, SMALL(IF(AL$133:AL$162&gt;0, AL$133:AL$162), ROW(A25)))))</f>
        <v/>
      </c>
      <c r="AQ157" t="str" cm="1">
        <f t="array" ref="AQ157">IF(AM157="", "", IF(INDEX(G$133:G$162, SMALL(IF(AL$133:AL$162&gt;0, AL$133:AL$162), ROW(A25)))="", "", INDEX(G$133:G$162, SMALL(IF(AL$133:AL$162&gt;0, AL$133:AL$162), ROW(A25)))))</f>
        <v/>
      </c>
      <c r="AR157" t="str" cm="1">
        <f t="array" ref="AR157">IF(AM157="", "", IF(INDEX(H$133:H$162, SMALL(IF(AL$133:AL$162&gt;0, AL$133:AL$162), ROW(A25)))="", "", INDEX(H$133:H$162, SMALL(IF(AL$133:AL$162&gt;0, AL$133:AL$162), ROW(A25)))))</f>
        <v/>
      </c>
      <c r="AS157" t="str" cm="1">
        <f t="array" ref="AS157">IF(AM157="", "", IF(INDEX(I$133:I$162, SMALL(IF(AL$133:AL$162&gt;0, AL$133:AL$162), ROW(A25)))="", "", INDEX(I$133:I$162, SMALL(IF(AL$133:AL$162&gt;0, AL$133:AL$162), ROW(A25)))))</f>
        <v/>
      </c>
      <c r="AT157" t="str" cm="1">
        <f t="array" ref="AT157">IF(AM157="", "", IF(INDEX(J$133:J$162, SMALL(IF(AL$133:AL$162&gt;0, AL$133:AL$162), ROW(A25)))="", "", INDEX(J$133:J$162, SMALL(IF(AL$133:AL$162&gt;0, AL$133:AL$162), ROW(A25)))))</f>
        <v/>
      </c>
      <c r="AU157" t="str" cm="1">
        <f t="array" ref="AU157">IF(AM157="", "", IF(INDEX(K$133:K$162, SMALL(IF(AL$133:AL$162&gt;0, AL$133:AL$162), ROW(A25)))="", "", INDEX(K$133:K$162, SMALL(IF(AL$133:AL$162&gt;0, AL$133:AL$162), ROW(A25)))))</f>
        <v/>
      </c>
    </row>
    <row r="158" spans="2:47">
      <c r="B158" t="s">
        <v>1880</v>
      </c>
      <c r="C158" t="str">
        <f>IF(Architect_Contact_First_Name="","",UPPER(CONCATENATE(Architect_Contact_First_Name," ",Architect_Contact_Last_Name)))</f>
        <v/>
      </c>
      <c r="D158" t="str">
        <f t="shared" si="28"/>
        <v/>
      </c>
      <c r="E158" t="str">
        <f>IF(C158="","","Architect")</f>
        <v/>
      </c>
      <c r="L158" t="str">
        <f t="shared" si="16"/>
        <v/>
      </c>
      <c r="M158" s="49" t="str">
        <f t="shared" si="17"/>
        <v/>
      </c>
      <c r="N158" s="49" t="str">
        <f t="shared" si="18"/>
        <v/>
      </c>
      <c r="O158" t="str">
        <f t="shared" si="2"/>
        <v/>
      </c>
      <c r="P158" t="str">
        <f t="shared" si="19"/>
        <v/>
      </c>
      <c r="Q158" t="str">
        <f t="shared" si="3"/>
        <v/>
      </c>
      <c r="R158" t="str">
        <f t="shared" si="20"/>
        <v/>
      </c>
      <c r="S158" t="str">
        <f t="shared" si="21"/>
        <v/>
      </c>
      <c r="T158" t="str">
        <f t="shared" si="22"/>
        <v/>
      </c>
      <c r="U158" t="str">
        <f t="shared" si="23"/>
        <v/>
      </c>
      <c r="V158" t="str">
        <f t="shared" si="24"/>
        <v/>
      </c>
      <c r="W158" t="str">
        <f t="shared" si="25"/>
        <v/>
      </c>
      <c r="X158" s="181"/>
      <c r="Z158" t="s">
        <v>1880</v>
      </c>
      <c r="AA158" t="str">
        <f t="shared" si="5"/>
        <v/>
      </c>
      <c r="AB158" s="52" t="str">
        <f t="shared" si="6"/>
        <v/>
      </c>
      <c r="AC158" s="52" t="str">
        <f t="shared" si="7"/>
        <v/>
      </c>
      <c r="AD158" t="str">
        <f t="shared" si="8"/>
        <v/>
      </c>
      <c r="AE158" t="str">
        <f t="shared" si="9"/>
        <v/>
      </c>
      <c r="AF158" t="str">
        <f t="shared" si="10"/>
        <v/>
      </c>
      <c r="AG158" t="str">
        <f t="shared" si="11"/>
        <v/>
      </c>
      <c r="AH158" t="str">
        <f t="shared" si="12"/>
        <v/>
      </c>
      <c r="AI158" s="52" t="str">
        <f t="shared" si="13"/>
        <v/>
      </c>
      <c r="AJ158" t="str">
        <f t="shared" si="14"/>
        <v/>
      </c>
      <c r="AK158" t="str">
        <f t="shared" si="15"/>
        <v/>
      </c>
      <c r="AL158">
        <f t="shared" si="26"/>
        <v>0</v>
      </c>
      <c r="AM158" t="str" cm="1">
        <f t="array" ref="AM158">IFERROR(INDEX(C$133:C$162, SMALL(IF(AL$133:AL$162&gt;0, AL$133:AL$162), ROW(A26))), "")</f>
        <v/>
      </c>
      <c r="AN158" t="str" cm="1">
        <f t="array" ref="AN158">IF(AM158="", "", INDEX(D$133:D$162, SMALL(IF(AL$133:AL$162&gt;0, AL$133:AL$162), ROW(A26))))</f>
        <v/>
      </c>
      <c r="AO158" t="str" cm="1">
        <f t="array" ref="AO158">IF(AM158="", "", INDEX(E$133:E$162, SMALL(IF(AL$133:AL$162&gt;0, AL$133:AL$162), ROW(A26))))</f>
        <v/>
      </c>
      <c r="AP158" t="str" cm="1">
        <f t="array" ref="AP158">IF(AM158="", "", IF(INDEX(F$133:F$162, SMALL(IF(AL$133:AL$162&gt;0, AL$133:AL$162), ROW(A26)))="", "", INDEX(F$133:F$162, SMALL(IF(AL$133:AL$162&gt;0, AL$133:AL$162), ROW(A26)))))</f>
        <v/>
      </c>
      <c r="AQ158" t="str" cm="1">
        <f t="array" ref="AQ158">IF(AM158="", "", IF(INDEX(G$133:G$162, SMALL(IF(AL$133:AL$162&gt;0, AL$133:AL$162), ROW(A26)))="", "", INDEX(G$133:G$162, SMALL(IF(AL$133:AL$162&gt;0, AL$133:AL$162), ROW(A26)))))</f>
        <v/>
      </c>
      <c r="AR158" t="str" cm="1">
        <f t="array" ref="AR158">IF(AM158="", "", IF(INDEX(H$133:H$162, SMALL(IF(AL$133:AL$162&gt;0, AL$133:AL$162), ROW(A26)))="", "", INDEX(H$133:H$162, SMALL(IF(AL$133:AL$162&gt;0, AL$133:AL$162), ROW(A26)))))</f>
        <v/>
      </c>
      <c r="AS158" t="str" cm="1">
        <f t="array" ref="AS158">IF(AM158="", "", IF(INDEX(I$133:I$162, SMALL(IF(AL$133:AL$162&gt;0, AL$133:AL$162), ROW(A26)))="", "", INDEX(I$133:I$162, SMALL(IF(AL$133:AL$162&gt;0, AL$133:AL$162), ROW(A26)))))</f>
        <v/>
      </c>
      <c r="AT158" t="str" cm="1">
        <f t="array" ref="AT158">IF(AM158="", "", IF(INDEX(J$133:J$162, SMALL(IF(AL$133:AL$162&gt;0, AL$133:AL$162), ROW(A26)))="", "", INDEX(J$133:J$162, SMALL(IF(AL$133:AL$162&gt;0, AL$133:AL$162), ROW(A26)))))</f>
        <v/>
      </c>
      <c r="AU158" t="str" cm="1">
        <f t="array" ref="AU158">IF(AM158="", "", IF(INDEX(K$133:K$162, SMALL(IF(AL$133:AL$162&gt;0, AL$133:AL$162), ROW(A26)))="", "", INDEX(K$133:K$162, SMALL(IF(AL$133:AL$162&gt;0, AL$133:AL$162), ROW(A26)))))</f>
        <v/>
      </c>
    </row>
    <row r="159" spans="2:47">
      <c r="B159" t="s">
        <v>1881</v>
      </c>
      <c r="C159" t="str">
        <f>IF(Accountant_Contact_First_Name="","",UPPER(CONCATENATE(Accountant_Contact_First_Name," ",Accountant_Contact_Last_Name)))</f>
        <v/>
      </c>
      <c r="D159" t="str">
        <f t="shared" si="28"/>
        <v/>
      </c>
      <c r="E159" t="str">
        <f>IF(C159="","","Accountant")</f>
        <v/>
      </c>
      <c r="L159" t="str">
        <f t="shared" si="16"/>
        <v/>
      </c>
      <c r="M159" s="49" t="str">
        <f t="shared" si="17"/>
        <v/>
      </c>
      <c r="N159" s="49" t="str">
        <f t="shared" si="18"/>
        <v/>
      </c>
      <c r="O159" t="str">
        <f t="shared" si="2"/>
        <v/>
      </c>
      <c r="P159" t="str">
        <f t="shared" si="19"/>
        <v/>
      </c>
      <c r="Q159" t="str">
        <f t="shared" si="3"/>
        <v/>
      </c>
      <c r="R159" t="str">
        <f t="shared" si="20"/>
        <v/>
      </c>
      <c r="S159" t="str">
        <f t="shared" si="21"/>
        <v/>
      </c>
      <c r="T159" t="str">
        <f t="shared" si="22"/>
        <v/>
      </c>
      <c r="U159" t="str">
        <f t="shared" si="23"/>
        <v/>
      </c>
      <c r="V159" t="str">
        <f t="shared" si="24"/>
        <v/>
      </c>
      <c r="W159" t="str">
        <f t="shared" si="25"/>
        <v/>
      </c>
      <c r="X159" s="181"/>
      <c r="Z159" t="s">
        <v>1881</v>
      </c>
      <c r="AA159" t="str">
        <f t="shared" si="5"/>
        <v/>
      </c>
      <c r="AB159" s="52" t="str">
        <f t="shared" si="6"/>
        <v/>
      </c>
      <c r="AC159" s="52" t="str">
        <f t="shared" si="7"/>
        <v/>
      </c>
      <c r="AD159" t="str">
        <f t="shared" si="8"/>
        <v/>
      </c>
      <c r="AE159" t="str">
        <f t="shared" si="9"/>
        <v/>
      </c>
      <c r="AF159" t="str">
        <f t="shared" si="10"/>
        <v/>
      </c>
      <c r="AG159" t="str">
        <f t="shared" si="11"/>
        <v/>
      </c>
      <c r="AH159" t="str">
        <f t="shared" si="12"/>
        <v/>
      </c>
      <c r="AI159" s="52" t="str">
        <f t="shared" si="13"/>
        <v/>
      </c>
      <c r="AJ159" t="str">
        <f t="shared" si="14"/>
        <v/>
      </c>
      <c r="AK159" t="str">
        <f t="shared" si="15"/>
        <v/>
      </c>
      <c r="AL159">
        <f t="shared" si="26"/>
        <v>0</v>
      </c>
      <c r="AM159" t="str" cm="1">
        <f t="array" ref="AM159">IFERROR(INDEX(C$133:C$162, SMALL(IF(AL$133:AL$162&gt;0, AL$133:AL$162), ROW(A27))), "")</f>
        <v/>
      </c>
      <c r="AN159" t="str" cm="1">
        <f t="array" ref="AN159">IF(AM159="", "", INDEX(D$133:D$162, SMALL(IF(AL$133:AL$162&gt;0, AL$133:AL$162), ROW(A27))))</f>
        <v/>
      </c>
      <c r="AO159" t="str" cm="1">
        <f t="array" ref="AO159">IF(AM159="", "", INDEX(E$133:E$162, SMALL(IF(AL$133:AL$162&gt;0, AL$133:AL$162), ROW(A27))))</f>
        <v/>
      </c>
      <c r="AP159" t="str" cm="1">
        <f t="array" ref="AP159">IF(AM159="", "", IF(INDEX(F$133:F$162, SMALL(IF(AL$133:AL$162&gt;0, AL$133:AL$162), ROW(A27)))="", "", INDEX(F$133:F$162, SMALL(IF(AL$133:AL$162&gt;0, AL$133:AL$162), ROW(A27)))))</f>
        <v/>
      </c>
      <c r="AQ159" t="str" cm="1">
        <f t="array" ref="AQ159">IF(AM159="", "", IF(INDEX(G$133:G$162, SMALL(IF(AL$133:AL$162&gt;0, AL$133:AL$162), ROW(A27)))="", "", INDEX(G$133:G$162, SMALL(IF(AL$133:AL$162&gt;0, AL$133:AL$162), ROW(A27)))))</f>
        <v/>
      </c>
      <c r="AR159" t="str" cm="1">
        <f t="array" ref="AR159">IF(AM159="", "", IF(INDEX(H$133:H$162, SMALL(IF(AL$133:AL$162&gt;0, AL$133:AL$162), ROW(A27)))="", "", INDEX(H$133:H$162, SMALL(IF(AL$133:AL$162&gt;0, AL$133:AL$162), ROW(A27)))))</f>
        <v/>
      </c>
      <c r="AS159" t="str" cm="1">
        <f t="array" ref="AS159">IF(AM159="", "", IF(INDEX(I$133:I$162, SMALL(IF(AL$133:AL$162&gt;0, AL$133:AL$162), ROW(A27)))="", "", INDEX(I$133:I$162, SMALL(IF(AL$133:AL$162&gt;0, AL$133:AL$162), ROW(A27)))))</f>
        <v/>
      </c>
      <c r="AT159" t="str" cm="1">
        <f t="array" ref="AT159">IF(AM159="", "", IF(INDEX(J$133:J$162, SMALL(IF(AL$133:AL$162&gt;0, AL$133:AL$162), ROW(A27)))="", "", INDEX(J$133:J$162, SMALL(IF(AL$133:AL$162&gt;0, AL$133:AL$162), ROW(A27)))))</f>
        <v/>
      </c>
      <c r="AU159" t="str" cm="1">
        <f t="array" ref="AU159">IF(AM159="", "", IF(INDEX(K$133:K$162, SMALL(IF(AL$133:AL$162&gt;0, AL$133:AL$162), ROW(A27)))="", "", INDEX(K$133:K$162, SMALL(IF(AL$133:AL$162&gt;0, AL$133:AL$162), ROW(A27)))))</f>
        <v/>
      </c>
    </row>
    <row r="160" spans="2:47">
      <c r="B160" s="50" t="s">
        <v>1882</v>
      </c>
      <c r="C160" t="str">
        <f>IF(Principal1_First_Name="","",UPPER(CONCATENATE(Principal1_First_Name," ",Principal1_Last_Name)))</f>
        <v/>
      </c>
      <c r="D160" t="str">
        <f t="shared" si="28"/>
        <v/>
      </c>
      <c r="E160" t="str">
        <f>IF(C160="","","")</f>
        <v/>
      </c>
      <c r="F160" t="str">
        <f>IF(Principal1_Email="","",Principal1_Email)</f>
        <v/>
      </c>
      <c r="G160" t="str">
        <f>IF(Principal1_Address="","",UPPER(Principal1_Address))</f>
        <v/>
      </c>
      <c r="H160" t="str">
        <f>IF(Principal1_City="","",UPPER(Principal1_City))</f>
        <v/>
      </c>
      <c r="I160" t="str">
        <f>IF(Principal1_State="","",Principal1_State)</f>
        <v/>
      </c>
      <c r="J160" t="str">
        <f>IF(Principal1_Zip="","",Principal1_Zip)</f>
        <v/>
      </c>
      <c r="K160" t="str">
        <f>IF(Principal1_Telephone="","",Principal1_Telephone)</f>
        <v/>
      </c>
      <c r="L160" t="str">
        <f t="shared" si="16"/>
        <v/>
      </c>
      <c r="M160" s="49" t="str">
        <f t="shared" si="17"/>
        <v/>
      </c>
      <c r="N160" s="49" t="str">
        <f t="shared" si="18"/>
        <v/>
      </c>
      <c r="O160" t="str">
        <f t="shared" si="2"/>
        <v/>
      </c>
      <c r="P160" t="str">
        <f t="shared" si="19"/>
        <v/>
      </c>
      <c r="Q160" t="str">
        <f t="shared" si="3"/>
        <v/>
      </c>
      <c r="R160" t="str">
        <f t="shared" si="20"/>
        <v/>
      </c>
      <c r="S160" t="str">
        <f t="shared" si="21"/>
        <v/>
      </c>
      <c r="T160" t="str">
        <f t="shared" si="22"/>
        <v/>
      </c>
      <c r="U160" t="str">
        <f t="shared" si="23"/>
        <v/>
      </c>
      <c r="V160" t="str">
        <f t="shared" si="24"/>
        <v/>
      </c>
      <c r="W160" t="str">
        <f t="shared" si="25"/>
        <v/>
      </c>
      <c r="X160" s="181"/>
      <c r="Z160" s="50" t="s">
        <v>1882</v>
      </c>
      <c r="AA160" t="str">
        <f t="shared" si="5"/>
        <v/>
      </c>
      <c r="AB160" s="52" t="str">
        <f t="shared" si="6"/>
        <v/>
      </c>
      <c r="AC160" s="52" t="str">
        <f t="shared" si="7"/>
        <v/>
      </c>
      <c r="AD160" t="str">
        <f t="shared" si="8"/>
        <v/>
      </c>
      <c r="AE160" t="str">
        <f t="shared" si="9"/>
        <v/>
      </c>
      <c r="AF160" t="str">
        <f t="shared" si="10"/>
        <v/>
      </c>
      <c r="AG160" t="str">
        <f t="shared" si="11"/>
        <v/>
      </c>
      <c r="AH160" t="str">
        <f t="shared" si="12"/>
        <v/>
      </c>
      <c r="AI160" s="52" t="str">
        <f t="shared" si="13"/>
        <v/>
      </c>
      <c r="AJ160" t="str">
        <f t="shared" si="14"/>
        <v/>
      </c>
      <c r="AK160" t="str">
        <f t="shared" si="15"/>
        <v/>
      </c>
      <c r="AL160">
        <f t="shared" si="26"/>
        <v>0</v>
      </c>
      <c r="AM160" t="str" cm="1">
        <f t="array" ref="AM160">IFERROR(INDEX(C$133:C$162, SMALL(IF(AL$133:AL$162&gt;0, AL$133:AL$162), ROW(A28))), "")</f>
        <v/>
      </c>
      <c r="AN160" t="str" cm="1">
        <f t="array" ref="AN160">IF(AM160="", "", INDEX(D$133:D$162, SMALL(IF(AL$133:AL$162&gt;0, AL$133:AL$162), ROW(A28))))</f>
        <v/>
      </c>
      <c r="AO160" t="str" cm="1">
        <f t="array" ref="AO160">IF(AM160="", "", INDEX(E$133:E$162, SMALL(IF(AL$133:AL$162&gt;0, AL$133:AL$162), ROW(A28))))</f>
        <v/>
      </c>
      <c r="AP160" t="str" cm="1">
        <f t="array" ref="AP160">IF(AM160="", "", IF(INDEX(F$133:F$162, SMALL(IF(AL$133:AL$162&gt;0, AL$133:AL$162), ROW(A28)))="", "", INDEX(F$133:F$162, SMALL(IF(AL$133:AL$162&gt;0, AL$133:AL$162), ROW(A28)))))</f>
        <v/>
      </c>
      <c r="AQ160" t="str" cm="1">
        <f t="array" ref="AQ160">IF(AM160="", "", IF(INDEX(G$133:G$162, SMALL(IF(AL$133:AL$162&gt;0, AL$133:AL$162), ROW(A28)))="", "", INDEX(G$133:G$162, SMALL(IF(AL$133:AL$162&gt;0, AL$133:AL$162), ROW(A28)))))</f>
        <v/>
      </c>
      <c r="AR160" t="str" cm="1">
        <f t="array" ref="AR160">IF(AM160="", "", IF(INDEX(H$133:H$162, SMALL(IF(AL$133:AL$162&gt;0, AL$133:AL$162), ROW(A28)))="", "", INDEX(H$133:H$162, SMALL(IF(AL$133:AL$162&gt;0, AL$133:AL$162), ROW(A28)))))</f>
        <v/>
      </c>
      <c r="AS160" t="str" cm="1">
        <f t="array" ref="AS160">IF(AM160="", "", IF(INDEX(I$133:I$162, SMALL(IF(AL$133:AL$162&gt;0, AL$133:AL$162), ROW(A28)))="", "", INDEX(I$133:I$162, SMALL(IF(AL$133:AL$162&gt;0, AL$133:AL$162), ROW(A28)))))</f>
        <v/>
      </c>
      <c r="AT160" t="str" cm="1">
        <f t="array" ref="AT160">IF(AM160="", "", IF(INDEX(J$133:J$162, SMALL(IF(AL$133:AL$162&gt;0, AL$133:AL$162), ROW(A28)))="", "", INDEX(J$133:J$162, SMALL(IF(AL$133:AL$162&gt;0, AL$133:AL$162), ROW(A28)))))</f>
        <v/>
      </c>
      <c r="AU160" t="str" cm="1">
        <f t="array" ref="AU160">IF(AM160="", "", IF(INDEX(K$133:K$162, SMALL(IF(AL$133:AL$162&gt;0, AL$133:AL$162), ROW(A28)))="", "", INDEX(K$133:K$162, SMALL(IF(AL$133:AL$162&gt;0, AL$133:AL$162), ROW(A28)))))</f>
        <v/>
      </c>
    </row>
    <row r="161" spans="1:47">
      <c r="B161" s="50" t="s">
        <v>1883</v>
      </c>
      <c r="C161" t="str">
        <f>IF(Principal2_First_Name="","",UPPER(CONCATENATE(Principal2_First_Name," ",Principal2_Last_Name)))</f>
        <v/>
      </c>
      <c r="D161" t="str">
        <f t="shared" si="28"/>
        <v/>
      </c>
      <c r="E161" t="str">
        <f>IF(C161="","","")</f>
        <v/>
      </c>
      <c r="F161" t="str">
        <f>IF(Principal2_Email="","",Principal2_Email)</f>
        <v/>
      </c>
      <c r="G161" t="str">
        <f>IF(Principal2_Address="","",UPPER(Principal2_Address))</f>
        <v/>
      </c>
      <c r="H161" t="str">
        <f>IF(Principal2_City="","",UPPER(Principal2_City))</f>
        <v/>
      </c>
      <c r="I161" t="str">
        <f>IF(Principal2_State="","",Principal2_State)</f>
        <v/>
      </c>
      <c r="J161" t="str">
        <f>IF(Principal2_Zip="","",Principal2_Zip)</f>
        <v/>
      </c>
      <c r="K161" t="str">
        <f>IF(Principal2_Telephone="","",Principal2_Telephone)</f>
        <v/>
      </c>
      <c r="L161" t="str">
        <f t="shared" si="16"/>
        <v/>
      </c>
      <c r="M161" s="49" t="str">
        <f t="shared" si="17"/>
        <v/>
      </c>
      <c r="N161" s="49" t="str">
        <f t="shared" si="18"/>
        <v/>
      </c>
      <c r="O161" t="str">
        <f t="shared" si="2"/>
        <v/>
      </c>
      <c r="P161" t="str">
        <f t="shared" si="19"/>
        <v/>
      </c>
      <c r="Q161" t="str">
        <f t="shared" si="3"/>
        <v/>
      </c>
      <c r="R161" t="str">
        <f t="shared" si="20"/>
        <v/>
      </c>
      <c r="S161" t="str">
        <f t="shared" si="21"/>
        <v/>
      </c>
      <c r="T161" t="str">
        <f t="shared" si="22"/>
        <v/>
      </c>
      <c r="U161" t="str">
        <f t="shared" si="23"/>
        <v/>
      </c>
      <c r="V161" t="str">
        <f t="shared" si="24"/>
        <v/>
      </c>
      <c r="W161" t="str">
        <f t="shared" si="25"/>
        <v/>
      </c>
      <c r="X161" s="181"/>
      <c r="Z161" s="50" t="s">
        <v>1883</v>
      </c>
      <c r="AA161" t="str">
        <f t="shared" si="5"/>
        <v/>
      </c>
      <c r="AB161" s="52" t="str">
        <f t="shared" si="6"/>
        <v/>
      </c>
      <c r="AC161" s="52" t="str">
        <f t="shared" si="7"/>
        <v/>
      </c>
      <c r="AD161" t="str">
        <f t="shared" si="8"/>
        <v/>
      </c>
      <c r="AE161" t="str">
        <f t="shared" si="9"/>
        <v/>
      </c>
      <c r="AF161" t="str">
        <f t="shared" si="10"/>
        <v/>
      </c>
      <c r="AG161" t="str">
        <f t="shared" si="11"/>
        <v/>
      </c>
      <c r="AH161" t="str">
        <f t="shared" si="12"/>
        <v/>
      </c>
      <c r="AI161" s="52" t="str">
        <f t="shared" si="13"/>
        <v/>
      </c>
      <c r="AJ161" t="str">
        <f t="shared" si="14"/>
        <v/>
      </c>
      <c r="AK161" t="str">
        <f t="shared" si="15"/>
        <v/>
      </c>
      <c r="AL161">
        <f t="shared" si="26"/>
        <v>0</v>
      </c>
      <c r="AM161" t="str" cm="1">
        <f t="array" ref="AM161">IFERROR(INDEX(C$133:C$162, SMALL(IF(AL$133:AL$162&gt;0, AL$133:AL$162), ROW(A29))), "")</f>
        <v/>
      </c>
      <c r="AN161" t="str" cm="1">
        <f t="array" ref="AN161">IF(AM161="", "", INDEX(D$133:D$162, SMALL(IF(AL$133:AL$162&gt;0, AL$133:AL$162), ROW(A29))))</f>
        <v/>
      </c>
      <c r="AO161" t="str" cm="1">
        <f t="array" ref="AO161">IF(AM161="", "", INDEX(E$133:E$162, SMALL(IF(AL$133:AL$162&gt;0, AL$133:AL$162), ROW(A29))))</f>
        <v/>
      </c>
      <c r="AP161" t="str" cm="1">
        <f t="array" ref="AP161">IF(AM161="", "", IF(INDEX(F$133:F$162, SMALL(IF(AL$133:AL$162&gt;0, AL$133:AL$162), ROW(A29)))="", "", INDEX(F$133:F$162, SMALL(IF(AL$133:AL$162&gt;0, AL$133:AL$162), ROW(A29)))))</f>
        <v/>
      </c>
      <c r="AQ161" t="str" cm="1">
        <f t="array" ref="AQ161">IF(AM161="", "", IF(INDEX(G$133:G$162, SMALL(IF(AL$133:AL$162&gt;0, AL$133:AL$162), ROW(A29)))="", "", INDEX(G$133:G$162, SMALL(IF(AL$133:AL$162&gt;0, AL$133:AL$162), ROW(A29)))))</f>
        <v/>
      </c>
      <c r="AR161" t="str" cm="1">
        <f t="array" ref="AR161">IF(AM161="", "", IF(INDEX(H$133:H$162, SMALL(IF(AL$133:AL$162&gt;0, AL$133:AL$162), ROW(A29)))="", "", INDEX(H$133:H$162, SMALL(IF(AL$133:AL$162&gt;0, AL$133:AL$162), ROW(A29)))))</f>
        <v/>
      </c>
      <c r="AS161" t="str" cm="1">
        <f t="array" ref="AS161">IF(AM161="", "", IF(INDEX(I$133:I$162, SMALL(IF(AL$133:AL$162&gt;0, AL$133:AL$162), ROW(A29)))="", "", INDEX(I$133:I$162, SMALL(IF(AL$133:AL$162&gt;0, AL$133:AL$162), ROW(A29)))))</f>
        <v/>
      </c>
      <c r="AT161" t="str" cm="1">
        <f t="array" ref="AT161">IF(AM161="", "", IF(INDEX(J$133:J$162, SMALL(IF(AL$133:AL$162&gt;0, AL$133:AL$162), ROW(A29)))="", "", INDEX(J$133:J$162, SMALL(IF(AL$133:AL$162&gt;0, AL$133:AL$162), ROW(A29)))))</f>
        <v/>
      </c>
      <c r="AU161" t="str" cm="1">
        <f t="array" ref="AU161">IF(AM161="", "", IF(INDEX(K$133:K$162, SMALL(IF(AL$133:AL$162&gt;0, AL$133:AL$162), ROW(A29)))="", "", INDEX(K$133:K$162, SMALL(IF(AL$133:AL$162&gt;0, AL$133:AL$162), ROW(A29)))))</f>
        <v/>
      </c>
    </row>
    <row r="162" spans="1:47">
      <c r="B162" s="50" t="s">
        <v>1884</v>
      </c>
      <c r="C162" t="str">
        <f>IF(Principal3_First_Name="","",UPPER(CONCATENATE(Principal3_First_Name," ",Principal3_Last_Name)))</f>
        <v/>
      </c>
      <c r="D162" t="str">
        <f t="shared" si="28"/>
        <v/>
      </c>
      <c r="E162" t="str">
        <f>IF(C162="","","")</f>
        <v/>
      </c>
      <c r="F162" t="str">
        <f>IF(Principal3_Email="","",Principal3_Email)</f>
        <v/>
      </c>
      <c r="G162" t="str">
        <f>IF(Principal3_Address="","",UPPER(Principal3_Address))</f>
        <v/>
      </c>
      <c r="H162" t="str">
        <f>IF(Principal3_City="","",UPPER(Principal3_City))</f>
        <v/>
      </c>
      <c r="I162" t="str">
        <f>IF(Principal3_State="","",Principal3_State)</f>
        <v/>
      </c>
      <c r="J162" t="str">
        <f>IF(Principal3_Zip="","",Principal3_Zip)</f>
        <v/>
      </c>
      <c r="K162" t="str">
        <f>IF(Principal3_Telephone="","",Principal3_Telephone)</f>
        <v/>
      </c>
      <c r="L162" t="str">
        <f t="shared" si="16"/>
        <v/>
      </c>
      <c r="M162" s="49" t="str">
        <f t="shared" si="17"/>
        <v/>
      </c>
      <c r="N162" s="49" t="str">
        <f t="shared" si="18"/>
        <v/>
      </c>
      <c r="O162" t="str">
        <f t="shared" si="2"/>
        <v/>
      </c>
      <c r="P162" t="str">
        <f t="shared" si="19"/>
        <v/>
      </c>
      <c r="Q162" t="str">
        <f t="shared" si="3"/>
        <v/>
      </c>
      <c r="R162" t="str">
        <f t="shared" si="20"/>
        <v/>
      </c>
      <c r="S162" t="str">
        <f t="shared" si="21"/>
        <v/>
      </c>
      <c r="T162" t="str">
        <f t="shared" si="22"/>
        <v/>
      </c>
      <c r="U162" t="str">
        <f t="shared" si="23"/>
        <v/>
      </c>
      <c r="V162" t="str">
        <f t="shared" si="24"/>
        <v/>
      </c>
      <c r="W162" t="str">
        <f t="shared" si="25"/>
        <v/>
      </c>
      <c r="X162" s="181"/>
      <c r="Z162" s="50" t="s">
        <v>1884</v>
      </c>
      <c r="AA162" t="str">
        <f t="shared" si="5"/>
        <v/>
      </c>
      <c r="AB162" s="52" t="str">
        <f t="shared" si="6"/>
        <v/>
      </c>
      <c r="AC162" s="52" t="str">
        <f t="shared" si="7"/>
        <v/>
      </c>
      <c r="AD162" t="str">
        <f t="shared" si="8"/>
        <v/>
      </c>
      <c r="AE162" t="str">
        <f t="shared" si="9"/>
        <v/>
      </c>
      <c r="AF162" t="str">
        <f t="shared" si="10"/>
        <v/>
      </c>
      <c r="AG162" t="str">
        <f t="shared" si="11"/>
        <v/>
      </c>
      <c r="AH162" t="str">
        <f t="shared" si="12"/>
        <v/>
      </c>
      <c r="AI162" s="52" t="str">
        <f t="shared" si="13"/>
        <v/>
      </c>
      <c r="AJ162" t="str">
        <f t="shared" si="14"/>
        <v/>
      </c>
      <c r="AK162" t="str">
        <f t="shared" si="15"/>
        <v/>
      </c>
      <c r="AL162">
        <f t="shared" si="26"/>
        <v>0</v>
      </c>
      <c r="AM162" t="str" cm="1">
        <f t="array" ref="AM162">IFERROR(INDEX(C$133:C$162, SMALL(IF(AL$133:AL$162&gt;0, AL$133:AL$162), ROW(A30))), "")</f>
        <v/>
      </c>
      <c r="AN162" t="str" cm="1">
        <f t="array" ref="AN162">IF(AM162="", "", INDEX(D$133:D$162, SMALL(IF(AL$133:AL$162&gt;0, AL$133:AL$162), ROW(A30))))</f>
        <v/>
      </c>
      <c r="AO162" t="str" cm="1">
        <f t="array" ref="AO162">IF(AM162="", "", INDEX(E$133:E$162, SMALL(IF(AL$133:AL$162&gt;0, AL$133:AL$162), ROW(A30))))</f>
        <v/>
      </c>
      <c r="AP162" t="str" cm="1">
        <f t="array" ref="AP162">IF(AM162="", "", IF(INDEX(F$133:F$162, SMALL(IF(AL$133:AL$162&gt;0, AL$133:AL$162), ROW(A30)))="", "", INDEX(F$133:F$162, SMALL(IF(AL$133:AL$162&gt;0, AL$133:AL$162), ROW(A30)))))</f>
        <v/>
      </c>
      <c r="AQ162" t="str" cm="1">
        <f t="array" ref="AQ162">IF(AM162="", "", IF(INDEX(G$133:G$162, SMALL(IF(AL$133:AL$162&gt;0, AL$133:AL$162), ROW(A30)))="", "", INDEX(G$133:G$162, SMALL(IF(AL$133:AL$162&gt;0, AL$133:AL$162), ROW(A30)))))</f>
        <v/>
      </c>
      <c r="AR162" t="str" cm="1">
        <f t="array" ref="AR162">IF(AM162="", "", IF(INDEX(H$133:H$162, SMALL(IF(AL$133:AL$162&gt;0, AL$133:AL$162), ROW(A30)))="", "", INDEX(H$133:H$162, SMALL(IF(AL$133:AL$162&gt;0, AL$133:AL$162), ROW(A30)))))</f>
        <v/>
      </c>
      <c r="AS162" t="str" cm="1">
        <f t="array" ref="AS162">IF(AM162="", "", IF(INDEX(I$133:I$162, SMALL(IF(AL$133:AL$162&gt;0, AL$133:AL$162), ROW(A30)))="", "", INDEX(I$133:I$162, SMALL(IF(AL$133:AL$162&gt;0, AL$133:AL$162), ROW(A30)))))</f>
        <v/>
      </c>
      <c r="AT162" t="str" cm="1">
        <f t="array" ref="AT162">IF(AM162="", "", IF(INDEX(J$133:J$162, SMALL(IF(AL$133:AL$162&gt;0, AL$133:AL$162), ROW(A30)))="", "", INDEX(J$133:J$162, SMALL(IF(AL$133:AL$162&gt;0, AL$133:AL$162), ROW(A30)))))</f>
        <v/>
      </c>
      <c r="AU162" t="str" cm="1">
        <f t="array" ref="AU162">IF(AM162="", "", IF(INDEX(K$133:K$162, SMALL(IF(AL$133:AL$162&gt;0, AL$133:AL$162), ROW(A30)))="", "", INDEX(K$133:K$162, SMALL(IF(AL$133:AL$162&gt;0, AL$133:AL$162), ROW(A30)))))</f>
        <v/>
      </c>
    </row>
    <row r="163" spans="1:47">
      <c r="X163" s="181"/>
      <c r="AA163" s="52"/>
    </row>
    <row r="164" spans="1:47">
      <c r="X164" s="181"/>
      <c r="AA164" s="52"/>
    </row>
    <row r="165" spans="1:47">
      <c r="B165" s="39" t="s">
        <v>1885</v>
      </c>
      <c r="C165" s="52" t="str">
        <f>IF(MA_Identity_of_Interest?="","",MA_Identity_of_Interest?)</f>
        <v/>
      </c>
      <c r="X165" s="181"/>
      <c r="AA165" s="52"/>
    </row>
    <row r="166" spans="1:47">
      <c r="B166" s="39" t="s">
        <v>1886</v>
      </c>
      <c r="C166" s="52" t="str">
        <f>IF(Consultant_Identity_of_Interest?="","",Consultant_Identity_of_Interest?)</f>
        <v/>
      </c>
      <c r="X166" s="181"/>
      <c r="AA166" s="52"/>
    </row>
    <row r="167" spans="1:47">
      <c r="B167" s="39" t="s">
        <v>1887</v>
      </c>
      <c r="C167" s="52" t="str">
        <f>IF(Contractor_Identity_of_Interest?="","",Contractor_Identity_of_Interest?)</f>
        <v/>
      </c>
      <c r="X167" s="181"/>
      <c r="AA167" s="52"/>
    </row>
    <row r="168" spans="1:47">
      <c r="B168" s="39" t="s">
        <v>1888</v>
      </c>
      <c r="C168" s="52" t="str">
        <f>IF(Syndicator_Identity_of_Interest?="","",Syndicator_Identity_of_Interest?)</f>
        <v/>
      </c>
      <c r="X168" s="181"/>
      <c r="AA168" s="52"/>
    </row>
    <row r="169" spans="1:47">
      <c r="B169" s="39" t="s">
        <v>1889</v>
      </c>
      <c r="C169" s="52" t="str">
        <f>IF(DA_Identity_of_Interest?="","",DA_Identity_of_Interest?)</f>
        <v/>
      </c>
      <c r="X169" s="181"/>
      <c r="AA169" s="52"/>
    </row>
    <row r="170" spans="1:47">
      <c r="B170" s="39" t="s">
        <v>1890</v>
      </c>
      <c r="C170" s="52" t="str">
        <f>IF(Architect_Identity_of_Interest?="","",Architect_Identity_of_Interest?)</f>
        <v/>
      </c>
      <c r="X170" s="181"/>
      <c r="AA170" s="52"/>
    </row>
    <row r="171" spans="1:47">
      <c r="B171" s="39" t="s">
        <v>1891</v>
      </c>
      <c r="C171" s="52" t="str">
        <f>IF(Attorney_Identity_of_Interest?="","",Attorney_Identity_of_Interest?)</f>
        <v/>
      </c>
      <c r="X171" s="181"/>
      <c r="AA171" s="52"/>
    </row>
    <row r="172" spans="1:47">
      <c r="B172" s="39" t="s">
        <v>1892</v>
      </c>
      <c r="C172" s="52" t="str">
        <f>IF(Accountant_Identity_of_Interest?="","",Accountant_Identity_of_Interest?)</f>
        <v/>
      </c>
      <c r="X172" s="181"/>
      <c r="AA172" s="52"/>
    </row>
    <row r="173" spans="1:47">
      <c r="X173" s="181"/>
      <c r="AA173" s="52"/>
    </row>
    <row r="174" spans="1:47">
      <c r="A174" s="41" t="s">
        <v>1893</v>
      </c>
      <c r="X174" s="181"/>
      <c r="AA174" s="52"/>
    </row>
    <row r="175" spans="1:47">
      <c r="B175" t="s">
        <v>1894</v>
      </c>
      <c r="C175" t="str">
        <f>IF(Community_Building="Yes","True","False")</f>
        <v>False</v>
      </c>
      <c r="D175" t="s">
        <v>1895</v>
      </c>
      <c r="F175" t="s">
        <v>1896</v>
      </c>
      <c r="H175" t="s">
        <v>1897</v>
      </c>
      <c r="I175">
        <f>Community_Room___Sq._Ft.</f>
        <v>0</v>
      </c>
      <c r="X175" s="181"/>
      <c r="Y175" t="s">
        <v>1894</v>
      </c>
      <c r="Z175" s="50" t="str">
        <f>IF($Z$2="","",C175)</f>
        <v/>
      </c>
      <c r="AA175" s="52" t="s">
        <v>1895</v>
      </c>
      <c r="AB175" t="str">
        <f>IF($Z$2="","",E175)</f>
        <v/>
      </c>
      <c r="AC175" t="s">
        <v>1896</v>
      </c>
      <c r="AD175" t="str">
        <f>IF($Z$2="","",L175)</f>
        <v/>
      </c>
    </row>
    <row r="176" spans="1:47">
      <c r="B176" t="s">
        <v>1898</v>
      </c>
      <c r="C176" t="str">
        <f>IF(Community_Room="Yes","True","False")</f>
        <v>False</v>
      </c>
      <c r="D176" t="s">
        <v>1899</v>
      </c>
      <c r="F176" t="s">
        <v>1900</v>
      </c>
      <c r="H176" t="s">
        <v>1901</v>
      </c>
      <c r="I176">
        <f>Number_Surface_Parking</f>
        <v>0</v>
      </c>
      <c r="L176" t="str">
        <f>IF(Walking_Trails="Yes","True","False")</f>
        <v>False</v>
      </c>
      <c r="N176" s="120" t="s">
        <v>1902</v>
      </c>
      <c r="O176">
        <f>'11. Unit Mix'!G74</f>
        <v>0</v>
      </c>
      <c r="P176">
        <f>IF('11. Unit Mix'!J74="Other - please note in comment box","Other",'11. Unit Mix'!J74)</f>
        <v>0</v>
      </c>
      <c r="X176" s="181"/>
      <c r="Y176" t="s">
        <v>1898</v>
      </c>
      <c r="Z176" s="50" t="str">
        <f t="shared" ref="Z176:Z181" si="30">IF($Z$2="","",C176)</f>
        <v/>
      </c>
      <c r="AA176" s="52" t="s">
        <v>1899</v>
      </c>
      <c r="AB176" t="str">
        <f t="shared" ref="AB176:AB188" si="31">IF($Z$2="","",E176)</f>
        <v/>
      </c>
      <c r="AC176" t="s">
        <v>1900</v>
      </c>
      <c r="AD176" t="str">
        <f t="shared" ref="AD176:AD180" si="32">IF($Z$2="","",L176)</f>
        <v/>
      </c>
    </row>
    <row r="177" spans="1:30">
      <c r="B177" t="s">
        <v>1903</v>
      </c>
      <c r="C177" t="str">
        <f>IF(Garages="Yes","True","False")</f>
        <v>False</v>
      </c>
      <c r="D177" t="s">
        <v>1904</v>
      </c>
      <c r="E177" t="str">
        <f>IF(Media_Center_Room="Yes","True","False")</f>
        <v>False</v>
      </c>
      <c r="F177" t="s">
        <v>1905</v>
      </c>
      <c r="H177" t="s">
        <v>1906</v>
      </c>
      <c r="I177">
        <f>Number_Underground_Parking+Number_Garages</f>
        <v>0</v>
      </c>
      <c r="N177" s="120" t="s">
        <v>259</v>
      </c>
      <c r="O177">
        <f>'11. Unit Mix'!G75</f>
        <v>0</v>
      </c>
      <c r="P177">
        <f>IF('11. Unit Mix'!J75="Other - please note in comment box","Other",'11. Unit Mix'!J75)</f>
        <v>0</v>
      </c>
      <c r="X177" s="181"/>
      <c r="Y177" t="s">
        <v>1903</v>
      </c>
      <c r="Z177" s="50" t="str">
        <f t="shared" si="30"/>
        <v/>
      </c>
      <c r="AA177" s="52" t="s">
        <v>1904</v>
      </c>
      <c r="AB177" t="str">
        <f t="shared" si="31"/>
        <v/>
      </c>
      <c r="AC177" t="s">
        <v>1905</v>
      </c>
      <c r="AD177" t="str">
        <f t="shared" si="32"/>
        <v/>
      </c>
    </row>
    <row r="178" spans="1:30">
      <c r="B178" t="s">
        <v>1907</v>
      </c>
      <c r="C178" t="str">
        <f>IF(Surface_Parking="Yes","True","False")</f>
        <v>False</v>
      </c>
      <c r="D178" t="s">
        <v>1908</v>
      </c>
      <c r="F178" t="s">
        <v>1909</v>
      </c>
      <c r="H178" t="s">
        <v>1910</v>
      </c>
      <c r="I178" s="56" t="str">
        <f>IF(Rent_Surface_Parking="","",ROUND(Surface_Rent_Per_Year,0))</f>
        <v/>
      </c>
      <c r="N178" s="120" t="s">
        <v>260</v>
      </c>
      <c r="O178">
        <f>'11. Unit Mix'!G76</f>
        <v>0</v>
      </c>
      <c r="P178">
        <f>IF('11. Unit Mix'!J76="Other - please note in comment box","Other",'11. Unit Mix'!J76)</f>
        <v>0</v>
      </c>
      <c r="X178" s="181"/>
      <c r="Y178" t="str">
        <f>IF($Z$2="","",IF(Z178="False","","Surface Parking"))</f>
        <v/>
      </c>
      <c r="Z178" s="50" t="str">
        <f t="shared" si="30"/>
        <v/>
      </c>
      <c r="AA178" s="52" t="s">
        <v>1908</v>
      </c>
      <c r="AB178" t="str">
        <f t="shared" si="31"/>
        <v/>
      </c>
      <c r="AC178" t="s">
        <v>1909</v>
      </c>
      <c r="AD178" t="str">
        <f t="shared" si="32"/>
        <v/>
      </c>
    </row>
    <row r="179" spans="1:30">
      <c r="A179" s="268" t="s">
        <v>1911</v>
      </c>
      <c r="B179" t="str">
        <f>IF(Underground_Parking="Yes", "Underground Parking", "")</f>
        <v/>
      </c>
      <c r="C179" t="str">
        <f>IF(Underground_Parking="Yes","True","False")</f>
        <v>False</v>
      </c>
      <c r="D179" t="s">
        <v>1912</v>
      </c>
      <c r="F179" t="s">
        <v>1913</v>
      </c>
      <c r="H179" t="s">
        <v>1914</v>
      </c>
      <c r="I179" s="56" t="str">
        <f>IF(Rent_Underground_Parking="","",ROUND(Underground_Rent_Per_Year,0)+ROUND(Garage_Rent_Per_Year,0))</f>
        <v/>
      </c>
      <c r="L179">
        <f>Number_Garages+Number_Surface_Parking+Number_Underground_Parking</f>
        <v>0</v>
      </c>
      <c r="N179" s="120" t="s">
        <v>261</v>
      </c>
      <c r="O179">
        <f>'11. Unit Mix'!G77</f>
        <v>0</v>
      </c>
      <c r="P179">
        <f>IF('11. Unit Mix'!J78="Other - please note in comment box","Other",'11. Unit Mix'!J78)</f>
        <v>0</v>
      </c>
      <c r="X179" s="181"/>
      <c r="Y179" t="s">
        <v>1911</v>
      </c>
      <c r="Z179" s="50" t="str">
        <f t="shared" si="30"/>
        <v/>
      </c>
      <c r="AA179" s="52" t="s">
        <v>1912</v>
      </c>
      <c r="AB179" t="str">
        <f t="shared" si="31"/>
        <v/>
      </c>
      <c r="AC179" t="s">
        <v>1913</v>
      </c>
      <c r="AD179" t="str">
        <f t="shared" si="32"/>
        <v/>
      </c>
    </row>
    <row r="180" spans="1:30">
      <c r="B180" t="s">
        <v>1915</v>
      </c>
      <c r="C180" t="str">
        <f>IF(Laundry_Room="Yes","True","False")</f>
        <v>False</v>
      </c>
      <c r="D180" t="s">
        <v>1916</v>
      </c>
      <c r="E180" t="str">
        <f>IF(Playground="Yes","True","False")</f>
        <v>False</v>
      </c>
      <c r="X180" s="181"/>
      <c r="Y180" t="s">
        <v>1915</v>
      </c>
      <c r="Z180" s="50" t="str">
        <f t="shared" si="30"/>
        <v/>
      </c>
      <c r="AA180" s="52" t="s">
        <v>1916</v>
      </c>
      <c r="AB180" t="str">
        <f t="shared" si="31"/>
        <v/>
      </c>
      <c r="AD180" t="str">
        <f t="shared" si="32"/>
        <v/>
      </c>
    </row>
    <row r="181" spans="1:30">
      <c r="B181" t="s">
        <v>1917</v>
      </c>
      <c r="C181" t="str">
        <f>IF(Resident_Computer_Center="Yes","True","False")</f>
        <v>False</v>
      </c>
      <c r="D181" t="s">
        <v>1918</v>
      </c>
      <c r="X181" s="181"/>
      <c r="Y181" t="s">
        <v>1917</v>
      </c>
      <c r="Z181" s="50" t="str">
        <f t="shared" si="30"/>
        <v/>
      </c>
      <c r="AA181" s="52" t="s">
        <v>1918</v>
      </c>
      <c r="AB181" t="str">
        <f t="shared" si="31"/>
        <v/>
      </c>
    </row>
    <row r="182" spans="1:30">
      <c r="B182" t="s">
        <v>1919</v>
      </c>
      <c r="D182" t="s">
        <v>1920</v>
      </c>
      <c r="X182" s="181"/>
      <c r="Y182" t="s">
        <v>1919</v>
      </c>
      <c r="Z182" s="50" t="str">
        <f t="shared" ref="Z182:Z184" si="33">IF($Z$2="","",C183)</f>
        <v/>
      </c>
      <c r="AA182" s="52" t="s">
        <v>1920</v>
      </c>
      <c r="AB182" t="str">
        <f t="shared" si="31"/>
        <v/>
      </c>
    </row>
    <row r="183" spans="1:30">
      <c r="B183" t="s">
        <v>1921</v>
      </c>
      <c r="D183" t="s">
        <v>1922</v>
      </c>
      <c r="X183" s="181"/>
      <c r="Y183" t="s">
        <v>1921</v>
      </c>
      <c r="Z183" s="50" t="str">
        <f t="shared" si="33"/>
        <v/>
      </c>
      <c r="AA183" s="52" t="s">
        <v>1922</v>
      </c>
      <c r="AB183" t="str">
        <f t="shared" si="31"/>
        <v/>
      </c>
    </row>
    <row r="184" spans="1:30">
      <c r="B184" t="s">
        <v>1923</v>
      </c>
      <c r="D184" t="s">
        <v>1924</v>
      </c>
      <c r="X184" s="181"/>
      <c r="Y184" t="s">
        <v>1923</v>
      </c>
      <c r="Z184" s="50" t="str">
        <f t="shared" si="33"/>
        <v/>
      </c>
      <c r="AA184" s="52" t="s">
        <v>1924</v>
      </c>
      <c r="AB184" t="str">
        <f t="shared" si="31"/>
        <v/>
      </c>
    </row>
    <row r="185" spans="1:30" ht="45">
      <c r="B185" t="s">
        <v>1925</v>
      </c>
      <c r="D185" t="s">
        <v>1926</v>
      </c>
      <c r="E185" t="str">
        <f>IF(Exercise_Room="Yes","True","False")</f>
        <v>False</v>
      </c>
      <c r="H185" s="55" t="s">
        <v>1927</v>
      </c>
      <c r="I185" t="str">
        <f>IF(Describe_Differences_in_Low_income___Market_rate_Unit_Amenities="","",Describe_Differences_in_Low_income___Market_rate_Unit_Amenities)</f>
        <v/>
      </c>
      <c r="X185" s="181"/>
      <c r="Y185" t="s">
        <v>1925</v>
      </c>
      <c r="Z185" s="50" t="str">
        <f>IF($Z$2="","",C2330)</f>
        <v/>
      </c>
      <c r="AA185" t="s">
        <v>1926</v>
      </c>
      <c r="AB185" t="str">
        <f t="shared" si="31"/>
        <v/>
      </c>
    </row>
    <row r="186" spans="1:30">
      <c r="B186" t="s">
        <v>1928</v>
      </c>
      <c r="D186" t="s">
        <v>1929</v>
      </c>
      <c r="F186" t="s">
        <v>1930</v>
      </c>
      <c r="G186" t="b">
        <f>'11. Unit Mix'!C74="Yes"</f>
        <v>0</v>
      </c>
      <c r="K186" t="s">
        <v>1931</v>
      </c>
      <c r="L186" s="267" t="str">
        <f>IF('11. Unit Mix'!F132&lt;&gt;"", '11. Unit Mix'!F132,"")</f>
        <v/>
      </c>
      <c r="X186" s="181"/>
      <c r="Y186" t="s">
        <v>1928</v>
      </c>
      <c r="Z186" s="50" t="str">
        <f>IF($Z$2="","",C2331)</f>
        <v/>
      </c>
      <c r="AA186" t="s">
        <v>1929</v>
      </c>
      <c r="AB186" t="str">
        <f t="shared" si="31"/>
        <v/>
      </c>
    </row>
    <row r="187" spans="1:30">
      <c r="B187" t="s">
        <v>1932</v>
      </c>
      <c r="C187" t="str">
        <f>IF(Security_Locked_Building="Yes","True","False")</f>
        <v>False</v>
      </c>
      <c r="D187" t="s">
        <v>1933</v>
      </c>
      <c r="F187" t="s">
        <v>1934</v>
      </c>
      <c r="G187" t="b">
        <f>'11. Unit Mix'!C75="Yes"</f>
        <v>0</v>
      </c>
      <c r="X187" s="181"/>
      <c r="Y187" t="s">
        <v>1932</v>
      </c>
      <c r="Z187" s="50" t="str">
        <f>IF($Z$2="","",C2332)</f>
        <v/>
      </c>
      <c r="AA187" t="s">
        <v>1933</v>
      </c>
      <c r="AB187" t="str">
        <f t="shared" si="31"/>
        <v/>
      </c>
    </row>
    <row r="188" spans="1:30">
      <c r="B188" t="s">
        <v>1935</v>
      </c>
      <c r="D188" t="s">
        <v>1936</v>
      </c>
      <c r="E188" t="str">
        <f>IF(Pool="Yes","True","False")</f>
        <v>False</v>
      </c>
      <c r="F188" t="s">
        <v>1937</v>
      </c>
      <c r="G188" t="b">
        <f>'11. Unit Mix'!C76="Yes"</f>
        <v>0</v>
      </c>
      <c r="X188" s="181"/>
      <c r="Y188" t="s">
        <v>1935</v>
      </c>
      <c r="Z188" s="50" t="str">
        <f>IF($Z$2="","",C2333)</f>
        <v/>
      </c>
      <c r="AA188" t="s">
        <v>1936</v>
      </c>
      <c r="AB188" t="str">
        <f t="shared" si="31"/>
        <v/>
      </c>
    </row>
    <row r="189" spans="1:30">
      <c r="F189" t="s">
        <v>1938</v>
      </c>
      <c r="G189" t="b">
        <f>'11. Unit Mix'!C77="Yes"</f>
        <v>0</v>
      </c>
      <c r="X189" s="181"/>
    </row>
    <row r="190" spans="1:30">
      <c r="B190" t="s">
        <v>1939</v>
      </c>
      <c r="C190" s="52" t="str">
        <f>IF(P176=0,"",P176)</f>
        <v/>
      </c>
      <c r="D190" t="s">
        <v>1940</v>
      </c>
      <c r="E190" s="52" t="str">
        <f>IF(P178=0,"",P178)</f>
        <v/>
      </c>
      <c r="F190" t="s">
        <v>1941</v>
      </c>
      <c r="G190" t="b">
        <f>'11. Unit Mix'!C78="Yes"</f>
        <v>0</v>
      </c>
      <c r="X190" s="181"/>
    </row>
    <row r="191" spans="1:30">
      <c r="B191" t="s">
        <v>1942</v>
      </c>
      <c r="C191" s="52" t="str">
        <f>IF(P177=0,"",P177)</f>
        <v/>
      </c>
      <c r="D191" t="s">
        <v>1943</v>
      </c>
      <c r="E191" s="52" t="str">
        <f>IF(P179=0,"",P179)</f>
        <v/>
      </c>
      <c r="F191" t="s">
        <v>1944</v>
      </c>
      <c r="G191" t="b">
        <f>'11. Unit Mix'!C80="Yes"</f>
        <v>0</v>
      </c>
      <c r="X191" s="181"/>
    </row>
    <row r="192" spans="1:30">
      <c r="B192" t="s">
        <v>1945</v>
      </c>
      <c r="C192" t="str">
        <f>IF(In_Unit_Internet_Access="Yes","True","False")</f>
        <v>False</v>
      </c>
      <c r="F192" t="s">
        <v>1946</v>
      </c>
      <c r="G192" t="b">
        <f>'11. Unit Mix'!C81="Yes"</f>
        <v>0</v>
      </c>
      <c r="X192" s="181"/>
    </row>
    <row r="193" spans="1:38">
      <c r="F193" t="s">
        <v>1947</v>
      </c>
      <c r="G193" t="b">
        <f>'11. Unit Mix'!C83="Yes"</f>
        <v>0</v>
      </c>
      <c r="X193" s="181"/>
    </row>
    <row r="194" spans="1:38">
      <c r="F194" t="s">
        <v>1948</v>
      </c>
      <c r="G194" t="b">
        <f>'11. Unit Mix'!C79="Yes"</f>
        <v>0</v>
      </c>
      <c r="X194" s="181"/>
    </row>
    <row r="195" spans="1:38">
      <c r="X195" s="181"/>
    </row>
    <row r="196" spans="1:38">
      <c r="H196" s="498"/>
      <c r="X196" s="181"/>
    </row>
    <row r="197" spans="1:38">
      <c r="A197" s="41" t="s">
        <v>184</v>
      </c>
      <c r="B197" t="s">
        <v>1949</v>
      </c>
      <c r="C197" t="str">
        <f ca="1">'Unit Mix Helper'!F5</f>
        <v/>
      </c>
      <c r="D197" t="s">
        <v>1950</v>
      </c>
      <c r="E197">
        <f>UM_Bathrooms_1</f>
        <v>0</v>
      </c>
      <c r="G197" t="s">
        <v>1951</v>
      </c>
      <c r="H197" s="52" t="str">
        <f ca="1">IF(L197="","",C197&amp;" Bedroom")</f>
        <v/>
      </c>
      <c r="I197" t="s">
        <v>1952</v>
      </c>
      <c r="J197" t="str">
        <f ca="1">'Unit Mix Helper'!G5</f>
        <v/>
      </c>
      <c r="K197" t="s">
        <v>1953</v>
      </c>
      <c r="L197" t="str">
        <f ca="1">'Unit Mix Helper'!H5</f>
        <v/>
      </c>
      <c r="M197" t="s">
        <v>1954</v>
      </c>
      <c r="N197" t="str">
        <f ca="1">'Unit Mix Helper'!J5</f>
        <v/>
      </c>
      <c r="O197" t="s">
        <v>1955</v>
      </c>
      <c r="P197" s="52" t="str">
        <f ca="1">IF(L197="","",TRIM(TEXT('Unit Mix Helper'!I5,"#0%")))</f>
        <v/>
      </c>
      <c r="Q197" t="s">
        <v>1956</v>
      </c>
      <c r="R197" t="str">
        <f t="shared" ref="R197:R228" ca="1" si="34">IF(ISERROR(J197*L197),"",J197*L197)</f>
        <v/>
      </c>
      <c r="W197" s="57"/>
      <c r="X197" s="181"/>
      <c r="Y197" t="s">
        <v>1951</v>
      </c>
      <c r="Z197" s="53" t="str">
        <f t="shared" ref="Z197:Z228" si="35">IF($Z$2="","",IF(H197="","",H197))</f>
        <v/>
      </c>
      <c r="AA197" t="s">
        <v>1957</v>
      </c>
      <c r="AB197" s="52" t="str">
        <f>IF($Z$2="","",IF(Z197="","",'Unit Mix Helper'!K5))</f>
        <v/>
      </c>
      <c r="AC197" t="s">
        <v>1958</v>
      </c>
      <c r="AD197" s="49" t="str">
        <f t="shared" ref="AD197:AD228" si="36">IF($Z$2="","",IF(N197="","",N197))</f>
        <v/>
      </c>
      <c r="AE197" t="s">
        <v>1959</v>
      </c>
      <c r="AF197" t="str">
        <f t="shared" ref="AF197:AF228" si="37">IF($Z$2="","",IF(J197="","",J197))</f>
        <v/>
      </c>
      <c r="AG197" t="s">
        <v>1960</v>
      </c>
      <c r="AH197" t="str">
        <f t="shared" ref="AH197:AH228" si="38">IF($Z$2="","",IF(L197="","",L197))</f>
        <v/>
      </c>
      <c r="AI197" t="s">
        <v>1961</v>
      </c>
      <c r="AK197" t="s">
        <v>1962</v>
      </c>
      <c r="AL197" s="52" t="str">
        <f t="shared" ref="AL197:AL228" si="39">IF($Z$2="","",P197)</f>
        <v/>
      </c>
    </row>
    <row r="198" spans="1:38">
      <c r="B198" t="s">
        <v>1963</v>
      </c>
      <c r="C198" t="str">
        <f ca="1">'Unit Mix Helper'!F6</f>
        <v/>
      </c>
      <c r="D198" t="s">
        <v>1964</v>
      </c>
      <c r="E198">
        <f>UM_Bathrooms_2</f>
        <v>0</v>
      </c>
      <c r="G198" t="s">
        <v>1965</v>
      </c>
      <c r="H198" s="52" t="str">
        <f t="shared" ref="H198:H259" ca="1" si="40">IF(L198="","",C198&amp;" Bedroom")</f>
        <v/>
      </c>
      <c r="I198" t="s">
        <v>1966</v>
      </c>
      <c r="J198" t="str">
        <f ca="1">'Unit Mix Helper'!G6</f>
        <v/>
      </c>
      <c r="K198" t="s">
        <v>1967</v>
      </c>
      <c r="L198" t="str">
        <f ca="1">'Unit Mix Helper'!H6</f>
        <v/>
      </c>
      <c r="M198" t="s">
        <v>1968</v>
      </c>
      <c r="N198" t="str">
        <f ca="1">'Unit Mix Helper'!J6</f>
        <v/>
      </c>
      <c r="O198" t="s">
        <v>1969</v>
      </c>
      <c r="P198" s="52" t="str">
        <f ca="1">IF(L198="","",TRIM(TEXT('Unit Mix Helper'!I6,"#0%")))</f>
        <v/>
      </c>
      <c r="Q198" t="s">
        <v>1970</v>
      </c>
      <c r="R198" t="str">
        <f t="shared" ca="1" si="34"/>
        <v/>
      </c>
      <c r="W198" s="57"/>
      <c r="X198" s="181"/>
      <c r="Y198" t="s">
        <v>1965</v>
      </c>
      <c r="Z198" s="53" t="str">
        <f t="shared" si="35"/>
        <v/>
      </c>
      <c r="AA198" t="s">
        <v>1971</v>
      </c>
      <c r="AB198" s="52" t="str">
        <f>IF($Z$2="","",IF(Z198="","",'Unit Mix Helper'!K6))</f>
        <v/>
      </c>
      <c r="AC198" t="s">
        <v>1972</v>
      </c>
      <c r="AD198" s="49" t="str">
        <f t="shared" si="36"/>
        <v/>
      </c>
      <c r="AE198" t="s">
        <v>1973</v>
      </c>
      <c r="AF198" t="str">
        <f t="shared" si="37"/>
        <v/>
      </c>
      <c r="AG198" t="s">
        <v>1974</v>
      </c>
      <c r="AH198" t="str">
        <f t="shared" si="38"/>
        <v/>
      </c>
      <c r="AI198" t="s">
        <v>1975</v>
      </c>
      <c r="AK198" t="s">
        <v>1976</v>
      </c>
      <c r="AL198" s="52" t="str">
        <f t="shared" si="39"/>
        <v/>
      </c>
    </row>
    <row r="199" spans="1:38">
      <c r="B199" t="s">
        <v>1977</v>
      </c>
      <c r="C199" t="str">
        <f ca="1">'Unit Mix Helper'!F7</f>
        <v/>
      </c>
      <c r="D199" t="s">
        <v>1978</v>
      </c>
      <c r="E199">
        <f>UM_Bathrooms_3</f>
        <v>0</v>
      </c>
      <c r="G199" t="s">
        <v>1979</v>
      </c>
      <c r="H199" s="52" t="str">
        <f t="shared" ca="1" si="40"/>
        <v/>
      </c>
      <c r="I199" t="s">
        <v>1980</v>
      </c>
      <c r="J199" t="str">
        <f ca="1">'Unit Mix Helper'!G7</f>
        <v/>
      </c>
      <c r="K199" t="s">
        <v>1981</v>
      </c>
      <c r="L199" t="str">
        <f ca="1">'Unit Mix Helper'!H7</f>
        <v/>
      </c>
      <c r="M199" t="s">
        <v>1982</v>
      </c>
      <c r="N199" t="str">
        <f ca="1">'Unit Mix Helper'!J7</f>
        <v/>
      </c>
      <c r="O199" t="s">
        <v>1983</v>
      </c>
      <c r="P199" s="52" t="str">
        <f ca="1">IF(L199="","",TRIM(TEXT('Unit Mix Helper'!I7,"#0%")))</f>
        <v/>
      </c>
      <c r="Q199" t="s">
        <v>1984</v>
      </c>
      <c r="R199" t="str">
        <f t="shared" ca="1" si="34"/>
        <v/>
      </c>
      <c r="W199" s="57"/>
      <c r="X199" s="181"/>
      <c r="Y199" t="s">
        <v>1979</v>
      </c>
      <c r="Z199" s="53" t="str">
        <f t="shared" si="35"/>
        <v/>
      </c>
      <c r="AA199" t="s">
        <v>1985</v>
      </c>
      <c r="AB199" s="52" t="str">
        <f>IF($Z$2="","",IF(Z199="","",'Unit Mix Helper'!K7))</f>
        <v/>
      </c>
      <c r="AC199" t="s">
        <v>1986</v>
      </c>
      <c r="AD199" s="49" t="str">
        <f t="shared" si="36"/>
        <v/>
      </c>
      <c r="AE199" t="s">
        <v>1987</v>
      </c>
      <c r="AF199" t="str">
        <f t="shared" si="37"/>
        <v/>
      </c>
      <c r="AG199" t="s">
        <v>1988</v>
      </c>
      <c r="AH199" t="str">
        <f t="shared" si="38"/>
        <v/>
      </c>
      <c r="AI199" t="s">
        <v>1989</v>
      </c>
      <c r="AK199" t="s">
        <v>1990</v>
      </c>
      <c r="AL199" s="52" t="str">
        <f t="shared" si="39"/>
        <v/>
      </c>
    </row>
    <row r="200" spans="1:38">
      <c r="B200" t="s">
        <v>1991</v>
      </c>
      <c r="C200" t="str">
        <f ca="1">'Unit Mix Helper'!F8</f>
        <v/>
      </c>
      <c r="D200" t="s">
        <v>1992</v>
      </c>
      <c r="E200">
        <f>UM_Bathrooms_4</f>
        <v>0</v>
      </c>
      <c r="G200" t="s">
        <v>1993</v>
      </c>
      <c r="H200" s="52" t="str">
        <f t="shared" ca="1" si="40"/>
        <v/>
      </c>
      <c r="I200" t="s">
        <v>1994</v>
      </c>
      <c r="J200" t="str">
        <f ca="1">'Unit Mix Helper'!G8</f>
        <v/>
      </c>
      <c r="K200" t="s">
        <v>1995</v>
      </c>
      <c r="L200" t="str">
        <f ca="1">'Unit Mix Helper'!H8</f>
        <v/>
      </c>
      <c r="M200" t="s">
        <v>1996</v>
      </c>
      <c r="N200" t="str">
        <f ca="1">'Unit Mix Helper'!J8</f>
        <v/>
      </c>
      <c r="O200" t="s">
        <v>1997</v>
      </c>
      <c r="P200" s="52" t="str">
        <f ca="1">IF(L200="","",TRIM(TEXT('Unit Mix Helper'!I8,"#0%")))</f>
        <v/>
      </c>
      <c r="Q200" t="s">
        <v>1998</v>
      </c>
      <c r="R200" t="str">
        <f t="shared" ca="1" si="34"/>
        <v/>
      </c>
      <c r="W200" s="57"/>
      <c r="X200" s="181"/>
      <c r="Y200" t="s">
        <v>1993</v>
      </c>
      <c r="Z200" s="53" t="str">
        <f t="shared" si="35"/>
        <v/>
      </c>
      <c r="AA200" t="s">
        <v>1999</v>
      </c>
      <c r="AB200" s="52" t="str">
        <f>IF($Z$2="","",IF(Z200="","",'Unit Mix Helper'!K8))</f>
        <v/>
      </c>
      <c r="AC200" t="s">
        <v>2000</v>
      </c>
      <c r="AD200" s="49" t="str">
        <f t="shared" si="36"/>
        <v/>
      </c>
      <c r="AE200" t="s">
        <v>2001</v>
      </c>
      <c r="AF200" t="str">
        <f t="shared" si="37"/>
        <v/>
      </c>
      <c r="AG200" t="s">
        <v>2002</v>
      </c>
      <c r="AH200" t="str">
        <f t="shared" si="38"/>
        <v/>
      </c>
      <c r="AI200" t="s">
        <v>2003</v>
      </c>
      <c r="AK200" t="s">
        <v>2004</v>
      </c>
      <c r="AL200" s="52" t="str">
        <f t="shared" si="39"/>
        <v/>
      </c>
    </row>
    <row r="201" spans="1:38">
      <c r="B201" t="s">
        <v>2005</v>
      </c>
      <c r="C201" t="str">
        <f ca="1">'Unit Mix Helper'!F9</f>
        <v/>
      </c>
      <c r="D201" t="s">
        <v>2006</v>
      </c>
      <c r="E201">
        <f>UM_Bathrooms_5</f>
        <v>0</v>
      </c>
      <c r="G201" t="s">
        <v>2007</v>
      </c>
      <c r="H201" s="52" t="str">
        <f t="shared" ca="1" si="40"/>
        <v/>
      </c>
      <c r="I201" t="s">
        <v>2008</v>
      </c>
      <c r="J201" t="str">
        <f ca="1">'Unit Mix Helper'!G9</f>
        <v/>
      </c>
      <c r="K201" t="s">
        <v>2009</v>
      </c>
      <c r="L201" t="str">
        <f ca="1">'Unit Mix Helper'!H9</f>
        <v/>
      </c>
      <c r="M201" t="s">
        <v>2010</v>
      </c>
      <c r="N201" t="str">
        <f ca="1">'Unit Mix Helper'!J9</f>
        <v/>
      </c>
      <c r="O201" t="s">
        <v>2011</v>
      </c>
      <c r="P201" s="52" t="str">
        <f ca="1">IF(L201="","",TRIM(TEXT('Unit Mix Helper'!I9,"#0%")))</f>
        <v/>
      </c>
      <c r="Q201" t="s">
        <v>2012</v>
      </c>
      <c r="R201" t="str">
        <f t="shared" ca="1" si="34"/>
        <v/>
      </c>
      <c r="W201" s="57"/>
      <c r="X201" s="181"/>
      <c r="Y201" t="s">
        <v>2007</v>
      </c>
      <c r="Z201" s="53" t="str">
        <f t="shared" si="35"/>
        <v/>
      </c>
      <c r="AA201" t="s">
        <v>2013</v>
      </c>
      <c r="AB201" s="52" t="str">
        <f>IF($Z$2="","",IF(Z201="","",'Unit Mix Helper'!K9))</f>
        <v/>
      </c>
      <c r="AC201" t="s">
        <v>2014</v>
      </c>
      <c r="AD201" s="49" t="str">
        <f t="shared" si="36"/>
        <v/>
      </c>
      <c r="AE201" t="s">
        <v>2015</v>
      </c>
      <c r="AF201" t="str">
        <f t="shared" si="37"/>
        <v/>
      </c>
      <c r="AG201" t="s">
        <v>2016</v>
      </c>
      <c r="AH201" t="str">
        <f t="shared" si="38"/>
        <v/>
      </c>
      <c r="AI201" t="s">
        <v>2017</v>
      </c>
      <c r="AK201" t="s">
        <v>2018</v>
      </c>
      <c r="AL201" s="52" t="str">
        <f t="shared" si="39"/>
        <v/>
      </c>
    </row>
    <row r="202" spans="1:38">
      <c r="B202" t="s">
        <v>2019</v>
      </c>
      <c r="C202" t="str">
        <f ca="1">'Unit Mix Helper'!F10</f>
        <v/>
      </c>
      <c r="D202" t="s">
        <v>2020</v>
      </c>
      <c r="E202">
        <f>UM_Bathrooms_6</f>
        <v>0</v>
      </c>
      <c r="G202" t="s">
        <v>2021</v>
      </c>
      <c r="H202" s="52" t="str">
        <f t="shared" ca="1" si="40"/>
        <v/>
      </c>
      <c r="I202" t="s">
        <v>2022</v>
      </c>
      <c r="J202" t="str">
        <f ca="1">'Unit Mix Helper'!G10</f>
        <v/>
      </c>
      <c r="K202" t="s">
        <v>2023</v>
      </c>
      <c r="L202" t="str">
        <f ca="1">'Unit Mix Helper'!H10</f>
        <v/>
      </c>
      <c r="M202" t="s">
        <v>2024</v>
      </c>
      <c r="N202" t="str">
        <f ca="1">'Unit Mix Helper'!J10</f>
        <v/>
      </c>
      <c r="O202" t="s">
        <v>2025</v>
      </c>
      <c r="P202" s="52" t="str">
        <f ca="1">IF(L202="","",TRIM(TEXT('Unit Mix Helper'!I10,"#0%")))</f>
        <v/>
      </c>
      <c r="Q202" t="s">
        <v>2026</v>
      </c>
      <c r="R202" t="str">
        <f t="shared" ca="1" si="34"/>
        <v/>
      </c>
      <c r="W202" s="57"/>
      <c r="X202" s="181"/>
      <c r="Y202" t="s">
        <v>2021</v>
      </c>
      <c r="Z202" s="53" t="str">
        <f t="shared" si="35"/>
        <v/>
      </c>
      <c r="AA202" t="s">
        <v>2027</v>
      </c>
      <c r="AB202" s="52" t="str">
        <f>IF($Z$2="","",IF(Z202="","",'Unit Mix Helper'!K10))</f>
        <v/>
      </c>
      <c r="AC202" t="s">
        <v>2028</v>
      </c>
      <c r="AD202" s="49" t="str">
        <f t="shared" si="36"/>
        <v/>
      </c>
      <c r="AE202" t="s">
        <v>2029</v>
      </c>
      <c r="AF202" t="str">
        <f t="shared" si="37"/>
        <v/>
      </c>
      <c r="AG202" t="s">
        <v>2030</v>
      </c>
      <c r="AH202" t="str">
        <f t="shared" si="38"/>
        <v/>
      </c>
      <c r="AI202" t="s">
        <v>2031</v>
      </c>
      <c r="AK202" t="s">
        <v>2032</v>
      </c>
      <c r="AL202" s="52" t="str">
        <f t="shared" si="39"/>
        <v/>
      </c>
    </row>
    <row r="203" spans="1:38">
      <c r="B203" t="s">
        <v>2033</v>
      </c>
      <c r="C203" t="str">
        <f ca="1">'Unit Mix Helper'!F11</f>
        <v/>
      </c>
      <c r="D203" t="s">
        <v>2034</v>
      </c>
      <c r="E203">
        <f>UM_Bathrooms_7</f>
        <v>0</v>
      </c>
      <c r="G203" t="s">
        <v>2035</v>
      </c>
      <c r="H203" s="52" t="str">
        <f t="shared" ca="1" si="40"/>
        <v/>
      </c>
      <c r="I203" t="s">
        <v>2036</v>
      </c>
      <c r="J203" t="str">
        <f ca="1">'Unit Mix Helper'!G11</f>
        <v/>
      </c>
      <c r="K203" t="s">
        <v>2037</v>
      </c>
      <c r="L203" t="str">
        <f ca="1">'Unit Mix Helper'!H11</f>
        <v/>
      </c>
      <c r="M203" t="s">
        <v>2038</v>
      </c>
      <c r="N203" t="str">
        <f ca="1">'Unit Mix Helper'!J11</f>
        <v/>
      </c>
      <c r="O203" t="s">
        <v>2039</v>
      </c>
      <c r="P203" s="52" t="str">
        <f ca="1">IF(L203="","",TRIM(TEXT('Unit Mix Helper'!I11,"#0%")))</f>
        <v/>
      </c>
      <c r="Q203" t="s">
        <v>2040</v>
      </c>
      <c r="R203" t="str">
        <f t="shared" ca="1" si="34"/>
        <v/>
      </c>
      <c r="W203" s="57"/>
      <c r="X203" s="181"/>
      <c r="Y203" t="s">
        <v>2035</v>
      </c>
      <c r="Z203" s="53" t="str">
        <f t="shared" si="35"/>
        <v/>
      </c>
      <c r="AA203" t="s">
        <v>2041</v>
      </c>
      <c r="AB203" s="52" t="str">
        <f>IF($Z$2="","",IF(Z203="","",'Unit Mix Helper'!K11))</f>
        <v/>
      </c>
      <c r="AC203" t="s">
        <v>2042</v>
      </c>
      <c r="AD203" s="49" t="str">
        <f t="shared" si="36"/>
        <v/>
      </c>
      <c r="AE203" t="s">
        <v>2043</v>
      </c>
      <c r="AF203" t="str">
        <f t="shared" si="37"/>
        <v/>
      </c>
      <c r="AG203" t="s">
        <v>2044</v>
      </c>
      <c r="AH203" t="str">
        <f t="shared" si="38"/>
        <v/>
      </c>
      <c r="AI203" t="s">
        <v>2045</v>
      </c>
      <c r="AK203" t="s">
        <v>2046</v>
      </c>
      <c r="AL203" s="52" t="str">
        <f t="shared" si="39"/>
        <v/>
      </c>
    </row>
    <row r="204" spans="1:38">
      <c r="B204" t="s">
        <v>2047</v>
      </c>
      <c r="C204" t="str">
        <f ca="1">'Unit Mix Helper'!F12</f>
        <v/>
      </c>
      <c r="D204" t="s">
        <v>2048</v>
      </c>
      <c r="E204">
        <f>UM_Bathrooms_8</f>
        <v>0</v>
      </c>
      <c r="G204" t="s">
        <v>2049</v>
      </c>
      <c r="H204" s="52" t="str">
        <f t="shared" ca="1" si="40"/>
        <v/>
      </c>
      <c r="I204" t="s">
        <v>2050</v>
      </c>
      <c r="J204" t="str">
        <f ca="1">'Unit Mix Helper'!G12</f>
        <v/>
      </c>
      <c r="K204" t="s">
        <v>2051</v>
      </c>
      <c r="L204" t="str">
        <f ca="1">'Unit Mix Helper'!H12</f>
        <v/>
      </c>
      <c r="M204" t="s">
        <v>2052</v>
      </c>
      <c r="N204" t="str">
        <f ca="1">'Unit Mix Helper'!J12</f>
        <v/>
      </c>
      <c r="O204" t="s">
        <v>2053</v>
      </c>
      <c r="P204" s="52" t="str">
        <f ca="1">IF(L204="","",TRIM(TEXT('Unit Mix Helper'!I12,"#0%")))</f>
        <v/>
      </c>
      <c r="Q204" t="s">
        <v>2054</v>
      </c>
      <c r="R204" t="str">
        <f t="shared" ca="1" si="34"/>
        <v/>
      </c>
      <c r="W204" s="57"/>
      <c r="X204" s="181"/>
      <c r="Y204" t="s">
        <v>2049</v>
      </c>
      <c r="Z204" s="53" t="str">
        <f t="shared" si="35"/>
        <v/>
      </c>
      <c r="AA204" t="s">
        <v>2055</v>
      </c>
      <c r="AB204" s="52" t="str">
        <f>IF($Z$2="","",IF(Z204="","",'Unit Mix Helper'!K12))</f>
        <v/>
      </c>
      <c r="AC204" t="s">
        <v>2056</v>
      </c>
      <c r="AD204" s="49" t="str">
        <f t="shared" si="36"/>
        <v/>
      </c>
      <c r="AE204" t="s">
        <v>2057</v>
      </c>
      <c r="AF204" t="str">
        <f t="shared" si="37"/>
        <v/>
      </c>
      <c r="AG204" t="s">
        <v>2058</v>
      </c>
      <c r="AH204" t="str">
        <f t="shared" si="38"/>
        <v/>
      </c>
      <c r="AI204" t="s">
        <v>2059</v>
      </c>
      <c r="AK204" t="s">
        <v>2060</v>
      </c>
      <c r="AL204" s="52" t="str">
        <f t="shared" si="39"/>
        <v/>
      </c>
    </row>
    <row r="205" spans="1:38">
      <c r="B205" t="s">
        <v>2061</v>
      </c>
      <c r="C205" t="str">
        <f ca="1">'Unit Mix Helper'!F13</f>
        <v/>
      </c>
      <c r="D205" t="s">
        <v>2062</v>
      </c>
      <c r="E205">
        <f>UM_Bathrooms_9</f>
        <v>0</v>
      </c>
      <c r="G205" t="s">
        <v>2063</v>
      </c>
      <c r="H205" s="52" t="str">
        <f t="shared" ca="1" si="40"/>
        <v/>
      </c>
      <c r="I205" t="s">
        <v>2064</v>
      </c>
      <c r="J205" t="str">
        <f ca="1">'Unit Mix Helper'!G13</f>
        <v/>
      </c>
      <c r="K205" t="s">
        <v>2065</v>
      </c>
      <c r="L205" t="str">
        <f ca="1">'Unit Mix Helper'!H13</f>
        <v/>
      </c>
      <c r="M205" t="s">
        <v>2066</v>
      </c>
      <c r="N205" t="str">
        <f ca="1">'Unit Mix Helper'!J13</f>
        <v/>
      </c>
      <c r="O205" t="s">
        <v>2067</v>
      </c>
      <c r="P205" s="52" t="str">
        <f ca="1">IF(L205="","",TRIM(TEXT('Unit Mix Helper'!I13,"#0%")))</f>
        <v/>
      </c>
      <c r="Q205" t="s">
        <v>2068</v>
      </c>
      <c r="R205" t="str">
        <f t="shared" ca="1" si="34"/>
        <v/>
      </c>
      <c r="W205" s="57"/>
      <c r="X205" s="181"/>
      <c r="Y205" t="s">
        <v>2063</v>
      </c>
      <c r="Z205" s="53" t="str">
        <f t="shared" si="35"/>
        <v/>
      </c>
      <c r="AA205" t="s">
        <v>2069</v>
      </c>
      <c r="AB205" s="52" t="str">
        <f>IF($Z$2="","",IF(Z205="","",'Unit Mix Helper'!K13))</f>
        <v/>
      </c>
      <c r="AC205" t="s">
        <v>2070</v>
      </c>
      <c r="AD205" s="49" t="str">
        <f t="shared" si="36"/>
        <v/>
      </c>
      <c r="AE205" t="s">
        <v>2071</v>
      </c>
      <c r="AF205" t="str">
        <f t="shared" si="37"/>
        <v/>
      </c>
      <c r="AG205" t="s">
        <v>2072</v>
      </c>
      <c r="AH205" t="str">
        <f t="shared" si="38"/>
        <v/>
      </c>
      <c r="AI205" t="s">
        <v>2073</v>
      </c>
      <c r="AK205" t="s">
        <v>2074</v>
      </c>
      <c r="AL205" s="52" t="str">
        <f t="shared" si="39"/>
        <v/>
      </c>
    </row>
    <row r="206" spans="1:38">
      <c r="B206" t="s">
        <v>2075</v>
      </c>
      <c r="C206" t="str">
        <f ca="1">'Unit Mix Helper'!F14</f>
        <v/>
      </c>
      <c r="D206" t="s">
        <v>2076</v>
      </c>
      <c r="E206">
        <f>UM_Bathrooms_10</f>
        <v>0</v>
      </c>
      <c r="G206" t="s">
        <v>2077</v>
      </c>
      <c r="H206" s="52" t="str">
        <f t="shared" ca="1" si="40"/>
        <v/>
      </c>
      <c r="I206" t="s">
        <v>2078</v>
      </c>
      <c r="J206" t="str">
        <f ca="1">'Unit Mix Helper'!G14</f>
        <v/>
      </c>
      <c r="K206" t="s">
        <v>2079</v>
      </c>
      <c r="L206" t="str">
        <f ca="1">'Unit Mix Helper'!H14</f>
        <v/>
      </c>
      <c r="M206" t="s">
        <v>2080</v>
      </c>
      <c r="N206" t="str">
        <f ca="1">'Unit Mix Helper'!J14</f>
        <v/>
      </c>
      <c r="O206" t="s">
        <v>2081</v>
      </c>
      <c r="P206" s="52" t="str">
        <f ca="1">IF(L206="","",TRIM(TEXT('Unit Mix Helper'!I14,"#0%")))</f>
        <v/>
      </c>
      <c r="Q206" t="s">
        <v>2082</v>
      </c>
      <c r="R206" t="str">
        <f t="shared" ca="1" si="34"/>
        <v/>
      </c>
      <c r="W206" s="57"/>
      <c r="X206" s="181"/>
      <c r="Y206" t="s">
        <v>2077</v>
      </c>
      <c r="Z206" s="53" t="str">
        <f t="shared" si="35"/>
        <v/>
      </c>
      <c r="AA206" t="s">
        <v>2083</v>
      </c>
      <c r="AB206" s="52" t="str">
        <f>IF($Z$2="","",IF(Z206="","",'Unit Mix Helper'!K14))</f>
        <v/>
      </c>
      <c r="AC206" t="s">
        <v>2084</v>
      </c>
      <c r="AD206" s="49" t="str">
        <f t="shared" si="36"/>
        <v/>
      </c>
      <c r="AE206" t="s">
        <v>2085</v>
      </c>
      <c r="AF206" t="str">
        <f t="shared" si="37"/>
        <v/>
      </c>
      <c r="AG206" t="s">
        <v>2086</v>
      </c>
      <c r="AH206" t="str">
        <f t="shared" si="38"/>
        <v/>
      </c>
      <c r="AI206" t="s">
        <v>2087</v>
      </c>
      <c r="AK206" t="s">
        <v>2088</v>
      </c>
      <c r="AL206" s="52" t="str">
        <f t="shared" si="39"/>
        <v/>
      </c>
    </row>
    <row r="207" spans="1:38">
      <c r="B207" t="s">
        <v>2089</v>
      </c>
      <c r="C207" t="str">
        <f ca="1">'Unit Mix Helper'!F15</f>
        <v/>
      </c>
      <c r="D207" t="s">
        <v>2090</v>
      </c>
      <c r="E207">
        <f>UM_Bathrooms_11</f>
        <v>0</v>
      </c>
      <c r="G207" t="s">
        <v>2091</v>
      </c>
      <c r="H207" s="52" t="str">
        <f t="shared" ca="1" si="40"/>
        <v/>
      </c>
      <c r="I207" t="s">
        <v>2092</v>
      </c>
      <c r="J207" t="str">
        <f ca="1">'Unit Mix Helper'!G15</f>
        <v/>
      </c>
      <c r="K207" t="s">
        <v>2093</v>
      </c>
      <c r="L207" t="str">
        <f ca="1">'Unit Mix Helper'!H15</f>
        <v/>
      </c>
      <c r="M207" t="s">
        <v>2094</v>
      </c>
      <c r="N207" t="str">
        <f ca="1">'Unit Mix Helper'!J15</f>
        <v/>
      </c>
      <c r="O207" t="s">
        <v>2095</v>
      </c>
      <c r="P207" s="52" t="str">
        <f ca="1">IF(L207="","",TRIM(TEXT('Unit Mix Helper'!I15,"#0%")))</f>
        <v/>
      </c>
      <c r="Q207" t="s">
        <v>2096</v>
      </c>
      <c r="R207" t="str">
        <f t="shared" ca="1" si="34"/>
        <v/>
      </c>
      <c r="W207" s="57"/>
      <c r="X207" s="181"/>
      <c r="Y207" t="s">
        <v>2091</v>
      </c>
      <c r="Z207" s="53" t="str">
        <f t="shared" si="35"/>
        <v/>
      </c>
      <c r="AA207" t="s">
        <v>2097</v>
      </c>
      <c r="AB207" s="52" t="str">
        <f>IF($Z$2="","",IF(Z207="","",'Unit Mix Helper'!K15))</f>
        <v/>
      </c>
      <c r="AC207" t="s">
        <v>2098</v>
      </c>
      <c r="AD207" s="49" t="str">
        <f t="shared" si="36"/>
        <v/>
      </c>
      <c r="AE207" t="s">
        <v>2099</v>
      </c>
      <c r="AF207" t="str">
        <f t="shared" si="37"/>
        <v/>
      </c>
      <c r="AG207" t="s">
        <v>2100</v>
      </c>
      <c r="AH207" t="str">
        <f t="shared" si="38"/>
        <v/>
      </c>
      <c r="AI207" t="s">
        <v>2101</v>
      </c>
      <c r="AK207" t="s">
        <v>2102</v>
      </c>
      <c r="AL207" s="52" t="str">
        <f t="shared" si="39"/>
        <v/>
      </c>
    </row>
    <row r="208" spans="1:38">
      <c r="B208" t="s">
        <v>2103</v>
      </c>
      <c r="C208" t="str">
        <f ca="1">'Unit Mix Helper'!F16</f>
        <v/>
      </c>
      <c r="D208" t="s">
        <v>2104</v>
      </c>
      <c r="E208">
        <f>UM_Bathrooms_12</f>
        <v>0</v>
      </c>
      <c r="G208" t="s">
        <v>2105</v>
      </c>
      <c r="H208" s="52" t="str">
        <f t="shared" ca="1" si="40"/>
        <v/>
      </c>
      <c r="I208" t="s">
        <v>2106</v>
      </c>
      <c r="J208" t="str">
        <f ca="1">'Unit Mix Helper'!G16</f>
        <v/>
      </c>
      <c r="K208" t="s">
        <v>2107</v>
      </c>
      <c r="L208" t="str">
        <f ca="1">'Unit Mix Helper'!H16</f>
        <v/>
      </c>
      <c r="M208" t="s">
        <v>2108</v>
      </c>
      <c r="N208" t="str">
        <f ca="1">'Unit Mix Helper'!J16</f>
        <v/>
      </c>
      <c r="O208" t="s">
        <v>2109</v>
      </c>
      <c r="P208" s="52" t="str">
        <f ca="1">IF(L208="","",TRIM(TEXT('Unit Mix Helper'!I16,"#0%")))</f>
        <v/>
      </c>
      <c r="Q208" t="s">
        <v>2110</v>
      </c>
      <c r="R208" t="str">
        <f t="shared" ca="1" si="34"/>
        <v/>
      </c>
      <c r="W208" s="57"/>
      <c r="X208" s="181"/>
      <c r="Y208" t="s">
        <v>2105</v>
      </c>
      <c r="Z208" s="53" t="str">
        <f t="shared" si="35"/>
        <v/>
      </c>
      <c r="AA208" t="s">
        <v>2111</v>
      </c>
      <c r="AB208" s="52" t="str">
        <f>IF($Z$2="","",IF(Z208="","",'Unit Mix Helper'!K16))</f>
        <v/>
      </c>
      <c r="AC208" t="s">
        <v>2112</v>
      </c>
      <c r="AD208" s="49" t="str">
        <f t="shared" si="36"/>
        <v/>
      </c>
      <c r="AE208" t="s">
        <v>2113</v>
      </c>
      <c r="AF208" t="str">
        <f t="shared" si="37"/>
        <v/>
      </c>
      <c r="AG208" t="s">
        <v>2114</v>
      </c>
      <c r="AH208" t="str">
        <f t="shared" si="38"/>
        <v/>
      </c>
      <c r="AI208" t="s">
        <v>2115</v>
      </c>
      <c r="AK208" t="s">
        <v>2116</v>
      </c>
      <c r="AL208" s="52" t="str">
        <f t="shared" si="39"/>
        <v/>
      </c>
    </row>
    <row r="209" spans="2:38">
      <c r="B209" t="s">
        <v>2117</v>
      </c>
      <c r="C209" t="str">
        <f ca="1">'Unit Mix Helper'!F17</f>
        <v/>
      </c>
      <c r="D209" t="s">
        <v>2118</v>
      </c>
      <c r="E209">
        <f>UM_Bathrooms_13</f>
        <v>0</v>
      </c>
      <c r="G209" t="s">
        <v>2119</v>
      </c>
      <c r="H209" s="52" t="str">
        <f t="shared" ca="1" si="40"/>
        <v/>
      </c>
      <c r="I209" t="s">
        <v>2120</v>
      </c>
      <c r="J209" t="str">
        <f ca="1">'Unit Mix Helper'!G17</f>
        <v/>
      </c>
      <c r="K209" t="s">
        <v>2121</v>
      </c>
      <c r="L209" t="str">
        <f ca="1">'Unit Mix Helper'!H17</f>
        <v/>
      </c>
      <c r="M209" t="s">
        <v>2122</v>
      </c>
      <c r="N209" t="str">
        <f ca="1">'Unit Mix Helper'!J17</f>
        <v/>
      </c>
      <c r="O209" t="s">
        <v>2123</v>
      </c>
      <c r="P209" s="52" t="str">
        <f ca="1">IF(L209="","",TRIM(TEXT('Unit Mix Helper'!I17,"#0%")))</f>
        <v/>
      </c>
      <c r="Q209" t="s">
        <v>2124</v>
      </c>
      <c r="R209" t="str">
        <f t="shared" ca="1" si="34"/>
        <v/>
      </c>
      <c r="W209" s="57"/>
      <c r="X209" s="181"/>
      <c r="Y209" t="s">
        <v>2119</v>
      </c>
      <c r="Z209" s="53" t="str">
        <f t="shared" si="35"/>
        <v/>
      </c>
      <c r="AA209" t="s">
        <v>2125</v>
      </c>
      <c r="AB209" s="52" t="str">
        <f>IF($Z$2="","",IF(Z209="","",'Unit Mix Helper'!K17))</f>
        <v/>
      </c>
      <c r="AC209" t="s">
        <v>2126</v>
      </c>
      <c r="AD209" s="49" t="str">
        <f t="shared" si="36"/>
        <v/>
      </c>
      <c r="AE209" t="s">
        <v>2127</v>
      </c>
      <c r="AF209" t="str">
        <f t="shared" si="37"/>
        <v/>
      </c>
      <c r="AG209" t="s">
        <v>2128</v>
      </c>
      <c r="AH209" t="str">
        <f t="shared" si="38"/>
        <v/>
      </c>
      <c r="AI209" t="s">
        <v>2129</v>
      </c>
      <c r="AK209" t="s">
        <v>2130</v>
      </c>
      <c r="AL209" s="52" t="str">
        <f t="shared" si="39"/>
        <v/>
      </c>
    </row>
    <row r="210" spans="2:38">
      <c r="B210" t="s">
        <v>2131</v>
      </c>
      <c r="C210" t="str">
        <f ca="1">'Unit Mix Helper'!F18</f>
        <v/>
      </c>
      <c r="D210" t="s">
        <v>2132</v>
      </c>
      <c r="E210">
        <f>UM_Bathrooms_14</f>
        <v>0</v>
      </c>
      <c r="G210" t="s">
        <v>2133</v>
      </c>
      <c r="H210" s="52" t="str">
        <f t="shared" ca="1" si="40"/>
        <v/>
      </c>
      <c r="I210" t="s">
        <v>2134</v>
      </c>
      <c r="J210" t="str">
        <f ca="1">'Unit Mix Helper'!G18</f>
        <v/>
      </c>
      <c r="K210" t="s">
        <v>2135</v>
      </c>
      <c r="L210" t="str">
        <f ca="1">'Unit Mix Helper'!H18</f>
        <v/>
      </c>
      <c r="M210" t="s">
        <v>2136</v>
      </c>
      <c r="N210" t="str">
        <f ca="1">'Unit Mix Helper'!J18</f>
        <v/>
      </c>
      <c r="O210" t="s">
        <v>2137</v>
      </c>
      <c r="P210" s="52" t="str">
        <f ca="1">IF(L210="","",TRIM(TEXT('Unit Mix Helper'!I18,"#0%")))</f>
        <v/>
      </c>
      <c r="Q210" t="s">
        <v>2138</v>
      </c>
      <c r="R210" t="str">
        <f t="shared" ca="1" si="34"/>
        <v/>
      </c>
      <c r="W210" s="57"/>
      <c r="X210" s="181"/>
      <c r="Y210" t="s">
        <v>2133</v>
      </c>
      <c r="Z210" s="53" t="str">
        <f t="shared" si="35"/>
        <v/>
      </c>
      <c r="AA210" t="s">
        <v>2139</v>
      </c>
      <c r="AB210" s="52" t="str">
        <f>IF($Z$2="","",IF(Z210="","",'Unit Mix Helper'!K18))</f>
        <v/>
      </c>
      <c r="AC210" t="s">
        <v>2140</v>
      </c>
      <c r="AD210" s="49" t="str">
        <f t="shared" si="36"/>
        <v/>
      </c>
      <c r="AE210" t="s">
        <v>2141</v>
      </c>
      <c r="AF210" t="str">
        <f t="shared" si="37"/>
        <v/>
      </c>
      <c r="AG210" t="s">
        <v>2142</v>
      </c>
      <c r="AH210" t="str">
        <f t="shared" si="38"/>
        <v/>
      </c>
      <c r="AI210" t="s">
        <v>2143</v>
      </c>
      <c r="AK210" t="s">
        <v>2144</v>
      </c>
      <c r="AL210" s="52" t="str">
        <f t="shared" si="39"/>
        <v/>
      </c>
    </row>
    <row r="211" spans="2:38">
      <c r="B211" t="s">
        <v>2145</v>
      </c>
      <c r="C211" t="str">
        <f ca="1">'Unit Mix Helper'!F19</f>
        <v/>
      </c>
      <c r="D211" t="s">
        <v>2146</v>
      </c>
      <c r="E211">
        <f>UM_Bathrooms_15</f>
        <v>0</v>
      </c>
      <c r="G211" t="s">
        <v>2147</v>
      </c>
      <c r="H211" s="52" t="str">
        <f t="shared" ca="1" si="40"/>
        <v/>
      </c>
      <c r="I211" t="s">
        <v>2148</v>
      </c>
      <c r="J211" t="str">
        <f ca="1">'Unit Mix Helper'!G19</f>
        <v/>
      </c>
      <c r="K211" t="s">
        <v>2149</v>
      </c>
      <c r="L211" t="str">
        <f ca="1">'Unit Mix Helper'!H19</f>
        <v/>
      </c>
      <c r="M211" t="s">
        <v>2150</v>
      </c>
      <c r="N211" t="str">
        <f ca="1">'Unit Mix Helper'!J19</f>
        <v/>
      </c>
      <c r="O211" t="s">
        <v>2151</v>
      </c>
      <c r="P211" s="52" t="str">
        <f ca="1">IF(L211="","",TRIM(TEXT('Unit Mix Helper'!I19,"#0%")))</f>
        <v/>
      </c>
      <c r="Q211" t="s">
        <v>2152</v>
      </c>
      <c r="R211" t="str">
        <f t="shared" ca="1" si="34"/>
        <v/>
      </c>
      <c r="W211" s="57"/>
      <c r="X211" s="181"/>
      <c r="Y211" t="s">
        <v>2147</v>
      </c>
      <c r="Z211" s="53" t="str">
        <f t="shared" si="35"/>
        <v/>
      </c>
      <c r="AA211" t="s">
        <v>2153</v>
      </c>
      <c r="AB211" s="52" t="str">
        <f>IF($Z$2="","",IF(Z211="","",'Unit Mix Helper'!K19))</f>
        <v/>
      </c>
      <c r="AC211" t="s">
        <v>2154</v>
      </c>
      <c r="AD211" s="49" t="str">
        <f t="shared" si="36"/>
        <v/>
      </c>
      <c r="AE211" t="s">
        <v>2155</v>
      </c>
      <c r="AF211" t="str">
        <f t="shared" si="37"/>
        <v/>
      </c>
      <c r="AG211" t="s">
        <v>2156</v>
      </c>
      <c r="AH211" t="str">
        <f t="shared" si="38"/>
        <v/>
      </c>
      <c r="AI211" t="s">
        <v>2157</v>
      </c>
      <c r="AK211" t="s">
        <v>2158</v>
      </c>
      <c r="AL211" s="52" t="str">
        <f t="shared" si="39"/>
        <v/>
      </c>
    </row>
    <row r="212" spans="2:38">
      <c r="B212" t="s">
        <v>2159</v>
      </c>
      <c r="C212" t="str">
        <f ca="1">'Unit Mix Helper'!F20</f>
        <v/>
      </c>
      <c r="D212" t="s">
        <v>2160</v>
      </c>
      <c r="E212">
        <f>UM_Bathrooms_16</f>
        <v>0</v>
      </c>
      <c r="G212" t="s">
        <v>2161</v>
      </c>
      <c r="H212" s="52" t="str">
        <f t="shared" ca="1" si="40"/>
        <v/>
      </c>
      <c r="I212" t="s">
        <v>2162</v>
      </c>
      <c r="J212" t="str">
        <f ca="1">'Unit Mix Helper'!G20</f>
        <v/>
      </c>
      <c r="K212" t="s">
        <v>2163</v>
      </c>
      <c r="L212" t="str">
        <f ca="1">'Unit Mix Helper'!H20</f>
        <v/>
      </c>
      <c r="M212" t="s">
        <v>2164</v>
      </c>
      <c r="N212" t="str">
        <f ca="1">'Unit Mix Helper'!J20</f>
        <v/>
      </c>
      <c r="O212" t="s">
        <v>2165</v>
      </c>
      <c r="P212" s="52" t="str">
        <f ca="1">IF(L212="","",TRIM(TEXT('Unit Mix Helper'!I20,"#0%")))</f>
        <v/>
      </c>
      <c r="Q212" t="s">
        <v>2166</v>
      </c>
      <c r="R212" t="str">
        <f t="shared" ca="1" si="34"/>
        <v/>
      </c>
      <c r="W212" s="57"/>
      <c r="X212" s="181"/>
      <c r="Y212" t="s">
        <v>2161</v>
      </c>
      <c r="Z212" s="53" t="str">
        <f t="shared" si="35"/>
        <v/>
      </c>
      <c r="AA212" t="s">
        <v>2167</v>
      </c>
      <c r="AB212" s="52" t="str">
        <f>IF($Z$2="","",IF(Z212="","",'Unit Mix Helper'!K20))</f>
        <v/>
      </c>
      <c r="AC212" t="s">
        <v>2168</v>
      </c>
      <c r="AD212" s="49" t="str">
        <f t="shared" si="36"/>
        <v/>
      </c>
      <c r="AE212" t="s">
        <v>2169</v>
      </c>
      <c r="AF212" t="str">
        <f t="shared" si="37"/>
        <v/>
      </c>
      <c r="AG212" t="s">
        <v>2170</v>
      </c>
      <c r="AH212" t="str">
        <f t="shared" si="38"/>
        <v/>
      </c>
      <c r="AI212" t="s">
        <v>2171</v>
      </c>
      <c r="AK212" t="s">
        <v>2172</v>
      </c>
      <c r="AL212" s="52" t="str">
        <f t="shared" si="39"/>
        <v/>
      </c>
    </row>
    <row r="213" spans="2:38">
      <c r="B213" t="s">
        <v>2173</v>
      </c>
      <c r="C213" t="str">
        <f ca="1">'Unit Mix Helper'!F21</f>
        <v/>
      </c>
      <c r="D213" t="s">
        <v>2174</v>
      </c>
      <c r="E213">
        <f>UM_Bathrooms_17</f>
        <v>0</v>
      </c>
      <c r="G213" t="s">
        <v>2175</v>
      </c>
      <c r="H213" s="52" t="str">
        <f t="shared" ca="1" si="40"/>
        <v/>
      </c>
      <c r="I213" t="s">
        <v>2176</v>
      </c>
      <c r="J213" t="str">
        <f ca="1">'Unit Mix Helper'!G21</f>
        <v/>
      </c>
      <c r="K213" t="s">
        <v>2177</v>
      </c>
      <c r="L213" t="str">
        <f ca="1">'Unit Mix Helper'!H21</f>
        <v/>
      </c>
      <c r="M213" t="s">
        <v>2178</v>
      </c>
      <c r="N213" t="str">
        <f ca="1">'Unit Mix Helper'!J21</f>
        <v/>
      </c>
      <c r="O213" t="s">
        <v>2179</v>
      </c>
      <c r="P213" s="52" t="str">
        <f ca="1">IF(L213="","",TRIM(TEXT('Unit Mix Helper'!I21,"#0%")))</f>
        <v/>
      </c>
      <c r="Q213" t="s">
        <v>2180</v>
      </c>
      <c r="R213" t="str">
        <f t="shared" ca="1" si="34"/>
        <v/>
      </c>
      <c r="W213" s="57"/>
      <c r="X213" s="181"/>
      <c r="Y213" t="s">
        <v>2175</v>
      </c>
      <c r="Z213" s="53" t="str">
        <f t="shared" si="35"/>
        <v/>
      </c>
      <c r="AA213" t="s">
        <v>2181</v>
      </c>
      <c r="AB213" s="52" t="str">
        <f>IF($Z$2="","",IF(Z213="","",'Unit Mix Helper'!K21))</f>
        <v/>
      </c>
      <c r="AC213" t="s">
        <v>2182</v>
      </c>
      <c r="AD213" s="49" t="str">
        <f t="shared" si="36"/>
        <v/>
      </c>
      <c r="AE213" t="s">
        <v>2183</v>
      </c>
      <c r="AF213" t="str">
        <f t="shared" si="37"/>
        <v/>
      </c>
      <c r="AG213" t="s">
        <v>2184</v>
      </c>
      <c r="AH213" t="str">
        <f t="shared" si="38"/>
        <v/>
      </c>
      <c r="AI213" t="s">
        <v>2185</v>
      </c>
      <c r="AK213" t="s">
        <v>2186</v>
      </c>
      <c r="AL213" s="52" t="str">
        <f t="shared" si="39"/>
        <v/>
      </c>
    </row>
    <row r="214" spans="2:38">
      <c r="B214" t="s">
        <v>2187</v>
      </c>
      <c r="C214" t="str">
        <f ca="1">'Unit Mix Helper'!F22</f>
        <v/>
      </c>
      <c r="D214" t="s">
        <v>2188</v>
      </c>
      <c r="E214">
        <f>UM_Bathrooms_18</f>
        <v>0</v>
      </c>
      <c r="G214" t="s">
        <v>2189</v>
      </c>
      <c r="H214" s="52" t="str">
        <f t="shared" ca="1" si="40"/>
        <v/>
      </c>
      <c r="I214" t="s">
        <v>2190</v>
      </c>
      <c r="J214" t="str">
        <f ca="1">'Unit Mix Helper'!G22</f>
        <v/>
      </c>
      <c r="K214" t="s">
        <v>2191</v>
      </c>
      <c r="L214" t="str">
        <f ca="1">'Unit Mix Helper'!H22</f>
        <v/>
      </c>
      <c r="M214" t="s">
        <v>2192</v>
      </c>
      <c r="N214" t="str">
        <f ca="1">'Unit Mix Helper'!J22</f>
        <v/>
      </c>
      <c r="O214" t="s">
        <v>2193</v>
      </c>
      <c r="P214" s="52" t="str">
        <f ca="1">IF(L214="","",TRIM(TEXT('Unit Mix Helper'!I22,"#0%")))</f>
        <v/>
      </c>
      <c r="Q214" t="s">
        <v>2194</v>
      </c>
      <c r="R214" t="str">
        <f t="shared" ca="1" si="34"/>
        <v/>
      </c>
      <c r="W214" s="57"/>
      <c r="X214" s="181"/>
      <c r="Y214" t="s">
        <v>2189</v>
      </c>
      <c r="Z214" s="53" t="str">
        <f t="shared" si="35"/>
        <v/>
      </c>
      <c r="AA214" t="s">
        <v>2195</v>
      </c>
      <c r="AB214" s="52" t="str">
        <f>IF($Z$2="","",IF(Z214="","",'Unit Mix Helper'!K22))</f>
        <v/>
      </c>
      <c r="AC214" t="s">
        <v>2196</v>
      </c>
      <c r="AD214" s="49" t="str">
        <f t="shared" si="36"/>
        <v/>
      </c>
      <c r="AE214" t="s">
        <v>2197</v>
      </c>
      <c r="AF214" t="str">
        <f t="shared" si="37"/>
        <v/>
      </c>
      <c r="AG214" t="s">
        <v>2198</v>
      </c>
      <c r="AH214" t="str">
        <f t="shared" si="38"/>
        <v/>
      </c>
      <c r="AI214" t="s">
        <v>2199</v>
      </c>
      <c r="AK214" t="s">
        <v>2200</v>
      </c>
      <c r="AL214" s="52" t="str">
        <f t="shared" si="39"/>
        <v/>
      </c>
    </row>
    <row r="215" spans="2:38">
      <c r="B215" t="s">
        <v>2201</v>
      </c>
      <c r="C215" t="str">
        <f ca="1">'Unit Mix Helper'!F23</f>
        <v/>
      </c>
      <c r="D215" t="s">
        <v>2202</v>
      </c>
      <c r="E215">
        <f>UM_Bathrooms_19</f>
        <v>0</v>
      </c>
      <c r="G215" t="s">
        <v>2203</v>
      </c>
      <c r="H215" s="52" t="str">
        <f t="shared" ca="1" si="40"/>
        <v/>
      </c>
      <c r="I215" t="s">
        <v>2204</v>
      </c>
      <c r="J215" t="str">
        <f ca="1">'Unit Mix Helper'!G23</f>
        <v/>
      </c>
      <c r="K215" t="s">
        <v>2205</v>
      </c>
      <c r="L215" t="str">
        <f ca="1">'Unit Mix Helper'!H23</f>
        <v/>
      </c>
      <c r="M215" t="s">
        <v>2206</v>
      </c>
      <c r="N215" t="str">
        <f ca="1">'Unit Mix Helper'!J23</f>
        <v/>
      </c>
      <c r="O215" t="s">
        <v>2207</v>
      </c>
      <c r="P215" s="52" t="str">
        <f ca="1">IF(L215="","",TRIM(TEXT('Unit Mix Helper'!I23,"#0%")))</f>
        <v/>
      </c>
      <c r="Q215" t="s">
        <v>2208</v>
      </c>
      <c r="R215" t="str">
        <f t="shared" ca="1" si="34"/>
        <v/>
      </c>
      <c r="W215" s="57"/>
      <c r="X215" s="181"/>
      <c r="Y215" t="s">
        <v>2203</v>
      </c>
      <c r="Z215" s="53" t="str">
        <f t="shared" si="35"/>
        <v/>
      </c>
      <c r="AA215" t="s">
        <v>2209</v>
      </c>
      <c r="AB215" s="52" t="str">
        <f>IF($Z$2="","",IF(Z215="","",'Unit Mix Helper'!K23))</f>
        <v/>
      </c>
      <c r="AC215" t="s">
        <v>2210</v>
      </c>
      <c r="AD215" s="49" t="str">
        <f t="shared" si="36"/>
        <v/>
      </c>
      <c r="AE215" t="s">
        <v>2211</v>
      </c>
      <c r="AF215" t="str">
        <f t="shared" si="37"/>
        <v/>
      </c>
      <c r="AG215" t="s">
        <v>2212</v>
      </c>
      <c r="AH215" t="str">
        <f t="shared" si="38"/>
        <v/>
      </c>
      <c r="AI215" t="s">
        <v>2213</v>
      </c>
      <c r="AK215" t="s">
        <v>2214</v>
      </c>
      <c r="AL215" s="52" t="str">
        <f t="shared" si="39"/>
        <v/>
      </c>
    </row>
    <row r="216" spans="2:38">
      <c r="B216" t="s">
        <v>2215</v>
      </c>
      <c r="C216" t="str">
        <f ca="1">'Unit Mix Helper'!F24</f>
        <v/>
      </c>
      <c r="D216" t="s">
        <v>2216</v>
      </c>
      <c r="E216">
        <f>UM_Bathrooms_20</f>
        <v>0</v>
      </c>
      <c r="G216" t="s">
        <v>2217</v>
      </c>
      <c r="H216" s="52" t="str">
        <f t="shared" ca="1" si="40"/>
        <v/>
      </c>
      <c r="I216" t="s">
        <v>2218</v>
      </c>
      <c r="J216" t="str">
        <f ca="1">'Unit Mix Helper'!G24</f>
        <v/>
      </c>
      <c r="K216" t="s">
        <v>2219</v>
      </c>
      <c r="L216" t="str">
        <f ca="1">'Unit Mix Helper'!H24</f>
        <v/>
      </c>
      <c r="M216" t="s">
        <v>2220</v>
      </c>
      <c r="N216" t="str">
        <f ca="1">'Unit Mix Helper'!J24</f>
        <v/>
      </c>
      <c r="O216" t="s">
        <v>2221</v>
      </c>
      <c r="P216" s="52" t="str">
        <f ca="1">IF(L216="","",TRIM(TEXT('Unit Mix Helper'!I24,"#0%")))</f>
        <v/>
      </c>
      <c r="Q216" t="s">
        <v>2222</v>
      </c>
      <c r="R216" t="str">
        <f t="shared" ca="1" si="34"/>
        <v/>
      </c>
      <c r="W216" s="57"/>
      <c r="X216" s="181"/>
      <c r="Y216" t="s">
        <v>2217</v>
      </c>
      <c r="Z216" s="53" t="str">
        <f t="shared" si="35"/>
        <v/>
      </c>
      <c r="AA216" t="s">
        <v>2223</v>
      </c>
      <c r="AB216" s="52" t="str">
        <f>IF($Z$2="","",IF(Z216="","",'Unit Mix Helper'!K24))</f>
        <v/>
      </c>
      <c r="AC216" t="s">
        <v>2224</v>
      </c>
      <c r="AD216" s="49" t="str">
        <f t="shared" si="36"/>
        <v/>
      </c>
      <c r="AE216" t="s">
        <v>2225</v>
      </c>
      <c r="AF216" t="str">
        <f t="shared" si="37"/>
        <v/>
      </c>
      <c r="AG216" t="s">
        <v>2226</v>
      </c>
      <c r="AH216" t="str">
        <f t="shared" si="38"/>
        <v/>
      </c>
      <c r="AI216" t="s">
        <v>2227</v>
      </c>
      <c r="AK216" t="s">
        <v>2228</v>
      </c>
      <c r="AL216" s="52" t="str">
        <f t="shared" si="39"/>
        <v/>
      </c>
    </row>
    <row r="217" spans="2:38">
      <c r="B217" t="s">
        <v>2229</v>
      </c>
      <c r="C217" t="str">
        <f ca="1">'Unit Mix Helper'!F25</f>
        <v/>
      </c>
      <c r="D217" t="s">
        <v>2230</v>
      </c>
      <c r="E217">
        <f>UM_Bathrooms_21</f>
        <v>0</v>
      </c>
      <c r="G217" t="s">
        <v>2231</v>
      </c>
      <c r="H217" s="52" t="str">
        <f t="shared" ca="1" si="40"/>
        <v/>
      </c>
      <c r="I217" t="s">
        <v>2232</v>
      </c>
      <c r="J217" t="str">
        <f ca="1">'Unit Mix Helper'!G25</f>
        <v/>
      </c>
      <c r="K217" t="s">
        <v>2233</v>
      </c>
      <c r="L217" t="str">
        <f ca="1">'Unit Mix Helper'!H25</f>
        <v/>
      </c>
      <c r="M217" t="s">
        <v>2234</v>
      </c>
      <c r="N217" t="str">
        <f ca="1">'Unit Mix Helper'!J25</f>
        <v/>
      </c>
      <c r="O217" t="s">
        <v>2235</v>
      </c>
      <c r="P217" s="52" t="str">
        <f ca="1">IF(L217="","",TRIM(TEXT('Unit Mix Helper'!I25,"#0%")))</f>
        <v/>
      </c>
      <c r="Q217" t="s">
        <v>2236</v>
      </c>
      <c r="R217" t="str">
        <f t="shared" ca="1" si="34"/>
        <v/>
      </c>
      <c r="W217" s="57"/>
      <c r="X217" s="181"/>
      <c r="Y217" t="s">
        <v>2231</v>
      </c>
      <c r="Z217" s="53" t="str">
        <f t="shared" si="35"/>
        <v/>
      </c>
      <c r="AA217" t="s">
        <v>2237</v>
      </c>
      <c r="AB217" s="52" t="str">
        <f>IF($Z$2="","",IF(Z217="","",'Unit Mix Helper'!K25))</f>
        <v/>
      </c>
      <c r="AC217" t="s">
        <v>2238</v>
      </c>
      <c r="AD217" s="49" t="str">
        <f t="shared" si="36"/>
        <v/>
      </c>
      <c r="AE217" t="s">
        <v>2239</v>
      </c>
      <c r="AF217" t="str">
        <f t="shared" si="37"/>
        <v/>
      </c>
      <c r="AG217" t="s">
        <v>2240</v>
      </c>
      <c r="AH217" t="str">
        <f t="shared" si="38"/>
        <v/>
      </c>
      <c r="AI217" t="s">
        <v>2241</v>
      </c>
      <c r="AK217" t="s">
        <v>2242</v>
      </c>
      <c r="AL217" s="52" t="str">
        <f t="shared" si="39"/>
        <v/>
      </c>
    </row>
    <row r="218" spans="2:38">
      <c r="B218" t="s">
        <v>2243</v>
      </c>
      <c r="C218" t="str">
        <f ca="1">'Unit Mix Helper'!F26</f>
        <v/>
      </c>
      <c r="D218" t="s">
        <v>2244</v>
      </c>
      <c r="E218">
        <f>UM_Bathrooms_22</f>
        <v>0</v>
      </c>
      <c r="G218" t="s">
        <v>2245</v>
      </c>
      <c r="H218" s="52" t="str">
        <f t="shared" ca="1" si="40"/>
        <v/>
      </c>
      <c r="I218" t="s">
        <v>2246</v>
      </c>
      <c r="J218" t="str">
        <f ca="1">'Unit Mix Helper'!G26</f>
        <v/>
      </c>
      <c r="K218" t="s">
        <v>2247</v>
      </c>
      <c r="L218" t="str">
        <f ca="1">'Unit Mix Helper'!H26</f>
        <v/>
      </c>
      <c r="M218" t="s">
        <v>2248</v>
      </c>
      <c r="N218" t="str">
        <f ca="1">'Unit Mix Helper'!J26</f>
        <v/>
      </c>
      <c r="O218" t="s">
        <v>2249</v>
      </c>
      <c r="P218" s="52" t="str">
        <f ca="1">IF(L218="","",TRIM(TEXT('Unit Mix Helper'!I26,"#0%")))</f>
        <v/>
      </c>
      <c r="Q218" t="s">
        <v>2250</v>
      </c>
      <c r="R218" t="str">
        <f t="shared" ca="1" si="34"/>
        <v/>
      </c>
      <c r="W218" s="57"/>
      <c r="X218" s="181"/>
      <c r="Y218" t="s">
        <v>2245</v>
      </c>
      <c r="Z218" s="53" t="str">
        <f t="shared" si="35"/>
        <v/>
      </c>
      <c r="AA218" t="s">
        <v>2251</v>
      </c>
      <c r="AB218" s="52" t="str">
        <f>IF($Z$2="","",IF(Z218="","",'Unit Mix Helper'!K26))</f>
        <v/>
      </c>
      <c r="AC218" t="s">
        <v>2252</v>
      </c>
      <c r="AD218" s="49" t="str">
        <f t="shared" si="36"/>
        <v/>
      </c>
      <c r="AE218" t="s">
        <v>2253</v>
      </c>
      <c r="AF218" t="str">
        <f t="shared" si="37"/>
        <v/>
      </c>
      <c r="AG218" t="s">
        <v>2254</v>
      </c>
      <c r="AH218" t="str">
        <f t="shared" si="38"/>
        <v/>
      </c>
      <c r="AI218" t="s">
        <v>2255</v>
      </c>
      <c r="AK218" t="s">
        <v>2256</v>
      </c>
      <c r="AL218" s="52" t="str">
        <f t="shared" si="39"/>
        <v/>
      </c>
    </row>
    <row r="219" spans="2:38">
      <c r="B219" t="s">
        <v>2257</v>
      </c>
      <c r="C219" t="str">
        <f ca="1">'Unit Mix Helper'!F27</f>
        <v/>
      </c>
      <c r="D219" t="s">
        <v>2258</v>
      </c>
      <c r="E219">
        <f>UM_Bathrooms_23</f>
        <v>0</v>
      </c>
      <c r="G219" t="s">
        <v>2259</v>
      </c>
      <c r="H219" s="52" t="str">
        <f t="shared" ca="1" si="40"/>
        <v/>
      </c>
      <c r="I219" t="s">
        <v>2260</v>
      </c>
      <c r="J219" t="str">
        <f ca="1">'Unit Mix Helper'!G27</f>
        <v/>
      </c>
      <c r="K219" t="s">
        <v>2261</v>
      </c>
      <c r="L219" t="str">
        <f ca="1">'Unit Mix Helper'!H27</f>
        <v/>
      </c>
      <c r="M219" t="s">
        <v>2262</v>
      </c>
      <c r="N219" t="str">
        <f ca="1">'Unit Mix Helper'!J27</f>
        <v/>
      </c>
      <c r="O219" t="s">
        <v>2263</v>
      </c>
      <c r="P219" s="52" t="str">
        <f ca="1">IF(L219="","",TRIM(TEXT('Unit Mix Helper'!I27,"#0%")))</f>
        <v/>
      </c>
      <c r="Q219" t="s">
        <v>2264</v>
      </c>
      <c r="R219" t="str">
        <f t="shared" ca="1" si="34"/>
        <v/>
      </c>
      <c r="W219" s="57"/>
      <c r="X219" s="181"/>
      <c r="Y219" t="s">
        <v>2259</v>
      </c>
      <c r="Z219" s="53" t="str">
        <f t="shared" si="35"/>
        <v/>
      </c>
      <c r="AA219" t="s">
        <v>2265</v>
      </c>
      <c r="AB219" s="52" t="str">
        <f>IF($Z$2="","",IF(Z219="","",'Unit Mix Helper'!K27))</f>
        <v/>
      </c>
      <c r="AC219" t="s">
        <v>2266</v>
      </c>
      <c r="AD219" s="49" t="str">
        <f t="shared" si="36"/>
        <v/>
      </c>
      <c r="AE219" t="s">
        <v>2267</v>
      </c>
      <c r="AF219" t="str">
        <f t="shared" si="37"/>
        <v/>
      </c>
      <c r="AG219" t="s">
        <v>2268</v>
      </c>
      <c r="AH219" t="str">
        <f t="shared" si="38"/>
        <v/>
      </c>
      <c r="AI219" t="s">
        <v>2269</v>
      </c>
      <c r="AK219" t="s">
        <v>2270</v>
      </c>
      <c r="AL219" s="52" t="str">
        <f t="shared" si="39"/>
        <v/>
      </c>
    </row>
    <row r="220" spans="2:38">
      <c r="B220" t="s">
        <v>2271</v>
      </c>
      <c r="C220" t="str">
        <f ca="1">'Unit Mix Helper'!F28</f>
        <v/>
      </c>
      <c r="D220" t="s">
        <v>2272</v>
      </c>
      <c r="E220">
        <f>UM_Bathrooms_24</f>
        <v>0</v>
      </c>
      <c r="G220" t="s">
        <v>2273</v>
      </c>
      <c r="H220" s="52" t="str">
        <f t="shared" ca="1" si="40"/>
        <v/>
      </c>
      <c r="I220" t="s">
        <v>2274</v>
      </c>
      <c r="J220" t="str">
        <f ca="1">'Unit Mix Helper'!G28</f>
        <v/>
      </c>
      <c r="K220" t="s">
        <v>2275</v>
      </c>
      <c r="L220" t="str">
        <f ca="1">'Unit Mix Helper'!H28</f>
        <v/>
      </c>
      <c r="M220" t="s">
        <v>2276</v>
      </c>
      <c r="N220" t="str">
        <f ca="1">'Unit Mix Helper'!J28</f>
        <v/>
      </c>
      <c r="O220" t="s">
        <v>2277</v>
      </c>
      <c r="P220" s="52" t="str">
        <f ca="1">IF(L220="","",TRIM(TEXT('Unit Mix Helper'!I28,"#0%")))</f>
        <v/>
      </c>
      <c r="Q220" t="s">
        <v>2278</v>
      </c>
      <c r="R220" t="str">
        <f t="shared" ca="1" si="34"/>
        <v/>
      </c>
      <c r="W220" s="57"/>
      <c r="X220" s="181"/>
      <c r="Y220" t="s">
        <v>2273</v>
      </c>
      <c r="Z220" s="53" t="str">
        <f t="shared" si="35"/>
        <v/>
      </c>
      <c r="AA220" t="s">
        <v>2279</v>
      </c>
      <c r="AB220" s="52" t="str">
        <f>IF($Z$2="","",IF(Z220="","",'Unit Mix Helper'!K28))</f>
        <v/>
      </c>
      <c r="AC220" t="s">
        <v>2280</v>
      </c>
      <c r="AD220" s="49" t="str">
        <f t="shared" si="36"/>
        <v/>
      </c>
      <c r="AE220" t="s">
        <v>2281</v>
      </c>
      <c r="AF220" t="str">
        <f t="shared" si="37"/>
        <v/>
      </c>
      <c r="AG220" t="s">
        <v>2282</v>
      </c>
      <c r="AH220" t="str">
        <f t="shared" si="38"/>
        <v/>
      </c>
      <c r="AI220" t="s">
        <v>2283</v>
      </c>
      <c r="AK220" t="s">
        <v>2284</v>
      </c>
      <c r="AL220" s="52" t="str">
        <f t="shared" si="39"/>
        <v/>
      </c>
    </row>
    <row r="221" spans="2:38">
      <c r="B221" t="s">
        <v>2285</v>
      </c>
      <c r="C221" t="str">
        <f ca="1">'Unit Mix Helper'!F29</f>
        <v/>
      </c>
      <c r="D221" t="s">
        <v>2286</v>
      </c>
      <c r="E221">
        <f>UM_Bathrooms_25</f>
        <v>0</v>
      </c>
      <c r="G221" t="s">
        <v>2287</v>
      </c>
      <c r="H221" s="52" t="str">
        <f t="shared" ca="1" si="40"/>
        <v/>
      </c>
      <c r="I221" t="s">
        <v>2288</v>
      </c>
      <c r="J221" t="str">
        <f ca="1">'Unit Mix Helper'!G29</f>
        <v/>
      </c>
      <c r="K221" t="s">
        <v>2289</v>
      </c>
      <c r="L221" t="str">
        <f ca="1">'Unit Mix Helper'!H29</f>
        <v/>
      </c>
      <c r="M221" t="s">
        <v>2290</v>
      </c>
      <c r="N221" t="str">
        <f ca="1">'Unit Mix Helper'!J29</f>
        <v/>
      </c>
      <c r="O221" t="s">
        <v>2291</v>
      </c>
      <c r="P221" s="52" t="str">
        <f ca="1">IF(L221="","",TRIM(TEXT('Unit Mix Helper'!I29,"#0%")))</f>
        <v/>
      </c>
      <c r="Q221" t="s">
        <v>2292</v>
      </c>
      <c r="R221" t="str">
        <f t="shared" ca="1" si="34"/>
        <v/>
      </c>
      <c r="W221" s="57"/>
      <c r="X221" s="181"/>
      <c r="Y221" t="s">
        <v>2287</v>
      </c>
      <c r="Z221" s="53" t="str">
        <f t="shared" si="35"/>
        <v/>
      </c>
      <c r="AA221" t="s">
        <v>2293</v>
      </c>
      <c r="AB221" s="52" t="str">
        <f>IF($Z$2="","",IF(Z221="","",'Unit Mix Helper'!K29))</f>
        <v/>
      </c>
      <c r="AC221" t="s">
        <v>2294</v>
      </c>
      <c r="AD221" s="49" t="str">
        <f t="shared" si="36"/>
        <v/>
      </c>
      <c r="AE221" t="s">
        <v>2295</v>
      </c>
      <c r="AF221" t="str">
        <f t="shared" si="37"/>
        <v/>
      </c>
      <c r="AG221" t="s">
        <v>2296</v>
      </c>
      <c r="AH221" t="str">
        <f t="shared" si="38"/>
        <v/>
      </c>
      <c r="AI221" t="s">
        <v>2297</v>
      </c>
      <c r="AK221" t="s">
        <v>2298</v>
      </c>
      <c r="AL221" s="52" t="str">
        <f t="shared" si="39"/>
        <v/>
      </c>
    </row>
    <row r="222" spans="2:38">
      <c r="B222" t="s">
        <v>2299</v>
      </c>
      <c r="C222" t="str">
        <f ca="1">'Unit Mix Helper'!F30</f>
        <v/>
      </c>
      <c r="D222" t="s">
        <v>2300</v>
      </c>
      <c r="E222">
        <f>UM_Bathrooms_26</f>
        <v>0</v>
      </c>
      <c r="G222" t="s">
        <v>2301</v>
      </c>
      <c r="H222" s="52" t="str">
        <f t="shared" ca="1" si="40"/>
        <v/>
      </c>
      <c r="I222" t="s">
        <v>2302</v>
      </c>
      <c r="J222" t="str">
        <f ca="1">'Unit Mix Helper'!G30</f>
        <v/>
      </c>
      <c r="K222" t="s">
        <v>2303</v>
      </c>
      <c r="L222" t="str">
        <f ca="1">'Unit Mix Helper'!H30</f>
        <v/>
      </c>
      <c r="M222" t="s">
        <v>2304</v>
      </c>
      <c r="N222" t="str">
        <f ca="1">'Unit Mix Helper'!J30</f>
        <v/>
      </c>
      <c r="O222" t="s">
        <v>2305</v>
      </c>
      <c r="P222" s="52" t="str">
        <f ca="1">IF(L222="","",TRIM(TEXT('Unit Mix Helper'!I30,"#0%")))</f>
        <v/>
      </c>
      <c r="Q222" t="s">
        <v>2306</v>
      </c>
      <c r="R222" t="str">
        <f t="shared" ca="1" si="34"/>
        <v/>
      </c>
      <c r="W222" s="57"/>
      <c r="X222" s="181"/>
      <c r="Y222" t="s">
        <v>2301</v>
      </c>
      <c r="Z222" s="53" t="str">
        <f t="shared" si="35"/>
        <v/>
      </c>
      <c r="AA222" t="s">
        <v>2307</v>
      </c>
      <c r="AB222" s="52" t="str">
        <f>IF($Z$2="","",IF(Z222="","",'Unit Mix Helper'!K30))</f>
        <v/>
      </c>
      <c r="AC222" t="s">
        <v>2308</v>
      </c>
      <c r="AD222" s="49" t="str">
        <f t="shared" si="36"/>
        <v/>
      </c>
      <c r="AE222" t="s">
        <v>2309</v>
      </c>
      <c r="AF222" t="str">
        <f t="shared" si="37"/>
        <v/>
      </c>
      <c r="AG222" t="s">
        <v>2310</v>
      </c>
      <c r="AH222" t="str">
        <f t="shared" si="38"/>
        <v/>
      </c>
      <c r="AI222" t="s">
        <v>2311</v>
      </c>
      <c r="AK222" t="s">
        <v>2312</v>
      </c>
      <c r="AL222" s="52" t="str">
        <f t="shared" si="39"/>
        <v/>
      </c>
    </row>
    <row r="223" spans="2:38">
      <c r="B223" t="s">
        <v>2313</v>
      </c>
      <c r="C223" t="str">
        <f ca="1">'Unit Mix Helper'!F31</f>
        <v/>
      </c>
      <c r="D223" t="s">
        <v>2314</v>
      </c>
      <c r="E223">
        <f>UM_Bathrooms_27</f>
        <v>0</v>
      </c>
      <c r="G223" t="s">
        <v>2315</v>
      </c>
      <c r="H223" s="52" t="str">
        <f t="shared" ca="1" si="40"/>
        <v/>
      </c>
      <c r="I223" t="s">
        <v>2316</v>
      </c>
      <c r="J223" t="str">
        <f ca="1">'Unit Mix Helper'!G31</f>
        <v/>
      </c>
      <c r="K223" t="s">
        <v>2317</v>
      </c>
      <c r="L223" t="str">
        <f ca="1">'Unit Mix Helper'!H31</f>
        <v/>
      </c>
      <c r="M223" t="s">
        <v>2318</v>
      </c>
      <c r="N223" t="str">
        <f ca="1">'Unit Mix Helper'!J31</f>
        <v/>
      </c>
      <c r="O223" t="s">
        <v>2319</v>
      </c>
      <c r="P223" s="52" t="str">
        <f ca="1">IF(L223="","",TRIM(TEXT('Unit Mix Helper'!I31,"#0%")))</f>
        <v/>
      </c>
      <c r="Q223" t="s">
        <v>2320</v>
      </c>
      <c r="R223" t="str">
        <f t="shared" ca="1" si="34"/>
        <v/>
      </c>
      <c r="W223" s="57"/>
      <c r="X223" s="181"/>
      <c r="Y223" t="s">
        <v>2315</v>
      </c>
      <c r="Z223" s="53" t="str">
        <f t="shared" si="35"/>
        <v/>
      </c>
      <c r="AA223" t="s">
        <v>2321</v>
      </c>
      <c r="AB223" s="52" t="str">
        <f>IF($Z$2="","",IF(Z223="","",'Unit Mix Helper'!K31))</f>
        <v/>
      </c>
      <c r="AC223" t="s">
        <v>2322</v>
      </c>
      <c r="AD223" s="49" t="str">
        <f t="shared" si="36"/>
        <v/>
      </c>
      <c r="AE223" t="s">
        <v>2323</v>
      </c>
      <c r="AF223" t="str">
        <f t="shared" si="37"/>
        <v/>
      </c>
      <c r="AG223" t="s">
        <v>2324</v>
      </c>
      <c r="AH223" t="str">
        <f t="shared" si="38"/>
        <v/>
      </c>
      <c r="AI223" t="s">
        <v>2325</v>
      </c>
      <c r="AK223" t="s">
        <v>2326</v>
      </c>
      <c r="AL223" s="52" t="str">
        <f t="shared" si="39"/>
        <v/>
      </c>
    </row>
    <row r="224" spans="2:38">
      <c r="B224" t="s">
        <v>2327</v>
      </c>
      <c r="C224" t="str">
        <f ca="1">'Unit Mix Helper'!F32</f>
        <v/>
      </c>
      <c r="D224" t="s">
        <v>2328</v>
      </c>
      <c r="E224">
        <f>UM_Bathrooms_28</f>
        <v>0</v>
      </c>
      <c r="G224" t="s">
        <v>2329</v>
      </c>
      <c r="H224" s="52" t="str">
        <f t="shared" ca="1" si="40"/>
        <v/>
      </c>
      <c r="I224" t="s">
        <v>2330</v>
      </c>
      <c r="J224" t="str">
        <f ca="1">'Unit Mix Helper'!G32</f>
        <v/>
      </c>
      <c r="K224" t="s">
        <v>2331</v>
      </c>
      <c r="L224" t="str">
        <f ca="1">'Unit Mix Helper'!H32</f>
        <v/>
      </c>
      <c r="M224" t="s">
        <v>2332</v>
      </c>
      <c r="N224" t="str">
        <f ca="1">'Unit Mix Helper'!J32</f>
        <v/>
      </c>
      <c r="O224" t="s">
        <v>2333</v>
      </c>
      <c r="P224" s="52" t="str">
        <f ca="1">IF(L224="","",TRIM(TEXT('Unit Mix Helper'!I32,"#0%")))</f>
        <v/>
      </c>
      <c r="Q224" t="s">
        <v>2334</v>
      </c>
      <c r="R224" t="str">
        <f t="shared" ca="1" si="34"/>
        <v/>
      </c>
      <c r="W224" s="57"/>
      <c r="X224" s="181"/>
      <c r="Y224" t="s">
        <v>2329</v>
      </c>
      <c r="Z224" s="53" t="str">
        <f t="shared" si="35"/>
        <v/>
      </c>
      <c r="AA224" t="s">
        <v>2335</v>
      </c>
      <c r="AB224" s="52" t="str">
        <f>IF($Z$2="","",IF(Z224="","",'Unit Mix Helper'!K32))</f>
        <v/>
      </c>
      <c r="AC224" t="s">
        <v>2336</v>
      </c>
      <c r="AD224" s="49" t="str">
        <f t="shared" si="36"/>
        <v/>
      </c>
      <c r="AE224" t="s">
        <v>2337</v>
      </c>
      <c r="AF224" t="str">
        <f t="shared" si="37"/>
        <v/>
      </c>
      <c r="AG224" t="s">
        <v>2338</v>
      </c>
      <c r="AH224" t="str">
        <f t="shared" si="38"/>
        <v/>
      </c>
      <c r="AI224" t="s">
        <v>2339</v>
      </c>
      <c r="AK224" t="s">
        <v>2340</v>
      </c>
      <c r="AL224" s="52" t="str">
        <f t="shared" si="39"/>
        <v/>
      </c>
    </row>
    <row r="225" spans="2:38">
      <c r="B225" t="s">
        <v>2341</v>
      </c>
      <c r="C225" t="str">
        <f ca="1">'Unit Mix Helper'!F33</f>
        <v/>
      </c>
      <c r="D225" t="s">
        <v>2342</v>
      </c>
      <c r="E225">
        <f>UM_Bathrooms_29</f>
        <v>0</v>
      </c>
      <c r="G225" t="s">
        <v>2343</v>
      </c>
      <c r="H225" s="52" t="str">
        <f t="shared" ca="1" si="40"/>
        <v/>
      </c>
      <c r="I225" t="s">
        <v>2344</v>
      </c>
      <c r="J225" t="str">
        <f ca="1">'Unit Mix Helper'!G33</f>
        <v/>
      </c>
      <c r="K225" t="s">
        <v>2345</v>
      </c>
      <c r="L225" t="str">
        <f ca="1">'Unit Mix Helper'!H33</f>
        <v/>
      </c>
      <c r="M225" t="s">
        <v>2346</v>
      </c>
      <c r="N225" t="str">
        <f ca="1">'Unit Mix Helper'!J33</f>
        <v/>
      </c>
      <c r="O225" t="s">
        <v>2347</v>
      </c>
      <c r="P225" s="52" t="str">
        <f ca="1">IF(L225="","",TRIM(TEXT('Unit Mix Helper'!I33,"#0%")))</f>
        <v/>
      </c>
      <c r="Q225" t="s">
        <v>2348</v>
      </c>
      <c r="R225" t="str">
        <f t="shared" ca="1" si="34"/>
        <v/>
      </c>
      <c r="W225" s="57"/>
      <c r="X225" s="181"/>
      <c r="Y225" t="s">
        <v>2343</v>
      </c>
      <c r="Z225" s="53" t="str">
        <f t="shared" si="35"/>
        <v/>
      </c>
      <c r="AA225" t="s">
        <v>2349</v>
      </c>
      <c r="AB225" s="52" t="str">
        <f>IF($Z$2="","",IF(Z225="","",'Unit Mix Helper'!K33))</f>
        <v/>
      </c>
      <c r="AC225" t="s">
        <v>2350</v>
      </c>
      <c r="AD225" s="49" t="str">
        <f t="shared" si="36"/>
        <v/>
      </c>
      <c r="AE225" t="s">
        <v>2351</v>
      </c>
      <c r="AF225" t="str">
        <f t="shared" si="37"/>
        <v/>
      </c>
      <c r="AG225" t="s">
        <v>2352</v>
      </c>
      <c r="AH225" t="str">
        <f t="shared" si="38"/>
        <v/>
      </c>
      <c r="AI225" t="s">
        <v>2353</v>
      </c>
      <c r="AK225" t="s">
        <v>2354</v>
      </c>
      <c r="AL225" s="52" t="str">
        <f t="shared" si="39"/>
        <v/>
      </c>
    </row>
    <row r="226" spans="2:38">
      <c r="B226" t="s">
        <v>2355</v>
      </c>
      <c r="C226" t="str">
        <f ca="1">'Unit Mix Helper'!F34</f>
        <v/>
      </c>
      <c r="D226" t="s">
        <v>2356</v>
      </c>
      <c r="E226">
        <f>UM_Bathrooms_30</f>
        <v>0</v>
      </c>
      <c r="G226" t="s">
        <v>2357</v>
      </c>
      <c r="H226" s="52" t="str">
        <f t="shared" ca="1" si="40"/>
        <v/>
      </c>
      <c r="I226" t="s">
        <v>2358</v>
      </c>
      <c r="J226" t="str">
        <f ca="1">'Unit Mix Helper'!G34</f>
        <v/>
      </c>
      <c r="K226" t="s">
        <v>2359</v>
      </c>
      <c r="L226" t="str">
        <f ca="1">'Unit Mix Helper'!H34</f>
        <v/>
      </c>
      <c r="M226" t="s">
        <v>2360</v>
      </c>
      <c r="N226" t="str">
        <f ca="1">'Unit Mix Helper'!J34</f>
        <v/>
      </c>
      <c r="O226" t="s">
        <v>2361</v>
      </c>
      <c r="P226" s="52" t="str">
        <f ca="1">IF(L226="","",TRIM(TEXT('Unit Mix Helper'!I34,"#0%")))</f>
        <v/>
      </c>
      <c r="Q226" t="s">
        <v>2362</v>
      </c>
      <c r="R226" t="str">
        <f t="shared" ca="1" si="34"/>
        <v/>
      </c>
      <c r="W226" s="57"/>
      <c r="X226" s="181"/>
      <c r="Y226" t="s">
        <v>2357</v>
      </c>
      <c r="Z226" s="53" t="str">
        <f t="shared" si="35"/>
        <v/>
      </c>
      <c r="AA226" t="s">
        <v>2363</v>
      </c>
      <c r="AB226" s="52" t="str">
        <f>IF($Z$2="","",IF(Z226="","",'Unit Mix Helper'!K34))</f>
        <v/>
      </c>
      <c r="AC226" t="s">
        <v>2364</v>
      </c>
      <c r="AD226" s="49" t="str">
        <f t="shared" si="36"/>
        <v/>
      </c>
      <c r="AE226" t="s">
        <v>2365</v>
      </c>
      <c r="AF226" t="str">
        <f t="shared" si="37"/>
        <v/>
      </c>
      <c r="AG226" t="s">
        <v>2366</v>
      </c>
      <c r="AH226" t="str">
        <f t="shared" si="38"/>
        <v/>
      </c>
      <c r="AI226" t="s">
        <v>2367</v>
      </c>
      <c r="AK226" t="s">
        <v>2368</v>
      </c>
      <c r="AL226" s="52" t="str">
        <f t="shared" si="39"/>
        <v/>
      </c>
    </row>
    <row r="227" spans="2:38">
      <c r="B227" t="s">
        <v>2369</v>
      </c>
      <c r="C227" t="str">
        <f ca="1">'Unit Mix Helper'!F35</f>
        <v/>
      </c>
      <c r="D227" t="s">
        <v>2370</v>
      </c>
      <c r="E227">
        <f>UM_Bathrooms_31</f>
        <v>0</v>
      </c>
      <c r="G227" t="s">
        <v>2371</v>
      </c>
      <c r="H227" s="52" t="str">
        <f t="shared" ca="1" si="40"/>
        <v/>
      </c>
      <c r="I227" t="s">
        <v>2372</v>
      </c>
      <c r="J227" t="str">
        <f ca="1">'Unit Mix Helper'!G35</f>
        <v/>
      </c>
      <c r="K227" t="s">
        <v>2373</v>
      </c>
      <c r="L227" t="str">
        <f ca="1">'Unit Mix Helper'!H35</f>
        <v/>
      </c>
      <c r="M227" t="s">
        <v>2374</v>
      </c>
      <c r="N227" t="str">
        <f ca="1">'Unit Mix Helper'!J35</f>
        <v/>
      </c>
      <c r="O227" t="s">
        <v>2375</v>
      </c>
      <c r="P227" s="52" t="str">
        <f ca="1">IF(L227="","",TRIM(TEXT('Unit Mix Helper'!I35,"#0%")))</f>
        <v/>
      </c>
      <c r="Q227" t="s">
        <v>2376</v>
      </c>
      <c r="R227" t="str">
        <f t="shared" ca="1" si="34"/>
        <v/>
      </c>
      <c r="W227" s="57"/>
      <c r="X227" s="181"/>
      <c r="Y227" t="s">
        <v>2371</v>
      </c>
      <c r="Z227" s="53" t="str">
        <f t="shared" si="35"/>
        <v/>
      </c>
      <c r="AA227" t="s">
        <v>2377</v>
      </c>
      <c r="AB227" s="52" t="str">
        <f>IF($Z$2="","",IF(Z227="","",'Unit Mix Helper'!K35))</f>
        <v/>
      </c>
      <c r="AC227" t="s">
        <v>2378</v>
      </c>
      <c r="AD227" s="49" t="str">
        <f t="shared" si="36"/>
        <v/>
      </c>
      <c r="AE227" t="s">
        <v>2379</v>
      </c>
      <c r="AF227" t="str">
        <f t="shared" si="37"/>
        <v/>
      </c>
      <c r="AG227" t="s">
        <v>2380</v>
      </c>
      <c r="AH227" t="str">
        <f t="shared" si="38"/>
        <v/>
      </c>
      <c r="AI227" t="s">
        <v>2381</v>
      </c>
      <c r="AK227" t="s">
        <v>2382</v>
      </c>
      <c r="AL227" s="52" t="str">
        <f t="shared" si="39"/>
        <v/>
      </c>
    </row>
    <row r="228" spans="2:38">
      <c r="B228" t="s">
        <v>2383</v>
      </c>
      <c r="C228" t="str">
        <f ca="1">'Unit Mix Helper'!F36</f>
        <v/>
      </c>
      <c r="D228" t="s">
        <v>2384</v>
      </c>
      <c r="E228">
        <f>UM_Bathrooms_32</f>
        <v>0</v>
      </c>
      <c r="G228" t="s">
        <v>2385</v>
      </c>
      <c r="H228" s="52" t="str">
        <f t="shared" ca="1" si="40"/>
        <v/>
      </c>
      <c r="I228" t="s">
        <v>2386</v>
      </c>
      <c r="J228" t="str">
        <f ca="1">'Unit Mix Helper'!G36</f>
        <v/>
      </c>
      <c r="K228" t="s">
        <v>2387</v>
      </c>
      <c r="L228" t="str">
        <f ca="1">'Unit Mix Helper'!H36</f>
        <v/>
      </c>
      <c r="M228" t="s">
        <v>2388</v>
      </c>
      <c r="N228" t="str">
        <f ca="1">'Unit Mix Helper'!J36</f>
        <v/>
      </c>
      <c r="O228" t="s">
        <v>2389</v>
      </c>
      <c r="P228" s="52" t="str">
        <f ca="1">IF(L228="","",TRIM(TEXT('Unit Mix Helper'!I36,"#0%")))</f>
        <v/>
      </c>
      <c r="Q228" t="s">
        <v>2390</v>
      </c>
      <c r="R228" t="str">
        <f t="shared" ca="1" si="34"/>
        <v/>
      </c>
      <c r="W228" s="57"/>
      <c r="X228" s="181"/>
      <c r="Y228" t="s">
        <v>2385</v>
      </c>
      <c r="Z228" s="53" t="str">
        <f t="shared" si="35"/>
        <v/>
      </c>
      <c r="AA228" t="s">
        <v>2391</v>
      </c>
      <c r="AB228" s="52" t="str">
        <f>IF($Z$2="","",IF(Z228="","",'Unit Mix Helper'!K36))</f>
        <v/>
      </c>
      <c r="AC228" t="s">
        <v>2392</v>
      </c>
      <c r="AD228" s="49" t="str">
        <f t="shared" si="36"/>
        <v/>
      </c>
      <c r="AE228" t="s">
        <v>2393</v>
      </c>
      <c r="AF228" t="str">
        <f t="shared" si="37"/>
        <v/>
      </c>
      <c r="AG228" t="s">
        <v>2394</v>
      </c>
      <c r="AH228" t="str">
        <f t="shared" si="38"/>
        <v/>
      </c>
      <c r="AI228" t="s">
        <v>2395</v>
      </c>
      <c r="AK228" t="s">
        <v>2396</v>
      </c>
      <c r="AL228" s="52" t="str">
        <f t="shared" si="39"/>
        <v/>
      </c>
    </row>
    <row r="229" spans="2:38">
      <c r="B229" t="s">
        <v>2397</v>
      </c>
      <c r="C229" t="str">
        <f ca="1">'Unit Mix Helper'!F37</f>
        <v/>
      </c>
      <c r="D229" t="s">
        <v>2398</v>
      </c>
      <c r="E229">
        <f>UM_Bathrooms_33</f>
        <v>0</v>
      </c>
      <c r="G229" t="s">
        <v>2399</v>
      </c>
      <c r="H229" s="52" t="str">
        <f t="shared" ca="1" si="40"/>
        <v/>
      </c>
      <c r="I229" t="s">
        <v>2400</v>
      </c>
      <c r="J229" t="str">
        <f ca="1">'Unit Mix Helper'!G37</f>
        <v/>
      </c>
      <c r="K229" t="s">
        <v>2401</v>
      </c>
      <c r="L229" t="str">
        <f ca="1">'Unit Mix Helper'!H37</f>
        <v/>
      </c>
      <c r="M229" t="s">
        <v>2402</v>
      </c>
      <c r="N229" t="str">
        <f ca="1">'Unit Mix Helper'!J37</f>
        <v/>
      </c>
      <c r="O229" t="s">
        <v>2403</v>
      </c>
      <c r="P229" s="52" t="str">
        <f ca="1">IF(L229="","",TRIM(TEXT('Unit Mix Helper'!I37,"#0%")))</f>
        <v/>
      </c>
      <c r="Q229" t="s">
        <v>2404</v>
      </c>
      <c r="R229" t="str">
        <f t="shared" ref="R229:R256" ca="1" si="41">IF(ISERROR(J229*L229),"",J229*L229)</f>
        <v/>
      </c>
      <c r="W229" s="57"/>
      <c r="X229" s="181"/>
      <c r="Y229" t="s">
        <v>2399</v>
      </c>
      <c r="Z229" s="53" t="str">
        <f t="shared" ref="Z229:Z256" si="42">IF($Z$2="","",IF(H229="","",H229))</f>
        <v/>
      </c>
      <c r="AA229" t="s">
        <v>2405</v>
      </c>
      <c r="AB229" s="52" t="str">
        <f>IF($Z$2="","",IF(Z229="","",'Unit Mix Helper'!K37))</f>
        <v/>
      </c>
      <c r="AC229" t="s">
        <v>2406</v>
      </c>
      <c r="AD229" s="49" t="str">
        <f t="shared" ref="AD229:AD256" si="43">IF($Z$2="","",IF(N229="","",N229))</f>
        <v/>
      </c>
      <c r="AE229" t="s">
        <v>2407</v>
      </c>
      <c r="AF229" t="str">
        <f t="shared" ref="AF229:AF256" si="44">IF($Z$2="","",IF(J229="","",J229))</f>
        <v/>
      </c>
      <c r="AG229" t="s">
        <v>2408</v>
      </c>
      <c r="AH229" t="str">
        <f t="shared" ref="AH229:AH256" si="45">IF($Z$2="","",IF(L229="","",L229))</f>
        <v/>
      </c>
      <c r="AI229" t="s">
        <v>2409</v>
      </c>
      <c r="AK229" t="s">
        <v>2410</v>
      </c>
      <c r="AL229" s="52" t="str">
        <f t="shared" ref="AL229:AL246" si="46">IF($Z$2="","",P229)</f>
        <v/>
      </c>
    </row>
    <row r="230" spans="2:38">
      <c r="B230" t="s">
        <v>2411</v>
      </c>
      <c r="C230" t="str">
        <f ca="1">'Unit Mix Helper'!F38</f>
        <v/>
      </c>
      <c r="D230" t="s">
        <v>2412</v>
      </c>
      <c r="E230">
        <f>UM_Bathrooms_34</f>
        <v>0</v>
      </c>
      <c r="G230" t="s">
        <v>2413</v>
      </c>
      <c r="H230" s="52" t="str">
        <f t="shared" ca="1" si="40"/>
        <v/>
      </c>
      <c r="I230" t="s">
        <v>2414</v>
      </c>
      <c r="J230" t="str">
        <f ca="1">'Unit Mix Helper'!G38</f>
        <v/>
      </c>
      <c r="K230" t="s">
        <v>2415</v>
      </c>
      <c r="L230" t="str">
        <f ca="1">'Unit Mix Helper'!H38</f>
        <v/>
      </c>
      <c r="M230" t="s">
        <v>2416</v>
      </c>
      <c r="N230" t="str">
        <f ca="1">'Unit Mix Helper'!J38</f>
        <v/>
      </c>
      <c r="O230" t="s">
        <v>2417</v>
      </c>
      <c r="P230" s="52" t="str">
        <f ca="1">IF(L230="","",TRIM(TEXT('Unit Mix Helper'!I38,"#0%")))</f>
        <v/>
      </c>
      <c r="Q230" t="s">
        <v>2418</v>
      </c>
      <c r="R230" t="str">
        <f t="shared" ca="1" si="41"/>
        <v/>
      </c>
      <c r="W230" s="57"/>
      <c r="X230" s="181"/>
      <c r="Y230" t="s">
        <v>2413</v>
      </c>
      <c r="Z230" s="53" t="str">
        <f t="shared" si="42"/>
        <v/>
      </c>
      <c r="AA230" t="s">
        <v>2419</v>
      </c>
      <c r="AB230" s="52" t="str">
        <f>IF($Z$2="","",IF(Z230="","",'Unit Mix Helper'!K38))</f>
        <v/>
      </c>
      <c r="AC230" t="s">
        <v>2420</v>
      </c>
      <c r="AD230" s="49" t="str">
        <f t="shared" si="43"/>
        <v/>
      </c>
      <c r="AE230" t="s">
        <v>2421</v>
      </c>
      <c r="AF230" t="str">
        <f t="shared" si="44"/>
        <v/>
      </c>
      <c r="AG230" t="s">
        <v>2422</v>
      </c>
      <c r="AH230" t="str">
        <f t="shared" si="45"/>
        <v/>
      </c>
      <c r="AI230" t="s">
        <v>2423</v>
      </c>
      <c r="AK230" t="s">
        <v>2424</v>
      </c>
      <c r="AL230" s="52" t="str">
        <f t="shared" si="46"/>
        <v/>
      </c>
    </row>
    <row r="231" spans="2:38">
      <c r="B231" t="s">
        <v>2425</v>
      </c>
      <c r="C231" t="str">
        <f ca="1">'Unit Mix Helper'!F39</f>
        <v/>
      </c>
      <c r="D231" t="s">
        <v>2426</v>
      </c>
      <c r="E231">
        <f>UM_Bathrooms_35</f>
        <v>0</v>
      </c>
      <c r="G231" t="s">
        <v>2427</v>
      </c>
      <c r="H231" s="52" t="str">
        <f t="shared" ca="1" si="40"/>
        <v/>
      </c>
      <c r="I231" t="s">
        <v>2428</v>
      </c>
      <c r="J231" t="str">
        <f ca="1">'Unit Mix Helper'!G39</f>
        <v/>
      </c>
      <c r="K231" t="s">
        <v>2429</v>
      </c>
      <c r="L231" t="str">
        <f ca="1">'Unit Mix Helper'!H39</f>
        <v/>
      </c>
      <c r="M231" t="s">
        <v>2430</v>
      </c>
      <c r="N231" t="str">
        <f ca="1">'Unit Mix Helper'!J39</f>
        <v/>
      </c>
      <c r="O231" t="s">
        <v>2431</v>
      </c>
      <c r="P231" s="52" t="str">
        <f ca="1">IF(L231="","",TRIM(TEXT('Unit Mix Helper'!I39,"#0%")))</f>
        <v/>
      </c>
      <c r="Q231" t="s">
        <v>2432</v>
      </c>
      <c r="R231" t="str">
        <f t="shared" ca="1" si="41"/>
        <v/>
      </c>
      <c r="W231" s="57"/>
      <c r="X231" s="181"/>
      <c r="Y231" t="s">
        <v>2427</v>
      </c>
      <c r="Z231" s="53" t="str">
        <f t="shared" si="42"/>
        <v/>
      </c>
      <c r="AA231" t="s">
        <v>2433</v>
      </c>
      <c r="AB231" s="52" t="str">
        <f>IF($Z$2="","",IF(Z231="","",'Unit Mix Helper'!K39))</f>
        <v/>
      </c>
      <c r="AC231" t="s">
        <v>2434</v>
      </c>
      <c r="AD231" s="49" t="str">
        <f t="shared" si="43"/>
        <v/>
      </c>
      <c r="AE231" t="s">
        <v>2435</v>
      </c>
      <c r="AF231" t="str">
        <f t="shared" si="44"/>
        <v/>
      </c>
      <c r="AG231" t="s">
        <v>2436</v>
      </c>
      <c r="AH231" t="str">
        <f t="shared" si="45"/>
        <v/>
      </c>
      <c r="AI231" t="s">
        <v>2437</v>
      </c>
      <c r="AK231" t="s">
        <v>2438</v>
      </c>
      <c r="AL231" s="52" t="str">
        <f t="shared" si="46"/>
        <v/>
      </c>
    </row>
    <row r="232" spans="2:38">
      <c r="B232" t="s">
        <v>2439</v>
      </c>
      <c r="C232" t="str">
        <f ca="1">'Unit Mix Helper'!F40</f>
        <v/>
      </c>
      <c r="D232" t="s">
        <v>2440</v>
      </c>
      <c r="E232">
        <f>UM_Bathrooms_36</f>
        <v>0</v>
      </c>
      <c r="G232" t="s">
        <v>2441</v>
      </c>
      <c r="H232" s="52" t="str">
        <f t="shared" ca="1" si="40"/>
        <v/>
      </c>
      <c r="I232" t="s">
        <v>2442</v>
      </c>
      <c r="J232" t="str">
        <f ca="1">'Unit Mix Helper'!G40</f>
        <v/>
      </c>
      <c r="K232" t="s">
        <v>2443</v>
      </c>
      <c r="L232" t="str">
        <f ca="1">'Unit Mix Helper'!H40</f>
        <v/>
      </c>
      <c r="M232" t="s">
        <v>2444</v>
      </c>
      <c r="N232" t="str">
        <f ca="1">'Unit Mix Helper'!J40</f>
        <v/>
      </c>
      <c r="O232" t="s">
        <v>2445</v>
      </c>
      <c r="P232" s="52" t="str">
        <f ca="1">IF(L232="","",TRIM(TEXT('Unit Mix Helper'!I40,"#0%")))</f>
        <v/>
      </c>
      <c r="Q232" t="s">
        <v>2446</v>
      </c>
      <c r="R232" t="str">
        <f t="shared" ca="1" si="41"/>
        <v/>
      </c>
      <c r="W232" s="57"/>
      <c r="X232" s="181"/>
      <c r="Y232" t="s">
        <v>2441</v>
      </c>
      <c r="Z232" s="53" t="str">
        <f t="shared" si="42"/>
        <v/>
      </c>
      <c r="AA232" t="s">
        <v>2447</v>
      </c>
      <c r="AB232" s="52" t="str">
        <f>IF($Z$2="","",IF(Z232="","",'Unit Mix Helper'!K40))</f>
        <v/>
      </c>
      <c r="AC232" t="s">
        <v>2448</v>
      </c>
      <c r="AD232" s="49" t="str">
        <f t="shared" si="43"/>
        <v/>
      </c>
      <c r="AE232" t="s">
        <v>2449</v>
      </c>
      <c r="AF232" t="str">
        <f t="shared" si="44"/>
        <v/>
      </c>
      <c r="AG232" t="s">
        <v>2450</v>
      </c>
      <c r="AH232" t="str">
        <f t="shared" si="45"/>
        <v/>
      </c>
      <c r="AI232" t="s">
        <v>2451</v>
      </c>
      <c r="AK232" t="s">
        <v>2452</v>
      </c>
      <c r="AL232" s="52" t="str">
        <f t="shared" si="46"/>
        <v/>
      </c>
    </row>
    <row r="233" spans="2:38">
      <c r="B233" t="s">
        <v>2453</v>
      </c>
      <c r="C233" t="str">
        <f ca="1">'Unit Mix Helper'!F41</f>
        <v/>
      </c>
      <c r="D233" t="s">
        <v>2454</v>
      </c>
      <c r="E233">
        <f>UM_Bathrooms_37</f>
        <v>0</v>
      </c>
      <c r="G233" t="s">
        <v>2455</v>
      </c>
      <c r="H233" s="52" t="str">
        <f t="shared" ca="1" si="40"/>
        <v/>
      </c>
      <c r="I233" t="s">
        <v>2456</v>
      </c>
      <c r="J233" t="str">
        <f ca="1">'Unit Mix Helper'!G41</f>
        <v/>
      </c>
      <c r="K233" t="s">
        <v>2457</v>
      </c>
      <c r="L233" t="str">
        <f ca="1">'Unit Mix Helper'!H41</f>
        <v/>
      </c>
      <c r="M233" t="s">
        <v>2458</v>
      </c>
      <c r="N233" t="str">
        <f ca="1">'Unit Mix Helper'!J41</f>
        <v/>
      </c>
      <c r="O233" t="s">
        <v>2459</v>
      </c>
      <c r="P233" s="52" t="str">
        <f ca="1">IF(L233="","",TRIM(TEXT('Unit Mix Helper'!I41,"#0%")))</f>
        <v/>
      </c>
      <c r="Q233" t="s">
        <v>2460</v>
      </c>
      <c r="R233" t="str">
        <f t="shared" ca="1" si="41"/>
        <v/>
      </c>
      <c r="W233" s="57"/>
      <c r="X233" s="181"/>
      <c r="Y233" t="s">
        <v>2455</v>
      </c>
      <c r="Z233" s="53" t="str">
        <f t="shared" si="42"/>
        <v/>
      </c>
      <c r="AA233" t="s">
        <v>2461</v>
      </c>
      <c r="AB233" s="52" t="str">
        <f>IF($Z$2="","",IF(Z233="","",'Unit Mix Helper'!K41))</f>
        <v/>
      </c>
      <c r="AC233" t="s">
        <v>2462</v>
      </c>
      <c r="AD233" s="49" t="str">
        <f t="shared" si="43"/>
        <v/>
      </c>
      <c r="AE233" t="s">
        <v>2463</v>
      </c>
      <c r="AF233" t="str">
        <f t="shared" si="44"/>
        <v/>
      </c>
      <c r="AG233" t="s">
        <v>2464</v>
      </c>
      <c r="AH233" t="str">
        <f t="shared" si="45"/>
        <v/>
      </c>
      <c r="AI233" t="s">
        <v>2465</v>
      </c>
      <c r="AK233" t="s">
        <v>2466</v>
      </c>
      <c r="AL233" s="52" t="str">
        <f t="shared" si="46"/>
        <v/>
      </c>
    </row>
    <row r="234" spans="2:38">
      <c r="B234" t="s">
        <v>2467</v>
      </c>
      <c r="C234" t="str">
        <f ca="1">'Unit Mix Helper'!F42</f>
        <v/>
      </c>
      <c r="D234" t="s">
        <v>2468</v>
      </c>
      <c r="E234">
        <f>UM_Bathrooms_38</f>
        <v>0</v>
      </c>
      <c r="G234" t="s">
        <v>2469</v>
      </c>
      <c r="H234" s="52" t="str">
        <f t="shared" ca="1" si="40"/>
        <v/>
      </c>
      <c r="I234" t="s">
        <v>2470</v>
      </c>
      <c r="J234" t="str">
        <f ca="1">'Unit Mix Helper'!G42</f>
        <v/>
      </c>
      <c r="K234" t="s">
        <v>2471</v>
      </c>
      <c r="L234" t="str">
        <f ca="1">'Unit Mix Helper'!H42</f>
        <v/>
      </c>
      <c r="M234" t="s">
        <v>2472</v>
      </c>
      <c r="N234" t="str">
        <f ca="1">'Unit Mix Helper'!J42</f>
        <v/>
      </c>
      <c r="O234" t="s">
        <v>2473</v>
      </c>
      <c r="P234" s="52" t="str">
        <f ca="1">IF(L234="","",TRIM(TEXT('Unit Mix Helper'!I42,"#0%")))</f>
        <v/>
      </c>
      <c r="Q234" t="s">
        <v>2474</v>
      </c>
      <c r="R234" t="str">
        <f t="shared" ca="1" si="41"/>
        <v/>
      </c>
      <c r="W234" s="57"/>
      <c r="X234" s="181"/>
      <c r="Y234" t="s">
        <v>2469</v>
      </c>
      <c r="Z234" s="53" t="str">
        <f t="shared" si="42"/>
        <v/>
      </c>
      <c r="AA234" t="s">
        <v>2475</v>
      </c>
      <c r="AB234" s="52" t="str">
        <f>IF($Z$2="","",IF(Z234="","",'Unit Mix Helper'!K42))</f>
        <v/>
      </c>
      <c r="AC234" t="s">
        <v>2476</v>
      </c>
      <c r="AD234" s="49" t="str">
        <f t="shared" si="43"/>
        <v/>
      </c>
      <c r="AE234" t="s">
        <v>2477</v>
      </c>
      <c r="AF234" t="str">
        <f t="shared" si="44"/>
        <v/>
      </c>
      <c r="AG234" t="s">
        <v>2478</v>
      </c>
      <c r="AH234" t="str">
        <f t="shared" si="45"/>
        <v/>
      </c>
      <c r="AI234" t="s">
        <v>2479</v>
      </c>
      <c r="AK234" t="s">
        <v>2480</v>
      </c>
      <c r="AL234" s="52" t="str">
        <f t="shared" si="46"/>
        <v/>
      </c>
    </row>
    <row r="235" spans="2:38">
      <c r="B235" t="s">
        <v>2481</v>
      </c>
      <c r="C235" t="str">
        <f ca="1">'Unit Mix Helper'!F43</f>
        <v/>
      </c>
      <c r="D235" t="s">
        <v>2482</v>
      </c>
      <c r="E235">
        <f>UM_Bathrooms_39</f>
        <v>0</v>
      </c>
      <c r="G235" t="s">
        <v>2483</v>
      </c>
      <c r="H235" s="52" t="str">
        <f t="shared" ca="1" si="40"/>
        <v/>
      </c>
      <c r="I235" t="s">
        <v>2484</v>
      </c>
      <c r="J235" t="str">
        <f ca="1">'Unit Mix Helper'!G43</f>
        <v/>
      </c>
      <c r="K235" t="s">
        <v>2485</v>
      </c>
      <c r="L235" t="str">
        <f ca="1">'Unit Mix Helper'!H43</f>
        <v/>
      </c>
      <c r="M235" t="s">
        <v>2486</v>
      </c>
      <c r="N235" t="str">
        <f ca="1">'Unit Mix Helper'!J43</f>
        <v/>
      </c>
      <c r="O235" t="s">
        <v>2487</v>
      </c>
      <c r="P235" s="52" t="str">
        <f ca="1">IF(L235="","",TRIM(TEXT('Unit Mix Helper'!I43,"#0%")))</f>
        <v/>
      </c>
      <c r="Q235" t="s">
        <v>2488</v>
      </c>
      <c r="R235" t="str">
        <f t="shared" ca="1" si="41"/>
        <v/>
      </c>
      <c r="W235" s="57"/>
      <c r="X235" s="181"/>
      <c r="Y235" t="s">
        <v>2483</v>
      </c>
      <c r="Z235" s="53" t="str">
        <f t="shared" si="42"/>
        <v/>
      </c>
      <c r="AA235" t="s">
        <v>2489</v>
      </c>
      <c r="AB235" s="52" t="str">
        <f>IF($Z$2="","",IF(Z235="","",'Unit Mix Helper'!K43))</f>
        <v/>
      </c>
      <c r="AC235" t="s">
        <v>2490</v>
      </c>
      <c r="AD235" s="49" t="str">
        <f t="shared" si="43"/>
        <v/>
      </c>
      <c r="AE235" t="s">
        <v>2491</v>
      </c>
      <c r="AF235" t="str">
        <f t="shared" si="44"/>
        <v/>
      </c>
      <c r="AG235" t="s">
        <v>2492</v>
      </c>
      <c r="AH235" t="str">
        <f t="shared" si="45"/>
        <v/>
      </c>
      <c r="AI235" t="s">
        <v>2493</v>
      </c>
      <c r="AK235" t="s">
        <v>2494</v>
      </c>
      <c r="AL235" s="52" t="str">
        <f t="shared" si="46"/>
        <v/>
      </c>
    </row>
    <row r="236" spans="2:38">
      <c r="B236" t="s">
        <v>2495</v>
      </c>
      <c r="C236" t="str">
        <f ca="1">'Unit Mix Helper'!F44</f>
        <v/>
      </c>
      <c r="D236" t="s">
        <v>2496</v>
      </c>
      <c r="E236">
        <f>UM_Bathrooms_40</f>
        <v>0</v>
      </c>
      <c r="G236" t="s">
        <v>2497</v>
      </c>
      <c r="H236" s="52" t="str">
        <f t="shared" ca="1" si="40"/>
        <v/>
      </c>
      <c r="I236" t="s">
        <v>2498</v>
      </c>
      <c r="J236" t="str">
        <f ca="1">'Unit Mix Helper'!G44</f>
        <v/>
      </c>
      <c r="K236" t="s">
        <v>2499</v>
      </c>
      <c r="L236" t="str">
        <f ca="1">'Unit Mix Helper'!H44</f>
        <v/>
      </c>
      <c r="M236" t="s">
        <v>2500</v>
      </c>
      <c r="N236" t="str">
        <f ca="1">'Unit Mix Helper'!J44</f>
        <v/>
      </c>
      <c r="O236" t="s">
        <v>2501</v>
      </c>
      <c r="P236" s="52" t="str">
        <f ca="1">IF(L236="","",TRIM(TEXT('Unit Mix Helper'!I44,"#0%")))</f>
        <v/>
      </c>
      <c r="Q236" t="s">
        <v>2502</v>
      </c>
      <c r="R236" t="str">
        <f t="shared" ca="1" si="41"/>
        <v/>
      </c>
      <c r="W236" s="57"/>
      <c r="X236" s="181"/>
      <c r="Y236" t="s">
        <v>2497</v>
      </c>
      <c r="Z236" s="53" t="str">
        <f t="shared" si="42"/>
        <v/>
      </c>
      <c r="AA236" t="s">
        <v>2503</v>
      </c>
      <c r="AB236" s="52" t="str">
        <f>IF($Z$2="","",IF(Z236="","",'Unit Mix Helper'!K44))</f>
        <v/>
      </c>
      <c r="AC236" t="s">
        <v>2504</v>
      </c>
      <c r="AD236" s="49" t="str">
        <f t="shared" si="43"/>
        <v/>
      </c>
      <c r="AE236" t="s">
        <v>2505</v>
      </c>
      <c r="AF236" t="str">
        <f t="shared" si="44"/>
        <v/>
      </c>
      <c r="AG236" t="s">
        <v>2506</v>
      </c>
      <c r="AH236" t="str">
        <f t="shared" si="45"/>
        <v/>
      </c>
      <c r="AI236" t="s">
        <v>2507</v>
      </c>
      <c r="AK236" t="s">
        <v>2508</v>
      </c>
      <c r="AL236" s="52" t="str">
        <f t="shared" si="46"/>
        <v/>
      </c>
    </row>
    <row r="237" spans="2:38">
      <c r="B237" t="s">
        <v>2509</v>
      </c>
      <c r="C237" t="str">
        <f ca="1">'Unit Mix Helper'!F45</f>
        <v/>
      </c>
      <c r="D237" t="s">
        <v>2510</v>
      </c>
      <c r="E237">
        <f>UM_Bathrooms_41</f>
        <v>0</v>
      </c>
      <c r="G237" t="s">
        <v>2511</v>
      </c>
      <c r="H237" s="52" t="str">
        <f t="shared" ca="1" si="40"/>
        <v/>
      </c>
      <c r="I237" t="s">
        <v>2512</v>
      </c>
      <c r="J237" t="str">
        <f ca="1">'Unit Mix Helper'!G45</f>
        <v/>
      </c>
      <c r="K237" t="s">
        <v>2513</v>
      </c>
      <c r="L237" t="str">
        <f ca="1">'Unit Mix Helper'!H45</f>
        <v/>
      </c>
      <c r="M237" t="s">
        <v>2514</v>
      </c>
      <c r="N237" t="str">
        <f ca="1">'Unit Mix Helper'!J45</f>
        <v/>
      </c>
      <c r="O237" t="s">
        <v>2515</v>
      </c>
      <c r="P237" s="52" t="str">
        <f ca="1">IF(L237="","",TRIM(TEXT('Unit Mix Helper'!I45,"#0%")))</f>
        <v/>
      </c>
      <c r="Q237" t="s">
        <v>2516</v>
      </c>
      <c r="R237" t="str">
        <f t="shared" ca="1" si="41"/>
        <v/>
      </c>
      <c r="W237" s="57"/>
      <c r="X237" s="181"/>
      <c r="Y237" t="s">
        <v>2511</v>
      </c>
      <c r="Z237" s="53" t="str">
        <f t="shared" si="42"/>
        <v/>
      </c>
      <c r="AA237" t="s">
        <v>2517</v>
      </c>
      <c r="AB237" s="52" t="str">
        <f>IF($Z$2="","",IF(Z237="","",'Unit Mix Helper'!K45))</f>
        <v/>
      </c>
      <c r="AC237" t="s">
        <v>2518</v>
      </c>
      <c r="AD237" s="49" t="str">
        <f t="shared" si="43"/>
        <v/>
      </c>
      <c r="AE237" t="s">
        <v>2519</v>
      </c>
      <c r="AF237" t="str">
        <f t="shared" si="44"/>
        <v/>
      </c>
      <c r="AG237" t="s">
        <v>2520</v>
      </c>
      <c r="AH237" t="str">
        <f t="shared" si="45"/>
        <v/>
      </c>
      <c r="AI237" t="s">
        <v>2521</v>
      </c>
      <c r="AK237" t="s">
        <v>2522</v>
      </c>
      <c r="AL237" s="52" t="str">
        <f t="shared" si="46"/>
        <v/>
      </c>
    </row>
    <row r="238" spans="2:38">
      <c r="B238" t="s">
        <v>2523</v>
      </c>
      <c r="C238" t="str">
        <f ca="1">'Unit Mix Helper'!F46</f>
        <v/>
      </c>
      <c r="D238" t="s">
        <v>2524</v>
      </c>
      <c r="E238">
        <f>UM_Bathrooms_42</f>
        <v>0</v>
      </c>
      <c r="G238" t="s">
        <v>2525</v>
      </c>
      <c r="H238" s="52" t="str">
        <f t="shared" ca="1" si="40"/>
        <v/>
      </c>
      <c r="I238" t="s">
        <v>2526</v>
      </c>
      <c r="J238" t="str">
        <f ca="1">'Unit Mix Helper'!G46</f>
        <v/>
      </c>
      <c r="K238" t="s">
        <v>2527</v>
      </c>
      <c r="L238" t="str">
        <f ca="1">'Unit Mix Helper'!H46</f>
        <v/>
      </c>
      <c r="M238" t="s">
        <v>2528</v>
      </c>
      <c r="N238" t="str">
        <f ca="1">'Unit Mix Helper'!J46</f>
        <v/>
      </c>
      <c r="O238" t="s">
        <v>2529</v>
      </c>
      <c r="P238" s="52" t="str">
        <f ca="1">IF(L238="","",TRIM(TEXT('Unit Mix Helper'!I46,"#0%")))</f>
        <v/>
      </c>
      <c r="Q238" t="s">
        <v>2530</v>
      </c>
      <c r="R238" t="str">
        <f t="shared" ca="1" si="41"/>
        <v/>
      </c>
      <c r="W238" s="57"/>
      <c r="X238" s="181"/>
      <c r="Y238" t="s">
        <v>2525</v>
      </c>
      <c r="Z238" s="53" t="str">
        <f t="shared" si="42"/>
        <v/>
      </c>
      <c r="AA238" t="s">
        <v>2531</v>
      </c>
      <c r="AB238" s="52" t="str">
        <f>IF($Z$2="","",IF(Z238="","",'Unit Mix Helper'!K46))</f>
        <v/>
      </c>
      <c r="AC238" t="s">
        <v>2532</v>
      </c>
      <c r="AD238" s="49" t="str">
        <f t="shared" si="43"/>
        <v/>
      </c>
      <c r="AE238" t="s">
        <v>2533</v>
      </c>
      <c r="AF238" t="str">
        <f t="shared" si="44"/>
        <v/>
      </c>
      <c r="AG238" t="s">
        <v>2534</v>
      </c>
      <c r="AH238" t="str">
        <f t="shared" si="45"/>
        <v/>
      </c>
      <c r="AI238" t="s">
        <v>2535</v>
      </c>
      <c r="AK238" t="s">
        <v>2536</v>
      </c>
      <c r="AL238" s="52" t="str">
        <f t="shared" si="46"/>
        <v/>
      </c>
    </row>
    <row r="239" spans="2:38">
      <c r="B239" t="s">
        <v>2537</v>
      </c>
      <c r="C239" t="str">
        <f ca="1">'Unit Mix Helper'!F47</f>
        <v/>
      </c>
      <c r="D239" t="s">
        <v>2538</v>
      </c>
      <c r="E239">
        <f>UM_Bathrooms_43</f>
        <v>0</v>
      </c>
      <c r="G239" t="s">
        <v>2539</v>
      </c>
      <c r="H239" s="52" t="str">
        <f t="shared" ca="1" si="40"/>
        <v/>
      </c>
      <c r="I239" t="s">
        <v>2540</v>
      </c>
      <c r="J239" t="str">
        <f ca="1">'Unit Mix Helper'!G47</f>
        <v/>
      </c>
      <c r="K239" t="s">
        <v>2541</v>
      </c>
      <c r="L239" t="str">
        <f ca="1">'Unit Mix Helper'!H47</f>
        <v/>
      </c>
      <c r="M239" t="s">
        <v>2542</v>
      </c>
      <c r="N239" t="str">
        <f ca="1">'Unit Mix Helper'!J47</f>
        <v/>
      </c>
      <c r="O239" t="s">
        <v>2543</v>
      </c>
      <c r="P239" s="52" t="str">
        <f ca="1">IF(L239="","",TRIM(TEXT('Unit Mix Helper'!I47,"#0%")))</f>
        <v/>
      </c>
      <c r="Q239" t="s">
        <v>2544</v>
      </c>
      <c r="R239" t="str">
        <f t="shared" ca="1" si="41"/>
        <v/>
      </c>
      <c r="W239" s="57"/>
      <c r="X239" s="181"/>
      <c r="Y239" t="s">
        <v>2539</v>
      </c>
      <c r="Z239" s="53" t="str">
        <f t="shared" si="42"/>
        <v/>
      </c>
      <c r="AA239" t="s">
        <v>2545</v>
      </c>
      <c r="AB239" s="52" t="str">
        <f>IF($Z$2="","",IF(Z239="","",'Unit Mix Helper'!K47))</f>
        <v/>
      </c>
      <c r="AC239" t="s">
        <v>2546</v>
      </c>
      <c r="AD239" s="49" t="str">
        <f t="shared" si="43"/>
        <v/>
      </c>
      <c r="AE239" t="s">
        <v>2547</v>
      </c>
      <c r="AF239" t="str">
        <f t="shared" si="44"/>
        <v/>
      </c>
      <c r="AG239" t="s">
        <v>2548</v>
      </c>
      <c r="AH239" t="str">
        <f t="shared" si="45"/>
        <v/>
      </c>
      <c r="AI239" t="s">
        <v>2549</v>
      </c>
      <c r="AK239" t="s">
        <v>2550</v>
      </c>
      <c r="AL239" s="52" t="str">
        <f t="shared" si="46"/>
        <v/>
      </c>
    </row>
    <row r="240" spans="2:38">
      <c r="B240" t="s">
        <v>2551</v>
      </c>
      <c r="C240" t="str">
        <f ca="1">'Unit Mix Helper'!F48</f>
        <v/>
      </c>
      <c r="D240" t="s">
        <v>2552</v>
      </c>
      <c r="E240">
        <f>UM_Bathrooms_44</f>
        <v>0</v>
      </c>
      <c r="G240" t="s">
        <v>2553</v>
      </c>
      <c r="H240" s="52" t="str">
        <f t="shared" ca="1" si="40"/>
        <v/>
      </c>
      <c r="I240" t="s">
        <v>2554</v>
      </c>
      <c r="J240" t="str">
        <f ca="1">'Unit Mix Helper'!G48</f>
        <v/>
      </c>
      <c r="K240" t="s">
        <v>2555</v>
      </c>
      <c r="L240" t="str">
        <f ca="1">'Unit Mix Helper'!H48</f>
        <v/>
      </c>
      <c r="M240" t="s">
        <v>2556</v>
      </c>
      <c r="N240" t="str">
        <f ca="1">'Unit Mix Helper'!J48</f>
        <v/>
      </c>
      <c r="O240" t="s">
        <v>2557</v>
      </c>
      <c r="P240" s="52" t="str">
        <f ca="1">IF(L240="","",TRIM(TEXT('Unit Mix Helper'!I48,"#0%")))</f>
        <v/>
      </c>
      <c r="Q240" t="s">
        <v>2558</v>
      </c>
      <c r="R240" t="str">
        <f t="shared" ca="1" si="41"/>
        <v/>
      </c>
      <c r="W240" s="57"/>
      <c r="X240" s="181"/>
      <c r="Y240" t="s">
        <v>2553</v>
      </c>
      <c r="Z240" s="53" t="str">
        <f t="shared" si="42"/>
        <v/>
      </c>
      <c r="AA240" t="s">
        <v>2559</v>
      </c>
      <c r="AB240" s="52" t="str">
        <f>IF($Z$2="","",IF(Z240="","",'Unit Mix Helper'!K48))</f>
        <v/>
      </c>
      <c r="AC240" t="s">
        <v>2560</v>
      </c>
      <c r="AD240" s="49" t="str">
        <f t="shared" si="43"/>
        <v/>
      </c>
      <c r="AE240" t="s">
        <v>2561</v>
      </c>
      <c r="AF240" t="str">
        <f t="shared" si="44"/>
        <v/>
      </c>
      <c r="AG240" t="s">
        <v>2562</v>
      </c>
      <c r="AH240" t="str">
        <f t="shared" si="45"/>
        <v/>
      </c>
      <c r="AI240" t="s">
        <v>2563</v>
      </c>
      <c r="AK240" t="s">
        <v>2564</v>
      </c>
      <c r="AL240" s="52" t="str">
        <f t="shared" si="46"/>
        <v/>
      </c>
    </row>
    <row r="241" spans="2:38">
      <c r="B241" t="s">
        <v>2565</v>
      </c>
      <c r="C241" t="str">
        <f ca="1">'Unit Mix Helper'!F49</f>
        <v/>
      </c>
      <c r="D241" t="s">
        <v>2566</v>
      </c>
      <c r="E241">
        <f>UM_Bathrooms_45</f>
        <v>0</v>
      </c>
      <c r="G241" t="s">
        <v>2567</v>
      </c>
      <c r="H241" s="52" t="str">
        <f t="shared" ca="1" si="40"/>
        <v/>
      </c>
      <c r="I241" t="s">
        <v>2568</v>
      </c>
      <c r="J241" t="str">
        <f ca="1">'Unit Mix Helper'!G49</f>
        <v/>
      </c>
      <c r="K241" t="s">
        <v>2569</v>
      </c>
      <c r="L241" t="str">
        <f ca="1">'Unit Mix Helper'!H49</f>
        <v/>
      </c>
      <c r="M241" t="s">
        <v>2570</v>
      </c>
      <c r="N241" t="str">
        <f ca="1">'Unit Mix Helper'!J49</f>
        <v/>
      </c>
      <c r="O241" t="s">
        <v>2571</v>
      </c>
      <c r="P241" s="52" t="str">
        <f ca="1">IF(L241="","",TRIM(TEXT('Unit Mix Helper'!I49,"#0%")))</f>
        <v/>
      </c>
      <c r="Q241" t="s">
        <v>2572</v>
      </c>
      <c r="R241" t="str">
        <f t="shared" ca="1" si="41"/>
        <v/>
      </c>
      <c r="W241" s="57"/>
      <c r="X241" s="181"/>
      <c r="Y241" t="s">
        <v>2567</v>
      </c>
      <c r="Z241" s="53" t="str">
        <f t="shared" si="42"/>
        <v/>
      </c>
      <c r="AA241" t="s">
        <v>2573</v>
      </c>
      <c r="AB241" s="52" t="str">
        <f>IF($Z$2="","",IF(Z241="","",'Unit Mix Helper'!K49))</f>
        <v/>
      </c>
      <c r="AC241" t="s">
        <v>2574</v>
      </c>
      <c r="AD241" s="49" t="str">
        <f t="shared" si="43"/>
        <v/>
      </c>
      <c r="AE241" t="s">
        <v>2575</v>
      </c>
      <c r="AF241" t="str">
        <f t="shared" si="44"/>
        <v/>
      </c>
      <c r="AG241" t="s">
        <v>2576</v>
      </c>
      <c r="AH241" t="str">
        <f t="shared" si="45"/>
        <v/>
      </c>
      <c r="AI241" t="s">
        <v>2577</v>
      </c>
      <c r="AK241" t="s">
        <v>2578</v>
      </c>
      <c r="AL241" s="52" t="str">
        <f t="shared" si="46"/>
        <v/>
      </c>
    </row>
    <row r="242" spans="2:38">
      <c r="B242" t="s">
        <v>2579</v>
      </c>
      <c r="C242" t="str">
        <f ca="1">'Unit Mix Helper'!F50</f>
        <v/>
      </c>
      <c r="D242" t="s">
        <v>2580</v>
      </c>
      <c r="E242">
        <f>UM_Bathrooms_46</f>
        <v>0</v>
      </c>
      <c r="G242" t="s">
        <v>2581</v>
      </c>
      <c r="H242" s="52" t="str">
        <f t="shared" ca="1" si="40"/>
        <v/>
      </c>
      <c r="I242" t="s">
        <v>2582</v>
      </c>
      <c r="J242" t="str">
        <f ca="1">'Unit Mix Helper'!G50</f>
        <v/>
      </c>
      <c r="K242" t="s">
        <v>2583</v>
      </c>
      <c r="L242" t="str">
        <f ca="1">'Unit Mix Helper'!H50</f>
        <v/>
      </c>
      <c r="M242" t="s">
        <v>2584</v>
      </c>
      <c r="N242" t="str">
        <f ca="1">'Unit Mix Helper'!J50</f>
        <v/>
      </c>
      <c r="O242" t="s">
        <v>2585</v>
      </c>
      <c r="P242" s="52" t="str">
        <f ca="1">IF(L242="","",TRIM(TEXT('Unit Mix Helper'!I50,"#0%")))</f>
        <v/>
      </c>
      <c r="Q242" t="s">
        <v>2586</v>
      </c>
      <c r="R242" t="str">
        <f t="shared" ca="1" si="41"/>
        <v/>
      </c>
      <c r="W242" s="57"/>
      <c r="X242" s="181"/>
      <c r="Y242" t="s">
        <v>2581</v>
      </c>
      <c r="Z242" s="53" t="str">
        <f t="shared" si="42"/>
        <v/>
      </c>
      <c r="AA242" t="s">
        <v>2587</v>
      </c>
      <c r="AB242" s="52" t="str">
        <f>IF($Z$2="","",IF(Z242="","",'Unit Mix Helper'!K50))</f>
        <v/>
      </c>
      <c r="AC242" t="s">
        <v>2588</v>
      </c>
      <c r="AD242" s="49" t="str">
        <f t="shared" si="43"/>
        <v/>
      </c>
      <c r="AE242" t="s">
        <v>2589</v>
      </c>
      <c r="AF242" t="str">
        <f t="shared" si="44"/>
        <v/>
      </c>
      <c r="AG242" t="s">
        <v>2590</v>
      </c>
      <c r="AH242" t="str">
        <f t="shared" si="45"/>
        <v/>
      </c>
      <c r="AI242" t="s">
        <v>2591</v>
      </c>
      <c r="AK242" t="s">
        <v>2592</v>
      </c>
      <c r="AL242" s="52" t="str">
        <f t="shared" si="46"/>
        <v/>
      </c>
    </row>
    <row r="243" spans="2:38">
      <c r="B243" t="s">
        <v>2593</v>
      </c>
      <c r="C243" t="str">
        <f ca="1">'Unit Mix Helper'!F51</f>
        <v/>
      </c>
      <c r="D243" t="s">
        <v>2594</v>
      </c>
      <c r="E243">
        <f>UM_Bathrooms_47</f>
        <v>0</v>
      </c>
      <c r="G243" t="s">
        <v>2595</v>
      </c>
      <c r="H243" s="52" t="str">
        <f t="shared" ca="1" si="40"/>
        <v/>
      </c>
      <c r="I243" t="s">
        <v>2596</v>
      </c>
      <c r="J243" t="str">
        <f ca="1">'Unit Mix Helper'!G51</f>
        <v/>
      </c>
      <c r="K243" t="s">
        <v>2597</v>
      </c>
      <c r="L243" t="str">
        <f ca="1">'Unit Mix Helper'!H51</f>
        <v/>
      </c>
      <c r="M243" t="s">
        <v>2598</v>
      </c>
      <c r="N243" t="str">
        <f ca="1">'Unit Mix Helper'!J51</f>
        <v/>
      </c>
      <c r="O243" t="s">
        <v>2599</v>
      </c>
      <c r="P243" s="52" t="str">
        <f ca="1">IF(L243="","",TRIM(TEXT('Unit Mix Helper'!I51,"#0%")))</f>
        <v/>
      </c>
      <c r="Q243" t="s">
        <v>2600</v>
      </c>
      <c r="R243" t="str">
        <f t="shared" ca="1" si="41"/>
        <v/>
      </c>
      <c r="W243" s="57"/>
      <c r="X243" s="181"/>
      <c r="Y243" t="s">
        <v>2595</v>
      </c>
      <c r="Z243" s="53" t="str">
        <f t="shared" si="42"/>
        <v/>
      </c>
      <c r="AA243" t="s">
        <v>2601</v>
      </c>
      <c r="AB243" s="52" t="str">
        <f>IF($Z$2="","",IF(Z243="","",'Unit Mix Helper'!K51))</f>
        <v/>
      </c>
      <c r="AC243" t="s">
        <v>2602</v>
      </c>
      <c r="AD243" s="49" t="str">
        <f t="shared" si="43"/>
        <v/>
      </c>
      <c r="AE243" t="s">
        <v>2603</v>
      </c>
      <c r="AF243" t="str">
        <f t="shared" si="44"/>
        <v/>
      </c>
      <c r="AG243" t="s">
        <v>2604</v>
      </c>
      <c r="AH243" t="str">
        <f t="shared" si="45"/>
        <v/>
      </c>
      <c r="AI243" t="s">
        <v>2605</v>
      </c>
      <c r="AK243" t="s">
        <v>2606</v>
      </c>
      <c r="AL243" s="52" t="str">
        <f t="shared" si="46"/>
        <v/>
      </c>
    </row>
    <row r="244" spans="2:38">
      <c r="B244" t="s">
        <v>2607</v>
      </c>
      <c r="C244" t="str">
        <f ca="1">'Unit Mix Helper'!F52</f>
        <v/>
      </c>
      <c r="D244" t="s">
        <v>2608</v>
      </c>
      <c r="E244">
        <f>UM_Bathrooms_48</f>
        <v>0</v>
      </c>
      <c r="G244" t="s">
        <v>2609</v>
      </c>
      <c r="H244" s="52" t="str">
        <f t="shared" ca="1" si="40"/>
        <v/>
      </c>
      <c r="I244" t="s">
        <v>2610</v>
      </c>
      <c r="J244" t="str">
        <f ca="1">'Unit Mix Helper'!G52</f>
        <v/>
      </c>
      <c r="K244" t="s">
        <v>2611</v>
      </c>
      <c r="L244" t="str">
        <f ca="1">'Unit Mix Helper'!H52</f>
        <v/>
      </c>
      <c r="M244" t="s">
        <v>2612</v>
      </c>
      <c r="N244" t="str">
        <f ca="1">'Unit Mix Helper'!J52</f>
        <v/>
      </c>
      <c r="O244" t="s">
        <v>2613</v>
      </c>
      <c r="P244" s="52" t="str">
        <f ca="1">IF(L244="","",TRIM(TEXT('Unit Mix Helper'!I52,"#0%")))</f>
        <v/>
      </c>
      <c r="Q244" t="s">
        <v>2614</v>
      </c>
      <c r="R244" t="str">
        <f t="shared" ca="1" si="41"/>
        <v/>
      </c>
      <c r="W244" s="57"/>
      <c r="X244" s="181"/>
      <c r="Y244" t="s">
        <v>2609</v>
      </c>
      <c r="Z244" s="53" t="str">
        <f t="shared" si="42"/>
        <v/>
      </c>
      <c r="AA244" t="s">
        <v>2615</v>
      </c>
      <c r="AB244" s="52" t="str">
        <f>IF($Z$2="","",IF(Z244="","",'Unit Mix Helper'!K52))</f>
        <v/>
      </c>
      <c r="AC244" t="s">
        <v>2616</v>
      </c>
      <c r="AD244" s="49" t="str">
        <f t="shared" si="43"/>
        <v/>
      </c>
      <c r="AE244" t="s">
        <v>2617</v>
      </c>
      <c r="AF244" t="str">
        <f t="shared" si="44"/>
        <v/>
      </c>
      <c r="AG244" t="s">
        <v>2618</v>
      </c>
      <c r="AH244" t="str">
        <f t="shared" si="45"/>
        <v/>
      </c>
      <c r="AI244" t="s">
        <v>2619</v>
      </c>
      <c r="AK244" t="s">
        <v>2620</v>
      </c>
      <c r="AL244" s="52" t="str">
        <f t="shared" si="46"/>
        <v/>
      </c>
    </row>
    <row r="245" spans="2:38">
      <c r="B245" t="s">
        <v>2621</v>
      </c>
      <c r="C245" t="str">
        <f ca="1">'Unit Mix Helper'!F53</f>
        <v/>
      </c>
      <c r="D245" t="s">
        <v>2622</v>
      </c>
      <c r="E245">
        <f>UM_Bathrooms_49</f>
        <v>0</v>
      </c>
      <c r="G245" t="s">
        <v>2623</v>
      </c>
      <c r="H245" s="52" t="str">
        <f t="shared" ca="1" si="40"/>
        <v/>
      </c>
      <c r="I245" t="s">
        <v>2624</v>
      </c>
      <c r="J245" t="str">
        <f ca="1">'Unit Mix Helper'!G53</f>
        <v/>
      </c>
      <c r="K245" t="s">
        <v>2625</v>
      </c>
      <c r="L245" t="str">
        <f ca="1">'Unit Mix Helper'!H53</f>
        <v/>
      </c>
      <c r="M245" t="s">
        <v>2626</v>
      </c>
      <c r="N245" t="str">
        <f ca="1">'Unit Mix Helper'!J53</f>
        <v/>
      </c>
      <c r="O245" t="s">
        <v>2627</v>
      </c>
      <c r="P245" s="52" t="str">
        <f ca="1">IF(L245="","",TRIM(TEXT('Unit Mix Helper'!I53,"#0%")))</f>
        <v/>
      </c>
      <c r="Q245" t="s">
        <v>2628</v>
      </c>
      <c r="R245" t="str">
        <f t="shared" ca="1" si="41"/>
        <v/>
      </c>
      <c r="W245" s="57"/>
      <c r="X245" s="181"/>
      <c r="Y245" t="s">
        <v>2623</v>
      </c>
      <c r="Z245" s="53" t="str">
        <f t="shared" si="42"/>
        <v/>
      </c>
      <c r="AA245" t="s">
        <v>2629</v>
      </c>
      <c r="AB245" s="52" t="str">
        <f>IF($Z$2="","",IF(Z245="","",'Unit Mix Helper'!K53))</f>
        <v/>
      </c>
      <c r="AC245" t="s">
        <v>2630</v>
      </c>
      <c r="AD245" s="49" t="str">
        <f t="shared" si="43"/>
        <v/>
      </c>
      <c r="AE245" t="s">
        <v>2631</v>
      </c>
      <c r="AF245" t="str">
        <f t="shared" si="44"/>
        <v/>
      </c>
      <c r="AG245" t="s">
        <v>2632</v>
      </c>
      <c r="AH245" t="str">
        <f t="shared" si="45"/>
        <v/>
      </c>
      <c r="AI245" t="s">
        <v>2633</v>
      </c>
      <c r="AK245" t="s">
        <v>2634</v>
      </c>
      <c r="AL245" s="52" t="str">
        <f t="shared" si="46"/>
        <v/>
      </c>
    </row>
    <row r="246" spans="2:38">
      <c r="B246" t="s">
        <v>2635</v>
      </c>
      <c r="C246" t="str">
        <f ca="1">'Unit Mix Helper'!F54</f>
        <v/>
      </c>
      <c r="D246" t="s">
        <v>2636</v>
      </c>
      <c r="E246">
        <f t="shared" ref="E246" si="47">UM_Bathrooms_50</f>
        <v>0</v>
      </c>
      <c r="G246" t="s">
        <v>2637</v>
      </c>
      <c r="H246" s="52" t="str">
        <f t="shared" ca="1" si="40"/>
        <v/>
      </c>
      <c r="I246" t="s">
        <v>2638</v>
      </c>
      <c r="J246" t="str">
        <f ca="1">'Unit Mix Helper'!G54</f>
        <v/>
      </c>
      <c r="K246" t="s">
        <v>2639</v>
      </c>
      <c r="L246" t="str">
        <f ca="1">'Unit Mix Helper'!H54</f>
        <v/>
      </c>
      <c r="M246" t="s">
        <v>2640</v>
      </c>
      <c r="N246" t="str">
        <f ca="1">'Unit Mix Helper'!J54</f>
        <v/>
      </c>
      <c r="O246" t="s">
        <v>2641</v>
      </c>
      <c r="P246" s="52" t="str">
        <f ca="1">IF(L246="","",TRIM(TEXT('Unit Mix Helper'!I54,"#0%")))</f>
        <v/>
      </c>
      <c r="Q246" t="s">
        <v>2642</v>
      </c>
      <c r="R246" t="str">
        <f t="shared" ca="1" si="41"/>
        <v/>
      </c>
      <c r="W246" s="57"/>
      <c r="X246" s="181"/>
      <c r="Y246" t="s">
        <v>2637</v>
      </c>
      <c r="Z246" s="53" t="str">
        <f t="shared" si="42"/>
        <v/>
      </c>
      <c r="AA246" t="s">
        <v>2643</v>
      </c>
      <c r="AB246" s="52" t="str">
        <f>IF($Z$2="","",IF(Z246="","",'Unit Mix Helper'!K54))</f>
        <v/>
      </c>
      <c r="AC246" t="s">
        <v>2644</v>
      </c>
      <c r="AD246" s="49" t="str">
        <f t="shared" si="43"/>
        <v/>
      </c>
      <c r="AE246" t="s">
        <v>2645</v>
      </c>
      <c r="AF246" t="str">
        <f t="shared" si="44"/>
        <v/>
      </c>
      <c r="AG246" t="s">
        <v>2646</v>
      </c>
      <c r="AH246" t="str">
        <f t="shared" si="45"/>
        <v/>
      </c>
      <c r="AI246" t="s">
        <v>2647</v>
      </c>
      <c r="AK246" t="s">
        <v>2648</v>
      </c>
      <c r="AL246" s="52" t="str">
        <f t="shared" si="46"/>
        <v/>
      </c>
    </row>
    <row r="247" spans="2:38">
      <c r="B247" t="s">
        <v>2649</v>
      </c>
      <c r="C247" t="str">
        <f ca="1">'Unit Mix Helper'!F55</f>
        <v/>
      </c>
      <c r="D247" t="s">
        <v>2650</v>
      </c>
      <c r="E247">
        <f>UM_Bathrooms_54</f>
        <v>0</v>
      </c>
      <c r="G247" t="s">
        <v>2651</v>
      </c>
      <c r="H247" s="52" t="str">
        <f t="shared" ca="1" si="40"/>
        <v/>
      </c>
      <c r="I247" t="s">
        <v>2652</v>
      </c>
      <c r="J247" t="str">
        <f ca="1">'Unit Mix Helper'!G55</f>
        <v/>
      </c>
      <c r="K247" t="s">
        <v>2653</v>
      </c>
      <c r="L247" t="str">
        <f ca="1">'Unit Mix Helper'!H55</f>
        <v/>
      </c>
      <c r="M247" t="s">
        <v>2654</v>
      </c>
      <c r="N247" t="str">
        <f ca="1">'Unit Mix Helper'!J55</f>
        <v/>
      </c>
      <c r="P247" s="52" t="str">
        <f ca="1">IF(L247="","",TRIM(TEXT('Unit Mix Helper'!I55,"#0%")))</f>
        <v/>
      </c>
      <c r="Q247" t="s">
        <v>2655</v>
      </c>
      <c r="R247" t="str">
        <f t="shared" ca="1" si="41"/>
        <v/>
      </c>
      <c r="X247" s="181"/>
      <c r="Y247" t="s">
        <v>2656</v>
      </c>
      <c r="Z247" s="53" t="str">
        <f t="shared" si="42"/>
        <v/>
      </c>
      <c r="AA247" t="s">
        <v>2657</v>
      </c>
      <c r="AB247" t="str">
        <f>IF($Z$2="","",IF(Z247="","",'Unit Mix Helper'!K55))</f>
        <v/>
      </c>
      <c r="AC247" t="s">
        <v>2658</v>
      </c>
      <c r="AD247" s="49" t="str">
        <f t="shared" si="43"/>
        <v/>
      </c>
      <c r="AE247" t="s">
        <v>2659</v>
      </c>
      <c r="AF247" t="str">
        <f t="shared" si="44"/>
        <v/>
      </c>
      <c r="AG247" t="s">
        <v>2660</v>
      </c>
      <c r="AH247" t="str">
        <f t="shared" si="45"/>
        <v/>
      </c>
      <c r="AI247" t="s">
        <v>2661</v>
      </c>
      <c r="AK247" t="s">
        <v>2662</v>
      </c>
      <c r="AL247" s="57" t="str">
        <f t="shared" ref="AL247:AL249" si="48">IF($Z$2="","",W247)</f>
        <v/>
      </c>
    </row>
    <row r="248" spans="2:38">
      <c r="B248" t="s">
        <v>2663</v>
      </c>
      <c r="C248" t="str">
        <f ca="1">'Unit Mix Helper'!F56</f>
        <v/>
      </c>
      <c r="D248" t="s">
        <v>2664</v>
      </c>
      <c r="E248">
        <f>UM_Bathrooms_55</f>
        <v>0</v>
      </c>
      <c r="G248" t="s">
        <v>2665</v>
      </c>
      <c r="H248" s="52" t="str">
        <f t="shared" ca="1" si="40"/>
        <v/>
      </c>
      <c r="I248" t="s">
        <v>2666</v>
      </c>
      <c r="J248" t="str">
        <f ca="1">'Unit Mix Helper'!G56</f>
        <v/>
      </c>
      <c r="K248" t="s">
        <v>2667</v>
      </c>
      <c r="L248" t="str">
        <f ca="1">'Unit Mix Helper'!H56</f>
        <v/>
      </c>
      <c r="M248" t="s">
        <v>2668</v>
      </c>
      <c r="N248" t="str">
        <f ca="1">'Unit Mix Helper'!J56</f>
        <v/>
      </c>
      <c r="P248" s="52" t="str">
        <f ca="1">IF(L248="","",TRIM(TEXT('Unit Mix Helper'!I56,"#0%")))</f>
        <v/>
      </c>
      <c r="Q248" t="s">
        <v>2669</v>
      </c>
      <c r="R248" t="str">
        <f t="shared" ca="1" si="41"/>
        <v/>
      </c>
      <c r="X248" s="181"/>
      <c r="Y248" t="s">
        <v>2670</v>
      </c>
      <c r="Z248" s="53" t="str">
        <f t="shared" si="42"/>
        <v/>
      </c>
      <c r="AA248" t="s">
        <v>2671</v>
      </c>
      <c r="AB248" t="str">
        <f>IF($Z$2="","",IF(Z248="","",'Unit Mix Helper'!K56))</f>
        <v/>
      </c>
      <c r="AC248" t="s">
        <v>2672</v>
      </c>
      <c r="AD248" s="49" t="str">
        <f t="shared" si="43"/>
        <v/>
      </c>
      <c r="AE248" t="s">
        <v>2673</v>
      </c>
      <c r="AF248" t="str">
        <f t="shared" si="44"/>
        <v/>
      </c>
      <c r="AG248" t="s">
        <v>2674</v>
      </c>
      <c r="AH248" t="str">
        <f t="shared" si="45"/>
        <v/>
      </c>
      <c r="AI248" t="s">
        <v>2675</v>
      </c>
      <c r="AK248" t="s">
        <v>2676</v>
      </c>
      <c r="AL248" s="57" t="str">
        <f t="shared" si="48"/>
        <v/>
      </c>
    </row>
    <row r="249" spans="2:38">
      <c r="B249" t="s">
        <v>2677</v>
      </c>
      <c r="C249" t="str">
        <f ca="1">'Unit Mix Helper'!F57</f>
        <v/>
      </c>
      <c r="D249" t="s">
        <v>2678</v>
      </c>
      <c r="E249">
        <f>UM_Bathrooms_56</f>
        <v>0</v>
      </c>
      <c r="G249" t="s">
        <v>2679</v>
      </c>
      <c r="H249" s="52" t="str">
        <f t="shared" ca="1" si="40"/>
        <v/>
      </c>
      <c r="I249" t="s">
        <v>2680</v>
      </c>
      <c r="J249" t="str">
        <f ca="1">'Unit Mix Helper'!G57</f>
        <v/>
      </c>
      <c r="K249" t="s">
        <v>2681</v>
      </c>
      <c r="L249" t="str">
        <f ca="1">'Unit Mix Helper'!H57</f>
        <v/>
      </c>
      <c r="M249" t="s">
        <v>2682</v>
      </c>
      <c r="N249" t="str">
        <f ca="1">'Unit Mix Helper'!J57</f>
        <v/>
      </c>
      <c r="P249" s="52" t="str">
        <f ca="1">IF(L249="","",TRIM(TEXT('Unit Mix Helper'!I57,"#0%")))</f>
        <v/>
      </c>
      <c r="Q249" t="s">
        <v>2683</v>
      </c>
      <c r="R249" t="str">
        <f t="shared" ca="1" si="41"/>
        <v/>
      </c>
      <c r="X249" s="181"/>
      <c r="Y249" t="s">
        <v>2684</v>
      </c>
      <c r="Z249" s="53" t="str">
        <f t="shared" si="42"/>
        <v/>
      </c>
      <c r="AA249" t="s">
        <v>2685</v>
      </c>
      <c r="AB249" t="str">
        <f>IF($Z$2="","",IF(Z249="","",'Unit Mix Helper'!K57))</f>
        <v/>
      </c>
      <c r="AC249" t="s">
        <v>2686</v>
      </c>
      <c r="AD249" s="49" t="str">
        <f t="shared" si="43"/>
        <v/>
      </c>
      <c r="AE249" t="s">
        <v>2687</v>
      </c>
      <c r="AF249" t="str">
        <f t="shared" si="44"/>
        <v/>
      </c>
      <c r="AG249" t="s">
        <v>2688</v>
      </c>
      <c r="AH249" t="str">
        <f t="shared" si="45"/>
        <v/>
      </c>
      <c r="AI249" t="s">
        <v>2689</v>
      </c>
      <c r="AK249" t="s">
        <v>2690</v>
      </c>
      <c r="AL249" s="57" t="str">
        <f t="shared" si="48"/>
        <v/>
      </c>
    </row>
    <row r="250" spans="2:38">
      <c r="B250" t="s">
        <v>2691</v>
      </c>
      <c r="C250" t="str">
        <f ca="1">'Unit Mix Helper'!F58</f>
        <v/>
      </c>
      <c r="D250" t="s">
        <v>2692</v>
      </c>
      <c r="E250">
        <f>UM_Bathrooms_57</f>
        <v>0</v>
      </c>
      <c r="G250" t="s">
        <v>2693</v>
      </c>
      <c r="H250" s="52" t="str">
        <f t="shared" ca="1" si="40"/>
        <v/>
      </c>
      <c r="I250" t="s">
        <v>2694</v>
      </c>
      <c r="J250" t="str">
        <f ca="1">'Unit Mix Helper'!G58</f>
        <v/>
      </c>
      <c r="K250" t="s">
        <v>2695</v>
      </c>
      <c r="L250" t="str">
        <f ca="1">'Unit Mix Helper'!H58</f>
        <v/>
      </c>
      <c r="M250" t="s">
        <v>2696</v>
      </c>
      <c r="N250" t="str">
        <f ca="1">'Unit Mix Helper'!J58</f>
        <v/>
      </c>
      <c r="P250" s="52" t="str">
        <f ca="1">IF(L250="","",TRIM(TEXT('Unit Mix Helper'!I58,"#0%")))</f>
        <v/>
      </c>
      <c r="Q250" t="s">
        <v>2697</v>
      </c>
      <c r="R250" t="str">
        <f t="shared" ca="1" si="41"/>
        <v/>
      </c>
      <c r="X250" s="181"/>
      <c r="Y250" t="s">
        <v>2698</v>
      </c>
      <c r="Z250" s="53" t="str">
        <f t="shared" si="42"/>
        <v/>
      </c>
      <c r="AA250" t="s">
        <v>2699</v>
      </c>
      <c r="AB250" t="str">
        <f>IF($Z$2="","",IF(Z250="","",'Unit Mix Helper'!K58))</f>
        <v/>
      </c>
      <c r="AC250" t="s">
        <v>2700</v>
      </c>
      <c r="AD250" s="49" t="str">
        <f t="shared" si="43"/>
        <v/>
      </c>
      <c r="AE250" t="s">
        <v>2701</v>
      </c>
      <c r="AF250" t="str">
        <f t="shared" si="44"/>
        <v/>
      </c>
      <c r="AG250" t="s">
        <v>2702</v>
      </c>
      <c r="AH250" t="str">
        <f t="shared" si="45"/>
        <v/>
      </c>
      <c r="AI250" t="s">
        <v>2703</v>
      </c>
    </row>
    <row r="251" spans="2:38">
      <c r="B251" t="s">
        <v>2704</v>
      </c>
      <c r="C251" t="str">
        <f ca="1">'Unit Mix Helper'!F59</f>
        <v/>
      </c>
      <c r="D251" t="s">
        <v>2705</v>
      </c>
      <c r="E251">
        <f>UM_Bathrooms_58</f>
        <v>0</v>
      </c>
      <c r="G251" t="s">
        <v>2706</v>
      </c>
      <c r="H251" s="52" t="str">
        <f t="shared" ca="1" si="40"/>
        <v/>
      </c>
      <c r="I251" t="s">
        <v>2707</v>
      </c>
      <c r="J251" t="str">
        <f ca="1">'Unit Mix Helper'!G59</f>
        <v/>
      </c>
      <c r="K251" t="s">
        <v>2708</v>
      </c>
      <c r="L251" t="str">
        <f ca="1">'Unit Mix Helper'!H59</f>
        <v/>
      </c>
      <c r="M251" t="s">
        <v>2709</v>
      </c>
      <c r="N251" t="str">
        <f ca="1">'Unit Mix Helper'!J59</f>
        <v/>
      </c>
      <c r="P251" s="52" t="str">
        <f ca="1">IF(L251="","",TRIM(TEXT('Unit Mix Helper'!I59,"#0%")))</f>
        <v/>
      </c>
      <c r="Q251" t="s">
        <v>2710</v>
      </c>
      <c r="R251" t="str">
        <f t="shared" ca="1" si="41"/>
        <v/>
      </c>
      <c r="X251" s="181"/>
      <c r="Y251" t="s">
        <v>2711</v>
      </c>
      <c r="Z251" s="53" t="str">
        <f t="shared" si="42"/>
        <v/>
      </c>
      <c r="AA251" t="s">
        <v>2712</v>
      </c>
      <c r="AB251" t="str">
        <f>IF($Z$2="","",IF(Z251="","",'Unit Mix Helper'!K59))</f>
        <v/>
      </c>
      <c r="AC251" t="s">
        <v>2713</v>
      </c>
      <c r="AD251" s="49" t="str">
        <f t="shared" si="43"/>
        <v/>
      </c>
      <c r="AE251" t="s">
        <v>2714</v>
      </c>
      <c r="AF251" t="str">
        <f t="shared" si="44"/>
        <v/>
      </c>
      <c r="AG251" t="s">
        <v>2715</v>
      </c>
      <c r="AH251" t="str">
        <f t="shared" si="45"/>
        <v/>
      </c>
      <c r="AI251" t="s">
        <v>2716</v>
      </c>
    </row>
    <row r="252" spans="2:38">
      <c r="B252" t="s">
        <v>2717</v>
      </c>
      <c r="C252" t="str">
        <f ca="1">'Unit Mix Helper'!F60</f>
        <v/>
      </c>
      <c r="D252" t="s">
        <v>2718</v>
      </c>
      <c r="E252">
        <f>UM_Bathrooms_59</f>
        <v>0</v>
      </c>
      <c r="G252" t="s">
        <v>2719</v>
      </c>
      <c r="H252" s="52" t="str">
        <f t="shared" ca="1" si="40"/>
        <v/>
      </c>
      <c r="I252" t="s">
        <v>2720</v>
      </c>
      <c r="J252" t="str">
        <f ca="1">'Unit Mix Helper'!G60</f>
        <v/>
      </c>
      <c r="K252" t="s">
        <v>2721</v>
      </c>
      <c r="L252" t="str">
        <f ca="1">'Unit Mix Helper'!H60</f>
        <v/>
      </c>
      <c r="M252" t="s">
        <v>2722</v>
      </c>
      <c r="N252" t="str">
        <f ca="1">'Unit Mix Helper'!J60</f>
        <v/>
      </c>
      <c r="P252" s="52" t="str">
        <f ca="1">IF(L252="","",TRIM(TEXT('Unit Mix Helper'!I60,"#0%")))</f>
        <v/>
      </c>
      <c r="Q252" t="s">
        <v>2723</v>
      </c>
      <c r="R252" t="str">
        <f t="shared" ca="1" si="41"/>
        <v/>
      </c>
      <c r="X252" s="181"/>
      <c r="Y252" t="s">
        <v>2724</v>
      </c>
      <c r="Z252" s="53" t="str">
        <f t="shared" si="42"/>
        <v/>
      </c>
      <c r="AA252" t="s">
        <v>2725</v>
      </c>
      <c r="AB252" t="str">
        <f>IF($Z$2="","",IF(Z252="","",'Unit Mix Helper'!K60))</f>
        <v/>
      </c>
      <c r="AC252" t="s">
        <v>2726</v>
      </c>
      <c r="AD252" s="49" t="str">
        <f t="shared" si="43"/>
        <v/>
      </c>
      <c r="AE252" t="s">
        <v>2727</v>
      </c>
      <c r="AF252" t="str">
        <f t="shared" si="44"/>
        <v/>
      </c>
      <c r="AG252" t="s">
        <v>2728</v>
      </c>
      <c r="AH252" t="str">
        <f t="shared" si="45"/>
        <v/>
      </c>
      <c r="AI252" t="s">
        <v>2729</v>
      </c>
    </row>
    <row r="253" spans="2:38">
      <c r="B253" t="s">
        <v>2730</v>
      </c>
      <c r="C253" t="str">
        <f ca="1">'Unit Mix Helper'!F61</f>
        <v/>
      </c>
      <c r="D253" t="s">
        <v>2731</v>
      </c>
      <c r="E253">
        <f>UM_Bathrooms_60</f>
        <v>0</v>
      </c>
      <c r="G253" t="s">
        <v>2732</v>
      </c>
      <c r="H253" s="52" t="str">
        <f t="shared" ca="1" si="40"/>
        <v/>
      </c>
      <c r="I253" t="s">
        <v>2733</v>
      </c>
      <c r="J253" t="str">
        <f ca="1">'Unit Mix Helper'!G61</f>
        <v/>
      </c>
      <c r="K253" t="s">
        <v>2734</v>
      </c>
      <c r="L253" t="str">
        <f ca="1">'Unit Mix Helper'!H61</f>
        <v/>
      </c>
      <c r="M253" t="s">
        <v>2735</v>
      </c>
      <c r="N253" t="str">
        <f ca="1">'Unit Mix Helper'!J61</f>
        <v/>
      </c>
      <c r="P253" s="52" t="str">
        <f ca="1">IF(L253="","",TRIM(TEXT('Unit Mix Helper'!I61,"#0%")))</f>
        <v/>
      </c>
      <c r="Q253" t="s">
        <v>2736</v>
      </c>
      <c r="R253" t="str">
        <f t="shared" ca="1" si="41"/>
        <v/>
      </c>
      <c r="X253" s="181"/>
      <c r="Y253" t="s">
        <v>2737</v>
      </c>
      <c r="Z253" s="53" t="str">
        <f t="shared" si="42"/>
        <v/>
      </c>
      <c r="AA253" t="s">
        <v>2738</v>
      </c>
      <c r="AB253" t="str">
        <f>IF($Z$2="","",IF(Z253="","",'Unit Mix Helper'!K61))</f>
        <v/>
      </c>
      <c r="AC253" t="s">
        <v>2739</v>
      </c>
      <c r="AD253" s="49" t="str">
        <f t="shared" si="43"/>
        <v/>
      </c>
      <c r="AE253" t="s">
        <v>2740</v>
      </c>
      <c r="AF253" t="str">
        <f t="shared" si="44"/>
        <v/>
      </c>
      <c r="AG253" t="s">
        <v>2741</v>
      </c>
      <c r="AH253" t="str">
        <f t="shared" si="45"/>
        <v/>
      </c>
      <c r="AI253" t="s">
        <v>2742</v>
      </c>
    </row>
    <row r="254" spans="2:38">
      <c r="B254" t="s">
        <v>2743</v>
      </c>
      <c r="C254" t="str">
        <f ca="1">'Unit Mix Helper'!F62</f>
        <v/>
      </c>
      <c r="D254" t="s">
        <v>2744</v>
      </c>
      <c r="E254">
        <f>UM_Bathrooms_61</f>
        <v>0</v>
      </c>
      <c r="G254" t="s">
        <v>2745</v>
      </c>
      <c r="H254" s="52" t="str">
        <f t="shared" ca="1" si="40"/>
        <v/>
      </c>
      <c r="I254" t="s">
        <v>2746</v>
      </c>
      <c r="J254" t="str">
        <f ca="1">'Unit Mix Helper'!G62</f>
        <v/>
      </c>
      <c r="K254" t="s">
        <v>2747</v>
      </c>
      <c r="L254" t="str">
        <f ca="1">'Unit Mix Helper'!H62</f>
        <v/>
      </c>
      <c r="M254" t="s">
        <v>2748</v>
      </c>
      <c r="N254" t="str">
        <f ca="1">'Unit Mix Helper'!J62</f>
        <v/>
      </c>
      <c r="P254" s="52" t="str">
        <f ca="1">IF(L254="","",TRIM(TEXT('Unit Mix Helper'!I62,"#0%")))</f>
        <v/>
      </c>
      <c r="Q254" t="s">
        <v>2749</v>
      </c>
      <c r="R254" t="str">
        <f t="shared" ca="1" si="41"/>
        <v/>
      </c>
      <c r="X254" s="181"/>
      <c r="Y254" t="s">
        <v>2750</v>
      </c>
      <c r="Z254" s="53" t="str">
        <f t="shared" si="42"/>
        <v/>
      </c>
      <c r="AA254" t="s">
        <v>2751</v>
      </c>
      <c r="AB254" t="str">
        <f>IF($Z$2="","",IF(Z254="","",'Unit Mix Helper'!K62))</f>
        <v/>
      </c>
      <c r="AC254" t="s">
        <v>2752</v>
      </c>
      <c r="AD254" s="49" t="str">
        <f t="shared" si="43"/>
        <v/>
      </c>
      <c r="AE254" t="s">
        <v>2753</v>
      </c>
      <c r="AF254" t="str">
        <f t="shared" si="44"/>
        <v/>
      </c>
      <c r="AG254" t="s">
        <v>2754</v>
      </c>
      <c r="AH254" t="str">
        <f t="shared" si="45"/>
        <v/>
      </c>
      <c r="AI254" t="s">
        <v>2755</v>
      </c>
    </row>
    <row r="255" spans="2:38">
      <c r="B255" t="s">
        <v>2756</v>
      </c>
      <c r="C255" t="str">
        <f ca="1">'Unit Mix Helper'!F63</f>
        <v/>
      </c>
      <c r="D255" t="s">
        <v>2757</v>
      </c>
      <c r="E255">
        <f>UM_Bathrooms_62</f>
        <v>0</v>
      </c>
      <c r="G255" t="s">
        <v>2758</v>
      </c>
      <c r="H255" s="52" t="str">
        <f t="shared" ca="1" si="40"/>
        <v/>
      </c>
      <c r="I255" t="s">
        <v>2759</v>
      </c>
      <c r="J255" t="str">
        <f ca="1">'Unit Mix Helper'!G63</f>
        <v/>
      </c>
      <c r="K255" t="s">
        <v>2760</v>
      </c>
      <c r="L255" t="str">
        <f ca="1">'Unit Mix Helper'!H63</f>
        <v/>
      </c>
      <c r="M255" t="s">
        <v>2761</v>
      </c>
      <c r="N255" t="str">
        <f ca="1">'Unit Mix Helper'!J63</f>
        <v/>
      </c>
      <c r="P255" s="52" t="str">
        <f ca="1">IF(L255="","",TRIM(TEXT('Unit Mix Helper'!I63,"#0%")))</f>
        <v/>
      </c>
      <c r="Q255" t="s">
        <v>2762</v>
      </c>
      <c r="R255" t="str">
        <f t="shared" ca="1" si="41"/>
        <v/>
      </c>
      <c r="X255" s="181"/>
      <c r="Y255" t="s">
        <v>2763</v>
      </c>
      <c r="Z255" s="53" t="str">
        <f t="shared" si="42"/>
        <v/>
      </c>
      <c r="AA255" t="s">
        <v>2764</v>
      </c>
      <c r="AB255" t="str">
        <f>IF($Z$2="","",IF(Z255="","",'Unit Mix Helper'!K63))</f>
        <v/>
      </c>
      <c r="AC255" t="s">
        <v>2765</v>
      </c>
      <c r="AD255" s="49" t="str">
        <f t="shared" si="43"/>
        <v/>
      </c>
      <c r="AE255" t="s">
        <v>2766</v>
      </c>
      <c r="AF255" t="str">
        <f t="shared" si="44"/>
        <v/>
      </c>
      <c r="AG255" t="s">
        <v>2767</v>
      </c>
      <c r="AH255" t="str">
        <f t="shared" si="45"/>
        <v/>
      </c>
      <c r="AI255" t="s">
        <v>2768</v>
      </c>
    </row>
    <row r="256" spans="2:38">
      <c r="B256" t="s">
        <v>2769</v>
      </c>
      <c r="C256" t="str">
        <f ca="1">'Unit Mix Helper'!F64</f>
        <v/>
      </c>
      <c r="D256" t="s">
        <v>2770</v>
      </c>
      <c r="E256">
        <f>UM_Bathrooms_63</f>
        <v>0</v>
      </c>
      <c r="G256" t="s">
        <v>2771</v>
      </c>
      <c r="H256" s="52" t="str">
        <f t="shared" ca="1" si="40"/>
        <v/>
      </c>
      <c r="I256" t="s">
        <v>2772</v>
      </c>
      <c r="J256" t="str">
        <f ca="1">'Unit Mix Helper'!G64</f>
        <v/>
      </c>
      <c r="K256" t="s">
        <v>2773</v>
      </c>
      <c r="L256" t="str">
        <f ca="1">'Unit Mix Helper'!H64</f>
        <v/>
      </c>
      <c r="M256" t="s">
        <v>2774</v>
      </c>
      <c r="N256" t="str">
        <f ca="1">'Unit Mix Helper'!J64</f>
        <v/>
      </c>
      <c r="P256" s="52" t="str">
        <f ca="1">IF(L256="","",TRIM(TEXT('Unit Mix Helper'!I64,"#0%")))</f>
        <v/>
      </c>
      <c r="Q256" t="s">
        <v>2775</v>
      </c>
      <c r="R256" t="str">
        <f t="shared" ca="1" si="41"/>
        <v/>
      </c>
      <c r="X256" s="181"/>
      <c r="Y256" t="s">
        <v>2776</v>
      </c>
      <c r="Z256" s="53" t="str">
        <f t="shared" si="42"/>
        <v/>
      </c>
      <c r="AA256" t="s">
        <v>2777</v>
      </c>
      <c r="AB256" t="str">
        <f>IF($Z$2="","",IF(Z256="","",'Unit Mix Helper'!K64))</f>
        <v/>
      </c>
      <c r="AC256" t="s">
        <v>2778</v>
      </c>
      <c r="AD256" s="49" t="str">
        <f t="shared" si="43"/>
        <v/>
      </c>
      <c r="AE256" t="s">
        <v>2779</v>
      </c>
      <c r="AF256" t="str">
        <f t="shared" si="44"/>
        <v/>
      </c>
      <c r="AG256" t="s">
        <v>2780</v>
      </c>
      <c r="AH256" t="str">
        <f t="shared" si="45"/>
        <v/>
      </c>
      <c r="AI256" t="s">
        <v>2781</v>
      </c>
    </row>
    <row r="257" spans="2:35">
      <c r="B257" t="s">
        <v>2782</v>
      </c>
      <c r="D257" t="s">
        <v>2783</v>
      </c>
      <c r="E257">
        <f>UM_Bathrooms_51</f>
        <v>0</v>
      </c>
      <c r="G257" t="s">
        <v>2784</v>
      </c>
      <c r="H257" s="52" t="str">
        <f t="shared" si="40"/>
        <v/>
      </c>
      <c r="I257" t="s">
        <v>2785</v>
      </c>
      <c r="K257" t="s">
        <v>2786</v>
      </c>
      <c r="M257" t="s">
        <v>2787</v>
      </c>
      <c r="P257" s="52"/>
      <c r="Q257" t="s">
        <v>2788</v>
      </c>
      <c r="X257" s="181"/>
      <c r="Y257" t="s">
        <v>2789</v>
      </c>
      <c r="Z257" s="53" t="str">
        <f t="shared" ref="Z257:Z259" si="49">IF($Z$2="","",IF(H257="","",H257))</f>
        <v/>
      </c>
      <c r="AA257" t="s">
        <v>2790</v>
      </c>
      <c r="AB257" t="str" cm="1">
        <f t="array" ref="AB257">IF($Z$2="","",IF(Apt_Type_61="","",Apt_Type_61))</f>
        <v/>
      </c>
      <c r="AC257" t="s">
        <v>2791</v>
      </c>
      <c r="AD257" s="49" t="str">
        <f t="shared" ref="AD257:AD259" si="50">IF($Z$2="","",IF(N257="","",N257))</f>
        <v/>
      </c>
      <c r="AE257" t="s">
        <v>2792</v>
      </c>
      <c r="AF257" t="str">
        <f t="shared" ref="AF257:AF259" si="51">IF($Z$2="","",IF(J257="","",J257))</f>
        <v/>
      </c>
      <c r="AG257" t="s">
        <v>2793</v>
      </c>
      <c r="AH257" t="str">
        <f t="shared" ref="AH257:AH259" si="52">IF($Z$2="","",IF(L257="","",L257))</f>
        <v/>
      </c>
      <c r="AI257" t="s">
        <v>2794</v>
      </c>
    </row>
    <row r="258" spans="2:35">
      <c r="B258" t="s">
        <v>2795</v>
      </c>
      <c r="D258" t="s">
        <v>2796</v>
      </c>
      <c r="E258">
        <f>UM_Bathrooms_52</f>
        <v>0</v>
      </c>
      <c r="G258" t="s">
        <v>2797</v>
      </c>
      <c r="H258" s="52" t="str">
        <f t="shared" si="40"/>
        <v/>
      </c>
      <c r="I258" t="s">
        <v>2798</v>
      </c>
      <c r="K258" t="s">
        <v>2799</v>
      </c>
      <c r="M258" t="s">
        <v>2800</v>
      </c>
      <c r="P258" s="52"/>
      <c r="Q258" t="s">
        <v>2801</v>
      </c>
      <c r="X258" s="181"/>
      <c r="Y258" t="s">
        <v>2802</v>
      </c>
      <c r="Z258" s="53" t="str">
        <f t="shared" si="49"/>
        <v/>
      </c>
      <c r="AA258" t="s">
        <v>2803</v>
      </c>
      <c r="AB258" t="str" cm="1">
        <f t="array" ref="AB258">IF($Z$2="","",IF(Apt_Type_62="","",Apt_Type_62))</f>
        <v/>
      </c>
      <c r="AC258" t="s">
        <v>2804</v>
      </c>
      <c r="AD258" s="49" t="str">
        <f t="shared" si="50"/>
        <v/>
      </c>
      <c r="AE258" t="s">
        <v>2805</v>
      </c>
      <c r="AF258" t="str">
        <f t="shared" si="51"/>
        <v/>
      </c>
      <c r="AG258" t="s">
        <v>2806</v>
      </c>
      <c r="AH258" t="str">
        <f t="shared" si="52"/>
        <v/>
      </c>
      <c r="AI258" t="s">
        <v>2807</v>
      </c>
    </row>
    <row r="259" spans="2:35">
      <c r="B259" t="s">
        <v>2808</v>
      </c>
      <c r="D259" t="s">
        <v>2809</v>
      </c>
      <c r="E259">
        <f>UM_Bathrooms_53</f>
        <v>0</v>
      </c>
      <c r="G259" t="s">
        <v>2810</v>
      </c>
      <c r="H259" s="52" t="str">
        <f t="shared" si="40"/>
        <v/>
      </c>
      <c r="I259" t="s">
        <v>2811</v>
      </c>
      <c r="K259" t="s">
        <v>2812</v>
      </c>
      <c r="M259" t="s">
        <v>2813</v>
      </c>
      <c r="P259" s="52"/>
      <c r="Q259" t="s">
        <v>2814</v>
      </c>
      <c r="X259" s="181"/>
      <c r="Y259" t="s">
        <v>2815</v>
      </c>
      <c r="Z259" s="53" t="str">
        <f t="shared" si="49"/>
        <v/>
      </c>
      <c r="AA259" t="s">
        <v>2816</v>
      </c>
      <c r="AB259" t="str" cm="1">
        <f t="array" ref="AB259">IF($Z$2="","",IF(Apt_Type_63="","",Apt_Type_63))</f>
        <v/>
      </c>
      <c r="AC259" t="s">
        <v>2817</v>
      </c>
      <c r="AD259" s="49" t="str">
        <f t="shared" si="50"/>
        <v/>
      </c>
      <c r="AE259" t="s">
        <v>2818</v>
      </c>
      <c r="AF259" t="str">
        <f t="shared" si="51"/>
        <v/>
      </c>
      <c r="AG259" t="s">
        <v>2819</v>
      </c>
      <c r="AH259" t="str">
        <f t="shared" si="52"/>
        <v/>
      </c>
      <c r="AI259" t="s">
        <v>2820</v>
      </c>
    </row>
    <row r="260" spans="2:35">
      <c r="X260" s="181"/>
      <c r="AD260" s="49"/>
    </row>
    <row r="261" spans="2:35">
      <c r="B261" t="s">
        <v>2821</v>
      </c>
      <c r="X261" s="181"/>
      <c r="Y261" t="s">
        <v>2822</v>
      </c>
      <c r="Z261" s="50" t="str">
        <f>IF($Z$2="","",SUM(AH250:AH259))</f>
        <v/>
      </c>
    </row>
    <row r="262" spans="2:35">
      <c r="D262" t="s">
        <v>2823</v>
      </c>
      <c r="E262" t="s">
        <v>2824</v>
      </c>
      <c r="F262" t="s">
        <v>2825</v>
      </c>
      <c r="G262" t="s">
        <v>2826</v>
      </c>
      <c r="L262" t="s">
        <v>2827</v>
      </c>
      <c r="X262" s="181"/>
      <c r="Y262" t="s">
        <v>2828</v>
      </c>
      <c r="Z262" s="50" t="str">
        <f>IF($Z$2="","",SUM(AH197:AH246))</f>
        <v/>
      </c>
    </row>
    <row r="263" spans="2:35">
      <c r="B263" t="s">
        <v>2829</v>
      </c>
      <c r="D263" s="52" t="s">
        <v>2830</v>
      </c>
      <c r="E263">
        <f ca="1">SUMIF($C$197:$C$246,0,$L$197:$L$246)-G263</f>
        <v>0</v>
      </c>
      <c r="F263" t="str">
        <f ca="1">IFERROR(((SUMIF($C$197:$C$259,0,$R$197:$R$259)/(SUMIF($C$197:$C$259,0,$L$197:$L$259)))),"")</f>
        <v/>
      </c>
      <c r="G263">
        <f ca="1">SUMIFS($L$197:$L$246,$C$197:$C$246,0,$P$197:$P$246,"")</f>
        <v>0</v>
      </c>
      <c r="H263">
        <v>1</v>
      </c>
      <c r="I263">
        <v>1000</v>
      </c>
      <c r="L263">
        <f ca="1">SUMIF($H$197:$H$259,"0 Bedroom",$L$197:$L$259)</f>
        <v>0</v>
      </c>
      <c r="X263" s="181"/>
      <c r="Y263" t="s">
        <v>2831</v>
      </c>
      <c r="Z263" s="50" t="str">
        <f>IF($Z$2="","",SUM(C197:C246))</f>
        <v/>
      </c>
    </row>
    <row r="264" spans="2:35">
      <c r="B264" t="s">
        <v>2832</v>
      </c>
      <c r="D264" s="52" t="s">
        <v>2832</v>
      </c>
      <c r="E264">
        <f ca="1">SUMIF($C$197:$C$246,1,$L$197:$L$246)-G264</f>
        <v>0</v>
      </c>
      <c r="F264" t="str">
        <f ca="1">IFERROR(((SUMIF($C$197:$C$259,1,$R$197:$R$259)/(SUMIF($C$197:$C$259,1,$L$197:$L$259)))),"")</f>
        <v/>
      </c>
      <c r="G264">
        <f ca="1">SUMIFS($L$197:$L$246,$C$197:$C$246,1,$P$197:$P$246,"")</f>
        <v>0</v>
      </c>
      <c r="H264">
        <v>2</v>
      </c>
      <c r="I264">
        <v>900</v>
      </c>
      <c r="L264">
        <f ca="1">SUMIF($H$197:$H$259,"1 Bedroom",$L$197:$L$259)</f>
        <v>0</v>
      </c>
      <c r="X264" s="181"/>
      <c r="Y264" t="s">
        <v>2833</v>
      </c>
      <c r="Z264" s="50" t="str">
        <f>IF($Z$2="","",SUM(AF197:AF246))</f>
        <v/>
      </c>
    </row>
    <row r="265" spans="2:35">
      <c r="B265" t="s">
        <v>2834</v>
      </c>
      <c r="D265" s="52" t="s">
        <v>2834</v>
      </c>
      <c r="E265">
        <f ca="1">SUMIF($C$197:$C$246,2,$L$197:$L$246)-G265</f>
        <v>0</v>
      </c>
      <c r="F265" t="str">
        <f ca="1">IFERROR(((SUMIF($C$197:$C$259,2,$R$197:$R$259)/(SUMIF($C$197:$C$259,2,$L$197:$L$259)))),"")</f>
        <v/>
      </c>
      <c r="G265">
        <f ca="1">SUMIFS($L$197:$L$246,$C$197:$C$246,2,$P$197:$P$246,"")</f>
        <v>0</v>
      </c>
      <c r="H265">
        <v>3</v>
      </c>
      <c r="I265">
        <v>850</v>
      </c>
      <c r="L265">
        <f ca="1">SUMIF($H$197:$H$259,"2 Bedroom",$L$197:$L$259)</f>
        <v>0</v>
      </c>
      <c r="X265" s="181"/>
      <c r="Y265" t="s">
        <v>2835</v>
      </c>
      <c r="Z265" s="50" t="str">
        <f>IF($Z$2="","",SUM(C179:C246))</f>
        <v/>
      </c>
    </row>
    <row r="266" spans="2:35">
      <c r="B266" t="s">
        <v>2836</v>
      </c>
      <c r="D266" s="52" t="s">
        <v>2836</v>
      </c>
      <c r="E266">
        <f ca="1">SUMIF($C$197:$C$246,3,$L$197:$L$246)-G266</f>
        <v>0</v>
      </c>
      <c r="F266" t="str">
        <f ca="1">IFERROR(((SUMIF($C$197:$C$259,3,$R$197:$R$259)/(SUMIF($C$197:$C$259,3,$L$197:$L$259)))),"")</f>
        <v/>
      </c>
      <c r="G266">
        <f ca="1">SUMIFS($L$197:$L$246,$C$197:$C$246,3,$P$197:$P$246,"")</f>
        <v>0</v>
      </c>
      <c r="H266">
        <v>2</v>
      </c>
      <c r="I266">
        <v>750</v>
      </c>
      <c r="L266">
        <f ca="1">SUMIF($H$197:$H$259,"3 Bedroom",$L$197:$L$259)</f>
        <v>0</v>
      </c>
      <c r="X266" s="181"/>
      <c r="Y266" t="s">
        <v>2837</v>
      </c>
      <c r="Z266" s="50" t="str">
        <f>IF($Z$2="","",SUM(AH197:AH246))</f>
        <v/>
      </c>
    </row>
    <row r="267" spans="2:35">
      <c r="B267" t="s">
        <v>2838</v>
      </c>
      <c r="D267" s="52" t="s">
        <v>2838</v>
      </c>
      <c r="E267">
        <f ca="1">SUMIF($C$197:$C$246,4,$L$197:$L$246)-G267</f>
        <v>0</v>
      </c>
      <c r="F267" t="str">
        <f ca="1">IFERROR(((SUMIF($C$197:$C$259,4,$R$197:$R$259)/(SUMIF($C$197:$C$259,4,$L$197:$L$259)))),"")</f>
        <v/>
      </c>
      <c r="G267">
        <f ca="1">SUMIFS($L$197:$L$246,$C$197:$C$246,4,$P$197:$P$246,"")</f>
        <v>0</v>
      </c>
      <c r="H267">
        <v>4</v>
      </c>
      <c r="I267">
        <v>500</v>
      </c>
      <c r="L267">
        <f ca="1">SUMIF($H$197:$H$259,"4 Bedroom",$L$197:$L$259)</f>
        <v>0</v>
      </c>
      <c r="X267" s="181"/>
      <c r="Y267" t="s">
        <v>1505</v>
      </c>
      <c r="Z267" s="50" t="str">
        <f>Z261</f>
        <v/>
      </c>
    </row>
    <row r="268" spans="2:35">
      <c r="B268" t="s">
        <v>2839</v>
      </c>
      <c r="D268" s="52" t="s">
        <v>2839</v>
      </c>
      <c r="E268">
        <f ca="1">SUMIF($C$197:$C$246,5,$L$197:$L$246)-G268</f>
        <v>0</v>
      </c>
      <c r="F268" t="str">
        <f ca="1">IFERROR(((SUMIF($C$197:$C$259,5,$R$197:$R$259)/(SUMIF($C$197:$C$259,5,$L$197:$L$259)))),"")</f>
        <v/>
      </c>
      <c r="G268">
        <f ca="1">SUMIFS($L$197:$L$246,$C$197:$C$246,5,$P$197:$P$246,"")</f>
        <v>0</v>
      </c>
      <c r="H268">
        <f>AVERAGE(H263:H267)</f>
        <v>2.4</v>
      </c>
      <c r="I268">
        <f>AVERAGE(I263:I267)</f>
        <v>800</v>
      </c>
      <c r="L268">
        <f ca="1">SUMIF($H$197:$H$259,"5 Bedroom",$L$197:$L$259)</f>
        <v>0</v>
      </c>
      <c r="X268" s="181"/>
      <c r="Y268" t="s">
        <v>2840</v>
      </c>
      <c r="Z268" s="50" t="str">
        <f>IF($Z$2="","",F273)</f>
        <v/>
      </c>
    </row>
    <row r="269" spans="2:35">
      <c r="D269" s="52"/>
      <c r="H269">
        <f>SUMPRODUCT(H263:H267,I263:I267)/SUM(H263:H267)</f>
        <v>737.5</v>
      </c>
      <c r="I269">
        <f>I268/H269</f>
        <v>1.0847457627118644</v>
      </c>
      <c r="X269" s="181"/>
    </row>
    <row r="270" spans="2:35">
      <c r="X270" s="181"/>
    </row>
    <row r="271" spans="2:35">
      <c r="B271" t="s">
        <v>2841</v>
      </c>
      <c r="C271">
        <f ca="1">SUM(C197:C259)</f>
        <v>0</v>
      </c>
      <c r="E271" t="s">
        <v>2842</v>
      </c>
      <c r="F271">
        <f ca="1">SUMPRODUCT(J197:J246,L197:L246)</f>
        <v>0</v>
      </c>
      <c r="X271" s="181"/>
    </row>
    <row r="272" spans="2:35">
      <c r="B272" t="s">
        <v>2843</v>
      </c>
      <c r="C272" s="267">
        <f>'11. Unit Mix'!G142</f>
        <v>0</v>
      </c>
      <c r="E272" t="s">
        <v>2844</v>
      </c>
      <c r="F272">
        <f ca="1">SUMPRODUCT(J250:J259, L250:L259)</f>
        <v>0</v>
      </c>
      <c r="X272" s="181"/>
    </row>
    <row r="273" spans="1:44">
      <c r="B273" t="s">
        <v>2837</v>
      </c>
      <c r="C273">
        <f ca="1">SUM(L197:L259)</f>
        <v>0</v>
      </c>
      <c r="E273" t="s">
        <v>2840</v>
      </c>
      <c r="F273">
        <f>SUM(L257:L259)</f>
        <v>0</v>
      </c>
      <c r="X273" s="181"/>
    </row>
    <row r="274" spans="1:44">
      <c r="B274" t="s">
        <v>2845</v>
      </c>
      <c r="C274">
        <f ca="1">SUM(L197:L246)</f>
        <v>0</v>
      </c>
      <c r="E274" t="s">
        <v>2846</v>
      </c>
      <c r="F274">
        <f ca="1">SUMPRODUCT(J197:J246,L197:L246)</f>
        <v>0</v>
      </c>
      <c r="X274" s="181"/>
    </row>
    <row r="275" spans="1:44">
      <c r="B275" t="s">
        <v>2847</v>
      </c>
      <c r="C275">
        <f ca="1">SUM(C197:C246)</f>
        <v>0</v>
      </c>
      <c r="E275" t="s">
        <v>2848</v>
      </c>
      <c r="F275" s="267">
        <f>'11. Unit Mix'!G144</f>
        <v>0</v>
      </c>
      <c r="X275" s="181"/>
    </row>
    <row r="276" spans="1:44">
      <c r="B276" t="s">
        <v>2827</v>
      </c>
      <c r="C276">
        <f ca="1">SUM(L197:L259)</f>
        <v>0</v>
      </c>
      <c r="E276" t="s">
        <v>2849</v>
      </c>
      <c r="F276" s="267">
        <f>'11. Unit Mix'!G145</f>
        <v>0</v>
      </c>
      <c r="X276" s="181"/>
    </row>
    <row r="277" spans="1:44">
      <c r="B277" t="s">
        <v>2850</v>
      </c>
      <c r="C277">
        <f ca="1">SUM(C197:C246)+SUM(C250:C259)</f>
        <v>0</v>
      </c>
      <c r="X277" s="181"/>
    </row>
    <row r="278" spans="1:44">
      <c r="X278" s="181"/>
    </row>
    <row r="279" spans="1:44">
      <c r="A279" s="41" t="s">
        <v>2851</v>
      </c>
      <c r="B279" s="41" t="s">
        <v>2852</v>
      </c>
      <c r="X279" s="181"/>
      <c r="Y279" s="41" t="s">
        <v>2853</v>
      </c>
      <c r="AF279" t="str">
        <f>IF($Z$2="","",IF(C280="","","Funding Source To Be Determined"))</f>
        <v/>
      </c>
    </row>
    <row r="280" spans="1:44">
      <c r="B280" t="str">
        <f>_xlfn.CONCAT("Source 1: ", Source_1)</f>
        <v>Source 1: Tax-Exempt Bonds - Permanent</v>
      </c>
      <c r="C280" t="str">
        <f>Source_1</f>
        <v>Tax-Exempt Bonds - Permanent</v>
      </c>
      <c r="D280" t="s">
        <v>2854</v>
      </c>
      <c r="E280" s="52" t="s">
        <v>2852</v>
      </c>
      <c r="F280" t="s">
        <v>2855</v>
      </c>
      <c r="G280" s="56" t="str">
        <f>IF(Amount_1&gt;0,Amount_1,"")</f>
        <v/>
      </c>
      <c r="H280" t="s">
        <v>2856</v>
      </c>
      <c r="I280" s="58" t="str">
        <f>IF(Amount_1&gt;0,Rate_1,"")</f>
        <v/>
      </c>
      <c r="J280" t="s">
        <v>2857</v>
      </c>
      <c r="K280" t="str">
        <f>IF(Amount_1&gt;0,Term_1,"")</f>
        <v/>
      </c>
      <c r="L280" t="s">
        <v>2858</v>
      </c>
      <c r="M280" s="56" t="str">
        <f>IF(Amount_1&gt;0,Annual_DSC_1,"")</f>
        <v/>
      </c>
      <c r="S280" s="56"/>
      <c r="T280" s="56"/>
      <c r="U280" s="56"/>
      <c r="V280" s="56"/>
      <c r="W280" s="56"/>
      <c r="X280" s="181"/>
      <c r="Y280" t="s">
        <v>2859</v>
      </c>
      <c r="Z280" s="50" t="str" cm="1">
        <f t="array" ref="Z280">IF($Z$2="","",IF(AB280="","",Internal))</f>
        <v/>
      </c>
      <c r="AA280" t="s">
        <v>2860</v>
      </c>
      <c r="AB280" t="str">
        <f>IF($Z$2="","","Funding Source To Be Determined")</f>
        <v/>
      </c>
      <c r="AC280" t="s">
        <v>2861</v>
      </c>
      <c r="AD280" t="str">
        <f>IF($Z$2="","","TRUE")</f>
        <v/>
      </c>
      <c r="AE280" t="s">
        <v>2862</v>
      </c>
      <c r="AF280" t="str">
        <f>IF($Z$2="","","Funding Source To Be Determined")</f>
        <v/>
      </c>
      <c r="AG280" t="s">
        <v>2863</v>
      </c>
      <c r="AH280" s="52" t="str">
        <f>IF($Z$2="","",IF(AF280="","","NONE"))</f>
        <v/>
      </c>
      <c r="AI280" t="s">
        <v>2864</v>
      </c>
      <c r="AJ280" s="52" t="str">
        <f>IF($Z$2="","",IF(AF280="","","Permanent"))</f>
        <v/>
      </c>
      <c r="AK280" t="s">
        <v>2865</v>
      </c>
      <c r="AL280" t="str">
        <f>IF($Z$2 = "","",IF(AF280="","",K280))</f>
        <v/>
      </c>
      <c r="AM280" t="s">
        <v>2866</v>
      </c>
      <c r="AN280" s="56" t="str">
        <f>IF($Z$2="","",IF(AF280="","",G280))</f>
        <v/>
      </c>
      <c r="AO280" t="s">
        <v>2867</v>
      </c>
      <c r="AP280" s="58" t="str">
        <f>IF($Z$2="","",IF(AF280="","",I280))</f>
        <v/>
      </c>
      <c r="AQ280" t="s">
        <v>2868</v>
      </c>
      <c r="AR280" s="56" t="str">
        <f>IF($Z$2="","",IF(AF280="","",M280))</f>
        <v/>
      </c>
    </row>
    <row r="281" spans="1:44">
      <c r="B281" t="str">
        <f>_xlfn.CONCAT("Source 2: ", Source_2)</f>
        <v>Source 2: WHEDA Subordinate Loan 1</v>
      </c>
      <c r="C281" t="str">
        <f>Source_2</f>
        <v>WHEDA Subordinate Loan 1</v>
      </c>
      <c r="D281" t="s">
        <v>2869</v>
      </c>
      <c r="E281" s="52" t="s">
        <v>2852</v>
      </c>
      <c r="F281" t="s">
        <v>2870</v>
      </c>
      <c r="G281" s="56" t="str">
        <f>IF(Amount_2&gt;0,Amount_2,"")</f>
        <v/>
      </c>
      <c r="H281" t="s">
        <v>2871</v>
      </c>
      <c r="I281" s="58" t="str">
        <f>IF(Amount_2&gt;0,Rate_2,"")</f>
        <v/>
      </c>
      <c r="J281" t="s">
        <v>2872</v>
      </c>
      <c r="K281" t="str">
        <f>IF(Amount_2&gt;0,Term_2,"")</f>
        <v/>
      </c>
      <c r="L281" t="s">
        <v>2873</v>
      </c>
      <c r="M281" s="56" t="str">
        <f>IF(Amount_2&gt;0,Annual_DSC_2,"")</f>
        <v/>
      </c>
      <c r="S281" s="56"/>
      <c r="T281" s="56"/>
      <c r="U281" s="56"/>
      <c r="V281" s="56"/>
      <c r="W281" s="56"/>
      <c r="X281" s="181"/>
      <c r="Y281" t="s">
        <v>2859</v>
      </c>
      <c r="Z281" s="50" t="str" cm="1">
        <f t="array" ref="Z281">IF($Z$2="","",IF(AB281="","",Internal))</f>
        <v/>
      </c>
      <c r="AA281" t="s">
        <v>2860</v>
      </c>
      <c r="AB281" t="str">
        <f t="shared" ref="AB281:AB284" si="53">IF($Z$2="","","Funding Source To Be Determined")</f>
        <v/>
      </c>
      <c r="AC281" t="s">
        <v>2861</v>
      </c>
      <c r="AD281" t="str">
        <f t="shared" ref="AD281:AD284" si="54">IF($Z$2="","","TRUE")</f>
        <v/>
      </c>
      <c r="AE281" t="s">
        <v>2862</v>
      </c>
      <c r="AF281" t="str">
        <f t="shared" ref="AF281:AF289" si="55">IF($Z$2="","","Funding Source To Be Determined")</f>
        <v/>
      </c>
      <c r="AG281" t="s">
        <v>2863</v>
      </c>
      <c r="AH281" s="52" t="str">
        <f t="shared" ref="AH281:AH289" si="56">IF($Z$2="","",IF(AF281="","","NONE"))</f>
        <v/>
      </c>
      <c r="AI281" t="s">
        <v>2864</v>
      </c>
      <c r="AJ281" s="52" t="str">
        <f t="shared" ref="AJ281:AJ289" si="57">IF($Z$2="","",IF(AF281="","","Permanent"))</f>
        <v/>
      </c>
      <c r="AK281" t="s">
        <v>2865</v>
      </c>
      <c r="AL281" t="str">
        <f t="shared" ref="AL281:AL284" si="58">IF($Z$2 = "","",IF(AF281="","",K281))</f>
        <v/>
      </c>
      <c r="AM281" t="s">
        <v>2866</v>
      </c>
      <c r="AN281" s="56" t="str">
        <f t="shared" ref="AN281:AN284" si="59">IF($Z$2="","",IF(AF281="","",G281))</f>
        <v/>
      </c>
      <c r="AO281" t="s">
        <v>2867</v>
      </c>
      <c r="AP281" s="58" t="str">
        <f t="shared" ref="AP281:AP284" si="60">IF($Z$2="","",IF(AF281="","",I281))</f>
        <v/>
      </c>
      <c r="AQ281" t="s">
        <v>2868</v>
      </c>
      <c r="AR281" s="56" t="str">
        <f t="shared" ref="AR281:AR284" si="61">IF($Z$2="","",IF(AF281="","",M281))</f>
        <v/>
      </c>
    </row>
    <row r="282" spans="1:44">
      <c r="B282" t="str">
        <f>_xlfn.CONCAT("Source 3: ", Source_3)</f>
        <v>Source 3: WHEDA Subordinate Loan 2</v>
      </c>
      <c r="C282" t="str">
        <f>Source_3</f>
        <v>WHEDA Subordinate Loan 2</v>
      </c>
      <c r="D282" t="s">
        <v>2874</v>
      </c>
      <c r="E282" s="52" t="s">
        <v>2852</v>
      </c>
      <c r="F282" t="s">
        <v>2875</v>
      </c>
      <c r="G282" s="56" t="str">
        <f>IF(Amount_3&gt;0,Amount_3,"")</f>
        <v/>
      </c>
      <c r="H282" t="s">
        <v>2876</v>
      </c>
      <c r="I282" s="58" t="str">
        <f>IF(Amount_3&gt;0,Rate_3,"")</f>
        <v/>
      </c>
      <c r="J282" t="s">
        <v>2877</v>
      </c>
      <c r="K282" t="str">
        <f>IF(Amount_3&gt;0,Term_3,"")</f>
        <v/>
      </c>
      <c r="L282" t="s">
        <v>2878</v>
      </c>
      <c r="M282" s="56" t="str">
        <f>IF(Amount_3&gt;0,Annual_DSC_3,"")</f>
        <v/>
      </c>
      <c r="S282" s="56"/>
      <c r="T282" s="56"/>
      <c r="U282" s="56"/>
      <c r="V282" s="56"/>
      <c r="W282" s="56"/>
      <c r="X282" s="181"/>
      <c r="Y282" t="s">
        <v>2859</v>
      </c>
      <c r="Z282" s="50" t="str" cm="1">
        <f t="array" ref="Z282">IF($Z$2="","",IF(AB282="","",Internal))</f>
        <v/>
      </c>
      <c r="AA282" t="s">
        <v>2860</v>
      </c>
      <c r="AB282" t="str">
        <f t="shared" si="53"/>
        <v/>
      </c>
      <c r="AC282" t="s">
        <v>2861</v>
      </c>
      <c r="AD282" t="str">
        <f t="shared" si="54"/>
        <v/>
      </c>
      <c r="AE282" t="s">
        <v>2862</v>
      </c>
      <c r="AF282" t="str">
        <f t="shared" si="55"/>
        <v/>
      </c>
      <c r="AG282" t="s">
        <v>2863</v>
      </c>
      <c r="AH282" s="52" t="str">
        <f t="shared" si="56"/>
        <v/>
      </c>
      <c r="AI282" t="s">
        <v>2864</v>
      </c>
      <c r="AJ282" s="52" t="str">
        <f t="shared" si="57"/>
        <v/>
      </c>
      <c r="AK282" t="s">
        <v>2865</v>
      </c>
      <c r="AL282" t="str">
        <f>IF($Z$2 = "","",IF(AF282="","",K282))</f>
        <v/>
      </c>
      <c r="AM282" t="s">
        <v>2866</v>
      </c>
      <c r="AN282" s="56" t="str">
        <f>IF($Z$2="","",IF(AF282="","",G282))</f>
        <v/>
      </c>
      <c r="AO282" t="s">
        <v>2867</v>
      </c>
      <c r="AP282" s="58" t="str">
        <f>IF($Z$2="","",IF(AF282="","",I282))</f>
        <v/>
      </c>
      <c r="AQ282" t="s">
        <v>2868</v>
      </c>
      <c r="AR282" s="56" t="str">
        <f>IF($Z$2="","",IF(AF282="","",M282))</f>
        <v/>
      </c>
    </row>
    <row r="283" spans="1:44">
      <c r="B283" t="str">
        <f>_xlfn.CONCAT("Source 3: ", Source_4)</f>
        <v>Source 3: WHEDA Subordinate Loan 3</v>
      </c>
      <c r="C283" t="str">
        <f>Source_4</f>
        <v>WHEDA Subordinate Loan 3</v>
      </c>
      <c r="D283" t="s">
        <v>2879</v>
      </c>
      <c r="E283" s="52" t="s">
        <v>2852</v>
      </c>
      <c r="F283" t="s">
        <v>2880</v>
      </c>
      <c r="G283" s="56" t="str">
        <f>IF(Amount_4&gt;0,Amount_4,"")</f>
        <v/>
      </c>
      <c r="H283" t="s">
        <v>2881</v>
      </c>
      <c r="I283" s="58" t="str">
        <f>IF(Amount_4&gt;0,Rate_4,"")</f>
        <v/>
      </c>
      <c r="J283" t="s">
        <v>2882</v>
      </c>
      <c r="K283" t="str">
        <f>IF(Amount_4&gt;0,Term_4,"")</f>
        <v/>
      </c>
      <c r="L283" t="s">
        <v>2883</v>
      </c>
      <c r="M283" s="56" t="str">
        <f>IF(Amount_4&gt;0,Annual_DSC_4,"")</f>
        <v/>
      </c>
      <c r="S283" s="56"/>
      <c r="T283" s="56"/>
      <c r="U283" s="56"/>
      <c r="V283" s="56"/>
      <c r="W283" s="56"/>
      <c r="X283" s="181"/>
      <c r="Y283" t="s">
        <v>2859</v>
      </c>
      <c r="Z283" s="50" t="str" cm="1">
        <f t="array" ref="Z283">IF($Z$2="","",IF(AB283="","",Internal))</f>
        <v/>
      </c>
      <c r="AA283" t="s">
        <v>2860</v>
      </c>
      <c r="AB283" t="str">
        <f t="shared" si="53"/>
        <v/>
      </c>
      <c r="AC283" t="s">
        <v>2861</v>
      </c>
      <c r="AD283" t="str">
        <f t="shared" si="54"/>
        <v/>
      </c>
      <c r="AE283" t="s">
        <v>2862</v>
      </c>
      <c r="AF283" t="str">
        <f t="shared" si="55"/>
        <v/>
      </c>
      <c r="AG283" t="s">
        <v>2863</v>
      </c>
      <c r="AH283" s="52" t="str">
        <f t="shared" si="56"/>
        <v/>
      </c>
      <c r="AI283" t="s">
        <v>2864</v>
      </c>
      <c r="AJ283" s="52" t="str">
        <f t="shared" si="57"/>
        <v/>
      </c>
      <c r="AK283" t="s">
        <v>2865</v>
      </c>
      <c r="AL283" t="str">
        <f t="shared" si="58"/>
        <v/>
      </c>
      <c r="AM283" t="s">
        <v>2866</v>
      </c>
      <c r="AN283" s="56" t="str">
        <f t="shared" si="59"/>
        <v/>
      </c>
      <c r="AO283" t="s">
        <v>2867</v>
      </c>
      <c r="AP283" s="58" t="str">
        <f t="shared" si="60"/>
        <v/>
      </c>
      <c r="AQ283" t="s">
        <v>2868</v>
      </c>
      <c r="AR283" s="56" t="str">
        <f t="shared" si="61"/>
        <v/>
      </c>
    </row>
    <row r="284" spans="1:44">
      <c r="B284" t="str">
        <f>_xlfn.CONCAT("Source 5: ", Source_5)</f>
        <v>Source 5: WHEDA TIF Loan</v>
      </c>
      <c r="C284" t="str">
        <f>Source_5</f>
        <v>WHEDA TIF Loan</v>
      </c>
      <c r="D284" t="s">
        <v>2884</v>
      </c>
      <c r="E284" s="52" t="s">
        <v>2852</v>
      </c>
      <c r="F284" t="s">
        <v>2885</v>
      </c>
      <c r="G284" s="56" t="str">
        <f>IF(Amount_5&gt;0,Amount_5,"")</f>
        <v/>
      </c>
      <c r="H284" t="s">
        <v>2886</v>
      </c>
      <c r="I284" s="58" t="str">
        <f>IF(Amount_5&gt;0,Rate_5,"")</f>
        <v/>
      </c>
      <c r="J284" t="s">
        <v>2887</v>
      </c>
      <c r="K284" t="str">
        <f>IF(Amount_5&gt;0,Term_5,"")</f>
        <v/>
      </c>
      <c r="L284" t="s">
        <v>2888</v>
      </c>
      <c r="M284" s="56" t="str">
        <f>IF(Amount_5&gt;0,Annual_DSC_5,"")</f>
        <v/>
      </c>
      <c r="S284" s="56"/>
      <c r="T284" s="56"/>
      <c r="U284" s="56"/>
      <c r="V284" s="56"/>
      <c r="W284" s="56"/>
      <c r="X284" s="181"/>
      <c r="Y284" t="s">
        <v>2859</v>
      </c>
      <c r="Z284" s="50" t="str" cm="1">
        <f t="array" ref="Z284">IF($Z$2="","",IF(AB284="","",Internal))</f>
        <v/>
      </c>
      <c r="AA284" t="s">
        <v>2860</v>
      </c>
      <c r="AB284" t="str">
        <f t="shared" si="53"/>
        <v/>
      </c>
      <c r="AC284" t="s">
        <v>2861</v>
      </c>
      <c r="AD284" t="str">
        <f t="shared" si="54"/>
        <v/>
      </c>
      <c r="AE284" t="s">
        <v>2862</v>
      </c>
      <c r="AF284" t="str">
        <f t="shared" si="55"/>
        <v/>
      </c>
      <c r="AG284" t="s">
        <v>2863</v>
      </c>
      <c r="AH284" s="52" t="str">
        <f t="shared" si="56"/>
        <v/>
      </c>
      <c r="AI284" t="s">
        <v>2864</v>
      </c>
      <c r="AJ284" s="52" t="str">
        <f t="shared" si="57"/>
        <v/>
      </c>
      <c r="AK284" t="s">
        <v>2865</v>
      </c>
      <c r="AL284" t="str">
        <f t="shared" si="58"/>
        <v/>
      </c>
      <c r="AM284" t="s">
        <v>2866</v>
      </c>
      <c r="AN284" s="56" t="str">
        <f t="shared" si="59"/>
        <v/>
      </c>
      <c r="AO284" t="s">
        <v>2867</v>
      </c>
      <c r="AP284" s="58" t="str">
        <f t="shared" si="60"/>
        <v/>
      </c>
      <c r="AQ284" t="s">
        <v>2868</v>
      </c>
      <c r="AR284" s="56" t="str">
        <f t="shared" si="61"/>
        <v/>
      </c>
    </row>
    <row r="285" spans="1:44">
      <c r="B285" t="str">
        <f>_xlfn.CONCAT("Source 6: ", Source_6)</f>
        <v>Source 6: AHP Loan</v>
      </c>
      <c r="C285" t="str">
        <f>Source_6</f>
        <v>AHP Loan</v>
      </c>
      <c r="D285" t="s">
        <v>2889</v>
      </c>
      <c r="E285" s="52" t="s">
        <v>2852</v>
      </c>
      <c r="F285" t="s">
        <v>2890</v>
      </c>
      <c r="G285" s="56" t="str">
        <f>IF(Amount_6&gt;0,Amount_6,"")</f>
        <v/>
      </c>
      <c r="H285" t="s">
        <v>2891</v>
      </c>
      <c r="I285" s="58" t="str">
        <f>IF(Amount_6&gt;0,Rate_6,"")</f>
        <v/>
      </c>
      <c r="J285" t="s">
        <v>2892</v>
      </c>
      <c r="K285" t="str">
        <f>IF(Amount_6&gt;0,Term_6,"")</f>
        <v/>
      </c>
      <c r="L285" t="s">
        <v>2893</v>
      </c>
      <c r="M285" s="56" t="str">
        <f>IF(Amount_6&gt;0,Annual_DSC_6,"")</f>
        <v/>
      </c>
      <c r="S285" s="56"/>
      <c r="T285" s="56"/>
      <c r="U285" s="56"/>
      <c r="V285" s="56"/>
      <c r="W285" s="56"/>
      <c r="X285" s="181"/>
      <c r="Y285" t="s">
        <v>2859</v>
      </c>
      <c r="Z285" s="50" t="s">
        <v>2894</v>
      </c>
      <c r="AE285" t="s">
        <v>2862</v>
      </c>
      <c r="AF285" t="str">
        <f t="shared" si="55"/>
        <v/>
      </c>
      <c r="AG285" t="s">
        <v>2863</v>
      </c>
      <c r="AH285" s="52" t="str">
        <f t="shared" si="56"/>
        <v/>
      </c>
      <c r="AI285" t="s">
        <v>2864</v>
      </c>
      <c r="AJ285" s="52" t="str">
        <f t="shared" si="57"/>
        <v/>
      </c>
      <c r="AK285" t="s">
        <v>2865</v>
      </c>
      <c r="AL285" t="str">
        <f>K285</f>
        <v/>
      </c>
      <c r="AM285" t="s">
        <v>2866</v>
      </c>
      <c r="AN285" t="str">
        <f t="shared" ref="AN285:AN289" si="62">G285</f>
        <v/>
      </c>
      <c r="AO285" t="s">
        <v>2867</v>
      </c>
      <c r="AP285" t="str">
        <f t="shared" ref="AP285:AP289" si="63">I285</f>
        <v/>
      </c>
      <c r="AQ285" t="s">
        <v>2868</v>
      </c>
      <c r="AR285" t="str">
        <f t="shared" ref="AR285:AR289" si="64">M285</f>
        <v/>
      </c>
    </row>
    <row r="286" spans="1:44">
      <c r="B286" t="str">
        <f>_xlfn.CONCAT("Source 7: ", Source_7)</f>
        <v>Source 7: HOME Loan</v>
      </c>
      <c r="C286" t="str">
        <f>Source_7</f>
        <v>HOME Loan</v>
      </c>
      <c r="D286" t="s">
        <v>2895</v>
      </c>
      <c r="E286" s="52" t="s">
        <v>2852</v>
      </c>
      <c r="F286" t="s">
        <v>2896</v>
      </c>
      <c r="G286" s="56" t="str">
        <f>IF(Amount_7&gt;0,Amount_7,"")</f>
        <v/>
      </c>
      <c r="H286" t="s">
        <v>2897</v>
      </c>
      <c r="I286" s="58" t="str">
        <f>IF(Amount_7&gt;0,Rate_7,"")</f>
        <v/>
      </c>
      <c r="J286" t="s">
        <v>2898</v>
      </c>
      <c r="K286" t="str">
        <f>IF(Amount_7&gt;0,Term_7,"")</f>
        <v/>
      </c>
      <c r="L286" t="s">
        <v>2899</v>
      </c>
      <c r="M286" s="56" t="str">
        <f>IF(Amount_7&gt;0,Annual_DSC_7,"")</f>
        <v/>
      </c>
      <c r="S286" s="56"/>
      <c r="T286" s="56"/>
      <c r="U286" s="56"/>
      <c r="V286" s="56"/>
      <c r="W286" s="56"/>
      <c r="X286" s="181"/>
      <c r="Y286" t="s">
        <v>2859</v>
      </c>
      <c r="Z286" s="50" t="s">
        <v>2894</v>
      </c>
      <c r="AE286" t="s">
        <v>2862</v>
      </c>
      <c r="AF286" t="str">
        <f t="shared" si="55"/>
        <v/>
      </c>
      <c r="AG286" t="s">
        <v>2863</v>
      </c>
      <c r="AH286" s="52" t="str">
        <f t="shared" si="56"/>
        <v/>
      </c>
      <c r="AI286" t="s">
        <v>2864</v>
      </c>
      <c r="AJ286" s="52" t="str">
        <f t="shared" si="57"/>
        <v/>
      </c>
      <c r="AK286" t="s">
        <v>2865</v>
      </c>
      <c r="AL286" t="str">
        <f t="shared" ref="AL286:AL289" si="65">K286</f>
        <v/>
      </c>
      <c r="AM286" t="s">
        <v>2866</v>
      </c>
      <c r="AN286" t="str">
        <f t="shared" si="62"/>
        <v/>
      </c>
      <c r="AO286" t="s">
        <v>2867</v>
      </c>
      <c r="AP286" t="str">
        <f t="shared" si="63"/>
        <v/>
      </c>
      <c r="AQ286" t="s">
        <v>2868</v>
      </c>
      <c r="AR286" t="str">
        <f t="shared" si="64"/>
        <v/>
      </c>
    </row>
    <row r="287" spans="1:44">
      <c r="B287" t="str">
        <f>_xlfn.CONCAT("Source 8: ", Source_8)</f>
        <v>Source 8: Other</v>
      </c>
      <c r="C287" t="str">
        <f>Source_8</f>
        <v>Other</v>
      </c>
      <c r="D287" t="s">
        <v>2900</v>
      </c>
      <c r="E287" s="52" t="s">
        <v>2852</v>
      </c>
      <c r="F287" t="s">
        <v>2901</v>
      </c>
      <c r="G287" s="56" t="str">
        <f>IF(Amount_8&gt;0,Amount_8,"")</f>
        <v/>
      </c>
      <c r="H287" t="s">
        <v>2902</v>
      </c>
      <c r="I287" s="58" t="str">
        <f>IF(Amount_8&gt;0,Rate_8,"")</f>
        <v/>
      </c>
      <c r="J287" t="s">
        <v>2903</v>
      </c>
      <c r="K287" t="str">
        <f>IF(Amount_8&gt;0,Term_8,"")</f>
        <v/>
      </c>
      <c r="L287" t="s">
        <v>2904</v>
      </c>
      <c r="M287" s="56" t="str">
        <f>IF(Amount_8&gt;0,Annual_DSC_8,"")</f>
        <v/>
      </c>
      <c r="S287" s="56"/>
      <c r="T287" s="56"/>
      <c r="U287" s="56"/>
      <c r="V287" s="56"/>
      <c r="W287" s="56"/>
      <c r="X287" s="181"/>
      <c r="Y287" t="s">
        <v>2859</v>
      </c>
      <c r="Z287" s="50" t="s">
        <v>2894</v>
      </c>
      <c r="AE287" t="s">
        <v>2862</v>
      </c>
      <c r="AF287" t="str">
        <f t="shared" si="55"/>
        <v/>
      </c>
      <c r="AG287" t="s">
        <v>2863</v>
      </c>
      <c r="AH287" s="52" t="str">
        <f t="shared" si="56"/>
        <v/>
      </c>
      <c r="AI287" t="s">
        <v>2864</v>
      </c>
      <c r="AJ287" s="52" t="str">
        <f t="shared" si="57"/>
        <v/>
      </c>
      <c r="AK287" t="s">
        <v>2865</v>
      </c>
      <c r="AL287" t="str">
        <f t="shared" si="65"/>
        <v/>
      </c>
      <c r="AM287" t="s">
        <v>2866</v>
      </c>
      <c r="AN287" t="str">
        <f t="shared" si="62"/>
        <v/>
      </c>
      <c r="AO287" t="s">
        <v>2867</v>
      </c>
      <c r="AP287" t="str">
        <f t="shared" si="63"/>
        <v/>
      </c>
      <c r="AQ287" t="s">
        <v>2868</v>
      </c>
      <c r="AR287" t="str">
        <f t="shared" si="64"/>
        <v/>
      </c>
    </row>
    <row r="288" spans="1:44">
      <c r="B288" t="str">
        <f>_xlfn.CONCAT("Source 9: ", Source_9)</f>
        <v>Source 9: Other</v>
      </c>
      <c r="C288" t="str">
        <f>Source_9</f>
        <v>Other</v>
      </c>
      <c r="D288" t="s">
        <v>2905</v>
      </c>
      <c r="E288" s="52" t="s">
        <v>2852</v>
      </c>
      <c r="F288" t="s">
        <v>2906</v>
      </c>
      <c r="G288" s="56" t="str">
        <f>IF(Amount_9&gt;0,Amount_9,"")</f>
        <v/>
      </c>
      <c r="H288" t="s">
        <v>2907</v>
      </c>
      <c r="I288" s="58" t="str">
        <f>IF(Amount_9&gt;0,Rate_9,"")</f>
        <v/>
      </c>
      <c r="J288" t="s">
        <v>2908</v>
      </c>
      <c r="K288" t="str">
        <f>IF(Amount_9&gt;0,Term_9,"")</f>
        <v/>
      </c>
      <c r="L288" t="s">
        <v>2909</v>
      </c>
      <c r="M288" s="56" t="str">
        <f>IF(Amount_9&gt;0,Annual_DSC_9,"")</f>
        <v/>
      </c>
      <c r="S288" s="56"/>
      <c r="T288" s="56"/>
      <c r="U288" s="56"/>
      <c r="V288" s="56"/>
      <c r="W288" s="56"/>
      <c r="X288" s="181"/>
      <c r="Y288" t="s">
        <v>2859</v>
      </c>
      <c r="Z288" s="50" t="s">
        <v>2894</v>
      </c>
      <c r="AE288" t="s">
        <v>2862</v>
      </c>
      <c r="AF288" t="str">
        <f t="shared" si="55"/>
        <v/>
      </c>
      <c r="AG288" t="s">
        <v>2863</v>
      </c>
      <c r="AH288" s="52" t="str">
        <f t="shared" si="56"/>
        <v/>
      </c>
      <c r="AI288" t="s">
        <v>2864</v>
      </c>
      <c r="AJ288" s="52" t="str">
        <f t="shared" si="57"/>
        <v/>
      </c>
      <c r="AK288" t="s">
        <v>2865</v>
      </c>
      <c r="AL288" t="str">
        <f t="shared" si="65"/>
        <v/>
      </c>
      <c r="AM288" t="s">
        <v>2866</v>
      </c>
      <c r="AN288" t="str">
        <f t="shared" si="62"/>
        <v/>
      </c>
      <c r="AO288" t="s">
        <v>2867</v>
      </c>
      <c r="AP288" t="str">
        <f t="shared" si="63"/>
        <v/>
      </c>
      <c r="AQ288" t="s">
        <v>2868</v>
      </c>
      <c r="AR288" t="str">
        <f t="shared" si="64"/>
        <v/>
      </c>
    </row>
    <row r="289" spans="1:44">
      <c r="B289" t="str">
        <f>_xlfn.CONCAT("Source 10: ", Source_10)</f>
        <v>Source 10: Other</v>
      </c>
      <c r="C289" t="str">
        <f>Source_10</f>
        <v>Other</v>
      </c>
      <c r="D289" t="s">
        <v>2910</v>
      </c>
      <c r="E289" s="52" t="s">
        <v>2852</v>
      </c>
      <c r="F289" t="s">
        <v>2911</v>
      </c>
      <c r="G289" s="56" t="str">
        <f>IF(Amount_10&gt;0,Amount_10,"")</f>
        <v/>
      </c>
      <c r="H289" t="s">
        <v>2912</v>
      </c>
      <c r="I289" s="58" t="str">
        <f>IF(Amount_10&gt;0,Rate_10,"")</f>
        <v/>
      </c>
      <c r="J289" t="s">
        <v>2913</v>
      </c>
      <c r="K289" t="str">
        <f>IF(Amount_10&gt;0,Term_10,"")</f>
        <v/>
      </c>
      <c r="L289" t="s">
        <v>2914</v>
      </c>
      <c r="M289" s="56" t="str">
        <f>IF(Amount_10&gt;0,Annual_DSC_10,"")</f>
        <v/>
      </c>
      <c r="S289" s="56"/>
      <c r="T289" s="56"/>
      <c r="U289" s="56"/>
      <c r="V289" s="56"/>
      <c r="W289" s="56"/>
      <c r="X289" s="181"/>
      <c r="Y289" t="s">
        <v>2859</v>
      </c>
      <c r="Z289" s="50" t="s">
        <v>2894</v>
      </c>
      <c r="AE289" t="s">
        <v>2862</v>
      </c>
      <c r="AF289" t="str">
        <f t="shared" si="55"/>
        <v/>
      </c>
      <c r="AG289" t="s">
        <v>2863</v>
      </c>
      <c r="AH289" s="52" t="str">
        <f t="shared" si="56"/>
        <v/>
      </c>
      <c r="AI289" t="s">
        <v>2864</v>
      </c>
      <c r="AJ289" s="52" t="str">
        <f t="shared" si="57"/>
        <v/>
      </c>
      <c r="AK289" t="s">
        <v>2865</v>
      </c>
      <c r="AL289" t="str">
        <f t="shared" si="65"/>
        <v/>
      </c>
      <c r="AM289" t="s">
        <v>2866</v>
      </c>
      <c r="AN289" t="str">
        <f t="shared" si="62"/>
        <v/>
      </c>
      <c r="AO289" t="s">
        <v>2867</v>
      </c>
      <c r="AP289" t="str">
        <f t="shared" si="63"/>
        <v/>
      </c>
      <c r="AQ289" t="s">
        <v>2868</v>
      </c>
      <c r="AR289" t="str">
        <f t="shared" si="64"/>
        <v/>
      </c>
    </row>
    <row r="290" spans="1:44">
      <c r="A290" s="761" t="s">
        <v>2915</v>
      </c>
      <c r="B290" t="str">
        <f>_xlfn.CONCAT("Source 11: ", Source_11)</f>
        <v>Source 11: Other</v>
      </c>
      <c r="C290" t="str">
        <f>Source_11</f>
        <v>Other</v>
      </c>
      <c r="D290" t="s">
        <v>2916</v>
      </c>
      <c r="E290" s="52" t="s">
        <v>2852</v>
      </c>
      <c r="F290" t="s">
        <v>2917</v>
      </c>
      <c r="G290" s="56" t="str">
        <f>IF(Amount_11&gt;0,Amount_11,"")</f>
        <v/>
      </c>
      <c r="H290" t="s">
        <v>2918</v>
      </c>
      <c r="I290" s="58" t="str">
        <f>IF(Amount_11&gt;0,Rate_11,"")</f>
        <v/>
      </c>
      <c r="J290" t="s">
        <v>2919</v>
      </c>
      <c r="K290" t="str">
        <f>IF(Amount_11&gt;0,Term_11,"")</f>
        <v/>
      </c>
      <c r="L290" t="s">
        <v>2920</v>
      </c>
      <c r="M290" s="56" t="str" cm="1">
        <f t="array" ref="M290">IF(Amount_11&gt;0,Annual_DSC_11,"")</f>
        <v/>
      </c>
      <c r="S290" s="56"/>
      <c r="T290" s="56"/>
      <c r="U290" s="56"/>
      <c r="V290" s="56"/>
      <c r="W290" s="56"/>
      <c r="X290" s="181"/>
      <c r="AH290" s="52"/>
      <c r="AJ290" s="52"/>
    </row>
    <row r="291" spans="1:44">
      <c r="A291" s="761" t="s">
        <v>2915</v>
      </c>
      <c r="B291" t="str">
        <f>_xlfn.CONCAT("Source 12: ", Source_12)</f>
        <v>Source 12: Other</v>
      </c>
      <c r="C291" t="str">
        <f>Source_12</f>
        <v>Other</v>
      </c>
      <c r="D291" t="s">
        <v>2921</v>
      </c>
      <c r="E291" s="52" t="s">
        <v>2852</v>
      </c>
      <c r="F291" t="s">
        <v>2922</v>
      </c>
      <c r="G291" s="56" t="str">
        <f>IF(Amount_12&gt;0,Amount_12,"")</f>
        <v/>
      </c>
      <c r="H291" t="s">
        <v>2923</v>
      </c>
      <c r="I291" s="58" t="str">
        <f>IF(Amount_12&gt;0,Rate_12,"")</f>
        <v/>
      </c>
      <c r="J291" t="s">
        <v>2924</v>
      </c>
      <c r="K291" t="str">
        <f>IF(Amount_12&gt;0,Term_12,"")</f>
        <v/>
      </c>
      <c r="L291" t="s">
        <v>2925</v>
      </c>
      <c r="M291" s="56" t="str" cm="1">
        <f t="array" ref="M291">IF(Amount_12&gt;0,Annual_DSC_12,"")</f>
        <v/>
      </c>
      <c r="S291" s="56"/>
      <c r="T291" s="56"/>
      <c r="U291" s="56"/>
      <c r="V291" s="56"/>
      <c r="W291" s="56"/>
      <c r="X291" s="181"/>
      <c r="AH291" s="52"/>
      <c r="AJ291" s="52"/>
    </row>
    <row r="292" spans="1:44">
      <c r="A292" s="761" t="s">
        <v>2915</v>
      </c>
      <c r="B292" t="str">
        <f>_xlfn.CONCAT("Source 13: ", Source_13)</f>
        <v>Source 13: Other</v>
      </c>
      <c r="C292" t="str">
        <f>Source_13</f>
        <v>Other</v>
      </c>
      <c r="D292" t="s">
        <v>2926</v>
      </c>
      <c r="E292" s="52" t="s">
        <v>2852</v>
      </c>
      <c r="F292" t="s">
        <v>2927</v>
      </c>
      <c r="G292" s="56" t="str">
        <f>IF(Amount_13&gt;0,Amount_13,"")</f>
        <v/>
      </c>
      <c r="H292" t="s">
        <v>2928</v>
      </c>
      <c r="I292" s="58" t="str">
        <f>IF(Amount_13&gt;0,Rate_13,"")</f>
        <v/>
      </c>
      <c r="J292" t="s">
        <v>2929</v>
      </c>
      <c r="K292" t="str">
        <f>IF(Amount_13&gt;0,Term_13,"")</f>
        <v/>
      </c>
      <c r="L292" t="s">
        <v>2930</v>
      </c>
      <c r="M292" s="56" t="str" cm="1">
        <f t="array" ref="M292">IF(Amount_13&gt;0,Annual_DSC_13,"")</f>
        <v/>
      </c>
      <c r="S292" s="56"/>
      <c r="T292" s="56"/>
      <c r="U292" s="56"/>
      <c r="V292" s="56"/>
      <c r="W292" s="56"/>
      <c r="X292" s="181"/>
      <c r="AH292" s="52"/>
      <c r="AJ292" s="52"/>
    </row>
    <row r="293" spans="1:44">
      <c r="X293" s="181"/>
    </row>
    <row r="294" spans="1:44">
      <c r="B294" s="41" t="s">
        <v>2931</v>
      </c>
      <c r="X294" s="181"/>
      <c r="Y294" t="s">
        <v>2932</v>
      </c>
    </row>
    <row r="295" spans="1:44">
      <c r="B295" t="str">
        <f>_xlfn.CONCAT("Grant 1: ", Grant_1)</f>
        <v>Grant 1: HOME Grant</v>
      </c>
      <c r="C295" t="str">
        <f>Grant_1</f>
        <v>HOME Grant</v>
      </c>
      <c r="D295" t="s">
        <v>2854</v>
      </c>
      <c r="E295" s="52" t="s">
        <v>421</v>
      </c>
      <c r="F295" t="s">
        <v>2933</v>
      </c>
      <c r="G295" t="str">
        <f>IF(Grant_Amount_1&gt;0,Grant_Amount_1,"")</f>
        <v/>
      </c>
      <c r="X295" s="181"/>
      <c r="Y295" t="s">
        <v>2862</v>
      </c>
      <c r="Z295" s="50" t="str">
        <f>IF($Z$2="","","Funding Source To Be Determined")</f>
        <v/>
      </c>
      <c r="AA295" t="s">
        <v>2863</v>
      </c>
      <c r="AB295" s="52" t="str">
        <f>IF($Z$2="","",IF(Z295="","","NONE"))</f>
        <v/>
      </c>
      <c r="AC295" t="s">
        <v>2864</v>
      </c>
      <c r="AD295" s="52" t="str">
        <f>IF($Z$2="","",IF(Z295="","","Construction Only"))</f>
        <v/>
      </c>
      <c r="AE295" t="s">
        <v>2865</v>
      </c>
      <c r="AF295" t="str">
        <f>IF($Z$2 = "","",IF(Z295="","",K308))</f>
        <v/>
      </c>
      <c r="AG295" t="s">
        <v>2866</v>
      </c>
      <c r="AH295" t="str">
        <f>IF($Z$2="","",IF(Z295="","",G308))</f>
        <v/>
      </c>
      <c r="AI295" t="s">
        <v>2867</v>
      </c>
      <c r="AJ295" t="str">
        <f>IF($Z$2="","",IF(Z295="","",I308))</f>
        <v/>
      </c>
      <c r="AK295" t="s">
        <v>2868</v>
      </c>
      <c r="AL295" t="str">
        <f>IF($Z$2="","",IF(Z295="","",ROUNDDOWN(-PMT(AJ295/12,AF295*12,AH295)*12,0)))</f>
        <v/>
      </c>
    </row>
    <row r="296" spans="1:44">
      <c r="B296" t="str">
        <f>_xlfn.CONCAT("Grant 2: ", Grant_2)</f>
        <v>Grant 2: CDBG Grant</v>
      </c>
      <c r="C296" t="str">
        <f>Grant_2</f>
        <v>CDBG Grant</v>
      </c>
      <c r="D296" t="s">
        <v>2869</v>
      </c>
      <c r="E296" s="52" t="s">
        <v>421</v>
      </c>
      <c r="F296" t="s">
        <v>2934</v>
      </c>
      <c r="G296" t="str">
        <f>IF(Grant_Amount_2&gt;0,Grant_Amount_2,"")</f>
        <v/>
      </c>
      <c r="X296" s="181"/>
      <c r="Y296" t="s">
        <v>2862</v>
      </c>
      <c r="Z296" s="50" t="str">
        <f>IF($Z$2="","","Funding Source To Be Determined")</f>
        <v/>
      </c>
      <c r="AA296" t="s">
        <v>2863</v>
      </c>
      <c r="AB296" s="52" t="str">
        <f t="shared" ref="AB296:AB299" si="66">IF($Z$2="","",IF(Z296="","","NONE"))</f>
        <v/>
      </c>
      <c r="AC296" t="s">
        <v>2864</v>
      </c>
      <c r="AD296" s="52" t="str">
        <f t="shared" ref="AD296:AD299" si="67">IF($Z$2="","",IF(Z296="","","Construction Only"))</f>
        <v/>
      </c>
      <c r="AE296" t="s">
        <v>2865</v>
      </c>
      <c r="AF296" t="str">
        <f>IF($Z$2 = "","",IF(Z296="","",K309))</f>
        <v/>
      </c>
      <c r="AG296" t="s">
        <v>2866</v>
      </c>
      <c r="AH296" t="str">
        <f>IF($Z$2="","",IF(Z296="","",G309))</f>
        <v/>
      </c>
      <c r="AI296" t="s">
        <v>2867</v>
      </c>
      <c r="AJ296" t="str">
        <f>IF($Z$2="","",IF(Z296="","",I309))</f>
        <v/>
      </c>
      <c r="AK296" t="s">
        <v>2868</v>
      </c>
      <c r="AL296" t="str">
        <f t="shared" ref="AL296:AL299" si="68">IF($Z$2="","",IF(Z296="","",ROUNDDOWN(-PMT(AJ296/12,AF296*12,AH296)*12,0)))</f>
        <v/>
      </c>
    </row>
    <row r="297" spans="1:44">
      <c r="B297" t="str">
        <f>_xlfn.CONCAT("Grant 3: ", Grant_3)</f>
        <v>Grant 3: Other</v>
      </c>
      <c r="C297" t="str">
        <f>Grant_3</f>
        <v>Other</v>
      </c>
      <c r="D297" t="s">
        <v>2874</v>
      </c>
      <c r="E297" s="52" t="s">
        <v>421</v>
      </c>
      <c r="F297" t="s">
        <v>2935</v>
      </c>
      <c r="G297" t="str">
        <f>IF(Grant_Amount_3&gt;0,Grant_Amount_3,"")</f>
        <v/>
      </c>
      <c r="X297" s="181"/>
      <c r="Y297" t="s">
        <v>2862</v>
      </c>
      <c r="Z297" s="50" t="str">
        <f>IF($Z$2="","","Funding Source To Be Determined")</f>
        <v/>
      </c>
      <c r="AA297" t="s">
        <v>2863</v>
      </c>
      <c r="AB297" s="52" t="str">
        <f t="shared" si="66"/>
        <v/>
      </c>
      <c r="AC297" t="s">
        <v>2864</v>
      </c>
      <c r="AD297" s="52" t="str">
        <f t="shared" si="67"/>
        <v/>
      </c>
      <c r="AE297" t="s">
        <v>2865</v>
      </c>
      <c r="AF297" t="str">
        <f>IF($Z$2 = "","",IF(Z297="","",K310))</f>
        <v/>
      </c>
      <c r="AG297" t="s">
        <v>2866</v>
      </c>
      <c r="AH297" t="str">
        <f>IF($Z$2="","",IF(Z297="","",G310))</f>
        <v/>
      </c>
      <c r="AI297" t="s">
        <v>2867</v>
      </c>
      <c r="AJ297" t="str">
        <f>IF($Z$2="","",IF(Z297="","",I310))</f>
        <v/>
      </c>
      <c r="AK297" t="s">
        <v>2868</v>
      </c>
      <c r="AL297" t="str">
        <f t="shared" si="68"/>
        <v/>
      </c>
    </row>
    <row r="298" spans="1:44">
      <c r="B298" t="str">
        <f>_xlfn.CONCAT("Grant 4: ", Grant_4)</f>
        <v>Grant 4: Other</v>
      </c>
      <c r="C298" t="str">
        <f>Grant_4</f>
        <v>Other</v>
      </c>
      <c r="D298" t="s">
        <v>2879</v>
      </c>
      <c r="E298" s="52" t="s">
        <v>421</v>
      </c>
      <c r="F298" t="s">
        <v>2936</v>
      </c>
      <c r="G298" t="str">
        <f>IF(Grant_Amount_4&gt;0,Grant_Amount_4,"")</f>
        <v/>
      </c>
      <c r="X298" s="181"/>
      <c r="Y298" t="s">
        <v>2862</v>
      </c>
      <c r="Z298" s="50" t="str">
        <f>IF($Z$2="","","Funding Source To Be Determined")</f>
        <v/>
      </c>
      <c r="AA298" t="s">
        <v>2863</v>
      </c>
      <c r="AB298" s="52" t="str">
        <f t="shared" si="66"/>
        <v/>
      </c>
      <c r="AC298" t="s">
        <v>2864</v>
      </c>
      <c r="AD298" s="52" t="str">
        <f t="shared" si="67"/>
        <v/>
      </c>
      <c r="AE298" t="s">
        <v>2865</v>
      </c>
      <c r="AF298" t="str">
        <f>IF($Z$2 = "","",IF(Z298="","",K311))</f>
        <v/>
      </c>
      <c r="AG298" t="s">
        <v>2866</v>
      </c>
      <c r="AH298" t="str">
        <f>IF($Z$2="","",IF(Z298="","",G311))</f>
        <v/>
      </c>
      <c r="AI298" t="s">
        <v>2867</v>
      </c>
      <c r="AJ298" t="str">
        <f>IF($Z$2="","",IF(Z298="","",I311))</f>
        <v/>
      </c>
      <c r="AK298" t="s">
        <v>2868</v>
      </c>
      <c r="AL298" t="str">
        <f t="shared" si="68"/>
        <v/>
      </c>
    </row>
    <row r="299" spans="1:44">
      <c r="B299" t="str">
        <f>_xlfn.CONCAT("Grant 5: ", Grant_5)</f>
        <v>Grant 5: Other</v>
      </c>
      <c r="C299" t="str">
        <f>Grant_5</f>
        <v>Other</v>
      </c>
      <c r="D299" t="s">
        <v>2884</v>
      </c>
      <c r="E299" s="52" t="s">
        <v>421</v>
      </c>
      <c r="F299" t="s">
        <v>2937</v>
      </c>
      <c r="G299" t="str">
        <f>IF(Grant_Amount_5&gt;0,Grant_Amount_5,"")</f>
        <v/>
      </c>
      <c r="X299" s="181"/>
      <c r="Y299" t="s">
        <v>2862</v>
      </c>
      <c r="Z299" s="50" t="str">
        <f>IF($Z$2="","","Funding Source To Be Determined")</f>
        <v/>
      </c>
      <c r="AA299" t="s">
        <v>2863</v>
      </c>
      <c r="AB299" s="52" t="str">
        <f t="shared" si="66"/>
        <v/>
      </c>
      <c r="AC299" t="s">
        <v>2864</v>
      </c>
      <c r="AD299" s="52" t="str">
        <f t="shared" si="67"/>
        <v/>
      </c>
      <c r="AE299" t="s">
        <v>2865</v>
      </c>
      <c r="AF299" t="str">
        <f>IF($Z$2 = "","",IF(Z299="","",K312))</f>
        <v/>
      </c>
      <c r="AG299" t="s">
        <v>2866</v>
      </c>
      <c r="AH299" t="str">
        <f>IF($Z$2="","",IF(Z299="","",G312))</f>
        <v/>
      </c>
      <c r="AI299" t="s">
        <v>2867</v>
      </c>
      <c r="AJ299" t="str">
        <f>IF($Z$2="","",IF(Z299="","",I312))</f>
        <v/>
      </c>
      <c r="AK299" t="s">
        <v>2868</v>
      </c>
      <c r="AL299" t="str">
        <f t="shared" si="68"/>
        <v/>
      </c>
    </row>
    <row r="300" spans="1:44">
      <c r="B300" t="str">
        <f>_xlfn.CONCAT("Grant 6: ", Grant_6)</f>
        <v>Grant 6: Other</v>
      </c>
      <c r="C300" t="str">
        <f>Grant_6</f>
        <v>Other</v>
      </c>
      <c r="D300" t="s">
        <v>2889</v>
      </c>
      <c r="E300" s="52" t="s">
        <v>421</v>
      </c>
      <c r="F300" t="s">
        <v>2938</v>
      </c>
      <c r="G300" t="str">
        <f>IF(Grant_Amount_6&gt;0,Grant_Amount_6,"")</f>
        <v/>
      </c>
      <c r="X300" s="181"/>
    </row>
    <row r="301" spans="1:44">
      <c r="B301" t="str">
        <f>_xlfn.CONCAT("Grant 7: ", Grant_7)</f>
        <v>Grant 7: Other</v>
      </c>
      <c r="C301" t="str">
        <f>Grant_7</f>
        <v>Other</v>
      </c>
      <c r="D301" t="s">
        <v>2895</v>
      </c>
      <c r="E301" s="52" t="s">
        <v>421</v>
      </c>
      <c r="F301" t="s">
        <v>2939</v>
      </c>
      <c r="G301" t="str">
        <f>IF(Grant_Amount_7&gt;0,Grant_Amount_7,"")</f>
        <v/>
      </c>
      <c r="X301" s="181"/>
    </row>
    <row r="302" spans="1:44">
      <c r="A302" s="761" t="s">
        <v>2915</v>
      </c>
      <c r="B302" t="str">
        <f>_xlfn.CONCAT("Grant 8: ", Grant_8)</f>
        <v>Grant 8: Other</v>
      </c>
      <c r="C302" t="str">
        <f>Grant_8</f>
        <v>Other</v>
      </c>
      <c r="D302" t="s">
        <v>2900</v>
      </c>
      <c r="E302" s="52" t="s">
        <v>421</v>
      </c>
      <c r="F302" t="s">
        <v>2940</v>
      </c>
      <c r="G302" t="str">
        <f>IF(Grant_Amount_8&gt;0,Grant_Amount_8,"")</f>
        <v/>
      </c>
      <c r="X302" s="181"/>
    </row>
    <row r="303" spans="1:44">
      <c r="A303" s="761" t="s">
        <v>2915</v>
      </c>
      <c r="B303" t="str">
        <f>_xlfn.CONCAT("Grant 9: ", Grant_9)</f>
        <v>Grant 9: Other</v>
      </c>
      <c r="C303" t="str">
        <f>Grant_9</f>
        <v>Other</v>
      </c>
      <c r="D303" t="s">
        <v>2905</v>
      </c>
      <c r="E303" s="52" t="s">
        <v>421</v>
      </c>
      <c r="F303" t="s">
        <v>2941</v>
      </c>
      <c r="G303" t="str">
        <f>IF(Grant_Amount_9&gt;0,Grant_Amount_9,"")</f>
        <v/>
      </c>
      <c r="X303" s="181"/>
    </row>
    <row r="304" spans="1:44">
      <c r="A304" s="761" t="s">
        <v>2915</v>
      </c>
      <c r="B304" t="str">
        <f>_xlfn.CONCAT("Grant 10: ", Grant_10)</f>
        <v>Grant 10: Other</v>
      </c>
      <c r="C304" t="str">
        <f>Grant_10</f>
        <v>Other</v>
      </c>
      <c r="D304" t="s">
        <v>2910</v>
      </c>
      <c r="E304" s="52" t="s">
        <v>421</v>
      </c>
      <c r="F304" t="s">
        <v>2942</v>
      </c>
      <c r="G304" t="str">
        <f>IF(Grant_Amount_10&gt;0,Grant_Amount_10,"")</f>
        <v/>
      </c>
      <c r="X304" s="181"/>
    </row>
    <row r="305" spans="1:31">
      <c r="A305" s="761" t="s">
        <v>2915</v>
      </c>
      <c r="B305" t="str">
        <f>_xlfn.CONCAT("Grant 11: ", Grant_11)</f>
        <v>Grant 11: Other</v>
      </c>
      <c r="C305" t="str">
        <f>Grant_11</f>
        <v>Other</v>
      </c>
      <c r="D305" t="s">
        <v>2916</v>
      </c>
      <c r="E305" s="52" t="s">
        <v>421</v>
      </c>
      <c r="F305" t="s">
        <v>2943</v>
      </c>
      <c r="G305" t="str">
        <f>IF(Grant_Amount_11&gt;0,Grant_Amount_11,"")</f>
        <v/>
      </c>
      <c r="X305" s="181"/>
    </row>
    <row r="306" spans="1:31">
      <c r="X306" s="181"/>
    </row>
    <row r="307" spans="1:31">
      <c r="B307" t="s">
        <v>2944</v>
      </c>
      <c r="X307" s="181"/>
    </row>
    <row r="308" spans="1:31">
      <c r="B308" t="str">
        <f>_xlfn.CONCAT("Source 1: ", Construction_Source_1)</f>
        <v>Source 1: Tax-Exempt Bonds - Permanent</v>
      </c>
      <c r="C308" t="str">
        <f>Construction_Source_1</f>
        <v>Tax-Exempt Bonds - Permanent</v>
      </c>
      <c r="D308" t="s">
        <v>2854</v>
      </c>
      <c r="E308" s="52" t="s">
        <v>2945</v>
      </c>
      <c r="F308" t="s">
        <v>2933</v>
      </c>
      <c r="G308" s="56" t="str">
        <f>IF(Construction_Amount_1&gt;0,Construction_Amount_1,"")</f>
        <v>$0</v>
      </c>
      <c r="H308" t="s">
        <v>2856</v>
      </c>
      <c r="I308">
        <f>IF(Construction_Amount_1&gt;0,Construction_Rate_1,"")</f>
        <v>0</v>
      </c>
      <c r="J308" t="s">
        <v>2857</v>
      </c>
      <c r="K308">
        <f>IF(Construction_Amount_1&gt;0,Construction_Term_1,"")</f>
        <v>0</v>
      </c>
      <c r="X308" s="181"/>
    </row>
    <row r="309" spans="1:31">
      <c r="B309" t="str">
        <f>_xlfn.CONCAT("Source 2: ", Construction_Source_2)</f>
        <v>Source 2: Tax-Exempt Bonds - Construction</v>
      </c>
      <c r="C309" t="str">
        <f>Construction_Source_2</f>
        <v>Tax-Exempt Bonds - Construction</v>
      </c>
      <c r="D309" t="s">
        <v>2869</v>
      </c>
      <c r="E309" s="52" t="s">
        <v>2945</v>
      </c>
      <c r="F309" t="s">
        <v>2934</v>
      </c>
      <c r="G309" s="56" t="str">
        <f>IF(Construction_Amount_2&gt;0,Construction_Amount_2,"")</f>
        <v/>
      </c>
      <c r="H309" t="s">
        <v>2871</v>
      </c>
      <c r="I309" t="str">
        <f>IF(Construction_Amount_2&gt;0,Construction_Rate_2,"")</f>
        <v/>
      </c>
      <c r="J309" t="s">
        <v>2872</v>
      </c>
      <c r="K309" t="str">
        <f>IF(Construction_Amount_2&gt;0,Construction_Term_2,"")</f>
        <v/>
      </c>
      <c r="X309" s="181"/>
    </row>
    <row r="310" spans="1:31">
      <c r="B310" t="str">
        <f>_xlfn.CONCAT("Source 3: ", Construction_Source_3)</f>
        <v>Source 3: Construction Loan 3</v>
      </c>
      <c r="C310" t="str">
        <f>Construction_Source_3</f>
        <v>Construction Loan 3</v>
      </c>
      <c r="D310" t="s">
        <v>2874</v>
      </c>
      <c r="E310" s="52" t="s">
        <v>2945</v>
      </c>
      <c r="F310" t="s">
        <v>2935</v>
      </c>
      <c r="G310" s="56" t="str">
        <f>IF(Construction_Amount_3&gt;0,Construction_Amount_3,"")</f>
        <v/>
      </c>
      <c r="H310" t="s">
        <v>2876</v>
      </c>
      <c r="I310" t="str">
        <f>IF(Construction_Amount_3&gt;0,Construction_Rate_3,"")</f>
        <v/>
      </c>
      <c r="J310" t="s">
        <v>2877</v>
      </c>
      <c r="K310" t="str">
        <f>IF(Construction_Amount_3&gt;0,Construction_Term_3,"")</f>
        <v/>
      </c>
      <c r="X310" s="181"/>
    </row>
    <row r="311" spans="1:31">
      <c r="B311" t="str">
        <f>_xlfn.CONCAT("Source 4: ", Construction_Source_4)</f>
        <v>Source 4: Construction Loan 4</v>
      </c>
      <c r="C311" t="str">
        <f>Construction_Source_4</f>
        <v>Construction Loan 4</v>
      </c>
      <c r="D311" t="s">
        <v>2879</v>
      </c>
      <c r="E311" s="52" t="s">
        <v>2945</v>
      </c>
      <c r="F311" t="s">
        <v>2936</v>
      </c>
      <c r="G311" s="56" t="str">
        <f>IF(Construction_Amount_4&gt;0,Construction_Amount_4,"")</f>
        <v/>
      </c>
      <c r="H311" t="s">
        <v>2881</v>
      </c>
      <c r="I311" t="str">
        <f>IF(Construction_Amount_4&gt;0,Construction_Rate_4,"")</f>
        <v/>
      </c>
      <c r="J311" t="s">
        <v>2882</v>
      </c>
      <c r="K311" t="str">
        <f>IF(Construction_Amount_4&gt;0,Construction_Term_4,"")</f>
        <v/>
      </c>
      <c r="X311" s="181"/>
    </row>
    <row r="312" spans="1:31">
      <c r="B312" t="str">
        <f>_xlfn.CONCAT("Source 5: ", Construction_Source_5)</f>
        <v>Source 5: Construction Loan 5</v>
      </c>
      <c r="C312" t="str">
        <f>Construction_Source_5</f>
        <v>Construction Loan 5</v>
      </c>
      <c r="D312" t="s">
        <v>2884</v>
      </c>
      <c r="E312" s="52" t="s">
        <v>2945</v>
      </c>
      <c r="F312" t="s">
        <v>2937</v>
      </c>
      <c r="G312" s="56" t="str">
        <f>IF(Construction_Amount_5&gt;0,Construction_Amount_5,"")</f>
        <v/>
      </c>
      <c r="H312" t="s">
        <v>2886</v>
      </c>
      <c r="I312" t="str">
        <f>IF(Construction_Amount_5&gt;0,Construction_Rate_5,"")</f>
        <v/>
      </c>
      <c r="J312" t="s">
        <v>2887</v>
      </c>
      <c r="K312" t="str">
        <f>IF(Construction_Amount_5&gt;0,Construction_Term_5,"")</f>
        <v/>
      </c>
      <c r="X312" s="181"/>
    </row>
    <row r="313" spans="1:31">
      <c r="B313" t="str">
        <f>_xlfn.CONCAT("Source 6: ", Construction_Source_6)</f>
        <v>Source 6: Federal Housing Tax Credit Equity</v>
      </c>
      <c r="C313" t="str">
        <f>Construction_Source_6</f>
        <v>Federal Housing Tax Credit Equity</v>
      </c>
      <c r="D313" t="s">
        <v>2889</v>
      </c>
      <c r="E313" s="52" t="s">
        <v>2945</v>
      </c>
      <c r="F313" t="s">
        <v>2938</v>
      </c>
      <c r="G313" s="56" t="str">
        <f>IF(Construction_Amount_6&gt;0,Construction_Amount_6,"")</f>
        <v/>
      </c>
      <c r="H313" t="s">
        <v>2891</v>
      </c>
      <c r="I313" t="str">
        <f>IF(Construction_Amount_6&gt;0,Construction_Rate_6,"")</f>
        <v/>
      </c>
      <c r="J313" t="s">
        <v>2892</v>
      </c>
      <c r="K313" t="str">
        <f>IF(Construction_Amount_6&gt;0,Construction_Term_6,"")</f>
        <v/>
      </c>
      <c r="X313" s="181"/>
    </row>
    <row r="314" spans="1:31">
      <c r="B314" t="str">
        <f>_xlfn.CONCAT("Source 7: ", Construction_Source_7)</f>
        <v>Source 7: State Housing Tax Credit Equity</v>
      </c>
      <c r="C314" t="str">
        <f>Construction_Source_7</f>
        <v>State Housing Tax Credit Equity</v>
      </c>
      <c r="D314" t="s">
        <v>2895</v>
      </c>
      <c r="E314" s="52" t="s">
        <v>2945</v>
      </c>
      <c r="F314" t="s">
        <v>2939</v>
      </c>
      <c r="G314" s="56" t="str">
        <f>IF(Construction_Amount_7&gt;0,Construction_Amount_7,"")</f>
        <v/>
      </c>
      <c r="H314" t="s">
        <v>2897</v>
      </c>
      <c r="I314" t="str">
        <f>IF(Construction_Amount_7&gt;0,Construction_Rate_7,"")</f>
        <v/>
      </c>
      <c r="J314" t="s">
        <v>2898</v>
      </c>
      <c r="K314" t="str">
        <f>IF(Construction_Amount_7&gt;0,Construction_Term_7,"")</f>
        <v/>
      </c>
      <c r="X314" s="181"/>
    </row>
    <row r="315" spans="1:31">
      <c r="B315" t="str">
        <f>_xlfn.CONCAT("Source 8: ", Construction_Source_8)</f>
        <v>Source 8: Federal Historic Tax Credit Equity</v>
      </c>
      <c r="C315" t="str">
        <f>Construction_Source_8</f>
        <v>Federal Historic Tax Credit Equity</v>
      </c>
      <c r="D315" t="s">
        <v>2900</v>
      </c>
      <c r="E315" s="52" t="s">
        <v>2945</v>
      </c>
      <c r="F315" t="s">
        <v>2940</v>
      </c>
      <c r="G315" s="56" t="str">
        <f>IF(Construction_Amount_8&gt;0,Construction_Amount_8,"")</f>
        <v/>
      </c>
      <c r="H315" t="s">
        <v>2902</v>
      </c>
      <c r="I315" t="str">
        <f>IF(Construction_Amount_8&gt;0,Construction_Rate_8,"")</f>
        <v/>
      </c>
      <c r="J315" t="s">
        <v>2903</v>
      </c>
      <c r="K315" t="str">
        <f>IF(Construction_Amount_8&gt;0,Construction_Term_8,"")</f>
        <v/>
      </c>
      <c r="X315" s="181"/>
    </row>
    <row r="316" spans="1:31">
      <c r="B316" t="str">
        <f>_xlfn.CONCAT("Source 9: ", Construction_Source_9)</f>
        <v>Source 9: Other - Specify</v>
      </c>
      <c r="C316" t="str">
        <f>IF(Construction_Source_9="Other - Specify","Other",Construction_Source_9)</f>
        <v>Other</v>
      </c>
      <c r="D316" t="s">
        <v>2905</v>
      </c>
      <c r="E316" s="52" t="s">
        <v>2945</v>
      </c>
      <c r="F316" t="s">
        <v>2941</v>
      </c>
      <c r="G316" s="56" t="str">
        <f>IF(Construction_Amount_9&gt;0,Construction_Amount_9,"")</f>
        <v/>
      </c>
      <c r="H316" t="s">
        <v>2907</v>
      </c>
      <c r="I316" t="str">
        <f>IF(Construction_Amount_9&gt;0,Construction_Rate_9,"")</f>
        <v/>
      </c>
      <c r="J316" t="s">
        <v>2908</v>
      </c>
      <c r="K316" t="str">
        <f>IF(Construction_Amount_9&gt;0,Construction_Term_9,"")</f>
        <v/>
      </c>
      <c r="X316" s="181"/>
    </row>
    <row r="317" spans="1:31">
      <c r="A317" s="41" t="s">
        <v>2946</v>
      </c>
      <c r="B317" t="str">
        <f>_xlfn.CONCAT("Source 10: ", Construction_Source_10)</f>
        <v>Source 10: Other - Specify</v>
      </c>
      <c r="C317" t="str">
        <f>IF(Construction_Source_10="Other - Specify","Other",Construction_Source_10)</f>
        <v>Other</v>
      </c>
      <c r="D317" t="s">
        <v>2910</v>
      </c>
      <c r="E317" s="52" t="s">
        <v>2945</v>
      </c>
      <c r="F317" t="s">
        <v>2942</v>
      </c>
      <c r="G317" s="56" t="str">
        <f>IF(Construction_Amount_10&gt;0,Construction_Amount_10,"")</f>
        <v/>
      </c>
      <c r="H317" t="s">
        <v>2912</v>
      </c>
      <c r="I317" t="str">
        <f>IF(Construction_Amount_10&gt;0,Construction_Rate_10,"")</f>
        <v/>
      </c>
      <c r="J317" t="s">
        <v>2913</v>
      </c>
      <c r="K317" t="str">
        <f>IF(Construction_Amount_10&gt;0,Construction_Term_10,"")</f>
        <v/>
      </c>
      <c r="X317" s="181"/>
    </row>
    <row r="318" spans="1:31">
      <c r="A318" s="41" t="s">
        <v>2946</v>
      </c>
      <c r="B318" t="str">
        <f>_xlfn.CONCAT("Source 11: ", Construction_Source_11)</f>
        <v>Source 11: Other - Specify</v>
      </c>
      <c r="C318" t="str">
        <f>IF(Construction_Source_10="Other - Specify","Other",Construction_Source_10)</f>
        <v>Other</v>
      </c>
      <c r="D318" t="s">
        <v>2916</v>
      </c>
      <c r="E318" s="52" t="s">
        <v>2945</v>
      </c>
      <c r="F318" t="s">
        <v>2943</v>
      </c>
      <c r="G318" s="56" t="str">
        <f>IF(Construction_Amount_11&gt;0,Construction_Amount_11,"")</f>
        <v/>
      </c>
      <c r="H318" t="s">
        <v>2918</v>
      </c>
      <c r="I318" t="str">
        <f>IF(Construction_Amount_11&gt;0,Construction_Rate_11,"")</f>
        <v/>
      </c>
      <c r="J318" t="s">
        <v>2919</v>
      </c>
      <c r="K318" t="str">
        <f>IF(Construction_Amount_11&gt;0,Construction_Term_11,"")</f>
        <v/>
      </c>
      <c r="X318" s="181"/>
    </row>
    <row r="319" spans="1:31">
      <c r="A319" s="41" t="s">
        <v>2946</v>
      </c>
      <c r="B319" t="str">
        <f>_xlfn.CONCAT("Source 12: ", Construction_Source_12)</f>
        <v>Source 12: Other - Specify</v>
      </c>
      <c r="C319" t="str">
        <f>IF(Construction_Source_10="Other - Specify","Other",Construction_Source_10)</f>
        <v>Other</v>
      </c>
      <c r="D319" t="s">
        <v>2921</v>
      </c>
      <c r="E319" s="52" t="s">
        <v>2945</v>
      </c>
      <c r="F319" t="s">
        <v>2947</v>
      </c>
      <c r="G319" s="56" t="str">
        <f>IF(Construction_Amount_12&gt;0,Construction_Amount_12,"")</f>
        <v/>
      </c>
      <c r="H319" t="s">
        <v>2923</v>
      </c>
      <c r="I319" t="str">
        <f>IF(Construction_Amount_12&gt;0,Construction_Rate_12,"")</f>
        <v/>
      </c>
      <c r="J319" t="s">
        <v>2924</v>
      </c>
      <c r="K319" t="str">
        <f>IF(Construction_Amount_12&gt;0,Construction_Term_12,"")</f>
        <v/>
      </c>
      <c r="X319" s="181"/>
      <c r="AC319" s="259" t="s">
        <v>2948</v>
      </c>
      <c r="AE319" s="259" t="s">
        <v>2948</v>
      </c>
    </row>
    <row r="320" spans="1:31">
      <c r="X320" s="181"/>
      <c r="AC320" s="289" t="s">
        <v>2949</v>
      </c>
      <c r="AE320" s="289" t="s">
        <v>2949</v>
      </c>
    </row>
    <row r="321" spans="1:31">
      <c r="X321" s="181"/>
      <c r="Y321" t="s">
        <v>2950</v>
      </c>
      <c r="AC321" s="290" t="s">
        <v>2951</v>
      </c>
      <c r="AE321" s="1738" t="s">
        <v>2952</v>
      </c>
    </row>
    <row r="322" spans="1:31">
      <c r="X322" s="181"/>
      <c r="Y322" s="642" t="s">
        <v>2953</v>
      </c>
      <c r="Z322" s="291" t="s">
        <v>2954</v>
      </c>
      <c r="AA322" s="642" t="s">
        <v>2955</v>
      </c>
      <c r="AB322" s="642"/>
      <c r="AD322" s="642"/>
      <c r="AE322" s="642"/>
    </row>
    <row r="323" spans="1:31">
      <c r="A323" s="41" t="s">
        <v>2956</v>
      </c>
      <c r="H323" s="1767"/>
      <c r="I323" s="1767"/>
      <c r="J323" s="1767"/>
      <c r="K323" s="1767"/>
      <c r="X323" s="181"/>
      <c r="Y323" s="642"/>
      <c r="Z323" s="292" t="s">
        <v>2957</v>
      </c>
      <c r="AA323" s="293" t="s">
        <v>2958</v>
      </c>
      <c r="AB323" s="294" t="s">
        <v>2959</v>
      </c>
      <c r="AC323" s="642" t="s">
        <v>2960</v>
      </c>
      <c r="AD323" s="642" t="s">
        <v>2961</v>
      </c>
      <c r="AE323" s="642" t="s">
        <v>2960</v>
      </c>
    </row>
    <row r="324" spans="1:31">
      <c r="A324" s="41" t="s">
        <v>2962</v>
      </c>
      <c r="B324" s="41" t="s">
        <v>2963</v>
      </c>
      <c r="C324" s="1767" t="s">
        <v>2964</v>
      </c>
      <c r="D324" s="1767" t="s">
        <v>2965</v>
      </c>
      <c r="E324" s="1767" t="s">
        <v>2966</v>
      </c>
      <c r="F324" s="1767" t="s">
        <v>244</v>
      </c>
      <c r="G324" s="692" t="s">
        <v>2967</v>
      </c>
      <c r="H324" s="695" t="s">
        <v>2968</v>
      </c>
      <c r="I324" s="695" t="s">
        <v>2969</v>
      </c>
      <c r="J324" s="1767"/>
      <c r="K324" s="1767"/>
      <c r="X324" s="181"/>
      <c r="Y324" s="642">
        <v>1</v>
      </c>
      <c r="Z324" s="642" t="str">
        <f>'14. Project Costs'!C12</f>
        <v>Land</v>
      </c>
      <c r="AA324" s="295">
        <f>'14. Project Costs'!F12</f>
        <v>0</v>
      </c>
      <c r="AB324" s="642" t="s">
        <v>2970</v>
      </c>
      <c r="AC324" s="289" t="str">
        <f>IF($Z$2="","",AA324)</f>
        <v/>
      </c>
      <c r="AD324" s="642"/>
      <c r="AE324" s="642"/>
    </row>
    <row r="325" spans="1:31">
      <c r="A325" t="s">
        <v>2971</v>
      </c>
      <c r="B325" t="s">
        <v>2972</v>
      </c>
      <c r="C325" s="51">
        <f>PC_ACQ_Land_Acq_Total</f>
        <v>0</v>
      </c>
      <c r="D325" s="277">
        <f>IF(OR(Credit_percentage_applied_for="4%",Credit_percentage_applied_for="State + Fed 4%"),'14. Project Costs'!K12,0)</f>
        <v>0</v>
      </c>
      <c r="E325" s="277">
        <f>IF(Credit_percentage_applied_for="9%",'14. Project Costs'!K12,0)</f>
        <v>0</v>
      </c>
      <c r="F325" s="277"/>
      <c r="G325" s="51" t="s">
        <v>19</v>
      </c>
      <c r="H325" s="624" t="s">
        <v>2973</v>
      </c>
      <c r="I325" s="624" t="s">
        <v>173</v>
      </c>
      <c r="J325" s="51"/>
      <c r="K325" s="51">
        <f>PC_ACQ_ACQ_Subtotal_Total</f>
        <v>0</v>
      </c>
      <c r="X325" s="181"/>
      <c r="Y325" s="642">
        <v>2</v>
      </c>
      <c r="Z325" s="642" t="str">
        <f>'14. Project Costs'!C13</f>
        <v>Purchase of Buildings</v>
      </c>
      <c r="AA325" s="295">
        <f>'14. Project Costs'!F13</f>
        <v>0</v>
      </c>
      <c r="AB325" s="642" t="s">
        <v>2974</v>
      </c>
      <c r="AC325" s="289" t="str">
        <f>IF($Z$2="","",AA325+AA326)</f>
        <v/>
      </c>
      <c r="AD325" s="642"/>
      <c r="AE325" s="642"/>
    </row>
    <row r="326" spans="1:31">
      <c r="A326" t="s">
        <v>2975</v>
      </c>
      <c r="B326" t="s">
        <v>2976</v>
      </c>
      <c r="C326" s="51">
        <f>PC_ACQ_Building_Acq_Total</f>
        <v>0</v>
      </c>
      <c r="D326" s="51">
        <f>IF(OR(Credit_percentage_applied_for="4%",Credit_percentage_applied_for="State + Fed 4%"), PC_ACQ_Building_Acq,0)</f>
        <v>0</v>
      </c>
      <c r="E326" s="51">
        <f>IF(Credit_percentage_applied_for="9%",PC_ACQ_Building_Acq,0)</f>
        <v>0</v>
      </c>
      <c r="F326" s="51">
        <f>PC_ACQ_Building_Acq_State</f>
        <v>0</v>
      </c>
      <c r="G326" s="51"/>
      <c r="H326" s="624" t="s">
        <v>2977</v>
      </c>
      <c r="I326" s="624" t="s">
        <v>2978</v>
      </c>
      <c r="J326" s="51"/>
      <c r="K326" s="51">
        <f>PC_CST_New_Constr_Subtotal_Total</f>
        <v>0</v>
      </c>
      <c r="X326" s="181"/>
      <c r="Y326" s="642">
        <v>2</v>
      </c>
      <c r="Z326" s="642" t="str">
        <f>'14. Project Costs'!C14</f>
        <v>Other Purchase Bldgs &amp; Land</v>
      </c>
      <c r="AA326" s="295">
        <f>'14. Project Costs'!F14</f>
        <v>0</v>
      </c>
      <c r="AB326" s="642" t="s">
        <v>2979</v>
      </c>
      <c r="AC326" s="290"/>
      <c r="AD326" s="642"/>
      <c r="AE326" s="642"/>
    </row>
    <row r="327" spans="1:31">
      <c r="A327" t="s">
        <v>2980</v>
      </c>
      <c r="B327" t="s">
        <v>2981</v>
      </c>
      <c r="C327" s="51">
        <f>PC_ACQ_Other_Purchase_Total</f>
        <v>0</v>
      </c>
      <c r="D327" s="51">
        <f>IF(OR(Credit_percentage_applied_for="4%",Credit_percentage_applied_for="State + Fed 4%"),PC_ACQ_Other_Purchase,0)</f>
        <v>0</v>
      </c>
      <c r="E327" s="51">
        <f>IF(Credit_percentage_applied_for="9%",PC_ACQ_Other_Purchase,0)</f>
        <v>0</v>
      </c>
      <c r="F327" s="51">
        <f>PC_ACQ_Other_Purchase_State</f>
        <v>0</v>
      </c>
      <c r="G327" s="51"/>
      <c r="H327" s="624" t="s">
        <v>2982</v>
      </c>
      <c r="I327" s="624" t="s">
        <v>2983</v>
      </c>
      <c r="J327" s="51"/>
      <c r="K327" s="51">
        <f>PC_CST_Off_Site_Work_Total</f>
        <v>0</v>
      </c>
      <c r="X327" s="181"/>
      <c r="Y327" s="642"/>
      <c r="Z327" s="642"/>
      <c r="AA327" s="642"/>
      <c r="AB327" s="642"/>
      <c r="AC327" s="642"/>
      <c r="AD327" s="642"/>
      <c r="AE327" s="642"/>
    </row>
    <row r="328" spans="1:31">
      <c r="A328" t="s">
        <v>2984</v>
      </c>
      <c r="C328" s="51"/>
      <c r="D328" s="51"/>
      <c r="E328" s="51"/>
      <c r="F328" s="51"/>
      <c r="G328" s="51"/>
      <c r="H328" s="624"/>
      <c r="I328" s="624"/>
      <c r="J328" s="51"/>
      <c r="K328" s="51">
        <f>PC_CST_Site_Subtotal_Total</f>
        <v>0</v>
      </c>
      <c r="X328" s="181"/>
      <c r="Y328" s="642">
        <v>3</v>
      </c>
      <c r="Z328" s="642" t="str">
        <f>'14. Project Costs'!C19</f>
        <v>Hard/Construction Costs</v>
      </c>
      <c r="AA328" s="295">
        <f>'14. Project Costs'!F19</f>
        <v>0</v>
      </c>
      <c r="AB328" s="642" t="s">
        <v>2985</v>
      </c>
      <c r="AC328" s="289" t="str">
        <f>IF($Z$2="","",AA328)</f>
        <v/>
      </c>
      <c r="AD328" s="642"/>
      <c r="AE328" s="642"/>
    </row>
    <row r="329" spans="1:31">
      <c r="A329" t="s">
        <v>2986</v>
      </c>
      <c r="C329" s="51"/>
      <c r="D329" s="51"/>
      <c r="E329" s="51"/>
      <c r="F329" s="51"/>
      <c r="G329" s="51"/>
      <c r="H329" s="624"/>
      <c r="I329" s="624"/>
      <c r="J329" s="51"/>
      <c r="K329" s="51">
        <f>PC_CST_General_Requirements_Total</f>
        <v>0</v>
      </c>
      <c r="X329" s="181"/>
      <c r="Y329" s="642">
        <v>3</v>
      </c>
      <c r="Z329" s="642" t="s">
        <v>2987</v>
      </c>
      <c r="AA329" s="642" t="s">
        <v>2987</v>
      </c>
      <c r="AB329" s="642" t="s">
        <v>2988</v>
      </c>
      <c r="AC329" s="290"/>
      <c r="AD329" s="642"/>
      <c r="AE329" s="642"/>
    </row>
    <row r="330" spans="1:31">
      <c r="A330" t="s">
        <v>2989</v>
      </c>
      <c r="C330" s="51"/>
      <c r="D330" s="51"/>
      <c r="E330" s="51"/>
      <c r="F330" s="51"/>
      <c r="G330" s="51"/>
      <c r="H330" s="624"/>
      <c r="I330" s="624"/>
      <c r="J330" s="51"/>
      <c r="K330" s="51">
        <f>PC_CST_Builders_Overhead_Total</f>
        <v>0</v>
      </c>
      <c r="X330" s="181"/>
      <c r="Y330" s="642">
        <v>4</v>
      </c>
      <c r="Z330" s="642" t="str">
        <f>'14. Project Costs'!C28</f>
        <v>Accessory Buildings (Garage, storage, etc.)</v>
      </c>
      <c r="AA330" s="295">
        <f>'14. Project Costs'!F28</f>
        <v>0</v>
      </c>
      <c r="AB330" s="642" t="s">
        <v>2990</v>
      </c>
      <c r="AC330" s="289" t="str">
        <f>IF($Z$2="","",AA330)</f>
        <v/>
      </c>
      <c r="AD330" s="642"/>
      <c r="AE330" s="642"/>
    </row>
    <row r="331" spans="1:31">
      <c r="A331" t="s">
        <v>2991</v>
      </c>
      <c r="B331" s="41" t="s">
        <v>2963</v>
      </c>
      <c r="C331" s="1767" t="s">
        <v>2964</v>
      </c>
      <c r="D331" s="1767" t="s">
        <v>2965</v>
      </c>
      <c r="E331" s="1767" t="s">
        <v>2966</v>
      </c>
      <c r="F331" s="1767" t="s">
        <v>244</v>
      </c>
      <c r="H331" s="624"/>
      <c r="I331" s="624"/>
      <c r="J331" s="51"/>
      <c r="K331" s="51">
        <f>PC_CST_Builders_Profit_Total</f>
        <v>0</v>
      </c>
      <c r="X331" s="181"/>
      <c r="Y331" s="642">
        <v>5</v>
      </c>
      <c r="Z331" s="642" t="str">
        <f>'14. Project Costs'!C29</f>
        <v>Personal Property / Furniture, Fixtures, &amp; Equipment</v>
      </c>
      <c r="AA331" s="295">
        <f>'14. Project Costs'!F29</f>
        <v>0</v>
      </c>
      <c r="AB331" s="642" t="s">
        <v>2992</v>
      </c>
      <c r="AC331" s="289" t="str">
        <f>IF($Z$2="","",AA331)</f>
        <v/>
      </c>
      <c r="AD331" s="642" t="s">
        <v>2993</v>
      </c>
      <c r="AE331" s="289" t="str">
        <f>Z331</f>
        <v>Personal Property / Furniture, Fixtures, &amp; Equipment</v>
      </c>
    </row>
    <row r="332" spans="1:31">
      <c r="A332" t="s">
        <v>2994</v>
      </c>
      <c r="B332" t="s">
        <v>2995</v>
      </c>
      <c r="C332" s="51">
        <f>PC_CST_Building_Total</f>
        <v>0</v>
      </c>
      <c r="D332" s="51">
        <f>IF(OR(Credit_percentage_applied_for="4%",Credit_percentage_applied_for="State + Fed 4%"),PC_CST_Building,0)</f>
        <v>0</v>
      </c>
      <c r="E332" s="51">
        <f>IF(Credit_percentage_applied_for="9%",PC_CST_Building, 0)</f>
        <v>0</v>
      </c>
      <c r="F332" s="51">
        <f>PC_CST_Building_State</f>
        <v>0</v>
      </c>
      <c r="G332" s="51" t="s">
        <v>19</v>
      </c>
      <c r="H332" s="624" t="s">
        <v>2996</v>
      </c>
      <c r="I332" s="624" t="s">
        <v>2997</v>
      </c>
      <c r="J332" s="51"/>
      <c r="K332" s="51">
        <f>PC_CST_Constr_Mgmt_Fee_Total</f>
        <v>0</v>
      </c>
      <c r="X332" s="181"/>
      <c r="Y332" s="642">
        <v>6</v>
      </c>
      <c r="Z332" s="642" t="str">
        <f>'14. Project Costs'!C30</f>
        <v>Other New Construction/Rehabilitation</v>
      </c>
      <c r="AA332" s="295">
        <f>'14. Project Costs'!F30</f>
        <v>0</v>
      </c>
      <c r="AB332" s="642" t="s">
        <v>2998</v>
      </c>
      <c r="AC332" s="289" t="str">
        <f>IF($Z$2="","",AA332)</f>
        <v/>
      </c>
      <c r="AD332" s="642" t="s">
        <v>2999</v>
      </c>
      <c r="AE332" s="289" t="str">
        <f>Z332</f>
        <v>Other New Construction/Rehabilitation</v>
      </c>
    </row>
    <row r="333" spans="1:31">
      <c r="A333" t="s">
        <v>3000</v>
      </c>
      <c r="B333" t="s">
        <v>3001</v>
      </c>
      <c r="C333" s="51"/>
      <c r="D333" s="51"/>
      <c r="E333" s="51"/>
      <c r="F333" s="51"/>
      <c r="G333" s="51"/>
      <c r="I333" s="624"/>
      <c r="J333" s="51"/>
      <c r="K333" s="51">
        <f>PC_CST_Builders_Risk_Ins_Total</f>
        <v>0</v>
      </c>
      <c r="X333" s="181"/>
      <c r="Y333" s="642"/>
      <c r="Z333" s="642"/>
      <c r="AA333" s="642"/>
      <c r="AB333" s="642"/>
      <c r="AC333" s="642"/>
      <c r="AD333" s="642"/>
      <c r="AE333" s="642"/>
    </row>
    <row r="334" spans="1:31">
      <c r="A334" t="s">
        <v>3002</v>
      </c>
      <c r="B334" t="s">
        <v>3003</v>
      </c>
      <c r="C334" s="51">
        <f>PC_CST_Accessory_Building_Total</f>
        <v>0</v>
      </c>
      <c r="D334" s="51">
        <f>IF(OR(Credit_percentage_applied_for="4%",Credit_percentage_applied_for="State + Fed 4%"),PC_CST_Accessory_Building,0)</f>
        <v>0</v>
      </c>
      <c r="E334" s="51">
        <f>IF(Credit_percentage_applied_for="9%", PC_CST_Accessory_Building, 0)</f>
        <v>0</v>
      </c>
      <c r="F334" s="51">
        <f>PC_CST_Accessory_Building_State</f>
        <v>0</v>
      </c>
      <c r="G334" s="51"/>
      <c r="H334" s="624" t="s">
        <v>3004</v>
      </c>
      <c r="I334" s="624" t="s">
        <v>3005</v>
      </c>
      <c r="J334" s="51"/>
      <c r="K334" s="51">
        <f>PC_CST_Other_Contractor_Fee_Total</f>
        <v>0</v>
      </c>
      <c r="X334" s="181"/>
      <c r="Y334" s="642">
        <v>7</v>
      </c>
      <c r="Z334" s="642" t="str">
        <f>'14. Project Costs'!C33</f>
        <v>Off Site Work</v>
      </c>
      <c r="AA334" s="295">
        <f>'14. Project Costs'!F33</f>
        <v>0</v>
      </c>
      <c r="AB334" s="642" t="s">
        <v>3006</v>
      </c>
      <c r="AC334" s="289" t="str">
        <f>IF($Z$2="","",AA334)</f>
        <v/>
      </c>
      <c r="AD334" s="642"/>
      <c r="AE334" s="642"/>
    </row>
    <row r="335" spans="1:31">
      <c r="A335" t="s">
        <v>3007</v>
      </c>
      <c r="B335" t="s">
        <v>3008</v>
      </c>
      <c r="C335" s="51">
        <f>PC_CST_Personal_Property_Total+C352</f>
        <v>0</v>
      </c>
      <c r="D335" s="51">
        <f>IF(OR(Credit_percentage_applied_for="4%",Credit_percentage_applied_for="State + Fed 4%"),PC_CST_Personal_Property,0)</f>
        <v>0</v>
      </c>
      <c r="E335" s="51">
        <f>IF(Credit_percentage_applied_for="9%", PC_CST_Personal_Property, 0)</f>
        <v>0</v>
      </c>
      <c r="F335" s="51">
        <f>PC_CST_Personal_Property_State</f>
        <v>0</v>
      </c>
      <c r="G335" s="51"/>
      <c r="H335" s="624" t="s">
        <v>3009</v>
      </c>
      <c r="I335" s="624" t="s">
        <v>3010</v>
      </c>
      <c r="J335" s="51"/>
      <c r="K335" s="51">
        <f>PC_CNT_Contingency_Subtotal_Total</f>
        <v>0</v>
      </c>
      <c r="X335" s="181"/>
      <c r="Y335" s="642"/>
      <c r="Z335" s="642"/>
      <c r="AA335" s="642"/>
      <c r="AB335" s="642"/>
      <c r="AC335" s="642"/>
      <c r="AD335" s="642"/>
      <c r="AE335" s="642"/>
    </row>
    <row r="336" spans="1:31">
      <c r="A336" t="s">
        <v>3011</v>
      </c>
      <c r="B336" t="s">
        <v>3012</v>
      </c>
      <c r="C336" s="51">
        <f>PC_CST_Other_New_Construction_Total</f>
        <v>0</v>
      </c>
      <c r="D336" s="51">
        <f>IF(OR(Credit_percentage_applied_for="4%",Credit_percentage_applied_for="State + Fed 4%"),PC_CST_Other_New_Construction,0)</f>
        <v>0</v>
      </c>
      <c r="E336" s="51">
        <f>IF(Credit_percentage_applied_for="9%", PC_CST_Other_New_Construction, 0)</f>
        <v>0</v>
      </c>
      <c r="F336" s="51">
        <f>PC_CST_Other_New_Construction_State</f>
        <v>0</v>
      </c>
      <c r="G336" s="691" t="s">
        <v>3013</v>
      </c>
      <c r="H336" s="624" t="s">
        <v>3014</v>
      </c>
      <c r="I336" s="624" t="s">
        <v>3015</v>
      </c>
      <c r="J336" s="51"/>
      <c r="K336" s="51">
        <f>PC_CSP_WHEDA_Fees_Subtotal_Total</f>
        <v>0</v>
      </c>
      <c r="X336" s="181"/>
      <c r="Y336" s="642">
        <v>8</v>
      </c>
      <c r="Z336" s="642" t="str">
        <f>'14. Project Costs'!C41</f>
        <v>Off-Site - Site Work</v>
      </c>
      <c r="AA336" s="295">
        <f>'14. Project Costs'!F41</f>
        <v>0</v>
      </c>
      <c r="AB336" s="642" t="s">
        <v>3016</v>
      </c>
      <c r="AC336" s="289" t="str">
        <f>IF($Z$2="","",AA336)</f>
        <v/>
      </c>
      <c r="AD336" s="642"/>
      <c r="AE336" s="642"/>
    </row>
    <row r="337" spans="1:31">
      <c r="A337" t="s">
        <v>3017</v>
      </c>
      <c r="C337" s="51"/>
      <c r="D337" s="51"/>
      <c r="E337" s="51"/>
      <c r="F337" s="51"/>
      <c r="G337" s="51"/>
      <c r="H337" s="51"/>
      <c r="I337" s="51"/>
      <c r="J337" s="51"/>
      <c r="K337" s="51">
        <f>PC_CSP_Bonding_Fee_Subtotal_Total</f>
        <v>0</v>
      </c>
      <c r="X337" s="181"/>
      <c r="Y337" s="642">
        <v>9</v>
      </c>
      <c r="Z337" s="642" t="str">
        <f>'14. Project Costs'!C42</f>
        <v>On-Site - Site Work</v>
      </c>
      <c r="AA337" s="295">
        <f>'14. Project Costs'!F42</f>
        <v>0</v>
      </c>
      <c r="AB337" s="642" t="s">
        <v>3018</v>
      </c>
      <c r="AC337" s="289" t="str">
        <f>IF($Z$2="","",AA337)</f>
        <v/>
      </c>
      <c r="AD337" s="642"/>
      <c r="AE337" s="642"/>
    </row>
    <row r="338" spans="1:31">
      <c r="A338" t="s">
        <v>3019</v>
      </c>
      <c r="C338" s="51"/>
      <c r="D338" s="51"/>
      <c r="E338" s="51"/>
      <c r="F338" s="51"/>
      <c r="G338" s="51"/>
      <c r="H338" s="51"/>
      <c r="I338" s="51"/>
      <c r="J338" s="51"/>
      <c r="K338" s="51">
        <f>PC_CSP_Other_Lender_Subtotal_Total</f>
        <v>0</v>
      </c>
      <c r="X338" s="181"/>
      <c r="Y338" s="642">
        <v>10</v>
      </c>
      <c r="Z338" s="642" t="str">
        <f>'14. Project Costs'!C45</f>
        <v>Landscaping</v>
      </c>
      <c r="AA338" s="295">
        <f>'14. Project Costs'!F45</f>
        <v>0</v>
      </c>
      <c r="AB338" s="642" t="s">
        <v>3020</v>
      </c>
      <c r="AC338" s="289" t="str">
        <f>IF($Z$2="","",AA338)</f>
        <v/>
      </c>
      <c r="AD338" s="642"/>
      <c r="AE338" s="642"/>
    </row>
    <row r="339" spans="1:31">
      <c r="A339" s="738" t="s">
        <v>3021</v>
      </c>
      <c r="C339" s="51">
        <f>PC_CST_Demolition</f>
        <v>0</v>
      </c>
      <c r="D339" s="51">
        <f>'14. Project Costs'!F41</f>
        <v>0</v>
      </c>
      <c r="E339" s="51">
        <f>'14. Project Costs'!G41</f>
        <v>0</v>
      </c>
      <c r="F339" s="51">
        <f>PC_CST_Demolition_State</f>
        <v>0</v>
      </c>
      <c r="G339" s="51"/>
      <c r="H339" s="51"/>
      <c r="I339" s="51"/>
      <c r="J339" s="51"/>
      <c r="K339" s="51">
        <f>PC_CSP_Contractor_Related_Fees_Subtotal_Total</f>
        <v>0</v>
      </c>
      <c r="X339" s="181"/>
      <c r="Y339" s="642">
        <v>11</v>
      </c>
      <c r="Z339" s="642" t="str">
        <f>'14. Project Costs'!C46</f>
        <v>Furnishing and Equipment</v>
      </c>
      <c r="AA339" s="295">
        <f>'14. Project Costs'!F46</f>
        <v>0</v>
      </c>
      <c r="AB339" s="642" t="s">
        <v>3022</v>
      </c>
      <c r="AC339" s="289" t="str">
        <f>IF($Z$2="","",AA339)</f>
        <v/>
      </c>
      <c r="AD339" s="642"/>
      <c r="AE339" s="642"/>
    </row>
    <row r="340" spans="1:31">
      <c r="A340" t="s">
        <v>3023</v>
      </c>
      <c r="C340" s="51"/>
      <c r="D340" s="51"/>
      <c r="E340" s="51"/>
      <c r="F340" s="51"/>
      <c r="G340" s="51"/>
      <c r="H340" s="51"/>
      <c r="I340" s="51"/>
      <c r="J340" s="51"/>
      <c r="K340" s="51">
        <f>PC_FIN_Permanent_Loan_Fees_Subtotal_Total</f>
        <v>0</v>
      </c>
      <c r="X340" s="181"/>
      <c r="Y340" s="642">
        <v>12</v>
      </c>
      <c r="Z340" s="642" t="str">
        <f>'14. Project Costs'!C48</f>
        <v>Other Site Work</v>
      </c>
      <c r="AA340" s="295">
        <f>'14. Project Costs'!F48</f>
        <v>0</v>
      </c>
      <c r="AB340" s="642" t="s">
        <v>3024</v>
      </c>
      <c r="AC340" s="289" t="str">
        <f>IF($Z$2="","",AA340)</f>
        <v/>
      </c>
      <c r="AD340" s="642"/>
      <c r="AE340" s="642"/>
    </row>
    <row r="341" spans="1:31">
      <c r="A341" t="s">
        <v>3025</v>
      </c>
      <c r="C341" s="51"/>
      <c r="D341" s="51"/>
      <c r="E341" s="51"/>
      <c r="F341" s="51"/>
      <c r="G341" s="51"/>
      <c r="H341" s="51"/>
      <c r="I341" s="51"/>
      <c r="J341" s="51"/>
      <c r="K341" s="51">
        <f>PC_ARC_Arch_Design_Total</f>
        <v>0</v>
      </c>
      <c r="X341" s="181"/>
      <c r="Y341" s="642"/>
      <c r="Z341" s="642"/>
      <c r="AA341" s="642"/>
      <c r="AB341" s="642"/>
      <c r="AC341" s="642"/>
      <c r="AD341" s="642"/>
      <c r="AE341" s="642"/>
    </row>
    <row r="342" spans="1:31">
      <c r="A342" t="s">
        <v>3026</v>
      </c>
      <c r="C342" s="51"/>
      <c r="D342" s="51"/>
      <c r="E342" s="51"/>
      <c r="F342" s="51"/>
      <c r="G342" s="51"/>
      <c r="H342" s="51"/>
      <c r="I342" s="51"/>
      <c r="J342" s="51"/>
      <c r="K342" s="51">
        <f>PC_ARC_Arch_Super_Total</f>
        <v>0</v>
      </c>
      <c r="X342" s="181"/>
      <c r="Y342" s="642">
        <v>13</v>
      </c>
      <c r="Z342" s="642" t="str">
        <f>'14. Project Costs'!C51</f>
        <v>General Requirements</v>
      </c>
      <c r="AA342" s="295">
        <f>'14. Project Costs'!F51</f>
        <v>0</v>
      </c>
      <c r="AB342" s="642" t="s">
        <v>3027</v>
      </c>
      <c r="AC342" s="289" t="str">
        <f>IF($Z$2="","",AA342)</f>
        <v/>
      </c>
      <c r="AD342" s="642"/>
      <c r="AE342" s="642"/>
    </row>
    <row r="343" spans="1:31">
      <c r="A343" t="s">
        <v>3028</v>
      </c>
      <c r="C343" s="51"/>
      <c r="D343" s="51"/>
      <c r="E343" s="51"/>
      <c r="F343" s="51"/>
      <c r="G343" s="51"/>
      <c r="H343" s="51"/>
      <c r="I343" s="51"/>
      <c r="J343" s="51"/>
      <c r="K343" s="51">
        <f>PC_ARC_Engineer_Fee_Total</f>
        <v>0</v>
      </c>
      <c r="X343" s="181"/>
      <c r="Y343" s="642">
        <v>14</v>
      </c>
      <c r="Z343" s="642" t="str">
        <f>'14. Project Costs'!C52</f>
        <v>Contractor Overhead</v>
      </c>
      <c r="AA343" s="295">
        <f>'14. Project Costs'!F52</f>
        <v>0</v>
      </c>
      <c r="AB343" s="642" t="s">
        <v>3029</v>
      </c>
      <c r="AC343" s="289" t="str">
        <f>IF($Z$2="","",AA343)</f>
        <v/>
      </c>
      <c r="AD343" s="642"/>
      <c r="AE343" s="642"/>
    </row>
    <row r="344" spans="1:31">
      <c r="A344" t="s">
        <v>3030</v>
      </c>
      <c r="B344" s="41" t="s">
        <v>2963</v>
      </c>
      <c r="C344" s="1767" t="s">
        <v>2964</v>
      </c>
      <c r="D344" s="1767" t="s">
        <v>2965</v>
      </c>
      <c r="E344" s="1767" t="s">
        <v>2966</v>
      </c>
      <c r="F344" s="1767" t="s">
        <v>244</v>
      </c>
      <c r="G344" s="51" t="s">
        <v>19</v>
      </c>
      <c r="H344" s="624"/>
      <c r="I344" s="51"/>
      <c r="J344" s="51"/>
      <c r="K344" s="51">
        <f>PC_ARC_ALTA_Total</f>
        <v>0</v>
      </c>
      <c r="X344" s="181"/>
      <c r="Y344" s="642">
        <v>15</v>
      </c>
      <c r="Z344" s="642" t="str">
        <f>'14. Project Costs'!C53</f>
        <v>Contractor Profit</v>
      </c>
      <c r="AA344" s="295">
        <f>'14. Project Costs'!F53</f>
        <v>0</v>
      </c>
      <c r="AB344" s="642" t="s">
        <v>3031</v>
      </c>
      <c r="AC344" s="289" t="str">
        <f>IF($Z$2="","",AA344)</f>
        <v/>
      </c>
      <c r="AD344" s="642"/>
      <c r="AE344" s="642"/>
    </row>
    <row r="345" spans="1:31">
      <c r="A345" t="s">
        <v>3032</v>
      </c>
      <c r="B345" t="s">
        <v>3033</v>
      </c>
      <c r="C345" s="51">
        <f>PC_CST_OffSite_Subtotal_Total</f>
        <v>0</v>
      </c>
      <c r="D345" s="51">
        <f>IF(OR(Credit_percentage_applied_for="4%",Credit_percentage_applied_for="State + Fed 4%"), PC_CST_OffSite_Subtotal, 0)</f>
        <v>0</v>
      </c>
      <c r="E345" s="51">
        <f>IF(Credit_percentage_applied_for="9%", PC_CST_OffSite_Subtotal, 0)</f>
        <v>0</v>
      </c>
      <c r="F345" s="51">
        <f>PC_CST_OffSite_Subtotal_State</f>
        <v>0</v>
      </c>
      <c r="G345" s="51"/>
      <c r="H345" s="624" t="s">
        <v>3034</v>
      </c>
      <c r="I345" s="624" t="s">
        <v>3035</v>
      </c>
      <c r="J345" s="51"/>
      <c r="K345" s="51">
        <f>PC_ARC_Other_Arch_Total</f>
        <v>0</v>
      </c>
      <c r="X345" s="181"/>
      <c r="Y345" s="642">
        <v>16</v>
      </c>
      <c r="Z345" s="642" t="str">
        <f>'14. Project Costs'!C54</f>
        <v>Construction Supervision</v>
      </c>
      <c r="AA345" s="295">
        <f>'14. Project Costs'!F54</f>
        <v>0</v>
      </c>
      <c r="AB345" s="1738" t="s">
        <v>3036</v>
      </c>
      <c r="AC345" s="289" t="str">
        <f>IF($Z$2="","",AA345)</f>
        <v/>
      </c>
      <c r="AD345" s="1738" t="s">
        <v>3037</v>
      </c>
      <c r="AE345" s="289" t="str">
        <f>Z345</f>
        <v>Construction Supervision</v>
      </c>
    </row>
    <row r="346" spans="1:31">
      <c r="A346" t="s">
        <v>3038</v>
      </c>
      <c r="C346" s="51"/>
      <c r="D346" s="51"/>
      <c r="E346" s="51"/>
      <c r="F346" s="51"/>
      <c r="G346" s="51"/>
      <c r="H346" s="624"/>
      <c r="I346" s="624"/>
      <c r="J346" s="51"/>
      <c r="K346" s="51">
        <f>PC_SYN_Syndication_Fee_Subtotal_Total</f>
        <v>0</v>
      </c>
      <c r="X346" s="181"/>
      <c r="Y346" s="642"/>
      <c r="Z346" s="642"/>
      <c r="AA346" s="642"/>
      <c r="AB346" s="642"/>
      <c r="AC346" s="642"/>
      <c r="AD346" s="642"/>
      <c r="AE346" s="642"/>
    </row>
    <row r="347" spans="1:31">
      <c r="A347" t="s">
        <v>1618</v>
      </c>
      <c r="B347" t="s">
        <v>1618</v>
      </c>
      <c r="C347" s="51">
        <f>'14. Project Costs'!F25</f>
        <v>0</v>
      </c>
      <c r="D347" s="51">
        <f>IF(OR(Credit_percentage_applied_for="4%",Credit_percentage_applied_for="State + Fed 4%"), '14. Project Costs'!K25, 0)</f>
        <v>0</v>
      </c>
      <c r="E347" s="51">
        <f>IF(Credit_percentage_applied_for="9%",PC_CST_Demolition,0)</f>
        <v>0</v>
      </c>
      <c r="F347" s="51">
        <f>PC_CST_Demolition_State</f>
        <v>0</v>
      </c>
      <c r="G347" s="51"/>
      <c r="H347" s="624" t="s">
        <v>3039</v>
      </c>
      <c r="I347" s="624" t="s">
        <v>3040</v>
      </c>
      <c r="J347" s="51"/>
      <c r="K347" s="51">
        <f>PC_CAP_Capitalized_Reserv_Subtotal_Total</f>
        <v>0</v>
      </c>
      <c r="X347" s="181"/>
      <c r="Y347" s="642">
        <v>17</v>
      </c>
      <c r="Z347" s="642" t="str">
        <f>'14. Project Costs'!C60</f>
        <v>Construction Contingency</v>
      </c>
      <c r="AA347" s="295">
        <f>'14. Project Costs'!F60</f>
        <v>0</v>
      </c>
      <c r="AB347" s="642" t="s">
        <v>3041</v>
      </c>
      <c r="AC347" s="289" t="str">
        <f>IF($Z$2="","",AA347)</f>
        <v/>
      </c>
      <c r="AD347" s="642"/>
      <c r="AE347" s="642"/>
    </row>
    <row r="348" spans="1:31">
      <c r="A348" t="s">
        <v>3042</v>
      </c>
      <c r="B348" t="s">
        <v>3042</v>
      </c>
      <c r="C348" s="51">
        <f>PC_CST_Earthwork_Total</f>
        <v>0</v>
      </c>
      <c r="D348" s="51">
        <f>IF(OR(Credit_percentage_applied_for="4%",Credit_percentage_applied_for="State + Fed 4%"), PC_CST_Earthwork, 0)</f>
        <v>0</v>
      </c>
      <c r="E348" s="51">
        <f>IF(Credit_percentage_applied_for="9%", PC_CST_Earthwork, 0)</f>
        <v>0</v>
      </c>
      <c r="F348" s="51">
        <f>PC_CST_Earthwork_State</f>
        <v>0</v>
      </c>
      <c r="G348" s="51"/>
      <c r="H348" s="624" t="s">
        <v>3043</v>
      </c>
      <c r="I348" s="624" t="s">
        <v>3044</v>
      </c>
      <c r="J348" s="51"/>
      <c r="K348" s="51">
        <f>PC_RPT_Appraisals_Total</f>
        <v>0</v>
      </c>
      <c r="X348" s="181"/>
      <c r="Y348" s="642">
        <v>18</v>
      </c>
      <c r="Z348" s="642" t="str">
        <f>'14. Project Costs'!C61</f>
        <v>Other Contingency</v>
      </c>
      <c r="AA348" s="295">
        <f>'14. Project Costs'!F61</f>
        <v>0</v>
      </c>
      <c r="AB348" s="642" t="s">
        <v>3045</v>
      </c>
      <c r="AC348" s="289" t="str">
        <f>IF($Z$2="","",AA348)</f>
        <v/>
      </c>
      <c r="AD348" s="642"/>
      <c r="AE348" s="642"/>
    </row>
    <row r="349" spans="1:31">
      <c r="A349" t="s">
        <v>3046</v>
      </c>
      <c r="C349" s="51"/>
      <c r="D349" s="51"/>
      <c r="E349" s="51"/>
      <c r="F349" s="51"/>
      <c r="G349" s="51"/>
      <c r="H349" s="624"/>
      <c r="I349" s="624"/>
      <c r="J349" s="51"/>
      <c r="K349" s="51">
        <f>PC_RPT_Market_Study_Total</f>
        <v>0</v>
      </c>
      <c r="X349" s="181"/>
      <c r="Y349" s="642"/>
      <c r="Z349" s="642"/>
      <c r="AA349" s="642"/>
      <c r="AB349" s="642"/>
      <c r="AC349" s="642"/>
      <c r="AD349" s="642"/>
      <c r="AE349" s="642"/>
    </row>
    <row r="350" spans="1:31">
      <c r="A350" t="s">
        <v>3047</v>
      </c>
      <c r="C350" s="51"/>
      <c r="D350" s="51"/>
      <c r="E350" s="51"/>
      <c r="F350" s="51"/>
      <c r="G350" s="51"/>
      <c r="H350" s="624"/>
      <c r="I350" s="624"/>
      <c r="J350" s="51"/>
      <c r="K350" s="51">
        <f>PC_RPT_Physical_Capital_Total</f>
        <v>0</v>
      </c>
      <c r="X350" s="181"/>
      <c r="Y350" s="642">
        <v>19</v>
      </c>
      <c r="Z350" s="642" t="str">
        <f>'14. Project Costs'!C67</f>
        <v>Construction Loan Origination Fee - WHEDA</v>
      </c>
      <c r="AA350" s="295">
        <f>'14. Project Costs'!F67</f>
        <v>0</v>
      </c>
      <c r="AB350" s="642" t="s">
        <v>3048</v>
      </c>
      <c r="AC350" s="289" t="str">
        <f>IF($Z$2="","",AA350+AA353+AA369)</f>
        <v/>
      </c>
      <c r="AD350" s="642"/>
      <c r="AE350" s="642"/>
    </row>
    <row r="351" spans="1:31">
      <c r="A351" t="s">
        <v>3049</v>
      </c>
      <c r="B351" t="s">
        <v>3050</v>
      </c>
      <c r="C351" s="51">
        <f>PC_CST_Lawn_Planting_Total</f>
        <v>0</v>
      </c>
      <c r="D351" s="51">
        <f>IF(OR(Credit_percentage_applied_for="4%",Credit_percentage_applied_for="State + Fed 4%"), PC_CST_Lawn_Planting, 0)</f>
        <v>0</v>
      </c>
      <c r="E351" s="51">
        <f>IF(Credit_percentage_applied_for="9%", PC_CST_Lawn_Planting, 0)</f>
        <v>0</v>
      </c>
      <c r="F351" s="51">
        <f>PC_CST_Lawn_Planting_State</f>
        <v>0</v>
      </c>
      <c r="G351" s="51"/>
      <c r="H351" s="624" t="s">
        <v>3051</v>
      </c>
      <c r="I351" s="624" t="s">
        <v>3052</v>
      </c>
      <c r="J351" s="51"/>
      <c r="K351" s="51">
        <f>PC_RPT_Environmental_Study_Total</f>
        <v>0</v>
      </c>
      <c r="X351" s="181"/>
      <c r="Y351" s="642">
        <v>20</v>
      </c>
      <c r="Z351" s="642" t="str">
        <f>'14. Project Costs'!C68</f>
        <v>Construction Loan Origination Fee - Non WHEDA</v>
      </c>
      <c r="AA351" s="295">
        <f>'14. Project Costs'!F68</f>
        <v>0</v>
      </c>
      <c r="AB351" s="642" t="s">
        <v>3053</v>
      </c>
      <c r="AC351" s="289" t="str">
        <f>IF($Z$2="","",AA351)</f>
        <v/>
      </c>
      <c r="AD351" s="642" t="s">
        <v>3054</v>
      </c>
      <c r="AE351" s="289" t="str">
        <f>Z351</f>
        <v>Construction Loan Origination Fee - Non WHEDA</v>
      </c>
    </row>
    <row r="352" spans="1:31">
      <c r="A352" t="s">
        <v>3055</v>
      </c>
      <c r="C352" s="51">
        <f>'14. Project Costs'!F24</f>
        <v>0</v>
      </c>
      <c r="D352" s="51">
        <f>IF(OR(Credit_percentage_applied_for="4%",Credit_percentage_applied_for="State + Fed 4%"), '14. Project Costs'!K24, 0)</f>
        <v>0</v>
      </c>
      <c r="E352" s="51">
        <f>IF(Credit_percentage_applied_for="9%", PC_CST_Fixtures_Furn, 0)</f>
        <v>0</v>
      </c>
      <c r="F352" s="51">
        <f>PC_CST_Fixtures_Furn_State</f>
        <v>0</v>
      </c>
      <c r="G352" s="51"/>
      <c r="H352" s="624" t="s">
        <v>3056</v>
      </c>
      <c r="I352" s="624" t="s">
        <v>3057</v>
      </c>
      <c r="J352" s="51"/>
      <c r="K352" s="51"/>
      <c r="X352" s="181"/>
      <c r="Y352" s="642"/>
      <c r="Z352" s="642"/>
      <c r="AA352" s="642"/>
      <c r="AB352" s="642"/>
      <c r="AC352" s="642"/>
      <c r="AD352" s="642"/>
      <c r="AE352" s="642"/>
    </row>
    <row r="353" spans="1:31">
      <c r="A353" t="s">
        <v>3026</v>
      </c>
      <c r="C353" s="51"/>
      <c r="D353" s="51"/>
      <c r="E353" s="51"/>
      <c r="F353" s="51"/>
      <c r="G353" s="51"/>
      <c r="H353" s="624"/>
      <c r="I353" s="624"/>
      <c r="J353" s="51"/>
      <c r="K353" s="51">
        <f>PC_SFT_Other_SC_Subtotal_Total</f>
        <v>0</v>
      </c>
      <c r="X353" s="181"/>
      <c r="Y353" s="642">
        <v>19</v>
      </c>
      <c r="Z353" s="642" t="str">
        <f>'14. Project Costs'!C74</f>
        <v>Cost of Bond Issuance</v>
      </c>
      <c r="AA353" s="295">
        <f>'14. Project Costs'!F74</f>
        <v>0</v>
      </c>
      <c r="AB353" s="642" t="s">
        <v>3058</v>
      </c>
      <c r="AC353" s="290"/>
      <c r="AD353" s="642"/>
      <c r="AE353" s="642"/>
    </row>
    <row r="354" spans="1:31">
      <c r="A354" t="s">
        <v>3059</v>
      </c>
      <c r="B354" t="s">
        <v>3059</v>
      </c>
      <c r="C354" s="51">
        <f>PC_CST_Other_Site_Work_Total</f>
        <v>0</v>
      </c>
      <c r="D354" s="51">
        <f>IF(OR(Credit_percentage_applied_for="4%",Credit_percentage_applied_for="State + Fed 4%"), PC_CST_Other_Site_Work, 0)</f>
        <v>0</v>
      </c>
      <c r="E354" s="51">
        <f>IF(Credit_percentage_applied_for="9%",PC_CST_Other_Site_Work,0)</f>
        <v>0</v>
      </c>
      <c r="F354" s="51">
        <f>PC_CST_Other_Site_Work_State</f>
        <v>0</v>
      </c>
      <c r="G354" s="51"/>
      <c r="H354" s="624" t="s">
        <v>3060</v>
      </c>
      <c r="I354" s="624" t="s">
        <v>3061</v>
      </c>
      <c r="J354" s="51"/>
      <c r="K354" s="51">
        <f>PC_DEV_Developer_Costs_Subtotal_Total</f>
        <v>0</v>
      </c>
      <c r="X354" s="181"/>
      <c r="Y354" s="642"/>
      <c r="Z354" s="642"/>
      <c r="AA354" s="642"/>
      <c r="AB354" s="642"/>
      <c r="AC354" s="642"/>
      <c r="AD354" s="642"/>
      <c r="AE354" s="642"/>
    </row>
    <row r="355" spans="1:31">
      <c r="A355" t="s">
        <v>3062</v>
      </c>
      <c r="C355" s="51"/>
      <c r="D355" s="59"/>
      <c r="E355" s="59"/>
      <c r="F355" s="59"/>
      <c r="G355" s="59"/>
      <c r="H355" s="50"/>
      <c r="I355" s="50"/>
      <c r="J355" s="59"/>
      <c r="K355" s="59">
        <f>PC_DEV_Dev_Fee_Deferred_Total</f>
        <v>0</v>
      </c>
      <c r="X355" s="181"/>
      <c r="Y355" s="642">
        <v>21</v>
      </c>
      <c r="Z355" s="642" t="str">
        <f>'14. Project Costs'!C77</f>
        <v>Bridge Loan Fees and Expenses</v>
      </c>
      <c r="AA355" s="295">
        <f>'14. Project Costs'!F77</f>
        <v>0</v>
      </c>
      <c r="AB355" s="642" t="s">
        <v>3063</v>
      </c>
      <c r="AC355" s="289" t="str">
        <f>IF($Z$2="","",AA355)</f>
        <v/>
      </c>
      <c r="AD355" s="642" t="s">
        <v>3064</v>
      </c>
      <c r="AE355" s="289" t="str">
        <f>Z355</f>
        <v>Bridge Loan Fees and Expenses</v>
      </c>
    </row>
    <row r="356" spans="1:31">
      <c r="A356" t="s">
        <v>3065</v>
      </c>
      <c r="C356" s="60"/>
      <c r="H356" s="50"/>
      <c r="I356" s="50"/>
      <c r="X356" s="181"/>
      <c r="Y356" s="642">
        <v>22</v>
      </c>
      <c r="Z356" s="642" t="str">
        <f>'14. Project Costs'!C80</f>
        <v>WHEDA Construction Loan Interest</v>
      </c>
      <c r="AA356" s="295">
        <f>'14. Project Costs'!F80</f>
        <v>0</v>
      </c>
      <c r="AB356" s="642" t="s">
        <v>3066</v>
      </c>
      <c r="AC356" s="289" t="str">
        <f>IF($Z$2="","",AA356+AA357)</f>
        <v/>
      </c>
      <c r="AD356" s="642"/>
      <c r="AE356" s="642"/>
    </row>
    <row r="357" spans="1:31">
      <c r="A357" t="s">
        <v>3067</v>
      </c>
      <c r="B357" s="60" t="s">
        <v>3067</v>
      </c>
      <c r="C357" s="61">
        <f>PC_CST_General_Requirements_Total</f>
        <v>0</v>
      </c>
      <c r="D357" s="59">
        <f>IF(OR(Credit_percentage_applied_for="4%",Credit_percentage_applied_for="State + Fed 4%"), PC_CST_General_Requirements, 0)</f>
        <v>0</v>
      </c>
      <c r="E357" s="59">
        <f>IF(Credit_percentage_applied_for="9%", PC_CST_General_Requirements, 0)</f>
        <v>0</v>
      </c>
      <c r="F357">
        <f>PC_CST_General_Requirements_State</f>
        <v>0</v>
      </c>
      <c r="H357" s="50" t="s">
        <v>3068</v>
      </c>
      <c r="I357" s="50" t="s">
        <v>3069</v>
      </c>
      <c r="X357" s="181"/>
      <c r="Y357" s="642">
        <v>22</v>
      </c>
      <c r="Z357" s="642" t="str">
        <f>'14. Project Costs'!C81</f>
        <v>Other Construction Loan Interest</v>
      </c>
      <c r="AA357" s="295">
        <f>'14. Project Costs'!F81</f>
        <v>0</v>
      </c>
      <c r="AB357" s="642" t="s">
        <v>3070</v>
      </c>
      <c r="AC357" s="290"/>
      <c r="AD357" s="642"/>
      <c r="AE357" s="642"/>
    </row>
    <row r="358" spans="1:31">
      <c r="A358" t="s">
        <v>3071</v>
      </c>
      <c r="B358" s="39" t="s">
        <v>3072</v>
      </c>
      <c r="C358">
        <f>PC_CST_Builders_Overhead_Total</f>
        <v>0</v>
      </c>
      <c r="D358">
        <f>IF(OR(Credit_percentage_applied_for="4%",Credit_percentage_applied_for="State + Fed 4%"), PC_CST_Builders_Overhead, 0)</f>
        <v>0</v>
      </c>
      <c r="E358">
        <f>IF(Credit_percentage_applied_for="9%", PC_CST_Builders_Overhead, 0)</f>
        <v>0</v>
      </c>
      <c r="F358">
        <f>PC_CST_Builders_Overhead_State</f>
        <v>0</v>
      </c>
      <c r="H358" s="50" t="s">
        <v>3073</v>
      </c>
      <c r="I358" s="50" t="s">
        <v>3074</v>
      </c>
      <c r="X358" s="181"/>
      <c r="Y358" s="642">
        <v>23</v>
      </c>
      <c r="Z358" s="642" t="str">
        <f>'14. Project Costs'!C84</f>
        <v>Legal Fees - Miscellaneous</v>
      </c>
      <c r="AA358" s="295">
        <f>'14. Project Costs'!F84</f>
        <v>0</v>
      </c>
      <c r="AB358" s="642" t="s">
        <v>3075</v>
      </c>
      <c r="AC358" s="289" t="str">
        <f>IF($Z$2="","",AA358)</f>
        <v/>
      </c>
      <c r="AD358" s="642" t="s">
        <v>3076</v>
      </c>
      <c r="AE358" s="289" t="str">
        <f>Z358</f>
        <v>Legal Fees - Miscellaneous</v>
      </c>
    </row>
    <row r="359" spans="1:31">
      <c r="A359" t="s">
        <v>3077</v>
      </c>
      <c r="B359" s="39" t="s">
        <v>3078</v>
      </c>
      <c r="C359">
        <f>PC_CST_Builders_Profit_Total</f>
        <v>0</v>
      </c>
      <c r="D359">
        <f>IF(OR(Credit_percentage_applied_for="4%",Credit_percentage_applied_for="State + Fed 4%"), PC_CST_Builders_Profit, 0)</f>
        <v>0</v>
      </c>
      <c r="E359">
        <f>IF(Credit_percentage_applied_for="9%", PC_CST_Builders_Profit, 0)</f>
        <v>0</v>
      </c>
      <c r="F359">
        <f>PC_CST_Builders_Profit_State</f>
        <v>0</v>
      </c>
      <c r="H359" s="50" t="s">
        <v>3079</v>
      </c>
      <c r="I359" s="50" t="s">
        <v>3080</v>
      </c>
      <c r="X359" s="181"/>
      <c r="Y359" s="642"/>
      <c r="Z359" s="642"/>
      <c r="AA359" s="642"/>
      <c r="AB359" s="642"/>
      <c r="AC359" s="642"/>
      <c r="AD359" s="642"/>
      <c r="AE359" s="642"/>
    </row>
    <row r="360" spans="1:31">
      <c r="A360" t="s">
        <v>3081</v>
      </c>
      <c r="B360" s="39" t="s">
        <v>3082</v>
      </c>
      <c r="C360">
        <f>PC_CST_Constr_Mgmt_Fee_Total</f>
        <v>0</v>
      </c>
      <c r="D360">
        <f>IF(OR(Credit_percentage_applied_for="4%",Credit_percentage_applied_for="State + Fed 4%"), PC_CST_Constr_Mgmt_Fee, 0)</f>
        <v>0</v>
      </c>
      <c r="E360">
        <f>IF(Credit_percentage_applied_for="9%", PC_CST_Constr_Mgmt_Fee, 0)</f>
        <v>0</v>
      </c>
      <c r="F360">
        <f>PC_CST_Constr_Mgmt_Fee_State</f>
        <v>0</v>
      </c>
      <c r="H360" s="50" t="s">
        <v>3083</v>
      </c>
      <c r="I360" s="50" t="s">
        <v>3084</v>
      </c>
      <c r="X360" s="181"/>
      <c r="Y360" s="642">
        <v>24</v>
      </c>
      <c r="Z360" s="642" t="str">
        <f>'14. Project Costs'!C87</f>
        <v>Construction Loan Credit Enhancement/LOC</v>
      </c>
      <c r="AA360" s="295">
        <f>'14. Project Costs'!F87</f>
        <v>0</v>
      </c>
      <c r="AB360" s="642" t="s">
        <v>3085</v>
      </c>
      <c r="AC360" s="289" t="str">
        <f>IF($Z$2="","",AA360)</f>
        <v/>
      </c>
      <c r="AD360" s="642"/>
      <c r="AE360" s="642"/>
    </row>
    <row r="361" spans="1:31">
      <c r="A361" t="s">
        <v>3086</v>
      </c>
      <c r="B361" s="39"/>
      <c r="X361" s="181"/>
      <c r="Y361" s="642">
        <v>25</v>
      </c>
      <c r="Z361" s="642" t="str">
        <f>'14. Project Costs'!C88</f>
        <v>Construction Period Real Estate Taxes</v>
      </c>
      <c r="AA361" s="295">
        <f>'14. Project Costs'!F88</f>
        <v>0</v>
      </c>
      <c r="AB361" s="642" t="s">
        <v>3087</v>
      </c>
      <c r="AC361" s="289" t="str">
        <f>IF($Z$2="","",AA361)</f>
        <v/>
      </c>
      <c r="AD361" s="642"/>
      <c r="AE361" s="642"/>
    </row>
    <row r="362" spans="1:31">
      <c r="A362" t="s">
        <v>3088</v>
      </c>
      <c r="B362" s="39"/>
      <c r="X362" s="181"/>
      <c r="Y362" s="642">
        <v>26</v>
      </c>
      <c r="Z362" s="642" t="str">
        <f>'14. Project Costs'!C89</f>
        <v>Title and Recording</v>
      </c>
      <c r="AA362" s="295">
        <f>'14. Project Costs'!F89</f>
        <v>0</v>
      </c>
      <c r="AB362" s="642" t="s">
        <v>3089</v>
      </c>
      <c r="AC362" s="289" t="str">
        <f>IF($Z$2="","",AA362)</f>
        <v/>
      </c>
      <c r="AD362" s="642"/>
      <c r="AE362" s="642"/>
    </row>
    <row r="363" spans="1:31">
      <c r="A363" t="s">
        <v>3090</v>
      </c>
      <c r="B363" s="39"/>
      <c r="X363" s="181"/>
      <c r="Y363" s="642">
        <v>27</v>
      </c>
      <c r="Z363" s="642" t="str">
        <f>'14. Project Costs'!C91</f>
        <v>Construction Insurance</v>
      </c>
      <c r="AA363" s="295">
        <f>'14. Project Costs'!F91</f>
        <v>0</v>
      </c>
      <c r="AB363" s="642" t="s">
        <v>3091</v>
      </c>
      <c r="AC363" s="289" t="str">
        <f>IF($Z$2="","",AA363)</f>
        <v/>
      </c>
      <c r="AD363" s="642"/>
      <c r="AE363" s="642"/>
    </row>
    <row r="364" spans="1:31">
      <c r="A364" t="s">
        <v>3092</v>
      </c>
      <c r="B364" s="39"/>
      <c r="X364" s="181"/>
      <c r="Y364" s="642">
        <v>28</v>
      </c>
      <c r="Z364" s="642" t="str">
        <f>'14. Project Costs'!C94</f>
        <v>Temporary Relocation Expenses</v>
      </c>
      <c r="AA364" s="295">
        <f>'14. Project Costs'!F94</f>
        <v>0</v>
      </c>
      <c r="AB364" s="642" t="s">
        <v>3093</v>
      </c>
      <c r="AC364" s="289" t="str">
        <f>IF($Z$2="","",AA364+AA365)</f>
        <v/>
      </c>
      <c r="AD364" s="642"/>
      <c r="AE364" s="642"/>
    </row>
    <row r="365" spans="1:31">
      <c r="A365" t="s">
        <v>3094</v>
      </c>
      <c r="B365" s="41" t="s">
        <v>2963</v>
      </c>
      <c r="C365" s="1767" t="s">
        <v>2964</v>
      </c>
      <c r="D365" s="1767" t="s">
        <v>2965</v>
      </c>
      <c r="E365" s="1767" t="s">
        <v>2966</v>
      </c>
      <c r="F365" s="1767" t="s">
        <v>244</v>
      </c>
      <c r="X365" s="181"/>
      <c r="Y365" s="642">
        <v>28</v>
      </c>
      <c r="Z365" s="642" t="str">
        <f>'14. Project Costs'!C95</f>
        <v>Permanent Relocation Expenses</v>
      </c>
      <c r="AA365" s="295">
        <f>'14. Project Costs'!F95</f>
        <v>0</v>
      </c>
      <c r="AB365" s="642" t="s">
        <v>3095</v>
      </c>
      <c r="AC365" s="290"/>
      <c r="AD365" s="642"/>
      <c r="AE365" s="642"/>
    </row>
    <row r="366" spans="1:31">
      <c r="A366" t="s">
        <v>3096</v>
      </c>
      <c r="B366" s="39" t="s">
        <v>3097</v>
      </c>
      <c r="C366">
        <f>PC_CNT_Res_HC_Contingency_Total</f>
        <v>0</v>
      </c>
      <c r="D366" s="279">
        <f>IF(OR(Credit_percentage_applied_for="4%",Credit_percentage_applied_for="State + Fed 4%"), PC_CNT_Res_HC_Contingency, 0)</f>
        <v>0</v>
      </c>
      <c r="E366">
        <f>IF(Credit_percentage_applied_for="9%", PC_CNT_Res_HC_Contingency, 0)</f>
        <v>0</v>
      </c>
      <c r="F366">
        <f>PC_CNT_Res_HC_Contingency_State</f>
        <v>0</v>
      </c>
      <c r="G366" t="s">
        <v>19</v>
      </c>
      <c r="H366" t="s">
        <v>3098</v>
      </c>
      <c r="I366" t="s">
        <v>3099</v>
      </c>
      <c r="X366" s="181"/>
      <c r="Y366" s="642">
        <v>29</v>
      </c>
      <c r="Z366" s="642" t="str">
        <f>'14. Project Costs'!C96</f>
        <v>Other Interim/Construction Costs</v>
      </c>
      <c r="AA366" s="295">
        <f>'14. Project Costs'!F96</f>
        <v>0</v>
      </c>
      <c r="AB366" s="642" t="s">
        <v>3100</v>
      </c>
      <c r="AC366" s="289" t="str">
        <f>IF($Z$2="","",AA366)</f>
        <v/>
      </c>
      <c r="AD366" s="642" t="s">
        <v>3101</v>
      </c>
      <c r="AE366" s="289" t="str">
        <f>Z366</f>
        <v>Other Interim/Construction Costs</v>
      </c>
    </row>
    <row r="367" spans="1:31">
      <c r="A367" t="s">
        <v>3102</v>
      </c>
      <c r="B367" s="39" t="s">
        <v>3103</v>
      </c>
      <c r="C367">
        <f>PC_CNT_Res_SC_Contingency_Total</f>
        <v>0</v>
      </c>
      <c r="D367">
        <f>IF(OR(Credit_percentage_applied_for="4%",Credit_percentage_applied_for="State + Fed 4%"), PC_CNT_Res_SC_Contingency, 0)</f>
        <v>0</v>
      </c>
      <c r="E367">
        <f>IF(Credit_percentage_applied_for="9%", PC_CNT_Res_SC_Contingency, 0)</f>
        <v>0</v>
      </c>
      <c r="F367">
        <f>PC_CNT_Res_SC_Contingency_State</f>
        <v>0</v>
      </c>
      <c r="H367" t="s">
        <v>3104</v>
      </c>
      <c r="I367" t="s">
        <v>3105</v>
      </c>
      <c r="X367" s="181"/>
      <c r="Y367" s="642"/>
      <c r="Z367" s="642"/>
      <c r="AA367" s="642"/>
      <c r="AB367" s="642"/>
      <c r="AC367" s="642"/>
      <c r="AD367" s="642"/>
      <c r="AE367" s="642"/>
    </row>
    <row r="368" spans="1:31">
      <c r="A368" t="s">
        <v>3106</v>
      </c>
      <c r="B368" s="39"/>
      <c r="X368" s="181"/>
      <c r="Y368" s="642">
        <v>30</v>
      </c>
      <c r="Z368" s="642" t="str">
        <f>'14. Project Costs'!C101</f>
        <v>Permanent Loan Origination Fee - Non WHEDA</v>
      </c>
      <c r="AA368" s="295">
        <f>'14. Project Costs'!F101</f>
        <v>0</v>
      </c>
      <c r="AB368" s="642" t="s">
        <v>3107</v>
      </c>
      <c r="AC368" s="289" t="str">
        <f>IF($Z$2="","",AA368)</f>
        <v/>
      </c>
      <c r="AD368" s="642" t="s">
        <v>3108</v>
      </c>
      <c r="AE368" s="289" t="str">
        <f>Z368</f>
        <v>Permanent Loan Origination Fee - Non WHEDA</v>
      </c>
    </row>
    <row r="369" spans="1:31">
      <c r="A369" t="s">
        <v>3109</v>
      </c>
      <c r="B369" s="39"/>
      <c r="X369" s="181"/>
      <c r="Y369" s="642">
        <v>19</v>
      </c>
      <c r="Z369" s="642" t="str">
        <f>'14. Project Costs'!C102</f>
        <v>Permanent Loan Origination Fee - WHEDA</v>
      </c>
      <c r="AA369" s="295">
        <f>'14. Project Costs'!F102</f>
        <v>0</v>
      </c>
      <c r="AB369" s="642" t="s">
        <v>3058</v>
      </c>
      <c r="AC369" s="290"/>
      <c r="AD369" s="642"/>
      <c r="AE369" s="642"/>
    </row>
    <row r="370" spans="1:31">
      <c r="A370" t="s">
        <v>3110</v>
      </c>
      <c r="B370" s="39"/>
      <c r="X370" s="181"/>
      <c r="Y370" s="642">
        <v>31</v>
      </c>
      <c r="Z370" s="642" t="str">
        <f>'14. Project Costs'!C105</f>
        <v>Permanent Loan Credit Enhancement</v>
      </c>
      <c r="AA370" s="295">
        <f>'14. Project Costs'!F105</f>
        <v>0</v>
      </c>
      <c r="AB370" s="642" t="s">
        <v>3111</v>
      </c>
      <c r="AC370" s="289" t="str">
        <f>IF($Z$2="","",AA370)</f>
        <v/>
      </c>
      <c r="AD370" s="642"/>
      <c r="AE370" s="642"/>
    </row>
    <row r="371" spans="1:31">
      <c r="A371" t="s">
        <v>3112</v>
      </c>
      <c r="B371" s="39"/>
      <c r="X371" s="181"/>
      <c r="Y371" s="642">
        <v>32</v>
      </c>
      <c r="Z371" s="642" t="str">
        <f>'14. Project Costs'!C108</f>
        <v>Legal Fees - Real Estate</v>
      </c>
      <c r="AA371" s="295">
        <f>'14. Project Costs'!F108</f>
        <v>0</v>
      </c>
      <c r="AB371" s="642" t="s">
        <v>3113</v>
      </c>
      <c r="AC371" s="289" t="str">
        <f>IF($Z$2="","",AA371)</f>
        <v/>
      </c>
      <c r="AD371" s="642"/>
      <c r="AE371" s="642"/>
    </row>
    <row r="372" spans="1:31">
      <c r="A372" t="s">
        <v>3114</v>
      </c>
      <c r="B372" s="39"/>
      <c r="X372" s="181"/>
      <c r="Y372" s="642">
        <v>33</v>
      </c>
      <c r="Z372" s="642" t="str">
        <f>'14. Project Costs'!C109</f>
        <v>Other Financing Fees and Expenses</v>
      </c>
      <c r="AA372" s="295">
        <f>'14. Project Costs'!F109</f>
        <v>0</v>
      </c>
      <c r="AB372" s="642" t="s">
        <v>3115</v>
      </c>
      <c r="AC372" s="289" t="str">
        <f>IF($Z$2="","",AA372)</f>
        <v/>
      </c>
      <c r="AD372" s="642" t="s">
        <v>3116</v>
      </c>
      <c r="AE372" s="289" t="str">
        <f>Z372</f>
        <v>Other Financing Fees and Expenses</v>
      </c>
    </row>
    <row r="373" spans="1:31">
      <c r="A373" t="s">
        <v>3117</v>
      </c>
      <c r="B373" s="39" t="s">
        <v>3118</v>
      </c>
      <c r="C373" s="56">
        <f>PC_CSP_WHEDA_Constr_Loan_Total</f>
        <v>0</v>
      </c>
      <c r="D373" s="182">
        <f>IF(OR(Credit_percentage_applied_for="4%",Credit_percentage_applied_for="State + Fed 4%"), PC_CSP_WHEDA_Constr_Loan, 0)</f>
        <v>0</v>
      </c>
      <c r="E373" s="182">
        <f>IF(Credit_percentage_applied_for="9%", PC_CSP_WHEDA_Constr_Loan, 0)</f>
        <v>0</v>
      </c>
      <c r="F373" s="182">
        <f>PC_CSP_WHEDA_Constr_Loan_State</f>
        <v>0</v>
      </c>
      <c r="H373" t="s">
        <v>3119</v>
      </c>
      <c r="I373" t="s">
        <v>3120</v>
      </c>
      <c r="X373" s="181"/>
      <c r="Y373" s="642"/>
      <c r="Z373" s="642"/>
      <c r="AA373" s="642"/>
      <c r="AB373" s="642"/>
      <c r="AC373" s="642"/>
      <c r="AD373" s="642"/>
      <c r="AE373" s="642"/>
    </row>
    <row r="374" spans="1:31">
      <c r="A374" t="s">
        <v>3121</v>
      </c>
      <c r="B374" s="39" t="s">
        <v>3122</v>
      </c>
      <c r="C374" s="56">
        <f>PC_CSP_WHEDA_Other_Finan_Total</f>
        <v>0</v>
      </c>
      <c r="D374" s="182">
        <f>IF(OR(Credit_percentage_applied_for="4%",Credit_percentage_applied_for="State + Fed 4%"), PC_CSP_WHEDA_Other_Finan, 0)</f>
        <v>0</v>
      </c>
      <c r="E374" s="182">
        <f>IF(Credit_percentage_applied_for="9%", PC_CSP_WHEDA_Other_Finan, 0)</f>
        <v>0</v>
      </c>
      <c r="F374" s="182">
        <f>PC_CSP_WHEDA_Other_Finan_State</f>
        <v>0</v>
      </c>
      <c r="H374" t="s">
        <v>3123</v>
      </c>
      <c r="I374" t="s">
        <v>3124</v>
      </c>
      <c r="X374" s="181"/>
      <c r="Y374" s="642">
        <v>34</v>
      </c>
      <c r="Z374" s="642" t="str">
        <f>'14. Project Costs'!C112</f>
        <v>Architect's Fee - Design</v>
      </c>
      <c r="AA374" s="295">
        <f>'14. Project Costs'!F112</f>
        <v>0</v>
      </c>
      <c r="AB374" s="642" t="s">
        <v>3125</v>
      </c>
      <c r="AC374" s="289" t="str">
        <f>IF($Z$2="","",AA374)</f>
        <v/>
      </c>
      <c r="AD374" s="642"/>
      <c r="AE374" s="642"/>
    </row>
    <row r="375" spans="1:31">
      <c r="A375" t="s">
        <v>3126</v>
      </c>
      <c r="B375" s="39"/>
      <c r="X375" s="181"/>
      <c r="Y375" s="642">
        <v>35</v>
      </c>
      <c r="Z375" s="642" t="str">
        <f>'14. Project Costs'!C113</f>
        <v>Architect's Fee - Inspection/Supervision</v>
      </c>
      <c r="AA375" s="295">
        <f>'14. Project Costs'!F113</f>
        <v>0</v>
      </c>
      <c r="AB375" s="642" t="s">
        <v>3127</v>
      </c>
      <c r="AC375" s="289" t="str">
        <f>IF($Z$2="","",AA375)</f>
        <v/>
      </c>
      <c r="AD375" s="642"/>
      <c r="AE375" s="642"/>
    </row>
    <row r="376" spans="1:31">
      <c r="A376" t="s">
        <v>3128</v>
      </c>
      <c r="B376" s="39"/>
      <c r="X376" s="181"/>
      <c r="Y376" s="642">
        <v>36</v>
      </c>
      <c r="Z376" s="642" t="str">
        <f>'14. Project Costs'!C114</f>
        <v>Engineering Costs</v>
      </c>
      <c r="AA376" s="295">
        <f>'14. Project Costs'!F114</f>
        <v>0</v>
      </c>
      <c r="AB376" s="642" t="s">
        <v>3129</v>
      </c>
      <c r="AC376" s="289" t="str">
        <f>IF($Z$2="","",AA376)</f>
        <v/>
      </c>
      <c r="AD376" s="642"/>
      <c r="AE376" s="642"/>
    </row>
    <row r="377" spans="1:31" ht="15.75">
      <c r="A377" t="s">
        <v>3130</v>
      </c>
      <c r="B377" s="40" t="s">
        <v>3131</v>
      </c>
      <c r="X377" s="181"/>
      <c r="Y377" s="642">
        <v>37</v>
      </c>
      <c r="Z377" s="642" t="str">
        <f>'14. Project Costs'!C115</f>
        <v xml:space="preserve">Survey </v>
      </c>
      <c r="AA377" s="295">
        <f>'14. Project Costs'!F115</f>
        <v>0</v>
      </c>
      <c r="AB377" s="642" t="s">
        <v>3132</v>
      </c>
      <c r="AC377" s="289" t="str">
        <f>IF($Z$2="","",AA377)</f>
        <v/>
      </c>
      <c r="AD377" s="642"/>
      <c r="AE377" s="642"/>
    </row>
    <row r="378" spans="1:31">
      <c r="A378" t="s">
        <v>3133</v>
      </c>
      <c r="X378" s="181"/>
      <c r="Y378" s="642">
        <v>38</v>
      </c>
      <c r="Z378" s="642" t="str">
        <f>'14. Project Costs'!C116</f>
        <v>Other Architect and Engineering</v>
      </c>
      <c r="AA378" s="295">
        <f>'14. Project Costs'!F116</f>
        <v>0</v>
      </c>
      <c r="AB378" s="642" t="s">
        <v>3134</v>
      </c>
      <c r="AC378" s="289" t="str">
        <f>IF($Z$2="","",AA378)</f>
        <v/>
      </c>
      <c r="AD378" s="642" t="s">
        <v>3135</v>
      </c>
      <c r="AE378" s="289" t="str">
        <f>Z378</f>
        <v>Other Architect and Engineering</v>
      </c>
    </row>
    <row r="379" spans="1:31">
      <c r="A379" t="s">
        <v>3136</v>
      </c>
      <c r="B379" s="41" t="s">
        <v>2963</v>
      </c>
      <c r="C379" s="1767" t="s">
        <v>2964</v>
      </c>
      <c r="D379" s="1767" t="s">
        <v>2965</v>
      </c>
      <c r="E379" s="1767" t="s">
        <v>2966</v>
      </c>
      <c r="F379" s="1767" t="s">
        <v>244</v>
      </c>
      <c r="X379" s="181"/>
      <c r="Y379" s="642"/>
      <c r="Z379" s="642"/>
      <c r="AA379" s="642"/>
      <c r="AB379" s="642"/>
      <c r="AC379" s="642"/>
      <c r="AD379" s="642"/>
      <c r="AE379" s="642"/>
    </row>
    <row r="380" spans="1:31">
      <c r="A380" t="s">
        <v>3137</v>
      </c>
      <c r="B380" t="s">
        <v>3138</v>
      </c>
      <c r="C380">
        <f>PC_CSP_Bond_Issuance_Fee_Total</f>
        <v>0</v>
      </c>
      <c r="D380" s="280"/>
      <c r="E380" s="281"/>
      <c r="F380" s="281"/>
      <c r="X380" s="181"/>
      <c r="Y380" s="642">
        <v>39</v>
      </c>
      <c r="Z380" s="642" t="str">
        <f>'14. Project Costs'!C119</f>
        <v>Organizational (Partnership)</v>
      </c>
      <c r="AA380" s="295">
        <f>'14. Project Costs'!F119</f>
        <v>0</v>
      </c>
      <c r="AB380" s="642" t="s">
        <v>3139</v>
      </c>
      <c r="AC380" s="289" t="str">
        <f>IF($Z$2="","",AA380)</f>
        <v/>
      </c>
      <c r="AD380" s="642"/>
      <c r="AE380" s="642"/>
    </row>
    <row r="381" spans="1:31">
      <c r="A381" t="s">
        <v>3140</v>
      </c>
      <c r="X381" s="181"/>
      <c r="Y381" s="642">
        <v>40</v>
      </c>
      <c r="Z381" s="642" t="str">
        <f>'14. Project Costs'!C121</f>
        <v>Tax Opinion</v>
      </c>
      <c r="AA381" s="295">
        <f>'14. Project Costs'!F121</f>
        <v>0</v>
      </c>
      <c r="AB381" s="642" t="s">
        <v>3141</v>
      </c>
      <c r="AC381" s="289" t="str">
        <f>IF($Z$2="","",AA381+AA382)</f>
        <v/>
      </c>
      <c r="AD381" s="642"/>
      <c r="AE381" s="642"/>
    </row>
    <row r="382" spans="1:31">
      <c r="A382" t="s">
        <v>3142</v>
      </c>
      <c r="X382" s="181"/>
      <c r="Y382" s="642">
        <v>40</v>
      </c>
      <c r="Z382" s="642" t="str">
        <f>'14. Project Costs'!C122</f>
        <v>Other Syndication Costs</v>
      </c>
      <c r="AA382" s="295">
        <f>'14. Project Costs'!F122</f>
        <v>0</v>
      </c>
      <c r="AB382" s="642" t="s">
        <v>3143</v>
      </c>
      <c r="AC382" s="290"/>
      <c r="AD382" s="642"/>
      <c r="AE382" s="642"/>
    </row>
    <row r="383" spans="1:31">
      <c r="A383" t="s">
        <v>3144</v>
      </c>
      <c r="B383" t="s">
        <v>3145</v>
      </c>
      <c r="C383">
        <f>PC_CSP_Predev_Bridge_Loan_Int_Total</f>
        <v>0</v>
      </c>
      <c r="D383" s="279">
        <f>IF(OR(Credit_percentage_applied_for="4%",Credit_percentage_applied_for="State + Fed 4%"), '14. Project Costs'!K77, 0)</f>
        <v>0</v>
      </c>
      <c r="E383" s="279">
        <f>IF(Credit_percentage_applied_for="9%", '14. Project Costs'!K77, 0)</f>
        <v>0</v>
      </c>
      <c r="F383" s="279">
        <f>'14. Project Costs'!L77</f>
        <v>0</v>
      </c>
      <c r="H383" s="50" t="s">
        <v>3146</v>
      </c>
      <c r="X383" s="181"/>
      <c r="Y383" s="642"/>
      <c r="Z383" s="642"/>
      <c r="AA383" s="642"/>
      <c r="AB383" s="642"/>
      <c r="AC383" s="642"/>
      <c r="AD383" s="642"/>
      <c r="AE383" s="642"/>
    </row>
    <row r="384" spans="1:31">
      <c r="A384" t="s">
        <v>3147</v>
      </c>
      <c r="H384" s="50"/>
      <c r="X384" s="181"/>
      <c r="Y384" s="642">
        <v>41</v>
      </c>
      <c r="Z384" s="642" t="str">
        <f>'14. Project Costs'!C125</f>
        <v>Operating Reserve</v>
      </c>
      <c r="AA384" s="295">
        <f>'14. Project Costs'!F125</f>
        <v>0</v>
      </c>
      <c r="AB384" s="642" t="s">
        <v>3148</v>
      </c>
      <c r="AC384" s="289" t="str">
        <f>IF($Z$2="","",AA384+AA387+AA388+AA390+AA389)</f>
        <v/>
      </c>
      <c r="AD384" s="642"/>
      <c r="AE384" s="642"/>
    </row>
    <row r="385" spans="1:31">
      <c r="A385" t="s">
        <v>3149</v>
      </c>
      <c r="H385" s="50"/>
      <c r="I385" s="50"/>
      <c r="X385" s="181"/>
      <c r="Y385" s="642">
        <v>42</v>
      </c>
      <c r="Z385" s="642" t="str">
        <f>'14. Project Costs'!C126</f>
        <v>Replacement Reserve</v>
      </c>
      <c r="AA385" s="295">
        <f>'14. Project Costs'!F126</f>
        <v>0</v>
      </c>
      <c r="AB385" s="642" t="s">
        <v>3150</v>
      </c>
      <c r="AC385" s="289" t="str">
        <f>IF($Z$2="","",AA385)</f>
        <v/>
      </c>
      <c r="AD385" s="642"/>
      <c r="AE385" s="642"/>
    </row>
    <row r="386" spans="1:31">
      <c r="A386" t="s">
        <v>3151</v>
      </c>
      <c r="C386">
        <f>PC_CSP_Constr_Period_Int_Total</f>
        <v>0</v>
      </c>
      <c r="D386">
        <f>IF(OR(Credit_percentage_applied_for="4%",Credit_percentage_applied_for="State + Fed 4%"), PC_CSP_Constr_Period_Int_4, 0)</f>
        <v>0</v>
      </c>
      <c r="E386">
        <f>IF(Credit_percentage_applied_for="9%", PC_CSP_Constr_Period_Int_4, 0)</f>
        <v>0</v>
      </c>
      <c r="F386">
        <f>PC_CSP_Constr_Period_Int_State</f>
        <v>0</v>
      </c>
      <c r="H386" s="50" t="s">
        <v>17</v>
      </c>
      <c r="I386" s="50"/>
      <c r="X386" s="181"/>
      <c r="Y386" s="642">
        <v>43</v>
      </c>
      <c r="Z386" s="642" t="str">
        <f>'14. Project Costs'!C127</f>
        <v>Lease-up Operating Deficit</v>
      </c>
      <c r="AA386" s="295">
        <f>'14. Project Costs'!F127</f>
        <v>0</v>
      </c>
      <c r="AB386" s="642" t="s">
        <v>3152</v>
      </c>
      <c r="AC386" s="289" t="str">
        <f>IF($Z$2="","",AA386)</f>
        <v/>
      </c>
      <c r="AD386" s="642"/>
      <c r="AE386" s="642"/>
    </row>
    <row r="387" spans="1:31">
      <c r="A387" t="s">
        <v>3153</v>
      </c>
      <c r="B387" t="s">
        <v>3154</v>
      </c>
      <c r="C387">
        <f>PC_CSP_LU_Period_Constr_Total+C386</f>
        <v>0</v>
      </c>
      <c r="D387">
        <f>IF(OR(Credit_percentage_applied_for="4%",Credit_percentage_applied_for="State + Fed 4%"), PC_CSP_LU_Period_Constr_4+D386, 0)</f>
        <v>0</v>
      </c>
      <c r="E387">
        <f>IF(Credit_percentage_applied_for="9%", PC_CSP_LU_Period_Constr_4 + E386, 0)</f>
        <v>0</v>
      </c>
      <c r="F387">
        <f>PC_CSP_LU_Period_Constr_State+F386</f>
        <v>0</v>
      </c>
      <c r="H387" s="50" t="s">
        <v>3155</v>
      </c>
      <c r="I387" s="50" t="s">
        <v>3156</v>
      </c>
      <c r="X387" s="181"/>
      <c r="Y387" s="642">
        <v>41</v>
      </c>
      <c r="Z387" s="642" t="str">
        <f>'14. Project Costs'!C128</f>
        <v>Debt Service Reserve</v>
      </c>
      <c r="AA387" s="295">
        <f>'14. Project Costs'!F128</f>
        <v>0</v>
      </c>
      <c r="AB387" s="642" t="s">
        <v>3157</v>
      </c>
      <c r="AC387" s="290"/>
      <c r="AD387" s="642"/>
      <c r="AE387" s="642"/>
    </row>
    <row r="388" spans="1:31">
      <c r="A388" t="s">
        <v>3158</v>
      </c>
      <c r="H388" s="50"/>
      <c r="I388" s="50"/>
      <c r="X388" s="181"/>
      <c r="Y388" s="642">
        <v>41</v>
      </c>
      <c r="Z388" s="642" t="str">
        <f>'14. Project Costs'!C129</f>
        <v>Capital Needs Reserve</v>
      </c>
      <c r="AA388" s="295">
        <f>'14. Project Costs'!F129</f>
        <v>0</v>
      </c>
      <c r="AB388" s="642" t="s">
        <v>3157</v>
      </c>
      <c r="AC388" s="290"/>
      <c r="AD388" s="642"/>
      <c r="AE388" s="642"/>
    </row>
    <row r="389" spans="1:31">
      <c r="A389" t="s">
        <v>3159</v>
      </c>
      <c r="H389" s="50"/>
      <c r="I389" s="50"/>
      <c r="X389" s="181"/>
      <c r="Y389" s="642">
        <v>41</v>
      </c>
      <c r="Z389" s="642" t="str">
        <f>'14. Project Costs'!C130</f>
        <v>Other Reserves</v>
      </c>
      <c r="AA389" s="295">
        <f>'14. Project Costs'!F130</f>
        <v>0</v>
      </c>
      <c r="AB389" s="642" t="s">
        <v>3157</v>
      </c>
      <c r="AC389" s="290"/>
      <c r="AD389" s="642"/>
      <c r="AE389" s="642"/>
    </row>
    <row r="390" spans="1:31">
      <c r="A390" t="s">
        <v>3160</v>
      </c>
      <c r="B390" t="s">
        <v>3161</v>
      </c>
      <c r="C390">
        <f>PC_CSP_Other_Lender_Fees_Total</f>
        <v>0</v>
      </c>
      <c r="D390">
        <f>IF(OR(Credit_percentage_applied_for="4%",Credit_percentage_applied_for="State + Fed 4%"), PC_CSP_Other_Lender_Fees_4, 0)</f>
        <v>0</v>
      </c>
      <c r="E390">
        <f>IF(Credit_percentage_applied_for="9%", PC_CSP_Other_Lender_Fees_4, 0)</f>
        <v>0</v>
      </c>
      <c r="F390">
        <f>PC_CSP_Other_Lender_Fees_State</f>
        <v>0</v>
      </c>
      <c r="H390" s="50" t="s">
        <v>3162</v>
      </c>
      <c r="I390" s="50" t="s">
        <v>3163</v>
      </c>
      <c r="X390" s="181"/>
      <c r="Y390" s="642">
        <v>41</v>
      </c>
      <c r="Z390" s="642" t="str">
        <f>'14. Project Costs'!C131</f>
        <v>Escrows</v>
      </c>
      <c r="AA390" s="295">
        <f>'14. Project Costs'!F131</f>
        <v>0</v>
      </c>
      <c r="AB390" s="642" t="s">
        <v>3157</v>
      </c>
      <c r="AC390" s="290"/>
      <c r="AD390" s="642"/>
      <c r="AE390" s="642"/>
    </row>
    <row r="391" spans="1:31">
      <c r="A391" t="s">
        <v>3164</v>
      </c>
      <c r="C391" s="51"/>
      <c r="D391" s="51"/>
      <c r="E391" s="51"/>
      <c r="F391" s="51"/>
      <c r="G391" s="51"/>
      <c r="H391" s="624"/>
      <c r="I391" s="624"/>
      <c r="J391" s="51"/>
      <c r="K391" s="51"/>
      <c r="X391" s="181"/>
      <c r="Y391" s="642"/>
      <c r="Z391" s="642"/>
      <c r="AA391" s="642"/>
      <c r="AB391" s="642"/>
      <c r="AC391" s="642"/>
      <c r="AD391" s="642"/>
      <c r="AE391" s="642"/>
    </row>
    <row r="392" spans="1:31">
      <c r="A392" t="s">
        <v>3165</v>
      </c>
      <c r="C392" s="51"/>
      <c r="D392" s="51"/>
      <c r="E392" s="51"/>
      <c r="F392" s="51"/>
      <c r="G392" s="51"/>
      <c r="H392" s="624"/>
      <c r="I392" s="624"/>
      <c r="J392" s="51"/>
      <c r="K392" s="51"/>
      <c r="X392" s="181"/>
      <c r="Y392" s="642">
        <v>44</v>
      </c>
      <c r="Z392" s="642" t="str">
        <f>'14. Project Costs'!C136</f>
        <v>Appraisal(s)</v>
      </c>
      <c r="AA392" s="295">
        <f>'14. Project Costs'!F136</f>
        <v>0</v>
      </c>
      <c r="AB392" s="642" t="s">
        <v>3166</v>
      </c>
      <c r="AC392" s="289" t="str">
        <f>IF($Z$2="","",AA392)</f>
        <v/>
      </c>
      <c r="AD392" s="642"/>
      <c r="AE392" s="642"/>
    </row>
    <row r="393" spans="1:31">
      <c r="A393" t="s">
        <v>3167</v>
      </c>
      <c r="B393" t="s">
        <v>3168</v>
      </c>
      <c r="C393" s="51">
        <f>PC_CSP_Credit_Enhance_Fee_Total</f>
        <v>0</v>
      </c>
      <c r="D393" s="51">
        <f>IF(OR(Credit_percentage_applied_for="4%",Credit_percentage_applied_for="State + Fed 4%"),PC_CSP_Credit_Enhance_Fee_4,0)</f>
        <v>0</v>
      </c>
      <c r="E393" s="51">
        <f>IF(Credit_percentage_applied_for="9%", PC_CSP_Credit_Enhance_Fee_4, 0)</f>
        <v>0</v>
      </c>
      <c r="F393" s="51">
        <f>PC_CSP_Credit_Enhance_Fee_State</f>
        <v>0</v>
      </c>
      <c r="G393" s="51"/>
      <c r="H393" s="624" t="s">
        <v>3169</v>
      </c>
      <c r="I393" s="624" t="s">
        <v>3170</v>
      </c>
      <c r="J393" s="51"/>
      <c r="K393" s="51"/>
      <c r="X393" s="181"/>
      <c r="Y393" s="642">
        <v>45</v>
      </c>
      <c r="Z393" s="642" t="str">
        <f>'14. Project Costs'!C137</f>
        <v>Market Study</v>
      </c>
      <c r="AA393" s="295">
        <f>'14. Project Costs'!F137</f>
        <v>0</v>
      </c>
      <c r="AB393" s="642" t="s">
        <v>3171</v>
      </c>
      <c r="AC393" s="289" t="str">
        <f>IF($Z$2="","",AA393)</f>
        <v/>
      </c>
      <c r="AD393" s="642"/>
      <c r="AE393" s="642"/>
    </row>
    <row r="394" spans="1:31">
      <c r="A394" t="s">
        <v>3172</v>
      </c>
      <c r="B394" t="s">
        <v>3173</v>
      </c>
      <c r="C394" s="51">
        <f>PC_CSP_Taxes_During_Constr_Total</f>
        <v>0</v>
      </c>
      <c r="D394" s="51">
        <f>IF(OR(Credit_percentage_applied_for="4%",Credit_percentage_applied_for="State + Fed 4%"), PC_CSP_Taxes_During_Constr_4, 0)</f>
        <v>0</v>
      </c>
      <c r="E394" s="51">
        <f>IF(Credit_percentage_applied_for="9%", PC_CSP_Taxes_During_Constr_4, 0)</f>
        <v>0</v>
      </c>
      <c r="F394" s="51">
        <f>PC_CSP_Taxes_During_Constr_State</f>
        <v>0</v>
      </c>
      <c r="G394" s="51"/>
      <c r="H394" s="624" t="s">
        <v>3174</v>
      </c>
      <c r="I394" s="624" t="s">
        <v>3175</v>
      </c>
      <c r="J394" s="51"/>
      <c r="K394" s="51"/>
      <c r="X394" s="181"/>
      <c r="Y394" s="642">
        <v>46</v>
      </c>
      <c r="Z394" s="642" t="str">
        <f>'14. Project Costs'!C138</f>
        <v>Capital Needs Assessment Report</v>
      </c>
      <c r="AA394" s="295">
        <f>'14. Project Costs'!F138</f>
        <v>0</v>
      </c>
      <c r="AB394" s="642" t="s">
        <v>3176</v>
      </c>
      <c r="AC394" s="289" t="str">
        <f>IF($Z$2="","",AA394)</f>
        <v/>
      </c>
      <c r="AD394" s="642"/>
      <c r="AE394" s="642"/>
    </row>
    <row r="395" spans="1:31">
      <c r="A395" t="s">
        <v>3177</v>
      </c>
      <c r="B395" t="s">
        <v>3178</v>
      </c>
      <c r="C395" s="51">
        <f>PC_CSP_Title_Recording_Total</f>
        <v>0</v>
      </c>
      <c r="D395" s="51">
        <f>IF(OR(Credit_percentage_applied_for="4%",Credit_percentage_applied_for="State + Fed 4%"), PC_CSP_Title_Recording_4, 0)</f>
        <v>0</v>
      </c>
      <c r="E395" s="51">
        <f>IF(Credit_percentage_applied_for="9%", PC_CSP_Title_Recording_4, 0)</f>
        <v>0</v>
      </c>
      <c r="F395" s="51">
        <f>PC_CSP_Title_Recording_State</f>
        <v>0</v>
      </c>
      <c r="G395" s="51"/>
      <c r="H395" s="624" t="s">
        <v>3179</v>
      </c>
      <c r="I395" s="624" t="s">
        <v>3180</v>
      </c>
      <c r="J395" s="51"/>
      <c r="K395" s="51"/>
      <c r="X395" s="181"/>
      <c r="Y395" s="642">
        <v>47</v>
      </c>
      <c r="Z395" s="642" t="str">
        <f>'14. Project Costs'!C139</f>
        <v>Environmental Report</v>
      </c>
      <c r="AA395" s="295">
        <f>'14. Project Costs'!F139</f>
        <v>0</v>
      </c>
      <c r="AB395" s="642" t="s">
        <v>3181</v>
      </c>
      <c r="AC395" s="289" t="str">
        <f>IF($Z$2="","",AA395)</f>
        <v/>
      </c>
      <c r="AD395" s="642"/>
      <c r="AE395" s="642"/>
    </row>
    <row r="396" spans="1:31">
      <c r="A396" t="s">
        <v>3182</v>
      </c>
      <c r="C396" s="51"/>
      <c r="D396" s="51"/>
      <c r="E396" s="51"/>
      <c r="F396" s="51"/>
      <c r="G396" s="51"/>
      <c r="H396" s="624"/>
      <c r="I396" s="624"/>
      <c r="J396" s="51"/>
      <c r="K396" s="51"/>
      <c r="X396" s="181"/>
      <c r="Y396" s="642"/>
      <c r="Z396" s="642"/>
      <c r="AA396" s="642"/>
      <c r="AB396" s="642"/>
      <c r="AC396" s="642"/>
      <c r="AD396" s="642"/>
      <c r="AE396" s="642"/>
    </row>
    <row r="397" spans="1:31">
      <c r="A397" t="s">
        <v>3183</v>
      </c>
      <c r="B397" t="s">
        <v>3184</v>
      </c>
      <c r="C397" s="737">
        <f>PC_CSP_Constr_Hazard_insur_Total + PC_CSP_Constr_Liability_Total</f>
        <v>0</v>
      </c>
      <c r="D397" s="737">
        <f>IF(OR(Credit_percentage_applied_for="4%",Credit_percentage_applied_for="State + Fed 4%"), PC_CSP_Constr_Hazard_insur_4+PC_CSP_Constr_Liability_4, 0)</f>
        <v>0</v>
      </c>
      <c r="E397" s="737">
        <f>IF(Credit_percentage_applied_for="9%", PC_CSP_Constr_Hazard_insur_4+PC_CSP_Constr_Liability_4, 0)</f>
        <v>0</v>
      </c>
      <c r="F397" s="737">
        <f>PC_CSP_Constr_Hazard_insur_State</f>
        <v>0</v>
      </c>
      <c r="G397" s="691" t="s">
        <v>3185</v>
      </c>
      <c r="H397" s="624" t="s">
        <v>3186</v>
      </c>
      <c r="I397" s="624" t="s">
        <v>3187</v>
      </c>
      <c r="J397" s="51"/>
      <c r="K397" s="51"/>
      <c r="X397" s="181"/>
      <c r="Y397" s="642">
        <v>48</v>
      </c>
      <c r="Z397" s="642" t="str">
        <f>'14. Project Costs'!C152</f>
        <v xml:space="preserve">Tax Credit Application Fee </v>
      </c>
      <c r="AA397" s="295">
        <f>'14. Project Costs'!F152</f>
        <v>0</v>
      </c>
      <c r="AB397" s="642" t="s">
        <v>3188</v>
      </c>
      <c r="AC397" s="289" t="str">
        <f>IF($Z$2="","",AA397+AA398+AA399)</f>
        <v/>
      </c>
      <c r="AD397" s="642"/>
      <c r="AE397" s="642"/>
    </row>
    <row r="398" spans="1:31">
      <c r="A398" t="s">
        <v>3189</v>
      </c>
      <c r="C398" s="51"/>
      <c r="D398" s="51"/>
      <c r="E398" s="51"/>
      <c r="F398" s="51"/>
      <c r="G398" s="51"/>
      <c r="H398" s="624"/>
      <c r="I398" s="624"/>
      <c r="J398" s="51"/>
      <c r="K398" s="51"/>
      <c r="X398" s="181"/>
      <c r="Y398" s="642">
        <v>48</v>
      </c>
      <c r="Z398" s="642" t="str">
        <f>'14. Project Costs'!C153</f>
        <v xml:space="preserve">Tax Credit Allocation Fee </v>
      </c>
      <c r="AA398" s="295">
        <f>'14. Project Costs'!F153</f>
        <v>0</v>
      </c>
      <c r="AB398" s="642" t="s">
        <v>3190</v>
      </c>
      <c r="AC398" s="290"/>
      <c r="AD398" s="642"/>
      <c r="AE398" s="642"/>
    </row>
    <row r="399" spans="1:31">
      <c r="A399" t="s">
        <v>3191</v>
      </c>
      <c r="C399" s="51"/>
      <c r="D399" s="51"/>
      <c r="E399" s="51"/>
      <c r="F399" s="51"/>
      <c r="G399" s="51"/>
      <c r="H399" s="624"/>
      <c r="I399" s="51"/>
      <c r="J399" s="51"/>
      <c r="K399" s="51"/>
      <c r="X399" s="181"/>
      <c r="Y399" s="642">
        <v>48</v>
      </c>
      <c r="Z399" s="642" t="str">
        <f>'14. Project Costs'!C154</f>
        <v>Tax Credit Compliance Fee</v>
      </c>
      <c r="AA399" s="295">
        <f>'14. Project Costs'!F154</f>
        <v>0</v>
      </c>
      <c r="AB399" s="642" t="s">
        <v>3190</v>
      </c>
      <c r="AC399" s="290"/>
      <c r="AD399" s="642"/>
      <c r="AE399" s="642"/>
    </row>
    <row r="400" spans="1:31">
      <c r="A400" t="s">
        <v>3192</v>
      </c>
      <c r="B400" t="s">
        <v>3193</v>
      </c>
      <c r="C400" s="51">
        <f>PC_CSP_Temp_Reloocation_Total</f>
        <v>0</v>
      </c>
      <c r="D400" s="51">
        <f>IF(OR(Credit_percentage_applied_for="4%",Credit_percentage_applied_for="State + Fed 4%"), PC_CSP_Temp_Reloocation_4, 0)</f>
        <v>0</v>
      </c>
      <c r="E400" s="51">
        <f>IF(Credit_percentage_applied_for="9%", PC_CSP_Temp_Reloocation_4, 0)</f>
        <v>0</v>
      </c>
      <c r="F400" s="51">
        <f>PC_CSP_Temp_Relocation_State</f>
        <v>0</v>
      </c>
      <c r="G400" s="51"/>
      <c r="H400" s="50" t="s">
        <v>3194</v>
      </c>
      <c r="I400" s="624" t="s">
        <v>3195</v>
      </c>
      <c r="J400" s="51"/>
      <c r="K400" s="51"/>
      <c r="X400" s="181"/>
      <c r="Y400" s="642">
        <v>49</v>
      </c>
      <c r="Z400" s="642" t="str">
        <f>'14. Project Costs'!C156</f>
        <v>Water, Sewer, and Impact Fees</v>
      </c>
      <c r="AA400" s="295">
        <f>'14. Project Costs'!F156</f>
        <v>0</v>
      </c>
      <c r="AB400" s="642" t="s">
        <v>3196</v>
      </c>
      <c r="AC400" s="289" t="str">
        <f>IF($Z$2="","",AA400)</f>
        <v/>
      </c>
      <c r="AD400" s="642"/>
      <c r="AE400" s="642"/>
    </row>
    <row r="401" spans="1:31">
      <c r="A401" t="s">
        <v>3197</v>
      </c>
      <c r="B401" t="s">
        <v>3198</v>
      </c>
      <c r="C401" s="51">
        <f>PC_CSP_Perm_Relocation_Total</f>
        <v>0</v>
      </c>
      <c r="D401" s="277"/>
      <c r="E401" s="277"/>
      <c r="F401" s="277"/>
      <c r="G401" s="51"/>
      <c r="H401" s="50"/>
      <c r="I401" s="51"/>
      <c r="J401" s="51"/>
      <c r="K401" s="51"/>
      <c r="X401" s="181"/>
      <c r="Y401" s="642">
        <v>50</v>
      </c>
      <c r="Z401" s="642" t="str">
        <f>'14. Project Costs'!C159</f>
        <v>Cost Certification/Accounting Fees</v>
      </c>
      <c r="AA401" s="295">
        <f>'14. Project Costs'!F159</f>
        <v>0</v>
      </c>
      <c r="AB401" s="642" t="s">
        <v>3199</v>
      </c>
      <c r="AC401" s="289" t="str">
        <f>IF($Z$2="","",AA401)</f>
        <v/>
      </c>
      <c r="AD401" s="642"/>
      <c r="AE401" s="642"/>
    </row>
    <row r="402" spans="1:31">
      <c r="A402" t="s">
        <v>3200</v>
      </c>
      <c r="B402" t="s">
        <v>3201</v>
      </c>
      <c r="C402" s="51">
        <f>PC_CSP_Other_Constr_Costs_Total+C462</f>
        <v>0</v>
      </c>
      <c r="D402" s="51">
        <f>IF(OR(Credit_percentage_applied_for="4%",Credit_percentage_applied_for="State + Fed 4%"), PC_CSP_Other_Constr_Costs_4, 0)</f>
        <v>0</v>
      </c>
      <c r="E402" s="51">
        <f>IF(Credit_percentage_applied_for="9%", PC_CSP_Other_Constr_Costs_9, 0)</f>
        <v>0</v>
      </c>
      <c r="F402" s="51">
        <f>PC_CSP_Other_Constr_Costs_State</f>
        <v>0</v>
      </c>
      <c r="H402" s="50" t="s">
        <v>3202</v>
      </c>
      <c r="I402" s="51"/>
      <c r="J402" s="51"/>
      <c r="K402" s="51"/>
      <c r="X402" s="181"/>
      <c r="Y402" s="642">
        <v>51</v>
      </c>
      <c r="Z402" s="642" t="str">
        <f>'14. Project Costs'!C160</f>
        <v>Rent-Up Marketing Expense</v>
      </c>
      <c r="AA402" s="295">
        <f>'14. Project Costs'!F160</f>
        <v>0</v>
      </c>
      <c r="AB402" s="642" t="s">
        <v>3203</v>
      </c>
      <c r="AC402" s="289" t="str">
        <f>IF($Z$2="","",AA402)</f>
        <v/>
      </c>
      <c r="AD402" s="642"/>
      <c r="AE402" s="642"/>
    </row>
    <row r="403" spans="1:31">
      <c r="A403" t="s">
        <v>3204</v>
      </c>
      <c r="C403" s="51"/>
      <c r="D403" s="51"/>
      <c r="E403" s="51"/>
      <c r="F403" s="51"/>
      <c r="G403" s="51"/>
      <c r="I403" s="51"/>
      <c r="J403" s="51"/>
      <c r="K403" s="51"/>
      <c r="X403" s="181"/>
      <c r="Y403" s="642">
        <v>52</v>
      </c>
      <c r="Z403" s="642" t="str">
        <f>'14. Project Costs'!C162</f>
        <v>Mortgage Payoff - N/A for Tax Credit Application</v>
      </c>
      <c r="AA403" s="295">
        <f>'14. Project Costs'!F162</f>
        <v>0</v>
      </c>
      <c r="AB403" s="642" t="s">
        <v>3205</v>
      </c>
      <c r="AC403" s="289" t="str">
        <f>IF($Z$2="","",AA403)</f>
        <v/>
      </c>
      <c r="AD403" s="642" t="s">
        <v>3206</v>
      </c>
      <c r="AE403" s="289" t="str">
        <f>Z403</f>
        <v>Mortgage Payoff - N/A for Tax Credit Application</v>
      </c>
    </row>
    <row r="404" spans="1:31">
      <c r="A404" t="s">
        <v>3207</v>
      </c>
      <c r="C404" s="51"/>
      <c r="D404" s="51"/>
      <c r="E404" s="51"/>
      <c r="F404" s="51"/>
      <c r="G404" s="51"/>
      <c r="I404" s="51"/>
      <c r="J404" s="51"/>
      <c r="K404" s="51"/>
      <c r="X404" s="181"/>
      <c r="Y404" s="642">
        <v>53</v>
      </c>
      <c r="Z404" s="642" t="str">
        <f>'14. Project Costs'!C163</f>
        <v>Other Miscellaneous Costs</v>
      </c>
      <c r="AA404" s="295">
        <f>'14. Project Costs'!F163</f>
        <v>0</v>
      </c>
      <c r="AB404" s="642" t="s">
        <v>3208</v>
      </c>
      <c r="AC404" s="289" t="str">
        <f>IF($Z$2="","",AA404)</f>
        <v/>
      </c>
      <c r="AD404" s="642"/>
      <c r="AE404" s="642"/>
    </row>
    <row r="405" spans="1:31">
      <c r="A405" t="s">
        <v>3209</v>
      </c>
      <c r="B405" s="41" t="s">
        <v>2963</v>
      </c>
      <c r="C405" s="1767" t="s">
        <v>2964</v>
      </c>
      <c r="D405" s="1767" t="s">
        <v>2965</v>
      </c>
      <c r="E405" s="1767" t="s">
        <v>2966</v>
      </c>
      <c r="F405" s="1767" t="s">
        <v>244</v>
      </c>
      <c r="G405" s="51"/>
      <c r="H405" s="624"/>
      <c r="I405" s="51"/>
      <c r="J405" s="51"/>
      <c r="K405" s="51"/>
      <c r="X405" s="181"/>
      <c r="Y405" s="642"/>
      <c r="Z405" s="971"/>
      <c r="AA405" s="642"/>
      <c r="AB405" s="642"/>
      <c r="AC405" s="642"/>
      <c r="AD405" s="642"/>
      <c r="AE405" s="642"/>
    </row>
    <row r="406" spans="1:31">
      <c r="A406" t="s">
        <v>3210</v>
      </c>
      <c r="C406" s="51"/>
      <c r="D406" s="51"/>
      <c r="E406" s="51"/>
      <c r="F406" s="51"/>
      <c r="G406" s="51"/>
      <c r="H406" s="51"/>
      <c r="I406" s="51"/>
      <c r="J406" s="51"/>
      <c r="K406" s="51"/>
      <c r="X406" s="181"/>
      <c r="Y406" s="642">
        <v>54</v>
      </c>
      <c r="Z406" s="642" t="str">
        <f>'14. Project Costs'!C167</f>
        <v>Developer's Fee Received</v>
      </c>
      <c r="AA406" s="295">
        <f>'14. Project Costs'!F167</f>
        <v>0</v>
      </c>
      <c r="AB406" s="642" t="s">
        <v>3211</v>
      </c>
      <c r="AC406" s="289" t="str">
        <f>IF($Z$2="","",AA406+AA408+AA410)</f>
        <v/>
      </c>
      <c r="AD406" s="642"/>
      <c r="AE406" s="642"/>
    </row>
    <row r="407" spans="1:31">
      <c r="A407" t="s">
        <v>3212</v>
      </c>
      <c r="B407" t="s">
        <v>3213</v>
      </c>
      <c r="C407" s="51">
        <f>PC_FIN_Perm_Lender_Finan_Total</f>
        <v>0</v>
      </c>
      <c r="D407" s="51"/>
      <c r="E407" s="51"/>
      <c r="F407" s="51"/>
      <c r="G407" s="51"/>
      <c r="H407" s="51"/>
      <c r="I407" s="51"/>
      <c r="J407" s="51"/>
      <c r="K407" s="51"/>
      <c r="X407" s="181"/>
      <c r="Y407" s="642">
        <v>55</v>
      </c>
      <c r="Z407" s="642" t="str">
        <f>'14. Project Costs'!C168</f>
        <v>Developer's Fee - Deferred</v>
      </c>
      <c r="AA407" s="295">
        <f>'14. Project Costs'!F168</f>
        <v>0</v>
      </c>
      <c r="AB407" s="642" t="s">
        <v>3214</v>
      </c>
      <c r="AC407" s="289" t="str">
        <f>IF($Z$2="","",AA407)</f>
        <v/>
      </c>
      <c r="AD407" s="642" t="s">
        <v>3215</v>
      </c>
      <c r="AE407" s="289" t="str">
        <f>Z407</f>
        <v>Developer's Fee - Deferred</v>
      </c>
    </row>
    <row r="408" spans="1:31">
      <c r="A408" t="s">
        <v>3216</v>
      </c>
      <c r="B408" t="s">
        <v>3217</v>
      </c>
      <c r="C408" s="51">
        <f>PC_FIN_WHEDA_Perm_Loan_Total</f>
        <v>0</v>
      </c>
      <c r="D408" s="51"/>
      <c r="E408" s="51"/>
      <c r="F408" s="51"/>
      <c r="G408" s="51"/>
      <c r="H408" s="51"/>
      <c r="I408" s="51"/>
      <c r="J408" s="51"/>
      <c r="K408" s="51"/>
      <c r="X408" s="181"/>
      <c r="Y408" s="642">
        <v>54</v>
      </c>
      <c r="Z408" s="642" t="str">
        <f>'14. Project Costs'!C169</f>
        <v>Developer Overhead</v>
      </c>
      <c r="AA408" s="295">
        <f>'14. Project Costs'!F169</f>
        <v>0</v>
      </c>
      <c r="AB408" s="642" t="s">
        <v>3218</v>
      </c>
      <c r="AC408" s="290"/>
      <c r="AD408" s="642"/>
      <c r="AE408" s="642"/>
    </row>
    <row r="409" spans="1:31">
      <c r="A409" t="s">
        <v>3219</v>
      </c>
      <c r="C409" s="278"/>
      <c r="D409" s="51"/>
      <c r="E409" s="51"/>
      <c r="F409" s="51"/>
      <c r="G409" s="51"/>
      <c r="H409" s="51"/>
      <c r="I409" s="51"/>
      <c r="J409" s="51"/>
      <c r="K409" s="51"/>
      <c r="X409" s="181"/>
      <c r="Y409" s="642">
        <v>56</v>
      </c>
      <c r="Z409" s="642" t="str">
        <f>'14. Project Costs'!C170</f>
        <v>Consultants</v>
      </c>
      <c r="AA409" s="295">
        <f>'14. Project Costs'!F170</f>
        <v>0</v>
      </c>
      <c r="AB409" s="642" t="s">
        <v>3220</v>
      </c>
      <c r="AC409" s="289" t="str">
        <f>IF($Z$2="","",AA409)</f>
        <v/>
      </c>
      <c r="AD409" s="642"/>
      <c r="AE409" s="642"/>
    </row>
    <row r="410" spans="1:31">
      <c r="A410" t="s">
        <v>3221</v>
      </c>
      <c r="C410" s="278"/>
      <c r="D410" s="51"/>
      <c r="E410" s="51"/>
      <c r="F410" s="51"/>
      <c r="G410" s="51"/>
      <c r="H410" s="51"/>
      <c r="I410" s="51"/>
      <c r="J410" s="51"/>
      <c r="K410" s="51"/>
      <c r="X410" s="181"/>
      <c r="Y410" s="642">
        <v>54</v>
      </c>
      <c r="Z410" s="642" t="str">
        <f>'14. Project Costs'!C171</f>
        <v>Other Developer's Fees</v>
      </c>
      <c r="AA410" s="295">
        <f>'14. Project Costs'!F171</f>
        <v>0</v>
      </c>
      <c r="AB410" s="642" t="s">
        <v>3218</v>
      </c>
      <c r="AC410" s="290"/>
      <c r="AD410" s="642"/>
      <c r="AE410" s="642"/>
    </row>
    <row r="411" spans="1:31">
      <c r="A411" t="s">
        <v>3222</v>
      </c>
      <c r="B411" t="s">
        <v>3223</v>
      </c>
      <c r="C411" s="51">
        <f>PC_FIN_Credit_Enhance_Perm_Loan_Total</f>
        <v>0</v>
      </c>
      <c r="D411" s="277"/>
      <c r="E411" s="277"/>
      <c r="F411" s="277"/>
      <c r="G411" s="51"/>
      <c r="H411" s="51"/>
      <c r="I411" s="51"/>
      <c r="J411" s="51"/>
      <c r="K411" s="51"/>
      <c r="X411" s="181"/>
      <c r="Z411"/>
    </row>
    <row r="412" spans="1:31">
      <c r="A412" t="s">
        <v>3224</v>
      </c>
      <c r="C412" s="51"/>
      <c r="D412" s="277"/>
      <c r="E412" s="277"/>
      <c r="F412" s="277"/>
      <c r="G412" s="51"/>
      <c r="H412" s="51"/>
      <c r="I412" s="51"/>
      <c r="J412" s="51"/>
      <c r="K412" s="51"/>
      <c r="X412" s="181"/>
      <c r="Z412"/>
    </row>
    <row r="413" spans="1:31">
      <c r="A413" t="s">
        <v>3225</v>
      </c>
      <c r="C413" s="51"/>
      <c r="D413" s="277"/>
      <c r="E413" s="277"/>
      <c r="F413" s="277"/>
      <c r="G413" s="51"/>
      <c r="H413" s="51"/>
      <c r="I413" s="51"/>
      <c r="J413" s="51"/>
      <c r="K413" s="51"/>
      <c r="X413" s="181"/>
      <c r="Z413"/>
    </row>
    <row r="414" spans="1:31">
      <c r="A414" t="s">
        <v>3226</v>
      </c>
      <c r="B414" t="s">
        <v>3227</v>
      </c>
      <c r="C414" s="51">
        <f>PC_FIN_Legal_Fees_RE_Total</f>
        <v>0</v>
      </c>
      <c r="D414" s="51">
        <f>IF(OR(Credit_percentage_applied_for="4%",Credit_percentage_applied_for="State + Fed 4%"), '14. Project Costs'!K108, 0)</f>
        <v>0</v>
      </c>
      <c r="E414" s="51">
        <f>IF(Credit_percentage_applied_for="9%",  '14. Project Costs'!K108, 0)</f>
        <v>0</v>
      </c>
      <c r="F414" s="51">
        <f>'14. Project Costs'!L108</f>
        <v>0</v>
      </c>
      <c r="G414" s="51"/>
      <c r="H414" s="51"/>
      <c r="I414" s="51"/>
      <c r="J414" s="51"/>
      <c r="K414" s="51"/>
      <c r="X414" s="181"/>
      <c r="Z414"/>
    </row>
    <row r="415" spans="1:31">
      <c r="A415" t="s">
        <v>3228</v>
      </c>
      <c r="B415" t="s">
        <v>3229</v>
      </c>
      <c r="C415" s="51">
        <f>PC_FIN_Other_Perm_Finan_Total</f>
        <v>0</v>
      </c>
      <c r="D415" s="51">
        <f>IF(OR(Credit_percentage_applied_for="4%",Credit_percentage_applied_for="State + Fed 4%"), '14. Project Costs'!K109, 0)</f>
        <v>0</v>
      </c>
      <c r="E415" s="51">
        <f>IF(Credit_percentage_applied_for="9%", '14. Project Costs'!K109, 0)</f>
        <v>0</v>
      </c>
      <c r="F415" s="51">
        <f>'14. Project Costs'!L109</f>
        <v>0</v>
      </c>
      <c r="G415" s="51"/>
      <c r="H415" s="51"/>
      <c r="I415" s="51"/>
      <c r="J415" s="51"/>
      <c r="K415" s="51"/>
      <c r="X415" s="181"/>
      <c r="Z415"/>
    </row>
    <row r="416" spans="1:31">
      <c r="A416" t="s">
        <v>3230</v>
      </c>
      <c r="C416" s="51"/>
      <c r="D416" s="51"/>
      <c r="E416" s="51"/>
      <c r="F416" s="51"/>
      <c r="G416" s="51"/>
      <c r="H416" s="51"/>
      <c r="I416" s="51"/>
      <c r="J416" s="51"/>
      <c r="K416" s="51"/>
      <c r="X416" s="181"/>
      <c r="Z416"/>
    </row>
    <row r="417" spans="1:26">
      <c r="A417" t="s">
        <v>3231</v>
      </c>
      <c r="C417" s="51"/>
      <c r="D417" s="51"/>
      <c r="E417" s="51"/>
      <c r="F417" s="51"/>
      <c r="G417" s="51"/>
      <c r="H417" s="51"/>
      <c r="I417" s="51"/>
      <c r="J417" s="51"/>
      <c r="K417" s="51"/>
      <c r="X417" s="181"/>
      <c r="Z417"/>
    </row>
    <row r="418" spans="1:26">
      <c r="A418" t="s">
        <v>3232</v>
      </c>
      <c r="B418" t="s">
        <v>3233</v>
      </c>
      <c r="C418" s="51">
        <f>PC_ARC_Arch_Design_Total</f>
        <v>0</v>
      </c>
      <c r="D418" s="51">
        <f>IF(OR(Credit_percentage_applied_for="4%",Credit_percentage_applied_for="State + Fed 4%"), PC_ARC_Arch_Design_4, 0)</f>
        <v>0</v>
      </c>
      <c r="E418" s="51">
        <f>IF(Credit_percentage_applied_for="9%", PC_ARC_Arch_Design_4, 0)</f>
        <v>0</v>
      </c>
      <c r="F418" s="51">
        <f>PC_ARC_Arch_Design_State</f>
        <v>0</v>
      </c>
      <c r="G418" s="51"/>
      <c r="H418" s="51"/>
      <c r="I418" s="51"/>
      <c r="J418" s="51"/>
      <c r="K418" s="51"/>
      <c r="X418" s="181"/>
      <c r="Z418"/>
    </row>
    <row r="419" spans="1:26">
      <c r="A419" t="s">
        <v>3234</v>
      </c>
      <c r="B419" t="s">
        <v>3235</v>
      </c>
      <c r="C419" s="51">
        <f>PC_ARC_Arch_Super_Total</f>
        <v>0</v>
      </c>
      <c r="D419" s="51">
        <f>IF(OR(Credit_percentage_applied_for="4%",Credit_percentage_applied_for="State + Fed 4%"), PC_ARC_Arch_Super_4, 0)</f>
        <v>0</v>
      </c>
      <c r="E419" s="51">
        <f>IF(Credit_percentage_applied_for="9%", PC_ARC_Arch_Super_4, 0)</f>
        <v>0</v>
      </c>
      <c r="F419" s="51">
        <f>PC_ARC_Arch_Super_State</f>
        <v>0</v>
      </c>
      <c r="G419" s="51"/>
      <c r="H419" s="51"/>
      <c r="I419" s="51"/>
      <c r="J419" s="51"/>
      <c r="K419" s="51"/>
      <c r="X419" s="181"/>
      <c r="Z419"/>
    </row>
    <row r="420" spans="1:26">
      <c r="A420" t="s">
        <v>3236</v>
      </c>
      <c r="B420" t="s">
        <v>3237</v>
      </c>
      <c r="C420" s="51">
        <f>PC_ARC_Engineer_Fee_Total</f>
        <v>0</v>
      </c>
      <c r="D420" s="51">
        <f>IF(OR(Credit_percentage_applied_for="4%",Credit_percentage_applied_for="State + Fed 4%"), PC_ARC_Engineer_Fee_4, 0)</f>
        <v>0</v>
      </c>
      <c r="E420" s="51">
        <f>IF(Credit_percentage_applied_for="9%", PC_ARC_Engineer_Fee_4, 0)</f>
        <v>0</v>
      </c>
      <c r="F420" s="51">
        <f>PC_ARC_Engineer_Fee_State</f>
        <v>0</v>
      </c>
      <c r="G420" s="51"/>
      <c r="H420" s="51"/>
      <c r="I420" s="51"/>
      <c r="J420" s="51"/>
      <c r="K420" s="51"/>
      <c r="X420" s="181"/>
      <c r="Z420"/>
    </row>
    <row r="421" spans="1:26">
      <c r="A421" t="s">
        <v>3238</v>
      </c>
      <c r="B421" t="s">
        <v>3239</v>
      </c>
      <c r="C421" s="51">
        <f>PC_ARC_ALTA_Total</f>
        <v>0</v>
      </c>
      <c r="D421" s="59">
        <f>IF(OR(Credit_percentage_applied_for="4%",Credit_percentage_applied_for="State + Fed 4%"), PC_ARC_ALTA_4, 0)</f>
        <v>0</v>
      </c>
      <c r="E421" s="59">
        <f>IF(Credit_percentage_applied_for="9%", PC_ARC_ALTA_4, 0)</f>
        <v>0</v>
      </c>
      <c r="F421" s="59">
        <f>PC_ARC_ALTA_State</f>
        <v>0</v>
      </c>
      <c r="G421" s="59"/>
      <c r="H421" s="59"/>
      <c r="I421" s="59"/>
      <c r="J421" s="59"/>
      <c r="K421" s="59"/>
      <c r="X421" s="181"/>
      <c r="Z421"/>
    </row>
    <row r="422" spans="1:26">
      <c r="A422" t="s">
        <v>3240</v>
      </c>
      <c r="C422" s="60">
        <f>PC_ARC_Other_Arch_Total</f>
        <v>0</v>
      </c>
      <c r="D422" s="279">
        <f>IF(OR(Credit_percentage_applied_for="4%",Credit_percentage_applied_for="State + Fed 4%"), '14. Project Costs'!K109, 0)</f>
        <v>0</v>
      </c>
      <c r="E422" s="279">
        <f>IF(Credit_percentage_applied_for="9%", '14. Project Costs'!K109, 0)</f>
        <v>0</v>
      </c>
      <c r="F422">
        <f>PC_ARC_Other_Arch_State</f>
        <v>0</v>
      </c>
      <c r="X422" s="181"/>
      <c r="Z422"/>
    </row>
    <row r="423" spans="1:26">
      <c r="A423" t="s">
        <v>3241</v>
      </c>
      <c r="B423" s="60"/>
      <c r="C423" s="61"/>
      <c r="D423" s="59"/>
      <c r="E423" s="59"/>
      <c r="X423" s="181"/>
    </row>
    <row r="424" spans="1:26">
      <c r="A424" t="s">
        <v>3242</v>
      </c>
      <c r="B424" s="39"/>
      <c r="X424" s="181"/>
    </row>
    <row r="425" spans="1:26">
      <c r="A425" t="s">
        <v>3243</v>
      </c>
      <c r="B425" s="39"/>
      <c r="X425" s="181"/>
    </row>
    <row r="426" spans="1:26">
      <c r="A426" t="s">
        <v>3244</v>
      </c>
      <c r="B426" s="39"/>
      <c r="X426" s="181"/>
    </row>
    <row r="427" spans="1:26">
      <c r="A427" t="s">
        <v>3245</v>
      </c>
      <c r="B427" s="39"/>
      <c r="X427" s="181"/>
    </row>
    <row r="428" spans="1:26">
      <c r="A428" t="s">
        <v>3244</v>
      </c>
      <c r="B428" s="39"/>
      <c r="X428" s="181"/>
    </row>
    <row r="429" spans="1:26">
      <c r="A429" t="s">
        <v>3246</v>
      </c>
      <c r="B429" s="42" t="s">
        <v>3247</v>
      </c>
      <c r="C429" s="182">
        <f>PC_SYN_Syndication_Fee_Subtotal_Total</f>
        <v>0</v>
      </c>
      <c r="X429" s="181"/>
    </row>
    <row r="430" spans="1:26">
      <c r="A430" t="s">
        <v>3248</v>
      </c>
      <c r="B430" s="41" t="s">
        <v>2963</v>
      </c>
      <c r="C430" s="1767" t="s">
        <v>2964</v>
      </c>
      <c r="D430" s="1767" t="s">
        <v>2965</v>
      </c>
      <c r="E430" s="1767" t="s">
        <v>2966</v>
      </c>
      <c r="F430" s="1767" t="s">
        <v>244</v>
      </c>
      <c r="X430" s="181"/>
    </row>
    <row r="431" spans="1:26">
      <c r="A431" t="s">
        <v>3249</v>
      </c>
      <c r="B431" s="39" t="s">
        <v>3250</v>
      </c>
      <c r="C431">
        <f>PC_CAP_Operating_Expen_Res_Total</f>
        <v>0</v>
      </c>
      <c r="D431" s="280"/>
      <c r="E431" s="280"/>
      <c r="F431" s="280"/>
      <c r="X431" s="181"/>
    </row>
    <row r="432" spans="1:26">
      <c r="A432" t="s">
        <v>3251</v>
      </c>
      <c r="B432" s="39" t="s">
        <v>3252</v>
      </c>
      <c r="C432">
        <f>PC_CAP_Replacement_Reserves_Total</f>
        <v>0</v>
      </c>
      <c r="D432" s="280"/>
      <c r="E432" s="280"/>
      <c r="F432" s="280"/>
      <c r="X432" s="181"/>
    </row>
    <row r="433" spans="1:24">
      <c r="A433" s="740" t="s">
        <v>3253</v>
      </c>
      <c r="B433" s="739" t="s">
        <v>3254</v>
      </c>
      <c r="C433">
        <f>SUM(PC_CAP_Stab_RentUp_Res_Total,PC_CAP_Debt_Serv_Reserve_Total,PC_CAP_Capital_Needs_Res_Total,PC_CAP_Other_Reserve_Total,PC_CAP_Other_Cap_Reserves_Total, PC_CAP_Escrow_Total)</f>
        <v>0</v>
      </c>
      <c r="D433" s="280"/>
      <c r="E433" s="280"/>
      <c r="F433" s="280"/>
      <c r="X433" s="181"/>
    </row>
    <row r="434" spans="1:24">
      <c r="A434" s="740" t="s">
        <v>3255</v>
      </c>
      <c r="B434" s="39"/>
      <c r="C434">
        <f>PC_CAP_Debt_Serv_Reserve_Total</f>
        <v>0</v>
      </c>
      <c r="X434" s="181"/>
    </row>
    <row r="435" spans="1:24">
      <c r="A435" s="740" t="s">
        <v>3256</v>
      </c>
      <c r="B435" s="39"/>
      <c r="C435">
        <f>PC_CAP_Capital_Needs_Res_Total</f>
        <v>0</v>
      </c>
      <c r="X435" s="181"/>
    </row>
    <row r="436" spans="1:24">
      <c r="A436" s="740" t="s">
        <v>3257</v>
      </c>
      <c r="B436" s="39"/>
      <c r="C436">
        <f>PC_CAP_Other_Reserve_Total</f>
        <v>0</v>
      </c>
      <c r="X436" s="181"/>
    </row>
    <row r="437" spans="1:24">
      <c r="A437" s="740" t="s">
        <v>3258</v>
      </c>
      <c r="B437" s="39"/>
      <c r="C437">
        <f>PC_CAP_Escrow_Total</f>
        <v>0</v>
      </c>
      <c r="X437" s="181"/>
    </row>
    <row r="438" spans="1:24">
      <c r="A438" s="740" t="s">
        <v>3259</v>
      </c>
      <c r="B438" s="39"/>
      <c r="C438">
        <f>PC_CAP_Other_Cap_Reserves_Total</f>
        <v>0</v>
      </c>
      <c r="X438" s="181"/>
    </row>
    <row r="439" spans="1:24">
      <c r="A439" t="s">
        <v>3260</v>
      </c>
      <c r="B439" s="39"/>
      <c r="X439" s="181"/>
    </row>
    <row r="440" spans="1:24">
      <c r="A440" t="s">
        <v>3261</v>
      </c>
      <c r="B440" s="39"/>
      <c r="X440" s="181"/>
    </row>
    <row r="441" spans="1:24">
      <c r="A441" t="s">
        <v>3262</v>
      </c>
      <c r="B441" s="41" t="s">
        <v>2963</v>
      </c>
      <c r="C441" s="1767" t="s">
        <v>2964</v>
      </c>
      <c r="D441" s="1767" t="s">
        <v>2965</v>
      </c>
      <c r="E441" s="1767" t="s">
        <v>2966</v>
      </c>
      <c r="F441" s="1767" t="s">
        <v>244</v>
      </c>
      <c r="X441" s="181"/>
    </row>
    <row r="442" spans="1:24">
      <c r="A442" t="s">
        <v>3263</v>
      </c>
      <c r="B442" s="39" t="s">
        <v>3264</v>
      </c>
      <c r="C442">
        <f>PC_RPT_Appraisals_Total</f>
        <v>0</v>
      </c>
      <c r="D442">
        <f>IF(OR(Credit_percentage_applied_for="4%",Credit_percentage_applied_for="State + Fed 4%"), PC_RPT_Appraisals_4, 0)</f>
        <v>0</v>
      </c>
      <c r="E442">
        <f>IF(Credit_percentage_applied_for="9%", PC_RPT_Appraisals_4, 0)</f>
        <v>0</v>
      </c>
      <c r="F442">
        <f>PC_RPT_Appraisals_State</f>
        <v>0</v>
      </c>
      <c r="X442" s="181"/>
    </row>
    <row r="443" spans="1:24" ht="15.75">
      <c r="A443" t="s">
        <v>3265</v>
      </c>
      <c r="B443" s="276" t="s">
        <v>3265</v>
      </c>
      <c r="C443">
        <f>PC_RPT_Market_Study_Total</f>
        <v>0</v>
      </c>
      <c r="D443">
        <f>IF(OR(Credit_percentage_applied_for="4%",Credit_percentage_applied_for="State + Fed 4%"), PC_RPT_Market_Study_4, 0)</f>
        <v>0</v>
      </c>
      <c r="E443">
        <f>IF(Credit_percentage_applied_for="9%", PC_RPT_Market_Study_4, 0)</f>
        <v>0</v>
      </c>
      <c r="F443">
        <f>PC_RPT_Market_Study_State</f>
        <v>0</v>
      </c>
      <c r="X443" s="181"/>
    </row>
    <row r="444" spans="1:24">
      <c r="A444" t="s">
        <v>3266</v>
      </c>
      <c r="B444" t="s">
        <v>3267</v>
      </c>
      <c r="C444">
        <f>PC_RPT_Physical_Capital_Total</f>
        <v>0</v>
      </c>
      <c r="D444">
        <f>IF(OR(Credit_percentage_applied_for="4%",Credit_percentage_applied_for="State + Fed 4%"), PC_RPT_Physical_Capital_4, 0)</f>
        <v>0</v>
      </c>
      <c r="E444">
        <f>IF(Credit_percentage_applied_for="9%",PC_RPT_Physical_Capital_4, 0)</f>
        <v>0</v>
      </c>
      <c r="F444">
        <f>PC_RPT_Physical_Capital_State</f>
        <v>0</v>
      </c>
      <c r="X444" s="181"/>
    </row>
    <row r="445" spans="1:24">
      <c r="A445" t="s">
        <v>3268</v>
      </c>
      <c r="B445" t="s">
        <v>3269</v>
      </c>
      <c r="C445">
        <f>PC_RPT_Environmental_Study_Total</f>
        <v>0</v>
      </c>
      <c r="D445">
        <f>IF(OR(Credit_percentage_applied_for="4%",Credit_percentage_applied_for="State + Fed 4%"), PC_RPT_Environmental_Study_4, 0)</f>
        <v>0</v>
      </c>
      <c r="E445">
        <f>IF(Credit_percentage_applied_for="9%", PC_RPT_Environmental_Study_4, 0)</f>
        <v>0</v>
      </c>
      <c r="F445">
        <f>PC_RPT_Environmental_Study_State</f>
        <v>0</v>
      </c>
      <c r="G445" t="s">
        <v>3270</v>
      </c>
      <c r="X445" s="181"/>
    </row>
    <row r="446" spans="1:24">
      <c r="A446" t="s">
        <v>3271</v>
      </c>
      <c r="X446" s="181"/>
    </row>
    <row r="447" spans="1:24">
      <c r="A447" t="s">
        <v>3272</v>
      </c>
      <c r="X447" s="181"/>
    </row>
    <row r="448" spans="1:24">
      <c r="A448" t="s">
        <v>3273</v>
      </c>
      <c r="X448" s="181"/>
    </row>
    <row r="449" spans="1:26">
      <c r="A449" t="s">
        <v>3274</v>
      </c>
      <c r="X449" s="181"/>
    </row>
    <row r="450" spans="1:26">
      <c r="A450" t="s">
        <v>3275</v>
      </c>
      <c r="X450" s="181"/>
    </row>
    <row r="451" spans="1:26">
      <c r="A451" t="s">
        <v>3276</v>
      </c>
      <c r="X451" s="181"/>
    </row>
    <row r="452" spans="1:26">
      <c r="A452" t="s">
        <v>3277</v>
      </c>
      <c r="X452" s="181"/>
    </row>
    <row r="453" spans="1:26">
      <c r="A453" t="s">
        <v>3278</v>
      </c>
      <c r="X453" s="181"/>
    </row>
    <row r="454" spans="1:26">
      <c r="A454" t="s">
        <v>3279</v>
      </c>
      <c r="X454" s="181"/>
    </row>
    <row r="455" spans="1:26">
      <c r="A455" t="s">
        <v>3280</v>
      </c>
      <c r="X455" s="181"/>
    </row>
    <row r="456" spans="1:26">
      <c r="A456" t="s">
        <v>3281</v>
      </c>
      <c r="X456" s="181"/>
    </row>
    <row r="457" spans="1:26">
      <c r="A457" t="s">
        <v>3282</v>
      </c>
      <c r="B457" s="41" t="s">
        <v>2963</v>
      </c>
      <c r="C457" s="1767" t="s">
        <v>2964</v>
      </c>
      <c r="D457" s="1767" t="s">
        <v>2965</v>
      </c>
      <c r="E457" s="1767" t="s">
        <v>2966</v>
      </c>
      <c r="F457" s="1767" t="s">
        <v>244</v>
      </c>
      <c r="X457" s="181"/>
    </row>
    <row r="458" spans="1:26">
      <c r="A458" t="s">
        <v>3283</v>
      </c>
      <c r="B458" t="s">
        <v>3284</v>
      </c>
      <c r="C458" s="51">
        <f>PC_SFT_LIHTC_App_Fees_Total+C459+C460</f>
        <v>0</v>
      </c>
      <c r="D458" s="277"/>
      <c r="E458" s="277"/>
      <c r="F458" s="277"/>
      <c r="G458" s="51"/>
      <c r="H458" s="51"/>
      <c r="I458" s="51"/>
      <c r="J458" s="51"/>
      <c r="K458" s="51">
        <f>PC_ACQ_ACQ_Subtotal_Total</f>
        <v>0</v>
      </c>
      <c r="X458" s="181"/>
    </row>
    <row r="459" spans="1:26">
      <c r="A459" t="s">
        <v>3285</v>
      </c>
      <c r="C459" s="51">
        <f>PC_SFT_LIHTC_Reserv_Fees_Total</f>
        <v>0</v>
      </c>
      <c r="D459" s="277"/>
      <c r="E459" s="277"/>
      <c r="F459" s="277"/>
      <c r="G459" s="51"/>
      <c r="H459" s="51"/>
      <c r="I459" s="51"/>
      <c r="J459" s="51"/>
      <c r="K459" s="51">
        <f>PC_CST_New_Constr_Subtotal_Total</f>
        <v>0</v>
      </c>
      <c r="X459" s="181"/>
      <c r="Z459"/>
    </row>
    <row r="460" spans="1:26">
      <c r="A460" t="s">
        <v>3286</v>
      </c>
      <c r="C460" s="51">
        <f>PC_SFT_LIHTC_Monitoring_Fees_Total</f>
        <v>0</v>
      </c>
      <c r="D460" s="277"/>
      <c r="E460" s="277"/>
      <c r="F460" s="277"/>
      <c r="G460" s="51"/>
      <c r="H460" s="51"/>
      <c r="I460" s="51"/>
      <c r="J460" s="51"/>
      <c r="K460" s="51">
        <f>PC_CST_Off_Site_Work_Total</f>
        <v>0</v>
      </c>
      <c r="X460" s="181"/>
      <c r="Z460"/>
    </row>
    <row r="461" spans="1:26">
      <c r="A461" t="s">
        <v>3287</v>
      </c>
      <c r="C461" s="51"/>
      <c r="D461" s="51"/>
      <c r="E461" s="51"/>
      <c r="F461" s="51"/>
      <c r="G461" s="51"/>
      <c r="H461" s="51"/>
      <c r="I461" s="51"/>
      <c r="J461" s="51"/>
      <c r="K461" s="51">
        <f>PC_CST_Site_Subtotal_Total</f>
        <v>0</v>
      </c>
      <c r="X461" s="181"/>
      <c r="Z461"/>
    </row>
    <row r="462" spans="1:26">
      <c r="A462" t="s">
        <v>3288</v>
      </c>
      <c r="C462" s="51">
        <f>PC_SFT_Water_Sewer_Total</f>
        <v>0</v>
      </c>
      <c r="D462" s="51">
        <f>IF(OR(Credit_percentage_applied_for="4%",Credit_percentage_applied_for="State + Fed 4%"), PC_SFT_Water_Sewer_4, 0)</f>
        <v>0</v>
      </c>
      <c r="E462" s="51">
        <f>IF(Credit_percentage_applied_for="9%", PC_SFT_Water_Sewer_4, 0)</f>
        <v>0</v>
      </c>
      <c r="F462" s="51">
        <f>PC_SFT_Water_Sewer_State</f>
        <v>0</v>
      </c>
      <c r="G462" s="51"/>
      <c r="H462" s="51"/>
      <c r="I462" s="51"/>
      <c r="J462" s="51"/>
      <c r="K462" s="51">
        <f>PC_CST_General_Requirements_Total</f>
        <v>0</v>
      </c>
      <c r="X462" s="181"/>
      <c r="Z462"/>
    </row>
    <row r="463" spans="1:26">
      <c r="A463" t="s">
        <v>3289</v>
      </c>
      <c r="C463" s="51"/>
      <c r="D463" s="51"/>
      <c r="E463" s="51"/>
      <c r="F463" s="51"/>
      <c r="G463" s="51"/>
      <c r="H463" s="51"/>
      <c r="I463" s="51"/>
      <c r="J463" s="51"/>
      <c r="K463" s="51">
        <f>PC_CST_Builders_Overhead_Total</f>
        <v>0</v>
      </c>
      <c r="X463" s="181"/>
      <c r="Z463"/>
    </row>
    <row r="464" spans="1:26">
      <c r="A464" t="s">
        <v>3290</v>
      </c>
      <c r="C464" s="51"/>
      <c r="D464" s="51"/>
      <c r="E464" s="51"/>
      <c r="F464" s="51"/>
      <c r="G464" s="51"/>
      <c r="H464" s="51"/>
      <c r="I464" s="51"/>
      <c r="J464" s="51"/>
      <c r="K464" s="51">
        <f>PC_CST_Builders_Profit_Total</f>
        <v>0</v>
      </c>
      <c r="X464" s="181"/>
      <c r="Z464"/>
    </row>
    <row r="465" spans="1:26">
      <c r="A465" t="s">
        <v>3291</v>
      </c>
      <c r="B465" t="s">
        <v>3292</v>
      </c>
      <c r="C465" s="51">
        <f>PC_SFT_Accting_Fees_Total</f>
        <v>0</v>
      </c>
      <c r="D465" s="51">
        <f>IF(OR(Credit_percentage_applied_for="4%",Credit_percentage_applied_for="State + Fed 4%"), PC_SFT_Accting_Fees_4, 0)</f>
        <v>0</v>
      </c>
      <c r="E465" s="51">
        <f>IF(Credit_percentage_applied_for="9%",PC_SFT_Accting_Fees_4,0)</f>
        <v>0</v>
      </c>
      <c r="F465" s="51">
        <f>PC_SFT_Accting_Fees_State</f>
        <v>0</v>
      </c>
      <c r="G465" s="51"/>
      <c r="H465" s="51"/>
      <c r="I465" s="51"/>
      <c r="J465" s="51"/>
      <c r="K465" s="51">
        <f>PC_CST_Constr_Mgmt_Fee_Total</f>
        <v>0</v>
      </c>
      <c r="X465" s="181"/>
      <c r="Z465"/>
    </row>
    <row r="466" spans="1:26">
      <c r="A466" t="s">
        <v>3293</v>
      </c>
      <c r="B466" t="s">
        <v>3294</v>
      </c>
      <c r="C466" s="51">
        <f>'14. Project Costs'!F160</f>
        <v>0</v>
      </c>
      <c r="D466" s="277"/>
      <c r="E466" s="277"/>
      <c r="F466" s="277"/>
      <c r="G466" s="51"/>
      <c r="H466" s="51"/>
      <c r="I466" s="51"/>
      <c r="J466" s="51"/>
      <c r="K466" s="51">
        <f>PC_CST_Builders_Risk_Ins_Total</f>
        <v>0</v>
      </c>
      <c r="X466" s="181"/>
      <c r="Z466"/>
    </row>
    <row r="467" spans="1:26">
      <c r="A467" t="s">
        <v>3295</v>
      </c>
      <c r="C467" s="51"/>
      <c r="D467" s="51"/>
      <c r="E467" s="51"/>
      <c r="F467" s="51"/>
      <c r="G467" s="51"/>
      <c r="H467" s="51"/>
      <c r="I467" s="51"/>
      <c r="J467" s="51"/>
      <c r="K467" s="51">
        <f>PC_CST_Other_Contractor_Fee_Total</f>
        <v>0</v>
      </c>
      <c r="X467" s="181"/>
      <c r="Z467"/>
    </row>
    <row r="468" spans="1:26">
      <c r="A468" t="s">
        <v>3296</v>
      </c>
      <c r="C468" s="51"/>
      <c r="D468" s="51"/>
      <c r="E468" s="51"/>
      <c r="F468" s="51"/>
      <c r="G468" s="51"/>
      <c r="H468" s="51"/>
      <c r="I468" s="51"/>
      <c r="J468" s="51"/>
      <c r="K468" s="51">
        <f>PC_CNT_Contingency_Subtotal_Total</f>
        <v>0</v>
      </c>
      <c r="X468" s="181"/>
      <c r="Z468"/>
    </row>
    <row r="469" spans="1:26">
      <c r="A469" t="s">
        <v>3297</v>
      </c>
      <c r="B469" t="s">
        <v>3298</v>
      </c>
      <c r="C469" s="51">
        <f>PC_SFT_Other_Misc_Costs_Total</f>
        <v>0</v>
      </c>
      <c r="D469" s="51">
        <f>IF(OR(Credit_percentage_applied_for="4%",Credit_percentage_applied_for="State + Fed 4%"), PC_SFT_Other_Misc_Costs_4, 0)</f>
        <v>0</v>
      </c>
      <c r="E469" s="51">
        <f>IF(Credit_percentage_applied_for="9%", PC_SFT_Other_Misc_Costs_4, 0)</f>
        <v>0</v>
      </c>
      <c r="F469" s="51">
        <f>PC_SFT_Other_Misc_Costs_State</f>
        <v>0</v>
      </c>
      <c r="G469" s="51"/>
      <c r="H469" s="51"/>
      <c r="I469" s="51"/>
      <c r="J469" s="51"/>
      <c r="K469" s="51">
        <f>PC_CSP_WHEDA_Fees_Subtotal_Total</f>
        <v>0</v>
      </c>
      <c r="X469" s="181"/>
      <c r="Z469"/>
    </row>
    <row r="470" spans="1:26">
      <c r="A470" t="s">
        <v>3299</v>
      </c>
      <c r="C470" s="51"/>
      <c r="D470" s="51"/>
      <c r="E470" s="51"/>
      <c r="F470" s="51"/>
      <c r="G470" s="51"/>
      <c r="H470" s="51"/>
      <c r="I470" s="51"/>
      <c r="J470" s="51"/>
      <c r="K470" s="51">
        <f>PC_CSP_Bonding_Fee_Subtotal_Total</f>
        <v>0</v>
      </c>
      <c r="X470" s="181"/>
      <c r="Z470"/>
    </row>
    <row r="471" spans="1:26">
      <c r="A471" t="s">
        <v>3300</v>
      </c>
      <c r="C471" s="51"/>
      <c r="D471" s="51"/>
      <c r="E471" s="51"/>
      <c r="F471" s="51"/>
      <c r="G471" s="51"/>
      <c r="H471" s="51"/>
      <c r="I471" s="51"/>
      <c r="J471" s="51"/>
      <c r="K471" s="51">
        <f>PC_CSP_Other_Lender_Subtotal_Total</f>
        <v>0</v>
      </c>
      <c r="X471" s="181"/>
      <c r="Z471"/>
    </row>
    <row r="472" spans="1:26">
      <c r="A472" t="s">
        <v>3301</v>
      </c>
      <c r="B472" s="41" t="s">
        <v>2963</v>
      </c>
      <c r="C472" s="1767" t="s">
        <v>2964</v>
      </c>
      <c r="D472" s="1767" t="s">
        <v>2965</v>
      </c>
      <c r="E472" s="1767" t="s">
        <v>2966</v>
      </c>
      <c r="F472" s="1767" t="s">
        <v>244</v>
      </c>
      <c r="G472" s="51"/>
      <c r="H472" s="51"/>
      <c r="I472" s="51"/>
      <c r="J472" s="51"/>
      <c r="K472" s="51">
        <f>PC_CSP_Contractor_Related_Fees_Subtotal_Total</f>
        <v>0</v>
      </c>
      <c r="X472" s="181"/>
      <c r="Z472"/>
    </row>
    <row r="473" spans="1:26">
      <c r="A473" t="s">
        <v>3302</v>
      </c>
      <c r="B473" t="s">
        <v>3303</v>
      </c>
      <c r="C473" s="51">
        <f>PC_DEV_Dev_Fee_Received_Total+C475+C478</f>
        <v>0</v>
      </c>
      <c r="D473" s="51">
        <f>IF(OR(Credit_percentage_applied_for="4%",Credit_percentage_applied_for="State + Fed 4%"), PC_DEV_Dev_Fee_Received_4 +D475 +D478, 0)</f>
        <v>0</v>
      </c>
      <c r="E473" s="51">
        <f>IF(Credit_percentage_applied_for="9%", PC_DEV_Dev_Fee_Received_4 +E475 +E478, 0)</f>
        <v>0</v>
      </c>
      <c r="F473" s="51">
        <f>PC_DEV_Dev_Fee_Received_State+F475+F478</f>
        <v>0</v>
      </c>
      <c r="G473" s="51"/>
      <c r="H473" s="51"/>
      <c r="I473" s="51"/>
      <c r="J473" s="51"/>
      <c r="K473" s="51">
        <f>PC_FIN_Permanent_Loan_Fees_Subtotal_Total</f>
        <v>0</v>
      </c>
      <c r="X473" s="181"/>
      <c r="Z473"/>
    </row>
    <row r="474" spans="1:26">
      <c r="A474" t="s">
        <v>3304</v>
      </c>
      <c r="B474" t="s">
        <v>3305</v>
      </c>
      <c r="C474" s="51">
        <f>PC_DEV_Dev_Fee_Deferred_Total</f>
        <v>0</v>
      </c>
      <c r="D474" s="51">
        <f>IF(OR(Credit_percentage_applied_for="4%",Credit_percentage_applied_for="State + Fed 4%"), PC_DEV_Dev_Fee_Deferred_4, 0)</f>
        <v>0</v>
      </c>
      <c r="E474" s="51">
        <f>IF(Credit_percentage_applied_for="9%", PC_DEV_Dev_Fee_Deferred_4, 0)</f>
        <v>0</v>
      </c>
      <c r="F474" s="51">
        <f>PC_DEV_Dev_Fee_Deferred_State</f>
        <v>0</v>
      </c>
      <c r="G474" s="51"/>
      <c r="H474" s="51"/>
      <c r="I474" s="51"/>
      <c r="J474" s="51"/>
      <c r="K474" s="51">
        <f>PC_ARC_Arch_Design_Total</f>
        <v>0</v>
      </c>
      <c r="X474" s="181"/>
      <c r="Z474"/>
    </row>
    <row r="475" spans="1:26">
      <c r="A475" t="s">
        <v>3306</v>
      </c>
      <c r="C475" s="51">
        <f>PC_DEV_Dev_Overhead_Total</f>
        <v>0</v>
      </c>
      <c r="D475" s="51">
        <f>IF(OR(Credit_percentage_applied_for="4%",Credit_percentage_applied_for="State + Fed 4%"), PC_DEV_Dev_Overhead_4, 0)</f>
        <v>0</v>
      </c>
      <c r="E475" s="51">
        <f>IF(Credit_percentage_applied_for="9%", PC_DEV_Dev_Overhead_4, 0)</f>
        <v>0</v>
      </c>
      <c r="F475" s="51">
        <f>PC_DEV_Dev_Overhead_State</f>
        <v>0</v>
      </c>
      <c r="G475" s="51"/>
      <c r="H475" s="51"/>
      <c r="I475" s="51"/>
      <c r="J475" s="51"/>
      <c r="K475" s="51">
        <f>PC_ARC_Arch_Super_Total</f>
        <v>0</v>
      </c>
      <c r="X475" s="181"/>
      <c r="Z475"/>
    </row>
    <row r="476" spans="1:26">
      <c r="A476" t="s">
        <v>3307</v>
      </c>
      <c r="B476" t="s">
        <v>3308</v>
      </c>
      <c r="C476" s="51">
        <f>PC_DEV_Consult_Agent_Total</f>
        <v>0</v>
      </c>
      <c r="D476" s="51">
        <f>IF(OR(Credit_percentage_applied_for="4%",Credit_percentage_applied_for="State + Fed 4%"), PC_DEV_Consult_Agent_4, 0)</f>
        <v>0</v>
      </c>
      <c r="E476" s="51">
        <f>IF(Credit_percentage_applied_for="9%", PC_DEV_Consult_Agent_4, 0)</f>
        <v>0</v>
      </c>
      <c r="F476" s="51">
        <f>PC_DEV_Consult_Agent_State</f>
        <v>0</v>
      </c>
      <c r="G476" s="51"/>
      <c r="H476" s="51"/>
      <c r="I476" s="51"/>
      <c r="J476" s="51"/>
      <c r="K476" s="51">
        <f>PC_ARC_Engineer_Fee_Total</f>
        <v>0</v>
      </c>
      <c r="X476" s="181"/>
      <c r="Z476"/>
    </row>
    <row r="477" spans="1:26">
      <c r="A477" t="s">
        <v>3309</v>
      </c>
      <c r="C477" s="51"/>
      <c r="D477" s="51"/>
      <c r="E477" s="51"/>
      <c r="F477" s="51"/>
      <c r="G477" s="51"/>
      <c r="H477" s="51"/>
      <c r="I477" s="51"/>
      <c r="J477" s="51"/>
      <c r="K477" s="51">
        <f>PC_ARC_ALTA_Total</f>
        <v>0</v>
      </c>
      <c r="X477" s="181"/>
      <c r="Z477"/>
    </row>
    <row r="478" spans="1:26">
      <c r="A478" t="s">
        <v>3310</v>
      </c>
      <c r="C478" s="51">
        <f>PC_DEV_Other_Dev_Fees_Total</f>
        <v>0</v>
      </c>
      <c r="D478" s="51">
        <f>IF(OR(Credit_percentage_applied_for="4%",Credit_percentage_applied_for="State + Fed 4%"), PC_DEV_Other_Dev_Fees_4, 0)</f>
        <v>0</v>
      </c>
      <c r="E478" s="51">
        <f>IF(Credit_percentage_applied_for="9%", PC_DEV_Other_Dev_Fees_4, 0)</f>
        <v>0</v>
      </c>
      <c r="F478" s="51">
        <f>PC_DEV_Other_Dev_Fees_State</f>
        <v>0</v>
      </c>
      <c r="G478" s="51"/>
      <c r="H478" s="51"/>
      <c r="I478" s="51"/>
      <c r="J478" s="51"/>
      <c r="K478" s="51">
        <f>PC_ARC_Other_Arch_Total</f>
        <v>0</v>
      </c>
      <c r="X478" s="181"/>
      <c r="Z478"/>
    </row>
    <row r="479" spans="1:26">
      <c r="A479" t="s">
        <v>3311</v>
      </c>
      <c r="C479" s="51"/>
      <c r="D479" s="51"/>
      <c r="E479" s="51"/>
      <c r="F479" s="51"/>
      <c r="G479" s="51"/>
      <c r="H479" s="51"/>
      <c r="I479" s="51"/>
      <c r="J479" s="51"/>
      <c r="K479" s="51">
        <f>PC_SYN_Syndication_Fee_Subtotal_Total</f>
        <v>0</v>
      </c>
      <c r="X479" s="181"/>
      <c r="Z479"/>
    </row>
    <row r="480" spans="1:26">
      <c r="A480" t="s">
        <v>3312</v>
      </c>
      <c r="C480" s="51"/>
      <c r="D480" s="51"/>
      <c r="E480" s="51"/>
      <c r="F480" s="51"/>
      <c r="G480" s="51"/>
      <c r="H480" s="51"/>
      <c r="I480" s="51"/>
      <c r="J480" s="51"/>
      <c r="K480" s="51">
        <f>PC_CAP_Capitalized_Reserv_Subtotal_Total</f>
        <v>0</v>
      </c>
      <c r="X480" s="181"/>
      <c r="Z480"/>
    </row>
    <row r="481" spans="1:26">
      <c r="A481"/>
      <c r="C481" s="51"/>
      <c r="D481" s="51"/>
      <c r="E481" s="51"/>
      <c r="F481" s="51"/>
      <c r="G481" s="51"/>
      <c r="H481" s="51"/>
      <c r="I481" s="51"/>
      <c r="J481" s="51"/>
      <c r="K481" s="51">
        <f>PC_RPT_Appraisals_Total</f>
        <v>0</v>
      </c>
      <c r="X481" s="181"/>
      <c r="Z481"/>
    </row>
    <row r="482" spans="1:26">
      <c r="A482"/>
      <c r="C482" s="51"/>
      <c r="D482" s="51"/>
      <c r="E482" s="51"/>
      <c r="F482" s="51"/>
      <c r="G482" s="51"/>
      <c r="H482" s="51"/>
      <c r="I482" s="51"/>
      <c r="J482" s="51"/>
      <c r="K482" s="51">
        <f>PC_RPT_Market_Study_Total</f>
        <v>0</v>
      </c>
      <c r="X482" s="181"/>
      <c r="Z482"/>
    </row>
    <row r="483" spans="1:26">
      <c r="A483" t="s">
        <v>833</v>
      </c>
      <c r="B483" s="41" t="s">
        <v>2963</v>
      </c>
      <c r="C483" s="1767" t="s">
        <v>2964</v>
      </c>
      <c r="D483" s="1767" t="s">
        <v>2965</v>
      </c>
      <c r="E483" s="1767" t="s">
        <v>2966</v>
      </c>
      <c r="F483" s="1767" t="s">
        <v>244</v>
      </c>
      <c r="G483" s="51"/>
      <c r="H483" s="51"/>
      <c r="I483" s="51"/>
      <c r="J483" s="51"/>
      <c r="K483" s="51">
        <f>PC_RPT_Physical_Capital_Total</f>
        <v>0</v>
      </c>
      <c r="X483" s="181"/>
      <c r="Z483"/>
    </row>
    <row r="484" spans="1:26">
      <c r="A484" t="s">
        <v>3313</v>
      </c>
      <c r="C484" s="51"/>
      <c r="D484" s="51"/>
      <c r="E484" s="51"/>
      <c r="F484" s="51"/>
      <c r="G484" s="51"/>
      <c r="H484" s="51"/>
      <c r="I484" s="51"/>
      <c r="J484" s="51"/>
      <c r="K484" s="51">
        <f>PC_RPT_Environmental_Study_Total</f>
        <v>0</v>
      </c>
      <c r="X484" s="181"/>
      <c r="Z484"/>
    </row>
    <row r="485" spans="1:26">
      <c r="A485" t="s">
        <v>3314</v>
      </c>
      <c r="C485" s="51"/>
      <c r="D485" s="51"/>
      <c r="E485" s="51"/>
      <c r="F485" s="51"/>
      <c r="G485" s="51"/>
      <c r="H485" s="51"/>
      <c r="I485" s="51"/>
      <c r="J485" s="51"/>
      <c r="K485" s="51"/>
      <c r="X485" s="181"/>
      <c r="Z485"/>
    </row>
    <row r="486" spans="1:26">
      <c r="A486" t="s">
        <v>3315</v>
      </c>
      <c r="C486" s="51"/>
      <c r="D486" s="51"/>
      <c r="E486" s="51"/>
      <c r="F486" s="51"/>
      <c r="G486" s="51"/>
      <c r="H486" s="51"/>
      <c r="I486" s="51"/>
      <c r="J486" s="51"/>
      <c r="K486" s="51">
        <f>PC_SFT_Other_SC_Subtotal_Total</f>
        <v>0</v>
      </c>
      <c r="X486" s="181"/>
      <c r="Z486"/>
    </row>
    <row r="487" spans="1:26">
      <c r="A487" t="s">
        <v>3316</v>
      </c>
      <c r="C487" s="51"/>
      <c r="D487" s="51"/>
      <c r="E487" s="51"/>
      <c r="F487" s="51"/>
      <c r="G487" s="51"/>
      <c r="H487" s="51"/>
      <c r="I487" s="51"/>
      <c r="J487" s="51"/>
      <c r="K487" s="51">
        <f>PC_DEV_Developer_Costs_Subtotal_Total</f>
        <v>0</v>
      </c>
      <c r="X487" s="181"/>
      <c r="Z487"/>
    </row>
    <row r="488" spans="1:26">
      <c r="A488" t="s">
        <v>3317</v>
      </c>
      <c r="C488" s="51"/>
      <c r="D488" s="59"/>
      <c r="E488" s="59"/>
      <c r="F488" s="59"/>
      <c r="G488" s="59"/>
      <c r="H488" s="59"/>
      <c r="I488" s="59"/>
      <c r="J488" s="59"/>
      <c r="K488" s="59">
        <f>PC_DEV_Dev_Fee_Deferred_Total</f>
        <v>0</v>
      </c>
      <c r="X488" s="181"/>
      <c r="Z488"/>
    </row>
    <row r="489" spans="1:26">
      <c r="A489" t="s">
        <v>3318</v>
      </c>
      <c r="C489" s="60"/>
      <c r="X489" s="181"/>
      <c r="Z489"/>
    </row>
    <row r="490" spans="1:26">
      <c r="A490" t="s">
        <v>3319</v>
      </c>
      <c r="B490" s="60"/>
      <c r="C490" s="61"/>
      <c r="D490" s="59"/>
      <c r="E490" s="59"/>
      <c r="X490" s="181"/>
    </row>
    <row r="491" spans="1:26">
      <c r="A491" t="s">
        <v>3320</v>
      </c>
      <c r="B491" s="39"/>
      <c r="X491" s="181"/>
    </row>
    <row r="492" spans="1:26">
      <c r="A492" t="s">
        <v>3321</v>
      </c>
      <c r="B492" s="39"/>
      <c r="X492" s="181"/>
    </row>
    <row r="493" spans="1:26">
      <c r="A493" t="s">
        <v>3322</v>
      </c>
      <c r="B493" s="39"/>
      <c r="X493" s="181"/>
    </row>
    <row r="494" spans="1:26">
      <c r="A494" t="s">
        <v>3323</v>
      </c>
      <c r="B494" s="39" t="s">
        <v>3323</v>
      </c>
      <c r="C494" s="560">
        <f>'15. Credit Calculation'!H9</f>
        <v>0</v>
      </c>
      <c r="D494" s="58">
        <f>'15. Credit Calculation'!H9</f>
        <v>0</v>
      </c>
      <c r="E494" s="58">
        <f>'15. Credit Calculation'!H24</f>
        <v>0</v>
      </c>
      <c r="F494" s="58">
        <f>'15. Credit Calculation'!P24</f>
        <v>0</v>
      </c>
      <c r="X494" s="181"/>
    </row>
    <row r="495" spans="1:26">
      <c r="A495" t="s">
        <v>3324</v>
      </c>
      <c r="B495" s="39"/>
      <c r="X495" s="181"/>
    </row>
    <row r="496" spans="1:26">
      <c r="A496" t="s">
        <v>3325</v>
      </c>
      <c r="B496" s="39" t="s">
        <v>3326</v>
      </c>
      <c r="C496" s="182"/>
      <c r="D496" s="58">
        <f>'15. Credit Calculation'!P11</f>
        <v>0.04</v>
      </c>
      <c r="E496" s="58">
        <f>VALUE('15. Credit Calculation'!H26)</f>
        <v>0</v>
      </c>
      <c r="F496" s="58">
        <f>'15. Credit Calculation'!P26</f>
        <v>0</v>
      </c>
      <c r="X496" s="181"/>
    </row>
    <row r="497" spans="1:24">
      <c r="A497" t="s">
        <v>3327</v>
      </c>
      <c r="B497" s="39"/>
      <c r="X497" s="181"/>
    </row>
    <row r="498" spans="1:24">
      <c r="A498" t="s">
        <v>3328</v>
      </c>
      <c r="B498" s="39"/>
      <c r="X498" s="181"/>
    </row>
    <row r="499" spans="1:24">
      <c r="A499" t="s">
        <v>3329</v>
      </c>
      <c r="B499" s="39"/>
      <c r="X499" s="181"/>
    </row>
    <row r="500" spans="1:24">
      <c r="A500" t="s">
        <v>3330</v>
      </c>
      <c r="B500" s="39"/>
      <c r="X500" s="181"/>
    </row>
    <row r="501" spans="1:24">
      <c r="A501" t="s">
        <v>3331</v>
      </c>
      <c r="B501" s="39"/>
      <c r="X501" s="181"/>
    </row>
    <row r="502" spans="1:24">
      <c r="A502" t="s">
        <v>3131</v>
      </c>
      <c r="B502" s="39"/>
      <c r="X502" s="181"/>
    </row>
    <row r="503" spans="1:24">
      <c r="A503" t="s">
        <v>3332</v>
      </c>
      <c r="B503" s="39"/>
      <c r="X503" s="181"/>
    </row>
    <row r="504" spans="1:24">
      <c r="A504" t="s">
        <v>3333</v>
      </c>
      <c r="B504" s="39" t="s">
        <v>3334</v>
      </c>
      <c r="C504" s="182"/>
      <c r="D504" t="str">
        <f>'14. Project Costs'!G196</f>
        <v/>
      </c>
      <c r="E504" t="str">
        <f>'14. Project Costs'!F196</f>
        <v/>
      </c>
      <c r="F504" t="str">
        <f>'14. Project Costs'!I196</f>
        <v/>
      </c>
      <c r="X504" s="181"/>
    </row>
    <row r="505" spans="1:24">
      <c r="A505" t="s">
        <v>3335</v>
      </c>
      <c r="B505" s="39" t="s">
        <v>3336</v>
      </c>
      <c r="C505" s="182"/>
      <c r="D505" t="str">
        <f>'14. Project Costs'!G197</f>
        <v/>
      </c>
      <c r="E505" t="str">
        <f>'14. Project Costs'!F197</f>
        <v/>
      </c>
      <c r="F505" t="str">
        <f>'14. Project Costs'!I197</f>
        <v/>
      </c>
      <c r="X505" s="181"/>
    </row>
    <row r="506" spans="1:24">
      <c r="A506" t="s">
        <v>3337</v>
      </c>
      <c r="B506" s="39" t="s">
        <v>3338</v>
      </c>
      <c r="C506" s="182"/>
      <c r="D506" t="str">
        <f>'14. Project Costs'!G198</f>
        <v/>
      </c>
      <c r="E506" t="str">
        <f>'14. Project Costs'!F198</f>
        <v/>
      </c>
      <c r="F506" t="str">
        <f>'14. Project Costs'!I198</f>
        <v/>
      </c>
      <c r="X506" s="181"/>
    </row>
    <row r="507" spans="1:24">
      <c r="A507" t="s">
        <v>3339</v>
      </c>
      <c r="B507" s="39" t="s">
        <v>3340</v>
      </c>
      <c r="C507" s="182"/>
      <c r="D507" t="str">
        <f>'14. Project Costs'!G199</f>
        <v/>
      </c>
      <c r="E507" t="str">
        <f>'14. Project Costs'!F199</f>
        <v/>
      </c>
      <c r="F507" t="str">
        <f>'14. Project Costs'!I199</f>
        <v/>
      </c>
      <c r="X507" s="181"/>
    </row>
    <row r="508" spans="1:24">
      <c r="A508" t="s">
        <v>3341</v>
      </c>
      <c r="B508" s="39"/>
      <c r="X508" s="181"/>
    </row>
    <row r="509" spans="1:24">
      <c r="A509" t="s">
        <v>3342</v>
      </c>
      <c r="B509" s="287">
        <f>SUM('14. Project Costs'!F211:G211)</f>
        <v>0</v>
      </c>
      <c r="E509" t="str">
        <f>'14. Project Costs'!I201</f>
        <v/>
      </c>
      <c r="X509" s="181"/>
    </row>
    <row r="510" spans="1:24" ht="15.75">
      <c r="A510" t="s">
        <v>3343</v>
      </c>
      <c r="B510" s="40" t="s">
        <v>3131</v>
      </c>
      <c r="E510" t="str">
        <f>'14. Project Costs'!I202</f>
        <v/>
      </c>
      <c r="X510" s="181"/>
    </row>
    <row r="511" spans="1:24">
      <c r="A511" t="s">
        <v>3344</v>
      </c>
      <c r="E511" t="str">
        <f>'14. Project Costs'!I203</f>
        <v/>
      </c>
      <c r="X511" s="181"/>
    </row>
    <row r="512" spans="1:24">
      <c r="A512" t="s">
        <v>3345</v>
      </c>
      <c r="E512" t="str">
        <f>'14. Project Costs'!I204</f>
        <v/>
      </c>
      <c r="X512" s="181"/>
    </row>
    <row r="513" spans="1:24">
      <c r="A513" t="s">
        <v>3346</v>
      </c>
      <c r="X513" s="181"/>
    </row>
    <row r="514" spans="1:24">
      <c r="A514" t="s">
        <v>3347</v>
      </c>
      <c r="X514" s="181"/>
    </row>
    <row r="515" spans="1:24">
      <c r="A515" t="s">
        <v>3348</v>
      </c>
      <c r="X515" s="181"/>
    </row>
    <row r="516" spans="1:24">
      <c r="A516" t="s">
        <v>3349</v>
      </c>
      <c r="B516" t="s">
        <v>3350</v>
      </c>
      <c r="C516">
        <f>SUM('14. Project Costs'!F214:I214)</f>
        <v>0</v>
      </c>
      <c r="X516" s="181"/>
    </row>
    <row r="517" spans="1:24">
      <c r="X517" s="181"/>
    </row>
    <row r="518" spans="1:24">
      <c r="X518" s="181"/>
    </row>
    <row r="519" spans="1:24">
      <c r="X519" s="181"/>
    </row>
    <row r="520" spans="1:24">
      <c r="X520" s="181"/>
    </row>
    <row r="521" spans="1:24">
      <c r="B521" s="41"/>
      <c r="X521" s="181"/>
    </row>
    <row r="522" spans="1:24">
      <c r="A522" s="41" t="s">
        <v>3351</v>
      </c>
      <c r="X522" s="181"/>
    </row>
    <row r="523" spans="1:24">
      <c r="B523" s="42" t="s">
        <v>3352</v>
      </c>
      <c r="X523" s="181"/>
    </row>
    <row r="524" spans="1:24">
      <c r="B524" s="39" t="s">
        <v>3353</v>
      </c>
      <c r="C524">
        <f>Convention_and_Meetings</f>
        <v>0</v>
      </c>
      <c r="F524" t="s">
        <v>3354</v>
      </c>
      <c r="G524" s="56">
        <f>Subtotal__Rent_Expense</f>
        <v>0</v>
      </c>
      <c r="X524" s="181"/>
    </row>
    <row r="525" spans="1:24">
      <c r="B525" s="39" t="s">
        <v>3355</v>
      </c>
      <c r="C525">
        <f>Management_Consultants</f>
        <v>0</v>
      </c>
      <c r="F525" t="s">
        <v>3356</v>
      </c>
      <c r="G525" s="56">
        <f>Subtotal__Administrative_Expenses</f>
        <v>0</v>
      </c>
      <c r="X525" s="181"/>
    </row>
    <row r="526" spans="1:24">
      <c r="B526" s="39" t="s">
        <v>3357</v>
      </c>
      <c r="C526">
        <f>Advertising___Marketing_Expense</f>
        <v>0</v>
      </c>
      <c r="D526">
        <f>C524+C525+C526</f>
        <v>0</v>
      </c>
      <c r="F526" t="s">
        <v>3358</v>
      </c>
      <c r="G526" s="56">
        <f>Subtotal__Utilities_Expenses</f>
        <v>0</v>
      </c>
      <c r="X526" s="181"/>
    </row>
    <row r="527" spans="1:24">
      <c r="B527" s="39" t="s">
        <v>3359</v>
      </c>
      <c r="C527">
        <f>Expenses_Other</f>
        <v>0</v>
      </c>
      <c r="F527" t="s">
        <v>3360</v>
      </c>
      <c r="G527" s="56">
        <f>Subtotal__Operating___Maintenance_Expenses</f>
        <v>0</v>
      </c>
      <c r="X527" s="181"/>
    </row>
    <row r="528" spans="1:24">
      <c r="B528" s="39"/>
      <c r="F528" t="s">
        <v>3361</v>
      </c>
      <c r="G528" s="56">
        <f>Subtotal__Taxes_and_Insurance</f>
        <v>0</v>
      </c>
      <c r="X528" s="181"/>
    </row>
    <row r="529" spans="2:24">
      <c r="B529" s="42" t="s">
        <v>3362</v>
      </c>
      <c r="F529" t="s">
        <v>3363</v>
      </c>
      <c r="G529" s="56">
        <f>Subtotal__Service_Expense</f>
        <v>0</v>
      </c>
      <c r="X529" s="181"/>
    </row>
    <row r="530" spans="2:24">
      <c r="B530" s="39" t="s">
        <v>3364</v>
      </c>
      <c r="C530">
        <f>Office_Salaries</f>
        <v>0</v>
      </c>
      <c r="F530" t="s">
        <v>3365</v>
      </c>
      <c r="G530" s="56">
        <f>Total_Operating_Expenses</f>
        <v>0</v>
      </c>
      <c r="X530" s="181"/>
    </row>
    <row r="531" spans="2:24">
      <c r="B531" s="39" t="s">
        <v>3366</v>
      </c>
      <c r="C531">
        <f>Office_Expenses</f>
        <v>0</v>
      </c>
      <c r="F531" t="s">
        <v>3367</v>
      </c>
      <c r="G531" s="56">
        <f>Per_Unit_Per_Month</f>
        <v>0</v>
      </c>
      <c r="X531" s="181"/>
    </row>
    <row r="532" spans="2:24">
      <c r="B532" s="39" t="s">
        <v>3368</v>
      </c>
      <c r="C532">
        <f>Office_or_Model_Apartment_Rent</f>
        <v>0</v>
      </c>
      <c r="X532" s="181"/>
    </row>
    <row r="533" spans="2:24">
      <c r="B533" s="39" t="s">
        <v>3369</v>
      </c>
      <c r="C533">
        <f>Management_Fee___Residential_Rents</f>
        <v>0</v>
      </c>
      <c r="X533" s="181"/>
    </row>
    <row r="534" spans="2:24">
      <c r="B534" s="39" t="s">
        <v>3370</v>
      </c>
      <c r="C534">
        <f>Management_Fee___Commercial_Rents</f>
        <v>0</v>
      </c>
      <c r="X534" s="181"/>
    </row>
    <row r="535" spans="2:24">
      <c r="B535" s="39" t="s">
        <v>3371</v>
      </c>
      <c r="C535">
        <f>Management_Fee___Misc._Income</f>
        <v>0</v>
      </c>
      <c r="D535">
        <f>C533+C534+C535</f>
        <v>0</v>
      </c>
      <c r="X535" s="181"/>
    </row>
    <row r="536" spans="2:24">
      <c r="B536" s="39" t="s">
        <v>3372</v>
      </c>
      <c r="C536">
        <f>Manager_Superintendent_Salaries</f>
        <v>0</v>
      </c>
      <c r="X536" s="181"/>
    </row>
    <row r="537" spans="2:24">
      <c r="B537" s="39" t="s">
        <v>3373</v>
      </c>
      <c r="C537">
        <f>Administrative_Rent___Free_Unit</f>
        <v>0</v>
      </c>
      <c r="X537" s="181"/>
    </row>
    <row r="538" spans="2:24">
      <c r="B538" s="39" t="s">
        <v>3374</v>
      </c>
      <c r="C538">
        <f>Legal_Expenses___Project_Only</f>
        <v>0</v>
      </c>
      <c r="X538" s="181"/>
    </row>
    <row r="539" spans="2:24">
      <c r="B539" s="39" t="s">
        <v>3375</v>
      </c>
      <c r="C539">
        <f>Auditing_Expenses___Project_Only</f>
        <v>0</v>
      </c>
      <c r="X539" s="181"/>
    </row>
    <row r="540" spans="2:24">
      <c r="B540" s="39" t="s">
        <v>3376</v>
      </c>
      <c r="C540">
        <f>Bookkeeping_Fees_Accounting_Services</f>
        <v>0</v>
      </c>
      <c r="X540" s="181"/>
    </row>
    <row r="541" spans="2:24">
      <c r="B541" s="39" t="s">
        <v>3377</v>
      </c>
      <c r="C541">
        <f>Tax_Credit_Monitoring_Fees</f>
        <v>0</v>
      </c>
      <c r="X541" s="181"/>
    </row>
    <row r="542" spans="2:24">
      <c r="B542" s="39" t="s">
        <v>3378</v>
      </c>
      <c r="C542">
        <f>Bad_Debt_Expense</f>
        <v>0</v>
      </c>
      <c r="X542" s="181"/>
    </row>
    <row r="543" spans="2:24">
      <c r="B543" s="39" t="s">
        <v>3379</v>
      </c>
      <c r="C543">
        <f>Other_Administrative_Expenses</f>
        <v>0</v>
      </c>
      <c r="D543">
        <f>C542+C543</f>
        <v>0</v>
      </c>
      <c r="X543" s="181"/>
    </row>
    <row r="544" spans="2:24">
      <c r="B544" s="43"/>
      <c r="X544" s="181"/>
    </row>
    <row r="545" spans="2:24">
      <c r="B545" s="42" t="s">
        <v>3380</v>
      </c>
      <c r="X545" s="181"/>
    </row>
    <row r="546" spans="2:24">
      <c r="B546" s="39" t="s">
        <v>3381</v>
      </c>
      <c r="C546">
        <f>Fuel_Oil</f>
        <v>0</v>
      </c>
      <c r="X546" s="181"/>
    </row>
    <row r="547" spans="2:24">
      <c r="B547" s="39" t="s">
        <v>3382</v>
      </c>
      <c r="C547">
        <f>Electricity</f>
        <v>0</v>
      </c>
      <c r="X547" s="181"/>
    </row>
    <row r="548" spans="2:24">
      <c r="B548" s="39" t="s">
        <v>3383</v>
      </c>
      <c r="C548">
        <f>Water</f>
        <v>0</v>
      </c>
      <c r="X548" s="181"/>
    </row>
    <row r="549" spans="2:24">
      <c r="B549" s="39" t="s">
        <v>274</v>
      </c>
      <c r="C549">
        <f>Gas</f>
        <v>0</v>
      </c>
      <c r="X549" s="181"/>
    </row>
    <row r="550" spans="2:24">
      <c r="B550" s="39" t="s">
        <v>3384</v>
      </c>
      <c r="C550">
        <f>Sewer</f>
        <v>0</v>
      </c>
      <c r="X550" s="181"/>
    </row>
    <row r="551" spans="2:24">
      <c r="B551" s="39" t="s">
        <v>3385</v>
      </c>
      <c r="C551">
        <f>+Owner___Paid_Amenities</f>
        <v>0</v>
      </c>
      <c r="X551" s="181"/>
    </row>
    <row r="552" spans="2:24">
      <c r="B552" s="44"/>
      <c r="X552" s="181"/>
    </row>
    <row r="553" spans="2:24">
      <c r="B553" s="42" t="s">
        <v>3386</v>
      </c>
      <c r="X553" s="181"/>
    </row>
    <row r="554" spans="2:24">
      <c r="B554" s="39" t="s">
        <v>3387</v>
      </c>
      <c r="C554">
        <f>Payroll</f>
        <v>0</v>
      </c>
      <c r="X554" s="181"/>
    </row>
    <row r="555" spans="2:24">
      <c r="B555" s="39" t="s">
        <v>3388</v>
      </c>
      <c r="C555">
        <f>Supplies</f>
        <v>0</v>
      </c>
      <c r="X555" s="181"/>
    </row>
    <row r="556" spans="2:24">
      <c r="B556" s="39" t="s">
        <v>3389</v>
      </c>
      <c r="C556">
        <f>Contracts</f>
        <v>0</v>
      </c>
      <c r="X556" s="181"/>
    </row>
    <row r="557" spans="2:24">
      <c r="B557" s="39" t="s">
        <v>3390</v>
      </c>
      <c r="C557">
        <f>Operating_and_Maintenance_Rent_Fee_Unit</f>
        <v>0</v>
      </c>
      <c r="X557" s="181"/>
    </row>
    <row r="558" spans="2:24">
      <c r="B558" s="39" t="s">
        <v>3391</v>
      </c>
      <c r="C558">
        <f>Garbage_and_Trash_Removal</f>
        <v>0</v>
      </c>
      <c r="X558" s="181"/>
    </row>
    <row r="559" spans="2:24" ht="30">
      <c r="B559" s="47" t="s">
        <v>3392</v>
      </c>
      <c r="C559">
        <f>Security_Payroll___Contract__incl_taxes_and_benefits</f>
        <v>0</v>
      </c>
      <c r="X559" s="181"/>
    </row>
    <row r="560" spans="2:24">
      <c r="B560" s="39" t="s">
        <v>3393</v>
      </c>
      <c r="C560">
        <f>Security_Rent_Free_Unit</f>
        <v>0</v>
      </c>
      <c r="X560" s="181"/>
    </row>
    <row r="561" spans="2:24">
      <c r="B561" s="39" t="s">
        <v>3394</v>
      </c>
      <c r="C561">
        <f>Heating___Cooling_Repairs_Maintenance</f>
        <v>0</v>
      </c>
      <c r="X561" s="181"/>
    </row>
    <row r="562" spans="2:24">
      <c r="B562" s="39" t="s">
        <v>3395</v>
      </c>
      <c r="C562">
        <f>Snow_Removal</f>
        <v>0</v>
      </c>
      <c r="X562" s="181"/>
    </row>
    <row r="563" spans="2:24" ht="30">
      <c r="B563" s="48" t="s">
        <v>3396</v>
      </c>
      <c r="C563">
        <f>Vehicle___Maintenace_Equipment_Operation___Repairs</f>
        <v>0</v>
      </c>
      <c r="X563" s="181"/>
    </row>
    <row r="564" spans="2:24">
      <c r="B564" s="39" t="s">
        <v>3397</v>
      </c>
      <c r="C564">
        <f>Misc._Operating___Maintenance_Expenses</f>
        <v>0</v>
      </c>
      <c r="X564" s="181"/>
    </row>
    <row r="565" spans="2:24">
      <c r="B565" s="44"/>
      <c r="X565" s="181"/>
    </row>
    <row r="566" spans="2:24">
      <c r="B566" s="42" t="s">
        <v>3398</v>
      </c>
      <c r="X566" s="181"/>
    </row>
    <row r="567" spans="2:24">
      <c r="B567" s="39" t="s">
        <v>3399</v>
      </c>
      <c r="C567">
        <f>Real_Estate___Personal_Property__Taxes</f>
        <v>0</v>
      </c>
      <c r="X567" s="181"/>
    </row>
    <row r="568" spans="2:24">
      <c r="B568" s="39" t="s">
        <v>3400</v>
      </c>
      <c r="C568">
        <f>Property_and_Liability_Insurance__Hazard</f>
        <v>0</v>
      </c>
      <c r="X568" s="181"/>
    </row>
    <row r="569" spans="2:24">
      <c r="B569" s="39" t="s">
        <v>3401</v>
      </c>
      <c r="C569">
        <f>Miscellaneous_Taxes__Licenses_and_Permits</f>
        <v>0</v>
      </c>
      <c r="X569" s="181"/>
    </row>
    <row r="570" spans="2:24">
      <c r="B570" s="39" t="s">
        <v>3402</v>
      </c>
      <c r="C570">
        <f>Payroll_Taxes___Project_Share</f>
        <v>0</v>
      </c>
      <c r="X570" s="181"/>
    </row>
    <row r="571" spans="2:24">
      <c r="B571" s="39" t="s">
        <v>3403</v>
      </c>
      <c r="C571">
        <f>Fidelity_Bond_Issuance</f>
        <v>0</v>
      </c>
      <c r="X571" s="181"/>
    </row>
    <row r="572" spans="2:24">
      <c r="B572" s="39" t="s">
        <v>3404</v>
      </c>
      <c r="C572">
        <f>Workmen_s_Compensation</f>
        <v>0</v>
      </c>
      <c r="X572" s="181"/>
    </row>
    <row r="573" spans="2:24">
      <c r="B573" s="39" t="s">
        <v>3405</v>
      </c>
      <c r="C573">
        <f>Health_Insurance_and_Other_Employee_Benefits</f>
        <v>0</v>
      </c>
      <c r="X573" s="181"/>
    </row>
    <row r="574" spans="2:24">
      <c r="B574" s="39" t="s">
        <v>3406</v>
      </c>
      <c r="C574">
        <f>Misc._Taxes__Licenses__Permits__and_Insuaance</f>
        <v>0</v>
      </c>
      <c r="X574" s="181"/>
    </row>
    <row r="575" spans="2:24">
      <c r="B575" s="45"/>
      <c r="X575" s="181"/>
    </row>
    <row r="576" spans="2:24">
      <c r="B576" s="46" t="s">
        <v>3407</v>
      </c>
      <c r="X576" s="181"/>
    </row>
    <row r="577" spans="2:24">
      <c r="B577" s="39" t="s">
        <v>3408</v>
      </c>
      <c r="X577" s="181"/>
    </row>
    <row r="578" spans="2:24">
      <c r="B578" s="39" t="s">
        <v>3409</v>
      </c>
      <c r="X578" s="181"/>
    </row>
    <row r="579" spans="2:24">
      <c r="B579" s="39" t="s">
        <v>3410</v>
      </c>
      <c r="X579" s="181"/>
    </row>
    <row r="580" spans="2:24">
      <c r="B580" s="39" t="s">
        <v>3411</v>
      </c>
      <c r="X580" s="181"/>
    </row>
    <row r="581" spans="2:24">
      <c r="B581" s="39" t="s">
        <v>3412</v>
      </c>
      <c r="X581" s="181"/>
    </row>
    <row r="582" spans="2:24">
      <c r="B582" s="39" t="s">
        <v>3413</v>
      </c>
      <c r="X582" s="181"/>
    </row>
    <row r="583" spans="2:24">
      <c r="B583" s="39" t="s">
        <v>3414</v>
      </c>
      <c r="X583" s="181"/>
    </row>
    <row r="584" spans="2:24">
      <c r="B584" s="39" t="s">
        <v>3415</v>
      </c>
      <c r="X584" s="181"/>
    </row>
    <row r="585" spans="2:24">
      <c r="B585" s="39" t="s">
        <v>3416</v>
      </c>
      <c r="X585" s="181"/>
    </row>
    <row r="586" spans="2:24">
      <c r="B586" s="39" t="s">
        <v>3417</v>
      </c>
      <c r="X586" s="181"/>
    </row>
    <row r="587" spans="2:24">
      <c r="B587" s="39" t="s">
        <v>3418</v>
      </c>
      <c r="X587" s="181"/>
    </row>
    <row r="588" spans="2:24">
      <c r="B588" s="39" t="s">
        <v>3419</v>
      </c>
      <c r="X588" s="181"/>
    </row>
    <row r="589" spans="2:24">
      <c r="B589" s="39" t="s">
        <v>3420</v>
      </c>
      <c r="X589" s="181"/>
    </row>
    <row r="590" spans="2:24">
      <c r="B590" s="39" t="s">
        <v>3421</v>
      </c>
      <c r="X590" s="181"/>
    </row>
    <row r="591" spans="2:24">
      <c r="B591" s="39" t="s">
        <v>3422</v>
      </c>
      <c r="X591" s="181"/>
    </row>
    <row r="592" spans="2:24">
      <c r="B592" s="39" t="s">
        <v>3423</v>
      </c>
      <c r="X592" s="181"/>
    </row>
    <row r="593" spans="1:24">
      <c r="B593" s="39" t="s">
        <v>3424</v>
      </c>
      <c r="X593" s="181"/>
    </row>
    <row r="594" spans="1:24">
      <c r="B594" s="39" t="s">
        <v>3425</v>
      </c>
      <c r="X594" s="181"/>
    </row>
    <row r="595" spans="1:24">
      <c r="B595" s="39" t="s">
        <v>3426</v>
      </c>
      <c r="X595" s="181"/>
    </row>
    <row r="596" spans="1:24">
      <c r="B596" s="39" t="s">
        <v>3427</v>
      </c>
      <c r="X596" s="181"/>
    </row>
    <row r="597" spans="1:24">
      <c r="B597" s="39" t="s">
        <v>3428</v>
      </c>
      <c r="X597" s="181"/>
    </row>
    <row r="598" spans="1:24">
      <c r="B598" s="39" t="s">
        <v>3429</v>
      </c>
      <c r="X598" s="181"/>
    </row>
    <row r="599" spans="1:24">
      <c r="B599" s="39" t="s">
        <v>3430</v>
      </c>
      <c r="X599" s="181"/>
    </row>
    <row r="600" spans="1:24">
      <c r="B600" s="39" t="s">
        <v>3431</v>
      </c>
      <c r="X600" s="181"/>
    </row>
    <row r="601" spans="1:24">
      <c r="B601" s="739" t="s">
        <v>3432</v>
      </c>
      <c r="C601">
        <f>Annual_Replacement_Reserve</f>
        <v>0</v>
      </c>
      <c r="D601" t="s">
        <v>3433</v>
      </c>
      <c r="X601" s="181"/>
    </row>
    <row r="602" spans="1:24">
      <c r="B602" s="39" t="s">
        <v>3434</v>
      </c>
      <c r="C602">
        <f>Subtotal__Service_Expense</f>
        <v>0</v>
      </c>
      <c r="D602">
        <f>C551+C557+C560+C563+C564+C602</f>
        <v>0</v>
      </c>
      <c r="X602" s="181"/>
    </row>
    <row r="603" spans="1:24">
      <c r="A603" s="41" t="s">
        <v>3435</v>
      </c>
      <c r="B603" s="39"/>
      <c r="X603" s="181"/>
    </row>
    <row r="604" spans="1:24">
      <c r="B604" s="47" t="s">
        <v>3436</v>
      </c>
      <c r="C604" s="279">
        <f>'17. Cash Flow and Reserves'!D22</f>
        <v>0</v>
      </c>
      <c r="D604" t="s">
        <v>3437</v>
      </c>
      <c r="X604" s="181"/>
    </row>
    <row r="605" spans="1:24">
      <c r="B605" s="39" t="s">
        <v>3438</v>
      </c>
      <c r="C605">
        <v>0</v>
      </c>
      <c r="X605" s="181"/>
    </row>
    <row r="606" spans="1:24">
      <c r="B606" s="39"/>
      <c r="X606" s="181"/>
    </row>
    <row r="607" spans="1:24">
      <c r="B607" s="39"/>
      <c r="C607" s="279"/>
      <c r="X607" s="181"/>
    </row>
    <row r="608" spans="1:24">
      <c r="B608" s="39"/>
      <c r="X608" s="181"/>
    </row>
    <row r="609" spans="1:24">
      <c r="X609" s="181"/>
    </row>
    <row r="610" spans="1:24">
      <c r="X610" s="181"/>
    </row>
    <row r="611" spans="1:24">
      <c r="A611" s="41" t="s">
        <v>3439</v>
      </c>
      <c r="B611" s="39" t="s">
        <v>3440</v>
      </c>
      <c r="C611">
        <f>Lower_Income_Area_Points</f>
        <v>0</v>
      </c>
      <c r="X611" s="181"/>
    </row>
    <row r="612" spans="1:24">
      <c r="B612" s="39" t="s">
        <v>3441</v>
      </c>
      <c r="C612">
        <f>Energy_Points</f>
        <v>0</v>
      </c>
      <c r="X612" s="181"/>
    </row>
    <row r="613" spans="1:24">
      <c r="B613" s="39" t="s">
        <v>3442</v>
      </c>
      <c r="C613">
        <f>Mixed_Income_Points</f>
        <v>0</v>
      </c>
      <c r="X613" s="181"/>
    </row>
    <row r="614" spans="1:24">
      <c r="B614" s="39" t="s">
        <v>3443</v>
      </c>
      <c r="C614">
        <f>Serves_Large_Family_Points</f>
        <v>0</v>
      </c>
      <c r="X614" s="181"/>
    </row>
    <row r="615" spans="1:24">
      <c r="B615" s="39" t="s">
        <v>3444</v>
      </c>
      <c r="C615">
        <f>Serve_Low_Income_Ponts</f>
        <v>0</v>
      </c>
      <c r="X615" s="181"/>
    </row>
    <row r="616" spans="1:24">
      <c r="B616" s="39" t="s">
        <v>3445</v>
      </c>
      <c r="C616">
        <f>Supportive_Housing_Points</f>
        <v>0</v>
      </c>
      <c r="X616" s="181"/>
    </row>
    <row r="617" spans="1:24">
      <c r="B617" s="39" t="s">
        <v>3446</v>
      </c>
      <c r="C617" s="513">
        <f>Veterans_Housing_Points</f>
        <v>0</v>
      </c>
      <c r="X617" s="181"/>
    </row>
    <row r="618" spans="1:24">
      <c r="B618" s="39" t="s">
        <v>3447</v>
      </c>
      <c r="C618">
        <f>Universal_Design_Points</f>
        <v>0</v>
      </c>
      <c r="X618" s="181"/>
    </row>
    <row r="619" spans="1:24">
      <c r="B619" s="39" t="s">
        <v>3448</v>
      </c>
      <c r="C619">
        <f>Financial_Leverage_Points</f>
        <v>0</v>
      </c>
      <c r="X619" s="181"/>
    </row>
    <row r="620" spans="1:24">
      <c r="B620" s="39" t="s">
        <v>3449</v>
      </c>
      <c r="C620">
        <f>Eventual_Tenant_Own_Points</f>
        <v>0</v>
      </c>
      <c r="X620" s="181"/>
    </row>
    <row r="621" spans="1:24">
      <c r="B621" s="39" t="s">
        <v>3450</v>
      </c>
      <c r="C621">
        <f>Development_Team_Points</f>
        <v>0</v>
      </c>
      <c r="X621" s="181"/>
    </row>
    <row r="622" spans="1:24">
      <c r="B622" s="864" t="s">
        <v>3451</v>
      </c>
      <c r="C622" s="513">
        <f>Rehab_Neighborhood_Points</f>
        <v>0</v>
      </c>
      <c r="X622" s="181"/>
    </row>
    <row r="623" spans="1:24">
      <c r="B623" s="39" t="s">
        <v>3452</v>
      </c>
      <c r="C623">
        <f>Areas_Economic_Opp_Points</f>
        <v>0</v>
      </c>
      <c r="X623" s="181"/>
    </row>
    <row r="624" spans="1:24">
      <c r="B624" s="39" t="s">
        <v>3453</v>
      </c>
      <c r="C624">
        <f>Rural_Areas_Points</f>
        <v>0</v>
      </c>
      <c r="X624" s="181"/>
    </row>
    <row r="625" spans="2:24">
      <c r="B625" s="39" t="s">
        <v>1444</v>
      </c>
      <c r="C625">
        <f>Workforce_Housing_Points</f>
        <v>0</v>
      </c>
      <c r="X625" s="181"/>
    </row>
    <row r="626" spans="2:24">
      <c r="B626" s="39" t="s">
        <v>3454</v>
      </c>
      <c r="C626">
        <f>Community_Service_Facilities_Points</f>
        <v>0</v>
      </c>
      <c r="X626" s="181"/>
    </row>
    <row r="627" spans="2:24">
      <c r="B627" s="39" t="s">
        <v>3455</v>
      </c>
      <c r="C627">
        <f>SUM(C611:C626)</f>
        <v>0</v>
      </c>
      <c r="X627" s="181"/>
    </row>
    <row r="628" spans="2:24">
      <c r="X628" s="181"/>
    </row>
    <row r="629" spans="2:24">
      <c r="X629" s="181"/>
    </row>
    <row r="648" spans="1:3">
      <c r="A648" s="41" t="s">
        <v>3456</v>
      </c>
      <c r="B648" t="s">
        <v>3457</v>
      </c>
      <c r="C648" s="52" t="s">
        <v>3458</v>
      </c>
    </row>
    <row r="649" spans="1:3">
      <c r="B649" t="s">
        <v>3459</v>
      </c>
    </row>
    <row r="654" spans="1:3">
      <c r="A654" s="41" t="s">
        <v>3460</v>
      </c>
    </row>
  </sheetData>
  <sheetProtection algorithmName="SHA-512" hashValue="ApqQsV0AaAg01nUw97C96dSWCLaHHAyHfojCw3UP2QpGpXKGh7INADrRLEl2gwgH+NofTx/1IwRfaYglYUaTkw==" saltValue="O6qmlC/Ddd/irhT3e2pgNA==" spinCount="100000" sheet="1" objects="1" scenarios="1" selectLockedCells="1"/>
  <mergeCells count="2">
    <mergeCell ref="A1:R1"/>
    <mergeCell ref="Y1:AM1"/>
  </mergeCells>
  <phoneticPr fontId="12" type="noConversion"/>
  <dataValidations count="37">
    <dataValidation errorStyle="warning" showInputMessage="1" showErrorMessage="1" errorTitle="SmartDox" error="The value you entered for the dropdown is not valid." sqref="W250:W259" xr:uid="{A0F2E79D-EB63-49F3-9E65-471548316258}"/>
    <dataValidation type="list" errorStyle="warning" showInputMessage="1" showErrorMessage="1" errorTitle="SmartDox" error="The value you entered for the dropdown is not valid." sqref="Z295:Z299 AF280:AF292" xr:uid="{819A2558-774C-4D4A-A412-D61735F63265}">
      <formula1>SD_D_Blank</formula1>
    </dataValidation>
    <dataValidation type="list" errorStyle="warning" showInputMessage="1" showErrorMessage="1" errorTitle="SmartDox" error="The value you entered for the dropdown is not valid." sqref="AB295:AB299 AH280:AH292" xr:uid="{73682C79-565E-4FCE-A184-E6925F298320}">
      <formula1>SD_D_PL_ProgramType_Name</formula1>
    </dataValidation>
    <dataValidation type="list" errorStyle="warning" showInputMessage="1" showErrorMessage="1" errorTitle="SmartDox" error="The value you entered for the dropdown is not valid." sqref="AD295:AD299 AJ280:AJ292" xr:uid="{45DB97FC-B7ED-49B7-A1A7-99C6FC7D36C1}">
      <formula1>SD_D_PL_LoanProductType_Name</formula1>
    </dataValidation>
    <dataValidation type="list" errorStyle="warning" showInputMessage="1" showErrorMessage="1" errorTitle="SmartDox" error="The value you entered for the dropdown is not valid." sqref="C648" xr:uid="{5BEA2556-9037-46EE-8A9A-0BB0F7C56ED0}">
      <formula1>SD_D_PL_ExtendedUseAgreement_Name</formula1>
    </dataValidation>
    <dataValidation type="list" errorStyle="warning" showInputMessage="1" showErrorMessage="1" errorTitle="SmartDox" error="The value you entered for the dropdown is not valid." sqref="D263:D268" xr:uid="{45B2971D-D94E-4549-B178-2DAF777FA06B}">
      <formula1>SD_D_PL_TCUnitType_Name</formula1>
    </dataValidation>
    <dataValidation type="list" errorStyle="warning" showInputMessage="1" showErrorMessage="1" errorTitle="SmartDox" error="The value you entered for the dropdown is not valid." sqref="C55" xr:uid="{F8005FC1-5537-4F64-A615-B313DD142058}">
      <formula1>SD_D_PL_UDF_140_Name</formula1>
    </dataValidation>
    <dataValidation type="list" errorStyle="warning" showInputMessage="1" showErrorMessage="1" errorTitle="SmartDox" error="The value you entered for the dropdown is not valid." sqref="C59" xr:uid="{FB8E4803-FDF0-4765-AA44-491144C7432E}">
      <formula1>SD_D_PL_UDF_141_Name</formula1>
    </dataValidation>
    <dataValidation type="list" errorStyle="warning" showInputMessage="1" showErrorMessage="1" errorTitle="SmartDox" error="The value you entered for the dropdown is not valid." sqref="C56" xr:uid="{AF26EB87-7CB9-4D4F-95F2-2D2E87FEB1E0}">
      <formula1>SD_D_PL_UDF_142_Name</formula1>
    </dataValidation>
    <dataValidation type="list" errorStyle="warning" showInputMessage="1" showErrorMessage="1" errorTitle="SmartDox" error="The value you entered for the dropdown is not valid." sqref="C57" xr:uid="{76807083-0A17-466F-BE81-62A828B03764}">
      <formula1>SD_D_PL_UDF_143_Name</formula1>
    </dataValidation>
    <dataValidation type="list" errorStyle="warning" showInputMessage="1" showErrorMessage="1" errorTitle="SmartDox" error="The value you entered for the dropdown is not valid." sqref="C58" xr:uid="{5D9DDBDE-3913-4B9F-8F01-83F06D3884DB}">
      <formula1>SD_D_PL_UDF_144_Name</formula1>
    </dataValidation>
    <dataValidation type="list" errorStyle="warning" showInputMessage="1" showErrorMessage="1" errorTitle="SmartDox" error="The value you entered for the dropdown is not valid." sqref="C109 H64:H97 AI133:AI162 Z6" xr:uid="{1FBA3585-99DA-4AEE-8289-B75A7F1602FD}">
      <formula1>SD_D_PL_State_Name</formula1>
    </dataValidation>
    <dataValidation type="list" errorStyle="warning" showInputMessage="1" showErrorMessage="1" errorTitle="SmartDox" error="The value you entered for the dropdown is not valid." sqref="E308:E319 E280:E292 E295:E305" xr:uid="{A6726E5E-226C-41C3-B5FE-87039D8F2767}">
      <formula1>SD_D_PL_FinancingType_Name</formula1>
    </dataValidation>
    <dataValidation type="list" errorStyle="warning" showInputMessage="1" showErrorMessage="1" errorTitle="SmartDox" error="The value you entered for the dropdown is not valid." sqref="C190" xr:uid="{E07CBD3B-7620-4E10-943E-FBE5A150BB3B}">
      <formula1>SD_D_PL_HeatingType_Name</formula1>
    </dataValidation>
    <dataValidation type="list" errorStyle="warning" showInputMessage="1" showErrorMessage="1" errorTitle="SmartDox" error="The value you entered for the dropdown is not valid." sqref="C191" xr:uid="{2D7333C7-39FA-4409-BF1B-4C2D1A29A421}">
      <formula1>SD_D_PL_AirConditioningType_Name</formula1>
    </dataValidation>
    <dataValidation type="list" errorStyle="warning" showInputMessage="1" showErrorMessage="1" errorTitle="SmartDox" error="The value you entered for the dropdown is not valid." sqref="E191" xr:uid="{2C9EEF05-6466-40BD-BCA1-F1C2A591B9A6}">
      <formula1>SD_D_PL_HotWaterType_Name</formula1>
    </dataValidation>
    <dataValidation type="list" errorStyle="warning" showInputMessage="1" showErrorMessage="1" errorTitle="SmartDox" error="The value you entered for the dropdown is not valid." sqref="E190" xr:uid="{5F01758C-9055-4106-A6C5-40EC1A1AC6A5}">
      <formula1>SD_D_PL_CookingType_Name</formula1>
    </dataValidation>
    <dataValidation type="list" errorStyle="warning" showInputMessage="1" showErrorMessage="1" errorTitle="SmartDox" error="The value you entered for the dropdown is not valid." sqref="P197:P259" xr:uid="{302A6622-3B46-4C67-8BEB-3C7BAA23A77C}">
      <formula1>SD_D_PL_IncomeTarget_Name</formula1>
    </dataValidation>
    <dataValidation type="list" errorStyle="warning" showInputMessage="1" showErrorMessage="1" errorTitle="SmartDox" error="The value you entered for the dropdown is not valid." sqref="H197:H259" xr:uid="{7562C14F-33AC-4442-8663-891A4627C989}">
      <formula1>SD_D_PL_TCUnitMixType_Name</formula1>
    </dataValidation>
    <dataValidation type="list" errorStyle="warning" showInputMessage="1" showErrorMessage="1" errorTitle="SmartDox" error="The value you entered for the dropdown is not valid." sqref="Z5" xr:uid="{509CEBC8-C122-478C-A899-925A982A595C}">
      <formula1>SD_D_PL_Jurisdiction_Name</formula1>
    </dataValidation>
    <dataValidation type="list" errorStyle="warning" showInputMessage="1" showErrorMessage="1" errorTitle="SmartDox" error="The value you entered for the dropdown is not valid." sqref="Z197:Z246" xr:uid="{A3F8A374-8585-49AA-963E-35C7368F6A35}">
      <formula1>SD_D_PL_UnitType_Name</formula1>
    </dataValidation>
    <dataValidation type="list" errorStyle="warning" showInputMessage="1" showErrorMessage="1" errorTitle="SmartDox" error="The value you entered for the dropdown is not valid." sqref="AB197:AB246" xr:uid="{04E881E3-C5D5-48AD-867A-1AE95DD70943}">
      <formula1>SD_D_PL_ResidentialApartmentType_Name</formula1>
    </dataValidation>
    <dataValidation type="list" errorStyle="warning" showInputMessage="1" showErrorMessage="1" errorTitle="SmartDox" error="The value you entered for the dropdown is not valid." sqref="AL197:AL246" xr:uid="{C90508D9-7522-4624-BAB9-503162C4E0E3}">
      <formula1>SD_D_PL_UnitMixAmiPercent_Name</formula1>
    </dataValidation>
    <dataValidation type="list" errorStyle="warning" showInputMessage="1" showErrorMessage="1" errorTitle="SmartDox" error="The value you entered for the dropdown is not valid." sqref="AB133:AB162" xr:uid="{706CCBC3-BA9D-43BA-90BC-8784E543C961}">
      <formula1>SD_D_PL_EntityCompanyOrIndividual_Name</formula1>
    </dataValidation>
    <dataValidation type="list" errorStyle="warning" showInputMessage="1" showErrorMessage="1" errorTitle="SmartDox" error="The value you entered for the dropdown is not valid." sqref="AC133:AC162" xr:uid="{C536E51E-3A1C-42A9-BC4E-899F0C559D2B}">
      <formula1>SD_D_PL_DealEntityRole_Name</formula1>
    </dataValidation>
    <dataValidation type="list" errorStyle="warning" showInputMessage="1" showErrorMessage="1" errorTitle="SmartDox" error="The value you entered for the dropdown is not valid." sqref="C100" xr:uid="{83A64C2C-441F-4FC8-85DF-B25308C591D8}">
      <formula1>SD_D_PL_UDF_128_Name</formula1>
    </dataValidation>
    <dataValidation type="list" errorStyle="warning" showInputMessage="1" showErrorMessage="1" errorTitle="SmartDox" error="The value you entered for the dropdown is not valid." sqref="C165" xr:uid="{BD3016E0-5EB7-4629-87D9-876BA21540D4}">
      <formula1>SD_D_PL_UDF_131_Name</formula1>
    </dataValidation>
    <dataValidation type="list" errorStyle="warning" showInputMessage="1" showErrorMessage="1" errorTitle="SmartDox" error="The value you entered for the dropdown is not valid." sqref="C166" xr:uid="{C7F4D7F7-C295-4586-ADF3-35631CFCBBED}">
      <formula1>SD_D_PL_UDF_132_Name</formula1>
    </dataValidation>
    <dataValidation type="list" errorStyle="warning" showInputMessage="1" showErrorMessage="1" errorTitle="SmartDox" error="The value you entered for the dropdown is not valid." sqref="C167" xr:uid="{7CEFB330-F4AA-4E56-A732-0D9E8A58AC83}">
      <formula1>SD_D_PL_UDF_133_Name</formula1>
    </dataValidation>
    <dataValidation type="list" errorStyle="warning" showInputMessage="1" showErrorMessage="1" errorTitle="SmartDox" error="The value you entered for the dropdown is not valid." sqref="C168" xr:uid="{BBD522D2-F0CC-4394-BC6C-DD99045F3BA7}">
      <formula1>SD_D_PL_UDF_134_Name</formula1>
    </dataValidation>
    <dataValidation type="list" errorStyle="warning" showInputMessage="1" showErrorMessage="1" errorTitle="SmartDox" error="The value you entered for the dropdown is not valid." sqref="C169" xr:uid="{B7C63B5E-C152-4FBD-9FE0-20E976A2E103}">
      <formula1>SD_D_PL_UDF_135_Name</formula1>
    </dataValidation>
    <dataValidation type="list" errorStyle="warning" showInputMessage="1" showErrorMessage="1" errorTitle="SmartDox" error="The value you entered for the dropdown is not valid." sqref="C170" xr:uid="{C0D210AB-DEBC-46E8-98B9-E6B55B360856}">
      <formula1>SD_D_PL_UDF_136_Name</formula1>
    </dataValidation>
    <dataValidation type="list" errorStyle="warning" showInputMessage="1" showErrorMessage="1" errorTitle="SmartDox" error="The value you entered for the dropdown is not valid." sqref="C171" xr:uid="{2DE5FCFC-ACBE-4FC1-B3B1-86E728EF330B}">
      <formula1>SD_D_PL_UDF_137_Name</formula1>
    </dataValidation>
    <dataValidation type="list" errorStyle="warning" showInputMessage="1" showErrorMessage="1" errorTitle="SmartDox" error="The value you entered for the dropdown is not valid." sqref="C172" xr:uid="{3EF51A51-6F3B-44F4-9405-FD5BD40440B2}">
      <formula1>SD_D_PL_UDF_138_Name</formula1>
    </dataValidation>
    <dataValidation type="list" allowBlank="1" showInputMessage="1" showErrorMessage="1" sqref="M133:M162" xr:uid="{D9CE4385-8890-4C84-8001-6F2391E91A35}">
      <formula1>SD_D_PL_EntityCompanyOrIndividual_Name</formula1>
    </dataValidation>
    <dataValidation type="list" allowBlank="1" showInputMessage="1" showErrorMessage="1" sqref="N133:N162" xr:uid="{A871F169-FFF6-4CF0-BB83-C25A11F6A820}">
      <formula1>SD_D_PL_DealEntityRole_Name</formula1>
    </dataValidation>
    <dataValidation type="list" allowBlank="1" showInputMessage="1" showErrorMessage="1" sqref="U133:U162" xr:uid="{55E8F1F6-8118-425E-BB45-1B4490D8C205}">
      <formula1>SD_D_PL_State_Name</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1410-FD79-4F4C-99C6-B45604E27655}">
  <sheetPr codeName="Sheet9">
    <pageSetUpPr fitToPage="1"/>
  </sheetPr>
  <dimension ref="A1:BT273"/>
  <sheetViews>
    <sheetView workbookViewId="0">
      <selection activeCell="J11" sqref="J11:O11"/>
    </sheetView>
  </sheetViews>
  <sheetFormatPr defaultRowHeight="15"/>
  <cols>
    <col min="1" max="1" width="5.28515625" style="3" customWidth="1"/>
    <col min="2" max="2" width="9.5703125" style="3" customWidth="1"/>
    <col min="3" max="4" width="9.5703125" customWidth="1"/>
    <col min="5" max="5" width="6.7109375" customWidth="1"/>
    <col min="6" max="7" width="9.5703125" customWidth="1"/>
    <col min="8" max="8" width="11.85546875" customWidth="1"/>
    <col min="9" max="9" width="5.140625" style="59" bestFit="1" customWidth="1"/>
    <col min="10" max="12" width="9.5703125" customWidth="1"/>
    <col min="13" max="15" width="9.5703125" style="3" customWidth="1"/>
    <col min="16" max="17" width="10.85546875" style="3" customWidth="1"/>
    <col min="18" max="18" width="9.5703125" style="3" customWidth="1"/>
    <col min="19" max="19" width="9.140625" style="3"/>
    <col min="20" max="21" width="9.140625" style="9"/>
    <col min="22" max="72" width="9.140625" style="3"/>
  </cols>
  <sheetData>
    <row r="1" spans="2:35" s="3" customFormat="1" ht="28.5">
      <c r="B1" s="4" t="str">
        <f>CONCATENATE("WHEDA ",Tax_Credit_Year," Multifamily Application")</f>
        <v>WHEDA 2025 Multifamily Application</v>
      </c>
      <c r="C1" s="4"/>
      <c r="I1" s="1736"/>
      <c r="L1" s="115" t="s">
        <v>7457</v>
      </c>
      <c r="T1" s="9"/>
      <c r="U1" s="9"/>
    </row>
    <row r="2" spans="2:35" s="3" customFormat="1" ht="19.5" customHeight="1">
      <c r="B2" s="886" t="str">
        <f>_xlfn.CONCAT(IF(ISBLANK(WHEDA_Project_Number),"",_xlfn.CONCAT(WHEDA_Project_Number," - ")), Project_Name, IF(ISBLANK(Credit_percentage_applied_for),"",_xlfn.CONCAT(" - ", Credit_percentage_applied_for," HTC")))</f>
        <v/>
      </c>
      <c r="C2" s="811"/>
      <c r="D2" s="813"/>
      <c r="E2" s="62"/>
      <c r="F2" s="451"/>
      <c r="G2" s="814"/>
      <c r="H2" s="62"/>
      <c r="I2" s="62"/>
      <c r="J2" s="62"/>
      <c r="K2" s="638"/>
      <c r="L2" s="638"/>
      <c r="M2" s="638"/>
      <c r="N2" s="638"/>
      <c r="O2" s="638"/>
      <c r="P2" s="638"/>
      <c r="Q2" s="638"/>
      <c r="R2" s="638"/>
      <c r="S2" s="97"/>
      <c r="T2" s="9"/>
      <c r="U2" s="9"/>
      <c r="V2" s="97"/>
      <c r="W2" s="97"/>
      <c r="X2" s="97"/>
      <c r="Y2" s="97"/>
      <c r="Z2" s="97"/>
      <c r="AA2" s="97"/>
      <c r="AB2" s="97"/>
      <c r="AC2" s="97"/>
      <c r="AD2" s="97"/>
      <c r="AE2" s="97"/>
      <c r="AF2" s="97"/>
      <c r="AG2" s="97"/>
      <c r="AH2" s="97"/>
      <c r="AI2" s="97"/>
    </row>
    <row r="3" spans="2:35" s="3" customFormat="1" ht="19.5" customHeight="1">
      <c r="B3" s="888"/>
      <c r="C3" s="812"/>
      <c r="D3" s="4"/>
      <c r="F3" s="115"/>
      <c r="G3" s="788"/>
      <c r="K3" s="97"/>
      <c r="L3" s="97"/>
      <c r="M3" s="97"/>
      <c r="N3" s="97"/>
      <c r="O3" s="97"/>
      <c r="P3" s="97"/>
      <c r="Q3" s="97"/>
      <c r="S3" s="97"/>
      <c r="T3" s="9"/>
      <c r="U3" s="9"/>
      <c r="V3" s="97"/>
      <c r="W3" s="97"/>
      <c r="X3" s="97"/>
      <c r="Y3" s="97"/>
      <c r="Z3" s="97"/>
      <c r="AA3" s="97"/>
      <c r="AB3" s="97"/>
      <c r="AC3" s="97"/>
      <c r="AD3" s="97"/>
      <c r="AE3" s="97"/>
      <c r="AF3" s="97"/>
      <c r="AG3" s="97"/>
      <c r="AH3" s="97"/>
      <c r="AI3" s="97"/>
    </row>
    <row r="4" spans="2:35" s="3" customFormat="1" ht="28.5">
      <c r="B4" s="4" t="s">
        <v>3461</v>
      </c>
      <c r="C4" s="812"/>
      <c r="D4" s="4"/>
      <c r="F4" s="115"/>
      <c r="G4" s="788"/>
      <c r="K4" s="97"/>
      <c r="L4" s="97"/>
      <c r="M4" s="97"/>
      <c r="N4" s="97"/>
      <c r="O4" s="97"/>
      <c r="P4" s="97"/>
      <c r="Q4" s="97"/>
      <c r="R4" s="97"/>
      <c r="S4" s="97"/>
      <c r="T4" s="9"/>
      <c r="U4" s="9"/>
      <c r="V4" s="97"/>
      <c r="W4" s="97"/>
      <c r="X4" s="97"/>
      <c r="Y4" s="97"/>
      <c r="Z4" s="97"/>
      <c r="AA4" s="97"/>
      <c r="AB4" s="97"/>
      <c r="AC4" s="97"/>
      <c r="AD4" s="97"/>
      <c r="AE4" s="97"/>
      <c r="AF4" s="97"/>
      <c r="AG4" s="97"/>
      <c r="AH4" s="97"/>
      <c r="AI4" s="97"/>
    </row>
    <row r="5" spans="2:35" s="3" customFormat="1" ht="18.75">
      <c r="B5" s="1026"/>
      <c r="C5" s="1027"/>
      <c r="D5" s="1027"/>
      <c r="E5" s="1027"/>
      <c r="F5" s="1027"/>
      <c r="G5" s="1027"/>
      <c r="H5" s="1027"/>
      <c r="I5" s="1027" t="s">
        <v>3462</v>
      </c>
      <c r="J5" s="1027"/>
      <c r="K5" s="1027"/>
      <c r="L5" s="1027"/>
      <c r="M5" s="1027"/>
      <c r="N5" s="1027"/>
      <c r="O5" s="1027"/>
      <c r="P5" s="1027"/>
      <c r="Q5" s="1027"/>
      <c r="R5" s="1027"/>
      <c r="T5" s="9"/>
      <c r="U5" s="9"/>
      <c r="V5" s="97"/>
      <c r="W5" s="97"/>
      <c r="X5" s="97"/>
    </row>
    <row r="6" spans="2:35" s="3" customFormat="1">
      <c r="B6" s="1028"/>
      <c r="C6" s="1027"/>
      <c r="D6" s="1027"/>
      <c r="E6" s="1027"/>
      <c r="F6" s="1027"/>
      <c r="G6" s="1027"/>
      <c r="H6" s="1027"/>
      <c r="I6" s="1027" t="s">
        <v>3463</v>
      </c>
      <c r="J6" s="1027"/>
      <c r="K6" s="1027"/>
      <c r="L6" s="1027"/>
      <c r="M6" s="1027"/>
      <c r="N6" s="1027"/>
      <c r="O6" s="1027"/>
      <c r="P6" s="1027"/>
      <c r="Q6" s="1027"/>
      <c r="R6" s="1027"/>
      <c r="T6" s="944" t="s">
        <v>3464</v>
      </c>
      <c r="U6" s="9"/>
      <c r="V6" s="97"/>
      <c r="W6" s="97"/>
      <c r="X6" s="97"/>
    </row>
    <row r="7" spans="2:35" s="3" customFormat="1">
      <c r="B7" s="1029"/>
      <c r="C7" s="1027"/>
      <c r="D7" s="1027"/>
      <c r="E7" s="1027"/>
      <c r="F7" s="1027"/>
      <c r="G7" s="1027"/>
      <c r="H7" s="1027"/>
      <c r="I7" s="1027" t="s">
        <v>3465</v>
      </c>
      <c r="J7" s="1027"/>
      <c r="K7" s="1027"/>
      <c r="L7" s="1027"/>
      <c r="M7" s="1027"/>
      <c r="N7" s="1027"/>
      <c r="O7" s="1027"/>
      <c r="P7" s="1027"/>
      <c r="Q7" s="1027"/>
      <c r="R7" s="1027"/>
      <c r="T7" s="581" t="s">
        <v>3466</v>
      </c>
      <c r="U7" s="9"/>
      <c r="V7" s="97"/>
      <c r="W7" s="97"/>
      <c r="X7" s="97"/>
    </row>
    <row r="8" spans="2:35">
      <c r="B8" s="1030"/>
      <c r="C8" s="1031"/>
      <c r="D8" s="1030"/>
      <c r="E8" s="1030"/>
      <c r="F8" s="1030"/>
      <c r="G8" s="1030"/>
      <c r="H8" s="1030"/>
      <c r="I8" s="1296"/>
      <c r="J8" s="1030"/>
      <c r="K8" s="1030"/>
      <c r="L8" s="1030"/>
      <c r="M8" s="1030"/>
      <c r="N8" s="1030"/>
      <c r="O8" s="1030"/>
      <c r="P8" s="1030"/>
      <c r="Q8" s="1030"/>
      <c r="R8" s="1030"/>
      <c r="T8" s="9" t="s">
        <v>3467</v>
      </c>
      <c r="V8" s="97"/>
      <c r="W8" s="97"/>
      <c r="X8" s="97"/>
    </row>
    <row r="9" spans="2:35" ht="15.75">
      <c r="B9" s="1030"/>
      <c r="C9" s="1030"/>
      <c r="D9" s="1030"/>
      <c r="E9" s="1032"/>
      <c r="F9" s="1030"/>
      <c r="G9" s="1030"/>
      <c r="H9" s="1030"/>
      <c r="I9" s="1296"/>
      <c r="J9" s="1030"/>
      <c r="K9" s="1030"/>
      <c r="L9" s="1030"/>
      <c r="M9" s="1030"/>
      <c r="N9" s="1030"/>
      <c r="O9" s="1030"/>
      <c r="P9" s="1808" t="s">
        <v>3468</v>
      </c>
      <c r="Q9" s="1809"/>
      <c r="R9" s="1030"/>
      <c r="T9" s="9" t="s">
        <v>3469</v>
      </c>
      <c r="V9" s="97"/>
      <c r="W9" s="97"/>
      <c r="X9" s="97"/>
    </row>
    <row r="10" spans="2:35" ht="15.75">
      <c r="B10" s="1030"/>
      <c r="C10" s="1030"/>
      <c r="D10" s="1030"/>
      <c r="E10" s="1032"/>
      <c r="F10" s="1030"/>
      <c r="G10" s="1030"/>
      <c r="H10" s="1030"/>
      <c r="I10" s="1747" t="s">
        <v>6</v>
      </c>
      <c r="J10" s="750" t="s">
        <v>1849</v>
      </c>
      <c r="K10" s="751"/>
      <c r="L10" s="751"/>
      <c r="M10" s="751"/>
      <c r="N10" s="751"/>
      <c r="O10" s="751"/>
      <c r="P10" s="1724" t="s">
        <v>3470</v>
      </c>
      <c r="Q10" s="752" t="s">
        <v>3471</v>
      </c>
      <c r="R10" s="1030"/>
      <c r="T10" s="9" t="s">
        <v>3472</v>
      </c>
      <c r="V10" s="97"/>
      <c r="W10" s="97"/>
      <c r="X10" s="97"/>
    </row>
    <row r="11" spans="2:35" ht="18">
      <c r="B11" s="1030"/>
      <c r="C11" s="1030"/>
      <c r="D11" s="1030"/>
      <c r="E11" s="1032"/>
      <c r="F11" s="1030"/>
      <c r="G11" s="1030"/>
      <c r="H11" s="1030"/>
      <c r="I11" s="749">
        <v>1</v>
      </c>
      <c r="J11" s="1810" t="str">
        <f>HYPERLINK("#Table_of_Contents", Table_of_Contents)</f>
        <v>Table of Contents</v>
      </c>
      <c r="K11" s="1811"/>
      <c r="L11" s="1811"/>
      <c r="M11" s="1811"/>
      <c r="N11" s="1811"/>
      <c r="O11" s="1812"/>
      <c r="P11" s="649" t="s">
        <v>3473</v>
      </c>
      <c r="Q11" s="648" t="s">
        <v>3473</v>
      </c>
      <c r="R11" s="1030"/>
      <c r="V11" s="97"/>
      <c r="W11" s="97"/>
      <c r="X11" s="97"/>
    </row>
    <row r="12" spans="2:35" ht="18">
      <c r="B12" s="1030"/>
      <c r="C12" s="1030"/>
      <c r="D12" s="1030"/>
      <c r="E12" s="1030"/>
      <c r="F12" s="1030"/>
      <c r="G12" s="1030"/>
      <c r="H12" s="1030"/>
      <c r="I12" s="651">
        <v>2</v>
      </c>
      <c r="J12" s="1813" t="str">
        <f>HYPERLINK("#Project_Summary_Tab", Project_Summary_Tab)</f>
        <v>Project Summary</v>
      </c>
      <c r="K12" s="1814"/>
      <c r="L12" s="1814"/>
      <c r="M12" s="1814"/>
      <c r="N12" s="1814"/>
      <c r="O12" s="1815"/>
      <c r="P12" s="649" t="s">
        <v>3473</v>
      </c>
      <c r="Q12" s="648" t="s">
        <v>3473</v>
      </c>
      <c r="R12" s="1030"/>
      <c r="V12" s="97"/>
    </row>
    <row r="13" spans="2:35" ht="18">
      <c r="B13" s="1030"/>
      <c r="C13" s="1030"/>
      <c r="D13" s="1030"/>
      <c r="E13" s="1030"/>
      <c r="F13" s="1030"/>
      <c r="G13" s="1030"/>
      <c r="H13" s="1030"/>
      <c r="I13" s="651">
        <v>3</v>
      </c>
      <c r="J13" s="1816" t="str">
        <f>HYPERLINK("#Project_Name_and_Location", Project_Name_and_Location)</f>
        <v>Project Location</v>
      </c>
      <c r="K13" s="1814"/>
      <c r="L13" s="1814"/>
      <c r="M13" s="1814"/>
      <c r="N13" s="1814"/>
      <c r="O13" s="1815"/>
      <c r="P13" s="649" t="s">
        <v>3473</v>
      </c>
      <c r="Q13" s="648" t="s">
        <v>3473</v>
      </c>
      <c r="R13" s="1030"/>
    </row>
    <row r="14" spans="2:35" ht="18">
      <c r="B14" s="1030"/>
      <c r="C14" s="1030"/>
      <c r="D14" s="1030"/>
      <c r="E14" s="1030"/>
      <c r="F14" s="1030"/>
      <c r="G14" s="1030"/>
      <c r="H14" s="1030"/>
      <c r="I14" s="651">
        <v>4</v>
      </c>
      <c r="J14" s="1816" t="str">
        <f>HYPERLINK("#Project_Description", Project_Description)</f>
        <v>Project Description</v>
      </c>
      <c r="K14" s="1814"/>
      <c r="L14" s="1814"/>
      <c r="M14" s="1814"/>
      <c r="N14" s="1814"/>
      <c r="O14" s="1815"/>
      <c r="P14" s="649" t="s">
        <v>3473</v>
      </c>
      <c r="Q14" s="648" t="s">
        <v>3473</v>
      </c>
      <c r="R14" s="1030"/>
    </row>
    <row r="15" spans="2:35" ht="18">
      <c r="B15" s="1030"/>
      <c r="C15" s="1030"/>
      <c r="D15" s="1030"/>
      <c r="E15" s="1030"/>
      <c r="F15" s="1030"/>
      <c r="G15" s="1030"/>
      <c r="H15" s="1030"/>
      <c r="I15" s="651">
        <v>5</v>
      </c>
      <c r="J15" s="1816" t="str">
        <f>HYPERLINK("#Applicant_Information", Applicant_Information)</f>
        <v>Applicant Information</v>
      </c>
      <c r="K15" s="1814"/>
      <c r="L15" s="1814"/>
      <c r="M15" s="1814"/>
      <c r="N15" s="1814"/>
      <c r="O15" s="1815"/>
      <c r="P15" s="649" t="s">
        <v>3473</v>
      </c>
      <c r="Q15" s="648" t="s">
        <v>3473</v>
      </c>
      <c r="R15" s="1030"/>
    </row>
    <row r="16" spans="2:35" ht="18">
      <c r="B16" s="1030"/>
      <c r="C16" s="1030"/>
      <c r="D16" s="1030"/>
      <c r="E16" s="1030"/>
      <c r="F16" s="1030"/>
      <c r="G16" s="1030"/>
      <c r="H16" s="1030"/>
      <c r="I16" s="651">
        <v>6</v>
      </c>
      <c r="J16" s="1816" t="str">
        <f>HYPERLINK("#Site_Description", Site_Description)</f>
        <v>Site Description</v>
      </c>
      <c r="K16" s="1814"/>
      <c r="L16" s="1814"/>
      <c r="M16" s="1814"/>
      <c r="N16" s="1814"/>
      <c r="O16" s="1815"/>
      <c r="P16" s="649" t="s">
        <v>3473</v>
      </c>
      <c r="Q16" s="648" t="s">
        <v>3473</v>
      </c>
      <c r="R16" s="1030"/>
    </row>
    <row r="17" spans="2:18" ht="18">
      <c r="B17" s="1030"/>
      <c r="C17" s="1030"/>
      <c r="D17" s="1030"/>
      <c r="E17" s="1030"/>
      <c r="F17" s="1030"/>
      <c r="G17" s="1030"/>
      <c r="H17" s="1030"/>
      <c r="I17" s="651">
        <v>7</v>
      </c>
      <c r="J17" s="1816" t="str">
        <f>HYPERLINK("#Site_Contol", Site_Contol)</f>
        <v>Site Control</v>
      </c>
      <c r="K17" s="1814"/>
      <c r="L17" s="1814"/>
      <c r="M17" s="1814"/>
      <c r="N17" s="1814"/>
      <c r="O17" s="1815"/>
      <c r="P17" s="649" t="s">
        <v>3473</v>
      </c>
      <c r="Q17" s="648" t="s">
        <v>3473</v>
      </c>
      <c r="R17" s="1030"/>
    </row>
    <row r="18" spans="2:18" ht="18">
      <c r="B18" s="1030"/>
      <c r="C18" s="1030"/>
      <c r="D18" s="1030"/>
      <c r="E18" s="1030"/>
      <c r="F18" s="1030"/>
      <c r="G18" s="1030"/>
      <c r="H18" s="1030"/>
      <c r="I18" s="651">
        <v>8</v>
      </c>
      <c r="J18" s="1816" t="str">
        <f>HYPERLINK("#Zoning", Zoning)</f>
        <v>Zoning</v>
      </c>
      <c r="K18" s="1814"/>
      <c r="L18" s="1814"/>
      <c r="M18" s="1814"/>
      <c r="N18" s="1814"/>
      <c r="O18" s="1815"/>
      <c r="P18" s="649" t="s">
        <v>3473</v>
      </c>
      <c r="Q18" s="648" t="s">
        <v>3473</v>
      </c>
      <c r="R18" s="1030"/>
    </row>
    <row r="19" spans="2:18" ht="18">
      <c r="B19" s="1030"/>
      <c r="C19" s="1030"/>
      <c r="D19" s="1030"/>
      <c r="E19" s="1030"/>
      <c r="F19" s="1030"/>
      <c r="G19" s="1030"/>
      <c r="H19" s="1030"/>
      <c r="I19" s="651">
        <v>9</v>
      </c>
      <c r="J19" s="1816" t="str">
        <f>HYPERLINK("#Ownership_Entity", Ownership_Entity)</f>
        <v>Project Ownership Entity and Development Team</v>
      </c>
      <c r="K19" s="1814"/>
      <c r="L19" s="1814"/>
      <c r="M19" s="1814"/>
      <c r="N19" s="1814"/>
      <c r="O19" s="1815"/>
      <c r="P19" s="649" t="s">
        <v>3473</v>
      </c>
      <c r="Q19" s="648" t="s">
        <v>3473</v>
      </c>
      <c r="R19" s="1030"/>
    </row>
    <row r="20" spans="2:18" ht="18">
      <c r="B20" s="1030"/>
      <c r="C20" s="1030"/>
      <c r="D20" s="1030"/>
      <c r="E20" s="1296" t="s">
        <v>3474</v>
      </c>
      <c r="F20" s="1030"/>
      <c r="G20" s="1030"/>
      <c r="H20" s="1030"/>
      <c r="I20" s="651">
        <v>10</v>
      </c>
      <c r="J20" s="1816" t="str">
        <f>HYPERLINK("#Project_and_Unit_Amenities", Project_and_Unit_Amenities)</f>
        <v>Project and Unit Amenities</v>
      </c>
      <c r="K20" s="1814"/>
      <c r="L20" s="1814"/>
      <c r="M20" s="1814"/>
      <c r="N20" s="1814"/>
      <c r="O20" s="1815"/>
      <c r="P20" s="649" t="s">
        <v>3473</v>
      </c>
      <c r="Q20" s="648" t="s">
        <v>3473</v>
      </c>
      <c r="R20" s="1030"/>
    </row>
    <row r="21" spans="2:18" ht="18">
      <c r="B21" s="1030"/>
      <c r="C21" s="1030"/>
      <c r="D21" s="1030"/>
      <c r="E21" s="1296" t="s">
        <v>3475</v>
      </c>
      <c r="F21" s="1030"/>
      <c r="G21" s="1030"/>
      <c r="H21" s="1030"/>
      <c r="I21" s="651">
        <v>11</v>
      </c>
      <c r="J21" s="1816" t="str">
        <f>HYPERLINK("#Unit_Mix", Unit_Mix)</f>
        <v>Unit Mix</v>
      </c>
      <c r="K21" s="1814"/>
      <c r="L21" s="1814"/>
      <c r="M21" s="1814"/>
      <c r="N21" s="1814"/>
      <c r="O21" s="1815"/>
      <c r="P21" s="649" t="s">
        <v>3473</v>
      </c>
      <c r="Q21" s="648" t="s">
        <v>3473</v>
      </c>
      <c r="R21" s="1030"/>
    </row>
    <row r="22" spans="2:18" ht="18">
      <c r="B22" s="1030"/>
      <c r="C22" s="1030"/>
      <c r="D22" s="1030"/>
      <c r="E22" s="1296" t="s">
        <v>3476</v>
      </c>
      <c r="F22" s="1030"/>
      <c r="G22" s="1030"/>
      <c r="H22" s="1030"/>
      <c r="I22" s="651">
        <v>12</v>
      </c>
      <c r="J22" s="1816" t="str">
        <f>HYPERLINK("#Funding_Sources", Funding_Sources)</f>
        <v>Funding Sources</v>
      </c>
      <c r="K22" s="1814"/>
      <c r="L22" s="1814"/>
      <c r="M22" s="1814"/>
      <c r="N22" s="1814"/>
      <c r="O22" s="1815"/>
      <c r="P22" s="649" t="s">
        <v>3473</v>
      </c>
      <c r="Q22" s="648" t="s">
        <v>3473</v>
      </c>
      <c r="R22" s="1030"/>
    </row>
    <row r="23" spans="2:18" ht="18">
      <c r="B23" s="1030"/>
      <c r="C23" s="1030"/>
      <c r="D23" s="1030"/>
      <c r="E23" s="1296" t="s">
        <v>3477</v>
      </c>
      <c r="F23" s="1030"/>
      <c r="G23" s="1030"/>
      <c r="H23" s="1030"/>
      <c r="I23" s="651">
        <v>13</v>
      </c>
      <c r="J23" s="1816" t="str">
        <f>HYPERLINK("#Project_SOV",Project_SOV)</f>
        <v>Construction Cost Schedule of Values (SOV)</v>
      </c>
      <c r="K23" s="1814"/>
      <c r="L23" s="1814"/>
      <c r="M23" s="1814"/>
      <c r="N23" s="1814"/>
      <c r="O23" s="1815"/>
      <c r="P23" s="649" t="s">
        <v>3473</v>
      </c>
      <c r="Q23" s="648" t="s">
        <v>3473</v>
      </c>
      <c r="R23" s="1030"/>
    </row>
    <row r="24" spans="2:18" ht="18">
      <c r="B24" s="1030"/>
      <c r="C24" s="1030"/>
      <c r="D24" s="1030"/>
      <c r="E24" s="1296"/>
      <c r="F24" s="1030"/>
      <c r="G24" s="1030"/>
      <c r="H24" s="1030"/>
      <c r="I24" s="651">
        <v>14</v>
      </c>
      <c r="J24" s="1816" t="str">
        <f>HYPERLINK("#Project_Costs_and_Credit_Calculation", Project_Costs_and_Credit_Calculation)</f>
        <v>Project Costs</v>
      </c>
      <c r="K24" s="1814"/>
      <c r="L24" s="1814"/>
      <c r="M24" s="1814"/>
      <c r="N24" s="1814"/>
      <c r="O24" s="1815"/>
      <c r="P24" s="649" t="s">
        <v>3473</v>
      </c>
      <c r="Q24" s="648" t="s">
        <v>3473</v>
      </c>
      <c r="R24" s="1030"/>
    </row>
    <row r="25" spans="2:18" ht="19.5">
      <c r="B25" s="1030"/>
      <c r="C25" s="1030"/>
      <c r="D25" s="1296"/>
      <c r="E25" s="1296" t="s">
        <v>3478</v>
      </c>
      <c r="F25" s="1030"/>
      <c r="G25" s="1030"/>
      <c r="H25" s="1030"/>
      <c r="I25" s="651">
        <v>15</v>
      </c>
      <c r="J25" s="1816" t="str">
        <f>HYPERLINK("#Credit_Calc", Credit_Calc)</f>
        <v>Credit Calculation</v>
      </c>
      <c r="K25" s="1814"/>
      <c r="L25" s="1814"/>
      <c r="M25" s="1814"/>
      <c r="N25" s="1814"/>
      <c r="O25" s="1815"/>
      <c r="P25" s="649" t="s">
        <v>3473</v>
      </c>
      <c r="Q25" s="645"/>
      <c r="R25" s="1030"/>
    </row>
    <row r="26" spans="2:18" ht="18">
      <c r="B26" s="1030"/>
      <c r="C26" s="1030"/>
      <c r="D26" s="1296"/>
      <c r="E26" s="1296" t="s">
        <v>3479</v>
      </c>
      <c r="F26" s="1030"/>
      <c r="G26" s="1030"/>
      <c r="H26" s="1030"/>
      <c r="I26" s="651">
        <v>16</v>
      </c>
      <c r="J26" s="1816" t="str">
        <f>HYPERLINK("#Projected_Operating_Costs", Projected_Operating_Costs)</f>
        <v>Projected Operating Costs</v>
      </c>
      <c r="K26" s="1814"/>
      <c r="L26" s="1814"/>
      <c r="M26" s="1814"/>
      <c r="N26" s="1814"/>
      <c r="O26" s="1815"/>
      <c r="P26" s="649" t="s">
        <v>3473</v>
      </c>
      <c r="Q26" s="648" t="s">
        <v>3473</v>
      </c>
      <c r="R26" s="1030"/>
    </row>
    <row r="27" spans="2:18" ht="18">
      <c r="B27" s="1030"/>
      <c r="C27" s="1030"/>
      <c r="D27" s="1296"/>
      <c r="E27" s="1296" t="s">
        <v>3480</v>
      </c>
      <c r="F27" s="1030"/>
      <c r="G27" s="1030"/>
      <c r="H27" s="1030"/>
      <c r="I27" s="651">
        <v>17</v>
      </c>
      <c r="J27" s="1813" t="str">
        <f>HYPERLINK("#Project_Cash_Flow", Project_Cash_Flow)</f>
        <v>Cash Flow &amp; Replacement Reserves</v>
      </c>
      <c r="K27" s="1814"/>
      <c r="L27" s="1814"/>
      <c r="M27" s="1814"/>
      <c r="N27" s="1814"/>
      <c r="O27" s="1815"/>
      <c r="P27" s="649" t="s">
        <v>3473</v>
      </c>
      <c r="Q27" s="648" t="s">
        <v>3473</v>
      </c>
      <c r="R27" s="1030"/>
    </row>
    <row r="28" spans="2:18" ht="18">
      <c r="B28" s="1030"/>
      <c r="C28" s="1030"/>
      <c r="D28" s="1296"/>
      <c r="E28" s="1030"/>
      <c r="F28" s="1030"/>
      <c r="G28" s="1030"/>
      <c r="H28" s="1030"/>
      <c r="I28" s="651">
        <v>18</v>
      </c>
      <c r="J28" s="1813" t="str">
        <f>HYPERLINK("#Max_Cost_Model", Max_Cost_Model)</f>
        <v>Max Cost Model</v>
      </c>
      <c r="K28" s="1814"/>
      <c r="L28" s="1814"/>
      <c r="M28" s="1814"/>
      <c r="N28" s="1814"/>
      <c r="O28" s="1815"/>
      <c r="P28" s="649" t="s">
        <v>3473</v>
      </c>
      <c r="Q28" s="648" t="s">
        <v>3473</v>
      </c>
      <c r="R28" s="1030"/>
    </row>
    <row r="29" spans="2:18" ht="18">
      <c r="B29" s="1030"/>
      <c r="C29" s="1030"/>
      <c r="D29" s="1296"/>
      <c r="E29" s="1030"/>
      <c r="F29" s="1030"/>
      <c r="G29" s="1030"/>
      <c r="H29" s="1030"/>
      <c r="I29" s="651">
        <v>19</v>
      </c>
      <c r="J29" s="1816" t="str">
        <f>HYPERLINK("#Construction_Draw_Schedule", Construction_Draw_Schedule)</f>
        <v>Construction Draw Schedule</v>
      </c>
      <c r="K29" s="1814"/>
      <c r="L29" s="1814"/>
      <c r="M29" s="1814"/>
      <c r="N29" s="1814"/>
      <c r="O29" s="1815"/>
      <c r="P29" s="649"/>
      <c r="Q29" s="648" t="s">
        <v>3473</v>
      </c>
      <c r="R29" s="1030"/>
    </row>
    <row r="30" spans="2:18" ht="18.75">
      <c r="B30" s="1030"/>
      <c r="C30" s="1030"/>
      <c r="D30" s="1296"/>
      <c r="E30" s="1030"/>
      <c r="F30" s="1030"/>
      <c r="G30" s="1030"/>
      <c r="H30" s="1030"/>
      <c r="I30" s="651">
        <v>20</v>
      </c>
      <c r="J30" s="1816" t="str">
        <f>HYPERLINK("#Instructions_Scoring_Summary", Instructions_Scoring_Summary)</f>
        <v>Instructions / Scoring Summary</v>
      </c>
      <c r="K30" s="1814"/>
      <c r="L30" s="1814"/>
      <c r="M30" s="1814"/>
      <c r="N30" s="1814"/>
      <c r="O30" s="1815"/>
      <c r="P30" s="649" t="s">
        <v>3473</v>
      </c>
      <c r="Q30" s="646"/>
      <c r="R30" s="1030"/>
    </row>
    <row r="31" spans="2:18" ht="18.75">
      <c r="B31" s="1030"/>
      <c r="C31" s="1030"/>
      <c r="D31" s="1030"/>
      <c r="E31" s="1030"/>
      <c r="F31" s="1030"/>
      <c r="G31" s="1030"/>
      <c r="H31" s="1030"/>
      <c r="I31" s="651">
        <v>21</v>
      </c>
      <c r="J31" s="1813" t="str">
        <f>HYPERLINK("#Location_Score", Location_Score)</f>
        <v>Location Score</v>
      </c>
      <c r="K31" s="1814"/>
      <c r="L31" s="1814"/>
      <c r="M31" s="1814"/>
      <c r="N31" s="1814"/>
      <c r="O31" s="1815"/>
      <c r="P31" s="649" t="s">
        <v>3473</v>
      </c>
      <c r="Q31" s="646"/>
      <c r="R31" s="1030"/>
    </row>
    <row r="32" spans="2:18" ht="18.75">
      <c r="B32" s="1030"/>
      <c r="C32" s="1030"/>
      <c r="D32" s="1030"/>
      <c r="E32" s="1030"/>
      <c r="F32" s="1030"/>
      <c r="G32" s="1030"/>
      <c r="H32" s="1030"/>
      <c r="I32" s="651">
        <v>22</v>
      </c>
      <c r="J32" s="1813" t="str">
        <f>HYPERLINK("#Demand_Score", Demand_Score)</f>
        <v>Tenants Served Score</v>
      </c>
      <c r="K32" s="1814"/>
      <c r="L32" s="1814"/>
      <c r="M32" s="1814"/>
      <c r="N32" s="1814"/>
      <c r="O32" s="1815"/>
      <c r="P32" s="649" t="s">
        <v>3473</v>
      </c>
      <c r="Q32" s="646"/>
      <c r="R32" s="1030"/>
    </row>
    <row r="33" spans="2:21" ht="18.75">
      <c r="B33" s="1030"/>
      <c r="C33" s="1030"/>
      <c r="D33" s="1030"/>
      <c r="E33" s="1030"/>
      <c r="F33" s="1030"/>
      <c r="G33" s="1030"/>
      <c r="H33" s="1030"/>
      <c r="I33" s="651">
        <v>23</v>
      </c>
      <c r="J33" s="1813" t="str">
        <f>HYPERLINK("#Property_Score", Property_Score)</f>
        <v>Building Design Score</v>
      </c>
      <c r="K33" s="1814"/>
      <c r="L33" s="1814"/>
      <c r="M33" s="1814"/>
      <c r="N33" s="1814"/>
      <c r="O33" s="1815"/>
      <c r="P33" s="649" t="s">
        <v>3473</v>
      </c>
      <c r="Q33" s="646"/>
      <c r="R33" s="1030"/>
    </row>
    <row r="34" spans="2:21" ht="18.75">
      <c r="B34" s="1030"/>
      <c r="C34" s="1030"/>
      <c r="D34" s="1030"/>
      <c r="E34" s="1030"/>
      <c r="F34" s="1030"/>
      <c r="G34" s="1030"/>
      <c r="H34" s="1030"/>
      <c r="I34" s="651">
        <v>24</v>
      </c>
      <c r="J34" s="1813" t="str">
        <f>HYPERLINK("#Developer_Score", Developer_Score)</f>
        <v>Developent Process Score</v>
      </c>
      <c r="K34" s="1814"/>
      <c r="L34" s="1814"/>
      <c r="M34" s="1814"/>
      <c r="N34" s="1814"/>
      <c r="O34" s="1815"/>
      <c r="P34" s="649" t="s">
        <v>3473</v>
      </c>
      <c r="Q34" s="646"/>
      <c r="R34" s="1030"/>
    </row>
    <row r="35" spans="2:21" ht="18.75">
      <c r="B35" s="1030"/>
      <c r="C35" s="1030"/>
      <c r="D35" s="1030"/>
      <c r="E35" s="1030"/>
      <c r="F35" s="1030"/>
      <c r="G35" s="1030"/>
      <c r="H35" s="1030"/>
      <c r="I35" s="651">
        <v>25</v>
      </c>
      <c r="J35" s="1816" t="s">
        <v>3481</v>
      </c>
      <c r="K35" s="1817"/>
      <c r="L35" s="1817"/>
      <c r="M35" s="1817"/>
      <c r="N35" s="1817"/>
      <c r="O35" s="1822"/>
      <c r="P35" s="649" t="s">
        <v>3473</v>
      </c>
      <c r="Q35" s="646"/>
      <c r="R35" s="1030"/>
    </row>
    <row r="36" spans="2:21" ht="18.75">
      <c r="B36" s="1030"/>
      <c r="C36" s="1030"/>
      <c r="D36" s="1030"/>
      <c r="E36" s="1030"/>
      <c r="F36" s="1030"/>
      <c r="G36" s="1030"/>
      <c r="H36" s="1030"/>
      <c r="I36" s="651">
        <v>26</v>
      </c>
      <c r="J36" s="1816" t="s">
        <v>3482</v>
      </c>
      <c r="K36" s="1814"/>
      <c r="L36" s="1814"/>
      <c r="M36" s="1814"/>
      <c r="N36" s="1814"/>
      <c r="O36" s="1815"/>
      <c r="P36" s="649" t="s">
        <v>3473</v>
      </c>
      <c r="Q36" s="646"/>
      <c r="R36" s="1030"/>
    </row>
    <row r="37" spans="2:21" ht="18">
      <c r="B37" s="1030"/>
      <c r="C37" s="1030"/>
      <c r="D37" s="1030"/>
      <c r="E37" s="1030"/>
      <c r="F37" s="1030"/>
      <c r="G37" s="1030"/>
      <c r="H37" s="1030"/>
      <c r="I37" s="651">
        <v>27</v>
      </c>
      <c r="J37" s="1816" t="str">
        <f>HYPERLINK("#WHEDA_Loan_Signature_Page", WHEDA_Loan_Signature_Page)</f>
        <v>WHEDA Loan Signature Page</v>
      </c>
      <c r="K37" s="1817"/>
      <c r="L37" s="1817"/>
      <c r="M37" s="1817"/>
      <c r="N37" s="1817"/>
      <c r="O37" s="1818"/>
      <c r="P37" s="810"/>
      <c r="Q37" s="649" t="s">
        <v>3473</v>
      </c>
      <c r="R37" s="1030"/>
    </row>
    <row r="38" spans="2:21" ht="18.75">
      <c r="B38" s="1030"/>
      <c r="C38" s="1030"/>
      <c r="D38" s="1030"/>
      <c r="E38" s="1030"/>
      <c r="F38" s="1030"/>
      <c r="G38" s="1030"/>
      <c r="H38" s="1030"/>
      <c r="I38" s="652">
        <v>28</v>
      </c>
      <c r="J38" s="1819" t="str">
        <f>HYPERLINK("#Tax_Credit_Signature_Page", Tax_Credit_Signature_Page)</f>
        <v>Housing Tax Credit Signature Page</v>
      </c>
      <c r="K38" s="1820"/>
      <c r="L38" s="1820"/>
      <c r="M38" s="1820"/>
      <c r="N38" s="1820"/>
      <c r="O38" s="1821"/>
      <c r="P38" s="650" t="s">
        <v>3473</v>
      </c>
      <c r="Q38" s="647"/>
      <c r="R38" s="1030"/>
    </row>
    <row r="39" spans="2:21">
      <c r="B39" s="1030"/>
      <c r="C39" s="1030"/>
      <c r="D39" s="1030"/>
      <c r="E39" s="1030"/>
      <c r="F39" s="1030"/>
      <c r="G39" s="1030"/>
      <c r="H39" s="1030"/>
      <c r="I39" s="1296"/>
      <c r="J39" s="1030"/>
      <c r="K39" s="1030"/>
      <c r="L39" s="1030"/>
      <c r="M39" s="1030"/>
      <c r="N39" s="1030"/>
      <c r="O39" s="1030"/>
      <c r="P39" s="1030"/>
      <c r="Q39" s="1030"/>
      <c r="R39" s="1030"/>
    </row>
    <row r="40" spans="2:21">
      <c r="B40" s="1030"/>
      <c r="C40" s="1030"/>
      <c r="D40" s="1030"/>
      <c r="E40" s="1030"/>
      <c r="F40" s="1030"/>
      <c r="G40" s="1030"/>
      <c r="H40" s="1030"/>
      <c r="I40" s="1296"/>
      <c r="J40" s="1027"/>
      <c r="K40" s="1027"/>
      <c r="L40" s="1027"/>
      <c r="M40" s="1027"/>
      <c r="N40" s="1027"/>
      <c r="O40" s="1027"/>
      <c r="P40" s="1027"/>
      <c r="Q40" s="1027"/>
      <c r="R40" s="1030"/>
    </row>
    <row r="41" spans="2:21" s="3" customFormat="1">
      <c r="I41" s="1736"/>
      <c r="T41" s="9"/>
      <c r="U41" s="9"/>
    </row>
    <row r="42" spans="2:21" s="3" customFormat="1">
      <c r="I42" s="1736"/>
      <c r="T42" s="9"/>
      <c r="U42" s="9"/>
    </row>
    <row r="43" spans="2:21" s="3" customFormat="1">
      <c r="I43" s="1736"/>
      <c r="T43" s="9"/>
      <c r="U43" s="9"/>
    </row>
    <row r="44" spans="2:21" s="3" customFormat="1">
      <c r="I44" s="1736"/>
      <c r="T44" s="9"/>
      <c r="U44" s="9"/>
    </row>
    <row r="45" spans="2:21" s="3" customFormat="1">
      <c r="I45" s="1736"/>
      <c r="T45" s="9"/>
      <c r="U45" s="9"/>
    </row>
    <row r="46" spans="2:21" s="3" customFormat="1">
      <c r="I46" s="1736"/>
      <c r="T46" s="9"/>
      <c r="U46" s="9"/>
    </row>
    <row r="47" spans="2:21" s="3" customFormat="1">
      <c r="I47" s="1736"/>
      <c r="T47" s="9"/>
      <c r="U47" s="9"/>
    </row>
    <row r="48" spans="2:21" s="3" customFormat="1">
      <c r="I48" s="1736"/>
      <c r="T48" s="9"/>
      <c r="U48" s="9"/>
    </row>
    <row r="49" spans="9:21" s="3" customFormat="1">
      <c r="I49" s="1736"/>
      <c r="T49" s="9"/>
      <c r="U49" s="9"/>
    </row>
    <row r="50" spans="9:21" s="3" customFormat="1">
      <c r="I50" s="1736"/>
      <c r="T50" s="9"/>
      <c r="U50" s="9"/>
    </row>
    <row r="51" spans="9:21" s="3" customFormat="1">
      <c r="I51" s="1736"/>
      <c r="T51" s="9"/>
      <c r="U51" s="9"/>
    </row>
    <row r="52" spans="9:21" s="3" customFormat="1">
      <c r="I52" s="1736"/>
      <c r="T52" s="9"/>
      <c r="U52" s="9"/>
    </row>
    <row r="53" spans="9:21" s="3" customFormat="1">
      <c r="I53" s="1736"/>
      <c r="T53" s="9"/>
      <c r="U53" s="9"/>
    </row>
    <row r="54" spans="9:21" s="3" customFormat="1">
      <c r="I54" s="1736"/>
      <c r="T54" s="9"/>
      <c r="U54" s="9"/>
    </row>
    <row r="55" spans="9:21" s="3" customFormat="1">
      <c r="I55" s="1736"/>
      <c r="T55" s="9"/>
      <c r="U55" s="9"/>
    </row>
    <row r="56" spans="9:21" s="3" customFormat="1">
      <c r="I56" s="1736"/>
      <c r="T56" s="9"/>
      <c r="U56" s="9"/>
    </row>
    <row r="57" spans="9:21" s="3" customFormat="1">
      <c r="I57" s="1736"/>
      <c r="T57" s="9"/>
      <c r="U57" s="9"/>
    </row>
    <row r="58" spans="9:21" s="3" customFormat="1">
      <c r="I58" s="1736"/>
      <c r="T58" s="9"/>
      <c r="U58" s="9"/>
    </row>
    <row r="59" spans="9:21" s="3" customFormat="1">
      <c r="I59" s="1736"/>
      <c r="T59" s="9"/>
      <c r="U59" s="9"/>
    </row>
    <row r="60" spans="9:21" s="3" customFormat="1">
      <c r="I60" s="1736"/>
      <c r="T60" s="9"/>
      <c r="U60" s="9"/>
    </row>
    <row r="61" spans="9:21" s="3" customFormat="1">
      <c r="I61" s="1736"/>
      <c r="T61" s="9"/>
      <c r="U61" s="9"/>
    </row>
    <row r="62" spans="9:21" s="3" customFormat="1">
      <c r="I62" s="1736"/>
      <c r="T62" s="9"/>
      <c r="U62" s="9"/>
    </row>
    <row r="63" spans="9:21" s="3" customFormat="1">
      <c r="I63" s="1736"/>
      <c r="T63" s="9"/>
      <c r="U63" s="9"/>
    </row>
    <row r="64" spans="9:21" s="3" customFormat="1">
      <c r="I64" s="1736"/>
      <c r="T64" s="9"/>
      <c r="U64" s="9"/>
    </row>
    <row r="65" spans="9:21" s="3" customFormat="1">
      <c r="I65" s="1736"/>
      <c r="T65" s="9"/>
      <c r="U65" s="9"/>
    </row>
    <row r="66" spans="9:21" s="3" customFormat="1">
      <c r="I66" s="1736"/>
      <c r="T66" s="9"/>
      <c r="U66" s="9"/>
    </row>
    <row r="67" spans="9:21" s="3" customFormat="1">
      <c r="I67" s="1736"/>
      <c r="T67" s="9"/>
      <c r="U67" s="9"/>
    </row>
    <row r="68" spans="9:21" s="3" customFormat="1">
      <c r="I68" s="1736"/>
      <c r="T68" s="9"/>
      <c r="U68" s="9"/>
    </row>
    <row r="69" spans="9:21" s="3" customFormat="1">
      <c r="I69" s="1736"/>
      <c r="T69" s="9"/>
      <c r="U69" s="9"/>
    </row>
    <row r="70" spans="9:21" s="3" customFormat="1">
      <c r="I70" s="1736"/>
      <c r="T70" s="9"/>
      <c r="U70" s="9"/>
    </row>
    <row r="71" spans="9:21" s="3" customFormat="1">
      <c r="I71" s="1736"/>
      <c r="T71" s="9"/>
      <c r="U71" s="9"/>
    </row>
    <row r="72" spans="9:21" s="3" customFormat="1">
      <c r="I72" s="1736"/>
      <c r="T72" s="9"/>
      <c r="U72" s="9"/>
    </row>
    <row r="73" spans="9:21" s="3" customFormat="1">
      <c r="I73" s="1736"/>
      <c r="T73" s="9"/>
      <c r="U73" s="9"/>
    </row>
    <row r="74" spans="9:21" s="3" customFormat="1">
      <c r="I74" s="1736"/>
      <c r="T74" s="9"/>
      <c r="U74" s="9"/>
    </row>
    <row r="75" spans="9:21" s="3" customFormat="1">
      <c r="I75" s="1736"/>
      <c r="T75" s="9"/>
      <c r="U75" s="9"/>
    </row>
    <row r="76" spans="9:21" s="3" customFormat="1">
      <c r="I76" s="1736"/>
      <c r="T76" s="9"/>
      <c r="U76" s="9"/>
    </row>
    <row r="77" spans="9:21" s="3" customFormat="1">
      <c r="I77" s="1736"/>
      <c r="T77" s="9"/>
      <c r="U77" s="9"/>
    </row>
    <row r="78" spans="9:21" s="3" customFormat="1">
      <c r="I78" s="1736"/>
      <c r="T78" s="9"/>
      <c r="U78" s="9"/>
    </row>
    <row r="79" spans="9:21" s="3" customFormat="1">
      <c r="I79" s="1736"/>
      <c r="T79" s="9"/>
      <c r="U79" s="9"/>
    </row>
    <row r="80" spans="9:21" s="3" customFormat="1">
      <c r="I80" s="1736"/>
      <c r="T80" s="9"/>
      <c r="U80" s="9"/>
    </row>
    <row r="81" spans="9:21" s="3" customFormat="1">
      <c r="I81" s="1736"/>
      <c r="T81" s="9"/>
      <c r="U81" s="9"/>
    </row>
    <row r="82" spans="9:21" s="3" customFormat="1">
      <c r="I82" s="1736"/>
      <c r="T82" s="9"/>
      <c r="U82" s="9"/>
    </row>
    <row r="83" spans="9:21" s="3" customFormat="1">
      <c r="I83" s="1736"/>
      <c r="T83" s="9"/>
      <c r="U83" s="9"/>
    </row>
    <row r="84" spans="9:21" s="3" customFormat="1">
      <c r="I84" s="1736"/>
      <c r="T84" s="9"/>
      <c r="U84" s="9"/>
    </row>
    <row r="85" spans="9:21" s="3" customFormat="1">
      <c r="I85" s="1736"/>
      <c r="T85" s="9"/>
      <c r="U85" s="9"/>
    </row>
    <row r="86" spans="9:21" s="3" customFormat="1">
      <c r="I86" s="1736"/>
      <c r="T86" s="9"/>
      <c r="U86" s="9"/>
    </row>
    <row r="87" spans="9:21" s="3" customFormat="1">
      <c r="I87" s="1736"/>
      <c r="T87" s="9"/>
      <c r="U87" s="9"/>
    </row>
    <row r="88" spans="9:21" s="3" customFormat="1">
      <c r="I88" s="1736"/>
      <c r="T88" s="9"/>
      <c r="U88" s="9"/>
    </row>
    <row r="89" spans="9:21" s="3" customFormat="1">
      <c r="I89" s="1736"/>
      <c r="T89" s="9"/>
      <c r="U89" s="9"/>
    </row>
    <row r="90" spans="9:21" s="3" customFormat="1">
      <c r="I90" s="1736"/>
      <c r="T90" s="9"/>
      <c r="U90" s="9"/>
    </row>
    <row r="91" spans="9:21" s="3" customFormat="1">
      <c r="I91" s="1736"/>
      <c r="T91" s="9"/>
      <c r="U91" s="9"/>
    </row>
    <row r="92" spans="9:21" s="3" customFormat="1">
      <c r="I92" s="1736"/>
      <c r="T92" s="9"/>
      <c r="U92" s="9"/>
    </row>
    <row r="93" spans="9:21" s="3" customFormat="1">
      <c r="I93" s="1736"/>
      <c r="T93" s="9"/>
      <c r="U93" s="9"/>
    </row>
    <row r="94" spans="9:21" s="3" customFormat="1">
      <c r="I94" s="1736"/>
      <c r="T94" s="9"/>
      <c r="U94" s="9"/>
    </row>
    <row r="95" spans="9:21" s="3" customFormat="1">
      <c r="I95" s="1736"/>
      <c r="T95" s="9"/>
      <c r="U95" s="9"/>
    </row>
    <row r="96" spans="9:21" s="3" customFormat="1">
      <c r="I96" s="1736"/>
      <c r="T96" s="9"/>
      <c r="U96" s="9"/>
    </row>
    <row r="97" spans="9:21" s="3" customFormat="1">
      <c r="I97" s="1736"/>
      <c r="T97" s="9"/>
      <c r="U97" s="9"/>
    </row>
    <row r="98" spans="9:21" s="3" customFormat="1">
      <c r="I98" s="1736"/>
      <c r="T98" s="9"/>
      <c r="U98" s="9"/>
    </row>
    <row r="99" spans="9:21" s="3" customFormat="1">
      <c r="I99" s="1736"/>
      <c r="T99" s="9"/>
      <c r="U99" s="9"/>
    </row>
    <row r="100" spans="9:21" s="3" customFormat="1">
      <c r="I100" s="1736"/>
      <c r="T100" s="9"/>
      <c r="U100" s="9"/>
    </row>
    <row r="101" spans="9:21" s="3" customFormat="1">
      <c r="I101" s="1736"/>
      <c r="T101" s="9"/>
      <c r="U101" s="9"/>
    </row>
    <row r="102" spans="9:21" s="3" customFormat="1">
      <c r="I102" s="1736"/>
      <c r="T102" s="9"/>
      <c r="U102" s="9"/>
    </row>
    <row r="103" spans="9:21" s="3" customFormat="1">
      <c r="I103" s="1736"/>
      <c r="T103" s="9"/>
      <c r="U103" s="9"/>
    </row>
    <row r="104" spans="9:21" s="3" customFormat="1">
      <c r="I104" s="1736"/>
      <c r="T104" s="9"/>
      <c r="U104" s="9"/>
    </row>
    <row r="105" spans="9:21" s="3" customFormat="1">
      <c r="I105" s="1736"/>
      <c r="T105" s="9"/>
      <c r="U105" s="9"/>
    </row>
    <row r="106" spans="9:21" s="3" customFormat="1">
      <c r="I106" s="1736"/>
      <c r="T106" s="9"/>
      <c r="U106" s="9"/>
    </row>
    <row r="107" spans="9:21" s="3" customFormat="1">
      <c r="I107" s="1736"/>
      <c r="T107" s="9"/>
      <c r="U107" s="9"/>
    </row>
    <row r="108" spans="9:21" s="3" customFormat="1">
      <c r="I108" s="1736"/>
      <c r="T108" s="9"/>
      <c r="U108" s="9"/>
    </row>
    <row r="109" spans="9:21" s="3" customFormat="1">
      <c r="I109" s="1736"/>
      <c r="T109" s="9"/>
      <c r="U109" s="9"/>
    </row>
    <row r="110" spans="9:21" s="3" customFormat="1">
      <c r="I110" s="1736"/>
      <c r="T110" s="9"/>
      <c r="U110" s="9"/>
    </row>
    <row r="111" spans="9:21" s="3" customFormat="1">
      <c r="I111" s="1736"/>
      <c r="T111" s="9"/>
      <c r="U111" s="9"/>
    </row>
    <row r="112" spans="9:21" s="3" customFormat="1">
      <c r="I112" s="1736"/>
      <c r="T112" s="9"/>
      <c r="U112" s="9"/>
    </row>
    <row r="113" spans="9:21" s="3" customFormat="1">
      <c r="I113" s="1736"/>
      <c r="T113" s="9"/>
      <c r="U113" s="9"/>
    </row>
    <row r="114" spans="9:21" s="3" customFormat="1">
      <c r="I114" s="1736"/>
      <c r="T114" s="9"/>
      <c r="U114" s="9"/>
    </row>
    <row r="115" spans="9:21" s="3" customFormat="1">
      <c r="I115" s="1736"/>
      <c r="T115" s="9"/>
      <c r="U115" s="9"/>
    </row>
    <row r="116" spans="9:21" s="3" customFormat="1">
      <c r="I116" s="1736"/>
      <c r="T116" s="9"/>
      <c r="U116" s="9"/>
    </row>
    <row r="117" spans="9:21" s="3" customFormat="1">
      <c r="I117" s="1736"/>
      <c r="T117" s="9"/>
      <c r="U117" s="9"/>
    </row>
    <row r="118" spans="9:21" s="3" customFormat="1">
      <c r="I118" s="1736"/>
      <c r="T118" s="9"/>
      <c r="U118" s="9"/>
    </row>
    <row r="119" spans="9:21" s="3" customFormat="1">
      <c r="I119" s="1736"/>
      <c r="T119" s="9"/>
      <c r="U119" s="9"/>
    </row>
    <row r="120" spans="9:21" s="3" customFormat="1">
      <c r="I120" s="1736"/>
      <c r="T120" s="9"/>
      <c r="U120" s="9"/>
    </row>
    <row r="121" spans="9:21" s="3" customFormat="1">
      <c r="I121" s="1736"/>
      <c r="T121" s="9"/>
      <c r="U121" s="9"/>
    </row>
    <row r="122" spans="9:21" s="3" customFormat="1">
      <c r="I122" s="1736"/>
      <c r="T122" s="9"/>
      <c r="U122" s="9"/>
    </row>
    <row r="123" spans="9:21" s="3" customFormat="1">
      <c r="I123" s="1736"/>
      <c r="T123" s="9"/>
      <c r="U123" s="9"/>
    </row>
    <row r="124" spans="9:21" s="3" customFormat="1">
      <c r="I124" s="1736"/>
      <c r="T124" s="9"/>
      <c r="U124" s="9"/>
    </row>
    <row r="125" spans="9:21" s="3" customFormat="1">
      <c r="I125" s="1736"/>
      <c r="T125" s="9"/>
      <c r="U125" s="9"/>
    </row>
    <row r="126" spans="9:21" s="3" customFormat="1">
      <c r="I126" s="1736"/>
      <c r="T126" s="9"/>
      <c r="U126" s="9"/>
    </row>
    <row r="127" spans="9:21" s="3" customFormat="1">
      <c r="I127" s="1736"/>
      <c r="T127" s="9"/>
      <c r="U127" s="9"/>
    </row>
    <row r="128" spans="9:21" s="3" customFormat="1">
      <c r="I128" s="1736"/>
      <c r="T128" s="9"/>
      <c r="U128" s="9"/>
    </row>
    <row r="129" spans="9:21" s="3" customFormat="1">
      <c r="I129" s="1736"/>
      <c r="T129" s="9"/>
      <c r="U129" s="9"/>
    </row>
    <row r="130" spans="9:21" s="3" customFormat="1">
      <c r="I130" s="1736"/>
      <c r="T130" s="9"/>
      <c r="U130" s="9"/>
    </row>
    <row r="131" spans="9:21" s="3" customFormat="1">
      <c r="I131" s="1736"/>
      <c r="T131" s="9"/>
      <c r="U131" s="9"/>
    </row>
    <row r="132" spans="9:21" s="3" customFormat="1">
      <c r="I132" s="1736"/>
      <c r="T132" s="9"/>
      <c r="U132" s="9"/>
    </row>
    <row r="133" spans="9:21" s="3" customFormat="1">
      <c r="I133" s="1736"/>
      <c r="T133" s="9"/>
      <c r="U133" s="9"/>
    </row>
    <row r="134" spans="9:21" s="3" customFormat="1">
      <c r="I134" s="1736"/>
      <c r="T134" s="9"/>
      <c r="U134" s="9"/>
    </row>
    <row r="135" spans="9:21" s="3" customFormat="1">
      <c r="I135" s="1736"/>
      <c r="T135" s="9"/>
      <c r="U135" s="9"/>
    </row>
    <row r="136" spans="9:21" s="3" customFormat="1">
      <c r="I136" s="1736"/>
      <c r="T136" s="9"/>
      <c r="U136" s="9"/>
    </row>
    <row r="137" spans="9:21" s="3" customFormat="1">
      <c r="I137" s="1736"/>
      <c r="T137" s="9"/>
      <c r="U137" s="9"/>
    </row>
    <row r="138" spans="9:21" s="3" customFormat="1">
      <c r="I138" s="1736"/>
      <c r="T138" s="9"/>
      <c r="U138" s="9"/>
    </row>
    <row r="139" spans="9:21" s="3" customFormat="1">
      <c r="I139" s="1736"/>
      <c r="T139" s="9"/>
      <c r="U139" s="9"/>
    </row>
    <row r="140" spans="9:21" s="3" customFormat="1">
      <c r="I140" s="1736"/>
      <c r="T140" s="9"/>
      <c r="U140" s="9"/>
    </row>
    <row r="141" spans="9:21" s="3" customFormat="1">
      <c r="I141" s="1736"/>
      <c r="T141" s="9"/>
      <c r="U141" s="9"/>
    </row>
    <row r="142" spans="9:21" s="3" customFormat="1">
      <c r="I142" s="1736"/>
      <c r="T142" s="9"/>
      <c r="U142" s="9"/>
    </row>
    <row r="143" spans="9:21" s="3" customFormat="1">
      <c r="I143" s="1736"/>
      <c r="T143" s="9"/>
      <c r="U143" s="9"/>
    </row>
    <row r="144" spans="9:21" s="3" customFormat="1">
      <c r="I144" s="1736"/>
      <c r="T144" s="9"/>
      <c r="U144" s="9"/>
    </row>
    <row r="145" spans="9:21" s="3" customFormat="1">
      <c r="I145" s="1736"/>
      <c r="T145" s="9"/>
      <c r="U145" s="9"/>
    </row>
    <row r="146" spans="9:21" s="3" customFormat="1">
      <c r="I146" s="1736"/>
      <c r="T146" s="9"/>
      <c r="U146" s="9"/>
    </row>
    <row r="147" spans="9:21" s="3" customFormat="1">
      <c r="I147" s="1736"/>
      <c r="T147" s="9"/>
      <c r="U147" s="9"/>
    </row>
    <row r="148" spans="9:21" s="3" customFormat="1">
      <c r="I148" s="1736"/>
      <c r="T148" s="9"/>
      <c r="U148" s="9"/>
    </row>
    <row r="149" spans="9:21" s="3" customFormat="1">
      <c r="I149" s="1736"/>
      <c r="T149" s="9"/>
      <c r="U149" s="9"/>
    </row>
    <row r="150" spans="9:21" s="3" customFormat="1">
      <c r="I150" s="1736"/>
      <c r="T150" s="9"/>
      <c r="U150" s="9"/>
    </row>
    <row r="151" spans="9:21" s="3" customFormat="1">
      <c r="I151" s="1736"/>
      <c r="T151" s="9"/>
      <c r="U151" s="9"/>
    </row>
    <row r="152" spans="9:21" s="3" customFormat="1">
      <c r="I152" s="1736"/>
      <c r="T152" s="9"/>
      <c r="U152" s="9"/>
    </row>
    <row r="153" spans="9:21" s="3" customFormat="1">
      <c r="I153" s="1736"/>
      <c r="T153" s="9"/>
      <c r="U153" s="9"/>
    </row>
    <row r="154" spans="9:21" s="3" customFormat="1">
      <c r="I154" s="1736"/>
      <c r="T154" s="9"/>
      <c r="U154" s="9"/>
    </row>
    <row r="155" spans="9:21" s="3" customFormat="1">
      <c r="I155" s="1736"/>
      <c r="T155" s="9"/>
      <c r="U155" s="9"/>
    </row>
    <row r="156" spans="9:21" s="3" customFormat="1">
      <c r="I156" s="1736"/>
      <c r="T156" s="9"/>
      <c r="U156" s="9"/>
    </row>
    <row r="157" spans="9:21" s="3" customFormat="1">
      <c r="I157" s="1736"/>
      <c r="T157" s="9"/>
      <c r="U157" s="9"/>
    </row>
    <row r="158" spans="9:21" s="3" customFormat="1">
      <c r="I158" s="1736"/>
      <c r="T158" s="9"/>
      <c r="U158" s="9"/>
    </row>
    <row r="159" spans="9:21" s="3" customFormat="1">
      <c r="I159" s="1736"/>
      <c r="T159" s="9"/>
      <c r="U159" s="9"/>
    </row>
    <row r="160" spans="9:21" s="3" customFormat="1">
      <c r="I160" s="1736"/>
      <c r="T160" s="9"/>
      <c r="U160" s="9"/>
    </row>
    <row r="161" spans="9:21" s="3" customFormat="1">
      <c r="I161" s="1736"/>
      <c r="T161" s="9"/>
      <c r="U161" s="9"/>
    </row>
    <row r="162" spans="9:21" s="3" customFormat="1">
      <c r="I162" s="1736"/>
      <c r="T162" s="9"/>
      <c r="U162" s="9"/>
    </row>
    <row r="163" spans="9:21" s="3" customFormat="1">
      <c r="I163" s="1736"/>
      <c r="T163" s="9"/>
      <c r="U163" s="9"/>
    </row>
    <row r="164" spans="9:21" s="3" customFormat="1">
      <c r="I164" s="1736"/>
      <c r="T164" s="9"/>
      <c r="U164" s="9"/>
    </row>
    <row r="165" spans="9:21" s="3" customFormat="1">
      <c r="I165" s="1736"/>
      <c r="T165" s="9"/>
      <c r="U165" s="9"/>
    </row>
    <row r="166" spans="9:21" s="3" customFormat="1">
      <c r="I166" s="1736"/>
      <c r="T166" s="9"/>
      <c r="U166" s="9"/>
    </row>
    <row r="167" spans="9:21" s="3" customFormat="1">
      <c r="I167" s="1736"/>
      <c r="T167" s="9"/>
      <c r="U167" s="9"/>
    </row>
    <row r="168" spans="9:21" s="3" customFormat="1">
      <c r="I168" s="1736"/>
      <c r="T168" s="9"/>
      <c r="U168" s="9"/>
    </row>
    <row r="169" spans="9:21" s="3" customFormat="1">
      <c r="I169" s="1736"/>
      <c r="T169" s="9"/>
      <c r="U169" s="9"/>
    </row>
    <row r="170" spans="9:21" s="3" customFormat="1">
      <c r="I170" s="1736"/>
      <c r="T170" s="9"/>
      <c r="U170" s="9"/>
    </row>
    <row r="171" spans="9:21" s="3" customFormat="1">
      <c r="I171" s="1736"/>
      <c r="T171" s="9"/>
      <c r="U171" s="9"/>
    </row>
    <row r="172" spans="9:21" s="3" customFormat="1">
      <c r="I172" s="1736"/>
      <c r="T172" s="9"/>
      <c r="U172" s="9"/>
    </row>
    <row r="173" spans="9:21" s="3" customFormat="1">
      <c r="I173" s="1736"/>
      <c r="T173" s="9"/>
      <c r="U173" s="9"/>
    </row>
    <row r="174" spans="9:21" s="3" customFormat="1">
      <c r="I174" s="1736"/>
      <c r="T174" s="9"/>
      <c r="U174" s="9"/>
    </row>
    <row r="175" spans="9:21" s="3" customFormat="1">
      <c r="I175" s="1736"/>
      <c r="T175" s="9"/>
      <c r="U175" s="9"/>
    </row>
    <row r="176" spans="9:21" s="3" customFormat="1">
      <c r="I176" s="1736"/>
      <c r="T176" s="9"/>
      <c r="U176" s="9"/>
    </row>
    <row r="177" spans="9:21" s="3" customFormat="1">
      <c r="I177" s="1736"/>
      <c r="T177" s="9"/>
      <c r="U177" s="9"/>
    </row>
    <row r="178" spans="9:21" s="3" customFormat="1">
      <c r="I178" s="1736"/>
      <c r="T178" s="9"/>
      <c r="U178" s="9"/>
    </row>
    <row r="179" spans="9:21" s="3" customFormat="1">
      <c r="I179" s="1736"/>
      <c r="T179" s="9"/>
      <c r="U179" s="9"/>
    </row>
    <row r="180" spans="9:21" s="3" customFormat="1">
      <c r="I180" s="1736"/>
      <c r="T180" s="9"/>
      <c r="U180" s="9"/>
    </row>
    <row r="181" spans="9:21" s="3" customFormat="1">
      <c r="I181" s="1736"/>
      <c r="T181" s="9"/>
      <c r="U181" s="9"/>
    </row>
    <row r="182" spans="9:21" s="3" customFormat="1">
      <c r="I182" s="1736"/>
      <c r="T182" s="9"/>
      <c r="U182" s="9"/>
    </row>
    <row r="183" spans="9:21" s="3" customFormat="1">
      <c r="I183" s="1736"/>
      <c r="T183" s="9"/>
      <c r="U183" s="9"/>
    </row>
    <row r="184" spans="9:21" s="3" customFormat="1">
      <c r="I184" s="1736"/>
      <c r="T184" s="9"/>
      <c r="U184" s="9"/>
    </row>
    <row r="185" spans="9:21" s="3" customFormat="1">
      <c r="I185" s="1736"/>
      <c r="T185" s="9"/>
      <c r="U185" s="9"/>
    </row>
    <row r="186" spans="9:21" s="3" customFormat="1">
      <c r="I186" s="1736"/>
      <c r="T186" s="9"/>
      <c r="U186" s="9"/>
    </row>
    <row r="187" spans="9:21" s="3" customFormat="1">
      <c r="I187" s="1736"/>
      <c r="T187" s="9"/>
      <c r="U187" s="9"/>
    </row>
    <row r="188" spans="9:21" s="3" customFormat="1">
      <c r="I188" s="1736"/>
      <c r="T188" s="9"/>
      <c r="U188" s="9"/>
    </row>
    <row r="189" spans="9:21" s="3" customFormat="1">
      <c r="I189" s="1736"/>
      <c r="T189" s="9"/>
      <c r="U189" s="9"/>
    </row>
    <row r="190" spans="9:21" s="3" customFormat="1">
      <c r="I190" s="1736"/>
      <c r="T190" s="9"/>
      <c r="U190" s="9"/>
    </row>
    <row r="191" spans="9:21" s="3" customFormat="1">
      <c r="I191" s="1736"/>
      <c r="T191" s="9"/>
      <c r="U191" s="9"/>
    </row>
    <row r="192" spans="9:21" s="3" customFormat="1">
      <c r="I192" s="1736"/>
      <c r="T192" s="9"/>
      <c r="U192" s="9"/>
    </row>
    <row r="193" spans="9:21" s="3" customFormat="1">
      <c r="I193" s="1736"/>
      <c r="T193" s="9"/>
      <c r="U193" s="9"/>
    </row>
    <row r="194" spans="9:21" s="3" customFormat="1">
      <c r="I194" s="1736"/>
      <c r="T194" s="9"/>
      <c r="U194" s="9"/>
    </row>
    <row r="195" spans="9:21" s="3" customFormat="1">
      <c r="I195" s="1736"/>
      <c r="T195" s="9"/>
      <c r="U195" s="9"/>
    </row>
    <row r="196" spans="9:21" s="3" customFormat="1">
      <c r="I196" s="1736"/>
      <c r="T196" s="9"/>
      <c r="U196" s="9"/>
    </row>
    <row r="197" spans="9:21" s="3" customFormat="1">
      <c r="I197" s="1736"/>
      <c r="T197" s="9"/>
      <c r="U197" s="9"/>
    </row>
    <row r="198" spans="9:21" s="3" customFormat="1">
      <c r="I198" s="1736"/>
      <c r="T198" s="9"/>
      <c r="U198" s="9"/>
    </row>
    <row r="199" spans="9:21" s="3" customFormat="1">
      <c r="I199" s="1736"/>
      <c r="T199" s="9"/>
      <c r="U199" s="9"/>
    </row>
    <row r="200" spans="9:21" s="3" customFormat="1">
      <c r="I200" s="1736"/>
      <c r="T200" s="9"/>
      <c r="U200" s="9"/>
    </row>
    <row r="201" spans="9:21" s="3" customFormat="1">
      <c r="I201" s="1736"/>
      <c r="T201" s="9"/>
      <c r="U201" s="9"/>
    </row>
    <row r="202" spans="9:21" s="3" customFormat="1">
      <c r="I202" s="1736"/>
      <c r="T202" s="9"/>
      <c r="U202" s="9"/>
    </row>
    <row r="203" spans="9:21" s="3" customFormat="1">
      <c r="I203" s="1736"/>
      <c r="T203" s="9"/>
      <c r="U203" s="9"/>
    </row>
    <row r="204" spans="9:21" s="3" customFormat="1">
      <c r="I204" s="1736"/>
      <c r="T204" s="9"/>
      <c r="U204" s="9"/>
    </row>
    <row r="205" spans="9:21" s="3" customFormat="1">
      <c r="I205" s="1736"/>
      <c r="T205" s="9"/>
      <c r="U205" s="9"/>
    </row>
    <row r="206" spans="9:21" s="3" customFormat="1">
      <c r="I206" s="1736"/>
      <c r="T206" s="9"/>
      <c r="U206" s="9"/>
    </row>
    <row r="207" spans="9:21" s="3" customFormat="1">
      <c r="I207" s="1736"/>
      <c r="T207" s="9"/>
      <c r="U207" s="9"/>
    </row>
    <row r="208" spans="9:21" s="3" customFormat="1">
      <c r="I208" s="1736"/>
      <c r="T208" s="9"/>
      <c r="U208" s="9"/>
    </row>
    <row r="209" spans="9:21" s="3" customFormat="1">
      <c r="I209" s="1736"/>
      <c r="T209" s="9"/>
      <c r="U209" s="9"/>
    </row>
    <row r="210" spans="9:21" s="3" customFormat="1">
      <c r="I210" s="1736"/>
      <c r="T210" s="9"/>
      <c r="U210" s="9"/>
    </row>
    <row r="211" spans="9:21" s="3" customFormat="1">
      <c r="I211" s="1736"/>
      <c r="T211" s="9"/>
      <c r="U211" s="9"/>
    </row>
    <row r="212" spans="9:21" s="3" customFormat="1">
      <c r="I212" s="1736"/>
      <c r="T212" s="9"/>
      <c r="U212" s="9"/>
    </row>
    <row r="213" spans="9:21" s="3" customFormat="1">
      <c r="I213" s="1736"/>
      <c r="T213" s="9"/>
      <c r="U213" s="9"/>
    </row>
    <row r="214" spans="9:21" s="3" customFormat="1">
      <c r="I214" s="1736"/>
      <c r="T214" s="9"/>
      <c r="U214" s="9"/>
    </row>
    <row r="215" spans="9:21" s="3" customFormat="1">
      <c r="I215" s="1736"/>
      <c r="T215" s="9"/>
      <c r="U215" s="9"/>
    </row>
    <row r="216" spans="9:21" s="3" customFormat="1">
      <c r="I216" s="1736"/>
      <c r="T216" s="9"/>
      <c r="U216" s="9"/>
    </row>
    <row r="217" spans="9:21" s="3" customFormat="1">
      <c r="I217" s="1736"/>
      <c r="T217" s="9"/>
      <c r="U217" s="9"/>
    </row>
    <row r="218" spans="9:21" s="3" customFormat="1">
      <c r="I218" s="1736"/>
      <c r="T218" s="9"/>
      <c r="U218" s="9"/>
    </row>
    <row r="219" spans="9:21" s="3" customFormat="1">
      <c r="I219" s="1736"/>
      <c r="T219" s="9"/>
      <c r="U219" s="9"/>
    </row>
    <row r="220" spans="9:21" s="3" customFormat="1">
      <c r="I220" s="1736"/>
      <c r="T220" s="9"/>
      <c r="U220" s="9"/>
    </row>
    <row r="221" spans="9:21" s="3" customFormat="1">
      <c r="I221" s="1736"/>
      <c r="T221" s="9"/>
      <c r="U221" s="9"/>
    </row>
    <row r="222" spans="9:21" s="3" customFormat="1">
      <c r="I222" s="1736"/>
      <c r="T222" s="9"/>
      <c r="U222" s="9"/>
    </row>
    <row r="223" spans="9:21" s="3" customFormat="1">
      <c r="I223" s="1736"/>
      <c r="T223" s="9"/>
      <c r="U223" s="9"/>
    </row>
    <row r="224" spans="9:21" s="3" customFormat="1">
      <c r="I224" s="1736"/>
      <c r="T224" s="9"/>
      <c r="U224" s="9"/>
    </row>
    <row r="225" spans="9:21" s="3" customFormat="1">
      <c r="I225" s="1736"/>
      <c r="T225" s="9"/>
      <c r="U225" s="9"/>
    </row>
    <row r="226" spans="9:21" s="3" customFormat="1">
      <c r="I226" s="1736"/>
      <c r="T226" s="9"/>
      <c r="U226" s="9"/>
    </row>
    <row r="227" spans="9:21" s="3" customFormat="1">
      <c r="I227" s="1736"/>
      <c r="T227" s="9"/>
      <c r="U227" s="9"/>
    </row>
    <row r="228" spans="9:21" s="3" customFormat="1">
      <c r="I228" s="1736"/>
      <c r="T228" s="9"/>
      <c r="U228" s="9"/>
    </row>
    <row r="229" spans="9:21" s="3" customFormat="1">
      <c r="I229" s="1736"/>
      <c r="T229" s="9"/>
      <c r="U229" s="9"/>
    </row>
    <row r="230" spans="9:21" s="3" customFormat="1">
      <c r="I230" s="1736"/>
      <c r="T230" s="9"/>
      <c r="U230" s="9"/>
    </row>
    <row r="231" spans="9:21" s="3" customFormat="1">
      <c r="I231" s="1736"/>
      <c r="T231" s="9"/>
      <c r="U231" s="9"/>
    </row>
    <row r="232" spans="9:21" s="3" customFormat="1">
      <c r="I232" s="1736"/>
      <c r="T232" s="9"/>
      <c r="U232" s="9"/>
    </row>
    <row r="233" spans="9:21" s="3" customFormat="1">
      <c r="I233" s="1736"/>
      <c r="T233" s="9"/>
      <c r="U233" s="9"/>
    </row>
    <row r="234" spans="9:21" s="3" customFormat="1">
      <c r="I234" s="1736"/>
      <c r="T234" s="9"/>
      <c r="U234" s="9"/>
    </row>
    <row r="235" spans="9:21" s="3" customFormat="1">
      <c r="I235" s="1736"/>
      <c r="T235" s="9"/>
      <c r="U235" s="9"/>
    </row>
    <row r="236" spans="9:21" s="3" customFormat="1">
      <c r="I236" s="1736"/>
      <c r="T236" s="9"/>
      <c r="U236" s="9"/>
    </row>
    <row r="237" spans="9:21" s="3" customFormat="1">
      <c r="I237" s="1736"/>
      <c r="T237" s="9"/>
      <c r="U237" s="9"/>
    </row>
    <row r="238" spans="9:21" s="3" customFormat="1">
      <c r="I238" s="1736"/>
      <c r="T238" s="9"/>
      <c r="U238" s="9"/>
    </row>
    <row r="239" spans="9:21" s="3" customFormat="1">
      <c r="I239" s="1736"/>
      <c r="T239" s="9"/>
      <c r="U239" s="9"/>
    </row>
    <row r="240" spans="9:21" s="3" customFormat="1">
      <c r="I240" s="1736"/>
      <c r="T240" s="9"/>
      <c r="U240" s="9"/>
    </row>
    <row r="241" spans="9:21" s="3" customFormat="1">
      <c r="I241" s="1736"/>
      <c r="T241" s="9"/>
      <c r="U241" s="9"/>
    </row>
    <row r="242" spans="9:21" s="3" customFormat="1">
      <c r="I242" s="1736"/>
      <c r="T242" s="9"/>
      <c r="U242" s="9"/>
    </row>
    <row r="243" spans="9:21" s="3" customFormat="1">
      <c r="I243" s="1736"/>
      <c r="T243" s="9"/>
      <c r="U243" s="9"/>
    </row>
    <row r="244" spans="9:21" s="3" customFormat="1">
      <c r="I244" s="1736"/>
      <c r="T244" s="9"/>
      <c r="U244" s="9"/>
    </row>
    <row r="245" spans="9:21" s="3" customFormat="1">
      <c r="I245" s="1736"/>
      <c r="T245" s="9"/>
      <c r="U245" s="9"/>
    </row>
    <row r="246" spans="9:21" s="3" customFormat="1">
      <c r="I246" s="1736"/>
      <c r="T246" s="9"/>
      <c r="U246" s="9"/>
    </row>
    <row r="247" spans="9:21" s="3" customFormat="1">
      <c r="I247" s="1736"/>
      <c r="T247" s="9"/>
      <c r="U247" s="9"/>
    </row>
    <row r="248" spans="9:21" s="3" customFormat="1">
      <c r="I248" s="1736"/>
      <c r="T248" s="9"/>
      <c r="U248" s="9"/>
    </row>
    <row r="249" spans="9:21" s="3" customFormat="1">
      <c r="I249" s="1736"/>
      <c r="T249" s="9"/>
      <c r="U249" s="9"/>
    </row>
    <row r="250" spans="9:21" s="3" customFormat="1">
      <c r="I250" s="1736"/>
      <c r="T250" s="9"/>
      <c r="U250" s="9"/>
    </row>
    <row r="251" spans="9:21" s="3" customFormat="1">
      <c r="I251" s="1736"/>
      <c r="T251" s="9"/>
      <c r="U251" s="9"/>
    </row>
    <row r="252" spans="9:21" s="3" customFormat="1">
      <c r="I252" s="1736"/>
      <c r="T252" s="9"/>
      <c r="U252" s="9"/>
    </row>
    <row r="253" spans="9:21" s="3" customFormat="1">
      <c r="I253" s="1736"/>
      <c r="T253" s="9"/>
      <c r="U253" s="9"/>
    </row>
    <row r="254" spans="9:21" s="3" customFormat="1">
      <c r="I254" s="1736"/>
      <c r="T254" s="9"/>
      <c r="U254" s="9"/>
    </row>
    <row r="255" spans="9:21" s="3" customFormat="1">
      <c r="I255" s="1736"/>
      <c r="T255" s="9"/>
      <c r="U255" s="9"/>
    </row>
    <row r="256" spans="9:21" s="3" customFormat="1">
      <c r="I256" s="1736"/>
      <c r="T256" s="9"/>
      <c r="U256" s="9"/>
    </row>
    <row r="257" spans="9:21" s="3" customFormat="1">
      <c r="I257" s="1736"/>
      <c r="T257" s="9"/>
      <c r="U257" s="9"/>
    </row>
    <row r="258" spans="9:21" s="3" customFormat="1">
      <c r="I258" s="1736"/>
      <c r="T258" s="9"/>
      <c r="U258" s="9"/>
    </row>
    <row r="259" spans="9:21" s="3" customFormat="1">
      <c r="I259" s="1736"/>
      <c r="T259" s="9"/>
      <c r="U259" s="9"/>
    </row>
    <row r="260" spans="9:21" s="3" customFormat="1">
      <c r="I260" s="1736"/>
      <c r="T260" s="9"/>
      <c r="U260" s="9"/>
    </row>
    <row r="261" spans="9:21" s="3" customFormat="1">
      <c r="I261" s="1736"/>
      <c r="T261" s="9"/>
      <c r="U261" s="9"/>
    </row>
    <row r="262" spans="9:21" s="3" customFormat="1">
      <c r="I262" s="1736"/>
      <c r="T262" s="9"/>
      <c r="U262" s="9"/>
    </row>
    <row r="263" spans="9:21" s="3" customFormat="1">
      <c r="I263" s="1736"/>
      <c r="T263" s="9"/>
      <c r="U263" s="9"/>
    </row>
    <row r="264" spans="9:21" s="3" customFormat="1">
      <c r="I264" s="1736"/>
      <c r="T264" s="9"/>
      <c r="U264" s="9"/>
    </row>
    <row r="265" spans="9:21" s="3" customFormat="1">
      <c r="I265" s="1736"/>
      <c r="T265" s="9"/>
      <c r="U265" s="9"/>
    </row>
    <row r="266" spans="9:21" s="3" customFormat="1">
      <c r="I266" s="1736"/>
      <c r="T266" s="9"/>
      <c r="U266" s="9"/>
    </row>
    <row r="267" spans="9:21" s="3" customFormat="1">
      <c r="I267" s="1736"/>
      <c r="T267" s="9"/>
      <c r="U267" s="9"/>
    </row>
    <row r="268" spans="9:21" s="3" customFormat="1">
      <c r="I268" s="1736"/>
      <c r="T268" s="9"/>
      <c r="U268" s="9"/>
    </row>
    <row r="269" spans="9:21" s="3" customFormat="1">
      <c r="I269" s="1736"/>
      <c r="T269" s="9"/>
      <c r="U269" s="9"/>
    </row>
    <row r="270" spans="9:21" s="3" customFormat="1">
      <c r="I270" s="1736"/>
      <c r="T270" s="9"/>
      <c r="U270" s="9"/>
    </row>
    <row r="271" spans="9:21" s="3" customFormat="1">
      <c r="I271" s="1736"/>
      <c r="T271" s="9"/>
      <c r="U271" s="9"/>
    </row>
    <row r="272" spans="9:21" s="3" customFormat="1">
      <c r="I272" s="1736"/>
      <c r="T272" s="9"/>
      <c r="U272" s="9"/>
    </row>
    <row r="273" spans="3:21" s="3" customFormat="1">
      <c r="C273"/>
      <c r="D273"/>
      <c r="E273"/>
      <c r="F273"/>
      <c r="G273"/>
      <c r="H273"/>
      <c r="I273" s="59"/>
      <c r="J273"/>
      <c r="K273"/>
      <c r="L273"/>
      <c r="T273" s="9"/>
      <c r="U273" s="9"/>
    </row>
  </sheetData>
  <sheetProtection algorithmName="SHA-512" hashValue="TeWmlMYKU0IMHzTg59q+nlEivXPZ4s5keABugN9QU2kzpuRsTVUBicVuwKL6wSON/Rxqzp03lxrBkvGd7Gnn5Q==" saltValue="aEuZvvOOQu1dQOj1iwxSFw==" spinCount="100000" sheet="1" objects="1" scenarios="1" selectLockedCells="1"/>
  <mergeCells count="29">
    <mergeCell ref="J36:O36"/>
    <mergeCell ref="J37:O37"/>
    <mergeCell ref="J38:O38"/>
    <mergeCell ref="J30:O30"/>
    <mergeCell ref="J31:O31"/>
    <mergeCell ref="J32:O32"/>
    <mergeCell ref="J33:O33"/>
    <mergeCell ref="J34:O34"/>
    <mergeCell ref="J35:O35"/>
    <mergeCell ref="J25:O25"/>
    <mergeCell ref="J26:O26"/>
    <mergeCell ref="J27:O27"/>
    <mergeCell ref="J28:O28"/>
    <mergeCell ref="J29:O29"/>
    <mergeCell ref="J20:O20"/>
    <mergeCell ref="J21:O21"/>
    <mergeCell ref="J22:O22"/>
    <mergeCell ref="J23:O23"/>
    <mergeCell ref="J24:O24"/>
    <mergeCell ref="J15:O15"/>
    <mergeCell ref="J16:O16"/>
    <mergeCell ref="J17:O17"/>
    <mergeCell ref="J18:O18"/>
    <mergeCell ref="J19:O19"/>
    <mergeCell ref="P9:Q9"/>
    <mergeCell ref="J11:O11"/>
    <mergeCell ref="J12:O12"/>
    <mergeCell ref="J13:O13"/>
    <mergeCell ref="J14:O14"/>
  </mergeCells>
  <dataValidations count="1">
    <dataValidation type="custom" allowBlank="1" showInputMessage="1" showErrorMessage="1" sqref="G2:G4 J11:J38 K11:O34 K36:O38" xr:uid="{C14E1BEF-9818-496D-8E71-2064DCD5FDB2}">
      <formula1>"&lt;0&gt;0"</formula1>
    </dataValidation>
  </dataValidations>
  <hyperlinks>
    <hyperlink ref="J36" location="Self_Scoring" display="Self-Scoring Checklist - Submit with Initial Application Only" xr:uid="{9B374A55-F1AD-44F6-9469-BCBCF50D6F9E}"/>
    <hyperlink ref="J35" location="Application_Threshold" display="Application Submission Checklist - Submit with Initial Application Only" xr:uid="{78E3D7E9-A232-41C6-AB45-4B637AB056CA}"/>
  </hyperlinks>
  <printOptions gridLines="1"/>
  <pageMargins left="0.7" right="0.7" top="0.75" bottom="0.75" header="0.3" footer="0.3"/>
  <pageSetup scale="56" fitToHeight="0" orientation="portrait" verticalDpi="1200" r:id="rId1"/>
  <headerFooter>
    <oddHeader>&amp;L&amp;G</oddHeader>
    <oddFooter>&amp;CWHEDA MULTIFAMILY APPLICATION&amp;R&amp;P of [Pages]</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C8AE-DC56-41BE-84F9-532CF5ECE426}">
  <sheetPr codeName="Sheet19">
    <pageSetUpPr fitToPage="1"/>
  </sheetPr>
  <dimension ref="B1:AI154"/>
  <sheetViews>
    <sheetView workbookViewId="0">
      <selection activeCell="C8" sqref="C8:P39"/>
    </sheetView>
  </sheetViews>
  <sheetFormatPr defaultColWidth="10.28515625" defaultRowHeight="15"/>
  <cols>
    <col min="1" max="1" width="6" style="3" customWidth="1"/>
    <col min="2" max="2" width="3.85546875" style="3" customWidth="1"/>
    <col min="3" max="10" width="10.5703125" style="3" customWidth="1"/>
    <col min="11" max="11" width="6.28515625" style="3" customWidth="1"/>
    <col min="12" max="15" width="10.5703125" style="3" customWidth="1"/>
    <col min="16" max="16" width="10.5703125" style="97" customWidth="1"/>
    <col min="17" max="17" width="5.85546875" style="97" customWidth="1"/>
    <col min="18" max="19" width="10.5703125" style="97" customWidth="1"/>
    <col min="20" max="20" width="16.7109375" style="97" customWidth="1"/>
    <col min="21" max="21" width="40.7109375" style="97" customWidth="1"/>
    <col min="22" max="22" width="4.140625" style="97" customWidth="1"/>
    <col min="23" max="27" width="11.140625" style="97" customWidth="1"/>
    <col min="28" max="32" width="10.28515625" style="97"/>
    <col min="33" max="16384" width="10.28515625" style="3"/>
  </cols>
  <sheetData>
    <row r="1" spans="2:22" ht="28.5">
      <c r="B1" s="4" t="str">
        <f>CONCATENATE("WHEDA ",Tax_Credit_Year," Multifamily Application")</f>
        <v>WHEDA 2025 Multifamily Application</v>
      </c>
      <c r="J1" s="115" t="str">
        <f>'1. TOC'!L1</f>
        <v>v25.1.12</v>
      </c>
      <c r="L1" s="238" t="str">
        <f>HYPERLINK("#Table_of_Contents", Table_of_Contents)</f>
        <v>Table of Contents</v>
      </c>
    </row>
    <row r="2" spans="2:22" s="471" customFormat="1" ht="21">
      <c r="B2" s="841" t="str">
        <f>_xlfn.CONCAT(IF(ISBLANK(WHEDA_Project_Number),"",_xlfn.CONCAT(WHEDA_Project_Number," - ")), Project_Name, IF(ISBLANK(Credit_percentage_applied_for),"",_xlfn.CONCAT(" - ", Credit_percentage_applied_for," HTC")))</f>
        <v/>
      </c>
      <c r="C2" s="790"/>
      <c r="D2" s="791"/>
      <c r="E2" s="791"/>
      <c r="F2" s="791"/>
      <c r="G2" s="791"/>
      <c r="H2" s="791"/>
      <c r="I2" s="791"/>
      <c r="J2" s="791"/>
      <c r="K2" s="791"/>
      <c r="L2" s="791"/>
      <c r="M2" s="791"/>
      <c r="N2" s="791"/>
      <c r="O2" s="791"/>
      <c r="P2" s="791"/>
      <c r="Q2" s="791"/>
      <c r="R2" s="791"/>
      <c r="S2" s="791"/>
      <c r="T2" s="791"/>
      <c r="U2" s="791"/>
      <c r="V2" s="791"/>
    </row>
    <row r="3" spans="2:22" s="471" customFormat="1" ht="15.75">
      <c r="C3" s="816"/>
    </row>
    <row r="4" spans="2:22" ht="28.5">
      <c r="B4" s="4" t="s">
        <v>3483</v>
      </c>
      <c r="C4" s="520"/>
      <c r="E4" s="520"/>
      <c r="F4" s="520"/>
      <c r="G4" s="520"/>
      <c r="H4" s="520"/>
      <c r="I4" s="520"/>
      <c r="J4" s="520"/>
      <c r="K4" s="520"/>
      <c r="L4" s="520"/>
      <c r="M4" s="520"/>
      <c r="N4" s="520"/>
      <c r="O4" s="520"/>
    </row>
    <row r="5" spans="2:22">
      <c r="B5" s="1033"/>
      <c r="C5" s="1030"/>
      <c r="D5" s="1027"/>
      <c r="E5" s="1027"/>
      <c r="F5" s="1027"/>
      <c r="G5" s="1034"/>
      <c r="H5" s="1027"/>
      <c r="I5" s="1027"/>
      <c r="J5" s="1027"/>
      <c r="K5" s="1027"/>
      <c r="L5" s="1027"/>
      <c r="M5" s="1027"/>
      <c r="N5" s="1027"/>
      <c r="O5" s="1027"/>
      <c r="P5" s="1035"/>
      <c r="Q5" s="1035"/>
      <c r="R5" s="1035"/>
      <c r="S5" s="1035"/>
      <c r="T5" s="1035"/>
      <c r="U5" s="1035"/>
      <c r="V5" s="1035"/>
    </row>
    <row r="6" spans="2:22">
      <c r="B6" s="1033"/>
      <c r="C6" s="1880" t="str">
        <f>'3. Project Location'!D6&amp;" - Project Narrative"</f>
        <v xml:space="preserve"> - Project Narrative</v>
      </c>
      <c r="D6" s="1881"/>
      <c r="E6" s="1881"/>
      <c r="F6" s="1881"/>
      <c r="G6" s="1881"/>
      <c r="H6" s="1881"/>
      <c r="I6" s="1881"/>
      <c r="J6" s="1881"/>
      <c r="K6" s="1881"/>
      <c r="L6" s="1881"/>
      <c r="M6" s="1881"/>
      <c r="N6" s="1881"/>
      <c r="O6" s="1881"/>
      <c r="P6" s="1882"/>
      <c r="Q6" s="1035"/>
      <c r="R6" s="1978" t="s">
        <v>3484</v>
      </c>
      <c r="S6" s="1836"/>
      <c r="T6" s="1836"/>
      <c r="U6" s="1979"/>
      <c r="V6" s="1035"/>
    </row>
    <row r="7" spans="2:22" ht="15" customHeight="1">
      <c r="B7" s="1027"/>
      <c r="C7" s="1883"/>
      <c r="D7" s="1884"/>
      <c r="E7" s="1884"/>
      <c r="F7" s="1884"/>
      <c r="G7" s="1884"/>
      <c r="H7" s="1884"/>
      <c r="I7" s="1884"/>
      <c r="J7" s="1884"/>
      <c r="K7" s="1884"/>
      <c r="L7" s="1884"/>
      <c r="M7" s="1884"/>
      <c r="N7" s="1884"/>
      <c r="O7" s="1884"/>
      <c r="P7" s="1885"/>
      <c r="Q7" s="1035"/>
      <c r="R7" s="1900" t="s">
        <v>3485</v>
      </c>
      <c r="S7" s="1901"/>
      <c r="T7" s="1969" t="str">
        <f>IF(ISBLANK(WHEDA_Project_Number),"",WHEDA_Project_Number)</f>
        <v/>
      </c>
      <c r="U7" s="1970"/>
      <c r="V7" s="1035"/>
    </row>
    <row r="8" spans="2:22" ht="15" customHeight="1">
      <c r="B8" s="1027"/>
      <c r="C8" s="1985" t="s">
        <v>3486</v>
      </c>
      <c r="D8" s="1986"/>
      <c r="E8" s="1986"/>
      <c r="F8" s="1986"/>
      <c r="G8" s="1986"/>
      <c r="H8" s="1986"/>
      <c r="I8" s="1986"/>
      <c r="J8" s="1986"/>
      <c r="K8" s="1986"/>
      <c r="L8" s="1986"/>
      <c r="M8" s="1986"/>
      <c r="N8" s="1986"/>
      <c r="O8" s="1986"/>
      <c r="P8" s="1987"/>
      <c r="Q8" s="1035"/>
      <c r="R8" s="1866" t="s">
        <v>3487</v>
      </c>
      <c r="S8" s="1929"/>
      <c r="T8" s="1971" t="str">
        <f>IF(ISBLANK(Deal_Stage),"",Deal_Stage)</f>
        <v/>
      </c>
      <c r="U8" s="1972"/>
      <c r="V8" s="1035"/>
    </row>
    <row r="9" spans="2:22" ht="15" customHeight="1">
      <c r="B9" s="1027"/>
      <c r="C9" s="1988"/>
      <c r="D9" s="1989"/>
      <c r="E9" s="1989"/>
      <c r="F9" s="1989"/>
      <c r="G9" s="1989"/>
      <c r="H9" s="1989"/>
      <c r="I9" s="1989"/>
      <c r="J9" s="1989"/>
      <c r="K9" s="1989"/>
      <c r="L9" s="1989"/>
      <c r="M9" s="1989"/>
      <c r="N9" s="1989"/>
      <c r="O9" s="1989"/>
      <c r="P9" s="1990"/>
      <c r="Q9" s="1035"/>
      <c r="R9" s="1866" t="s">
        <v>3488</v>
      </c>
      <c r="S9" s="1929"/>
      <c r="T9" s="1971" t="str">
        <f>IF(ISBLANK(Deal_Status),"",Deal_Status)</f>
        <v/>
      </c>
      <c r="U9" s="1972"/>
      <c r="V9" s="1035"/>
    </row>
    <row r="10" spans="2:22" ht="15" customHeight="1">
      <c r="B10" s="1027"/>
      <c r="C10" s="1988"/>
      <c r="D10" s="1989"/>
      <c r="E10" s="1989"/>
      <c r="F10" s="1989"/>
      <c r="G10" s="1989"/>
      <c r="H10" s="1989"/>
      <c r="I10" s="1989"/>
      <c r="J10" s="1989"/>
      <c r="K10" s="1989"/>
      <c r="L10" s="1989"/>
      <c r="M10" s="1989"/>
      <c r="N10" s="1989"/>
      <c r="O10" s="1989"/>
      <c r="P10" s="1990"/>
      <c r="Q10" s="1035"/>
      <c r="R10" s="1866" t="s">
        <v>3489</v>
      </c>
      <c r="S10" s="1929"/>
      <c r="T10" s="1823" t="str">
        <f>IF(ISBLANK(ProLink!L12),"",ProLink!L12)</f>
        <v/>
      </c>
      <c r="U10" s="1824"/>
      <c r="V10" s="1035"/>
    </row>
    <row r="11" spans="2:22" ht="15" customHeight="1">
      <c r="B11" s="1027"/>
      <c r="C11" s="1988"/>
      <c r="D11" s="1989"/>
      <c r="E11" s="1989"/>
      <c r="F11" s="1989"/>
      <c r="G11" s="1989"/>
      <c r="H11" s="1989"/>
      <c r="I11" s="1989"/>
      <c r="J11" s="1989"/>
      <c r="K11" s="1989"/>
      <c r="L11" s="1989"/>
      <c r="M11" s="1989"/>
      <c r="N11" s="1989"/>
      <c r="O11" s="1989"/>
      <c r="P11" s="1990"/>
      <c r="Q11" s="1035"/>
      <c r="R11" s="1996" t="s">
        <v>3490</v>
      </c>
      <c r="S11" s="1928"/>
      <c r="T11" s="1973" t="str">
        <f>IF(ISBLANK(ProLink!R7),"",ProLink!R7)</f>
        <v/>
      </c>
      <c r="U11" s="1974"/>
      <c r="V11" s="1035"/>
    </row>
    <row r="12" spans="2:22" ht="15" customHeight="1">
      <c r="B12" s="1027"/>
      <c r="C12" s="1988"/>
      <c r="D12" s="1989"/>
      <c r="E12" s="1989"/>
      <c r="F12" s="1989"/>
      <c r="G12" s="1989"/>
      <c r="H12" s="1989"/>
      <c r="I12" s="1989"/>
      <c r="J12" s="1989"/>
      <c r="K12" s="1989"/>
      <c r="L12" s="1989"/>
      <c r="M12" s="1989"/>
      <c r="N12" s="1989"/>
      <c r="O12" s="1989"/>
      <c r="P12" s="1990"/>
      <c r="Q12" s="1035"/>
      <c r="R12" s="1035"/>
      <c r="S12" s="1035"/>
      <c r="T12" s="1035"/>
      <c r="U12" s="1035"/>
      <c r="V12" s="1035"/>
    </row>
    <row r="13" spans="2:22" ht="15" customHeight="1">
      <c r="B13" s="1027"/>
      <c r="C13" s="1988"/>
      <c r="D13" s="1989"/>
      <c r="E13" s="1989"/>
      <c r="F13" s="1989"/>
      <c r="G13" s="1989"/>
      <c r="H13" s="1989"/>
      <c r="I13" s="1989"/>
      <c r="J13" s="1989"/>
      <c r="K13" s="1989"/>
      <c r="L13" s="1989"/>
      <c r="M13" s="1989"/>
      <c r="N13" s="1989"/>
      <c r="O13" s="1989"/>
      <c r="P13" s="1990"/>
      <c r="Q13" s="1035"/>
      <c r="R13" s="1035"/>
      <c r="S13" s="1035"/>
      <c r="T13" s="1035"/>
      <c r="U13" s="1035"/>
      <c r="V13" s="1035"/>
    </row>
    <row r="14" spans="2:22" ht="15" customHeight="1">
      <c r="B14" s="1027"/>
      <c r="C14" s="1988"/>
      <c r="D14" s="1989"/>
      <c r="E14" s="1989"/>
      <c r="F14" s="1989"/>
      <c r="G14" s="1989"/>
      <c r="H14" s="1989"/>
      <c r="I14" s="1989"/>
      <c r="J14" s="1989"/>
      <c r="K14" s="1989"/>
      <c r="L14" s="1989"/>
      <c r="M14" s="1989"/>
      <c r="N14" s="1989"/>
      <c r="O14" s="1989"/>
      <c r="P14" s="1990"/>
      <c r="Q14" s="1035"/>
      <c r="R14" s="1978" t="s">
        <v>3491</v>
      </c>
      <c r="S14" s="1836"/>
      <c r="T14" s="1836"/>
      <c r="U14" s="1979"/>
      <c r="V14" s="1035"/>
    </row>
    <row r="15" spans="2:22" ht="15" customHeight="1">
      <c r="B15" s="1027"/>
      <c r="C15" s="1988"/>
      <c r="D15" s="1989"/>
      <c r="E15" s="1989"/>
      <c r="F15" s="1989"/>
      <c r="G15" s="1989"/>
      <c r="H15" s="1989"/>
      <c r="I15" s="1989"/>
      <c r="J15" s="1989"/>
      <c r="K15" s="1989"/>
      <c r="L15" s="1989"/>
      <c r="M15" s="1989"/>
      <c r="N15" s="1989"/>
      <c r="O15" s="1989"/>
      <c r="P15" s="1990"/>
      <c r="Q15" s="1035"/>
      <c r="R15" s="1900" t="s">
        <v>706</v>
      </c>
      <c r="S15" s="1968"/>
      <c r="T15" s="1901">
        <f>+Project_Type</f>
        <v>0</v>
      </c>
      <c r="U15" s="1975"/>
      <c r="V15" s="1035"/>
    </row>
    <row r="16" spans="2:22" ht="15" customHeight="1">
      <c r="B16" s="1027"/>
      <c r="C16" s="1988"/>
      <c r="D16" s="1989"/>
      <c r="E16" s="1989"/>
      <c r="F16" s="1989"/>
      <c r="G16" s="1989"/>
      <c r="H16" s="1989"/>
      <c r="I16" s="1989"/>
      <c r="J16" s="1989"/>
      <c r="K16" s="1989"/>
      <c r="L16" s="1989"/>
      <c r="M16" s="1989"/>
      <c r="N16" s="1989"/>
      <c r="O16" s="1989"/>
      <c r="P16" s="1990"/>
      <c r="Q16" s="1035"/>
      <c r="R16" s="1866" t="s">
        <v>525</v>
      </c>
      <c r="S16" s="1929"/>
      <c r="T16" s="1867">
        <f>Property_address</f>
        <v>0</v>
      </c>
      <c r="U16" s="1926"/>
      <c r="V16" s="1035"/>
    </row>
    <row r="17" spans="2:22" ht="15" customHeight="1">
      <c r="B17" s="1027"/>
      <c r="C17" s="1988"/>
      <c r="D17" s="1989"/>
      <c r="E17" s="1989"/>
      <c r="F17" s="1989"/>
      <c r="G17" s="1989"/>
      <c r="H17" s="1989"/>
      <c r="I17" s="1989"/>
      <c r="J17" s="1989"/>
      <c r="K17" s="1989"/>
      <c r="L17" s="1989"/>
      <c r="M17" s="1989"/>
      <c r="N17" s="1989"/>
      <c r="O17" s="1989"/>
      <c r="P17" s="1990"/>
      <c r="Q17" s="1035"/>
      <c r="R17" s="1866" t="s">
        <v>528</v>
      </c>
      <c r="S17" s="1867"/>
      <c r="T17" s="1867">
        <f>+Property_City</f>
        <v>0</v>
      </c>
      <c r="U17" s="1926"/>
      <c r="V17" s="1035"/>
    </row>
    <row r="18" spans="2:22" ht="15" customHeight="1">
      <c r="B18" s="1027"/>
      <c r="C18" s="1988"/>
      <c r="D18" s="1989"/>
      <c r="E18" s="1989"/>
      <c r="F18" s="1989"/>
      <c r="G18" s="1989"/>
      <c r="H18" s="1989"/>
      <c r="I18" s="1989"/>
      <c r="J18" s="1989"/>
      <c r="K18" s="1989"/>
      <c r="L18" s="1989"/>
      <c r="M18" s="1989"/>
      <c r="N18" s="1989"/>
      <c r="O18" s="1989"/>
      <c r="P18" s="1990"/>
      <c r="Q18" s="1035"/>
      <c r="R18" s="1866" t="s">
        <v>529</v>
      </c>
      <c r="S18" s="1929"/>
      <c r="T18" s="1867">
        <f>Property_County</f>
        <v>0</v>
      </c>
      <c r="U18" s="1926"/>
      <c r="V18" s="1035"/>
    </row>
    <row r="19" spans="2:22" ht="15" customHeight="1">
      <c r="B19" s="1027"/>
      <c r="C19" s="1988"/>
      <c r="D19" s="1989"/>
      <c r="E19" s="1989"/>
      <c r="F19" s="1989"/>
      <c r="G19" s="1989"/>
      <c r="H19" s="1989"/>
      <c r="I19" s="1989"/>
      <c r="J19" s="1989"/>
      <c r="K19" s="1989"/>
      <c r="L19" s="1989"/>
      <c r="M19" s="1989"/>
      <c r="N19" s="1989"/>
      <c r="O19" s="1989"/>
      <c r="P19" s="1990"/>
      <c r="Q19" s="1035"/>
      <c r="R19" s="1997" t="s">
        <v>539</v>
      </c>
      <c r="S19" s="1976"/>
      <c r="T19" s="1976">
        <f>+Property_Census_Tract</f>
        <v>0</v>
      </c>
      <c r="U19" s="1977"/>
      <c r="V19" s="1035"/>
    </row>
    <row r="20" spans="2:22" ht="14.45" customHeight="1">
      <c r="B20" s="1027"/>
      <c r="C20" s="1988"/>
      <c r="D20" s="1989"/>
      <c r="E20" s="1989"/>
      <c r="F20" s="1989"/>
      <c r="G20" s="1989"/>
      <c r="H20" s="1989"/>
      <c r="I20" s="1989"/>
      <c r="J20" s="1989"/>
      <c r="K20" s="1989"/>
      <c r="L20" s="1989"/>
      <c r="M20" s="1989"/>
      <c r="N20" s="1989"/>
      <c r="O20" s="1989"/>
      <c r="P20" s="1990"/>
      <c r="Q20" s="1035"/>
      <c r="R20" s="1915" t="s">
        <v>3492</v>
      </c>
      <c r="S20" s="1928"/>
      <c r="T20" s="1916">
        <f>Is_project_a_Scattered_Site?</f>
        <v>0</v>
      </c>
      <c r="U20" s="1927"/>
      <c r="V20" s="1035"/>
    </row>
    <row r="21" spans="2:22" ht="15" customHeight="1">
      <c r="B21" s="1027"/>
      <c r="C21" s="1988"/>
      <c r="D21" s="1989"/>
      <c r="E21" s="1989"/>
      <c r="F21" s="1989"/>
      <c r="G21" s="1989"/>
      <c r="H21" s="1989"/>
      <c r="I21" s="1989"/>
      <c r="J21" s="1989"/>
      <c r="K21" s="1989"/>
      <c r="L21" s="1989"/>
      <c r="M21" s="1989"/>
      <c r="N21" s="1989"/>
      <c r="O21" s="1989"/>
      <c r="P21" s="1990"/>
      <c r="Q21" s="1035"/>
      <c r="R21" s="1035"/>
      <c r="S21" s="1035"/>
      <c r="T21" s="1035"/>
      <c r="U21" s="1035"/>
      <c r="V21" s="1035"/>
    </row>
    <row r="22" spans="2:22" ht="14.45" customHeight="1">
      <c r="B22" s="1027"/>
      <c r="C22" s="1988"/>
      <c r="D22" s="1989"/>
      <c r="E22" s="1989"/>
      <c r="F22" s="1989"/>
      <c r="G22" s="1989"/>
      <c r="H22" s="1989"/>
      <c r="I22" s="1989"/>
      <c r="J22" s="1989"/>
      <c r="K22" s="1989"/>
      <c r="L22" s="1989"/>
      <c r="M22" s="1989"/>
      <c r="N22" s="1989"/>
      <c r="O22" s="1989"/>
      <c r="P22" s="1990"/>
      <c r="Q22" s="1035"/>
      <c r="R22" s="1978" t="s">
        <v>3493</v>
      </c>
      <c r="S22" s="1836"/>
      <c r="T22" s="1836"/>
      <c r="U22" s="1979"/>
      <c r="V22" s="1035"/>
    </row>
    <row r="23" spans="2:22" ht="15" customHeight="1">
      <c r="B23" s="1027"/>
      <c r="C23" s="1988"/>
      <c r="D23" s="1989"/>
      <c r="E23" s="1989"/>
      <c r="F23" s="1989"/>
      <c r="G23" s="1989"/>
      <c r="H23" s="1989"/>
      <c r="I23" s="1989"/>
      <c r="J23" s="1989"/>
      <c r="K23" s="1989"/>
      <c r="L23" s="1989"/>
      <c r="M23" s="1989"/>
      <c r="N23" s="1989"/>
      <c r="O23" s="1989"/>
      <c r="P23" s="1990"/>
      <c r="Q23" s="1035"/>
      <c r="R23" s="1866" t="s">
        <v>735</v>
      </c>
      <c r="S23" s="1929"/>
      <c r="T23" s="1867">
        <f>+'5. Applicant Information'!D8</f>
        <v>0</v>
      </c>
      <c r="U23" s="1926"/>
      <c r="V23" s="1035"/>
    </row>
    <row r="24" spans="2:22" ht="15" customHeight="1">
      <c r="B24" s="1027"/>
      <c r="C24" s="1988"/>
      <c r="D24" s="1989"/>
      <c r="E24" s="1989"/>
      <c r="F24" s="1989"/>
      <c r="G24" s="1989"/>
      <c r="H24" s="1989"/>
      <c r="I24" s="1989"/>
      <c r="J24" s="1989"/>
      <c r="K24" s="1989"/>
      <c r="L24" s="1989"/>
      <c r="M24" s="1989"/>
      <c r="N24" s="1989"/>
      <c r="O24" s="1989"/>
      <c r="P24" s="1990"/>
      <c r="Q24" s="1035"/>
      <c r="R24" s="1866" t="s">
        <v>1610</v>
      </c>
      <c r="S24" s="1929"/>
      <c r="T24" s="1867" t="str">
        <f>+DEV_Contact_First_Name&amp;" "&amp;DEV_Contact_Last_Name</f>
        <v xml:space="preserve"> </v>
      </c>
      <c r="U24" s="1926"/>
      <c r="V24" s="1035"/>
    </row>
    <row r="25" spans="2:22" ht="15" customHeight="1">
      <c r="B25" s="1027"/>
      <c r="C25" s="1988"/>
      <c r="D25" s="1989"/>
      <c r="E25" s="1989"/>
      <c r="F25" s="1989"/>
      <c r="G25" s="1989"/>
      <c r="H25" s="1989"/>
      <c r="I25" s="1989"/>
      <c r="J25" s="1989"/>
      <c r="K25" s="1989"/>
      <c r="L25" s="1989"/>
      <c r="M25" s="1989"/>
      <c r="N25" s="1989"/>
      <c r="O25" s="1989"/>
      <c r="P25" s="1990"/>
      <c r="Q25" s="1035"/>
      <c r="R25" s="1866" t="s">
        <v>3494</v>
      </c>
      <c r="S25" s="1929"/>
      <c r="T25" s="1867" t="str">
        <f>IF('5. Applicant Information'!D20="Yes",'5. Applicant Information'!D22,"N/A")</f>
        <v>N/A</v>
      </c>
      <c r="U25" s="1926"/>
      <c r="V25" s="1027"/>
    </row>
    <row r="26" spans="2:22" ht="15" customHeight="1">
      <c r="B26" s="1027"/>
      <c r="C26" s="1988"/>
      <c r="D26" s="1989"/>
      <c r="E26" s="1989"/>
      <c r="F26" s="1989"/>
      <c r="G26" s="1989"/>
      <c r="H26" s="1989"/>
      <c r="I26" s="1989"/>
      <c r="J26" s="1989"/>
      <c r="K26" s="1989"/>
      <c r="L26" s="1989"/>
      <c r="M26" s="1989"/>
      <c r="N26" s="1989"/>
      <c r="O26" s="1989"/>
      <c r="P26" s="1990"/>
      <c r="Q26" s="1035"/>
      <c r="R26" s="1866" t="s">
        <v>3494</v>
      </c>
      <c r="S26" s="1929"/>
      <c r="T26" s="1867" t="str">
        <f>IF('5. Applicant Information'!D34="Yes",'5. Applicant Information'!D36,"N/A")</f>
        <v>N/A</v>
      </c>
      <c r="U26" s="1926"/>
      <c r="V26" s="1027"/>
    </row>
    <row r="27" spans="2:22" ht="15" customHeight="1">
      <c r="B27" s="1027"/>
      <c r="C27" s="1988"/>
      <c r="D27" s="1989"/>
      <c r="E27" s="1989"/>
      <c r="F27" s="1989"/>
      <c r="G27" s="1989"/>
      <c r="H27" s="1989"/>
      <c r="I27" s="1989"/>
      <c r="J27" s="1989"/>
      <c r="K27" s="1989"/>
      <c r="L27" s="1989"/>
      <c r="M27" s="1989"/>
      <c r="N27" s="1989"/>
      <c r="O27" s="1989"/>
      <c r="P27" s="1990"/>
      <c r="Q27" s="1035"/>
      <c r="R27" s="1866" t="s">
        <v>3494</v>
      </c>
      <c r="S27" s="1929"/>
      <c r="T27" s="1867" t="str">
        <f>IF('5. Applicant Information'!D48="Yes",'5. Applicant Information'!D50,"N/A")</f>
        <v>N/A</v>
      </c>
      <c r="U27" s="1926"/>
      <c r="V27" s="1027"/>
    </row>
    <row r="28" spans="2:22" ht="15" customHeight="1">
      <c r="B28" s="1027"/>
      <c r="C28" s="1988"/>
      <c r="D28" s="1989"/>
      <c r="E28" s="1989"/>
      <c r="F28" s="1989"/>
      <c r="G28" s="1989"/>
      <c r="H28" s="1989"/>
      <c r="I28" s="1989"/>
      <c r="J28" s="1989"/>
      <c r="K28" s="1989"/>
      <c r="L28" s="1989"/>
      <c r="M28" s="1989"/>
      <c r="N28" s="1989"/>
      <c r="O28" s="1989"/>
      <c r="P28" s="1990"/>
      <c r="Q28" s="1035"/>
      <c r="R28" s="1866" t="s">
        <v>3495</v>
      </c>
      <c r="S28" s="1929"/>
      <c r="T28" s="1867">
        <f>+Contractor_Name</f>
        <v>0</v>
      </c>
      <c r="U28" s="1926"/>
      <c r="V28" s="1027"/>
    </row>
    <row r="29" spans="2:22" ht="15" customHeight="1">
      <c r="B29" s="1027"/>
      <c r="C29" s="1988"/>
      <c r="D29" s="1989"/>
      <c r="E29" s="1989"/>
      <c r="F29" s="1989"/>
      <c r="G29" s="1989"/>
      <c r="H29" s="1989"/>
      <c r="I29" s="1989"/>
      <c r="J29" s="1989"/>
      <c r="K29" s="1989"/>
      <c r="L29" s="1989"/>
      <c r="M29" s="1989"/>
      <c r="N29" s="1989"/>
      <c r="O29" s="1989"/>
      <c r="P29" s="1990"/>
      <c r="Q29" s="1035"/>
      <c r="R29" s="1866" t="s">
        <v>3496</v>
      </c>
      <c r="S29" s="1929"/>
      <c r="T29" s="1867">
        <f>+Mgmt_Company_Name</f>
        <v>0</v>
      </c>
      <c r="U29" s="1926"/>
      <c r="V29" s="1027"/>
    </row>
    <row r="30" spans="2:22" ht="15" customHeight="1">
      <c r="B30" s="1027"/>
      <c r="C30" s="1988"/>
      <c r="D30" s="1989"/>
      <c r="E30" s="1989"/>
      <c r="F30" s="1989"/>
      <c r="G30" s="1989"/>
      <c r="H30" s="1989"/>
      <c r="I30" s="1989"/>
      <c r="J30" s="1989"/>
      <c r="K30" s="1989"/>
      <c r="L30" s="1989"/>
      <c r="M30" s="1989"/>
      <c r="N30" s="1989"/>
      <c r="O30" s="1989"/>
      <c r="P30" s="1990"/>
      <c r="Q30" s="1035"/>
      <c r="R30" s="1866" t="s">
        <v>1838</v>
      </c>
      <c r="S30" s="1929"/>
      <c r="T30" s="1867">
        <f>+Syndicator</f>
        <v>0</v>
      </c>
      <c r="U30" s="1926"/>
      <c r="V30" s="1027"/>
    </row>
    <row r="31" spans="2:22" ht="15" customHeight="1">
      <c r="B31" s="1027"/>
      <c r="C31" s="1988"/>
      <c r="D31" s="1989"/>
      <c r="E31" s="1989"/>
      <c r="F31" s="1989"/>
      <c r="G31" s="1989"/>
      <c r="H31" s="1989"/>
      <c r="I31" s="1989"/>
      <c r="J31" s="1989"/>
      <c r="K31" s="1989"/>
      <c r="L31" s="1989"/>
      <c r="M31" s="1989"/>
      <c r="N31" s="1989"/>
      <c r="O31" s="1989"/>
      <c r="P31" s="1990"/>
      <c r="Q31" s="1035"/>
      <c r="R31" s="1915" t="s">
        <v>1839</v>
      </c>
      <c r="S31" s="1928"/>
      <c r="T31" s="1916">
        <f>+Design_Architect</f>
        <v>0</v>
      </c>
      <c r="U31" s="1927"/>
      <c r="V31" s="1027"/>
    </row>
    <row r="32" spans="2:22" ht="15" customHeight="1">
      <c r="B32" s="1027"/>
      <c r="C32" s="1988"/>
      <c r="D32" s="1989"/>
      <c r="E32" s="1989"/>
      <c r="F32" s="1989"/>
      <c r="G32" s="1989"/>
      <c r="H32" s="1989"/>
      <c r="I32" s="1989"/>
      <c r="J32" s="1989"/>
      <c r="K32" s="1989"/>
      <c r="L32" s="1989"/>
      <c r="M32" s="1989"/>
      <c r="N32" s="1989"/>
      <c r="O32" s="1989"/>
      <c r="P32" s="1990"/>
      <c r="Q32" s="1035"/>
      <c r="R32" s="1035"/>
      <c r="S32" s="1035"/>
      <c r="T32" s="1035"/>
      <c r="U32" s="1035"/>
      <c r="V32" s="1027"/>
    </row>
    <row r="33" spans="2:32" ht="14.25" customHeight="1">
      <c r="B33" s="1027"/>
      <c r="C33" s="1988"/>
      <c r="D33" s="1989"/>
      <c r="E33" s="1989"/>
      <c r="F33" s="1989"/>
      <c r="G33" s="1989"/>
      <c r="H33" s="1989"/>
      <c r="I33" s="1989"/>
      <c r="J33" s="1989"/>
      <c r="K33" s="1989"/>
      <c r="L33" s="1989"/>
      <c r="M33" s="1989"/>
      <c r="N33" s="1989"/>
      <c r="O33" s="1989"/>
      <c r="P33" s="1990"/>
      <c r="Q33" s="1035"/>
      <c r="R33" s="1863" t="s">
        <v>3497</v>
      </c>
      <c r="S33" s="1864"/>
      <c r="T33" s="1864"/>
      <c r="U33" s="1980"/>
      <c r="V33" s="1027"/>
    </row>
    <row r="34" spans="2:32" ht="15" customHeight="1">
      <c r="B34" s="1027"/>
      <c r="C34" s="1988"/>
      <c r="D34" s="1989"/>
      <c r="E34" s="1989"/>
      <c r="F34" s="1989"/>
      <c r="G34" s="1989"/>
      <c r="H34" s="1989"/>
      <c r="I34" s="1989"/>
      <c r="J34" s="1989"/>
      <c r="K34" s="1989"/>
      <c r="L34" s="1989"/>
      <c r="M34" s="1989"/>
      <c r="N34" s="1989"/>
      <c r="O34" s="1989"/>
      <c r="P34" s="1990"/>
      <c r="Q34" s="1035"/>
      <c r="R34" s="116" t="s">
        <v>3498</v>
      </c>
      <c r="S34" s="3"/>
      <c r="T34" s="1459">
        <f>+IF(Credit_percentage_applied_for='Dropdown Lists'!$G$2,Federal_Credits,0)</f>
        <v>0</v>
      </c>
      <c r="U34" s="1460"/>
      <c r="V34" s="1027"/>
      <c r="AF34" s="3"/>
    </row>
    <row r="35" spans="2:32" ht="14.25" customHeight="1">
      <c r="B35" s="1027"/>
      <c r="C35" s="1988"/>
      <c r="D35" s="1989"/>
      <c r="E35" s="1989"/>
      <c r="F35" s="1989"/>
      <c r="G35" s="1989"/>
      <c r="H35" s="1989"/>
      <c r="I35" s="1989"/>
      <c r="J35" s="1989"/>
      <c r="K35" s="1989"/>
      <c r="L35" s="1989"/>
      <c r="M35" s="1989"/>
      <c r="N35" s="1989"/>
      <c r="O35" s="1989"/>
      <c r="P35" s="1990"/>
      <c r="Q35" s="1035"/>
      <c r="R35" s="116" t="s">
        <v>3499</v>
      </c>
      <c r="S35" s="3"/>
      <c r="T35" s="1459">
        <f>+IF(Credit_percentage_applied_for='Dropdown Lists'!$G$2,0,Federal_Credits)</f>
        <v>0</v>
      </c>
      <c r="U35" s="1460"/>
      <c r="V35" s="1027"/>
      <c r="AF35" s="3"/>
    </row>
    <row r="36" spans="2:32" ht="14.25" customHeight="1">
      <c r="B36" s="1027"/>
      <c r="C36" s="1988"/>
      <c r="D36" s="1989"/>
      <c r="E36" s="1989"/>
      <c r="F36" s="1989"/>
      <c r="G36" s="1989"/>
      <c r="H36" s="1989"/>
      <c r="I36" s="1989"/>
      <c r="J36" s="1989"/>
      <c r="K36" s="1989"/>
      <c r="L36" s="1989"/>
      <c r="M36" s="1989"/>
      <c r="N36" s="1989"/>
      <c r="O36" s="1989"/>
      <c r="P36" s="1990"/>
      <c r="Q36" s="1035"/>
      <c r="R36" s="116" t="s">
        <v>3500</v>
      </c>
      <c r="S36" s="3"/>
      <c r="T36" s="1459">
        <f>+State_Credits</f>
        <v>0</v>
      </c>
      <c r="U36" s="1460"/>
      <c r="V36" s="1027"/>
      <c r="AF36" s="3"/>
    </row>
    <row r="37" spans="2:32" ht="14.25" customHeight="1">
      <c r="B37" s="1027"/>
      <c r="C37" s="1988"/>
      <c r="D37" s="1989"/>
      <c r="E37" s="1989"/>
      <c r="F37" s="1989"/>
      <c r="G37" s="1989"/>
      <c r="H37" s="1989"/>
      <c r="I37" s="1989"/>
      <c r="J37" s="1989"/>
      <c r="K37" s="1989"/>
      <c r="L37" s="1989"/>
      <c r="M37" s="1989"/>
      <c r="N37" s="1989"/>
      <c r="O37" s="1989"/>
      <c r="P37" s="1990"/>
      <c r="Q37" s="1027"/>
      <c r="R37" s="116" t="s">
        <v>3501</v>
      </c>
      <c r="S37" s="3"/>
      <c r="T37" s="1459">
        <f>+(T34+T35)*10</f>
        <v>0</v>
      </c>
      <c r="U37" s="1460"/>
      <c r="V37" s="1027"/>
      <c r="AF37" s="3"/>
    </row>
    <row r="38" spans="2:32" ht="14.25" customHeight="1">
      <c r="B38" s="1027"/>
      <c r="C38" s="1988"/>
      <c r="D38" s="1989"/>
      <c r="E38" s="1989"/>
      <c r="F38" s="1989"/>
      <c r="G38" s="1989"/>
      <c r="H38" s="1989"/>
      <c r="I38" s="1989"/>
      <c r="J38" s="1989"/>
      <c r="K38" s="1989"/>
      <c r="L38" s="1989"/>
      <c r="M38" s="1989"/>
      <c r="N38" s="1989"/>
      <c r="O38" s="1989"/>
      <c r="P38" s="1990"/>
      <c r="Q38" s="1027"/>
      <c r="R38" s="116" t="s">
        <v>3502</v>
      </c>
      <c r="S38" s="3"/>
      <c r="T38" s="1459">
        <f>+T36*6</f>
        <v>0</v>
      </c>
      <c r="U38" s="1460"/>
      <c r="V38" s="1027"/>
      <c r="W38" s="3"/>
      <c r="X38" s="3"/>
      <c r="Y38" s="3"/>
      <c r="Z38" s="3"/>
      <c r="AA38" s="3"/>
      <c r="AB38" s="3"/>
      <c r="AF38" s="3"/>
    </row>
    <row r="39" spans="2:32" ht="14.25" customHeight="1">
      <c r="B39" s="1027"/>
      <c r="C39" s="1991"/>
      <c r="D39" s="1992"/>
      <c r="E39" s="1992"/>
      <c r="F39" s="1992"/>
      <c r="G39" s="1992"/>
      <c r="H39" s="1992"/>
      <c r="I39" s="1992"/>
      <c r="J39" s="1992"/>
      <c r="K39" s="1992"/>
      <c r="L39" s="1992"/>
      <c r="M39" s="1992"/>
      <c r="N39" s="1992"/>
      <c r="O39" s="1992"/>
      <c r="P39" s="1993"/>
      <c r="Q39" s="1027"/>
      <c r="R39" s="1697" t="s">
        <v>1592</v>
      </c>
      <c r="S39" s="1698"/>
      <c r="T39" s="62">
        <f>+Set_Aside</f>
        <v>0</v>
      </c>
      <c r="U39" s="1461"/>
      <c r="V39" s="1027"/>
      <c r="W39" s="793"/>
      <c r="X39" s="793"/>
      <c r="Y39" s="794"/>
      <c r="AF39" s="3"/>
    </row>
    <row r="40" spans="2:32" ht="14.25" customHeight="1">
      <c r="B40" s="1027"/>
      <c r="C40" s="1027"/>
      <c r="D40" s="1027"/>
      <c r="E40" s="1027"/>
      <c r="F40" s="1027"/>
      <c r="G40" s="1027"/>
      <c r="H40" s="1027"/>
      <c r="I40" s="1027"/>
      <c r="J40" s="1027"/>
      <c r="K40" s="1027"/>
      <c r="L40" s="1027"/>
      <c r="M40" s="1027"/>
      <c r="N40" s="1027"/>
      <c r="O40" s="1027"/>
      <c r="P40" s="1027"/>
      <c r="Q40" s="1027"/>
      <c r="R40" s="1027"/>
      <c r="S40" s="1027"/>
      <c r="T40" s="1027"/>
      <c r="U40" s="1027"/>
      <c r="V40" s="1027"/>
      <c r="X40" s="793"/>
      <c r="Y40" s="793"/>
      <c r="Z40" s="794"/>
    </row>
    <row r="41" spans="2:32" ht="18.75">
      <c r="B41" s="8" t="s">
        <v>3503</v>
      </c>
      <c r="C41" s="17"/>
      <c r="P41" s="3"/>
      <c r="Q41" s="3"/>
      <c r="R41" s="793"/>
      <c r="S41" s="793"/>
      <c r="T41" s="793"/>
      <c r="U41" s="793"/>
      <c r="V41" s="793"/>
      <c r="X41" s="793"/>
      <c r="Y41" s="793"/>
      <c r="Z41" s="794"/>
    </row>
    <row r="42" spans="2:32" ht="14.25" customHeight="1">
      <c r="B42" s="1027"/>
      <c r="C42" s="1027"/>
      <c r="D42" s="1027"/>
      <c r="E42" s="1027"/>
      <c r="F42" s="1027"/>
      <c r="G42" s="1027"/>
      <c r="H42" s="1027"/>
      <c r="I42" s="1027"/>
      <c r="J42" s="1027"/>
      <c r="K42" s="1027"/>
      <c r="L42" s="1027"/>
      <c r="M42" s="1027"/>
      <c r="N42" s="1027"/>
      <c r="O42" s="1027"/>
      <c r="P42" s="1027"/>
      <c r="Q42" s="1027"/>
      <c r="R42" s="1027"/>
      <c r="S42" s="1027"/>
      <c r="T42" s="793"/>
      <c r="U42" s="793"/>
      <c r="V42" s="793"/>
      <c r="X42" s="793"/>
      <c r="Y42" s="793"/>
      <c r="Z42" s="794"/>
    </row>
    <row r="43" spans="2:32" ht="14.25" customHeight="1">
      <c r="B43" s="1027"/>
      <c r="C43" s="1857" t="s">
        <v>3504</v>
      </c>
      <c r="D43" s="1857"/>
      <c r="E43" s="1857"/>
      <c r="F43" s="1857"/>
      <c r="G43" s="1857"/>
      <c r="H43" s="1857"/>
      <c r="I43" s="1857"/>
      <c r="J43" s="1857"/>
      <c r="K43" s="1027"/>
      <c r="L43" s="1695" t="s">
        <v>3505</v>
      </c>
      <c r="M43" s="1700"/>
      <c r="N43" s="755"/>
      <c r="O43" s="755"/>
      <c r="P43" s="1753" t="s">
        <v>3506</v>
      </c>
      <c r="Q43" s="1027"/>
      <c r="R43" s="1027"/>
      <c r="S43" s="1027"/>
      <c r="T43" s="793"/>
      <c r="U43" s="793"/>
      <c r="V43" s="793"/>
      <c r="X43" s="793"/>
      <c r="Y43" s="793"/>
      <c r="Z43" s="794"/>
    </row>
    <row r="44" spans="2:32" ht="14.25" customHeight="1">
      <c r="B44" s="1027"/>
      <c r="C44" s="757" t="s">
        <v>3507</v>
      </c>
      <c r="D44" s="1758" t="s">
        <v>2830</v>
      </c>
      <c r="E44" s="1746" t="s">
        <v>2832</v>
      </c>
      <c r="F44" s="1746" t="s">
        <v>2834</v>
      </c>
      <c r="G44" s="1746" t="s">
        <v>2836</v>
      </c>
      <c r="H44" s="1746" t="s">
        <v>2838</v>
      </c>
      <c r="I44" s="1746" t="s">
        <v>2839</v>
      </c>
      <c r="J44" s="1746" t="s">
        <v>3508</v>
      </c>
      <c r="K44" s="1027"/>
      <c r="L44" s="1858" t="s">
        <v>3509</v>
      </c>
      <c r="M44" s="1859"/>
      <c r="N44" s="1859"/>
      <c r="O44" s="1860"/>
      <c r="P44" s="657">
        <f>+SUM(P45:P52)</f>
        <v>0</v>
      </c>
      <c r="Q44" s="1027"/>
      <c r="R44" s="1027"/>
      <c r="S44" s="1027"/>
      <c r="T44" s="793"/>
      <c r="U44" s="793"/>
      <c r="V44" s="793"/>
      <c r="X44" s="793"/>
      <c r="Y44" s="793"/>
      <c r="Z44" s="794"/>
    </row>
    <row r="45" spans="2:32" ht="14.25" customHeight="1">
      <c r="B45" s="1027"/>
      <c r="C45" s="659">
        <v>0.3</v>
      </c>
      <c r="D45" s="660">
        <f>SUMIFS('11. Unit Mix'!$H$16:$H$65,'11. Unit Mix'!$E$16:$E$65,LEFT(D$44,1),'11. Unit Mix'!$I$16:$I$65,$C45)</f>
        <v>0</v>
      </c>
      <c r="E45" s="660">
        <f>SUMIFS('11. Unit Mix'!$H$16:$H$65,'11. Unit Mix'!$E$16:$E$65,LEFT(E$44,1),'11. Unit Mix'!$I$16:$I$65,$C45)</f>
        <v>0</v>
      </c>
      <c r="F45" s="660">
        <f>SUMIFS('11. Unit Mix'!$H$16:$H$65,'11. Unit Mix'!$E$16:$E$65,LEFT(F$44,1),'11. Unit Mix'!$I$16:$I$65,$C45)</f>
        <v>0</v>
      </c>
      <c r="G45" s="660">
        <f>SUMIFS('11. Unit Mix'!$H$16:$H$65,'11. Unit Mix'!$E$16:$E$65,LEFT(G$44,1),'11. Unit Mix'!$I$16:$I$65,$C45)</f>
        <v>0</v>
      </c>
      <c r="H45" s="660">
        <f>SUMIFS('11. Unit Mix'!$H$16:$H$65,'11. Unit Mix'!$E$16:$E$65,LEFT(H$44,1),'11. Unit Mix'!$I$16:$I$65,$C45)</f>
        <v>0</v>
      </c>
      <c r="I45" s="660">
        <f>SUMIFS('11. Unit Mix'!$H$16:$H$65,'11. Unit Mix'!$E$16:$E$65,LEFT(I$44,1),'11. Unit Mix'!$I$16:$I$65,$C45)</f>
        <v>0</v>
      </c>
      <c r="J45" s="661">
        <f>SUM(D45:I45)</f>
        <v>0</v>
      </c>
      <c r="K45" s="1027"/>
      <c r="L45" s="1858" t="s">
        <v>3510</v>
      </c>
      <c r="M45" s="1859"/>
      <c r="N45" s="1859"/>
      <c r="O45" s="1860"/>
      <c r="P45" s="657">
        <f>+IF(RD_Rental_Assistance="yes",RD_Rental_Assistance_Number_of_Units,0)</f>
        <v>0</v>
      </c>
      <c r="Q45" s="1027"/>
      <c r="R45" s="1027"/>
      <c r="S45" s="1027"/>
      <c r="T45" s="793"/>
      <c r="U45" s="793"/>
      <c r="V45" s="793"/>
      <c r="X45" s="793"/>
      <c r="Y45" s="793"/>
      <c r="Z45" s="794"/>
    </row>
    <row r="46" spans="2:32" ht="14.25" customHeight="1">
      <c r="B46" s="1027"/>
      <c r="C46" s="659">
        <v>0.4</v>
      </c>
      <c r="D46" s="660">
        <f>SUMIFS('11. Unit Mix'!$H$16:$H$65,'11. Unit Mix'!$E$16:$E$65,LEFT(D$44,1),'11. Unit Mix'!$I$16:$I$65,$C46)</f>
        <v>0</v>
      </c>
      <c r="E46" s="660">
        <f>SUMIFS('11. Unit Mix'!$H$16:$H$65,'11. Unit Mix'!$E$16:$E$65,LEFT(E$44,1),'11. Unit Mix'!$I$16:$I$65,$C46)</f>
        <v>0</v>
      </c>
      <c r="F46" s="660">
        <f>SUMIFS('11. Unit Mix'!$H$16:$H$65,'11. Unit Mix'!$E$16:$E$65,LEFT(F$44,1),'11. Unit Mix'!$I$16:$I$65,$C46)</f>
        <v>0</v>
      </c>
      <c r="G46" s="660">
        <f>SUMIFS('11. Unit Mix'!$H$16:$H$65,'11. Unit Mix'!$E$16:$E$65,LEFT(G$44,1),'11. Unit Mix'!$I$16:$I$65,$C46)</f>
        <v>0</v>
      </c>
      <c r="H46" s="660">
        <f>SUMIFS('11. Unit Mix'!$H$16:$H$65,'11. Unit Mix'!$E$16:$E$65,LEFT(H$44,1),'11. Unit Mix'!$I$16:$I$65,$C46)</f>
        <v>0</v>
      </c>
      <c r="I46" s="660">
        <f>SUMIFS('11. Unit Mix'!$H$16:$H$65,'11. Unit Mix'!$E$16:$E$65,LEFT(I$44,1),'11. Unit Mix'!$I$16:$I$65,$C46)</f>
        <v>0</v>
      </c>
      <c r="J46" s="661">
        <f t="shared" ref="J46:J53" si="0">SUM(D46:I46)</f>
        <v>0</v>
      </c>
      <c r="K46" s="1027"/>
      <c r="L46" s="1858" t="s">
        <v>3511</v>
      </c>
      <c r="M46" s="1859"/>
      <c r="N46" s="1859"/>
      <c r="O46" s="1860"/>
      <c r="P46" s="657">
        <f>+IF('4. Project Description'!D23="Yes",'4. Project Description'!F23,0)</f>
        <v>0</v>
      </c>
      <c r="Q46" s="1027"/>
      <c r="R46" s="1027"/>
      <c r="S46" s="1027"/>
      <c r="T46" s="793"/>
      <c r="U46" s="793"/>
      <c r="V46" s="793"/>
      <c r="X46" s="793"/>
      <c r="Y46" s="793"/>
      <c r="Z46" s="794"/>
    </row>
    <row r="47" spans="2:32" ht="14.25" customHeight="1">
      <c r="B47" s="1027"/>
      <c r="C47" s="659">
        <v>0.5</v>
      </c>
      <c r="D47" s="660">
        <f>SUMIFS('11. Unit Mix'!$H$16:$H$65,'11. Unit Mix'!$E$16:$E$65,LEFT(D$44,1),'11. Unit Mix'!$I$16:$I$65,$C47)</f>
        <v>0</v>
      </c>
      <c r="E47" s="660">
        <f>SUMIFS('11. Unit Mix'!$H$16:$H$65,'11. Unit Mix'!$E$16:$E$65,LEFT(E$44,1),'11. Unit Mix'!$I$16:$I$65,$C47)</f>
        <v>0</v>
      </c>
      <c r="F47" s="660">
        <f>SUMIFS('11. Unit Mix'!$H$16:$H$65,'11. Unit Mix'!$E$16:$E$65,LEFT(F$44,1),'11. Unit Mix'!$I$16:$I$65,$C47)</f>
        <v>0</v>
      </c>
      <c r="G47" s="660">
        <f>SUMIFS('11. Unit Mix'!$H$16:$H$65,'11. Unit Mix'!$E$16:$E$65,LEFT(G$44,1),'11. Unit Mix'!$I$16:$I$65,$C47)</f>
        <v>0</v>
      </c>
      <c r="H47" s="660">
        <f>SUMIFS('11. Unit Mix'!$H$16:$H$65,'11. Unit Mix'!$E$16:$E$65,LEFT(H$44,1),'11. Unit Mix'!$I$16:$I$65,$C47)</f>
        <v>0</v>
      </c>
      <c r="I47" s="660">
        <f>SUMIFS('11. Unit Mix'!$H$16:$H$65,'11. Unit Mix'!$E$16:$E$65,LEFT(I$44,1),'11. Unit Mix'!$I$16:$I$65,$C47)</f>
        <v>0</v>
      </c>
      <c r="J47" s="661">
        <f t="shared" si="0"/>
        <v>0</v>
      </c>
      <c r="K47" s="1027"/>
      <c r="L47" s="1858" t="s">
        <v>3512</v>
      </c>
      <c r="M47" s="1859"/>
      <c r="N47" s="1859"/>
      <c r="O47" s="1860"/>
      <c r="P47" s="657">
        <f>+IF(Section_8_Rent_Supplemental_or_Rental_Assistance_Payment="yes",Section_8_Rent_Supplemental_or_Rental_Assistance_Payment_Number_of_Units,0)</f>
        <v>0</v>
      </c>
      <c r="Q47" s="1027"/>
      <c r="R47" s="1027"/>
      <c r="S47" s="1027"/>
      <c r="T47" s="793"/>
      <c r="U47" s="793"/>
      <c r="V47" s="793"/>
      <c r="X47" s="793"/>
      <c r="Y47" s="793"/>
      <c r="Z47" s="794"/>
    </row>
    <row r="48" spans="2:32" ht="14.25" customHeight="1">
      <c r="B48" s="1027"/>
      <c r="C48" s="659">
        <v>0.6</v>
      </c>
      <c r="D48" s="660">
        <f>SUMIFS('11. Unit Mix'!$H$16:$H$65,'11. Unit Mix'!$E$16:$E$65,LEFT(D$44,1),'11. Unit Mix'!$I$16:$I$65,$C48)</f>
        <v>0</v>
      </c>
      <c r="E48" s="660">
        <f>SUMIFS('11. Unit Mix'!$H$16:$H$65,'11. Unit Mix'!$E$16:$E$65,LEFT(E$44,1),'11. Unit Mix'!$I$16:$I$65,$C48)</f>
        <v>0</v>
      </c>
      <c r="F48" s="660">
        <f>SUMIFS('11. Unit Mix'!$H$16:$H$65,'11. Unit Mix'!$E$16:$E$65,LEFT(F$44,1),'11. Unit Mix'!$I$16:$I$65,$C48)</f>
        <v>0</v>
      </c>
      <c r="G48" s="660">
        <f>SUMIFS('11. Unit Mix'!$H$16:$H$65,'11. Unit Mix'!$E$16:$E$65,LEFT(G$44,1),'11. Unit Mix'!$I$16:$I$65,$C48)</f>
        <v>0</v>
      </c>
      <c r="H48" s="660">
        <f>SUMIFS('11. Unit Mix'!$H$16:$H$65,'11. Unit Mix'!$E$16:$E$65,LEFT(H$44,1),'11. Unit Mix'!$I$16:$I$65,$C48)</f>
        <v>0</v>
      </c>
      <c r="I48" s="660">
        <f>SUMIFS('11. Unit Mix'!$H$16:$H$65,'11. Unit Mix'!$E$16:$E$65,LEFT(I$44,1),'11. Unit Mix'!$I$16:$I$65,$C48)</f>
        <v>0</v>
      </c>
      <c r="J48" s="661">
        <f t="shared" si="0"/>
        <v>0</v>
      </c>
      <c r="K48" s="1027"/>
      <c r="L48" s="1858" t="s">
        <v>3513</v>
      </c>
      <c r="M48" s="1859"/>
      <c r="N48" s="1859"/>
      <c r="O48" s="1860"/>
      <c r="P48" s="657">
        <f>+IF(Section_8_Housing_Assistance_Payment_Contract="yes",Section_8_Housing_Assistance_Payment_Contract_Number_of_Units,0)</f>
        <v>0</v>
      </c>
      <c r="Q48" s="1027"/>
      <c r="R48" s="1027"/>
      <c r="S48" s="1027"/>
      <c r="T48" s="793"/>
      <c r="U48" s="793"/>
      <c r="V48" s="793"/>
      <c r="X48" s="793"/>
      <c r="Y48" s="793"/>
      <c r="Z48" s="794"/>
    </row>
    <row r="49" spans="2:26" ht="14.25" customHeight="1">
      <c r="B49" s="1027"/>
      <c r="C49" s="659">
        <v>0.7</v>
      </c>
      <c r="D49" s="660">
        <f>SUMIFS('11. Unit Mix'!$H$16:$H$65,'11. Unit Mix'!$E$16:$E$65,LEFT(D$44,1),'11. Unit Mix'!$I$16:$I$65,$C49)</f>
        <v>0</v>
      </c>
      <c r="E49" s="660">
        <f>SUMIFS('11. Unit Mix'!$H$16:$H$65,'11. Unit Mix'!$E$16:$E$65,LEFT(E$44,1),'11. Unit Mix'!$I$16:$I$65,$C49)</f>
        <v>0</v>
      </c>
      <c r="F49" s="660">
        <f>SUMIFS('11. Unit Mix'!$H$16:$H$65,'11. Unit Mix'!$E$16:$E$65,LEFT(F$44,1),'11. Unit Mix'!$I$16:$I$65,$C49)</f>
        <v>0</v>
      </c>
      <c r="G49" s="660">
        <f>SUMIFS('11. Unit Mix'!$H$16:$H$65,'11. Unit Mix'!$E$16:$E$65,LEFT(G$44,1),'11. Unit Mix'!$I$16:$I$65,$C49)</f>
        <v>0</v>
      </c>
      <c r="H49" s="660">
        <f>SUMIFS('11. Unit Mix'!$H$16:$H$65,'11. Unit Mix'!$E$16:$E$65,LEFT(H$44,1),'11. Unit Mix'!$I$16:$I$65,$C49)</f>
        <v>0</v>
      </c>
      <c r="I49" s="660">
        <f>SUMIFS('11. Unit Mix'!$H$16:$H$65,'11. Unit Mix'!$E$16:$E$65,LEFT(I$44,1),'11. Unit Mix'!$I$16:$I$65,$C49)</f>
        <v>0</v>
      </c>
      <c r="J49" s="661">
        <f t="shared" si="0"/>
        <v>0</v>
      </c>
      <c r="K49" s="1027"/>
      <c r="L49" s="1858" t="str">
        <f>+'4. Project Description'!C19</f>
        <v xml:space="preserve">Section 221(d)(3) BMIR </v>
      </c>
      <c r="M49" s="1859"/>
      <c r="N49" s="1859"/>
      <c r="O49" s="1860"/>
      <c r="P49" s="657">
        <f>+IF(Section_221_d__3__BMIR="yes",Section_221_d__3__BMIR_Number_of_Units,0)</f>
        <v>0</v>
      </c>
      <c r="Q49" s="1027"/>
      <c r="R49" s="1027"/>
      <c r="S49" s="1027"/>
      <c r="T49" s="793"/>
      <c r="U49" s="793"/>
      <c r="V49" s="793"/>
      <c r="X49" s="793"/>
      <c r="Y49" s="793"/>
      <c r="Z49" s="794"/>
    </row>
    <row r="50" spans="2:26" ht="14.25" customHeight="1">
      <c r="B50" s="1027"/>
      <c r="C50" s="659">
        <v>0.8</v>
      </c>
      <c r="D50" s="660">
        <f>SUMIFS('11. Unit Mix'!$H$16:$H$65,'11. Unit Mix'!$E$16:$E$65,LEFT(D$44,1),'11. Unit Mix'!$I$16:$I$65,$C50)</f>
        <v>0</v>
      </c>
      <c r="E50" s="660">
        <f>SUMIFS('11. Unit Mix'!$H$16:$H$65,'11. Unit Mix'!$E$16:$E$65,LEFT(E$44,1),'11. Unit Mix'!$I$16:$I$65,$C50)</f>
        <v>0</v>
      </c>
      <c r="F50" s="660">
        <f>SUMIFS('11. Unit Mix'!$H$16:$H$65,'11. Unit Mix'!$E$16:$E$65,LEFT(F$44,1),'11. Unit Mix'!$I$16:$I$65,$C50)</f>
        <v>0</v>
      </c>
      <c r="G50" s="660">
        <f>SUMIFS('11. Unit Mix'!$H$16:$H$65,'11. Unit Mix'!$E$16:$E$65,LEFT(G$44,1),'11. Unit Mix'!$I$16:$I$65,$C50)</f>
        <v>0</v>
      </c>
      <c r="H50" s="660">
        <f>SUMIFS('11. Unit Mix'!$H$16:$H$65,'11. Unit Mix'!$E$16:$E$65,LEFT(H$44,1),'11. Unit Mix'!$I$16:$I$65,$C50)</f>
        <v>0</v>
      </c>
      <c r="I50" s="660">
        <f>SUMIFS('11. Unit Mix'!$H$16:$H$65,'11. Unit Mix'!$E$16:$E$65,LEFT(I$44,1),'11. Unit Mix'!$I$16:$I$65,$C50)</f>
        <v>0</v>
      </c>
      <c r="J50" s="661">
        <f t="shared" si="0"/>
        <v>0</v>
      </c>
      <c r="K50" s="1027"/>
      <c r="L50" s="1858" t="s">
        <v>3514</v>
      </c>
      <c r="M50" s="1859"/>
      <c r="N50" s="1859"/>
      <c r="O50" s="1860"/>
      <c r="P50" s="657">
        <f>+IF(HUD_RAD="Yes",HUD_RAD_Number_of_Units,0)</f>
        <v>0</v>
      </c>
      <c r="Q50" s="1027"/>
      <c r="R50" s="1027"/>
      <c r="S50" s="1027"/>
      <c r="T50" s="793"/>
      <c r="U50" s="793"/>
      <c r="V50" s="793"/>
      <c r="X50" s="793"/>
      <c r="Y50" s="793"/>
      <c r="Z50" s="794"/>
    </row>
    <row r="51" spans="2:26" ht="14.25" customHeight="1">
      <c r="B51" s="1027"/>
      <c r="C51" s="659" t="s">
        <v>327</v>
      </c>
      <c r="D51" s="660">
        <f>SUMIFS('11. Unit Mix'!$G$96:$G$98,'11. Unit Mix'!$D$96:$D$98,LEFT(D$44,1))</f>
        <v>0</v>
      </c>
      <c r="E51" s="660">
        <f>SUMIFS('11. Unit Mix'!$G$96:$G$98,'11. Unit Mix'!$D$96:$D$98,LEFT(E$44,1))</f>
        <v>0</v>
      </c>
      <c r="F51" s="660">
        <f>SUMIFS('11. Unit Mix'!$G$96:$G$98,'11. Unit Mix'!$D$96:$D$98,LEFT(F$44,1))</f>
        <v>0</v>
      </c>
      <c r="G51" s="660">
        <f>SUMIFS('11. Unit Mix'!$G$96:$G$98,'11. Unit Mix'!$D$96:$D$98,LEFT(G$44,1))</f>
        <v>0</v>
      </c>
      <c r="H51" s="660">
        <f>SUMIFS('11. Unit Mix'!$G$96:$G$98,'11. Unit Mix'!$D$96:$D$98,LEFT(H$44,1))</f>
        <v>0</v>
      </c>
      <c r="I51" s="660">
        <f>SUMIFS('11. Unit Mix'!$G$96:$G$98,'11. Unit Mix'!$D$96:$D$98,LEFT(I$44,1))</f>
        <v>0</v>
      </c>
      <c r="J51" s="661">
        <f t="shared" si="0"/>
        <v>0</v>
      </c>
      <c r="K51" s="1027"/>
      <c r="L51" s="1858" t="s">
        <v>3515</v>
      </c>
      <c r="M51" s="1859"/>
      <c r="N51" s="1859"/>
      <c r="O51" s="1860"/>
      <c r="P51" s="657">
        <f>+IF(Section_236="Yes",Section_236_Number_of_Units,0)</f>
        <v>0</v>
      </c>
      <c r="Q51" s="1027"/>
      <c r="R51" s="1027"/>
      <c r="S51" s="1027"/>
      <c r="T51" s="793"/>
      <c r="U51" s="793"/>
      <c r="V51" s="793"/>
      <c r="X51" s="793"/>
      <c r="Y51" s="793"/>
      <c r="Z51" s="794"/>
    </row>
    <row r="52" spans="2:26" ht="14.25" customHeight="1">
      <c r="B52" s="1027"/>
      <c r="C52" s="653" t="s">
        <v>3516</v>
      </c>
      <c r="D52" s="660">
        <f>SUMIFS('11. Unit Mix'!$H$104:$H$113,'11. Unit Mix'!$E$104:$E$113,LEFT(D$44,1))</f>
        <v>0</v>
      </c>
      <c r="E52" s="660">
        <f>SUMIFS('11. Unit Mix'!$H$104:$H$113,'11. Unit Mix'!$E$104:$E$113,LEFT(E$44,1))</f>
        <v>0</v>
      </c>
      <c r="F52" s="660">
        <f>SUMIFS('11. Unit Mix'!$H$104:$H$113,'11. Unit Mix'!$E$104:$E$113,LEFT(F$44,1))</f>
        <v>0</v>
      </c>
      <c r="G52" s="660">
        <f>SUMIFS('11. Unit Mix'!$H$104:$H$113,'11. Unit Mix'!$E$104:$E$113,LEFT(G$44,1))</f>
        <v>0</v>
      </c>
      <c r="H52" s="660">
        <f>SUMIFS('11. Unit Mix'!$H$104:$H$113,'11. Unit Mix'!$E$104:$E$113,LEFT(H$44,1))</f>
        <v>0</v>
      </c>
      <c r="I52" s="662">
        <f>SUMIFS('11. Unit Mix'!$H$104:$H$113,'11. Unit Mix'!$E$104:$E$113,LEFT(I$44,1))</f>
        <v>0</v>
      </c>
      <c r="J52" s="661">
        <f t="shared" si="0"/>
        <v>0</v>
      </c>
      <c r="K52" s="1027"/>
      <c r="L52" s="1858" t="str">
        <f>+'4. Project Description'!C24</f>
        <v xml:space="preserve">Section 811 Vouchers </v>
      </c>
      <c r="M52" s="1859"/>
      <c r="N52" s="1859"/>
      <c r="O52" s="1860"/>
      <c r="P52" s="657">
        <f>Section_811_Vouchers_Number_of_Units</f>
        <v>0</v>
      </c>
      <c r="Q52" s="1027"/>
      <c r="R52" s="1027"/>
      <c r="S52" s="1027"/>
      <c r="T52" s="793"/>
      <c r="U52" s="793"/>
      <c r="V52" s="793"/>
      <c r="X52" s="793"/>
      <c r="Y52" s="793"/>
      <c r="Z52" s="794"/>
    </row>
    <row r="53" spans="2:26" ht="14.25" customHeight="1">
      <c r="B53" s="1027"/>
      <c r="C53" s="1010" t="str">
        <f>"Total Units"</f>
        <v>Total Units</v>
      </c>
      <c r="D53" s="656">
        <f t="shared" ref="D53:I53" si="1">+SUM(D45:D52)</f>
        <v>0</v>
      </c>
      <c r="E53" s="656">
        <f t="shared" si="1"/>
        <v>0</v>
      </c>
      <c r="F53" s="656">
        <f t="shared" si="1"/>
        <v>0</v>
      </c>
      <c r="G53" s="656">
        <f t="shared" si="1"/>
        <v>0</v>
      </c>
      <c r="H53" s="656">
        <f t="shared" si="1"/>
        <v>0</v>
      </c>
      <c r="I53" s="656">
        <f t="shared" si="1"/>
        <v>0</v>
      </c>
      <c r="J53" s="656">
        <f t="shared" si="0"/>
        <v>0</v>
      </c>
      <c r="K53" s="1027"/>
      <c r="L53" s="1858" t="s">
        <v>3517</v>
      </c>
      <c r="M53" s="1859"/>
      <c r="N53" s="1859"/>
      <c r="O53" s="1860"/>
      <c r="P53" s="658">
        <f>+'22. Tenants Served Score'!D123</f>
        <v>0</v>
      </c>
      <c r="Q53" s="1027"/>
      <c r="R53" s="1027"/>
      <c r="S53" s="1027"/>
      <c r="T53" s="793"/>
      <c r="U53" s="793"/>
      <c r="V53" s="793"/>
      <c r="X53" s="793"/>
      <c r="Y53" s="793"/>
      <c r="Z53" s="794"/>
    </row>
    <row r="54" spans="2:26" ht="14.25" customHeight="1">
      <c r="B54" s="1027"/>
      <c r="C54" s="1027"/>
      <c r="D54" s="1027"/>
      <c r="E54" s="1027"/>
      <c r="F54" s="1027"/>
      <c r="G54" s="1027"/>
      <c r="H54" s="1027"/>
      <c r="I54" s="1027"/>
      <c r="J54" s="1027"/>
      <c r="K54" s="1027"/>
      <c r="L54" s="1858" t="s">
        <v>3518</v>
      </c>
      <c r="M54" s="1859"/>
      <c r="N54" s="1859"/>
      <c r="O54" s="1860"/>
      <c r="P54" s="658">
        <f>+'22. Tenants Served Score'!C93</f>
        <v>0</v>
      </c>
      <c r="Q54" s="1027"/>
      <c r="R54" s="1027"/>
      <c r="S54" s="1027"/>
      <c r="T54" s="793"/>
      <c r="U54" s="793"/>
      <c r="V54" s="793"/>
      <c r="X54" s="793"/>
      <c r="Y54" s="793"/>
      <c r="Z54" s="794"/>
    </row>
    <row r="55" spans="2:26" ht="14.25" customHeight="1">
      <c r="B55" s="1027"/>
      <c r="C55" s="1856" t="s">
        <v>3519</v>
      </c>
      <c r="D55" s="1856"/>
      <c r="E55" s="1856"/>
      <c r="F55" s="1856"/>
      <c r="G55" s="1856"/>
      <c r="H55" s="1856"/>
      <c r="I55" s="1856"/>
      <c r="J55" s="1857"/>
      <c r="K55" s="1027"/>
      <c r="L55" s="1027"/>
      <c r="M55" s="1027"/>
      <c r="N55" s="1027"/>
      <c r="O55" s="1027"/>
      <c r="P55" s="1027"/>
      <c r="Q55" s="1027"/>
      <c r="R55" s="1027"/>
      <c r="S55" s="1027"/>
      <c r="T55" s="793"/>
      <c r="U55" s="793"/>
      <c r="V55" s="793"/>
      <c r="X55" s="793"/>
      <c r="Y55" s="793"/>
      <c r="Z55" s="794"/>
    </row>
    <row r="56" spans="2:26" ht="14.25" customHeight="1">
      <c r="B56" s="1027"/>
      <c r="C56" s="757" t="s">
        <v>3507</v>
      </c>
      <c r="D56" s="758" t="s">
        <v>2830</v>
      </c>
      <c r="E56" s="759" t="s">
        <v>2832</v>
      </c>
      <c r="F56" s="759" t="s">
        <v>2834</v>
      </c>
      <c r="G56" s="759" t="s">
        <v>2836</v>
      </c>
      <c r="H56" s="759" t="s">
        <v>2838</v>
      </c>
      <c r="I56" s="759" t="s">
        <v>2839</v>
      </c>
      <c r="J56" s="759" t="s">
        <v>3520</v>
      </c>
      <c r="K56" s="1027"/>
      <c r="L56" s="1027"/>
      <c r="M56" s="1027"/>
      <c r="N56" s="1027"/>
      <c r="O56" s="1027"/>
      <c r="P56" s="1027"/>
      <c r="Q56" s="1027"/>
      <c r="R56" s="1027"/>
      <c r="S56" s="1027"/>
      <c r="T56" s="793"/>
      <c r="U56" s="793"/>
      <c r="V56" s="793"/>
      <c r="X56" s="793"/>
      <c r="Y56" s="793"/>
      <c r="Z56" s="794"/>
    </row>
    <row r="57" spans="2:26" ht="14.25" customHeight="1">
      <c r="B57" s="1027"/>
      <c r="C57" s="659">
        <v>0.3</v>
      </c>
      <c r="D57" s="663" t="str">
        <f>IFERROR(D45/D$53," - ")</f>
        <v xml:space="preserve"> - </v>
      </c>
      <c r="E57" s="663" t="str">
        <f>IFERROR(E45/E$53," - ")</f>
        <v xml:space="preserve"> - </v>
      </c>
      <c r="F57" s="663" t="str">
        <f>IFERROR(F45/F$53," - ")</f>
        <v xml:space="preserve"> - </v>
      </c>
      <c r="G57" s="663" t="str">
        <f>IFERROR(G45/G$53," - ")</f>
        <v xml:space="preserve"> - </v>
      </c>
      <c r="H57" s="663" t="str">
        <f t="shared" ref="D57:I64" si="2">IFERROR(H45/H$53," - ")</f>
        <v xml:space="preserve"> - </v>
      </c>
      <c r="I57" s="663" t="str">
        <f t="shared" si="2"/>
        <v xml:space="preserve"> - </v>
      </c>
      <c r="J57" s="664" t="str">
        <f t="shared" ref="J57:J64" si="3">IFERROR((J45)/J$53," - ")</f>
        <v xml:space="preserve"> - </v>
      </c>
      <c r="K57" s="1027"/>
      <c r="L57" s="1027"/>
      <c r="M57" s="1027"/>
      <c r="N57" s="1027"/>
      <c r="O57" s="1027"/>
      <c r="P57" s="1027"/>
      <c r="Q57" s="1027"/>
      <c r="R57" s="1027"/>
      <c r="S57" s="1027"/>
      <c r="T57" s="793"/>
      <c r="U57" s="793"/>
      <c r="V57" s="793"/>
      <c r="X57" s="793"/>
      <c r="Y57" s="793"/>
      <c r="Z57" s="794"/>
    </row>
    <row r="58" spans="2:26" ht="14.25" customHeight="1">
      <c r="B58" s="1027"/>
      <c r="C58" s="659">
        <v>0.4</v>
      </c>
      <c r="D58" s="663" t="str">
        <f t="shared" si="2"/>
        <v xml:space="preserve"> - </v>
      </c>
      <c r="E58" s="663" t="str">
        <f>IFERROR(E46/E$53," - ")</f>
        <v xml:space="preserve"> - </v>
      </c>
      <c r="F58" s="663" t="str">
        <f>IFERROR(F46/F$53," - ")</f>
        <v xml:space="preserve"> - </v>
      </c>
      <c r="G58" s="663" t="str">
        <f t="shared" si="2"/>
        <v xml:space="preserve"> - </v>
      </c>
      <c r="H58" s="663" t="str">
        <f t="shared" si="2"/>
        <v xml:space="preserve"> - </v>
      </c>
      <c r="I58" s="663" t="str">
        <f t="shared" si="2"/>
        <v xml:space="preserve"> - </v>
      </c>
      <c r="J58" s="664" t="str">
        <f t="shared" si="3"/>
        <v xml:space="preserve"> - </v>
      </c>
      <c r="K58" s="1027"/>
      <c r="L58" s="1027"/>
      <c r="M58" s="1027"/>
      <c r="N58" s="1027"/>
      <c r="O58" s="1027"/>
      <c r="P58" s="1027"/>
      <c r="Q58" s="1027"/>
      <c r="R58" s="1027"/>
      <c r="S58" s="1027"/>
      <c r="T58" s="793"/>
      <c r="U58" s="793"/>
      <c r="V58" s="793"/>
      <c r="X58" s="793"/>
      <c r="Y58" s="793"/>
      <c r="Z58" s="794"/>
    </row>
    <row r="59" spans="2:26" ht="14.25" customHeight="1">
      <c r="B59" s="1027"/>
      <c r="C59" s="659">
        <v>0.5</v>
      </c>
      <c r="D59" s="663" t="str">
        <f t="shared" si="2"/>
        <v xml:space="preserve"> - </v>
      </c>
      <c r="E59" s="663" t="str">
        <f t="shared" si="2"/>
        <v xml:space="preserve"> - </v>
      </c>
      <c r="F59" s="663" t="str">
        <f t="shared" si="2"/>
        <v xml:space="preserve"> - </v>
      </c>
      <c r="G59" s="663" t="str">
        <f t="shared" si="2"/>
        <v xml:space="preserve"> - </v>
      </c>
      <c r="H59" s="663" t="str">
        <f t="shared" si="2"/>
        <v xml:space="preserve"> - </v>
      </c>
      <c r="I59" s="663" t="str">
        <f t="shared" si="2"/>
        <v xml:space="preserve"> - </v>
      </c>
      <c r="J59" s="664" t="str">
        <f t="shared" si="3"/>
        <v xml:space="preserve"> - </v>
      </c>
      <c r="K59" s="1027"/>
      <c r="L59" s="1027"/>
      <c r="M59" s="1027"/>
      <c r="N59" s="1027"/>
      <c r="O59" s="1027"/>
      <c r="P59" s="1027"/>
      <c r="Q59" s="1027"/>
      <c r="R59" s="1027"/>
      <c r="S59" s="1027"/>
      <c r="T59" s="793"/>
      <c r="U59" s="793"/>
      <c r="V59" s="793"/>
      <c r="X59" s="793"/>
      <c r="Y59" s="793"/>
      <c r="Z59" s="794"/>
    </row>
    <row r="60" spans="2:26" ht="14.25" customHeight="1">
      <c r="B60" s="1027"/>
      <c r="C60" s="659">
        <v>0.6</v>
      </c>
      <c r="D60" s="663" t="str">
        <f t="shared" si="2"/>
        <v xml:space="preserve"> - </v>
      </c>
      <c r="E60" s="663" t="str">
        <f t="shared" si="2"/>
        <v xml:space="preserve"> - </v>
      </c>
      <c r="F60" s="663" t="str">
        <f t="shared" si="2"/>
        <v xml:space="preserve"> - </v>
      </c>
      <c r="G60" s="663" t="str">
        <f t="shared" si="2"/>
        <v xml:space="preserve"> - </v>
      </c>
      <c r="H60" s="663" t="str">
        <f t="shared" si="2"/>
        <v xml:space="preserve"> - </v>
      </c>
      <c r="I60" s="663" t="str">
        <f t="shared" si="2"/>
        <v xml:space="preserve"> - </v>
      </c>
      <c r="J60" s="664" t="str">
        <f t="shared" si="3"/>
        <v xml:space="preserve"> - </v>
      </c>
      <c r="K60" s="1027"/>
      <c r="L60" s="1027"/>
      <c r="M60" s="1027"/>
      <c r="N60" s="1027"/>
      <c r="O60" s="1027"/>
      <c r="P60" s="1027"/>
      <c r="Q60" s="1027"/>
      <c r="R60" s="1027"/>
      <c r="S60" s="1027"/>
      <c r="T60" s="793"/>
      <c r="U60" s="793"/>
      <c r="V60" s="793"/>
      <c r="X60" s="793"/>
      <c r="Y60" s="793"/>
      <c r="Z60" s="794"/>
    </row>
    <row r="61" spans="2:26" ht="14.25" customHeight="1">
      <c r="B61" s="1027"/>
      <c r="C61" s="659">
        <v>0.7</v>
      </c>
      <c r="D61" s="663" t="str">
        <f t="shared" si="2"/>
        <v xml:space="preserve"> - </v>
      </c>
      <c r="E61" s="663" t="str">
        <f t="shared" si="2"/>
        <v xml:space="preserve"> - </v>
      </c>
      <c r="F61" s="663" t="str">
        <f t="shared" si="2"/>
        <v xml:space="preserve"> - </v>
      </c>
      <c r="G61" s="663" t="str">
        <f t="shared" si="2"/>
        <v xml:space="preserve"> - </v>
      </c>
      <c r="H61" s="663" t="str">
        <f t="shared" si="2"/>
        <v xml:space="preserve"> - </v>
      </c>
      <c r="I61" s="663" t="str">
        <f t="shared" si="2"/>
        <v xml:space="preserve"> - </v>
      </c>
      <c r="J61" s="664" t="str">
        <f t="shared" si="3"/>
        <v xml:space="preserve"> - </v>
      </c>
      <c r="K61" s="1027"/>
      <c r="L61" s="1027"/>
      <c r="M61" s="1027"/>
      <c r="N61" s="1027"/>
      <c r="O61" s="1027"/>
      <c r="P61" s="1027"/>
      <c r="Q61" s="1027"/>
      <c r="R61" s="1027"/>
      <c r="S61" s="1027"/>
      <c r="T61" s="793"/>
      <c r="U61" s="793"/>
      <c r="V61" s="793"/>
      <c r="X61" s="793"/>
      <c r="Y61" s="793"/>
      <c r="Z61" s="794"/>
    </row>
    <row r="62" spans="2:26" ht="14.25" customHeight="1">
      <c r="B62" s="1027"/>
      <c r="C62" s="659">
        <v>0.8</v>
      </c>
      <c r="D62" s="663" t="str">
        <f t="shared" si="2"/>
        <v xml:space="preserve"> - </v>
      </c>
      <c r="E62" s="663" t="str">
        <f t="shared" si="2"/>
        <v xml:space="preserve"> - </v>
      </c>
      <c r="F62" s="663" t="str">
        <f t="shared" si="2"/>
        <v xml:space="preserve"> - </v>
      </c>
      <c r="G62" s="663" t="str">
        <f t="shared" si="2"/>
        <v xml:space="preserve"> - </v>
      </c>
      <c r="H62" s="663" t="str">
        <f t="shared" si="2"/>
        <v xml:space="preserve"> - </v>
      </c>
      <c r="I62" s="663" t="str">
        <f t="shared" si="2"/>
        <v xml:space="preserve"> - </v>
      </c>
      <c r="J62" s="664" t="str">
        <f t="shared" si="3"/>
        <v xml:space="preserve"> - </v>
      </c>
      <c r="K62" s="1027"/>
      <c r="L62" s="1027"/>
      <c r="M62" s="1027"/>
      <c r="N62" s="1027"/>
      <c r="O62" s="1027"/>
      <c r="P62" s="1027"/>
      <c r="Q62" s="1027"/>
      <c r="R62" s="1027"/>
      <c r="S62" s="1027"/>
      <c r="T62" s="793"/>
      <c r="U62" s="793"/>
      <c r="V62" s="793"/>
      <c r="X62" s="793"/>
      <c r="Y62" s="793"/>
      <c r="Z62" s="794"/>
    </row>
    <row r="63" spans="2:26" ht="14.25" customHeight="1">
      <c r="B63" s="1027"/>
      <c r="C63" s="659" t="s">
        <v>327</v>
      </c>
      <c r="D63" s="663" t="str">
        <f t="shared" si="2"/>
        <v xml:space="preserve"> - </v>
      </c>
      <c r="E63" s="663" t="str">
        <f t="shared" si="2"/>
        <v xml:space="preserve"> - </v>
      </c>
      <c r="F63" s="663" t="str">
        <f t="shared" si="2"/>
        <v xml:space="preserve"> - </v>
      </c>
      <c r="G63" s="663" t="str">
        <f t="shared" si="2"/>
        <v xml:space="preserve"> - </v>
      </c>
      <c r="H63" s="663" t="str">
        <f t="shared" si="2"/>
        <v xml:space="preserve"> - </v>
      </c>
      <c r="I63" s="663" t="str">
        <f t="shared" si="2"/>
        <v xml:space="preserve"> - </v>
      </c>
      <c r="J63" s="664" t="str">
        <f t="shared" si="3"/>
        <v xml:space="preserve"> - </v>
      </c>
      <c r="K63" s="1027"/>
      <c r="L63" s="1027"/>
      <c r="M63" s="1027"/>
      <c r="N63" s="1027"/>
      <c r="O63" s="1027"/>
      <c r="P63" s="1027"/>
      <c r="Q63" s="1027"/>
      <c r="R63" s="1027"/>
      <c r="S63" s="1027"/>
      <c r="T63" s="793"/>
      <c r="U63" s="793"/>
      <c r="V63" s="793"/>
      <c r="X63" s="793"/>
      <c r="Y63" s="793"/>
      <c r="Z63" s="794"/>
    </row>
    <row r="64" spans="2:26" ht="14.25" customHeight="1">
      <c r="B64" s="1027"/>
      <c r="C64" s="653" t="s">
        <v>3516</v>
      </c>
      <c r="D64" s="663" t="str">
        <f t="shared" si="2"/>
        <v xml:space="preserve"> - </v>
      </c>
      <c r="E64" s="663" t="str">
        <f t="shared" si="2"/>
        <v xml:space="preserve"> - </v>
      </c>
      <c r="F64" s="663" t="str">
        <f t="shared" si="2"/>
        <v xml:space="preserve"> - </v>
      </c>
      <c r="G64" s="663" t="str">
        <f t="shared" si="2"/>
        <v xml:space="preserve"> - </v>
      </c>
      <c r="H64" s="663" t="str">
        <f t="shared" si="2"/>
        <v xml:space="preserve"> - </v>
      </c>
      <c r="I64" s="663" t="str">
        <f t="shared" si="2"/>
        <v xml:space="preserve"> - </v>
      </c>
      <c r="J64" s="664" t="str">
        <f t="shared" si="3"/>
        <v xml:space="preserve"> - </v>
      </c>
      <c r="K64" s="1027"/>
      <c r="L64" s="1027"/>
      <c r="M64" s="1027"/>
      <c r="N64" s="1027"/>
      <c r="O64" s="1027"/>
      <c r="P64" s="1027"/>
      <c r="Q64" s="1027"/>
      <c r="R64" s="1027"/>
      <c r="S64" s="1027"/>
      <c r="T64" s="793"/>
      <c r="U64" s="793"/>
      <c r="V64" s="793"/>
      <c r="X64" s="793"/>
      <c r="Y64" s="793"/>
      <c r="Z64" s="794"/>
    </row>
    <row r="65" spans="2:35" ht="14.25" customHeight="1">
      <c r="B65" s="1027"/>
      <c r="C65" s="665" t="s">
        <v>3508</v>
      </c>
      <c r="D65" s="666">
        <f t="shared" ref="D65:I65" si="4">+SUM(D57:D64)</f>
        <v>0</v>
      </c>
      <c r="E65" s="666">
        <f t="shared" si="4"/>
        <v>0</v>
      </c>
      <c r="F65" s="666">
        <f t="shared" si="4"/>
        <v>0</v>
      </c>
      <c r="G65" s="666">
        <f t="shared" si="4"/>
        <v>0</v>
      </c>
      <c r="H65" s="666">
        <f t="shared" si="4"/>
        <v>0</v>
      </c>
      <c r="I65" s="666">
        <f t="shared" si="4"/>
        <v>0</v>
      </c>
      <c r="J65" s="667"/>
      <c r="K65" s="1027"/>
      <c r="L65" s="1027"/>
      <c r="M65" s="1027"/>
      <c r="N65" s="1027"/>
      <c r="O65" s="1027"/>
      <c r="P65" s="1027"/>
      <c r="Q65" s="1027"/>
      <c r="R65" s="1027"/>
      <c r="S65" s="1027"/>
      <c r="T65" s="793"/>
      <c r="U65" s="793"/>
      <c r="V65" s="793"/>
      <c r="X65" s="793"/>
      <c r="Y65" s="793"/>
      <c r="Z65" s="794"/>
    </row>
    <row r="66" spans="2:35" ht="14.25" customHeight="1">
      <c r="B66" s="1027"/>
      <c r="C66" s="1027"/>
      <c r="D66" s="1027"/>
      <c r="E66" s="1027"/>
      <c r="F66" s="1027"/>
      <c r="G66" s="1027"/>
      <c r="H66" s="1027"/>
      <c r="I66" s="1027"/>
      <c r="J66" s="1027"/>
      <c r="K66" s="1027"/>
      <c r="L66" s="1027"/>
      <c r="M66" s="1027"/>
      <c r="N66" s="1027"/>
      <c r="O66" s="1027"/>
      <c r="P66" s="1027"/>
      <c r="Q66" s="1027"/>
      <c r="R66" s="1027"/>
      <c r="S66" s="1027"/>
      <c r="T66" s="793"/>
      <c r="U66" s="793"/>
      <c r="V66" s="793"/>
      <c r="X66" s="793"/>
      <c r="Y66" s="793"/>
      <c r="Z66" s="794"/>
    </row>
    <row r="67" spans="2:35" ht="18.75">
      <c r="B67" s="8" t="s">
        <v>3521</v>
      </c>
      <c r="P67" s="3"/>
      <c r="Q67" s="3"/>
      <c r="R67" s="3"/>
      <c r="S67" s="3"/>
      <c r="T67" s="793"/>
      <c r="U67" s="793"/>
      <c r="V67" s="793"/>
    </row>
    <row r="68" spans="2:35" ht="15.75">
      <c r="B68" s="1036"/>
      <c r="C68" s="1027"/>
      <c r="D68" s="1027"/>
      <c r="E68" s="1027"/>
      <c r="F68" s="1027"/>
      <c r="G68" s="1027"/>
      <c r="H68" s="1027"/>
      <c r="I68" s="1027"/>
      <c r="J68" s="1027"/>
      <c r="K68" s="1027"/>
      <c r="L68" s="1027"/>
      <c r="M68" s="1027"/>
      <c r="N68" s="1027"/>
      <c r="O68" s="1027"/>
      <c r="P68" s="1027"/>
      <c r="Q68" s="1027"/>
      <c r="R68" s="1027"/>
      <c r="S68" s="1027"/>
      <c r="T68" s="793"/>
      <c r="U68" s="793"/>
      <c r="V68" s="793"/>
    </row>
    <row r="69" spans="2:35" ht="15" customHeight="1">
      <c r="B69" s="1027"/>
      <c r="C69" s="1906" t="s">
        <v>3522</v>
      </c>
      <c r="D69" s="1907"/>
      <c r="E69" s="1907"/>
      <c r="F69" s="1907"/>
      <c r="G69" s="1907"/>
      <c r="H69" s="1907"/>
      <c r="I69" s="1907"/>
      <c r="J69" s="1908"/>
      <c r="K69" s="1027"/>
      <c r="L69" s="1958" t="s">
        <v>3523</v>
      </c>
      <c r="M69" s="1959"/>
      <c r="N69" s="1959"/>
      <c r="O69" s="1959"/>
      <c r="P69" s="1959"/>
      <c r="Q69" s="1959"/>
      <c r="R69" s="1960"/>
      <c r="S69" s="1027"/>
      <c r="T69" s="793"/>
      <c r="U69" s="793"/>
      <c r="V69" s="793"/>
      <c r="AG69" s="97"/>
      <c r="AH69" s="97"/>
      <c r="AI69" s="97"/>
    </row>
    <row r="70" spans="2:35">
      <c r="B70" s="1027"/>
      <c r="C70" s="1897" t="s">
        <v>3524</v>
      </c>
      <c r="D70" s="1898"/>
      <c r="E70" s="1898"/>
      <c r="F70" s="1899"/>
      <c r="G70" s="1913" t="s">
        <v>3525</v>
      </c>
      <c r="H70" s="1914"/>
      <c r="I70" s="1913" t="s">
        <v>3526</v>
      </c>
      <c r="J70" s="1914"/>
      <c r="K70" s="1027"/>
      <c r="L70" s="1897" t="s">
        <v>3527</v>
      </c>
      <c r="M70" s="1898"/>
      <c r="N70" s="1898"/>
      <c r="O70" s="1898"/>
      <c r="P70" s="1898"/>
      <c r="Q70" s="1898"/>
      <c r="R70" s="1899"/>
      <c r="S70" s="1027"/>
      <c r="T70" s="793"/>
      <c r="U70" s="793"/>
      <c r="V70" s="793"/>
      <c r="AA70" s="3"/>
      <c r="AB70" s="3"/>
      <c r="AC70" s="3"/>
      <c r="AG70" s="97"/>
      <c r="AH70" s="97"/>
      <c r="AI70" s="97"/>
    </row>
    <row r="71" spans="2:35">
      <c r="B71" s="1027"/>
      <c r="C71" s="1900" t="s">
        <v>3528</v>
      </c>
      <c r="D71" s="1901"/>
      <c r="E71" s="1901"/>
      <c r="F71" s="1902"/>
      <c r="G71" s="1871">
        <f>'17. Cash Flow and Reserves'!D10</f>
        <v>0</v>
      </c>
      <c r="H71" s="1872"/>
      <c r="I71" s="1871">
        <f>IF(Total_Units&gt;0,+G71/Total_Units,0)</f>
        <v>0</v>
      </c>
      <c r="J71" s="1872"/>
      <c r="K71" s="1027"/>
      <c r="L71" s="1866" t="s">
        <v>3529</v>
      </c>
      <c r="M71" s="1867"/>
      <c r="N71" s="1867"/>
      <c r="O71" s="1867"/>
      <c r="P71" s="1867"/>
      <c r="Q71" s="1861">
        <f>+Amount_1</f>
        <v>0</v>
      </c>
      <c r="R71" s="1862"/>
      <c r="S71" s="1027"/>
      <c r="T71" s="793"/>
      <c r="U71" s="793"/>
      <c r="V71" s="793"/>
      <c r="AA71" s="3"/>
      <c r="AB71" s="3"/>
      <c r="AC71" s="3"/>
      <c r="AG71" s="97"/>
      <c r="AH71" s="97"/>
      <c r="AI71" s="97"/>
    </row>
    <row r="72" spans="2:35">
      <c r="B72" s="1027"/>
      <c r="C72" s="1866" t="s">
        <v>3530</v>
      </c>
      <c r="D72" s="1867"/>
      <c r="E72" s="1867"/>
      <c r="F72" s="1879"/>
      <c r="G72" s="1873">
        <f>+SUM('17. Cash Flow and Reserves'!D13:D15,'17. Cash Flow and Reserves'!D17)</f>
        <v>0</v>
      </c>
      <c r="H72" s="1874"/>
      <c r="I72" s="1873">
        <f>IF(Total_Units&gt;0,+G72/Total_Units,0)</f>
        <v>0</v>
      </c>
      <c r="J72" s="1874"/>
      <c r="K72" s="1027"/>
      <c r="L72" s="1866" t="str">
        <f>+Source_2</f>
        <v>WHEDA Subordinate Loan 1</v>
      </c>
      <c r="M72" s="1929"/>
      <c r="N72" s="1929"/>
      <c r="O72" s="1929"/>
      <c r="P72" s="1929"/>
      <c r="Q72" s="1861">
        <f>+Amount_2</f>
        <v>0</v>
      </c>
      <c r="R72" s="1930"/>
      <c r="S72" s="1027"/>
      <c r="T72" s="793"/>
      <c r="U72" s="793"/>
      <c r="V72" s="793"/>
      <c r="AA72" s="3"/>
      <c r="AB72" s="3"/>
      <c r="AC72" s="3"/>
      <c r="AG72" s="97"/>
      <c r="AH72" s="97"/>
      <c r="AI72" s="97"/>
    </row>
    <row r="73" spans="2:35">
      <c r="B73" s="1027"/>
      <c r="C73" s="1866" t="s">
        <v>3531</v>
      </c>
      <c r="D73" s="1867"/>
      <c r="E73" s="1867"/>
      <c r="F73" s="1879"/>
      <c r="G73" s="1873">
        <f>'17. Cash Flow and Reserves'!D70</f>
        <v>0</v>
      </c>
      <c r="H73" s="1874"/>
      <c r="I73" s="1873">
        <f>IF(Total_Units&gt;0,+G73/Total_Units,0)</f>
        <v>0</v>
      </c>
      <c r="J73" s="1874"/>
      <c r="K73" s="1027"/>
      <c r="L73" s="1866" t="str">
        <f>+Source_3</f>
        <v>WHEDA Subordinate Loan 2</v>
      </c>
      <c r="M73" s="1929"/>
      <c r="N73" s="1929"/>
      <c r="O73" s="1929"/>
      <c r="P73" s="1929"/>
      <c r="Q73" s="1861">
        <f>+Amount_3</f>
        <v>0</v>
      </c>
      <c r="R73" s="1930"/>
      <c r="S73" s="1027"/>
      <c r="T73" s="793"/>
      <c r="U73" s="793"/>
      <c r="V73" s="793"/>
      <c r="AA73" s="3"/>
      <c r="AB73" s="3"/>
      <c r="AC73" s="3"/>
      <c r="AG73" s="97"/>
      <c r="AH73" s="97"/>
      <c r="AI73" s="97"/>
    </row>
    <row r="74" spans="2:35">
      <c r="B74" s="1027"/>
      <c r="C74" s="1868" t="s">
        <v>912</v>
      </c>
      <c r="D74" s="1869"/>
      <c r="E74" s="1869"/>
      <c r="F74" s="1870"/>
      <c r="G74" s="1875">
        <f>SUM(G71:G73)</f>
        <v>0</v>
      </c>
      <c r="H74" s="1876"/>
      <c r="I74" s="1875">
        <f>IF(Total_Units&gt;0,+G74/Total_Units,0)</f>
        <v>0</v>
      </c>
      <c r="J74" s="1876"/>
      <c r="K74" s="1027"/>
      <c r="L74" s="1866" t="str">
        <f>+Source_4</f>
        <v>WHEDA Subordinate Loan 3</v>
      </c>
      <c r="M74" s="1929"/>
      <c r="N74" s="1929"/>
      <c r="O74" s="1929"/>
      <c r="P74" s="1929"/>
      <c r="Q74" s="1861">
        <f>+Amount_4</f>
        <v>0</v>
      </c>
      <c r="R74" s="1930"/>
      <c r="S74" s="1027"/>
      <c r="T74" s="793"/>
      <c r="U74" s="793"/>
      <c r="V74" s="793"/>
      <c r="AA74" s="3"/>
      <c r="AB74" s="3"/>
      <c r="AC74" s="3"/>
      <c r="AG74" s="97"/>
      <c r="AH74" s="97"/>
      <c r="AI74" s="97"/>
    </row>
    <row r="75" spans="2:35">
      <c r="B75" s="1027"/>
      <c r="C75" s="1903" t="s">
        <v>3532</v>
      </c>
      <c r="D75" s="1904"/>
      <c r="E75" s="1904"/>
      <c r="F75" s="1905"/>
      <c r="G75" s="1877"/>
      <c r="H75" s="1878"/>
      <c r="I75" s="1877"/>
      <c r="J75" s="1878"/>
      <c r="K75" s="1027"/>
      <c r="L75" s="1866" t="str">
        <f>+Source_5</f>
        <v>WHEDA TIF Loan</v>
      </c>
      <c r="M75" s="1929"/>
      <c r="N75" s="1929"/>
      <c r="O75" s="1929"/>
      <c r="P75" s="1929"/>
      <c r="Q75" s="1861">
        <f>+Amount_5</f>
        <v>0</v>
      </c>
      <c r="R75" s="1930"/>
      <c r="S75" s="1027"/>
      <c r="T75" s="793"/>
      <c r="U75" s="793"/>
      <c r="V75" s="793"/>
      <c r="AA75" s="3"/>
      <c r="AB75" s="3"/>
      <c r="AC75" s="3"/>
      <c r="AG75" s="97"/>
      <c r="AH75" s="97"/>
      <c r="AI75" s="97"/>
    </row>
    <row r="76" spans="2:35">
      <c r="B76" s="1027"/>
      <c r="C76" s="1866" t="s">
        <v>3533</v>
      </c>
      <c r="D76" s="1867"/>
      <c r="E76" s="1867"/>
      <c r="F76" s="1879"/>
      <c r="G76" s="1873">
        <f>Subtotal__Rent_Expense</f>
        <v>0</v>
      </c>
      <c r="H76" s="1874"/>
      <c r="I76" s="1873">
        <f t="shared" ref="I76:I83" si="5">IF(Total_Units&gt;0,+G76/Total_Units,0)</f>
        <v>0</v>
      </c>
      <c r="J76" s="1874"/>
      <c r="K76" s="1027"/>
      <c r="L76" s="1866" t="str">
        <f>+Source_6</f>
        <v>AHP Loan</v>
      </c>
      <c r="M76" s="1929"/>
      <c r="N76" s="1929"/>
      <c r="O76" s="1929"/>
      <c r="P76" s="1929"/>
      <c r="Q76" s="1861">
        <f>+Amount_6</f>
        <v>0</v>
      </c>
      <c r="R76" s="1930"/>
      <c r="S76" s="1027"/>
      <c r="T76" s="793"/>
      <c r="U76" s="793"/>
      <c r="V76" s="793"/>
      <c r="AA76" s="633"/>
      <c r="AB76" s="668"/>
      <c r="AC76" s="668"/>
      <c r="AG76" s="97"/>
      <c r="AH76" s="97"/>
      <c r="AI76" s="97"/>
    </row>
    <row r="77" spans="2:35">
      <c r="B77" s="1027"/>
      <c r="C77" s="1866" t="s">
        <v>3534</v>
      </c>
      <c r="D77" s="1867"/>
      <c r="E77" s="1867"/>
      <c r="F77" s="1879"/>
      <c r="G77" s="1873">
        <f>+SUM('16. Projected Operating Costs'!D17:D19)</f>
        <v>0</v>
      </c>
      <c r="H77" s="1874"/>
      <c r="I77" s="1873">
        <f t="shared" si="5"/>
        <v>0</v>
      </c>
      <c r="J77" s="1874"/>
      <c r="K77" s="1027"/>
      <c r="L77" s="1866" t="s">
        <v>3535</v>
      </c>
      <c r="M77" s="1929"/>
      <c r="N77" s="1929"/>
      <c r="O77" s="1929"/>
      <c r="P77" s="1929"/>
      <c r="Q77" s="1861">
        <f>+Amount_7</f>
        <v>0</v>
      </c>
      <c r="R77" s="1930"/>
      <c r="S77" s="1027"/>
      <c r="T77" s="793"/>
      <c r="U77" s="793"/>
      <c r="V77" s="793"/>
      <c r="AA77" s="633"/>
      <c r="AB77" s="633"/>
      <c r="AC77" s="633"/>
      <c r="AG77" s="97"/>
      <c r="AH77" s="97"/>
      <c r="AI77" s="97"/>
    </row>
    <row r="78" spans="2:35">
      <c r="B78" s="1027"/>
      <c r="C78" s="1866" t="s">
        <v>3536</v>
      </c>
      <c r="D78" s="1867"/>
      <c r="E78" s="1867"/>
      <c r="F78" s="1879"/>
      <c r="G78" s="1873">
        <f>+Subtotal__Administrative_Expenses-G77</f>
        <v>0</v>
      </c>
      <c r="H78" s="1874"/>
      <c r="I78" s="1873">
        <f t="shared" si="5"/>
        <v>0</v>
      </c>
      <c r="J78" s="1874"/>
      <c r="K78" s="1027"/>
      <c r="L78" s="1866" t="str">
        <f>+Source_8</f>
        <v>Other</v>
      </c>
      <c r="M78" s="1929"/>
      <c r="N78" s="1929"/>
      <c r="O78" s="1929"/>
      <c r="P78" s="1929"/>
      <c r="Q78" s="1861">
        <f>+Amount_8</f>
        <v>0</v>
      </c>
      <c r="R78" s="1930"/>
      <c r="S78" s="1027"/>
      <c r="T78" s="793"/>
      <c r="U78" s="793"/>
      <c r="V78" s="793"/>
      <c r="AA78" s="3"/>
      <c r="AB78" s="3"/>
      <c r="AC78" s="3"/>
      <c r="AG78" s="97"/>
      <c r="AH78" s="97"/>
      <c r="AI78" s="97"/>
    </row>
    <row r="79" spans="2:35" ht="15" customHeight="1">
      <c r="B79" s="1027"/>
      <c r="C79" s="1866" t="s">
        <v>3537</v>
      </c>
      <c r="D79" s="1867"/>
      <c r="E79" s="1867"/>
      <c r="F79" s="1879"/>
      <c r="G79" s="1873">
        <f>+Subtotal__Utilities_Expenses</f>
        <v>0</v>
      </c>
      <c r="H79" s="1874"/>
      <c r="I79" s="1873">
        <f t="shared" si="5"/>
        <v>0</v>
      </c>
      <c r="J79" s="1874"/>
      <c r="K79" s="1027"/>
      <c r="L79" s="1866" t="str">
        <f>+Source_9</f>
        <v>Other</v>
      </c>
      <c r="M79" s="1929"/>
      <c r="N79" s="1929"/>
      <c r="O79" s="1929"/>
      <c r="P79" s="1929"/>
      <c r="Q79" s="1861">
        <f>+Amount_9</f>
        <v>0</v>
      </c>
      <c r="R79" s="1930"/>
      <c r="S79" s="1027"/>
      <c r="T79" s="793"/>
      <c r="U79" s="793"/>
      <c r="V79" s="793"/>
      <c r="AA79" s="3"/>
      <c r="AB79" s="3"/>
      <c r="AC79" s="3"/>
      <c r="AG79" s="97"/>
      <c r="AH79" s="97"/>
      <c r="AI79" s="97"/>
    </row>
    <row r="80" spans="2:35" ht="15" customHeight="1">
      <c r="B80" s="1027"/>
      <c r="C80" s="1866" t="s">
        <v>3538</v>
      </c>
      <c r="D80" s="1867"/>
      <c r="E80" s="1867"/>
      <c r="F80" s="1879"/>
      <c r="G80" s="1873">
        <f>+Subtotal__Operating___Maintenance_Expenses</f>
        <v>0</v>
      </c>
      <c r="H80" s="1874"/>
      <c r="I80" s="1873">
        <f t="shared" si="5"/>
        <v>0</v>
      </c>
      <c r="J80" s="1874"/>
      <c r="K80" s="1027"/>
      <c r="L80" s="1866" t="str">
        <f>+Source_10</f>
        <v>Other</v>
      </c>
      <c r="M80" s="1929"/>
      <c r="N80" s="1929"/>
      <c r="O80" s="1929"/>
      <c r="P80" s="1929"/>
      <c r="Q80" s="1861">
        <f>+Amount_10</f>
        <v>0</v>
      </c>
      <c r="R80" s="1930"/>
      <c r="S80" s="1027"/>
      <c r="T80" s="793"/>
      <c r="U80" s="793"/>
      <c r="V80" s="793"/>
      <c r="AA80" s="3"/>
      <c r="AB80" s="3"/>
      <c r="AC80" s="3"/>
      <c r="AG80" s="97"/>
      <c r="AH80" s="97"/>
      <c r="AI80" s="97"/>
    </row>
    <row r="81" spans="2:35">
      <c r="B81" s="1027"/>
      <c r="C81" s="1866" t="s">
        <v>3539</v>
      </c>
      <c r="D81" s="1867"/>
      <c r="E81" s="1867"/>
      <c r="F81" s="1879"/>
      <c r="G81" s="1873">
        <f>+Subtotal__Taxes_and_Insurance</f>
        <v>0</v>
      </c>
      <c r="H81" s="1874"/>
      <c r="I81" s="1873">
        <f t="shared" si="5"/>
        <v>0</v>
      </c>
      <c r="J81" s="1874"/>
      <c r="K81" s="1027"/>
      <c r="L81" s="1897" t="s">
        <v>2931</v>
      </c>
      <c r="M81" s="1898"/>
      <c r="N81" s="1898"/>
      <c r="O81" s="1898"/>
      <c r="P81" s="1898"/>
      <c r="Q81" s="1898"/>
      <c r="R81" s="1899"/>
      <c r="S81" s="1027"/>
      <c r="T81" s="793"/>
      <c r="U81" s="793"/>
      <c r="V81" s="793"/>
      <c r="AA81" s="3"/>
      <c r="AB81" s="3"/>
      <c r="AC81" s="3"/>
      <c r="AG81" s="97"/>
      <c r="AH81" s="97"/>
      <c r="AI81" s="97"/>
    </row>
    <row r="82" spans="2:35">
      <c r="B82" s="1027"/>
      <c r="C82" s="1866" t="s">
        <v>3540</v>
      </c>
      <c r="D82" s="1867"/>
      <c r="E82" s="1867"/>
      <c r="F82" s="1879"/>
      <c r="G82" s="1873">
        <f>+Subtotal__Service_Expense</f>
        <v>0</v>
      </c>
      <c r="H82" s="1874"/>
      <c r="I82" s="1873">
        <f t="shared" si="5"/>
        <v>0</v>
      </c>
      <c r="J82" s="1874"/>
      <c r="K82" s="1027"/>
      <c r="L82" s="1866" t="str">
        <f>+Grant_1</f>
        <v>HOME Grant</v>
      </c>
      <c r="M82" s="1929"/>
      <c r="N82" s="1929"/>
      <c r="O82" s="1929"/>
      <c r="P82" s="1929"/>
      <c r="Q82" s="1861">
        <f>+Grant_Amount_1</f>
        <v>0</v>
      </c>
      <c r="R82" s="1930"/>
      <c r="S82" s="1027"/>
      <c r="T82" s="793"/>
      <c r="U82" s="793"/>
      <c r="V82" s="793"/>
      <c r="AA82" s="3"/>
      <c r="AB82" s="3"/>
      <c r="AC82" s="3"/>
      <c r="AG82" s="97"/>
      <c r="AH82" s="97"/>
      <c r="AI82" s="97"/>
    </row>
    <row r="83" spans="2:35">
      <c r="B83" s="1027"/>
      <c r="C83" s="1866" t="s">
        <v>3541</v>
      </c>
      <c r="D83" s="1867"/>
      <c r="E83" s="1867"/>
      <c r="F83" s="1879"/>
      <c r="G83" s="1873">
        <f>+Annual_Replacement_Reserve</f>
        <v>0</v>
      </c>
      <c r="H83" s="1874"/>
      <c r="I83" s="1873">
        <f t="shared" si="5"/>
        <v>0</v>
      </c>
      <c r="J83" s="1874"/>
      <c r="K83" s="1027"/>
      <c r="L83" s="1866" t="str">
        <f>+Grant_2</f>
        <v>CDBG Grant</v>
      </c>
      <c r="M83" s="1929"/>
      <c r="N83" s="1929"/>
      <c r="O83" s="1929"/>
      <c r="P83" s="1929"/>
      <c r="Q83" s="1861">
        <f>+Grant_Amount_2</f>
        <v>0</v>
      </c>
      <c r="R83" s="1930"/>
      <c r="S83" s="1027"/>
      <c r="T83" s="793"/>
      <c r="U83" s="793"/>
      <c r="V83" s="793"/>
      <c r="AA83" s="3"/>
      <c r="AB83" s="3"/>
      <c r="AC83" s="3"/>
      <c r="AG83" s="97"/>
      <c r="AH83" s="97"/>
      <c r="AI83" s="97"/>
    </row>
    <row r="84" spans="2:35">
      <c r="B84" s="1027"/>
      <c r="C84" s="1866" t="s">
        <v>3542</v>
      </c>
      <c r="D84" s="1867"/>
      <c r="E84" s="1867"/>
      <c r="F84" s="1879"/>
      <c r="G84" s="1873">
        <f>+Total_Operating_Expenses</f>
        <v>0</v>
      </c>
      <c r="H84" s="1874"/>
      <c r="I84" s="1873">
        <f>+Per_Unit_Per_Month</f>
        <v>0</v>
      </c>
      <c r="J84" s="1874"/>
      <c r="K84" s="1027"/>
      <c r="L84" s="1866" t="str">
        <f>+Grant_3</f>
        <v>Other</v>
      </c>
      <c r="M84" s="1929"/>
      <c r="N84" s="1929"/>
      <c r="O84" s="1929"/>
      <c r="P84" s="1929"/>
      <c r="Q84" s="1861">
        <f>+Grant_Amount_3</f>
        <v>0</v>
      </c>
      <c r="R84" s="1930"/>
      <c r="S84" s="1027"/>
      <c r="T84" s="793"/>
      <c r="U84" s="793"/>
      <c r="V84" s="793"/>
      <c r="AA84" s="3"/>
      <c r="AB84" s="3"/>
      <c r="AC84" s="3"/>
      <c r="AG84" s="97"/>
      <c r="AH84" s="97"/>
      <c r="AI84" s="97"/>
    </row>
    <row r="85" spans="2:35">
      <c r="B85" s="1027"/>
      <c r="C85" s="1868" t="s">
        <v>3543</v>
      </c>
      <c r="D85" s="1869"/>
      <c r="E85" s="1869"/>
      <c r="F85" s="1870"/>
      <c r="G85" s="1875">
        <f>+'17. Cash Flow and Reserves'!D26</f>
        <v>0</v>
      </c>
      <c r="H85" s="1876"/>
      <c r="I85" s="1875">
        <f>IF(Total_Units&gt;0,+G85/Total_Units,0)</f>
        <v>0</v>
      </c>
      <c r="J85" s="1876"/>
      <c r="K85" s="1027"/>
      <c r="L85" s="1866" t="str">
        <f>+Grant_4</f>
        <v>Other</v>
      </c>
      <c r="M85" s="1929"/>
      <c r="N85" s="1929"/>
      <c r="O85" s="1929"/>
      <c r="P85" s="1929"/>
      <c r="Q85" s="1861">
        <f>Grant_Amount_4</f>
        <v>0</v>
      </c>
      <c r="R85" s="1930"/>
      <c r="S85" s="1027"/>
      <c r="T85" s="793"/>
      <c r="U85" s="793"/>
      <c r="V85" s="793"/>
      <c r="AA85" s="3"/>
      <c r="AB85" s="3"/>
      <c r="AC85" s="3"/>
      <c r="AG85" s="97"/>
      <c r="AH85" s="97"/>
      <c r="AI85" s="97"/>
    </row>
    <row r="86" spans="2:35">
      <c r="B86" s="1027"/>
      <c r="C86" s="1895" t="s">
        <v>3544</v>
      </c>
      <c r="D86" s="1896"/>
      <c r="E86" s="1896"/>
      <c r="F86" s="1896"/>
      <c r="G86" s="1909">
        <f>+'17. Cash Flow and Reserves'!D91</f>
        <v>0</v>
      </c>
      <c r="H86" s="1910"/>
      <c r="I86" s="1027"/>
      <c r="J86" s="1027"/>
      <c r="K86" s="1027"/>
      <c r="L86" s="1866" t="str">
        <f>+Grant_5</f>
        <v>Other</v>
      </c>
      <c r="M86" s="1929"/>
      <c r="N86" s="1929"/>
      <c r="O86" s="1929"/>
      <c r="P86" s="1929"/>
      <c r="Q86" s="1861">
        <f>+Grant_Amount_5</f>
        <v>0</v>
      </c>
      <c r="R86" s="1930"/>
      <c r="S86" s="1027"/>
      <c r="T86" s="793"/>
      <c r="U86" s="793"/>
      <c r="V86" s="793"/>
      <c r="AA86" s="3"/>
      <c r="AB86" s="3"/>
      <c r="AC86" s="3"/>
      <c r="AG86" s="97"/>
      <c r="AH86" s="97"/>
      <c r="AI86" s="97"/>
    </row>
    <row r="87" spans="2:35">
      <c r="B87" s="1027"/>
      <c r="C87" s="1915" t="s">
        <v>3545</v>
      </c>
      <c r="D87" s="1916"/>
      <c r="E87" s="1916"/>
      <c r="F87" s="1916"/>
      <c r="G87" s="1911">
        <f>+'17. Cash Flow and Reserves'!R91</f>
        <v>0</v>
      </c>
      <c r="H87" s="1912"/>
      <c r="I87" s="1027"/>
      <c r="J87" s="1027"/>
      <c r="K87" s="1027"/>
      <c r="L87" s="1866" t="str">
        <f>+Grant_6</f>
        <v>Other</v>
      </c>
      <c r="M87" s="1929"/>
      <c r="N87" s="1929"/>
      <c r="O87" s="1929"/>
      <c r="P87" s="1929"/>
      <c r="Q87" s="1861">
        <f>+Grant_Amount_6</f>
        <v>0</v>
      </c>
      <c r="R87" s="1930"/>
      <c r="S87" s="1027"/>
      <c r="T87" s="793"/>
      <c r="U87" s="793"/>
      <c r="V87" s="793"/>
      <c r="AA87" s="3"/>
      <c r="AB87" s="3"/>
      <c r="AC87" s="3"/>
      <c r="AG87" s="97"/>
      <c r="AH87" s="97"/>
      <c r="AI87" s="97"/>
    </row>
    <row r="88" spans="2:35">
      <c r="B88" s="1027"/>
      <c r="C88" s="1027"/>
      <c r="D88" s="1027"/>
      <c r="E88" s="1027"/>
      <c r="F88" s="1027"/>
      <c r="G88" s="1027"/>
      <c r="H88" s="1027"/>
      <c r="I88" s="1027"/>
      <c r="J88" s="1027"/>
      <c r="K88" s="1027"/>
      <c r="L88" s="1866" t="str">
        <f>+Grant_7</f>
        <v>Other</v>
      </c>
      <c r="M88" s="1929"/>
      <c r="N88" s="1929"/>
      <c r="O88" s="1929"/>
      <c r="P88" s="1929"/>
      <c r="Q88" s="1861">
        <f>+Grant_Amount_7</f>
        <v>0</v>
      </c>
      <c r="R88" s="1930"/>
      <c r="S88" s="1027"/>
      <c r="T88" s="793"/>
      <c r="U88" s="793"/>
      <c r="V88" s="793"/>
      <c r="AA88" s="3"/>
      <c r="AB88" s="3"/>
      <c r="AC88" s="3"/>
      <c r="AG88" s="97"/>
      <c r="AH88" s="97"/>
      <c r="AI88" s="97"/>
    </row>
    <row r="89" spans="2:35" ht="15" customHeight="1">
      <c r="B89" s="1027"/>
      <c r="C89" s="1892" t="s">
        <v>194</v>
      </c>
      <c r="D89" s="1893"/>
      <c r="E89" s="1893"/>
      <c r="F89" s="1893"/>
      <c r="G89" s="1894"/>
      <c r="H89" s="1027"/>
      <c r="I89" s="1027"/>
      <c r="J89" s="1027"/>
      <c r="K89" s="1027"/>
      <c r="L89" s="1964" t="s">
        <v>3546</v>
      </c>
      <c r="M89" s="1965"/>
      <c r="N89" s="1965"/>
      <c r="O89" s="1965"/>
      <c r="P89" s="1965"/>
      <c r="Q89" s="1965"/>
      <c r="R89" s="1966"/>
      <c r="S89" s="1027"/>
      <c r="T89" s="793"/>
      <c r="U89" s="793"/>
      <c r="V89" s="793"/>
      <c r="AA89" s="3"/>
      <c r="AB89" s="3"/>
      <c r="AC89" s="3"/>
      <c r="AG89" s="97"/>
      <c r="AH89" s="97"/>
      <c r="AI89" s="97"/>
    </row>
    <row r="90" spans="2:35">
      <c r="B90" s="1027"/>
      <c r="C90" s="1696" t="s">
        <v>823</v>
      </c>
      <c r="D90" s="793"/>
      <c r="E90" s="793"/>
      <c r="F90" s="1994">
        <f>+PC_ACQ_ACQ_Subtotal_Total</f>
        <v>0</v>
      </c>
      <c r="G90" s="1872"/>
      <c r="H90" s="1027"/>
      <c r="I90" s="1027"/>
      <c r="J90" s="1027"/>
      <c r="K90" s="1027"/>
      <c r="L90" s="1866" t="s">
        <v>3547</v>
      </c>
      <c r="M90" s="1929"/>
      <c r="N90" s="1929"/>
      <c r="O90" s="1929"/>
      <c r="P90" s="1929"/>
      <c r="Q90" s="1861">
        <f>+Federal_HTC_Equity</f>
        <v>0</v>
      </c>
      <c r="R90" s="1930"/>
      <c r="S90" s="1027"/>
      <c r="T90" s="793"/>
      <c r="U90" s="793"/>
      <c r="V90" s="793"/>
      <c r="AA90" s="3"/>
      <c r="AB90" s="3"/>
      <c r="AC90" s="3"/>
      <c r="AG90" s="97"/>
      <c r="AH90" s="97"/>
      <c r="AI90" s="97"/>
    </row>
    <row r="91" spans="2:35">
      <c r="B91" s="1027"/>
      <c r="C91" s="1696" t="s">
        <v>3042</v>
      </c>
      <c r="D91" s="793"/>
      <c r="E91" s="793"/>
      <c r="F91" s="1995">
        <f>+PC_CST_Site_Subtotal_Total</f>
        <v>0</v>
      </c>
      <c r="G91" s="1874"/>
      <c r="H91" s="1027"/>
      <c r="I91" s="1027"/>
      <c r="J91" s="1027"/>
      <c r="K91" s="1027"/>
      <c r="L91" s="1866" t="s">
        <v>3548</v>
      </c>
      <c r="M91" s="1929"/>
      <c r="N91" s="1929"/>
      <c r="O91" s="1929"/>
      <c r="P91" s="1929"/>
      <c r="Q91" s="1861">
        <f>+State_HTC_Equity</f>
        <v>0</v>
      </c>
      <c r="R91" s="1930"/>
      <c r="S91" s="1027"/>
      <c r="T91" s="793"/>
      <c r="U91" s="793"/>
      <c r="V91" s="793"/>
      <c r="AA91" s="3"/>
      <c r="AB91" s="3"/>
      <c r="AC91" s="3"/>
      <c r="AG91" s="97"/>
      <c r="AH91" s="97"/>
      <c r="AI91" s="97"/>
    </row>
    <row r="92" spans="2:35">
      <c r="B92" s="1027"/>
      <c r="C92" s="1696" t="s">
        <v>3549</v>
      </c>
      <c r="D92" s="793"/>
      <c r="E92" s="793"/>
      <c r="F92" s="1995">
        <f>+PC_CST_New_Constr_Subtotal_Total+'14. Project Costs'!F57+PC_CNT_Contingency_Subtotal_Total</f>
        <v>0</v>
      </c>
      <c r="G92" s="1874"/>
      <c r="H92" s="1027"/>
      <c r="I92" s="1027"/>
      <c r="J92" s="1027"/>
      <c r="K92" s="1027"/>
      <c r="L92" s="1866" t="s">
        <v>3550</v>
      </c>
      <c r="M92" s="1929"/>
      <c r="N92" s="1929"/>
      <c r="O92" s="1929"/>
      <c r="P92" s="1929"/>
      <c r="Q92" s="1861">
        <f>+'12. Funding Sources'!E47+'12. Funding Sources'!E45</f>
        <v>0</v>
      </c>
      <c r="R92" s="1930"/>
      <c r="S92" s="1027"/>
      <c r="T92" s="793"/>
      <c r="U92" s="793"/>
      <c r="V92" s="793"/>
      <c r="AA92" s="3"/>
      <c r="AB92" s="3"/>
      <c r="AC92" s="3"/>
      <c r="AG92" s="97"/>
      <c r="AH92" s="97"/>
      <c r="AI92" s="97"/>
    </row>
    <row r="93" spans="2:35">
      <c r="B93" s="1027"/>
      <c r="C93" s="1696" t="s">
        <v>3551</v>
      </c>
      <c r="D93" s="793"/>
      <c r="E93" s="793"/>
      <c r="F93" s="1995">
        <f>+PC_DEV_Developer_Costs_Subtotal_Total</f>
        <v>0</v>
      </c>
      <c r="G93" s="1874"/>
      <c r="H93" s="1027"/>
      <c r="I93" s="1027"/>
      <c r="J93" s="1027"/>
      <c r="K93" s="1027"/>
      <c r="L93" s="1866" t="s">
        <v>3552</v>
      </c>
      <c r="M93" s="1929"/>
      <c r="N93" s="1929"/>
      <c r="O93" s="1929"/>
      <c r="P93" s="1929"/>
      <c r="Q93" s="1861">
        <f>+'12. Funding Sources'!E48</f>
        <v>0</v>
      </c>
      <c r="R93" s="1930"/>
      <c r="S93" s="1027"/>
      <c r="T93" s="793"/>
      <c r="U93" s="793"/>
      <c r="V93" s="793"/>
      <c r="AA93" s="3"/>
      <c r="AB93" s="3"/>
      <c r="AC93" s="3"/>
      <c r="AG93" s="97"/>
      <c r="AH93" s="97"/>
      <c r="AI93" s="97"/>
    </row>
    <row r="94" spans="2:35">
      <c r="B94" s="1027"/>
      <c r="C94" s="1696" t="s">
        <v>3553</v>
      </c>
      <c r="D94" s="793"/>
      <c r="E94" s="793"/>
      <c r="F94" s="1995">
        <f>+PC_SFT_Other_SC_Subtotal_Total+'14. Project Costs'!F149+PC_SYN_Syndication_Fee_Subtotal_Total+'14. Project Costs'!F117+PC_FIN_Permanent_Loan_Fees_Subtotal_Total+PC_CSP_Contractor_Related_Fees_Subtotal_Total+PC_CSP_Other_Lender_Subtotal_Total+PC_CSP_Bonding_Fee_Subtotal_Total+PC_CSP_WHEDA_Fees_Subtotal_Total</f>
        <v>0</v>
      </c>
      <c r="G94" s="1874"/>
      <c r="H94" s="1027"/>
      <c r="I94" s="1027"/>
      <c r="J94" s="1027"/>
      <c r="K94" s="1027"/>
      <c r="L94" s="1866" t="str">
        <f>+'12. Funding Sources'!C49</f>
        <v>Owner Investment</v>
      </c>
      <c r="M94" s="1929"/>
      <c r="N94" s="1929"/>
      <c r="O94" s="1929"/>
      <c r="P94" s="1929"/>
      <c r="Q94" s="1861">
        <f>+'12. Funding Sources'!E49</f>
        <v>0</v>
      </c>
      <c r="R94" s="1930"/>
      <c r="S94" s="1027"/>
      <c r="T94" s="793"/>
      <c r="U94" s="793"/>
      <c r="V94" s="793"/>
      <c r="AA94" s="3"/>
      <c r="AB94" s="3"/>
      <c r="AC94" s="3"/>
      <c r="AG94" s="97"/>
      <c r="AH94" s="97"/>
      <c r="AI94" s="97"/>
    </row>
    <row r="95" spans="2:35">
      <c r="B95" s="1027"/>
      <c r="C95" s="1866" t="s">
        <v>3554</v>
      </c>
      <c r="D95" s="1867"/>
      <c r="E95" s="1867"/>
      <c r="F95" s="1888">
        <f>+SUM(PC_CAP_Capitalized_Reserv_Subtotal_Total)</f>
        <v>0</v>
      </c>
      <c r="G95" s="1889"/>
      <c r="H95" s="1027"/>
      <c r="I95" s="1027"/>
      <c r="J95" s="1027"/>
      <c r="K95" s="1027"/>
      <c r="L95" s="1866" t="str">
        <f>'12. Funding Sources'!C50</f>
        <v>Other</v>
      </c>
      <c r="M95" s="1929"/>
      <c r="N95" s="1929"/>
      <c r="O95" s="1929"/>
      <c r="P95" s="1929"/>
      <c r="Q95" s="1931">
        <f>+'12. Funding Sources'!E50</f>
        <v>0</v>
      </c>
      <c r="R95" s="1932"/>
      <c r="S95" s="1027"/>
      <c r="T95" s="793"/>
      <c r="U95" s="793"/>
      <c r="V95" s="793"/>
      <c r="AA95" s="3"/>
      <c r="AB95" s="3"/>
      <c r="AC95" s="3"/>
      <c r="AG95" s="97"/>
      <c r="AH95" s="97"/>
      <c r="AI95" s="97"/>
    </row>
    <row r="96" spans="2:35">
      <c r="B96" s="1027"/>
      <c r="C96" s="1886" t="s">
        <v>3332</v>
      </c>
      <c r="D96" s="1887"/>
      <c r="E96" s="1887"/>
      <c r="F96" s="1890">
        <f>+SUM(F90:F95)</f>
        <v>0</v>
      </c>
      <c r="G96" s="1891"/>
      <c r="H96" s="1027"/>
      <c r="I96" s="1027"/>
      <c r="J96" s="1027"/>
      <c r="K96" s="1027"/>
      <c r="L96" s="1961" t="s">
        <v>3555</v>
      </c>
      <c r="M96" s="1962"/>
      <c r="N96" s="1962"/>
      <c r="O96" s="1962"/>
      <c r="P96" s="1963"/>
      <c r="Q96" s="1933">
        <f>+SUM(Q71:Q95)</f>
        <v>0</v>
      </c>
      <c r="R96" s="1934"/>
      <c r="S96" s="1027"/>
      <c r="T96" s="793"/>
      <c r="U96" s="793"/>
      <c r="V96" s="793"/>
      <c r="AA96" s="3"/>
      <c r="AB96" s="3"/>
      <c r="AC96" s="3"/>
      <c r="AG96" s="97"/>
      <c r="AH96" s="97"/>
      <c r="AI96" s="97"/>
    </row>
    <row r="97" spans="2:35">
      <c r="B97" s="1027"/>
      <c r="C97" s="1027"/>
      <c r="D97" s="1027"/>
      <c r="E97" s="1027"/>
      <c r="F97" s="1027"/>
      <c r="G97" s="1027"/>
      <c r="H97" s="1027"/>
      <c r="I97" s="1027"/>
      <c r="J97" s="1027"/>
      <c r="K97" s="1027"/>
      <c r="L97" s="1027"/>
      <c r="M97" s="1027"/>
      <c r="N97" s="1027"/>
      <c r="O97" s="1027"/>
      <c r="P97" s="1027"/>
      <c r="Q97" s="1027"/>
      <c r="R97" s="1027"/>
      <c r="S97" s="1027"/>
      <c r="T97" s="793"/>
      <c r="U97" s="793"/>
      <c r="V97" s="793"/>
      <c r="AA97" s="3"/>
      <c r="AB97" s="3"/>
      <c r="AC97" s="3"/>
      <c r="AG97" s="97"/>
      <c r="AH97" s="97"/>
      <c r="AI97" s="97"/>
    </row>
    <row r="98" spans="2:35">
      <c r="B98" s="1027"/>
      <c r="C98" s="1027"/>
      <c r="D98" s="1027"/>
      <c r="E98" s="1027"/>
      <c r="F98" s="1027"/>
      <c r="G98" s="1027"/>
      <c r="H98" s="1027"/>
      <c r="I98" s="1027"/>
      <c r="J98" s="1027"/>
      <c r="K98" s="1027"/>
      <c r="L98" s="1027"/>
      <c r="M98" s="1027"/>
      <c r="N98" s="1027"/>
      <c r="O98" s="1027"/>
      <c r="P98" s="1027"/>
      <c r="Q98" s="1027"/>
      <c r="R98" s="1027"/>
      <c r="S98" s="1027"/>
      <c r="T98" s="793"/>
      <c r="U98" s="793"/>
      <c r="V98" s="793"/>
      <c r="AA98" s="3"/>
      <c r="AB98" s="3"/>
      <c r="AC98" s="3"/>
      <c r="AG98" s="97"/>
      <c r="AH98" s="97"/>
      <c r="AI98" s="97"/>
    </row>
    <row r="99" spans="2:35" ht="18.75">
      <c r="B99" s="8" t="s">
        <v>3556</v>
      </c>
      <c r="P99" s="3"/>
      <c r="Q99" s="3"/>
      <c r="R99" s="3"/>
      <c r="S99" s="3"/>
      <c r="T99" s="793"/>
      <c r="U99" s="793"/>
      <c r="V99" s="793"/>
      <c r="AA99" s="3"/>
      <c r="AB99" s="3"/>
      <c r="AC99" s="3"/>
      <c r="AG99" s="97"/>
      <c r="AH99" s="97"/>
      <c r="AI99" s="97"/>
    </row>
    <row r="100" spans="2:35">
      <c r="B100" s="1027"/>
      <c r="C100" s="1027"/>
      <c r="D100" s="1027"/>
      <c r="E100" s="1027"/>
      <c r="F100" s="1027"/>
      <c r="G100" s="1027"/>
      <c r="H100" s="1027"/>
      <c r="I100" s="1027"/>
      <c r="J100" s="1027"/>
      <c r="K100" s="1027"/>
      <c r="L100" s="1027"/>
      <c r="M100" s="1027"/>
      <c r="N100" s="1027"/>
      <c r="O100" s="1027"/>
      <c r="P100" s="1027"/>
      <c r="Q100" s="1027"/>
      <c r="R100" s="1027"/>
      <c r="S100" s="1027"/>
      <c r="T100" s="793"/>
      <c r="U100" s="793"/>
      <c r="V100" s="793"/>
    </row>
    <row r="101" spans="2:35" ht="14.45" customHeight="1">
      <c r="B101" s="1027"/>
      <c r="C101" s="1935" t="s">
        <v>3557</v>
      </c>
      <c r="D101" s="1935"/>
      <c r="E101" s="1935"/>
      <c r="F101" s="1935"/>
      <c r="G101" s="1935"/>
      <c r="H101" s="1935"/>
      <c r="I101" s="1935"/>
      <c r="J101" s="1935"/>
      <c r="K101" s="1935"/>
      <c r="L101" s="1935"/>
      <c r="M101" s="1935"/>
      <c r="N101" s="1935"/>
      <c r="O101" s="1935"/>
      <c r="P101" s="1935"/>
      <c r="Q101" s="1935"/>
      <c r="R101" s="1935"/>
      <c r="S101" s="1027"/>
      <c r="T101" s="793"/>
      <c r="U101" s="793"/>
      <c r="V101" s="793"/>
    </row>
    <row r="102" spans="2:35">
      <c r="B102" s="1027"/>
      <c r="C102" s="1935"/>
      <c r="D102" s="1935"/>
      <c r="E102" s="1935"/>
      <c r="F102" s="1935"/>
      <c r="G102" s="1935"/>
      <c r="H102" s="1935"/>
      <c r="I102" s="1935"/>
      <c r="J102" s="1935"/>
      <c r="K102" s="1935"/>
      <c r="L102" s="1935"/>
      <c r="M102" s="1935"/>
      <c r="N102" s="1935"/>
      <c r="O102" s="1935"/>
      <c r="P102" s="1935"/>
      <c r="Q102" s="1935"/>
      <c r="R102" s="1935"/>
      <c r="S102" s="1027"/>
      <c r="T102" s="793"/>
      <c r="U102" s="793"/>
      <c r="V102" s="793"/>
    </row>
    <row r="103" spans="2:35">
      <c r="B103" s="1027"/>
      <c r="C103" s="1699"/>
      <c r="D103" s="1699"/>
      <c r="E103" s="1699"/>
      <c r="F103" s="1699"/>
      <c r="G103" s="1699"/>
      <c r="H103" s="1699"/>
      <c r="I103" s="1699"/>
      <c r="J103" s="1699"/>
      <c r="K103" s="1699"/>
      <c r="L103" s="1699"/>
      <c r="M103" s="1699"/>
      <c r="N103" s="1699"/>
      <c r="O103" s="1699"/>
      <c r="P103" s="1699"/>
      <c r="Q103" s="1699"/>
      <c r="R103" s="1699"/>
      <c r="S103" s="1027"/>
      <c r="T103" s="793"/>
      <c r="U103" s="793"/>
      <c r="V103" s="793"/>
    </row>
    <row r="104" spans="2:35">
      <c r="B104" s="1027"/>
      <c r="C104" s="1863" t="s">
        <v>3558</v>
      </c>
      <c r="D104" s="1864"/>
      <c r="E104" s="1864"/>
      <c r="F104" s="1864"/>
      <c r="G104" s="1864"/>
      <c r="H104" s="755"/>
      <c r="I104" s="1836" t="s">
        <v>3559</v>
      </c>
      <c r="J104" s="1865"/>
      <c r="K104" s="1030"/>
      <c r="L104" s="1833" t="s">
        <v>2964</v>
      </c>
      <c r="M104" s="1833"/>
      <c r="N104" s="1030"/>
      <c r="O104" s="1030" t="s">
        <v>3560</v>
      </c>
      <c r="P104" s="1027"/>
      <c r="Q104" s="1027"/>
      <c r="R104" s="1027"/>
      <c r="S104" s="1027"/>
      <c r="T104" s="793"/>
      <c r="U104" s="793"/>
      <c r="V104" s="793"/>
    </row>
    <row r="105" spans="2:35">
      <c r="B105" s="1027"/>
      <c r="C105" s="1825" t="s">
        <v>3561</v>
      </c>
      <c r="D105" s="1826"/>
      <c r="E105" s="1826"/>
      <c r="F105" s="1826"/>
      <c r="G105" s="1826"/>
      <c r="H105" s="643"/>
      <c r="I105" s="1848" t="s">
        <v>3562</v>
      </c>
      <c r="J105" s="1849"/>
      <c r="K105" s="1027"/>
      <c r="L105" s="1967">
        <f>Per_Unit_Per_Month</f>
        <v>0</v>
      </c>
      <c r="M105" s="1967"/>
      <c r="N105" s="1027"/>
      <c r="O105" s="1940"/>
      <c r="P105" s="1941"/>
      <c r="Q105" s="1941"/>
      <c r="R105" s="1942"/>
      <c r="S105" s="1027"/>
      <c r="T105" s="793"/>
      <c r="U105" s="793"/>
      <c r="V105" s="793"/>
    </row>
    <row r="106" spans="2:35">
      <c r="B106" s="1027"/>
      <c r="C106" s="1842" t="s">
        <v>306</v>
      </c>
      <c r="D106" s="1843"/>
      <c r="E106" s="1843"/>
      <c r="F106" s="1843"/>
      <c r="G106" s="1843"/>
      <c r="H106" s="181"/>
      <c r="I106" s="1846" t="s">
        <v>3563</v>
      </c>
      <c r="J106" s="1847"/>
      <c r="K106" s="1027"/>
      <c r="L106" s="1027"/>
      <c r="M106" s="1027"/>
      <c r="N106" s="1027"/>
      <c r="O106" s="1943"/>
      <c r="P106" s="1944"/>
      <c r="Q106" s="1944"/>
      <c r="R106" s="1945"/>
      <c r="S106" s="1027"/>
      <c r="T106" s="793"/>
      <c r="U106" s="793"/>
      <c r="V106" s="793"/>
    </row>
    <row r="107" spans="2:35">
      <c r="B107" s="1027"/>
      <c r="C107" s="1840" t="s">
        <v>3564</v>
      </c>
      <c r="D107" s="1841"/>
      <c r="E107" s="1841"/>
      <c r="F107" s="1841"/>
      <c r="G107" s="1841"/>
      <c r="H107" s="494"/>
      <c r="I107" s="1838" t="s">
        <v>3565</v>
      </c>
      <c r="J107" s="1839"/>
      <c r="K107" s="1027"/>
      <c r="L107" s="1027"/>
      <c r="M107" s="1027"/>
      <c r="N107" s="1027"/>
      <c r="O107" s="1946"/>
      <c r="P107" s="1947"/>
      <c r="Q107" s="1947"/>
      <c r="R107" s="1948"/>
      <c r="S107" s="1027"/>
      <c r="T107" s="793"/>
      <c r="U107" s="793"/>
      <c r="V107" s="793"/>
    </row>
    <row r="108" spans="2:35">
      <c r="B108" s="1027"/>
      <c r="C108" s="1027"/>
      <c r="D108" s="1027"/>
      <c r="E108" s="1027"/>
      <c r="F108" s="1027"/>
      <c r="G108" s="1027"/>
      <c r="H108" s="1027"/>
      <c r="I108" s="1027"/>
      <c r="J108" s="1027"/>
      <c r="K108" s="1027"/>
      <c r="L108" s="1027"/>
      <c r="M108" s="1027"/>
      <c r="N108" s="1027"/>
      <c r="O108" s="1027"/>
      <c r="P108" s="1027"/>
      <c r="Q108" s="1027"/>
      <c r="R108" s="1027"/>
      <c r="S108" s="1027"/>
      <c r="T108" s="793"/>
      <c r="U108" s="793"/>
      <c r="V108" s="793"/>
    </row>
    <row r="109" spans="2:35">
      <c r="B109" s="1027"/>
      <c r="C109" s="1027" t="s">
        <v>3566</v>
      </c>
      <c r="D109" s="1027"/>
      <c r="E109" s="1027"/>
      <c r="F109" s="1027"/>
      <c r="G109" s="1027"/>
      <c r="H109" s="1027"/>
      <c r="I109" s="1027"/>
      <c r="J109" s="1027"/>
      <c r="K109" s="1027"/>
      <c r="L109" s="1027"/>
      <c r="M109" s="1027"/>
      <c r="N109" s="1027"/>
      <c r="O109" s="1027"/>
      <c r="P109" s="1027"/>
      <c r="Q109" s="1027"/>
      <c r="R109" s="1027"/>
      <c r="S109" s="1027"/>
      <c r="T109" s="793"/>
      <c r="U109" s="793"/>
      <c r="V109" s="793"/>
    </row>
    <row r="110" spans="2:35">
      <c r="B110" s="1027"/>
      <c r="C110" s="1027"/>
      <c r="D110" s="1027"/>
      <c r="E110" s="1027"/>
      <c r="F110" s="1027"/>
      <c r="G110" s="1027"/>
      <c r="H110" s="1027"/>
      <c r="I110" s="1027"/>
      <c r="J110" s="1027"/>
      <c r="K110" s="1027"/>
      <c r="L110" s="1027"/>
      <c r="M110" s="1027"/>
      <c r="N110" s="1027"/>
      <c r="O110" s="1027"/>
      <c r="P110" s="1027"/>
      <c r="Q110" s="1027"/>
      <c r="R110" s="1027"/>
      <c r="S110" s="1027"/>
      <c r="T110" s="793"/>
      <c r="U110" s="793"/>
      <c r="V110" s="793"/>
    </row>
    <row r="111" spans="2:35">
      <c r="B111" s="1027"/>
      <c r="C111" s="1863" t="s">
        <v>3567</v>
      </c>
      <c r="D111" s="1864"/>
      <c r="E111" s="1864"/>
      <c r="F111" s="1864"/>
      <c r="G111" s="1864"/>
      <c r="H111" s="755"/>
      <c r="I111" s="1836" t="s">
        <v>3559</v>
      </c>
      <c r="J111" s="1837"/>
      <c r="K111" s="1027"/>
      <c r="L111" s="1833" t="s">
        <v>2964</v>
      </c>
      <c r="M111" s="1833"/>
      <c r="N111" s="1027"/>
      <c r="O111" s="1030" t="s">
        <v>3568</v>
      </c>
      <c r="P111" s="1027"/>
      <c r="Q111" s="1027"/>
      <c r="R111" s="1027"/>
      <c r="S111" s="1027"/>
      <c r="T111" s="793"/>
      <c r="U111" s="793"/>
      <c r="V111" s="793"/>
    </row>
    <row r="112" spans="2:35">
      <c r="B112" s="1027"/>
      <c r="C112" s="1936" t="s">
        <v>3569</v>
      </c>
      <c r="D112" s="1937"/>
      <c r="E112" s="1937"/>
      <c r="F112" s="1937"/>
      <c r="G112" s="1937"/>
      <c r="H112" s="1288"/>
      <c r="I112" s="1938" t="s">
        <v>3570</v>
      </c>
      <c r="J112" s="1939"/>
      <c r="K112" s="1027"/>
      <c r="L112" s="1957">
        <f>'17. Cash Flow and Reserves'!D27</f>
        <v>0</v>
      </c>
      <c r="M112" s="1957"/>
      <c r="N112" s="1027"/>
      <c r="O112" s="1949"/>
      <c r="P112" s="1950"/>
      <c r="Q112" s="1950"/>
      <c r="R112" s="1951"/>
      <c r="S112" s="1027"/>
      <c r="T112" s="793"/>
      <c r="U112" s="793"/>
      <c r="V112" s="793"/>
    </row>
    <row r="113" spans="2:22" ht="14.45" customHeight="1">
      <c r="B113" s="1027"/>
      <c r="C113" s="1027"/>
      <c r="D113" s="1027"/>
      <c r="E113" s="1027"/>
      <c r="F113" s="1027"/>
      <c r="G113" s="1027"/>
      <c r="H113" s="1027"/>
      <c r="I113" s="1027"/>
      <c r="J113" s="1027"/>
      <c r="K113" s="1027"/>
      <c r="L113" s="1027"/>
      <c r="M113" s="1027"/>
      <c r="N113" s="1027"/>
      <c r="O113" s="1952"/>
      <c r="P113" s="1944"/>
      <c r="Q113" s="1944"/>
      <c r="R113" s="1953"/>
      <c r="S113" s="1027"/>
      <c r="T113" s="793"/>
      <c r="U113" s="793"/>
      <c r="V113" s="793"/>
    </row>
    <row r="114" spans="2:22">
      <c r="B114" s="1027"/>
      <c r="C114" s="1027"/>
      <c r="D114" s="1027"/>
      <c r="E114" s="1027"/>
      <c r="F114" s="1027"/>
      <c r="G114" s="1027"/>
      <c r="H114" s="1027"/>
      <c r="I114" s="1027"/>
      <c r="J114" s="1027"/>
      <c r="K114" s="1027"/>
      <c r="L114" s="1027"/>
      <c r="M114" s="1027"/>
      <c r="N114" s="1027"/>
      <c r="O114" s="1954"/>
      <c r="P114" s="1955"/>
      <c r="Q114" s="1955"/>
      <c r="R114" s="1956"/>
      <c r="S114" s="1027"/>
      <c r="T114" s="793"/>
      <c r="U114" s="793"/>
      <c r="V114" s="793"/>
    </row>
    <row r="115" spans="2:22">
      <c r="B115" s="1027"/>
      <c r="C115" s="1027"/>
      <c r="D115" s="1027"/>
      <c r="E115" s="1027"/>
      <c r="F115" s="1027"/>
      <c r="G115" s="1027"/>
      <c r="H115" s="1027"/>
      <c r="I115" s="1027"/>
      <c r="J115" s="1027"/>
      <c r="K115" s="1027"/>
      <c r="L115" s="1027"/>
      <c r="M115" s="1027"/>
      <c r="N115" s="1027"/>
      <c r="O115" s="1027"/>
      <c r="P115" s="1027"/>
      <c r="Q115" s="1027"/>
      <c r="R115" s="1027"/>
      <c r="S115" s="1027"/>
      <c r="T115" s="793"/>
      <c r="U115" s="793"/>
      <c r="V115" s="793"/>
    </row>
    <row r="116" spans="2:22">
      <c r="B116" s="1027"/>
      <c r="C116" s="1027"/>
      <c r="D116" s="1027"/>
      <c r="E116" s="1027"/>
      <c r="F116" s="1027"/>
      <c r="G116" s="1027"/>
      <c r="H116" s="1027"/>
      <c r="I116" s="1027"/>
      <c r="J116" s="1027"/>
      <c r="K116" s="1027"/>
      <c r="L116" s="1027"/>
      <c r="M116" s="1027"/>
      <c r="N116" s="1027"/>
      <c r="O116" s="1027"/>
      <c r="P116" s="1027"/>
      <c r="Q116" s="1027"/>
      <c r="R116" s="1027"/>
      <c r="S116" s="1027"/>
      <c r="T116" s="793"/>
      <c r="U116" s="793"/>
      <c r="V116" s="793"/>
    </row>
    <row r="117" spans="2:22">
      <c r="B117" s="1027"/>
      <c r="C117" s="604" t="s">
        <v>3571</v>
      </c>
      <c r="D117" s="755"/>
      <c r="E117" s="755"/>
      <c r="F117" s="755"/>
      <c r="G117" s="755"/>
      <c r="H117" s="755"/>
      <c r="I117" s="1836" t="s">
        <v>3572</v>
      </c>
      <c r="J117" s="1837"/>
      <c r="K117" s="1027"/>
      <c r="L117" s="1833" t="s">
        <v>2964</v>
      </c>
      <c r="M117" s="1833"/>
      <c r="N117" s="1027"/>
      <c r="O117" s="1030" t="s">
        <v>3573</v>
      </c>
      <c r="P117" s="1027"/>
      <c r="Q117" s="1027"/>
      <c r="R117" s="1027"/>
      <c r="S117" s="1027"/>
      <c r="T117" s="793"/>
      <c r="U117" s="793"/>
      <c r="V117" s="793"/>
    </row>
    <row r="118" spans="2:22">
      <c r="B118" s="1027"/>
      <c r="C118" s="1840" t="s">
        <v>3569</v>
      </c>
      <c r="D118" s="1841"/>
      <c r="E118" s="1841"/>
      <c r="F118" s="1841"/>
      <c r="G118" s="1841"/>
      <c r="H118" s="494"/>
      <c r="I118" s="1838" t="s">
        <v>3574</v>
      </c>
      <c r="J118" s="1839"/>
      <c r="K118" s="1027"/>
      <c r="L118" s="1854">
        <f>IF('17. Cash Flow and Reserves'!D23+'17. Cash Flow and Reserves'!D25=0,0,(PC_CAP_Operating_Expen_Res_Total/('17. Cash Flow and Reserves'!D23+'17. Cash Flow and Reserves'!D25))*12)</f>
        <v>0</v>
      </c>
      <c r="M118" s="1855"/>
      <c r="N118" s="1027"/>
      <c r="O118" s="1940"/>
      <c r="P118" s="1941"/>
      <c r="Q118" s="1941"/>
      <c r="R118" s="1942"/>
      <c r="S118" s="1027"/>
      <c r="T118" s="793"/>
      <c r="U118" s="793"/>
      <c r="V118" s="793"/>
    </row>
    <row r="119" spans="2:22" ht="15" customHeight="1">
      <c r="B119" s="1027"/>
      <c r="C119" s="1027"/>
      <c r="D119" s="1027"/>
      <c r="E119" s="1027"/>
      <c r="F119" s="1027"/>
      <c r="G119" s="1027"/>
      <c r="H119" s="1027"/>
      <c r="I119" s="1027"/>
      <c r="J119" s="1027"/>
      <c r="K119" s="1027"/>
      <c r="L119" s="1027"/>
      <c r="M119" s="1027"/>
      <c r="N119" s="1027"/>
      <c r="O119" s="1943"/>
      <c r="P119" s="1944"/>
      <c r="Q119" s="1944"/>
      <c r="R119" s="1945"/>
      <c r="S119" s="1027"/>
      <c r="T119" s="793"/>
      <c r="U119" s="793"/>
      <c r="V119" s="793"/>
    </row>
    <row r="120" spans="2:22" ht="15" customHeight="1">
      <c r="B120" s="1027"/>
      <c r="C120" s="1027"/>
      <c r="D120" s="1027"/>
      <c r="E120" s="1027"/>
      <c r="F120" s="1027"/>
      <c r="G120" s="1027"/>
      <c r="H120" s="1027"/>
      <c r="I120" s="1027"/>
      <c r="J120" s="1027"/>
      <c r="K120" s="1027"/>
      <c r="L120" s="1027"/>
      <c r="M120" s="1027"/>
      <c r="N120" s="1027"/>
      <c r="O120" s="1946"/>
      <c r="P120" s="1947"/>
      <c r="Q120" s="1947"/>
      <c r="R120" s="1948"/>
      <c r="S120" s="1027"/>
      <c r="T120" s="793"/>
      <c r="U120" s="793"/>
      <c r="V120" s="793"/>
    </row>
    <row r="121" spans="2:22" ht="14.45" customHeight="1">
      <c r="B121" s="1027"/>
      <c r="C121" s="1027"/>
      <c r="D121" s="1027"/>
      <c r="E121" s="1027"/>
      <c r="F121" s="1027"/>
      <c r="G121" s="1027"/>
      <c r="H121" s="1027"/>
      <c r="I121" s="1027"/>
      <c r="J121" s="1027"/>
      <c r="K121" s="1027"/>
      <c r="L121" s="1027"/>
      <c r="M121" s="1027"/>
      <c r="N121" s="1027"/>
      <c r="O121" s="1027"/>
      <c r="P121" s="1027"/>
      <c r="Q121" s="1027"/>
      <c r="R121" s="1027"/>
      <c r="S121" s="1027"/>
      <c r="T121" s="793"/>
      <c r="U121" s="793"/>
      <c r="V121" s="793"/>
    </row>
    <row r="122" spans="2:22" ht="14.45" customHeight="1">
      <c r="B122" s="1027"/>
      <c r="C122" s="1863" t="s">
        <v>3575</v>
      </c>
      <c r="D122" s="1864"/>
      <c r="E122" s="1864"/>
      <c r="F122" s="1864"/>
      <c r="G122" s="1864"/>
      <c r="H122" s="755"/>
      <c r="I122" s="1836" t="s">
        <v>3572</v>
      </c>
      <c r="J122" s="1837"/>
      <c r="K122" s="1027"/>
      <c r="L122" s="1833" t="s">
        <v>2964</v>
      </c>
      <c r="M122" s="1833"/>
      <c r="N122" s="1027"/>
      <c r="O122" s="1030" t="s">
        <v>3576</v>
      </c>
      <c r="P122" s="1027"/>
      <c r="Q122" s="1027"/>
      <c r="R122" s="1027"/>
      <c r="S122" s="1027"/>
      <c r="T122" s="793"/>
      <c r="U122" s="793"/>
      <c r="V122" s="793"/>
    </row>
    <row r="123" spans="2:22" ht="14.45" customHeight="1">
      <c r="B123" s="1027"/>
      <c r="C123" s="1825" t="s">
        <v>3577</v>
      </c>
      <c r="D123" s="1826"/>
      <c r="E123" s="1826"/>
      <c r="F123" s="1826"/>
      <c r="G123" s="1826"/>
      <c r="H123" s="643"/>
      <c r="I123" s="1848" t="s">
        <v>3578</v>
      </c>
      <c r="J123" s="1849"/>
      <c r="K123" s="1027"/>
      <c r="L123" s="1852">
        <f>IF(Total_Units=0, 0, Annual_Replacement_Reserve/Total_Units)</f>
        <v>0</v>
      </c>
      <c r="M123" s="1853"/>
      <c r="N123" s="1027"/>
      <c r="O123" s="1940"/>
      <c r="P123" s="1941"/>
      <c r="Q123" s="1941"/>
      <c r="R123" s="1942"/>
      <c r="S123" s="1027"/>
      <c r="T123" s="793"/>
      <c r="U123" s="793"/>
      <c r="V123" s="793"/>
    </row>
    <row r="124" spans="2:22" ht="14.45" customHeight="1">
      <c r="B124" s="1027"/>
      <c r="C124" s="1842" t="s">
        <v>3579</v>
      </c>
      <c r="D124" s="1843"/>
      <c r="E124" s="1843"/>
      <c r="F124" s="1843"/>
      <c r="G124" s="1843"/>
      <c r="H124" s="181"/>
      <c r="I124" s="1846" t="s">
        <v>3580</v>
      </c>
      <c r="J124" s="1847"/>
      <c r="K124" s="1027"/>
      <c r="L124" s="1027"/>
      <c r="M124" s="1027"/>
      <c r="N124" s="1027"/>
      <c r="O124" s="1943"/>
      <c r="P124" s="1944"/>
      <c r="Q124" s="1944"/>
      <c r="R124" s="1945"/>
      <c r="S124" s="1027"/>
      <c r="T124" s="793"/>
      <c r="U124" s="793"/>
      <c r="V124" s="793"/>
    </row>
    <row r="125" spans="2:22" ht="14.45" customHeight="1">
      <c r="B125" s="1027"/>
      <c r="C125" s="1825" t="s">
        <v>289</v>
      </c>
      <c r="D125" s="1826"/>
      <c r="E125" s="1826"/>
      <c r="F125" s="1826"/>
      <c r="G125" s="1826"/>
      <c r="H125" s="643"/>
      <c r="I125" s="1848" t="s">
        <v>3580</v>
      </c>
      <c r="J125" s="1849"/>
      <c r="K125" s="1027"/>
      <c r="L125" s="1027"/>
      <c r="M125" s="1027"/>
      <c r="N125" s="1027"/>
      <c r="O125" s="1946"/>
      <c r="P125" s="1947"/>
      <c r="Q125" s="1947"/>
      <c r="R125" s="1948"/>
      <c r="S125" s="1027"/>
      <c r="T125" s="793"/>
      <c r="U125" s="793"/>
      <c r="V125" s="793"/>
    </row>
    <row r="126" spans="2:22" ht="15" customHeight="1">
      <c r="B126" s="1027"/>
      <c r="C126" s="1844" t="s">
        <v>3561</v>
      </c>
      <c r="D126" s="1845"/>
      <c r="E126" s="1845"/>
      <c r="F126" s="1845"/>
      <c r="G126" s="1845"/>
      <c r="H126" s="754"/>
      <c r="I126" s="1850" t="s">
        <v>3581</v>
      </c>
      <c r="J126" s="1851"/>
      <c r="K126" s="1027"/>
      <c r="L126" s="1027"/>
      <c r="M126" s="1027"/>
      <c r="N126" s="1027"/>
      <c r="O126" s="1027"/>
      <c r="P126" s="1027"/>
      <c r="Q126" s="1027"/>
      <c r="R126" s="1027"/>
      <c r="S126" s="1027"/>
      <c r="T126" s="793"/>
      <c r="U126" s="793"/>
      <c r="V126" s="793"/>
    </row>
    <row r="127" spans="2:22" ht="15" customHeight="1">
      <c r="B127" s="1027"/>
      <c r="C127" s="1027"/>
      <c r="D127" s="1027"/>
      <c r="E127" s="1027"/>
      <c r="F127" s="1027"/>
      <c r="G127" s="1027"/>
      <c r="H127" s="1027"/>
      <c r="I127" s="1027"/>
      <c r="J127" s="1027"/>
      <c r="K127" s="1027"/>
      <c r="L127" s="1027"/>
      <c r="M127" s="1027"/>
      <c r="N127" s="1027"/>
      <c r="O127" s="1027"/>
      <c r="P127" s="1027"/>
      <c r="Q127" s="1027"/>
      <c r="R127" s="1027"/>
      <c r="S127" s="1027"/>
      <c r="T127" s="793"/>
      <c r="U127" s="793"/>
      <c r="V127" s="793"/>
    </row>
    <row r="128" spans="2:22" ht="15" customHeight="1">
      <c r="B128" s="1027"/>
      <c r="C128" s="604" t="s">
        <v>3067</v>
      </c>
      <c r="D128" s="755"/>
      <c r="E128" s="755"/>
      <c r="F128" s="755"/>
      <c r="G128" s="755"/>
      <c r="H128" s="755"/>
      <c r="I128" s="1836" t="s">
        <v>3572</v>
      </c>
      <c r="J128" s="1837"/>
      <c r="K128" s="1027"/>
      <c r="L128" s="1833" t="s">
        <v>2964</v>
      </c>
      <c r="M128" s="1833"/>
      <c r="N128" s="1027"/>
      <c r="O128" s="1030" t="s">
        <v>3582</v>
      </c>
      <c r="P128" s="1027"/>
      <c r="Q128" s="1027"/>
      <c r="R128" s="1027"/>
      <c r="S128" s="1027"/>
      <c r="T128" s="793"/>
      <c r="U128" s="793"/>
      <c r="V128" s="793"/>
    </row>
    <row r="129" spans="2:22" ht="14.45" customHeight="1">
      <c r="B129" s="1027"/>
      <c r="C129" s="1840" t="s">
        <v>3569</v>
      </c>
      <c r="D129" s="1841"/>
      <c r="E129" s="1841"/>
      <c r="F129" s="1841"/>
      <c r="G129" s="1841"/>
      <c r="H129" s="494"/>
      <c r="I129" s="1838" t="s">
        <v>3583</v>
      </c>
      <c r="J129" s="1839"/>
      <c r="K129" s="1027"/>
      <c r="L129" s="1827">
        <f>IFERROR(PC_CST_General_Requirements_Total/SUM('14. Project Costs'!F31,'14. Project Costs'!F54,'14. Project Costs'!F49,),0)</f>
        <v>0</v>
      </c>
      <c r="M129" s="1828"/>
      <c r="N129" s="1027"/>
      <c r="O129" s="1940"/>
      <c r="P129" s="1941"/>
      <c r="Q129" s="1941"/>
      <c r="R129" s="1942"/>
      <c r="S129" s="1027"/>
      <c r="T129" s="793"/>
      <c r="U129" s="793"/>
      <c r="V129" s="793"/>
    </row>
    <row r="130" spans="2:22" ht="14.45" customHeight="1">
      <c r="B130" s="1027"/>
      <c r="C130" s="1027"/>
      <c r="D130" s="1027"/>
      <c r="E130" s="1027"/>
      <c r="F130" s="1027"/>
      <c r="G130" s="1027"/>
      <c r="H130" s="1027"/>
      <c r="I130" s="1027"/>
      <c r="J130" s="1027"/>
      <c r="K130" s="1027"/>
      <c r="L130" s="1027"/>
      <c r="M130" s="1027"/>
      <c r="N130" s="1027"/>
      <c r="O130" s="1943"/>
      <c r="P130" s="1944"/>
      <c r="Q130" s="1944"/>
      <c r="R130" s="1945"/>
      <c r="S130" s="1027"/>
      <c r="T130" s="793"/>
      <c r="U130" s="793"/>
      <c r="V130" s="793"/>
    </row>
    <row r="131" spans="2:22" ht="14.45" customHeight="1">
      <c r="B131" s="1027"/>
      <c r="C131" s="1027"/>
      <c r="D131" s="1027"/>
      <c r="E131" s="1027"/>
      <c r="F131" s="1027"/>
      <c r="G131" s="1027"/>
      <c r="H131" s="1027"/>
      <c r="I131" s="1027"/>
      <c r="J131" s="1027"/>
      <c r="K131" s="1027"/>
      <c r="L131" s="1027"/>
      <c r="M131" s="1027"/>
      <c r="N131" s="1027"/>
      <c r="O131" s="1946"/>
      <c r="P131" s="1947"/>
      <c r="Q131" s="1947"/>
      <c r="R131" s="1948"/>
      <c r="S131" s="1027"/>
      <c r="T131" s="793"/>
      <c r="U131" s="793"/>
      <c r="V131" s="793"/>
    </row>
    <row r="132" spans="2:22" ht="14.45" customHeight="1">
      <c r="B132" s="1027"/>
      <c r="C132" s="1027"/>
      <c r="D132" s="1027"/>
      <c r="E132" s="1027"/>
      <c r="F132" s="1027"/>
      <c r="G132" s="1027"/>
      <c r="H132" s="1027"/>
      <c r="I132" s="1027"/>
      <c r="J132" s="1027"/>
      <c r="K132" s="1027"/>
      <c r="L132" s="1027"/>
      <c r="M132" s="1027"/>
      <c r="N132" s="1027"/>
      <c r="O132" s="1027"/>
      <c r="P132" s="1027"/>
      <c r="Q132" s="1027"/>
      <c r="R132" s="1027"/>
      <c r="S132" s="1027"/>
      <c r="T132" s="793"/>
      <c r="U132" s="793"/>
      <c r="V132" s="793"/>
    </row>
    <row r="133" spans="2:22" ht="14.45" customHeight="1">
      <c r="B133" s="1027"/>
      <c r="C133" s="756" t="s">
        <v>3071</v>
      </c>
      <c r="D133" s="753"/>
      <c r="E133" s="753"/>
      <c r="F133" s="753"/>
      <c r="G133" s="753"/>
      <c r="H133" s="753"/>
      <c r="I133" s="1834" t="s">
        <v>3572</v>
      </c>
      <c r="J133" s="1835"/>
      <c r="K133" s="1027"/>
      <c r="L133" s="1833" t="s">
        <v>2964</v>
      </c>
      <c r="M133" s="1833"/>
      <c r="N133" s="1027"/>
      <c r="O133" s="1030" t="s">
        <v>3584</v>
      </c>
      <c r="P133" s="1027"/>
      <c r="Q133" s="1027"/>
      <c r="R133" s="1027"/>
      <c r="S133" s="1027"/>
      <c r="T133" s="793"/>
      <c r="U133" s="793"/>
      <c r="V133" s="793"/>
    </row>
    <row r="134" spans="2:22" ht="14.45" customHeight="1">
      <c r="B134" s="1027"/>
      <c r="C134" s="1840" t="s">
        <v>3569</v>
      </c>
      <c r="D134" s="1841"/>
      <c r="E134" s="1841"/>
      <c r="F134" s="1841"/>
      <c r="G134" s="1841"/>
      <c r="H134" s="494"/>
      <c r="I134" s="1838" t="s">
        <v>3585</v>
      </c>
      <c r="J134" s="1839"/>
      <c r="K134" s="1027"/>
      <c r="L134" s="1829">
        <f>IFERROR(PC_CST_Builders_Overhead_Total/SUM('14. Project Costs'!F51,'14. Project Costs'!F54,'14. Project Costs'!F49,'14. Project Costs'!F31),0)</f>
        <v>0</v>
      </c>
      <c r="M134" s="1830"/>
      <c r="N134" s="1027"/>
      <c r="O134" s="1940"/>
      <c r="P134" s="1941"/>
      <c r="Q134" s="1941"/>
      <c r="R134" s="1942"/>
      <c r="S134" s="1027"/>
      <c r="T134" s="793"/>
      <c r="U134" s="793"/>
      <c r="V134" s="793"/>
    </row>
    <row r="135" spans="2:22" ht="14.45" customHeight="1">
      <c r="B135" s="1027"/>
      <c r="C135" s="1027"/>
      <c r="D135" s="1027"/>
      <c r="E135" s="1027"/>
      <c r="F135" s="1027"/>
      <c r="G135" s="1027"/>
      <c r="H135" s="1027"/>
      <c r="I135" s="1027"/>
      <c r="J135" s="1027"/>
      <c r="K135" s="1027"/>
      <c r="L135" s="1027"/>
      <c r="M135" s="1027"/>
      <c r="N135" s="1027"/>
      <c r="O135" s="1943"/>
      <c r="P135" s="1944"/>
      <c r="Q135" s="1944"/>
      <c r="R135" s="1945"/>
      <c r="S135" s="1027"/>
      <c r="T135" s="793"/>
      <c r="U135" s="793"/>
      <c r="V135" s="793"/>
    </row>
    <row r="136" spans="2:22" ht="14.45" customHeight="1">
      <c r="B136" s="1027"/>
      <c r="C136" s="1027"/>
      <c r="D136" s="1027"/>
      <c r="E136" s="1027"/>
      <c r="F136" s="1027"/>
      <c r="G136" s="1027"/>
      <c r="H136" s="1027"/>
      <c r="I136" s="1027"/>
      <c r="J136" s="1027"/>
      <c r="K136" s="1027"/>
      <c r="L136" s="1027"/>
      <c r="M136" s="1027"/>
      <c r="N136" s="1027"/>
      <c r="O136" s="1946"/>
      <c r="P136" s="1947"/>
      <c r="Q136" s="1947"/>
      <c r="R136" s="1948"/>
      <c r="S136" s="1027"/>
      <c r="T136" s="793"/>
      <c r="U136" s="793"/>
      <c r="V136" s="793"/>
    </row>
    <row r="137" spans="2:22" ht="14.45" customHeight="1">
      <c r="B137" s="1027"/>
      <c r="C137" s="1027"/>
      <c r="D137" s="1027"/>
      <c r="E137" s="1027"/>
      <c r="F137" s="1027"/>
      <c r="G137" s="1027"/>
      <c r="H137" s="1027"/>
      <c r="I137" s="1027"/>
      <c r="J137" s="1027"/>
      <c r="K137" s="1027"/>
      <c r="L137" s="1027"/>
      <c r="M137" s="1027"/>
      <c r="N137" s="1027"/>
      <c r="O137" s="1027"/>
      <c r="P137" s="1027"/>
      <c r="Q137" s="1027"/>
      <c r="R137" s="1027"/>
      <c r="S137" s="1027"/>
      <c r="T137" s="793"/>
      <c r="U137" s="793"/>
      <c r="V137" s="793"/>
    </row>
    <row r="138" spans="2:22" ht="14.45" customHeight="1">
      <c r="B138" s="1027"/>
      <c r="C138" s="756" t="s">
        <v>3077</v>
      </c>
      <c r="D138" s="753"/>
      <c r="E138" s="753"/>
      <c r="F138" s="753"/>
      <c r="G138" s="753"/>
      <c r="H138" s="753"/>
      <c r="I138" s="1834" t="s">
        <v>3572</v>
      </c>
      <c r="J138" s="1835"/>
      <c r="K138" s="1027"/>
      <c r="L138" s="1833" t="s">
        <v>2964</v>
      </c>
      <c r="M138" s="1833"/>
      <c r="N138" s="1027"/>
      <c r="O138" s="1030" t="s">
        <v>3586</v>
      </c>
      <c r="P138" s="1027"/>
      <c r="Q138" s="1027"/>
      <c r="R138" s="1027"/>
      <c r="S138" s="1027"/>
      <c r="T138" s="793"/>
      <c r="U138" s="793"/>
      <c r="V138" s="793"/>
    </row>
    <row r="139" spans="2:22" ht="14.45" customHeight="1">
      <c r="B139" s="1027"/>
      <c r="C139" s="1840" t="s">
        <v>3569</v>
      </c>
      <c r="D139" s="1841"/>
      <c r="E139" s="1841"/>
      <c r="F139" s="1841"/>
      <c r="G139" s="1841"/>
      <c r="H139" s="494"/>
      <c r="I139" s="1838" t="s">
        <v>3583</v>
      </c>
      <c r="J139" s="1839"/>
      <c r="K139" s="1027"/>
      <c r="L139" s="1829">
        <f>IFERROR(PC_CST_Builders_Profit_Total/SUM(PC_CST_Builders_Overhead_Total,PC_CST_General_Requirements_Total,'14. Project Costs'!F54,'14. Project Costs'!F49,'14. Project Costs'!F31),0)</f>
        <v>0</v>
      </c>
      <c r="M139" s="1830"/>
      <c r="N139" s="1027"/>
      <c r="O139" s="1940"/>
      <c r="P139" s="1941"/>
      <c r="Q139" s="1941"/>
      <c r="R139" s="1942"/>
      <c r="S139" s="1027"/>
      <c r="T139" s="793"/>
      <c r="U139" s="793"/>
      <c r="V139" s="793"/>
    </row>
    <row r="140" spans="2:22" ht="14.45" customHeight="1">
      <c r="B140" s="1027"/>
      <c r="C140" s="1027"/>
      <c r="D140" s="1027"/>
      <c r="E140" s="1027"/>
      <c r="F140" s="1027"/>
      <c r="G140" s="1027"/>
      <c r="H140" s="1027"/>
      <c r="I140" s="1027"/>
      <c r="J140" s="1027"/>
      <c r="K140" s="1027"/>
      <c r="L140" s="1027"/>
      <c r="M140" s="1027"/>
      <c r="N140" s="1027"/>
      <c r="O140" s="1943"/>
      <c r="P140" s="1944"/>
      <c r="Q140" s="1944"/>
      <c r="R140" s="1945"/>
      <c r="S140" s="1027"/>
      <c r="T140" s="793"/>
      <c r="U140" s="793"/>
      <c r="V140" s="793"/>
    </row>
    <row r="141" spans="2:22" ht="14.45" customHeight="1">
      <c r="B141" s="1027"/>
      <c r="C141" s="1027"/>
      <c r="D141" s="1027"/>
      <c r="E141" s="1027"/>
      <c r="F141" s="1027"/>
      <c r="G141" s="1027"/>
      <c r="H141" s="1027"/>
      <c r="I141" s="1027"/>
      <c r="J141" s="1027"/>
      <c r="K141" s="1027"/>
      <c r="L141" s="1027"/>
      <c r="M141" s="1027"/>
      <c r="N141" s="1027"/>
      <c r="O141" s="1946"/>
      <c r="P141" s="1947"/>
      <c r="Q141" s="1947"/>
      <c r="R141" s="1948"/>
      <c r="S141" s="1027"/>
      <c r="T141" s="793"/>
      <c r="U141" s="793"/>
      <c r="V141" s="793"/>
    </row>
    <row r="142" spans="2:22" ht="14.45" customHeight="1">
      <c r="B142" s="1027"/>
      <c r="C142" s="1027"/>
      <c r="D142" s="1027"/>
      <c r="E142" s="1027"/>
      <c r="F142" s="1027"/>
      <c r="G142" s="1027"/>
      <c r="H142" s="1027"/>
      <c r="I142" s="1027"/>
      <c r="J142" s="1027"/>
      <c r="K142" s="1027"/>
      <c r="L142" s="1027"/>
      <c r="M142" s="1027"/>
      <c r="N142" s="1027"/>
      <c r="O142" s="1027"/>
      <c r="P142" s="1027"/>
      <c r="Q142" s="1027"/>
      <c r="R142" s="1027"/>
      <c r="S142" s="1027"/>
      <c r="T142" s="793"/>
      <c r="U142" s="793"/>
      <c r="V142" s="793"/>
    </row>
    <row r="143" spans="2:22" ht="14.45" customHeight="1">
      <c r="B143" s="1027"/>
      <c r="C143" s="604" t="s">
        <v>3587</v>
      </c>
      <c r="D143" s="755"/>
      <c r="E143" s="755"/>
      <c r="F143" s="755"/>
      <c r="G143" s="755"/>
      <c r="H143" s="755"/>
      <c r="I143" s="1836" t="s">
        <v>3572</v>
      </c>
      <c r="J143" s="1837"/>
      <c r="K143" s="1027"/>
      <c r="L143" s="1833" t="s">
        <v>2964</v>
      </c>
      <c r="M143" s="1833"/>
      <c r="N143" s="1027"/>
      <c r="O143" s="1030" t="s">
        <v>3588</v>
      </c>
      <c r="P143" s="1027"/>
      <c r="Q143" s="1027"/>
      <c r="R143" s="1027"/>
      <c r="S143" s="1027"/>
      <c r="T143" s="793"/>
      <c r="U143" s="793"/>
      <c r="V143" s="793"/>
    </row>
    <row r="144" spans="2:22" ht="15" customHeight="1">
      <c r="B144" s="1027"/>
      <c r="C144" s="1840" t="s">
        <v>3569</v>
      </c>
      <c r="D144" s="1841"/>
      <c r="E144" s="1841"/>
      <c r="F144" s="1841"/>
      <c r="G144" s="1841"/>
      <c r="H144" s="494"/>
      <c r="I144" s="1838" t="s">
        <v>3589</v>
      </c>
      <c r="J144" s="1839"/>
      <c r="K144" s="1027"/>
      <c r="L144" s="1829" t="str">
        <f>IF('17. Cash Flow and Reserves'!R158&gt;0, "Not Repaid","Repaid")</f>
        <v>Repaid</v>
      </c>
      <c r="M144" s="1830"/>
      <c r="N144" s="1027"/>
      <c r="O144" s="1940"/>
      <c r="P144" s="1941"/>
      <c r="Q144" s="1941"/>
      <c r="R144" s="1942"/>
      <c r="S144" s="1027"/>
      <c r="T144" s="793"/>
      <c r="U144" s="793"/>
      <c r="V144" s="793"/>
    </row>
    <row r="145" spans="2:22" ht="14.45" customHeight="1">
      <c r="B145" s="1027"/>
      <c r="C145" s="1027"/>
      <c r="D145" s="1027"/>
      <c r="E145" s="1027"/>
      <c r="F145" s="1027"/>
      <c r="G145" s="1027"/>
      <c r="H145" s="1027"/>
      <c r="I145" s="1027"/>
      <c r="J145" s="1027"/>
      <c r="K145" s="1027"/>
      <c r="L145" s="1027"/>
      <c r="M145" s="1027"/>
      <c r="N145" s="1027"/>
      <c r="O145" s="1943"/>
      <c r="P145" s="1944"/>
      <c r="Q145" s="1944"/>
      <c r="R145" s="1945"/>
      <c r="S145" s="1027"/>
      <c r="T145" s="793"/>
      <c r="U145" s="793"/>
      <c r="V145" s="793"/>
    </row>
    <row r="146" spans="2:22" ht="14.45" customHeight="1">
      <c r="B146" s="1027"/>
      <c r="C146" s="1027"/>
      <c r="D146" s="1027"/>
      <c r="E146" s="1027"/>
      <c r="F146" s="1027"/>
      <c r="G146" s="1027"/>
      <c r="H146" s="1027"/>
      <c r="I146" s="1027"/>
      <c r="J146" s="1027"/>
      <c r="K146" s="1027"/>
      <c r="L146" s="1027"/>
      <c r="M146" s="1027"/>
      <c r="N146" s="1027"/>
      <c r="O146" s="1946"/>
      <c r="P146" s="1947"/>
      <c r="Q146" s="1947"/>
      <c r="R146" s="1948"/>
      <c r="S146" s="1027"/>
      <c r="T146" s="793"/>
      <c r="U146" s="793"/>
      <c r="V146" s="793"/>
    </row>
    <row r="147" spans="2:22" ht="14.45" customHeight="1">
      <c r="B147" s="1027"/>
      <c r="C147" s="1027"/>
      <c r="D147" s="1027"/>
      <c r="E147" s="1027"/>
      <c r="F147" s="1027"/>
      <c r="G147" s="1027"/>
      <c r="H147" s="1027"/>
      <c r="I147" s="1027"/>
      <c r="J147" s="1027"/>
      <c r="K147" s="1027"/>
      <c r="L147" s="1027"/>
      <c r="M147" s="1027"/>
      <c r="N147" s="1027"/>
      <c r="O147" s="1027"/>
      <c r="P147" s="1027"/>
      <c r="Q147" s="1027"/>
      <c r="R147" s="1027"/>
      <c r="S147" s="1027"/>
      <c r="T147" s="793"/>
      <c r="U147" s="793"/>
      <c r="V147" s="793"/>
    </row>
    <row r="148" spans="2:22" ht="14.45" customHeight="1">
      <c r="B148" s="1027"/>
      <c r="C148" s="1027"/>
      <c r="D148" s="1027"/>
      <c r="E148" s="1027"/>
      <c r="F148" s="1027"/>
      <c r="G148" s="1027"/>
      <c r="H148" s="1027"/>
      <c r="I148" s="1027"/>
      <c r="J148" s="1027"/>
      <c r="K148" s="1027"/>
      <c r="L148" s="1027"/>
      <c r="M148" s="1027"/>
      <c r="N148" s="1027"/>
      <c r="O148" s="1027"/>
      <c r="P148" s="1027"/>
      <c r="Q148" s="1027"/>
      <c r="R148" s="1027"/>
      <c r="S148" s="1027"/>
      <c r="T148" s="793"/>
      <c r="U148" s="793"/>
      <c r="V148" s="793"/>
    </row>
    <row r="149" spans="2:22" ht="14.45" customHeight="1">
      <c r="B149" s="1027"/>
      <c r="C149" s="604" t="s">
        <v>3590</v>
      </c>
      <c r="D149" s="755"/>
      <c r="E149" s="755"/>
      <c r="F149" s="755"/>
      <c r="G149" s="755"/>
      <c r="H149" s="755"/>
      <c r="I149" s="1836" t="s">
        <v>3572</v>
      </c>
      <c r="J149" s="1837"/>
      <c r="K149" s="1027"/>
      <c r="L149" s="1833" t="s">
        <v>2964</v>
      </c>
      <c r="M149" s="1833"/>
      <c r="N149" s="1027"/>
      <c r="O149" s="1030" t="s">
        <v>3591</v>
      </c>
      <c r="P149" s="1027"/>
      <c r="Q149" s="1027"/>
      <c r="R149" s="1027"/>
      <c r="S149" s="1027"/>
      <c r="T149" s="793"/>
      <c r="U149" s="793"/>
      <c r="V149" s="793"/>
    </row>
    <row r="150" spans="2:22">
      <c r="B150" s="1027"/>
      <c r="C150" s="1825" t="s">
        <v>3569</v>
      </c>
      <c r="D150" s="1826"/>
      <c r="E150" s="1826"/>
      <c r="F150" s="1826"/>
      <c r="G150" s="1826"/>
      <c r="H150" s="1981" t="s">
        <v>3592</v>
      </c>
      <c r="I150" s="1981"/>
      <c r="J150" s="1982"/>
      <c r="K150" s="1027"/>
      <c r="L150" s="1831" t="str">
        <f>HYPERLINK("#Unit_Mix_Analysis", Unit_Mix_Analysis)</f>
        <v>Unit Mix Analysis</v>
      </c>
      <c r="M150" s="1832"/>
      <c r="N150" s="1027"/>
      <c r="O150" s="1917"/>
      <c r="P150" s="1918"/>
      <c r="Q150" s="1918"/>
      <c r="R150" s="1919"/>
      <c r="S150" s="1027"/>
      <c r="T150" s="793"/>
      <c r="U150" s="793"/>
      <c r="V150" s="793"/>
    </row>
    <row r="151" spans="2:22" ht="14.45" customHeight="1">
      <c r="B151" s="1027"/>
      <c r="C151" s="690"/>
      <c r="D151" s="494"/>
      <c r="E151" s="494"/>
      <c r="F151" s="494"/>
      <c r="G151" s="494"/>
      <c r="H151" s="1983"/>
      <c r="I151" s="1983"/>
      <c r="J151" s="1984"/>
      <c r="K151" s="1027"/>
      <c r="L151" s="1027"/>
      <c r="M151" s="1027"/>
      <c r="N151" s="1027"/>
      <c r="O151" s="1920"/>
      <c r="P151" s="1921"/>
      <c r="Q151" s="1921"/>
      <c r="R151" s="1922"/>
      <c r="S151" s="1027"/>
      <c r="T151" s="793"/>
      <c r="U151" s="793"/>
      <c r="V151" s="793"/>
    </row>
    <row r="152" spans="2:22" ht="14.45" customHeight="1">
      <c r="B152" s="1027"/>
      <c r="C152" s="1027"/>
      <c r="D152" s="1027"/>
      <c r="E152" s="1027"/>
      <c r="F152" s="1027"/>
      <c r="G152" s="1027"/>
      <c r="H152" s="1027"/>
      <c r="I152" s="1027"/>
      <c r="J152" s="1027"/>
      <c r="K152" s="1027"/>
      <c r="L152" s="1027"/>
      <c r="M152" s="1027"/>
      <c r="N152" s="1027"/>
      <c r="O152" s="1923"/>
      <c r="P152" s="1924"/>
      <c r="Q152" s="1924"/>
      <c r="R152" s="1925"/>
      <c r="S152" s="1027"/>
      <c r="T152" s="793"/>
      <c r="U152" s="793"/>
      <c r="V152" s="793"/>
    </row>
    <row r="153" spans="2:22" ht="14.45" customHeight="1">
      <c r="B153" s="1027"/>
      <c r="C153" s="1027"/>
      <c r="D153" s="1027"/>
      <c r="E153" s="1027"/>
      <c r="F153" s="1027"/>
      <c r="G153" s="1027"/>
      <c r="H153" s="1027"/>
      <c r="I153" s="1027"/>
      <c r="J153" s="1027"/>
      <c r="K153" s="1027"/>
      <c r="L153" s="1027"/>
      <c r="M153" s="1027"/>
      <c r="N153" s="1027"/>
      <c r="O153" s="1027"/>
      <c r="P153" s="1027"/>
      <c r="Q153" s="1027"/>
      <c r="R153" s="1027"/>
      <c r="S153" s="1027"/>
      <c r="T153" s="793"/>
      <c r="U153" s="793"/>
      <c r="V153" s="793"/>
    </row>
    <row r="154" spans="2:22">
      <c r="T154" s="793"/>
      <c r="U154" s="793"/>
      <c r="V154" s="793"/>
    </row>
  </sheetData>
  <sheetProtection algorithmName="SHA-512" hashValue="x+2oEuXioXmk95lLkpeGMyiRhuYgjsQWMQErso1BX2+RP7Wti4J+Wnhf8zq7GXx21+UgJbN3EkoUB59AIPxxHg==" saltValue="skd2PdI1c60Gaw7WMXGeXA==" spinCount="100000" sheet="1" objects="1" scenarios="1" selectLockedCells="1"/>
  <mergeCells count="242">
    <mergeCell ref="R6:U6"/>
    <mergeCell ref="R14:U14"/>
    <mergeCell ref="R22:U22"/>
    <mergeCell ref="R33:U33"/>
    <mergeCell ref="H150:J151"/>
    <mergeCell ref="C8:P39"/>
    <mergeCell ref="F90:G90"/>
    <mergeCell ref="F91:G91"/>
    <mergeCell ref="F92:G92"/>
    <mergeCell ref="F93:G93"/>
    <mergeCell ref="F94:G94"/>
    <mergeCell ref="R7:S7"/>
    <mergeCell ref="R8:S8"/>
    <mergeCell ref="R9:S9"/>
    <mergeCell ref="R10:S10"/>
    <mergeCell ref="R11:S11"/>
    <mergeCell ref="R18:S18"/>
    <mergeCell ref="R19:S19"/>
    <mergeCell ref="R20:S20"/>
    <mergeCell ref="R28:S28"/>
    <mergeCell ref="R27:S27"/>
    <mergeCell ref="R26:S26"/>
    <mergeCell ref="R25:S25"/>
    <mergeCell ref="R23:S23"/>
    <mergeCell ref="R15:S15"/>
    <mergeCell ref="R16:S16"/>
    <mergeCell ref="R17:S17"/>
    <mergeCell ref="L94:P94"/>
    <mergeCell ref="L95:P95"/>
    <mergeCell ref="T7:U7"/>
    <mergeCell ref="T8:U8"/>
    <mergeCell ref="T9:U9"/>
    <mergeCell ref="T11:U11"/>
    <mergeCell ref="T15:U15"/>
    <mergeCell ref="T16:U16"/>
    <mergeCell ref="T17:U17"/>
    <mergeCell ref="T18:U18"/>
    <mergeCell ref="T19:U19"/>
    <mergeCell ref="T20:U20"/>
    <mergeCell ref="T23:U23"/>
    <mergeCell ref="T24:U24"/>
    <mergeCell ref="T25:U25"/>
    <mergeCell ref="T26:U26"/>
    <mergeCell ref="T27:U27"/>
    <mergeCell ref="L84:P84"/>
    <mergeCell ref="L85:P85"/>
    <mergeCell ref="L86:P86"/>
    <mergeCell ref="L87:P87"/>
    <mergeCell ref="R24:S24"/>
    <mergeCell ref="O105:R107"/>
    <mergeCell ref="L51:O51"/>
    <mergeCell ref="Q72:R72"/>
    <mergeCell ref="Q73:R73"/>
    <mergeCell ref="Q74:R74"/>
    <mergeCell ref="Q75:R75"/>
    <mergeCell ref="Q76:R76"/>
    <mergeCell ref="Q77:R77"/>
    <mergeCell ref="Q78:R78"/>
    <mergeCell ref="Q79:R79"/>
    <mergeCell ref="Q80:R80"/>
    <mergeCell ref="Q90:R90"/>
    <mergeCell ref="L105:M105"/>
    <mergeCell ref="L93:P93"/>
    <mergeCell ref="O139:R141"/>
    <mergeCell ref="O144:R146"/>
    <mergeCell ref="T28:U28"/>
    <mergeCell ref="L69:R69"/>
    <mergeCell ref="L70:R70"/>
    <mergeCell ref="L96:P96"/>
    <mergeCell ref="L71:P71"/>
    <mergeCell ref="L72:P72"/>
    <mergeCell ref="L73:P73"/>
    <mergeCell ref="L74:P74"/>
    <mergeCell ref="L75:P75"/>
    <mergeCell ref="L76:P76"/>
    <mergeCell ref="L77:P77"/>
    <mergeCell ref="L78:P78"/>
    <mergeCell ref="L79:P79"/>
    <mergeCell ref="L80:P80"/>
    <mergeCell ref="L82:P82"/>
    <mergeCell ref="L83:P83"/>
    <mergeCell ref="L50:O50"/>
    <mergeCell ref="L88:P88"/>
    <mergeCell ref="L90:P90"/>
    <mergeCell ref="L91:P91"/>
    <mergeCell ref="L92:P92"/>
    <mergeCell ref="L89:R89"/>
    <mergeCell ref="O118:R120"/>
    <mergeCell ref="O112:R114"/>
    <mergeCell ref="O123:R125"/>
    <mergeCell ref="O129:R131"/>
    <mergeCell ref="O134:R136"/>
    <mergeCell ref="G82:H82"/>
    <mergeCell ref="G83:H83"/>
    <mergeCell ref="C81:F81"/>
    <mergeCell ref="C82:F82"/>
    <mergeCell ref="L112:M112"/>
    <mergeCell ref="L111:M111"/>
    <mergeCell ref="L104:M104"/>
    <mergeCell ref="C105:G105"/>
    <mergeCell ref="C106:G106"/>
    <mergeCell ref="C107:G107"/>
    <mergeCell ref="I105:J105"/>
    <mergeCell ref="I106:J106"/>
    <mergeCell ref="I117:J117"/>
    <mergeCell ref="I118:J118"/>
    <mergeCell ref="C118:G118"/>
    <mergeCell ref="I123:J123"/>
    <mergeCell ref="C122:G122"/>
    <mergeCell ref="C123:G123"/>
    <mergeCell ref="L122:M122"/>
    <mergeCell ref="O150:R152"/>
    <mergeCell ref="T29:U29"/>
    <mergeCell ref="T30:U30"/>
    <mergeCell ref="T31:U31"/>
    <mergeCell ref="R31:S31"/>
    <mergeCell ref="R30:S30"/>
    <mergeCell ref="R29:S29"/>
    <mergeCell ref="Q91:R91"/>
    <mergeCell ref="Q92:R92"/>
    <mergeCell ref="Q93:R93"/>
    <mergeCell ref="Q94:R94"/>
    <mergeCell ref="Q95:R95"/>
    <mergeCell ref="Q96:R96"/>
    <mergeCell ref="Q82:R82"/>
    <mergeCell ref="Q83:R83"/>
    <mergeCell ref="Q84:R84"/>
    <mergeCell ref="Q85:R85"/>
    <mergeCell ref="Q86:R86"/>
    <mergeCell ref="Q87:R87"/>
    <mergeCell ref="Q88:R88"/>
    <mergeCell ref="C101:R102"/>
    <mergeCell ref="C112:G112"/>
    <mergeCell ref="I111:J111"/>
    <mergeCell ref="I112:J112"/>
    <mergeCell ref="C75:F75"/>
    <mergeCell ref="C76:F76"/>
    <mergeCell ref="C77:F77"/>
    <mergeCell ref="C78:F78"/>
    <mergeCell ref="I84:J84"/>
    <mergeCell ref="I85:J85"/>
    <mergeCell ref="C69:J69"/>
    <mergeCell ref="G86:H86"/>
    <mergeCell ref="G87:H87"/>
    <mergeCell ref="G84:H84"/>
    <mergeCell ref="G85:H85"/>
    <mergeCell ref="I70:J70"/>
    <mergeCell ref="I71:J71"/>
    <mergeCell ref="I72:J72"/>
    <mergeCell ref="I73:J73"/>
    <mergeCell ref="I74:J74"/>
    <mergeCell ref="I75:J75"/>
    <mergeCell ref="I76:J76"/>
    <mergeCell ref="I77:J77"/>
    <mergeCell ref="I78:J78"/>
    <mergeCell ref="I79:J79"/>
    <mergeCell ref="I80:J80"/>
    <mergeCell ref="C87:F87"/>
    <mergeCell ref="G70:H70"/>
    <mergeCell ref="C6:P7"/>
    <mergeCell ref="L44:O44"/>
    <mergeCell ref="L45:O45"/>
    <mergeCell ref="L46:O46"/>
    <mergeCell ref="L52:O52"/>
    <mergeCell ref="L53:O53"/>
    <mergeCell ref="L54:O54"/>
    <mergeCell ref="C96:E96"/>
    <mergeCell ref="F95:G95"/>
    <mergeCell ref="F96:G96"/>
    <mergeCell ref="C89:G89"/>
    <mergeCell ref="I81:J81"/>
    <mergeCell ref="I82:J82"/>
    <mergeCell ref="I83:J83"/>
    <mergeCell ref="C86:F86"/>
    <mergeCell ref="C43:J43"/>
    <mergeCell ref="L81:R81"/>
    <mergeCell ref="G81:H81"/>
    <mergeCell ref="C70:F70"/>
    <mergeCell ref="C71:F71"/>
    <mergeCell ref="C72:F72"/>
    <mergeCell ref="C73:F73"/>
    <mergeCell ref="C83:F83"/>
    <mergeCell ref="C84:F84"/>
    <mergeCell ref="C55:J55"/>
    <mergeCell ref="L47:O47"/>
    <mergeCell ref="L48:O48"/>
    <mergeCell ref="L49:O49"/>
    <mergeCell ref="Q71:R71"/>
    <mergeCell ref="C104:G104"/>
    <mergeCell ref="I107:J107"/>
    <mergeCell ref="I104:J104"/>
    <mergeCell ref="C111:G111"/>
    <mergeCell ref="C95:E95"/>
    <mergeCell ref="C85:F85"/>
    <mergeCell ref="G71:H71"/>
    <mergeCell ref="G72:H72"/>
    <mergeCell ref="G73:H73"/>
    <mergeCell ref="G74:H74"/>
    <mergeCell ref="G75:H75"/>
    <mergeCell ref="G76:H76"/>
    <mergeCell ref="G77:H77"/>
    <mergeCell ref="G78:H78"/>
    <mergeCell ref="G79:H79"/>
    <mergeCell ref="C79:F79"/>
    <mergeCell ref="C80:F80"/>
    <mergeCell ref="G80:H80"/>
    <mergeCell ref="C74:F74"/>
    <mergeCell ref="L117:M117"/>
    <mergeCell ref="L128:M128"/>
    <mergeCell ref="C124:G124"/>
    <mergeCell ref="C125:G125"/>
    <mergeCell ref="C126:G126"/>
    <mergeCell ref="I124:J124"/>
    <mergeCell ref="I125:J125"/>
    <mergeCell ref="I126:J126"/>
    <mergeCell ref="L123:M123"/>
    <mergeCell ref="L118:M118"/>
    <mergeCell ref="I128:J128"/>
    <mergeCell ref="T10:U10"/>
    <mergeCell ref="C150:G150"/>
    <mergeCell ref="L129:M129"/>
    <mergeCell ref="L134:M134"/>
    <mergeCell ref="L139:M139"/>
    <mergeCell ref="L144:M144"/>
    <mergeCell ref="L150:M150"/>
    <mergeCell ref="L149:M149"/>
    <mergeCell ref="L143:M143"/>
    <mergeCell ref="L133:M133"/>
    <mergeCell ref="L138:M138"/>
    <mergeCell ref="I133:J133"/>
    <mergeCell ref="I138:J138"/>
    <mergeCell ref="I143:J143"/>
    <mergeCell ref="I149:J149"/>
    <mergeCell ref="I129:J129"/>
    <mergeCell ref="I134:J134"/>
    <mergeCell ref="I139:J139"/>
    <mergeCell ref="I144:J144"/>
    <mergeCell ref="C129:G129"/>
    <mergeCell ref="C134:G134"/>
    <mergeCell ref="C139:G139"/>
    <mergeCell ref="C144:G144"/>
    <mergeCell ref="I122:J122"/>
  </mergeCells>
  <conditionalFormatting sqref="D57:J57 D57:I64 J58:J64">
    <cfRule type="cellIs" dxfId="385" priority="3" operator="between">
      <formula>0.001</formula>
      <formula>0.099999</formula>
    </cfRule>
  </conditionalFormatting>
  <conditionalFormatting sqref="L71:L80 L82:L88 L90:L95">
    <cfRule type="containsText" dxfId="384" priority="7" operator="containsText" text="Enter Source">
      <formula>NOT(ISERROR(SEARCH("Enter Source",L71)))</formula>
    </cfRule>
  </conditionalFormatting>
  <dataValidations count="1">
    <dataValidation type="custom" allowBlank="1" showInputMessage="1" showErrorMessage="1" sqref="L1 L150:M150" xr:uid="{0621863D-0F05-4AB2-857F-F4FF2E4774BB}">
      <formula1>"&lt;0&gt;0"</formula1>
    </dataValidation>
  </dataValidations>
  <pageMargins left="0.7" right="0.7" top="0.75" bottom="0.75" header="0.3" footer="0.3"/>
  <pageSetup scale="37" fitToHeight="0" orientation="portrait" r:id="rId1"/>
  <headerFooter>
    <oddHeader>&amp;L&amp;G</oddHeader>
    <oddFooter>&amp;CWHEDA MULTIFAMILY APPLICATION&amp;R&amp;P of &amp;N</oddFooter>
  </headerFooter>
  <rowBreaks count="1" manualBreakCount="1">
    <brk id="121"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6FC05-9F88-4158-88B4-11154F34E245}">
  <sheetPr codeName="Sheet3">
    <pageSetUpPr fitToPage="1"/>
  </sheetPr>
  <dimension ref="A1:BA121"/>
  <sheetViews>
    <sheetView workbookViewId="0">
      <selection activeCell="D6" sqref="D6"/>
    </sheetView>
  </sheetViews>
  <sheetFormatPr defaultColWidth="8.85546875" defaultRowHeight="15"/>
  <cols>
    <col min="1" max="1" width="5.5703125" style="3" customWidth="1"/>
    <col min="2" max="2" width="7.42578125" style="3" customWidth="1"/>
    <col min="3" max="3" width="38.140625" style="3" bestFit="1" customWidth="1"/>
    <col min="4" max="4" width="40.28515625" style="3" customWidth="1"/>
    <col min="5" max="5" width="43.140625" style="3" customWidth="1"/>
    <col min="6" max="6" width="24.5703125" style="3" customWidth="1"/>
    <col min="7" max="7" width="15.85546875" style="3" customWidth="1"/>
    <col min="8" max="8" width="10.28515625" style="3" bestFit="1" customWidth="1"/>
    <col min="9" max="9" width="6.7109375" style="3" customWidth="1"/>
    <col min="10" max="12" width="11.85546875" style="97" customWidth="1"/>
    <col min="13" max="13" width="22.140625" style="97" customWidth="1"/>
    <col min="14" max="14" width="25" style="97" customWidth="1"/>
    <col min="15" max="15" width="27" style="97" customWidth="1"/>
    <col min="16" max="16" width="23.85546875" style="97" hidden="1" customWidth="1"/>
    <col min="17" max="17" width="15" style="97" hidden="1" customWidth="1"/>
    <col min="18" max="25" width="8.85546875" style="97" customWidth="1"/>
    <col min="26" max="34" width="8.85546875" style="39" customWidth="1"/>
    <col min="35" max="45" width="8.85546875" customWidth="1"/>
  </cols>
  <sheetData>
    <row r="1" spans="1:53" ht="28.5">
      <c r="B1" s="4" t="str">
        <f>'1. TOC'!B1</f>
        <v>WHEDA 2025 Multifamily Application</v>
      </c>
      <c r="C1" s="4"/>
      <c r="E1" s="115" t="str">
        <f>'1. TOC'!L1</f>
        <v>v25.1.12</v>
      </c>
      <c r="F1" s="947" t="str">
        <f>HYPERLINK("#Table_of_Contents", Table_of_Contents)</f>
        <v>Table of Contents</v>
      </c>
    </row>
    <row r="2" spans="1:53" ht="19.5" customHeight="1">
      <c r="B2" s="841" t="str">
        <f>_xlfn.CONCAT(IF(ISBLANK(WHEDA_Project_Number),"",_xlfn.CONCAT(WHEDA_Project_Number," - ")), Project_Name, IF(ISBLANK(Credit_percentage_applied_for),"",_xlfn.CONCAT(" - ", Credit_percentage_applied_for," HTC")))</f>
        <v/>
      </c>
      <c r="C2" s="813"/>
      <c r="D2" s="62"/>
      <c r="E2" s="62"/>
      <c r="F2" s="814"/>
      <c r="G2" s="62"/>
      <c r="H2" s="62"/>
      <c r="I2" s="62"/>
    </row>
    <row r="3" spans="1:53" ht="15.75">
      <c r="A3" s="929"/>
      <c r="AG3"/>
      <c r="AH3"/>
    </row>
    <row r="4" spans="1:53" ht="28.5">
      <c r="A4" s="929"/>
      <c r="B4" s="4" t="s">
        <v>3593</v>
      </c>
      <c r="AG4"/>
      <c r="AH4"/>
    </row>
    <row r="5" spans="1:53" ht="15.75">
      <c r="A5" s="929"/>
      <c r="B5" s="1027"/>
      <c r="C5" s="1027"/>
      <c r="D5" s="1027"/>
      <c r="E5" s="1027"/>
      <c r="F5" s="1027"/>
      <c r="G5" s="1027"/>
      <c r="H5" s="1027"/>
      <c r="I5" s="1027"/>
      <c r="Z5" s="97"/>
      <c r="AA5" s="97"/>
      <c r="AB5" s="97"/>
      <c r="AC5" s="97"/>
      <c r="AD5" s="97"/>
      <c r="AE5" s="97"/>
      <c r="AF5" s="97"/>
      <c r="AG5" s="3"/>
      <c r="AH5" s="3"/>
      <c r="AI5" s="3"/>
      <c r="AJ5" s="3"/>
      <c r="AK5" s="3"/>
      <c r="AL5" s="3"/>
      <c r="AM5" s="3"/>
      <c r="AN5" s="3"/>
      <c r="AO5" s="3"/>
      <c r="AP5" s="3"/>
      <c r="AQ5" s="3"/>
      <c r="AR5" s="3"/>
      <c r="AS5" s="3"/>
      <c r="AT5" s="3"/>
      <c r="AU5" s="3"/>
      <c r="AV5" s="3"/>
      <c r="AW5" s="3"/>
      <c r="AX5" s="3"/>
      <c r="AY5" s="3"/>
    </row>
    <row r="6" spans="1:53" ht="15.75">
      <c r="A6" s="929"/>
      <c r="B6" s="1027"/>
      <c r="C6" s="1706" t="s">
        <v>3594</v>
      </c>
      <c r="D6" s="1701"/>
      <c r="E6" s="1706" t="s">
        <v>3595</v>
      </c>
      <c r="F6" s="63"/>
      <c r="G6" s="1706" t="str">
        <f>IF(Is_project_a_Scattered_Site?="No","# of Buildings ", "# of Sites ")</f>
        <v xml:space="preserve"># of Sites </v>
      </c>
      <c r="H6" s="164"/>
      <c r="I6" s="1027"/>
      <c r="Z6" s="97"/>
      <c r="AA6" s="97"/>
      <c r="AB6" s="97"/>
      <c r="AC6" s="97"/>
      <c r="AD6" s="97"/>
      <c r="AE6" s="97"/>
      <c r="AF6" s="97"/>
      <c r="AG6" s="3"/>
      <c r="AH6" s="3"/>
      <c r="AI6" s="3"/>
      <c r="AJ6" s="3"/>
      <c r="AK6" s="3"/>
      <c r="AL6" s="3"/>
      <c r="AM6" s="3"/>
      <c r="AN6" s="3"/>
      <c r="AO6" s="3"/>
      <c r="AP6" s="3"/>
      <c r="AQ6" s="3"/>
      <c r="AR6" s="3"/>
      <c r="AS6" s="3"/>
      <c r="AT6" s="3"/>
      <c r="AU6" s="3"/>
      <c r="AV6" s="3"/>
      <c r="AW6" s="3"/>
      <c r="AX6" s="3"/>
      <c r="AY6" s="3"/>
    </row>
    <row r="7" spans="1:53" ht="15.75">
      <c r="A7" s="929"/>
      <c r="B7" s="1027"/>
      <c r="C7" s="1706"/>
      <c r="D7" s="1039"/>
      <c r="E7" s="2010" t="s">
        <v>3596</v>
      </c>
      <c r="F7" s="2010"/>
      <c r="G7" s="2010"/>
      <c r="H7" s="2010"/>
      <c r="I7" s="1027"/>
      <c r="Z7" s="97"/>
      <c r="AA7" s="97"/>
      <c r="AB7" s="97"/>
      <c r="AC7" s="97"/>
      <c r="AD7" s="97"/>
      <c r="AE7" s="97"/>
      <c r="AF7" s="97"/>
      <c r="AG7" s="3"/>
      <c r="AH7" s="3"/>
      <c r="AI7" s="3"/>
      <c r="AJ7" s="3"/>
      <c r="AK7" s="3"/>
      <c r="AL7" s="3"/>
      <c r="AM7" s="3"/>
      <c r="AN7" s="3"/>
      <c r="AO7" s="3"/>
      <c r="AP7" s="3"/>
      <c r="AQ7" s="3"/>
      <c r="AR7" s="3"/>
      <c r="AS7" s="3"/>
      <c r="AT7" s="3"/>
      <c r="AU7" s="3"/>
      <c r="AV7" s="3"/>
      <c r="AW7" s="3"/>
      <c r="AX7" s="3"/>
      <c r="AY7" s="3"/>
    </row>
    <row r="8" spans="1:53" ht="15.75">
      <c r="A8" s="930"/>
      <c r="B8" s="1027"/>
      <c r="C8" s="1706" t="s">
        <v>3597</v>
      </c>
      <c r="D8" s="2011"/>
      <c r="E8" s="2012"/>
      <c r="F8" s="2012"/>
      <c r="G8" s="2012"/>
      <c r="H8" s="2013"/>
      <c r="I8" s="1027"/>
      <c r="Z8" s="97"/>
      <c r="AA8" s="97"/>
      <c r="AB8" s="97"/>
      <c r="AC8" s="97"/>
      <c r="AD8" s="97"/>
      <c r="AE8" s="97"/>
      <c r="AF8" s="97"/>
      <c r="AG8" s="3"/>
      <c r="AH8" s="3"/>
      <c r="AI8" s="3"/>
      <c r="AJ8" s="3"/>
      <c r="AK8" s="3"/>
      <c r="AL8" s="3"/>
      <c r="AM8" s="3"/>
      <c r="AN8" s="3"/>
      <c r="AO8" s="3"/>
      <c r="AP8" s="3"/>
      <c r="AQ8" s="3"/>
      <c r="AR8" s="3"/>
      <c r="AS8" s="3"/>
      <c r="AT8" s="3"/>
      <c r="AU8" s="3"/>
      <c r="AV8" s="3"/>
      <c r="AW8" s="3"/>
      <c r="AX8" s="3"/>
      <c r="AY8" s="3"/>
    </row>
    <row r="9" spans="1:53" ht="15.75">
      <c r="A9" s="930"/>
      <c r="B9" s="1027"/>
      <c r="C9" s="1706"/>
      <c r="D9" s="2016" t="s">
        <v>3598</v>
      </c>
      <c r="E9" s="2016"/>
      <c r="F9" s="2016"/>
      <c r="G9" s="2016"/>
      <c r="H9" s="2016"/>
      <c r="I9" s="1027"/>
      <c r="Z9" s="97"/>
      <c r="AA9" s="97"/>
      <c r="AB9" s="97"/>
      <c r="AC9" s="97"/>
      <c r="AD9" s="97"/>
      <c r="AE9" s="97"/>
      <c r="AF9" s="97"/>
      <c r="AG9" s="3"/>
      <c r="AH9" s="3"/>
      <c r="AI9" s="3"/>
      <c r="AJ9" s="3"/>
      <c r="AK9" s="3"/>
      <c r="AL9" s="3"/>
      <c r="AM9" s="3"/>
      <c r="AN9" s="3"/>
      <c r="AO9" s="3"/>
      <c r="AP9" s="3"/>
      <c r="AQ9" s="3"/>
      <c r="AR9" s="3"/>
      <c r="AS9" s="3"/>
      <c r="AT9" s="3"/>
      <c r="AU9" s="3"/>
      <c r="AV9" s="3"/>
      <c r="AW9" s="3"/>
      <c r="AX9" s="3"/>
      <c r="AY9" s="3"/>
    </row>
    <row r="10" spans="1:53">
      <c r="A10" s="930"/>
      <c r="B10" s="1027"/>
      <c r="C10" s="1037"/>
      <c r="D10" s="2017" t="str">
        <f>HYPERLINK("https://tools.usps.com/zip-code-lookup.htm?byaddress", "USPS Lookup to verify the Address, City, and Zip Code.")</f>
        <v>USPS Lookup to verify the Address, City, and Zip Code.</v>
      </c>
      <c r="E10" s="2017"/>
      <c r="F10" s="1027"/>
      <c r="G10" s="1027"/>
      <c r="H10" s="1027"/>
      <c r="I10" s="1027"/>
      <c r="Z10" s="97"/>
      <c r="AA10" s="97"/>
      <c r="AB10" s="97"/>
      <c r="AC10" s="97"/>
      <c r="AD10" s="97"/>
      <c r="AE10" s="97"/>
      <c r="AF10" s="97"/>
      <c r="AG10" s="3"/>
      <c r="AH10" s="3"/>
      <c r="AI10" s="3"/>
      <c r="AJ10" s="3"/>
      <c r="AK10" s="3"/>
      <c r="AL10" s="3"/>
      <c r="AM10" s="3"/>
      <c r="AN10" s="3"/>
      <c r="AO10" s="3"/>
      <c r="AP10" s="3"/>
      <c r="AQ10" s="3"/>
      <c r="AR10" s="3"/>
      <c r="AS10" s="3"/>
      <c r="AT10" s="3"/>
      <c r="AU10" s="3"/>
      <c r="AV10" s="3"/>
      <c r="AW10" s="3"/>
      <c r="AX10" s="3"/>
      <c r="AY10" s="3"/>
    </row>
    <row r="11" spans="1:53" ht="15.75">
      <c r="A11" s="930"/>
      <c r="B11" s="1027"/>
      <c r="C11" s="1706" t="s">
        <v>3599</v>
      </c>
      <c r="D11" s="1701"/>
      <c r="E11" s="1040" t="s">
        <v>3600</v>
      </c>
      <c r="F11" s="632" t="s">
        <v>3601</v>
      </c>
      <c r="G11" s="1027"/>
      <c r="H11" s="1027"/>
      <c r="I11" s="1027"/>
      <c r="Z11" s="97"/>
      <c r="AA11" s="97"/>
      <c r="AB11" s="97"/>
      <c r="AC11" s="97"/>
      <c r="AD11" s="97"/>
      <c r="AE11" s="97"/>
      <c r="AF11" s="97"/>
      <c r="AG11" s="97"/>
      <c r="AH11" s="97"/>
      <c r="AI11" s="3"/>
      <c r="AJ11" s="3"/>
      <c r="AK11" s="3"/>
      <c r="AL11" s="3"/>
      <c r="AM11" s="3"/>
      <c r="AN11" s="3"/>
      <c r="AO11" s="3"/>
      <c r="AP11" s="3"/>
      <c r="AQ11" s="3"/>
      <c r="AR11" s="3"/>
      <c r="AS11" s="3"/>
      <c r="AT11" s="3"/>
      <c r="AU11" s="3"/>
      <c r="AV11" s="3"/>
      <c r="AW11" s="3"/>
      <c r="AX11" s="3"/>
      <c r="AY11" s="3"/>
      <c r="AZ11" s="3"/>
      <c r="BA11" s="3"/>
    </row>
    <row r="12" spans="1:53" ht="15.75">
      <c r="A12" s="930"/>
      <c r="B12" s="1027"/>
      <c r="C12" s="1706" t="s">
        <v>3602</v>
      </c>
      <c r="D12" s="260"/>
      <c r="E12" s="1706" t="s">
        <v>3603</v>
      </c>
      <c r="F12" s="262"/>
      <c r="G12" s="1027"/>
      <c r="H12" s="1027"/>
      <c r="I12" s="1027"/>
      <c r="Z12" s="97"/>
      <c r="AA12" s="97"/>
      <c r="AB12" s="97"/>
      <c r="AC12" s="97"/>
      <c r="AD12" s="97"/>
      <c r="AE12" s="97"/>
      <c r="AF12" s="97"/>
      <c r="AG12" s="97"/>
      <c r="AH12" s="97"/>
      <c r="AI12" s="3"/>
      <c r="AJ12" s="3"/>
      <c r="AK12" s="3"/>
      <c r="AL12" s="3"/>
      <c r="AM12" s="3"/>
      <c r="AN12" s="3"/>
      <c r="AO12" s="3"/>
      <c r="AP12" s="3"/>
      <c r="AQ12" s="3"/>
      <c r="AR12" s="3"/>
      <c r="AS12" s="3"/>
      <c r="AT12" s="3"/>
      <c r="AU12" s="3"/>
      <c r="AV12" s="3"/>
      <c r="AW12" s="3"/>
      <c r="AX12" s="3"/>
      <c r="AY12" s="3"/>
      <c r="AZ12" s="3"/>
      <c r="BA12" s="3"/>
    </row>
    <row r="13" spans="1:53" ht="15.75">
      <c r="A13" s="930"/>
      <c r="B13" s="1027"/>
      <c r="C13" s="1706" t="s">
        <v>3604</v>
      </c>
      <c r="D13" s="261"/>
      <c r="E13" s="1706" t="s">
        <v>3605</v>
      </c>
      <c r="F13" s="261"/>
      <c r="G13" s="1027"/>
      <c r="H13" s="1027"/>
      <c r="I13" s="1027"/>
      <c r="Z13" s="97"/>
      <c r="AA13" s="97"/>
      <c r="AB13" s="97"/>
      <c r="AC13" s="97"/>
      <c r="AD13" s="97"/>
      <c r="AE13" s="97"/>
      <c r="AF13" s="97"/>
      <c r="AG13" s="97"/>
      <c r="AH13" s="97"/>
      <c r="AI13" s="3"/>
      <c r="AJ13" s="3"/>
      <c r="AK13" s="3"/>
      <c r="AL13" s="3"/>
      <c r="AM13" s="3"/>
      <c r="AN13" s="3"/>
      <c r="AO13" s="3"/>
      <c r="AP13" s="3"/>
      <c r="AQ13" s="3"/>
      <c r="AR13" s="3"/>
      <c r="AS13" s="3"/>
      <c r="AT13" s="3"/>
      <c r="AU13" s="3"/>
      <c r="AV13" s="3"/>
      <c r="AW13" s="3"/>
      <c r="AX13" s="3"/>
      <c r="AY13" s="3"/>
      <c r="AZ13" s="3"/>
      <c r="BA13" s="3"/>
    </row>
    <row r="14" spans="1:53" ht="15.75">
      <c r="A14" s="930"/>
      <c r="B14" s="1027"/>
      <c r="C14" s="1706" t="s">
        <v>3606</v>
      </c>
      <c r="D14" s="573"/>
      <c r="E14" s="1706" t="s">
        <v>3607</v>
      </c>
      <c r="F14" s="1704"/>
      <c r="G14" s="1027"/>
      <c r="H14" s="1027"/>
      <c r="I14" s="1027"/>
      <c r="Z14" s="97"/>
      <c r="AA14" s="97"/>
      <c r="AB14" s="97"/>
      <c r="AC14" s="97"/>
      <c r="AD14" s="97"/>
      <c r="AE14" s="97"/>
      <c r="AF14" s="97"/>
      <c r="AG14" s="97"/>
      <c r="AH14" s="97"/>
      <c r="AI14" s="3"/>
      <c r="AJ14" s="3"/>
      <c r="AK14" s="3"/>
      <c r="AL14" s="3"/>
      <c r="AM14" s="3"/>
      <c r="AN14" s="3"/>
      <c r="AO14" s="3"/>
      <c r="AP14" s="3"/>
      <c r="AQ14" s="3"/>
      <c r="AR14" s="3"/>
      <c r="AS14" s="3"/>
      <c r="AT14" s="3"/>
      <c r="AU14" s="3"/>
      <c r="AV14" s="3"/>
      <c r="AW14" s="3"/>
      <c r="AX14" s="3"/>
      <c r="AY14" s="3"/>
      <c r="AZ14" s="3"/>
      <c r="BA14" s="3"/>
    </row>
    <row r="15" spans="1:53" ht="15.75">
      <c r="A15" s="930"/>
      <c r="B15" s="1027"/>
      <c r="C15" s="1706" t="s">
        <v>3608</v>
      </c>
      <c r="D15" s="1701"/>
      <c r="E15" s="1706" t="s">
        <v>3609</v>
      </c>
      <c r="F15" s="1025"/>
      <c r="G15" s="1027"/>
      <c r="H15" s="1027"/>
      <c r="I15" s="1027"/>
      <c r="Z15" s="97"/>
      <c r="AA15" s="97"/>
      <c r="AB15" s="97"/>
      <c r="AC15" s="97"/>
      <c r="AD15" s="97"/>
      <c r="AE15" s="97"/>
      <c r="AF15" s="97"/>
      <c r="AG15" s="97"/>
      <c r="AH15" s="97"/>
      <c r="AI15" s="3"/>
      <c r="AJ15" s="3"/>
      <c r="AK15" s="3"/>
      <c r="AL15" s="3"/>
      <c r="AM15" s="3"/>
      <c r="AN15" s="3"/>
      <c r="AO15" s="3"/>
      <c r="AP15" s="3"/>
      <c r="AQ15" s="3"/>
      <c r="AR15" s="3"/>
      <c r="AS15" s="3"/>
      <c r="AT15" s="3"/>
      <c r="AU15" s="3"/>
      <c r="AV15" s="3"/>
      <c r="AW15" s="3"/>
      <c r="AX15" s="3"/>
      <c r="AY15" s="3"/>
      <c r="AZ15" s="3"/>
      <c r="BA15" s="3"/>
    </row>
    <row r="16" spans="1:53" ht="15.75">
      <c r="A16" s="930"/>
      <c r="B16" s="1027"/>
      <c r="C16" s="1706" t="s">
        <v>3610</v>
      </c>
      <c r="D16" s="261"/>
      <c r="E16" s="1706" t="s">
        <v>3611</v>
      </c>
      <c r="F16" s="2018"/>
      <c r="G16" s="2019"/>
      <c r="H16" s="2020"/>
      <c r="I16" s="1027"/>
      <c r="Z16" s="97"/>
      <c r="AA16" s="97"/>
      <c r="AB16" s="97"/>
      <c r="AC16" s="97"/>
      <c r="AD16" s="97"/>
      <c r="AE16" s="97"/>
      <c r="AF16" s="97"/>
      <c r="AG16" s="97"/>
      <c r="AH16" s="97"/>
      <c r="AI16" s="3"/>
      <c r="AJ16" s="3"/>
      <c r="AK16" s="3"/>
      <c r="AL16" s="3"/>
      <c r="AM16" s="3"/>
      <c r="AN16" s="3"/>
      <c r="AO16" s="3"/>
      <c r="AP16" s="3"/>
      <c r="AQ16" s="3"/>
      <c r="AR16" s="3"/>
      <c r="AS16" s="3"/>
      <c r="AT16" s="3"/>
      <c r="AU16" s="3"/>
      <c r="AV16" s="3"/>
      <c r="AW16" s="3"/>
      <c r="AX16" s="3"/>
      <c r="AY16" s="3"/>
      <c r="AZ16" s="3"/>
      <c r="BA16" s="3"/>
    </row>
    <row r="17" spans="1:53" ht="15" customHeight="1">
      <c r="A17" s="930"/>
      <c r="B17" s="1027"/>
      <c r="C17" s="1027"/>
      <c r="D17" s="1027"/>
      <c r="E17" s="1041"/>
      <c r="F17" s="1027"/>
      <c r="G17" s="1027"/>
      <c r="H17" s="1027"/>
      <c r="I17" s="1027"/>
      <c r="Z17" s="97"/>
      <c r="AA17" s="97"/>
      <c r="AB17" s="97"/>
      <c r="AC17" s="97"/>
      <c r="AD17" s="97"/>
      <c r="AE17" s="97"/>
      <c r="AF17" s="97"/>
      <c r="AG17" s="97"/>
      <c r="AH17" s="97"/>
      <c r="AI17" s="3"/>
      <c r="AJ17" s="3"/>
      <c r="AK17" s="3"/>
      <c r="AL17" s="3"/>
      <c r="AM17" s="3"/>
      <c r="AN17" s="3"/>
      <c r="AO17" s="3"/>
      <c r="AP17" s="3"/>
      <c r="AQ17" s="3"/>
      <c r="AR17" s="3"/>
      <c r="AS17" s="3"/>
      <c r="AT17" s="3"/>
      <c r="AU17" s="3"/>
      <c r="AV17" s="3"/>
      <c r="AW17" s="3"/>
      <c r="AX17" s="3"/>
      <c r="AY17" s="3"/>
      <c r="AZ17" s="3"/>
      <c r="BA17" s="3"/>
    </row>
    <row r="18" spans="1:53" s="39" customFormat="1">
      <c r="A18" s="931"/>
      <c r="B18" s="1035"/>
      <c r="C18" s="1035"/>
      <c r="D18" s="1035"/>
      <c r="E18" s="1035"/>
      <c r="F18" s="1035"/>
      <c r="G18" s="1035"/>
      <c r="H18" s="1035"/>
      <c r="I18" s="1035"/>
      <c r="J18" s="97"/>
      <c r="K18" s="97"/>
      <c r="L18" s="97"/>
      <c r="M18" s="97"/>
      <c r="N18" s="97"/>
      <c r="O18" s="97"/>
      <c r="P18" s="518">
        <f>IF(ISBLANK(#REF!),0,1)</f>
        <v>1</v>
      </c>
      <c r="Q18" s="97" t="s">
        <v>3612</v>
      </c>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row>
    <row r="19" spans="1:53" ht="15.75">
      <c r="A19" s="930"/>
      <c r="B19" s="1027"/>
      <c r="C19" s="1706" t="s">
        <v>3613</v>
      </c>
      <c r="D19" s="1701"/>
      <c r="E19" s="1039"/>
      <c r="F19" s="1039"/>
      <c r="G19" s="1039"/>
      <c r="H19" s="1039"/>
      <c r="I19" s="1027"/>
      <c r="P19" s="518">
        <f>IF(ISBLANK(F10),0,1)</f>
        <v>0</v>
      </c>
      <c r="Q19" s="97" t="s">
        <v>3614</v>
      </c>
      <c r="Z19" s="97"/>
      <c r="AA19" s="97"/>
      <c r="AB19" s="97"/>
      <c r="AC19" s="97"/>
      <c r="AD19" s="97"/>
      <c r="AE19" s="97"/>
      <c r="AF19" s="97"/>
      <c r="AG19" s="97"/>
      <c r="AH19" s="97"/>
      <c r="AI19" s="3"/>
      <c r="AJ19" s="3"/>
      <c r="AK19" s="3"/>
      <c r="AL19" s="3"/>
      <c r="AM19" s="3"/>
      <c r="AN19" s="3"/>
      <c r="AO19" s="3"/>
      <c r="AP19" s="3"/>
      <c r="AQ19" s="3"/>
      <c r="AR19" s="3"/>
      <c r="AS19" s="3"/>
      <c r="AT19" s="3"/>
      <c r="AU19" s="3"/>
      <c r="AV19" s="3"/>
      <c r="AW19" s="3"/>
      <c r="AX19" s="3"/>
      <c r="AY19" s="3"/>
      <c r="AZ19" s="3"/>
      <c r="BA19" s="3"/>
    </row>
    <row r="20" spans="1:53" ht="15.75">
      <c r="A20" s="930"/>
      <c r="B20" s="1027"/>
      <c r="C20" s="1706" t="s">
        <v>3615</v>
      </c>
      <c r="D20" s="842"/>
      <c r="E20" s="1706" t="s">
        <v>3616</v>
      </c>
      <c r="F20" s="1701"/>
      <c r="G20" s="1706" t="s">
        <v>3617</v>
      </c>
      <c r="H20" s="1701"/>
      <c r="I20" s="1703"/>
      <c r="P20" s="518">
        <f>IF(ISBLANK(H10),0,1)</f>
        <v>0</v>
      </c>
      <c r="Q20" s="97" t="s">
        <v>3618</v>
      </c>
      <c r="Z20" s="97"/>
      <c r="AA20" s="97"/>
      <c r="AB20" s="97"/>
      <c r="AC20" s="97"/>
      <c r="AD20" s="97"/>
      <c r="AE20" s="97"/>
      <c r="AF20" s="97"/>
      <c r="AG20" s="97"/>
      <c r="AH20" s="97"/>
      <c r="AI20" s="3"/>
      <c r="AJ20" s="3"/>
      <c r="AK20" s="3"/>
      <c r="AL20" s="3"/>
      <c r="AM20" s="3"/>
      <c r="AN20" s="3"/>
      <c r="AO20" s="3"/>
      <c r="AP20" s="3"/>
      <c r="AQ20" s="3"/>
      <c r="AR20" s="3"/>
      <c r="AS20" s="3"/>
      <c r="AT20" s="3"/>
      <c r="AU20" s="3"/>
      <c r="AV20" s="3"/>
      <c r="AW20" s="3"/>
      <c r="AX20" s="3"/>
      <c r="AY20" s="3"/>
      <c r="AZ20" s="3"/>
      <c r="BA20" s="3"/>
    </row>
    <row r="21" spans="1:53" ht="15.75">
      <c r="A21" s="930"/>
      <c r="B21" s="1027"/>
      <c r="C21" s="1706" t="s">
        <v>3619</v>
      </c>
      <c r="D21" s="2007"/>
      <c r="E21" s="2008"/>
      <c r="F21" s="2008"/>
      <c r="G21" s="2008"/>
      <c r="H21" s="2009"/>
      <c r="I21" s="1027"/>
      <c r="P21" s="518">
        <f>IF(ISBLANK(D11),0,1)</f>
        <v>0</v>
      </c>
      <c r="Q21" s="97" t="s">
        <v>3620</v>
      </c>
      <c r="Z21" s="97"/>
      <c r="AA21" s="97"/>
      <c r="AB21" s="97"/>
      <c r="AC21" s="97"/>
      <c r="AD21" s="97"/>
      <c r="AE21" s="97"/>
      <c r="AF21" s="97"/>
      <c r="AG21" s="97"/>
      <c r="AH21" s="97"/>
      <c r="AI21" s="3"/>
      <c r="AJ21" s="3"/>
      <c r="AK21" s="3"/>
      <c r="AL21" s="3"/>
      <c r="AM21" s="3"/>
      <c r="AN21" s="3"/>
      <c r="AO21" s="3"/>
      <c r="AP21" s="3"/>
      <c r="AQ21" s="3"/>
      <c r="AR21" s="3"/>
      <c r="AS21" s="3"/>
      <c r="AT21" s="3"/>
      <c r="AU21" s="3"/>
      <c r="AV21" s="3"/>
      <c r="AW21" s="3"/>
      <c r="AX21" s="3"/>
      <c r="AY21" s="3"/>
      <c r="AZ21" s="3"/>
      <c r="BA21" s="3"/>
    </row>
    <row r="22" spans="1:53" ht="15.75">
      <c r="A22" s="930"/>
      <c r="B22" s="1027"/>
      <c r="C22" s="1706" t="s">
        <v>3621</v>
      </c>
      <c r="D22" s="1701"/>
      <c r="E22" s="1706" t="str">
        <f>+E12</f>
        <v xml:space="preserve">Zip Code </v>
      </c>
      <c r="F22" s="844"/>
      <c r="G22" s="671"/>
      <c r="H22" s="671"/>
      <c r="I22" s="1027"/>
      <c r="P22" s="518"/>
      <c r="Z22" s="97"/>
      <c r="AA22" s="97"/>
      <c r="AB22" s="97"/>
      <c r="AC22" s="97"/>
      <c r="AD22" s="97"/>
      <c r="AE22" s="97"/>
      <c r="AF22" s="97"/>
      <c r="AG22" s="97"/>
      <c r="AH22" s="97"/>
      <c r="AI22" s="3"/>
      <c r="AJ22" s="3"/>
      <c r="AK22" s="3"/>
      <c r="AL22" s="3"/>
      <c r="AM22" s="3"/>
      <c r="AN22" s="3"/>
      <c r="AO22" s="3"/>
      <c r="AP22" s="3"/>
      <c r="AQ22" s="3"/>
      <c r="AR22" s="3"/>
      <c r="AS22" s="3"/>
      <c r="AT22" s="3"/>
      <c r="AU22" s="3"/>
      <c r="AV22" s="3"/>
      <c r="AW22" s="3"/>
      <c r="AX22" s="3"/>
      <c r="AY22" s="3"/>
      <c r="AZ22" s="3"/>
      <c r="BA22" s="3"/>
    </row>
    <row r="23" spans="1:53" ht="15.75">
      <c r="A23" s="930"/>
      <c r="B23" s="1038"/>
      <c r="C23" s="1706" t="s">
        <v>3622</v>
      </c>
      <c r="D23" s="843"/>
      <c r="E23" s="1706" t="s">
        <v>3623</v>
      </c>
      <c r="F23" s="2014"/>
      <c r="G23" s="2015"/>
      <c r="H23" s="2015"/>
      <c r="I23" s="1027"/>
      <c r="P23" s="518">
        <f>IF(ISBLANK(Is_project_in_a_Qualified_Census_Tract?),0,1)</f>
        <v>0</v>
      </c>
      <c r="Q23" s="97" t="s">
        <v>3624</v>
      </c>
      <c r="Z23" s="97"/>
      <c r="AA23" s="97"/>
      <c r="AB23" s="97"/>
      <c r="AC23" s="97"/>
      <c r="AD23" s="97"/>
      <c r="AE23" s="97"/>
      <c r="AF23" s="97"/>
      <c r="AG23" s="97"/>
      <c r="AH23" s="97"/>
      <c r="AI23" s="3"/>
      <c r="AJ23" s="3"/>
      <c r="AK23" s="3"/>
      <c r="AL23" s="3"/>
      <c r="AM23" s="3"/>
      <c r="AN23" s="3"/>
      <c r="AO23" s="3"/>
      <c r="AP23" s="3"/>
      <c r="AQ23" s="3"/>
      <c r="AR23" s="3"/>
      <c r="AS23" s="3"/>
      <c r="AT23" s="3"/>
      <c r="AU23" s="3"/>
      <c r="AV23" s="3"/>
      <c r="AW23" s="3"/>
      <c r="AX23" s="3"/>
      <c r="AY23" s="3"/>
      <c r="AZ23" s="3"/>
      <c r="BA23" s="3"/>
    </row>
    <row r="24" spans="1:53" ht="15.75">
      <c r="A24" s="930"/>
      <c r="B24" s="1038"/>
      <c r="C24" s="1706"/>
      <c r="D24" s="1706"/>
      <c r="E24" s="1706"/>
      <c r="F24" s="1706"/>
      <c r="G24" s="1706"/>
      <c r="H24" s="1706"/>
      <c r="I24" s="1027"/>
      <c r="P24" s="518"/>
      <c r="Z24" s="97"/>
      <c r="AA24" s="97"/>
      <c r="AB24" s="97"/>
      <c r="AC24" s="97"/>
      <c r="AD24" s="97"/>
      <c r="AE24" s="97"/>
      <c r="AF24" s="97"/>
      <c r="AG24" s="97"/>
      <c r="AH24" s="97"/>
      <c r="AI24" s="3"/>
      <c r="AJ24" s="3"/>
      <c r="AK24" s="3"/>
      <c r="AL24" s="3"/>
      <c r="AM24" s="3"/>
      <c r="AN24" s="3"/>
      <c r="AO24" s="3"/>
      <c r="AP24" s="3"/>
      <c r="AQ24" s="3"/>
      <c r="AR24" s="3"/>
      <c r="AS24" s="3"/>
      <c r="AT24" s="3"/>
      <c r="AU24" s="3"/>
      <c r="AV24" s="3"/>
      <c r="AW24" s="3"/>
      <c r="AX24" s="3"/>
      <c r="AY24" s="3"/>
      <c r="AZ24" s="3"/>
      <c r="BA24" s="3"/>
    </row>
    <row r="25" spans="1:53" ht="15.75">
      <c r="A25" s="930"/>
      <c r="B25" s="1038"/>
      <c r="C25" s="1706" t="s">
        <v>3625</v>
      </c>
      <c r="D25" s="1701"/>
      <c r="E25" s="1708"/>
      <c r="F25" s="1027"/>
      <c r="G25" s="1027"/>
      <c r="H25" s="1027"/>
      <c r="I25" s="1027"/>
      <c r="P25" s="518">
        <f>IF(ISBLANK(D16),0,1)</f>
        <v>0</v>
      </c>
      <c r="Q25" s="97" t="s">
        <v>3626</v>
      </c>
      <c r="Z25" s="97"/>
      <c r="AA25" s="97"/>
      <c r="AB25" s="97"/>
      <c r="AC25" s="97"/>
      <c r="AD25" s="97"/>
      <c r="AE25" s="97"/>
      <c r="AF25" s="97"/>
      <c r="AG25" s="97"/>
      <c r="AH25" s="97"/>
      <c r="AI25" s="3"/>
      <c r="AJ25" s="3"/>
      <c r="AK25" s="3"/>
      <c r="AL25" s="3"/>
      <c r="AM25" s="3"/>
      <c r="AN25" s="3"/>
      <c r="AO25" s="3"/>
      <c r="AP25" s="3"/>
      <c r="AQ25" s="3"/>
      <c r="AR25" s="3"/>
      <c r="AS25" s="3"/>
      <c r="AT25" s="3"/>
      <c r="AU25" s="3"/>
      <c r="AV25" s="3"/>
      <c r="AW25" s="3"/>
      <c r="AX25" s="3"/>
      <c r="AY25" s="3"/>
      <c r="AZ25" s="3"/>
      <c r="BA25" s="3"/>
    </row>
    <row r="26" spans="1:53" ht="15.75">
      <c r="A26" s="930"/>
      <c r="B26" s="1038"/>
      <c r="C26" s="1706" t="s">
        <v>3627</v>
      </c>
      <c r="D26" s="641" t="str">
        <f>IF(D25&lt;&gt;"",VLOOKUP(D25,'Dropdown Lists'!AD2:AE100,2,FALSE),"")</f>
        <v/>
      </c>
      <c r="E26" s="1706"/>
      <c r="F26" s="1027"/>
      <c r="G26" s="1027"/>
      <c r="H26" s="1027"/>
      <c r="I26" s="1027"/>
      <c r="P26" s="518">
        <f>IF(ISBLANK(D13),0,1)</f>
        <v>0</v>
      </c>
      <c r="Q26" s="97" t="s">
        <v>3628</v>
      </c>
      <c r="Z26" s="97"/>
      <c r="AA26" s="97"/>
      <c r="AB26" s="97"/>
      <c r="AC26" s="97"/>
      <c r="AD26" s="97"/>
      <c r="AE26" s="97"/>
      <c r="AF26" s="97"/>
      <c r="AG26" s="97"/>
      <c r="AH26" s="97"/>
      <c r="AI26" s="3"/>
      <c r="AJ26" s="3"/>
      <c r="AK26" s="3"/>
      <c r="AL26" s="3"/>
      <c r="AM26" s="3"/>
      <c r="AN26" s="3"/>
      <c r="AO26" s="3"/>
      <c r="AP26" s="3"/>
      <c r="AQ26" s="3"/>
      <c r="AR26" s="3"/>
      <c r="AS26" s="3"/>
      <c r="AT26" s="3"/>
      <c r="AU26" s="3"/>
      <c r="AV26" s="3"/>
      <c r="AW26" s="3"/>
      <c r="AX26" s="3"/>
      <c r="AY26" s="3"/>
      <c r="AZ26" s="3"/>
      <c r="BA26" s="3"/>
    </row>
    <row r="27" spans="1:53" ht="15.75">
      <c r="A27" s="930"/>
      <c r="B27" s="1038"/>
      <c r="C27" s="1706" t="s">
        <v>3629</v>
      </c>
      <c r="D27" s="1701"/>
      <c r="E27" s="1706"/>
      <c r="F27" s="1027"/>
      <c r="G27" s="1027"/>
      <c r="H27" s="1027"/>
      <c r="I27" s="1027"/>
      <c r="P27" s="518"/>
      <c r="Z27" s="97"/>
      <c r="AA27" s="97"/>
      <c r="AB27" s="97"/>
      <c r="AC27" s="97"/>
      <c r="AD27" s="97"/>
      <c r="AE27" s="97"/>
      <c r="AF27" s="97"/>
      <c r="AG27" s="97"/>
      <c r="AH27" s="97"/>
      <c r="AI27" s="3"/>
      <c r="AJ27" s="3"/>
      <c r="AK27" s="3"/>
      <c r="AL27" s="3"/>
      <c r="AM27" s="3"/>
      <c r="AN27" s="3"/>
      <c r="AO27" s="3"/>
      <c r="AP27" s="3"/>
      <c r="AQ27" s="3"/>
      <c r="AR27" s="3"/>
      <c r="AS27" s="3"/>
      <c r="AT27" s="3"/>
      <c r="AU27" s="3"/>
      <c r="AV27" s="3"/>
      <c r="AW27" s="3"/>
      <c r="AX27" s="3"/>
      <c r="AY27" s="3"/>
      <c r="AZ27" s="3"/>
      <c r="BA27" s="3"/>
    </row>
    <row r="28" spans="1:53">
      <c r="A28" s="930"/>
      <c r="B28" s="1038"/>
      <c r="C28" s="1027"/>
      <c r="D28" s="1027"/>
      <c r="E28" s="1027"/>
      <c r="F28" s="1027"/>
      <c r="G28" s="1027"/>
      <c r="H28" s="1027"/>
      <c r="I28" s="1027"/>
      <c r="P28" s="518">
        <f>IF(ISBLANK(D19),0,1)</f>
        <v>0</v>
      </c>
      <c r="Q28" s="97" t="s">
        <v>3630</v>
      </c>
      <c r="Z28" s="97"/>
      <c r="AA28" s="97"/>
      <c r="AB28" s="97"/>
      <c r="AC28" s="97"/>
      <c r="AD28" s="97"/>
      <c r="AE28" s="97"/>
      <c r="AF28" s="97"/>
      <c r="AG28" s="97"/>
      <c r="AH28" s="97"/>
      <c r="AI28" s="3"/>
      <c r="AJ28" s="3"/>
      <c r="AK28" s="3"/>
      <c r="AL28" s="3"/>
      <c r="AM28" s="3"/>
      <c r="AN28" s="3"/>
      <c r="AO28" s="3"/>
      <c r="AP28" s="3"/>
      <c r="AQ28" s="3"/>
      <c r="AR28" s="3"/>
      <c r="AS28" s="3"/>
      <c r="AT28" s="3"/>
      <c r="AU28" s="3"/>
      <c r="AV28" s="3"/>
      <c r="AW28" s="3"/>
      <c r="AX28" s="3"/>
      <c r="AY28" s="3"/>
      <c r="AZ28" s="3"/>
      <c r="BA28" s="3"/>
    </row>
    <row r="29" spans="1:53" ht="18.75">
      <c r="A29" s="930"/>
      <c r="B29" s="8" t="s">
        <v>1055</v>
      </c>
      <c r="E29" s="970"/>
      <c r="F29" s="970"/>
      <c r="G29" s="970"/>
      <c r="P29" s="518">
        <f>IF(ISBLANK(F20),0,1)</f>
        <v>0</v>
      </c>
      <c r="Q29" s="97" t="s">
        <v>3631</v>
      </c>
      <c r="Z29" s="97"/>
      <c r="AA29" s="97"/>
      <c r="AB29" s="97"/>
      <c r="AC29" s="97"/>
      <c r="AD29" s="97"/>
      <c r="AE29" s="97"/>
      <c r="AF29" s="97"/>
      <c r="AG29" s="97"/>
      <c r="AH29" s="97"/>
      <c r="AI29" s="3"/>
      <c r="AJ29" s="3"/>
      <c r="AK29" s="3"/>
      <c r="AL29" s="3"/>
      <c r="AM29" s="3"/>
      <c r="AN29" s="3"/>
      <c r="AO29" s="3"/>
      <c r="AP29" s="3"/>
      <c r="AQ29" s="3"/>
      <c r="AR29" s="3"/>
      <c r="AS29" s="3"/>
      <c r="AT29" s="3"/>
      <c r="AU29" s="3"/>
      <c r="AV29" s="3"/>
      <c r="AW29" s="3"/>
      <c r="AX29" s="3"/>
      <c r="AY29" s="3"/>
      <c r="AZ29" s="3"/>
      <c r="BA29" s="3"/>
    </row>
    <row r="30" spans="1:53">
      <c r="A30" s="930"/>
      <c r="B30" s="1027"/>
      <c r="C30" s="1027"/>
      <c r="D30" s="1027"/>
      <c r="E30" s="1027"/>
      <c r="F30" s="1027"/>
      <c r="G30" s="1027"/>
      <c r="H30" s="1027"/>
      <c r="I30" s="1027"/>
      <c r="P30" s="518">
        <f>IF(ISBLANK(H20),0,1)</f>
        <v>0</v>
      </c>
      <c r="Q30" s="97" t="s">
        <v>3632</v>
      </c>
      <c r="Z30" s="97"/>
      <c r="AA30" s="97"/>
      <c r="AB30" s="97"/>
      <c r="AC30" s="97"/>
      <c r="AD30" s="97"/>
      <c r="AE30" s="97"/>
      <c r="AF30" s="97"/>
      <c r="AG30" s="97"/>
      <c r="AH30" s="97"/>
      <c r="AI30" s="3"/>
      <c r="AJ30" s="3"/>
      <c r="AK30" s="3"/>
      <c r="AL30" s="3"/>
      <c r="AM30" s="3"/>
      <c r="AN30" s="3"/>
      <c r="AO30" s="3"/>
      <c r="AP30" s="3"/>
      <c r="AQ30" s="3"/>
      <c r="AR30" s="3"/>
      <c r="AS30" s="3"/>
      <c r="AT30" s="3"/>
      <c r="AU30" s="3"/>
      <c r="AV30" s="3"/>
      <c r="AW30" s="3"/>
      <c r="AX30" s="3"/>
      <c r="AY30" s="3"/>
      <c r="AZ30" s="3"/>
      <c r="BA30" s="3"/>
    </row>
    <row r="31" spans="1:53">
      <c r="A31" s="930"/>
      <c r="B31" s="1027"/>
      <c r="C31" s="1998"/>
      <c r="D31" s="1999"/>
      <c r="E31" s="1999"/>
      <c r="F31" s="1999"/>
      <c r="G31" s="1999"/>
      <c r="H31" s="2000"/>
      <c r="I31" s="1027"/>
      <c r="P31" s="518">
        <f>IF(ISBLANK(D21),0,1)</f>
        <v>0</v>
      </c>
      <c r="Q31" s="97" t="s">
        <v>3633</v>
      </c>
      <c r="Z31" s="97"/>
      <c r="AA31" s="97"/>
      <c r="AB31" s="97"/>
      <c r="AC31" s="97"/>
      <c r="AD31" s="97"/>
      <c r="AE31" s="97"/>
      <c r="AF31" s="97"/>
      <c r="AG31" s="97"/>
      <c r="AH31" s="97"/>
      <c r="AI31" s="3"/>
      <c r="AJ31" s="3"/>
      <c r="AK31" s="3"/>
      <c r="AL31" s="3"/>
      <c r="AM31" s="3"/>
      <c r="AN31" s="3"/>
      <c r="AO31" s="3"/>
      <c r="AP31" s="3"/>
      <c r="AQ31" s="3"/>
      <c r="AR31" s="3"/>
      <c r="AS31" s="3"/>
      <c r="AT31" s="3"/>
      <c r="AU31" s="3"/>
      <c r="AV31" s="3"/>
      <c r="AW31" s="3"/>
      <c r="AX31" s="3"/>
      <c r="AY31" s="3"/>
      <c r="AZ31" s="3"/>
      <c r="BA31" s="3"/>
    </row>
    <row r="32" spans="1:53">
      <c r="A32" s="930"/>
      <c r="B32" s="1027"/>
      <c r="C32" s="2001"/>
      <c r="D32" s="2002"/>
      <c r="E32" s="2002"/>
      <c r="F32" s="2002"/>
      <c r="G32" s="2002"/>
      <c r="H32" s="2003"/>
      <c r="I32" s="1027"/>
      <c r="P32" s="518">
        <f>IF(ISBLANK(D19),0,1)</f>
        <v>0</v>
      </c>
      <c r="Q32" s="97" t="s">
        <v>3612</v>
      </c>
      <c r="Z32" s="97"/>
      <c r="AA32" s="97"/>
      <c r="AB32" s="97"/>
      <c r="AC32" s="97"/>
      <c r="AD32" s="97"/>
      <c r="AE32" s="97"/>
      <c r="AF32" s="97"/>
      <c r="AG32" s="97"/>
      <c r="AH32" s="97"/>
      <c r="AI32" s="3"/>
      <c r="AJ32" s="3"/>
      <c r="AK32" s="3"/>
      <c r="AL32" s="3"/>
      <c r="AM32" s="3"/>
      <c r="AN32" s="3"/>
      <c r="AO32" s="3"/>
      <c r="AP32" s="3"/>
      <c r="AQ32" s="3"/>
      <c r="AR32" s="3"/>
      <c r="AS32" s="3"/>
      <c r="AT32" s="3"/>
      <c r="AU32" s="3"/>
      <c r="AV32" s="3"/>
      <c r="AW32" s="3"/>
      <c r="AX32" s="3"/>
      <c r="AY32" s="3"/>
      <c r="AZ32" s="3"/>
      <c r="BA32" s="3"/>
    </row>
    <row r="33" spans="1:53">
      <c r="A33" s="930"/>
      <c r="B33" s="1027"/>
      <c r="C33" s="2001"/>
      <c r="D33" s="2002"/>
      <c r="E33" s="2002"/>
      <c r="F33" s="2002"/>
      <c r="G33" s="2002"/>
      <c r="H33" s="2003"/>
      <c r="I33" s="1027"/>
      <c r="P33" s="518">
        <f>IF(ISBLANK(F22),0,1)</f>
        <v>0</v>
      </c>
      <c r="Q33" s="97" t="s">
        <v>3618</v>
      </c>
      <c r="Z33" s="97"/>
      <c r="AA33" s="97"/>
      <c r="AB33" s="97"/>
      <c r="AC33" s="97"/>
      <c r="AD33" s="97"/>
      <c r="AE33" s="97"/>
      <c r="AF33" s="97"/>
      <c r="AG33" s="97"/>
      <c r="AH33" s="97"/>
      <c r="AI33" s="3"/>
      <c r="AJ33" s="3"/>
      <c r="AK33" s="3"/>
      <c r="AL33" s="3"/>
      <c r="AM33" s="3"/>
      <c r="AN33" s="3"/>
      <c r="AO33" s="3"/>
      <c r="AP33" s="3"/>
      <c r="AQ33" s="3"/>
      <c r="AR33" s="3"/>
      <c r="AS33" s="3"/>
      <c r="AT33" s="3"/>
      <c r="AU33" s="3"/>
      <c r="AV33" s="3"/>
      <c r="AW33" s="3"/>
      <c r="AX33" s="3"/>
      <c r="AY33" s="3"/>
      <c r="AZ33" s="3"/>
      <c r="BA33" s="3"/>
    </row>
    <row r="34" spans="1:53">
      <c r="A34" s="930"/>
      <c r="B34" s="1027"/>
      <c r="C34" s="2001"/>
      <c r="D34" s="2002"/>
      <c r="E34" s="2002"/>
      <c r="F34" s="2002"/>
      <c r="G34" s="2002"/>
      <c r="H34" s="2003"/>
      <c r="I34" s="1027"/>
      <c r="P34" s="518">
        <f>IF(ISBLANK(D23),0,1)</f>
        <v>0</v>
      </c>
      <c r="Q34" s="97" t="s">
        <v>3634</v>
      </c>
      <c r="Z34" s="97"/>
      <c r="AA34" s="97"/>
      <c r="AB34" s="97"/>
      <c r="AC34" s="97"/>
      <c r="AD34" s="97"/>
      <c r="AE34" s="97"/>
      <c r="AF34" s="97"/>
      <c r="AG34" s="97"/>
      <c r="AH34" s="97"/>
      <c r="AI34" s="3"/>
      <c r="AJ34" s="3"/>
      <c r="AK34" s="3"/>
      <c r="AL34" s="3"/>
      <c r="AM34" s="3"/>
      <c r="AN34" s="3"/>
      <c r="AO34" s="3"/>
      <c r="AP34" s="3"/>
      <c r="AQ34" s="3"/>
      <c r="AR34" s="3"/>
      <c r="AS34" s="3"/>
      <c r="AT34" s="3"/>
      <c r="AU34" s="3"/>
      <c r="AV34" s="3"/>
      <c r="AW34" s="3"/>
      <c r="AX34" s="3"/>
      <c r="AY34" s="3"/>
      <c r="AZ34" s="3"/>
      <c r="BA34" s="3"/>
    </row>
    <row r="35" spans="1:53">
      <c r="A35" s="930"/>
      <c r="B35" s="1027"/>
      <c r="C35" s="2001"/>
      <c r="D35" s="2002"/>
      <c r="E35" s="2002"/>
      <c r="F35" s="2002"/>
      <c r="G35" s="2002"/>
      <c r="H35" s="2003"/>
      <c r="I35" s="1027"/>
      <c r="P35" s="518">
        <f>IF(ISBLANK(F23),0,1)</f>
        <v>0</v>
      </c>
      <c r="Q35" s="97" t="s">
        <v>3635</v>
      </c>
      <c r="Z35" s="97"/>
      <c r="AA35" s="97"/>
      <c r="AB35" s="97"/>
      <c r="AC35" s="97"/>
      <c r="AD35" s="97"/>
      <c r="AE35" s="97"/>
      <c r="AF35" s="97"/>
      <c r="AG35" s="97"/>
      <c r="AH35" s="97"/>
      <c r="AI35" s="3"/>
      <c r="AJ35" s="3"/>
      <c r="AK35" s="3"/>
      <c r="AL35" s="3"/>
      <c r="AM35" s="3"/>
      <c r="AN35" s="3"/>
      <c r="AO35" s="3"/>
      <c r="AP35" s="3"/>
      <c r="AQ35" s="3"/>
      <c r="AR35" s="3"/>
      <c r="AS35" s="3"/>
      <c r="AT35" s="3"/>
      <c r="AU35" s="3"/>
      <c r="AV35" s="3"/>
      <c r="AW35" s="3"/>
      <c r="AX35" s="3"/>
      <c r="AY35" s="3"/>
      <c r="AZ35" s="3"/>
      <c r="BA35" s="3"/>
    </row>
    <row r="36" spans="1:53">
      <c r="A36" s="930"/>
      <c r="B36" s="1027"/>
      <c r="C36" s="2001"/>
      <c r="D36" s="2002"/>
      <c r="E36" s="2002"/>
      <c r="F36" s="2002"/>
      <c r="G36" s="2002"/>
      <c r="H36" s="2003"/>
      <c r="I36" s="1027"/>
      <c r="P36" s="97">
        <f>SUM(P18:P35)</f>
        <v>1</v>
      </c>
      <c r="Q36" s="97" t="s">
        <v>3636</v>
      </c>
      <c r="Z36" s="97"/>
      <c r="AA36" s="97"/>
      <c r="AB36" s="97"/>
      <c r="AC36" s="97"/>
      <c r="AD36" s="97"/>
      <c r="AE36" s="97"/>
      <c r="AF36" s="97"/>
      <c r="AG36" s="97"/>
      <c r="AH36" s="97"/>
      <c r="AI36" s="3"/>
      <c r="AJ36" s="3"/>
      <c r="AK36" s="3"/>
      <c r="AL36" s="3"/>
      <c r="AM36" s="3"/>
      <c r="AN36" s="3"/>
      <c r="AO36" s="3"/>
      <c r="AP36" s="3"/>
      <c r="AQ36" s="3"/>
      <c r="AR36" s="3"/>
      <c r="AS36" s="3"/>
      <c r="AT36" s="3"/>
      <c r="AU36" s="3"/>
      <c r="AV36" s="3"/>
      <c r="AW36" s="3"/>
      <c r="AX36" s="3"/>
      <c r="AY36" s="3"/>
      <c r="AZ36" s="3"/>
      <c r="BA36" s="3"/>
    </row>
    <row r="37" spans="1:53">
      <c r="A37" s="930"/>
      <c r="B37" s="1027"/>
      <c r="C37" s="2001"/>
      <c r="D37" s="2002"/>
      <c r="E37" s="2002"/>
      <c r="F37" s="2002"/>
      <c r="G37" s="2002"/>
      <c r="H37" s="2003"/>
      <c r="I37" s="1027"/>
      <c r="P37" s="318"/>
      <c r="Z37" s="97"/>
      <c r="AA37" s="97"/>
      <c r="AB37" s="97"/>
      <c r="AC37" s="97"/>
      <c r="AD37" s="97"/>
      <c r="AE37" s="97"/>
      <c r="AF37" s="97"/>
      <c r="AG37" s="97"/>
      <c r="AH37" s="97"/>
      <c r="AI37" s="3"/>
      <c r="AJ37" s="3"/>
      <c r="AK37" s="3"/>
      <c r="AL37" s="3"/>
      <c r="AM37" s="3"/>
      <c r="AN37" s="3"/>
      <c r="AO37" s="3"/>
      <c r="AP37" s="3"/>
      <c r="AQ37" s="3"/>
      <c r="AR37" s="3"/>
      <c r="AS37" s="3"/>
      <c r="AT37" s="3"/>
      <c r="AU37" s="3"/>
      <c r="AV37" s="3"/>
      <c r="AW37" s="3"/>
      <c r="AX37" s="3"/>
      <c r="AY37" s="3"/>
      <c r="AZ37" s="3"/>
      <c r="BA37" s="3"/>
    </row>
    <row r="38" spans="1:53">
      <c r="A38" s="930"/>
      <c r="B38" s="1027"/>
      <c r="C38" s="2004"/>
      <c r="D38" s="2005"/>
      <c r="E38" s="2005"/>
      <c r="F38" s="2005"/>
      <c r="G38" s="2005"/>
      <c r="H38" s="2006"/>
      <c r="I38" s="1027"/>
      <c r="Z38" s="97"/>
      <c r="AA38" s="97"/>
      <c r="AB38" s="97"/>
      <c r="AC38" s="97"/>
      <c r="AD38" s="97"/>
      <c r="AE38" s="97"/>
      <c r="AF38" s="97"/>
      <c r="AG38" s="97"/>
      <c r="AH38" s="97"/>
      <c r="AI38" s="3"/>
      <c r="AJ38" s="3"/>
      <c r="AK38" s="3"/>
      <c r="AL38" s="3"/>
      <c r="AM38" s="3"/>
      <c r="AN38" s="3"/>
      <c r="AO38" s="3"/>
      <c r="AP38" s="3"/>
      <c r="AQ38" s="3"/>
      <c r="AR38" s="3"/>
      <c r="AS38" s="3"/>
      <c r="AT38" s="3"/>
      <c r="AU38" s="3"/>
      <c r="AV38" s="3"/>
      <c r="AW38" s="3"/>
      <c r="AX38" s="3"/>
      <c r="AY38" s="3"/>
      <c r="AZ38" s="3"/>
      <c r="BA38" s="3"/>
    </row>
    <row r="39" spans="1:53">
      <c r="A39" s="930"/>
      <c r="B39" s="1027"/>
      <c r="C39" s="1027"/>
      <c r="D39" s="1027"/>
      <c r="E39" s="1027"/>
      <c r="F39" s="1027"/>
      <c r="G39" s="1027"/>
      <c r="H39" s="1027"/>
      <c r="I39" s="1027"/>
      <c r="K39" s="318"/>
      <c r="L39" s="318"/>
      <c r="M39" s="318"/>
      <c r="N39" s="318"/>
      <c r="O39" s="318"/>
      <c r="Z39" s="97"/>
      <c r="AA39" s="97"/>
      <c r="AB39" s="97"/>
      <c r="AC39" s="97"/>
      <c r="AD39" s="97"/>
      <c r="AE39" s="97"/>
      <c r="AF39" s="97"/>
      <c r="AG39" s="97"/>
      <c r="AH39" s="97"/>
      <c r="AI39" s="3"/>
      <c r="AJ39" s="3"/>
      <c r="AK39" s="3"/>
      <c r="AL39" s="3"/>
      <c r="AM39" s="3"/>
      <c r="AN39" s="3"/>
      <c r="AO39" s="3"/>
      <c r="AP39" s="3"/>
      <c r="AQ39" s="3"/>
      <c r="AR39" s="3"/>
      <c r="AS39" s="3"/>
      <c r="AT39" s="3"/>
      <c r="AU39" s="3"/>
      <c r="AV39" s="3"/>
      <c r="AW39" s="3"/>
      <c r="AX39" s="3"/>
      <c r="AY39" s="3"/>
      <c r="AZ39" s="3"/>
      <c r="BA39" s="3"/>
    </row>
    <row r="40" spans="1:53">
      <c r="A40" s="930"/>
      <c r="Z40" s="97"/>
      <c r="AA40" s="97"/>
      <c r="AB40" s="97"/>
      <c r="AC40" s="97"/>
      <c r="AD40" s="97"/>
      <c r="AE40" s="97"/>
      <c r="AF40" s="97"/>
      <c r="AG40" s="97"/>
      <c r="AH40" s="97"/>
      <c r="AI40" s="3"/>
      <c r="AJ40" s="3"/>
      <c r="AK40" s="3"/>
      <c r="AL40" s="3"/>
      <c r="AM40" s="3"/>
      <c r="AN40" s="3"/>
      <c r="AO40" s="3"/>
      <c r="AP40" s="3"/>
      <c r="AQ40" s="3"/>
      <c r="AR40" s="3"/>
      <c r="AS40" s="3"/>
      <c r="AT40" s="3"/>
      <c r="AU40" s="3"/>
      <c r="AV40" s="3"/>
      <c r="AW40" s="3"/>
      <c r="AX40" s="3"/>
      <c r="AY40" s="3"/>
      <c r="AZ40" s="3"/>
      <c r="BA40" s="3"/>
    </row>
    <row r="41" spans="1:53">
      <c r="A41" s="932"/>
      <c r="Z41" s="97"/>
      <c r="AA41" s="97"/>
      <c r="AB41" s="97"/>
      <c r="AC41" s="97"/>
      <c r="AD41" s="97"/>
      <c r="AE41" s="97"/>
      <c r="AF41" s="97"/>
      <c r="AG41" s="97"/>
      <c r="AH41" s="97"/>
      <c r="AI41" s="3"/>
      <c r="AJ41" s="3"/>
      <c r="AK41" s="3"/>
      <c r="AL41" s="3"/>
      <c r="AM41" s="3"/>
      <c r="AN41" s="3"/>
      <c r="AO41" s="3"/>
      <c r="AP41" s="3"/>
      <c r="AQ41" s="3"/>
      <c r="AR41" s="3"/>
      <c r="AS41" s="3"/>
      <c r="AT41" s="3"/>
      <c r="AU41" s="3"/>
      <c r="AV41" s="3"/>
      <c r="AW41" s="3"/>
      <c r="AX41" s="3"/>
      <c r="AY41" s="3"/>
      <c r="AZ41" s="3"/>
      <c r="BA41" s="3"/>
    </row>
    <row r="42" spans="1:53">
      <c r="A42" s="932"/>
      <c r="Z42" s="97"/>
      <c r="AA42" s="97"/>
      <c r="AB42" s="97"/>
      <c r="AC42" s="97"/>
      <c r="AD42" s="97"/>
      <c r="AE42" s="97"/>
      <c r="AF42" s="97"/>
      <c r="AG42" s="97"/>
      <c r="AH42" s="97"/>
      <c r="AI42" s="3"/>
      <c r="AJ42" s="3"/>
      <c r="AK42" s="3"/>
      <c r="AL42" s="3"/>
      <c r="AM42" s="3"/>
      <c r="AN42" s="3"/>
      <c r="AO42" s="3"/>
      <c r="AP42" s="3"/>
      <c r="AQ42" s="3"/>
      <c r="AR42" s="3"/>
      <c r="AS42" s="3"/>
      <c r="AT42" s="3"/>
      <c r="AU42" s="3"/>
      <c r="AV42" s="3"/>
      <c r="AW42" s="3"/>
      <c r="AX42" s="3"/>
      <c r="AY42" s="3"/>
      <c r="AZ42" s="3"/>
      <c r="BA42" s="3"/>
    </row>
    <row r="43" spans="1:53">
      <c r="A43" s="932"/>
      <c r="B43" s="16" t="s">
        <v>3637</v>
      </c>
      <c r="C43" s="7"/>
      <c r="D43" s="7"/>
      <c r="E43" s="7"/>
      <c r="F43" s="7"/>
      <c r="G43" s="7"/>
      <c r="H43" s="7"/>
      <c r="I43" s="7"/>
      <c r="Z43" s="97"/>
      <c r="AA43" s="97"/>
      <c r="AB43" s="97"/>
      <c r="AC43" s="97"/>
      <c r="AD43" s="97"/>
      <c r="AE43" s="97"/>
      <c r="AF43" s="97"/>
      <c r="AG43" s="97"/>
      <c r="AH43" s="97"/>
      <c r="AI43" s="3"/>
      <c r="AJ43" s="3"/>
      <c r="AK43" s="3"/>
      <c r="AL43" s="3"/>
      <c r="AM43" s="3"/>
      <c r="AN43" s="3"/>
      <c r="AO43" s="3"/>
      <c r="AP43" s="3"/>
      <c r="AQ43" s="3"/>
      <c r="AR43" s="3"/>
      <c r="AS43" s="3"/>
      <c r="AT43" s="3"/>
      <c r="AU43" s="3"/>
      <c r="AV43" s="3"/>
      <c r="AW43" s="3"/>
      <c r="AX43" s="3"/>
      <c r="AY43" s="3"/>
      <c r="AZ43" s="3"/>
      <c r="BA43" s="3"/>
    </row>
    <row r="44" spans="1:53" ht="18.75">
      <c r="A44" s="932"/>
      <c r="B44" s="8" t="s">
        <v>3638</v>
      </c>
      <c r="E44" s="970"/>
      <c r="F44" s="970"/>
      <c r="G44" s="970"/>
      <c r="Z44" s="97"/>
      <c r="AA44" s="97"/>
      <c r="AB44" s="97"/>
      <c r="AC44" s="97"/>
      <c r="AD44" s="97"/>
      <c r="AE44" s="97"/>
      <c r="AF44" s="97"/>
      <c r="AG44" s="97"/>
      <c r="AH44" s="97"/>
      <c r="AI44" s="3"/>
      <c r="AJ44" s="3"/>
      <c r="AK44" s="3"/>
      <c r="AL44" s="3"/>
      <c r="AM44" s="3"/>
      <c r="AN44" s="3"/>
      <c r="AO44" s="3"/>
      <c r="AP44" s="3"/>
      <c r="AQ44" s="3"/>
      <c r="AR44" s="3"/>
      <c r="AS44" s="3"/>
      <c r="AT44" s="3"/>
      <c r="AU44" s="3"/>
      <c r="AV44" s="3"/>
      <c r="AW44" s="3"/>
      <c r="AX44" s="3"/>
      <c r="AY44" s="3"/>
      <c r="AZ44" s="3"/>
      <c r="BA44" s="3"/>
    </row>
    <row r="45" spans="1:53">
      <c r="A45" s="932"/>
      <c r="B45" s="1027"/>
      <c r="C45" s="1027"/>
      <c r="D45" s="1027"/>
      <c r="E45" s="1027"/>
      <c r="F45" s="1027"/>
      <c r="G45" s="1027"/>
      <c r="H45" s="1027"/>
      <c r="I45" s="1027"/>
      <c r="Z45" s="97"/>
      <c r="AA45" s="97"/>
      <c r="AB45" s="97"/>
      <c r="AC45" s="97"/>
      <c r="AD45" s="97"/>
      <c r="AE45" s="97"/>
      <c r="AF45" s="97"/>
      <c r="AG45" s="97"/>
      <c r="AH45" s="97"/>
      <c r="AI45" s="3"/>
      <c r="AJ45" s="3"/>
      <c r="AK45" s="3"/>
      <c r="AL45" s="3"/>
      <c r="AM45" s="3"/>
      <c r="AN45" s="3"/>
      <c r="AO45" s="3"/>
      <c r="AP45" s="3"/>
      <c r="AQ45" s="3"/>
      <c r="AR45" s="3"/>
      <c r="AS45" s="3"/>
      <c r="AT45" s="3"/>
      <c r="AU45" s="3"/>
      <c r="AV45" s="3"/>
      <c r="AW45" s="3"/>
      <c r="AX45" s="3"/>
      <c r="AY45" s="3"/>
      <c r="AZ45" s="3"/>
      <c r="BA45" s="3"/>
    </row>
    <row r="46" spans="1:53">
      <c r="A46" s="930"/>
      <c r="B46" s="1027"/>
      <c r="C46" s="1998"/>
      <c r="D46" s="1999"/>
      <c r="E46" s="1999"/>
      <c r="F46" s="1999"/>
      <c r="G46" s="1999"/>
      <c r="H46" s="2000"/>
      <c r="I46" s="1027"/>
      <c r="Z46" s="97"/>
      <c r="AA46" s="97"/>
      <c r="AB46" s="97"/>
      <c r="AC46" s="97"/>
      <c r="AD46" s="97"/>
      <c r="AE46" s="97"/>
      <c r="AF46" s="97"/>
      <c r="AG46" s="97"/>
      <c r="AH46" s="97"/>
      <c r="AI46" s="3"/>
      <c r="AJ46" s="3"/>
      <c r="AK46" s="3"/>
      <c r="AL46" s="3"/>
      <c r="AM46" s="3"/>
      <c r="AN46" s="3"/>
      <c r="AO46" s="3"/>
      <c r="AP46" s="3"/>
      <c r="AQ46" s="3"/>
      <c r="AR46" s="3"/>
      <c r="AS46" s="3"/>
      <c r="AT46" s="3"/>
      <c r="AU46" s="3"/>
      <c r="AV46" s="3"/>
      <c r="AW46" s="3"/>
      <c r="AX46" s="3"/>
      <c r="AY46" s="3"/>
      <c r="AZ46" s="3"/>
      <c r="BA46" s="3"/>
    </row>
    <row r="47" spans="1:53">
      <c r="A47" s="930"/>
      <c r="B47" s="1027"/>
      <c r="C47" s="2001"/>
      <c r="D47" s="2002"/>
      <c r="E47" s="2002"/>
      <c r="F47" s="2002"/>
      <c r="G47" s="2002"/>
      <c r="H47" s="2003"/>
      <c r="I47" s="1027"/>
      <c r="Z47" s="97"/>
      <c r="AA47" s="97"/>
      <c r="AB47" s="97"/>
      <c r="AC47" s="97"/>
      <c r="AD47" s="97"/>
      <c r="AE47" s="97"/>
      <c r="AF47" s="97"/>
      <c r="AG47" s="97"/>
      <c r="AH47" s="97"/>
      <c r="AI47" s="3"/>
      <c r="AJ47" s="3"/>
      <c r="AK47" s="3"/>
      <c r="AL47" s="3"/>
      <c r="AM47" s="3"/>
      <c r="AN47" s="3"/>
      <c r="AO47" s="3"/>
      <c r="AP47" s="3"/>
      <c r="AQ47" s="3"/>
      <c r="AR47" s="3"/>
      <c r="AS47" s="3"/>
      <c r="AT47" s="3"/>
      <c r="AU47" s="3"/>
      <c r="AV47" s="3"/>
      <c r="AW47" s="3"/>
      <c r="AX47" s="3"/>
      <c r="AY47" s="3"/>
      <c r="AZ47" s="3"/>
      <c r="BA47" s="3"/>
    </row>
    <row r="48" spans="1:53">
      <c r="A48" s="930"/>
      <c r="B48" s="1027"/>
      <c r="C48" s="2001"/>
      <c r="D48" s="2002"/>
      <c r="E48" s="2002"/>
      <c r="F48" s="2002"/>
      <c r="G48" s="2002"/>
      <c r="H48" s="2003"/>
      <c r="I48" s="1027"/>
      <c r="Z48" s="97"/>
      <c r="AA48" s="97"/>
      <c r="AB48" s="97"/>
      <c r="AC48" s="97"/>
      <c r="AD48" s="97"/>
      <c r="AE48" s="97"/>
      <c r="AF48" s="97"/>
      <c r="AG48" s="97"/>
      <c r="AH48" s="97"/>
      <c r="AI48" s="3"/>
      <c r="AJ48" s="3"/>
      <c r="AK48" s="3"/>
      <c r="AL48" s="3"/>
      <c r="AM48" s="3"/>
      <c r="AN48" s="3"/>
      <c r="AO48" s="3"/>
      <c r="AP48" s="3"/>
      <c r="AQ48" s="3"/>
      <c r="AR48" s="3"/>
      <c r="AS48" s="3"/>
      <c r="AT48" s="3"/>
      <c r="AU48" s="3"/>
      <c r="AV48" s="3"/>
      <c r="AW48" s="3"/>
      <c r="AX48" s="3"/>
      <c r="AY48" s="3"/>
      <c r="AZ48" s="3"/>
      <c r="BA48" s="3"/>
    </row>
    <row r="49" spans="1:53">
      <c r="A49" s="930"/>
      <c r="B49" s="1027"/>
      <c r="C49" s="2004"/>
      <c r="D49" s="2005"/>
      <c r="E49" s="2005"/>
      <c r="F49" s="2005"/>
      <c r="G49" s="2005"/>
      <c r="H49" s="2006"/>
      <c r="I49" s="1027"/>
      <c r="Z49" s="97"/>
      <c r="AA49" s="97"/>
      <c r="AB49" s="97"/>
      <c r="AC49" s="97"/>
      <c r="AD49" s="97"/>
      <c r="AE49" s="97"/>
      <c r="AF49" s="97"/>
      <c r="AG49" s="97"/>
      <c r="AH49" s="97"/>
      <c r="AI49" s="3"/>
      <c r="AJ49" s="3"/>
      <c r="AK49" s="3"/>
      <c r="AL49" s="3"/>
      <c r="AM49" s="3"/>
      <c r="AN49" s="3"/>
      <c r="AO49" s="3"/>
      <c r="AP49" s="3"/>
      <c r="AQ49" s="3"/>
      <c r="AR49" s="3"/>
      <c r="AS49" s="3"/>
      <c r="AT49" s="3"/>
      <c r="AU49" s="3"/>
      <c r="AV49" s="3"/>
      <c r="AW49" s="3"/>
      <c r="AX49" s="3"/>
      <c r="AY49" s="3"/>
      <c r="AZ49" s="3"/>
      <c r="BA49" s="3"/>
    </row>
    <row r="50" spans="1:53">
      <c r="B50" s="1027"/>
      <c r="C50" s="1027"/>
      <c r="D50" s="1027"/>
      <c r="E50" s="1027"/>
      <c r="F50" s="1027"/>
      <c r="G50" s="1027"/>
      <c r="H50" s="1027"/>
      <c r="I50" s="1027"/>
      <c r="Z50" s="97"/>
      <c r="AA50" s="97"/>
      <c r="AB50" s="97"/>
      <c r="AC50" s="97"/>
      <c r="AD50" s="97"/>
      <c r="AE50" s="97"/>
      <c r="AF50" s="97"/>
      <c r="AG50" s="97"/>
      <c r="AH50" s="97"/>
      <c r="AI50" s="3"/>
      <c r="AJ50" s="3"/>
      <c r="AK50" s="3"/>
      <c r="AL50" s="3"/>
      <c r="AM50" s="3"/>
      <c r="AN50" s="3"/>
      <c r="AO50" s="3"/>
      <c r="AP50" s="3"/>
      <c r="AQ50" s="3"/>
      <c r="AR50" s="3"/>
      <c r="AS50" s="3"/>
      <c r="AT50" s="3"/>
      <c r="AU50" s="3"/>
      <c r="AV50" s="3"/>
      <c r="AW50" s="3"/>
      <c r="AX50" s="3"/>
      <c r="AY50" s="3"/>
      <c r="AZ50" s="3"/>
      <c r="BA50" s="3"/>
    </row>
    <row r="51" spans="1:53">
      <c r="Z51" s="97"/>
      <c r="AA51" s="97"/>
      <c r="AB51" s="97"/>
      <c r="AC51" s="97"/>
      <c r="AD51" s="97"/>
      <c r="AE51" s="97"/>
      <c r="AF51" s="97"/>
      <c r="AG51" s="97"/>
      <c r="AH51" s="97"/>
      <c r="AI51" s="3"/>
      <c r="AJ51" s="3"/>
      <c r="AK51" s="3"/>
      <c r="AL51" s="3"/>
      <c r="AM51" s="3"/>
      <c r="AN51" s="3"/>
      <c r="AO51" s="3"/>
      <c r="AP51" s="3"/>
      <c r="AQ51" s="3"/>
      <c r="AR51" s="3"/>
      <c r="AS51" s="3"/>
      <c r="AT51" s="3"/>
      <c r="AU51" s="3"/>
      <c r="AV51" s="3"/>
      <c r="AW51" s="3"/>
      <c r="AX51" s="3"/>
      <c r="AY51" s="3"/>
      <c r="AZ51" s="3"/>
      <c r="BA51" s="3"/>
    </row>
    <row r="52" spans="1:53">
      <c r="Z52" s="97"/>
      <c r="AA52" s="97"/>
      <c r="AB52" s="97"/>
      <c r="AC52" s="97"/>
      <c r="AD52" s="97"/>
      <c r="AE52" s="97"/>
      <c r="AF52" s="97"/>
      <c r="AG52" s="97"/>
      <c r="AH52" s="97"/>
      <c r="AI52" s="3"/>
      <c r="AJ52" s="3"/>
      <c r="AK52" s="3"/>
      <c r="AL52" s="3"/>
      <c r="AM52" s="3"/>
      <c r="AN52" s="3"/>
      <c r="AO52" s="3"/>
      <c r="AP52" s="3"/>
      <c r="AQ52" s="3"/>
      <c r="AR52" s="3"/>
      <c r="AS52" s="3"/>
      <c r="AT52" s="3"/>
      <c r="AU52" s="3"/>
      <c r="AV52" s="3"/>
      <c r="AW52" s="3"/>
      <c r="AX52" s="3"/>
      <c r="AY52" s="3"/>
      <c r="AZ52" s="3"/>
      <c r="BA52" s="3"/>
    </row>
    <row r="53" spans="1:53">
      <c r="Z53" s="97"/>
      <c r="AA53" s="97"/>
      <c r="AB53" s="97"/>
      <c r="AC53" s="97"/>
      <c r="AD53" s="97"/>
      <c r="AE53" s="97"/>
      <c r="AF53" s="97"/>
      <c r="AG53" s="97"/>
      <c r="AH53" s="97"/>
      <c r="AI53" s="3"/>
      <c r="AJ53" s="3"/>
      <c r="AK53" s="3"/>
      <c r="AL53" s="3"/>
      <c r="AM53" s="3"/>
      <c r="AN53" s="3"/>
      <c r="AO53" s="3"/>
      <c r="AP53" s="3"/>
      <c r="AQ53" s="3"/>
      <c r="AR53" s="3"/>
      <c r="AS53" s="3"/>
      <c r="AT53" s="3"/>
      <c r="AU53" s="3"/>
      <c r="AV53" s="3"/>
      <c r="AW53" s="3"/>
      <c r="AX53" s="3"/>
      <c r="AY53" s="3"/>
      <c r="AZ53" s="3"/>
      <c r="BA53" s="3"/>
    </row>
    <row r="54" spans="1:53" ht="22.5">
      <c r="Z54" s="97"/>
      <c r="AA54" s="97"/>
      <c r="AB54" s="630"/>
      <c r="AC54" s="97"/>
      <c r="AD54" s="97"/>
      <c r="AE54" s="97"/>
      <c r="AF54" s="97"/>
      <c r="AG54" s="97"/>
      <c r="AH54" s="97"/>
      <c r="AI54" s="3"/>
      <c r="AJ54" s="3"/>
      <c r="AK54" s="3"/>
      <c r="AL54" s="3"/>
      <c r="AM54" s="3"/>
      <c r="AN54" s="3"/>
      <c r="AO54" s="3"/>
      <c r="AP54" s="3"/>
      <c r="AQ54" s="3"/>
      <c r="AR54" s="3"/>
      <c r="AS54" s="3"/>
      <c r="AT54" s="3"/>
      <c r="AU54" s="3"/>
      <c r="AV54" s="3"/>
      <c r="AW54" s="3"/>
      <c r="AX54" s="3"/>
      <c r="AY54" s="3"/>
      <c r="AZ54" s="3"/>
      <c r="BA54" s="3"/>
    </row>
    <row r="55" spans="1:53" ht="22.5">
      <c r="Z55" s="97"/>
      <c r="AA55" s="97"/>
      <c r="AB55" s="630"/>
      <c r="AC55" s="97"/>
      <c r="AD55" s="97"/>
      <c r="AE55" s="97"/>
      <c r="AF55" s="97"/>
      <c r="AG55" s="97"/>
      <c r="AH55" s="97"/>
      <c r="AI55" s="3"/>
      <c r="AJ55" s="3"/>
      <c r="AK55" s="3"/>
      <c r="AL55" s="3"/>
      <c r="AM55" s="3"/>
      <c r="AN55" s="3"/>
      <c r="AO55" s="3"/>
      <c r="AP55" s="3"/>
      <c r="AQ55" s="3"/>
      <c r="AR55" s="3"/>
      <c r="AS55" s="3"/>
      <c r="AT55" s="3"/>
      <c r="AU55" s="3"/>
      <c r="AV55" s="3"/>
      <c r="AW55" s="3"/>
      <c r="AX55" s="3"/>
      <c r="AY55" s="3"/>
      <c r="AZ55" s="3"/>
      <c r="BA55" s="3"/>
    </row>
    <row r="56" spans="1:53" ht="22.5">
      <c r="Z56" s="97"/>
      <c r="AA56" s="97"/>
      <c r="AB56" s="630"/>
      <c r="AC56" s="97"/>
      <c r="AD56" s="97"/>
      <c r="AE56" s="97"/>
      <c r="AF56" s="97"/>
      <c r="AG56" s="97"/>
      <c r="AH56" s="97"/>
      <c r="AI56" s="3"/>
      <c r="AJ56" s="3"/>
      <c r="AK56" s="3"/>
      <c r="AL56" s="3"/>
      <c r="AM56" s="3"/>
      <c r="AN56" s="3"/>
      <c r="AO56" s="3"/>
      <c r="AP56" s="3"/>
      <c r="AQ56" s="3"/>
      <c r="AR56" s="3"/>
      <c r="AS56" s="3"/>
      <c r="AT56" s="3"/>
      <c r="AU56" s="3"/>
      <c r="AV56" s="3"/>
      <c r="AW56" s="3"/>
      <c r="AX56" s="3"/>
      <c r="AY56" s="3"/>
      <c r="AZ56" s="3"/>
      <c r="BA56" s="3"/>
    </row>
    <row r="57" spans="1:53" ht="22.5">
      <c r="Z57" s="97"/>
      <c r="AA57" s="97"/>
      <c r="AB57" s="630"/>
      <c r="AC57" s="97"/>
      <c r="AD57" s="97"/>
      <c r="AE57" s="97"/>
      <c r="AF57" s="97"/>
      <c r="AG57" s="97"/>
      <c r="AH57" s="97"/>
      <c r="AI57" s="3"/>
      <c r="AJ57" s="3"/>
      <c r="AK57" s="3"/>
      <c r="AL57" s="3"/>
      <c r="AM57" s="3"/>
      <c r="AN57" s="3"/>
      <c r="AO57" s="3"/>
      <c r="AP57" s="3"/>
      <c r="AQ57" s="3"/>
      <c r="AR57" s="3"/>
      <c r="AS57" s="3"/>
      <c r="AT57" s="3"/>
      <c r="AU57" s="3"/>
      <c r="AV57" s="3"/>
      <c r="AW57" s="3"/>
      <c r="AX57" s="3"/>
      <c r="AY57" s="3"/>
      <c r="AZ57" s="3"/>
      <c r="BA57" s="3"/>
    </row>
    <row r="58" spans="1:53" ht="22.5">
      <c r="Z58" s="97"/>
      <c r="AA58" s="97"/>
      <c r="AB58" s="630"/>
      <c r="AC58" s="97"/>
      <c r="AD58" s="97"/>
      <c r="AE58" s="97"/>
      <c r="AF58" s="97"/>
      <c r="AG58" s="97"/>
      <c r="AH58" s="97"/>
      <c r="AI58" s="3"/>
      <c r="AJ58" s="3"/>
      <c r="AK58" s="3"/>
      <c r="AL58" s="3"/>
      <c r="AM58" s="3"/>
      <c r="AN58" s="3"/>
      <c r="AO58" s="3"/>
      <c r="AP58" s="3"/>
      <c r="AQ58" s="3"/>
      <c r="AR58" s="3"/>
      <c r="AS58" s="3"/>
      <c r="AT58" s="3"/>
      <c r="AU58" s="3"/>
      <c r="AV58" s="3"/>
      <c r="AW58" s="3"/>
      <c r="AX58" s="3"/>
      <c r="AY58" s="3"/>
      <c r="AZ58" s="3"/>
      <c r="BA58" s="3"/>
    </row>
    <row r="59" spans="1:53" ht="22.5">
      <c r="Z59" s="97"/>
      <c r="AA59" s="97"/>
      <c r="AB59" s="630"/>
      <c r="AC59" s="97"/>
      <c r="AD59" s="97"/>
      <c r="AE59" s="97"/>
      <c r="AF59" s="97"/>
      <c r="AG59" s="97"/>
      <c r="AH59" s="97"/>
      <c r="AI59" s="3"/>
      <c r="AJ59" s="3"/>
      <c r="AK59" s="3"/>
      <c r="AL59" s="3"/>
      <c r="AM59" s="3"/>
      <c r="AN59" s="3"/>
      <c r="AO59" s="3"/>
      <c r="AP59" s="3"/>
      <c r="AQ59" s="3"/>
      <c r="AR59" s="3"/>
      <c r="AS59" s="3"/>
      <c r="AT59" s="3"/>
      <c r="AU59" s="3"/>
      <c r="AV59" s="3"/>
      <c r="AW59" s="3"/>
      <c r="AX59" s="3"/>
      <c r="AY59" s="3"/>
      <c r="AZ59" s="3"/>
      <c r="BA59" s="3"/>
    </row>
    <row r="60" spans="1:53" ht="22.5">
      <c r="Z60" s="97"/>
      <c r="AA60" s="97"/>
      <c r="AB60" s="630"/>
      <c r="AC60" s="97"/>
      <c r="AD60" s="97"/>
      <c r="AE60" s="97"/>
      <c r="AF60" s="97"/>
      <c r="AG60" s="97"/>
      <c r="AH60" s="97"/>
      <c r="AI60" s="3"/>
      <c r="AJ60" s="3"/>
      <c r="AK60" s="3"/>
      <c r="AL60" s="3"/>
      <c r="AM60" s="3"/>
      <c r="AN60" s="3"/>
      <c r="AO60" s="3"/>
      <c r="AP60" s="3"/>
      <c r="AQ60" s="3"/>
      <c r="AR60" s="3"/>
      <c r="AS60" s="3"/>
      <c r="AT60" s="3"/>
      <c r="AU60" s="3"/>
      <c r="AV60" s="3"/>
      <c r="AW60" s="3"/>
      <c r="AX60" s="3"/>
      <c r="AY60" s="3"/>
      <c r="AZ60" s="3"/>
      <c r="BA60" s="3"/>
    </row>
    <row r="61" spans="1:53" ht="22.5">
      <c r="Z61" s="97"/>
      <c r="AA61" s="97"/>
      <c r="AB61" s="630"/>
      <c r="AC61" s="97"/>
      <c r="AD61" s="97"/>
      <c r="AE61" s="97"/>
      <c r="AF61" s="97"/>
      <c r="AG61" s="97"/>
      <c r="AH61" s="97"/>
      <c r="AI61" s="3"/>
      <c r="AJ61" s="3"/>
      <c r="AK61" s="3"/>
      <c r="AL61" s="3"/>
      <c r="AM61" s="3"/>
      <c r="AN61" s="3"/>
      <c r="AO61" s="3"/>
      <c r="AP61" s="3"/>
      <c r="AQ61" s="3"/>
      <c r="AR61" s="3"/>
      <c r="AS61" s="3"/>
      <c r="AT61" s="3"/>
      <c r="AU61" s="3"/>
      <c r="AV61" s="3"/>
      <c r="AW61" s="3"/>
      <c r="AX61" s="3"/>
      <c r="AY61" s="3"/>
      <c r="AZ61" s="3"/>
      <c r="BA61" s="3"/>
    </row>
    <row r="62" spans="1:53" ht="22.5">
      <c r="Z62" s="97"/>
      <c r="AA62" s="97"/>
      <c r="AB62" s="630"/>
      <c r="AC62" s="97"/>
      <c r="AD62" s="97"/>
      <c r="AE62" s="97"/>
      <c r="AF62" s="97"/>
      <c r="AG62" s="97"/>
      <c r="AH62" s="97"/>
      <c r="AI62" s="3"/>
      <c r="AJ62" s="3"/>
      <c r="AK62" s="3"/>
      <c r="AL62" s="3"/>
      <c r="AM62" s="3"/>
      <c r="AN62" s="3"/>
      <c r="AO62" s="3"/>
      <c r="AP62" s="3"/>
      <c r="AQ62" s="3"/>
      <c r="AR62" s="3"/>
      <c r="AS62" s="3"/>
      <c r="AT62" s="3"/>
      <c r="AU62" s="3"/>
      <c r="AV62" s="3"/>
      <c r="AW62" s="3"/>
      <c r="AX62" s="3"/>
      <c r="AY62" s="3"/>
      <c r="AZ62" s="3"/>
      <c r="BA62" s="3"/>
    </row>
    <row r="63" spans="1:53" ht="22.5">
      <c r="Z63" s="97"/>
      <c r="AA63" s="97"/>
      <c r="AB63" s="630"/>
      <c r="AC63" s="97"/>
      <c r="AD63" s="97"/>
      <c r="AE63" s="97"/>
      <c r="AF63" s="97"/>
      <c r="AG63" s="97"/>
      <c r="AH63" s="97"/>
      <c r="AI63" s="3"/>
      <c r="AJ63" s="3"/>
      <c r="AK63" s="3"/>
      <c r="AL63" s="3"/>
      <c r="AM63" s="3"/>
      <c r="AN63" s="3"/>
      <c r="AO63" s="3"/>
      <c r="AP63" s="3"/>
      <c r="AQ63" s="3"/>
      <c r="AR63" s="3"/>
      <c r="AS63" s="3"/>
      <c r="AT63" s="3"/>
      <c r="AU63" s="3"/>
      <c r="AV63" s="3"/>
      <c r="AW63" s="3"/>
      <c r="AX63" s="3"/>
      <c r="AY63" s="3"/>
      <c r="AZ63" s="3"/>
      <c r="BA63" s="3"/>
    </row>
    <row r="64" spans="1:53" ht="22.5">
      <c r="Z64" s="97"/>
      <c r="AA64" s="97"/>
      <c r="AB64" s="630"/>
      <c r="AC64" s="97"/>
      <c r="AD64" s="97"/>
      <c r="AE64" s="97"/>
      <c r="AF64" s="97"/>
      <c r="AG64" s="97"/>
      <c r="AH64" s="97"/>
      <c r="AI64" s="3"/>
      <c r="AJ64" s="3"/>
      <c r="AK64" s="3"/>
      <c r="AL64" s="3"/>
      <c r="AM64" s="3"/>
      <c r="AN64" s="3"/>
      <c r="AO64" s="3"/>
      <c r="AP64" s="3"/>
      <c r="AQ64" s="3"/>
      <c r="AR64" s="3"/>
      <c r="AS64" s="3"/>
      <c r="AT64" s="3"/>
      <c r="AU64" s="3"/>
      <c r="AV64" s="3"/>
      <c r="AW64" s="3"/>
      <c r="AX64" s="3"/>
      <c r="AY64" s="3"/>
      <c r="AZ64" s="3"/>
      <c r="BA64" s="3"/>
    </row>
    <row r="65" spans="26:53" ht="22.5">
      <c r="Z65" s="97"/>
      <c r="AA65" s="97"/>
      <c r="AB65" s="630"/>
      <c r="AC65" s="97"/>
      <c r="AD65" s="97"/>
      <c r="AE65" s="97"/>
      <c r="AF65" s="97"/>
      <c r="AG65" s="97"/>
      <c r="AH65" s="97"/>
      <c r="AI65" s="3"/>
      <c r="AJ65" s="3"/>
      <c r="AK65" s="3"/>
      <c r="AL65" s="3"/>
      <c r="AM65" s="3"/>
      <c r="AN65" s="3"/>
      <c r="AO65" s="3"/>
      <c r="AP65" s="3"/>
      <c r="AQ65" s="3"/>
      <c r="AR65" s="3"/>
      <c r="AS65" s="3"/>
      <c r="AT65" s="3"/>
      <c r="AU65" s="3"/>
      <c r="AV65" s="3"/>
      <c r="AW65" s="3"/>
      <c r="AX65" s="3"/>
      <c r="AY65" s="3"/>
      <c r="AZ65" s="3"/>
      <c r="BA65" s="3"/>
    </row>
    <row r="66" spans="26:53" ht="22.5">
      <c r="Z66" s="97"/>
      <c r="AA66" s="97"/>
      <c r="AB66" s="630"/>
      <c r="AC66" s="97"/>
      <c r="AD66" s="97"/>
      <c r="AE66" s="97"/>
      <c r="AF66" s="97"/>
      <c r="AG66" s="97"/>
      <c r="AH66" s="97"/>
      <c r="AI66" s="3"/>
      <c r="AJ66" s="3"/>
      <c r="AK66" s="3"/>
      <c r="AL66" s="3"/>
      <c r="AM66" s="3"/>
      <c r="AN66" s="3"/>
      <c r="AO66" s="3"/>
      <c r="AP66" s="3"/>
      <c r="AQ66" s="3"/>
      <c r="AR66" s="3"/>
      <c r="AS66" s="3"/>
      <c r="AT66" s="3"/>
      <c r="AU66" s="3"/>
      <c r="AV66" s="3"/>
      <c r="AW66" s="3"/>
      <c r="AX66" s="3"/>
      <c r="AY66" s="3"/>
      <c r="AZ66" s="3"/>
      <c r="BA66" s="3"/>
    </row>
    <row r="67" spans="26:53" ht="22.5">
      <c r="Z67" s="97"/>
      <c r="AA67" s="97"/>
      <c r="AB67" s="630"/>
      <c r="AC67" s="97"/>
      <c r="AD67" s="97"/>
      <c r="AE67" s="97"/>
      <c r="AF67" s="97"/>
      <c r="AG67" s="97"/>
      <c r="AH67" s="97"/>
      <c r="AI67" s="3"/>
      <c r="AJ67" s="3"/>
      <c r="AK67" s="3"/>
      <c r="AL67" s="3"/>
      <c r="AM67" s="3"/>
      <c r="AN67" s="3"/>
      <c r="AO67" s="3"/>
      <c r="AP67" s="3"/>
      <c r="AQ67" s="3"/>
      <c r="AR67" s="3"/>
      <c r="AS67" s="3"/>
      <c r="AT67" s="3"/>
      <c r="AU67" s="3"/>
      <c r="AV67" s="3"/>
      <c r="AW67" s="3"/>
      <c r="AX67" s="3"/>
      <c r="AY67" s="3"/>
      <c r="AZ67" s="3"/>
      <c r="BA67" s="3"/>
    </row>
    <row r="68" spans="26:53" ht="22.5">
      <c r="Z68" s="97"/>
      <c r="AA68" s="97"/>
      <c r="AB68" s="630"/>
      <c r="AC68" s="97"/>
      <c r="AD68" s="97"/>
      <c r="AE68" s="97"/>
      <c r="AF68" s="97"/>
      <c r="AG68" s="97"/>
      <c r="AH68" s="97"/>
      <c r="AI68" s="3"/>
      <c r="AJ68" s="3"/>
      <c r="AK68" s="3"/>
      <c r="AL68" s="3"/>
      <c r="AM68" s="3"/>
      <c r="AN68" s="3"/>
      <c r="AO68" s="3"/>
      <c r="AP68" s="3"/>
      <c r="AQ68" s="3"/>
      <c r="AR68" s="3"/>
      <c r="AS68" s="3"/>
      <c r="AT68" s="3"/>
      <c r="AU68" s="3"/>
      <c r="AV68" s="3"/>
      <c r="AW68" s="3"/>
      <c r="AX68" s="3"/>
      <c r="AY68" s="3"/>
      <c r="AZ68" s="3"/>
      <c r="BA68" s="3"/>
    </row>
    <row r="69" spans="26:53" ht="22.5">
      <c r="Z69" s="97"/>
      <c r="AA69" s="97"/>
      <c r="AB69" s="630"/>
      <c r="AC69" s="97"/>
      <c r="AD69" s="97"/>
      <c r="AE69" s="97"/>
      <c r="AF69" s="97"/>
      <c r="AG69" s="97"/>
      <c r="AH69" s="97"/>
      <c r="AI69" s="3"/>
      <c r="AJ69" s="3"/>
      <c r="AK69" s="3"/>
      <c r="AL69" s="3"/>
      <c r="AM69" s="3"/>
      <c r="AN69" s="3"/>
      <c r="AO69" s="3"/>
      <c r="AP69" s="3"/>
      <c r="AQ69" s="3"/>
      <c r="AR69" s="3"/>
      <c r="AS69" s="3"/>
      <c r="AT69" s="3"/>
      <c r="AU69" s="3"/>
      <c r="AV69" s="3"/>
      <c r="AW69" s="3"/>
      <c r="AX69" s="3"/>
      <c r="AY69" s="3"/>
      <c r="AZ69" s="3"/>
      <c r="BA69" s="3"/>
    </row>
    <row r="70" spans="26:53" ht="22.5">
      <c r="Z70" s="97"/>
      <c r="AA70" s="97"/>
      <c r="AB70" s="630"/>
      <c r="AC70" s="97"/>
      <c r="AD70" s="97"/>
      <c r="AE70" s="97"/>
      <c r="AF70" s="97"/>
      <c r="AG70" s="97"/>
      <c r="AH70" s="97"/>
      <c r="AI70" s="3"/>
      <c r="AJ70" s="3"/>
      <c r="AK70" s="3"/>
      <c r="AL70" s="3"/>
      <c r="AM70" s="3"/>
      <c r="AN70" s="3"/>
      <c r="AO70" s="3"/>
      <c r="AP70" s="3"/>
      <c r="AQ70" s="3"/>
      <c r="AR70" s="3"/>
      <c r="AS70" s="3"/>
      <c r="AT70" s="3"/>
      <c r="AU70" s="3"/>
      <c r="AV70" s="3"/>
      <c r="AW70" s="3"/>
      <c r="AX70" s="3"/>
      <c r="AY70" s="3"/>
      <c r="AZ70" s="3"/>
      <c r="BA70" s="3"/>
    </row>
    <row r="71" spans="26:53" ht="22.5">
      <c r="Z71" s="97"/>
      <c r="AA71" s="97"/>
      <c r="AB71" s="630"/>
      <c r="AC71" s="97"/>
      <c r="AD71" s="97"/>
      <c r="AE71" s="97"/>
      <c r="AF71" s="97"/>
      <c r="AG71" s="97"/>
      <c r="AH71" s="97"/>
      <c r="AI71" s="3"/>
      <c r="AJ71" s="3"/>
      <c r="AK71" s="3"/>
      <c r="AL71" s="3"/>
      <c r="AM71" s="3"/>
      <c r="AN71" s="3"/>
      <c r="AO71" s="3"/>
      <c r="AP71" s="3"/>
      <c r="AQ71" s="3"/>
      <c r="AR71" s="3"/>
      <c r="AS71" s="3"/>
      <c r="AT71" s="3"/>
      <c r="AU71" s="3"/>
      <c r="AV71" s="3"/>
      <c r="AW71" s="3"/>
      <c r="AX71" s="3"/>
      <c r="AY71" s="3"/>
      <c r="AZ71" s="3"/>
      <c r="BA71" s="3"/>
    </row>
    <row r="72" spans="26:53" ht="22.5">
      <c r="Z72" s="97"/>
      <c r="AA72" s="97"/>
      <c r="AB72" s="630"/>
      <c r="AC72" s="97"/>
      <c r="AD72" s="97"/>
      <c r="AE72" s="97"/>
      <c r="AF72" s="97"/>
      <c r="AG72" s="97"/>
      <c r="AH72" s="97"/>
      <c r="AI72" s="3"/>
      <c r="AJ72" s="3"/>
      <c r="AK72" s="3"/>
      <c r="AL72" s="3"/>
      <c r="AM72" s="3"/>
      <c r="AN72" s="3"/>
      <c r="AO72" s="3"/>
      <c r="AP72" s="3"/>
      <c r="AQ72" s="3"/>
      <c r="AR72" s="3"/>
      <c r="AS72" s="3"/>
      <c r="AT72" s="3"/>
      <c r="AU72" s="3"/>
      <c r="AV72" s="3"/>
      <c r="AW72" s="3"/>
      <c r="AX72" s="3"/>
      <c r="AY72" s="3"/>
      <c r="AZ72" s="3"/>
      <c r="BA72" s="3"/>
    </row>
    <row r="73" spans="26:53" ht="22.5">
      <c r="Z73" s="97"/>
      <c r="AA73" s="97"/>
      <c r="AB73" s="630"/>
      <c r="AC73" s="97"/>
      <c r="AD73" s="97"/>
      <c r="AE73" s="97"/>
      <c r="AF73" s="97"/>
      <c r="AG73" s="97"/>
      <c r="AH73" s="97"/>
      <c r="AI73" s="3"/>
      <c r="AJ73" s="3"/>
      <c r="AK73" s="3"/>
      <c r="AL73" s="3"/>
      <c r="AM73" s="3"/>
      <c r="AN73" s="3"/>
      <c r="AO73" s="3"/>
      <c r="AP73" s="3"/>
      <c r="AQ73" s="3"/>
      <c r="AR73" s="3"/>
      <c r="AS73" s="3"/>
      <c r="AT73" s="3"/>
      <c r="AU73" s="3"/>
      <c r="AV73" s="3"/>
      <c r="AW73" s="3"/>
      <c r="AX73" s="3"/>
      <c r="AY73" s="3"/>
      <c r="AZ73" s="3"/>
      <c r="BA73" s="3"/>
    </row>
    <row r="74" spans="26:53" ht="22.5">
      <c r="AB74" s="631"/>
    </row>
    <row r="75" spans="26:53" ht="22.5">
      <c r="AB75" s="631"/>
    </row>
    <row r="76" spans="26:53" ht="22.5">
      <c r="AB76" s="631"/>
    </row>
    <row r="77" spans="26:53" ht="22.5">
      <c r="AB77" s="631"/>
    </row>
    <row r="78" spans="26:53" ht="18" customHeight="1">
      <c r="AB78" s="631"/>
    </row>
    <row r="79" spans="26:53" ht="22.5">
      <c r="AB79" s="631"/>
    </row>
    <row r="80" spans="26:53" ht="22.5">
      <c r="AB80" s="631"/>
    </row>
    <row r="81" spans="28:28" ht="22.5">
      <c r="AB81" s="631"/>
    </row>
    <row r="82" spans="28:28" ht="22.5">
      <c r="AB82" s="631"/>
    </row>
    <row r="83" spans="28:28" ht="22.5">
      <c r="AB83" s="631"/>
    </row>
    <row r="84" spans="28:28" ht="22.5">
      <c r="AB84" s="631"/>
    </row>
    <row r="85" spans="28:28" ht="22.5">
      <c r="AB85" s="631"/>
    </row>
    <row r="86" spans="28:28" ht="22.5">
      <c r="AB86" s="631"/>
    </row>
    <row r="87" spans="28:28" ht="22.5">
      <c r="AB87" s="631"/>
    </row>
    <row r="88" spans="28:28" ht="22.5">
      <c r="AB88" s="631"/>
    </row>
    <row r="89" spans="28:28" ht="22.5">
      <c r="AB89" s="631"/>
    </row>
    <row r="90" spans="28:28" ht="22.5">
      <c r="AB90" s="631"/>
    </row>
    <row r="91" spans="28:28" ht="22.5">
      <c r="AB91" s="631"/>
    </row>
    <row r="92" spans="28:28" ht="22.5">
      <c r="AB92" s="631"/>
    </row>
    <row r="93" spans="28:28" ht="22.5">
      <c r="AB93" s="631"/>
    </row>
    <row r="94" spans="28:28" ht="22.5">
      <c r="AB94" s="631"/>
    </row>
    <row r="95" spans="28:28" ht="22.5">
      <c r="AB95" s="631"/>
    </row>
    <row r="96" spans="28:28" ht="22.5">
      <c r="AB96" s="631"/>
    </row>
    <row r="97" spans="28:28" ht="22.5">
      <c r="AB97" s="631"/>
    </row>
    <row r="98" spans="28:28" ht="22.5">
      <c r="AB98" s="631"/>
    </row>
    <row r="99" spans="28:28" ht="22.5">
      <c r="AB99" s="631"/>
    </row>
    <row r="100" spans="28:28" ht="22.5">
      <c r="AB100" s="631"/>
    </row>
    <row r="101" spans="28:28" ht="22.5">
      <c r="AB101" s="631"/>
    </row>
    <row r="102" spans="28:28" ht="22.5">
      <c r="AB102" s="631"/>
    </row>
    <row r="103" spans="28:28" ht="22.5">
      <c r="AB103" s="631"/>
    </row>
    <row r="104" spans="28:28" ht="22.5">
      <c r="AB104" s="631"/>
    </row>
    <row r="105" spans="28:28" ht="22.5">
      <c r="AB105" s="631"/>
    </row>
    <row r="106" spans="28:28" ht="22.5">
      <c r="AB106" s="631"/>
    </row>
    <row r="107" spans="28:28" ht="22.5">
      <c r="AB107" s="631"/>
    </row>
    <row r="108" spans="28:28" ht="22.5">
      <c r="AB108" s="631"/>
    </row>
    <row r="109" spans="28:28" ht="22.5">
      <c r="AB109" s="631"/>
    </row>
    <row r="110" spans="28:28" ht="22.5">
      <c r="AB110" s="631"/>
    </row>
    <row r="111" spans="28:28" ht="22.5">
      <c r="AB111" s="631"/>
    </row>
    <row r="112" spans="28:28" ht="22.5">
      <c r="AB112" s="631"/>
    </row>
    <row r="113" spans="28:28" ht="22.5">
      <c r="AB113" s="631"/>
    </row>
    <row r="114" spans="28:28" ht="22.5">
      <c r="AB114" s="631"/>
    </row>
    <row r="115" spans="28:28" ht="22.5">
      <c r="AB115" s="631"/>
    </row>
    <row r="116" spans="28:28" ht="22.5">
      <c r="AB116" s="631"/>
    </row>
    <row r="117" spans="28:28" ht="22.5">
      <c r="AB117" s="631"/>
    </row>
    <row r="118" spans="28:28" ht="22.5">
      <c r="AB118" s="631"/>
    </row>
    <row r="119" spans="28:28" ht="22.5">
      <c r="AB119" s="631"/>
    </row>
    <row r="120" spans="28:28" ht="22.5">
      <c r="AB120" s="631"/>
    </row>
    <row r="121" spans="28:28" ht="22.5">
      <c r="AB121" s="631"/>
    </row>
  </sheetData>
  <sheetProtection algorithmName="SHA-512" hashValue="6ukZI+ZxP8wykU5+fOWVZhP2siejK+g+R90Amv+YmcyNG4Hfewm8J7KPv3XXgsFrpkDq5rKg+uAvA1mIUne0Fg==" saltValue="VVhRIwR0wfC4JJVaPYc/Ig==" spinCount="100000" sheet="1" objects="1" scenarios="1" selectLockedCells="1"/>
  <mergeCells count="9">
    <mergeCell ref="C46:H49"/>
    <mergeCell ref="D21:H21"/>
    <mergeCell ref="E7:H7"/>
    <mergeCell ref="D8:H8"/>
    <mergeCell ref="F23:H23"/>
    <mergeCell ref="D9:H9"/>
    <mergeCell ref="D10:E10"/>
    <mergeCell ref="F16:H16"/>
    <mergeCell ref="C31:H38"/>
  </mergeCells>
  <phoneticPr fontId="12" type="noConversion"/>
  <conditionalFormatting sqref="D9:H9">
    <cfRule type="expression" dxfId="383" priority="3">
      <formula>IF($H$6&gt;1,TRUE,FALSE)</formula>
    </cfRule>
  </conditionalFormatting>
  <conditionalFormatting sqref="E7:H7">
    <cfRule type="expression" dxfId="382" priority="1">
      <formula>IF(AND($F$6="Yes",$H$6&gt;1),TRUE,FALSE)</formula>
    </cfRule>
  </conditionalFormatting>
  <dataValidations count="7">
    <dataValidation type="custom" allowBlank="1" showInputMessage="1" showErrorMessage="1" sqref="F1:F2 A3:A47 D10:E10" xr:uid="{843400B9-16F4-434D-BFE4-1DA452465071}">
      <formula1>"&lt;0&gt;0"</formula1>
    </dataValidation>
    <dataValidation type="custom" allowBlank="1" showInputMessage="1" showErrorMessage="1" sqref="F23" xr:uid="{FD95973F-8051-4B97-9AFB-BAEC95FC7DA9}">
      <formula1>ISNUMBER(MATCH("*@*.?*",F23,0))</formula1>
    </dataValidation>
    <dataValidation type="list" allowBlank="1" showInputMessage="1" showErrorMessage="1" sqref="D25" xr:uid="{159FDE60-91F7-49FD-BF7C-0F99CB30476A}">
      <formula1>Wisconsin_Assembly_District</formula1>
    </dataValidation>
    <dataValidation type="list" allowBlank="1" showInputMessage="1" showErrorMessage="1" sqref="D27" xr:uid="{2026A293-23F3-4106-B542-66CACECF5EAD}">
      <formula1>US_Congress_District</formula1>
    </dataValidation>
    <dataValidation type="custom" allowBlank="1" showInputMessage="1" showErrorMessage="1" errorTitle="Numeric Value Error" error="Please enter numeric values only." sqref="D14" xr:uid="{F5051E52-D166-4F48-9A25-C9E24338A352}">
      <formula1>ISNUMBER(D14)</formula1>
    </dataValidation>
    <dataValidation type="custom" allowBlank="1" showInputMessage="1" showErrorMessage="1" errorTitle="Phone Number Error" error="Please enter phone number with numeric values only." sqref="D23" xr:uid="{5FA5DEE3-315B-4EB1-9470-D42A7DCF6CDC}">
      <formula1>ISNUMBER(D23)</formula1>
    </dataValidation>
    <dataValidation allowBlank="1" showInputMessage="1" showErrorMessage="1" promptTitle="Street Address" prompt="Please input only primary address." sqref="D8:H8" xr:uid="{54A541C5-5F26-4A4D-B9A5-85BCB81DD3BC}"/>
  </dataValidations>
  <pageMargins left="0.7" right="0.7" top="0.75" bottom="0.75" header="0.3" footer="0.3"/>
  <pageSetup scale="45"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C06DBDA6-77BD-CE45-A716-4F3E9C0EB75C}">
          <x14:formula1>
            <xm:f>'Dropdown Lists'!$C$2:$C$73</xm:f>
          </x14:formula1>
          <xm:sqref>D12</xm:sqref>
        </x14:dataValidation>
        <x14:dataValidation type="list" allowBlank="1" showInputMessage="1" showErrorMessage="1" xr:uid="{23F5FAE1-FF97-4044-83ED-D29CD7DD383B}">
          <x14:formula1>
            <xm:f>'Dropdown Lists'!$A$2:$A$3</xm:f>
          </x14:formula1>
          <xm:sqref>F13 D13 F6 D16 F15</xm:sqref>
        </x14:dataValidation>
        <x14:dataValidation type="list" allowBlank="1" showInputMessage="1" showErrorMessage="1" xr:uid="{7C20A4C8-91F5-49E9-B11D-42C7772CB6B5}">
          <x14:formula1>
            <xm:f>'Dropdown Lists'!$AC$2:$AC$12</xm:f>
          </x14:formula1>
          <xm:sqref>F16:H16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7CA4-D275-456C-90DB-CE6E9F935394}">
  <sheetPr codeName="Sheet4">
    <pageSetUpPr fitToPage="1"/>
  </sheetPr>
  <dimension ref="A1:AU433"/>
  <sheetViews>
    <sheetView workbookViewId="0">
      <selection activeCell="D6" sqref="D6"/>
    </sheetView>
  </sheetViews>
  <sheetFormatPr defaultColWidth="8.85546875" defaultRowHeight="15"/>
  <cols>
    <col min="1" max="2" width="5.7109375" style="3" customWidth="1"/>
    <col min="3" max="3" width="82.42578125" customWidth="1"/>
    <col min="4" max="4" width="33.42578125" customWidth="1"/>
    <col min="5" max="5" width="39.140625" customWidth="1"/>
    <col min="6" max="6" width="13" customWidth="1"/>
    <col min="8" max="8" width="15.42578125" style="115" bestFit="1" customWidth="1"/>
    <col min="9" max="9" width="10.140625" style="115" customWidth="1"/>
    <col min="10" max="10" width="15.85546875" style="115" bestFit="1" customWidth="1"/>
    <col min="11" max="11" width="14.5703125" style="115" customWidth="1"/>
    <col min="12" max="12" width="19.42578125" style="115" bestFit="1" customWidth="1"/>
    <col min="13" max="13" width="8.85546875" style="115"/>
    <col min="14" max="14" width="23.85546875" style="115" bestFit="1" customWidth="1"/>
    <col min="15" max="15" width="14.5703125" style="115" customWidth="1"/>
    <col min="16" max="16" width="2" style="115" bestFit="1" customWidth="1"/>
    <col min="17" max="26" width="0" style="115" hidden="1" customWidth="1"/>
    <col min="27" max="47" width="8.85546875" style="115"/>
    <col min="48" max="16384" width="8.85546875" style="3"/>
  </cols>
  <sheetData>
    <row r="1" spans="1:17" ht="28.5">
      <c r="B1" s="4" t="str">
        <f>'1. TOC'!B1</f>
        <v>WHEDA 2025 Multifamily Application</v>
      </c>
      <c r="D1" s="115" t="str">
        <f>'1. TOC'!L1</f>
        <v>v25.1.12</v>
      </c>
      <c r="E1" s="947" t="str">
        <f>HYPERLINK("#Table_of_Contents", Table_of_Contents)</f>
        <v>Table of Contents</v>
      </c>
      <c r="G1" s="3"/>
    </row>
    <row r="2" spans="1:17" ht="21">
      <c r="B2" s="841" t="str">
        <f>_xlfn.CONCAT(IF(ISBLANK(WHEDA_Project_Number),"",_xlfn.CONCAT(WHEDA_Project_Number," - ")), Project_Name, IF(ISBLANK(Credit_percentage_applied_for),"",_xlfn.CONCAT(" - ", Credit_percentage_applied_for," HTC")))</f>
        <v/>
      </c>
      <c r="C2" s="3"/>
      <c r="D2" s="3"/>
      <c r="E2" s="3"/>
      <c r="F2" s="3"/>
      <c r="G2" s="3"/>
    </row>
    <row r="3" spans="1:17" ht="18.75">
      <c r="A3" s="8"/>
      <c r="B3" s="8"/>
      <c r="C3" s="7"/>
      <c r="D3" s="7"/>
      <c r="E3" s="7"/>
      <c r="F3" s="7"/>
      <c r="G3" s="7"/>
    </row>
    <row r="4" spans="1:17" ht="28.5">
      <c r="B4" s="4" t="s">
        <v>570</v>
      </c>
      <c r="D4" s="8"/>
      <c r="E4" s="8"/>
      <c r="F4" s="8"/>
      <c r="G4" s="8"/>
    </row>
    <row r="5" spans="1:17">
      <c r="B5" s="1027"/>
      <c r="C5" s="1027"/>
      <c r="D5" s="1027"/>
      <c r="E5" s="1027"/>
      <c r="F5" s="1027"/>
      <c r="G5" s="1027"/>
      <c r="H5" s="9"/>
      <c r="I5" s="9"/>
      <c r="J5" s="9"/>
      <c r="K5" s="9"/>
      <c r="L5" s="9"/>
      <c r="M5" s="9"/>
      <c r="N5" s="9"/>
      <c r="O5" s="9"/>
      <c r="P5" s="9"/>
      <c r="Q5" s="9"/>
    </row>
    <row r="6" spans="1:17" ht="15.75">
      <c r="B6" s="1027"/>
      <c r="C6" s="1706" t="s">
        <v>3639</v>
      </c>
      <c r="D6" s="1701"/>
      <c r="E6" s="1050"/>
      <c r="F6" s="1050"/>
      <c r="G6" s="1039"/>
      <c r="H6" s="9"/>
      <c r="I6" s="9"/>
      <c r="J6" s="9"/>
      <c r="K6" s="9"/>
      <c r="L6" s="9"/>
      <c r="M6" s="9"/>
      <c r="N6" s="9"/>
      <c r="O6" s="9"/>
      <c r="P6" s="9"/>
      <c r="Q6" s="9"/>
    </row>
    <row r="7" spans="1:17" ht="15.75">
      <c r="B7" s="1027"/>
      <c r="C7" s="1706"/>
      <c r="D7" s="1050"/>
      <c r="E7" s="1050"/>
      <c r="F7" s="1050"/>
      <c r="G7" s="1039"/>
      <c r="H7" s="9"/>
      <c r="I7" s="9"/>
      <c r="J7" s="9"/>
      <c r="K7" s="9"/>
      <c r="L7" s="9"/>
      <c r="M7" s="9"/>
      <c r="N7" s="9"/>
      <c r="O7" s="9"/>
      <c r="P7" s="9"/>
      <c r="Q7" s="9"/>
    </row>
    <row r="8" spans="1:17" ht="15.75">
      <c r="B8" s="1027"/>
      <c r="C8" s="1706" t="s">
        <v>3640</v>
      </c>
      <c r="D8" s="261"/>
      <c r="E8" s="1050"/>
      <c r="F8" s="1050"/>
      <c r="G8" s="1039"/>
      <c r="H8" s="9"/>
      <c r="I8" s="9"/>
      <c r="J8" s="581"/>
      <c r="K8" s="9"/>
      <c r="L8" s="9"/>
      <c r="M8" s="9"/>
      <c r="N8" s="9"/>
      <c r="O8" s="9"/>
      <c r="P8" s="9"/>
      <c r="Q8" s="9"/>
    </row>
    <row r="9" spans="1:17" ht="15.75">
      <c r="B9" s="1027"/>
      <c r="C9" s="1706" t="s">
        <v>3641</v>
      </c>
      <c r="D9" s="261"/>
      <c r="E9" s="1050"/>
      <c r="F9" s="1050"/>
      <c r="G9" s="1039"/>
      <c r="H9" s="9"/>
      <c r="I9" s="9"/>
      <c r="J9" s="9"/>
      <c r="K9" s="581"/>
      <c r="L9" s="9"/>
      <c r="M9" s="9"/>
      <c r="N9" s="9"/>
      <c r="O9" s="9"/>
      <c r="P9" s="9"/>
      <c r="Q9" s="9"/>
    </row>
    <row r="10" spans="1:17" ht="15.75">
      <c r="A10" s="9"/>
      <c r="B10" s="1027"/>
      <c r="C10" s="1706" t="s">
        <v>3642</v>
      </c>
      <c r="D10" s="261"/>
      <c r="E10" s="1050"/>
      <c r="F10" s="1050"/>
      <c r="G10" s="1050"/>
      <c r="H10" s="9"/>
      <c r="I10" s="9"/>
      <c r="J10" s="9"/>
      <c r="K10" s="9"/>
      <c r="L10" s="9"/>
      <c r="M10" s="9"/>
      <c r="N10" s="9"/>
      <c r="O10" s="9"/>
      <c r="P10" s="9"/>
      <c r="Q10" s="9"/>
    </row>
    <row r="11" spans="1:17" ht="15.75">
      <c r="B11" s="1027"/>
      <c r="C11" s="1706" t="s">
        <v>3643</v>
      </c>
      <c r="D11" s="261"/>
      <c r="E11" s="1050"/>
      <c r="F11" s="1039"/>
      <c r="G11" s="1039"/>
      <c r="H11" s="9"/>
      <c r="I11" s="9"/>
      <c r="J11" s="9"/>
      <c r="K11" s="9"/>
      <c r="L11" s="9"/>
      <c r="M11" s="9"/>
      <c r="N11" s="9"/>
      <c r="O11" s="9"/>
      <c r="P11" s="9"/>
      <c r="Q11" s="9"/>
    </row>
    <row r="12" spans="1:17" ht="15.75">
      <c r="B12" s="1027"/>
      <c r="C12" s="1706" t="s">
        <v>3644</v>
      </c>
      <c r="D12" s="261"/>
      <c r="E12" s="1050"/>
      <c r="F12" s="1050"/>
      <c r="G12" s="1039"/>
      <c r="H12" s="9"/>
      <c r="I12" s="9"/>
      <c r="J12" s="9"/>
      <c r="K12" s="9"/>
      <c r="L12" s="9"/>
      <c r="M12" s="9"/>
      <c r="N12" s="9"/>
      <c r="O12" s="9"/>
      <c r="P12" s="9"/>
      <c r="Q12" s="9"/>
    </row>
    <row r="13" spans="1:17" ht="15.75">
      <c r="B13" s="1027"/>
      <c r="C13" s="1706" t="s">
        <v>3645</v>
      </c>
      <c r="D13" s="261"/>
      <c r="E13" s="1050"/>
      <c r="F13" s="1050"/>
      <c r="G13" s="1039"/>
      <c r="H13" s="9"/>
      <c r="I13" s="9"/>
      <c r="J13" s="9"/>
      <c r="K13" s="9"/>
      <c r="L13" s="9"/>
      <c r="M13" s="9"/>
      <c r="N13" s="9"/>
      <c r="O13" s="9"/>
      <c r="P13" s="9"/>
      <c r="Q13" s="9"/>
    </row>
    <row r="14" spans="1:17" ht="15.75">
      <c r="A14" s="9"/>
      <c r="B14" s="1027"/>
      <c r="C14" s="1706" t="str">
        <f>IF(OR(Will_this_project_be_utilizing_federal_assistance?="Yes",Will_this_project_be_receiving_project_based_federal_rental_assistance?="Yes"),"Provide the Subsidy Source ","N/A - Only Required for Projects Utilizing Rental Assistance ")</f>
        <v xml:space="preserve">N/A - Only Required for Projects Utilizing Rental Assistance </v>
      </c>
      <c r="D14" s="165"/>
      <c r="E14" s="1050"/>
      <c r="F14" s="1050"/>
      <c r="G14" s="1050"/>
      <c r="H14" s="9"/>
      <c r="I14" s="9"/>
      <c r="J14" s="9"/>
      <c r="K14" s="9"/>
      <c r="L14" s="9"/>
      <c r="M14" s="9"/>
      <c r="N14" s="9"/>
      <c r="O14" s="9"/>
      <c r="P14" s="9"/>
      <c r="Q14" s="9"/>
    </row>
    <row r="15" spans="1:17" ht="15.75">
      <c r="B15" s="1027"/>
      <c r="C15" s="1706" t="str">
        <f>IF(OR(Will_this_project_be_utilizing_federal_assistance?="Yes",Will_this_project_be_receiving_project_based_federal_rental_assistance?="Yes"),"Number of Rent Assisted Units ","N/A - Only Required for Projects Utilizing Rental Assistance ")</f>
        <v xml:space="preserve">N/A - Only Required for Projects Utilizing Rental Assistance </v>
      </c>
      <c r="D15" s="165"/>
      <c r="E15" s="1050"/>
      <c r="F15" s="1039"/>
      <c r="G15" s="1039"/>
      <c r="H15" s="9"/>
      <c r="I15" s="9"/>
      <c r="J15" s="9"/>
      <c r="K15" s="9"/>
      <c r="L15" s="9"/>
      <c r="M15" s="9"/>
      <c r="N15" s="9"/>
      <c r="O15" s="9"/>
      <c r="P15" s="9"/>
      <c r="Q15" s="9"/>
    </row>
    <row r="16" spans="1:17" ht="15.75">
      <c r="B16" s="1027"/>
      <c r="C16" s="1039"/>
      <c r="D16" s="1039"/>
      <c r="E16" s="1039"/>
      <c r="F16" s="1039"/>
      <c r="G16" s="1039"/>
      <c r="H16" s="9"/>
      <c r="I16" s="9"/>
      <c r="J16" s="9"/>
      <c r="K16" s="9"/>
      <c r="L16" s="9"/>
      <c r="M16" s="9"/>
      <c r="N16" s="9"/>
      <c r="O16" s="9"/>
      <c r="P16" s="9"/>
      <c r="Q16" s="9"/>
    </row>
    <row r="17" spans="1:17" ht="15.75">
      <c r="B17" s="1027"/>
      <c r="C17" s="1705" t="s">
        <v>3646</v>
      </c>
      <c r="D17" s="261"/>
      <c r="E17" s="1705" t="s">
        <v>3647</v>
      </c>
      <c r="F17" s="165"/>
      <c r="G17" s="1039"/>
      <c r="H17" s="9"/>
      <c r="I17" s="9"/>
      <c r="J17" s="9"/>
      <c r="K17" s="9"/>
      <c r="L17" s="9"/>
      <c r="M17" s="9"/>
      <c r="N17" s="9"/>
      <c r="O17" s="9"/>
      <c r="P17" s="9"/>
      <c r="Q17" s="9"/>
    </row>
    <row r="18" spans="1:17" ht="15.75">
      <c r="B18" s="1027"/>
      <c r="C18" s="1705" t="s">
        <v>3648</v>
      </c>
      <c r="D18" s="261"/>
      <c r="E18" s="1705" t="s">
        <v>3647</v>
      </c>
      <c r="F18" s="165"/>
      <c r="G18" s="1039"/>
      <c r="H18" s="9"/>
      <c r="I18" s="9"/>
      <c r="J18" s="9"/>
      <c r="K18" s="9"/>
      <c r="L18" s="9"/>
      <c r="M18" s="9"/>
      <c r="N18" s="9"/>
      <c r="O18" s="9"/>
      <c r="P18" s="9"/>
      <c r="Q18" s="9"/>
    </row>
    <row r="19" spans="1:17" ht="15.75">
      <c r="B19" s="1027"/>
      <c r="C19" s="1705" t="s">
        <v>3649</v>
      </c>
      <c r="D19" s="261"/>
      <c r="E19" s="1705" t="s">
        <v>3647</v>
      </c>
      <c r="F19" s="165"/>
      <c r="G19" s="1039"/>
      <c r="H19" s="9"/>
      <c r="I19" s="9"/>
      <c r="J19" s="9"/>
      <c r="K19" s="9"/>
      <c r="L19" s="9"/>
      <c r="M19" s="9"/>
      <c r="N19" s="9"/>
      <c r="O19" s="9"/>
      <c r="P19" s="9"/>
      <c r="Q19" s="9"/>
    </row>
    <row r="20" spans="1:17" ht="15.75">
      <c r="B20" s="1027"/>
      <c r="C20" s="1705" t="s">
        <v>3650</v>
      </c>
      <c r="D20" s="261"/>
      <c r="E20" s="1705" t="s">
        <v>3647</v>
      </c>
      <c r="F20" s="165"/>
      <c r="G20" s="1039"/>
      <c r="H20" s="9"/>
      <c r="I20" s="9"/>
      <c r="J20" s="9"/>
      <c r="K20" s="9"/>
      <c r="L20" s="9"/>
      <c r="M20" s="9"/>
      <c r="N20" s="9"/>
      <c r="O20" s="9"/>
      <c r="P20" s="9"/>
      <c r="Q20" s="9"/>
    </row>
    <row r="21" spans="1:17" ht="15.75">
      <c r="B21" s="1027"/>
      <c r="C21" s="1705" t="s">
        <v>3651</v>
      </c>
      <c r="D21" s="261"/>
      <c r="E21" s="1705" t="s">
        <v>3647</v>
      </c>
      <c r="F21" s="165"/>
      <c r="G21" s="1039"/>
      <c r="H21" s="9"/>
      <c r="I21" s="9"/>
      <c r="J21" s="9"/>
      <c r="K21" s="9"/>
      <c r="L21" s="9"/>
      <c r="M21" s="9"/>
      <c r="N21" s="9"/>
      <c r="O21" s="9"/>
      <c r="P21" s="9"/>
      <c r="Q21" s="9"/>
    </row>
    <row r="22" spans="1:17" ht="15.75">
      <c r="A22" s="9"/>
      <c r="B22" s="1027"/>
      <c r="C22" s="1705" t="s">
        <v>3652</v>
      </c>
      <c r="D22" s="261"/>
      <c r="E22" s="1705" t="s">
        <v>3647</v>
      </c>
      <c r="F22" s="165"/>
      <c r="G22" s="1039"/>
      <c r="H22" s="9"/>
      <c r="I22" s="9"/>
      <c r="J22" s="9"/>
      <c r="K22" s="9"/>
      <c r="L22" s="9"/>
      <c r="M22" s="9"/>
      <c r="N22" s="9"/>
      <c r="O22" s="9"/>
      <c r="P22" s="9"/>
      <c r="Q22" s="9"/>
    </row>
    <row r="23" spans="1:17" ht="15.75">
      <c r="A23" s="9"/>
      <c r="B23" s="1027"/>
      <c r="C23" s="1705" t="s">
        <v>3653</v>
      </c>
      <c r="D23" s="261"/>
      <c r="E23" s="1705" t="s">
        <v>3647</v>
      </c>
      <c r="F23" s="165"/>
      <c r="G23" s="1039"/>
      <c r="H23" s="9"/>
      <c r="I23" s="9"/>
      <c r="J23" s="9"/>
      <c r="K23" s="9"/>
      <c r="L23" s="9"/>
      <c r="M23" s="9"/>
      <c r="N23" s="9"/>
      <c r="O23" s="9"/>
      <c r="P23" s="9"/>
      <c r="Q23" s="9"/>
    </row>
    <row r="24" spans="1:17" ht="15.75">
      <c r="A24" s="9"/>
      <c r="B24" s="1027"/>
      <c r="C24" s="1705" t="s">
        <v>3654</v>
      </c>
      <c r="D24" s="261"/>
      <c r="E24" s="1705" t="s">
        <v>3647</v>
      </c>
      <c r="F24" s="165"/>
      <c r="G24" s="1039"/>
      <c r="H24" s="9"/>
      <c r="I24" s="9"/>
      <c r="J24" s="9"/>
      <c r="K24" s="9"/>
      <c r="L24" s="9"/>
      <c r="M24" s="9"/>
      <c r="N24" s="9"/>
      <c r="O24" s="9"/>
      <c r="P24" s="9"/>
      <c r="Q24" s="9"/>
    </row>
    <row r="25" spans="1:17" ht="15.75">
      <c r="B25" s="1027"/>
      <c r="C25" s="1705" t="s">
        <v>3359</v>
      </c>
      <c r="D25" s="261"/>
      <c r="E25" s="1705" t="s">
        <v>3647</v>
      </c>
      <c r="F25" s="165"/>
      <c r="G25" s="1039"/>
      <c r="H25" s="9"/>
      <c r="I25" s="9"/>
      <c r="J25" s="9"/>
      <c r="K25" s="9"/>
      <c r="L25" s="9"/>
      <c r="M25" s="9"/>
      <c r="N25" s="9"/>
      <c r="O25" s="9"/>
      <c r="P25" s="9"/>
      <c r="Q25" s="9"/>
    </row>
    <row r="26" spans="1:17" ht="15.75">
      <c r="B26" s="1027"/>
      <c r="C26" s="1039"/>
      <c r="D26" s="1039"/>
      <c r="E26" s="1039"/>
      <c r="F26" s="1038"/>
      <c r="G26" s="1039"/>
      <c r="H26" s="9"/>
      <c r="I26" s="9"/>
      <c r="J26" s="9"/>
      <c r="K26" s="9"/>
      <c r="L26" s="9"/>
      <c r="M26" s="9"/>
      <c r="N26" s="9"/>
      <c r="O26" s="9"/>
      <c r="P26" s="9"/>
      <c r="Q26" s="9"/>
    </row>
    <row r="27" spans="1:17" ht="15.75">
      <c r="B27" s="1027"/>
      <c r="C27" s="1705" t="s">
        <v>3655</v>
      </c>
      <c r="D27" s="261"/>
      <c r="E27" s="1039"/>
      <c r="F27" s="1038"/>
      <c r="G27" s="1039"/>
      <c r="H27" s="9"/>
      <c r="I27" s="9"/>
      <c r="J27" s="9"/>
      <c r="K27" s="9"/>
      <c r="L27" s="9"/>
      <c r="M27" s="9"/>
      <c r="N27" s="9"/>
      <c r="O27" s="9"/>
      <c r="P27" s="9"/>
      <c r="Q27" s="9"/>
    </row>
    <row r="28" spans="1:17" ht="15.75">
      <c r="B28" s="1027"/>
      <c r="C28" s="1705" t="s">
        <v>3656</v>
      </c>
      <c r="D28" s="261"/>
      <c r="E28" s="1039"/>
      <c r="F28" s="1038"/>
      <c r="G28" s="1039"/>
      <c r="H28" s="9"/>
      <c r="I28" s="9"/>
      <c r="J28" s="9"/>
      <c r="K28" s="9"/>
      <c r="L28" s="9"/>
      <c r="M28" s="9"/>
      <c r="N28" s="9"/>
      <c r="O28" s="9"/>
      <c r="P28" s="9"/>
      <c r="Q28" s="9"/>
    </row>
    <row r="29" spans="1:17" ht="15.75">
      <c r="B29" s="1027"/>
      <c r="C29" s="1705" t="s">
        <v>3657</v>
      </c>
      <c r="D29" s="261"/>
      <c r="E29" s="1039"/>
      <c r="F29" s="1038"/>
      <c r="G29" s="1027"/>
      <c r="H29" s="9"/>
      <c r="I29" s="9"/>
      <c r="J29" s="9"/>
      <c r="K29" s="9"/>
      <c r="L29" s="9"/>
      <c r="M29" s="9"/>
      <c r="N29" s="9"/>
      <c r="O29" s="9"/>
      <c r="P29" s="9"/>
      <c r="Q29" s="9"/>
    </row>
    <row r="30" spans="1:17" ht="15.75">
      <c r="B30" s="1027"/>
      <c r="C30" s="1705" t="s">
        <v>3658</v>
      </c>
      <c r="D30" s="261"/>
      <c r="E30" s="1027"/>
      <c r="F30" s="1027"/>
      <c r="G30" s="1027"/>
      <c r="H30" s="9"/>
      <c r="I30" s="9"/>
      <c r="J30" s="9"/>
      <c r="K30" s="9"/>
      <c r="L30" s="9"/>
      <c r="M30" s="9"/>
      <c r="N30" s="9"/>
      <c r="O30" s="9"/>
      <c r="P30" s="9"/>
      <c r="Q30" s="9"/>
    </row>
    <row r="31" spans="1:17" ht="15.75">
      <c r="B31" s="1027"/>
      <c r="C31" s="1705" t="s">
        <v>3659</v>
      </c>
      <c r="D31" s="261"/>
      <c r="E31" s="1027"/>
      <c r="F31" s="1027"/>
      <c r="G31" s="1027"/>
      <c r="H31" s="9"/>
      <c r="I31" s="9"/>
      <c r="J31" s="9"/>
      <c r="K31" s="9"/>
      <c r="L31" s="9"/>
      <c r="M31" s="9"/>
      <c r="N31" s="9"/>
      <c r="O31" s="9"/>
      <c r="P31" s="9"/>
      <c r="Q31" s="9"/>
    </row>
    <row r="32" spans="1:17" ht="15.75">
      <c r="B32" s="1027"/>
      <c r="C32" s="1297" t="s">
        <v>3660</v>
      </c>
      <c r="D32" s="1298"/>
      <c r="E32" s="1027"/>
      <c r="F32" s="1027"/>
      <c r="G32" s="1027"/>
      <c r="H32" s="9"/>
      <c r="I32" s="9"/>
      <c r="J32" s="9"/>
      <c r="K32" s="9"/>
      <c r="L32" s="9"/>
      <c r="M32" s="9"/>
      <c r="N32" s="9"/>
      <c r="O32" s="9"/>
      <c r="P32" s="9"/>
      <c r="Q32" s="9"/>
    </row>
    <row r="33" spans="1:21">
      <c r="B33" s="1027"/>
      <c r="C33" s="1027"/>
      <c r="D33" s="1027"/>
      <c r="E33" s="1027"/>
      <c r="F33" s="1027"/>
      <c r="G33" s="1027"/>
      <c r="H33" s="9"/>
      <c r="I33" s="9"/>
      <c r="J33" s="9"/>
      <c r="K33" s="9"/>
      <c r="L33" s="9"/>
      <c r="M33" s="9"/>
      <c r="N33" s="9"/>
      <c r="O33" s="9"/>
      <c r="P33" s="9"/>
      <c r="Q33" s="9"/>
    </row>
    <row r="34" spans="1:21" ht="18.75">
      <c r="B34" s="8" t="s">
        <v>645</v>
      </c>
      <c r="D34" s="8"/>
      <c r="E34" s="8"/>
      <c r="F34" s="8"/>
      <c r="G34" s="8"/>
      <c r="H34" s="9"/>
      <c r="I34" s="9"/>
      <c r="J34" s="9"/>
      <c r="K34" s="9"/>
      <c r="L34" s="9"/>
      <c r="M34" s="9"/>
      <c r="N34" s="9"/>
      <c r="O34" s="9"/>
      <c r="P34" s="9"/>
      <c r="Q34" s="9"/>
    </row>
    <row r="35" spans="1:21">
      <c r="B35" s="1027"/>
      <c r="C35" s="1027"/>
      <c r="D35" s="1027"/>
      <c r="E35" s="1038"/>
      <c r="F35" s="1038"/>
      <c r="G35" s="1038"/>
      <c r="H35" s="9"/>
      <c r="I35" s="9"/>
      <c r="J35" s="9"/>
      <c r="K35" s="9"/>
      <c r="L35" s="9"/>
      <c r="S35" s="9"/>
      <c r="T35" s="9"/>
      <c r="U35" s="9"/>
    </row>
    <row r="36" spans="1:21">
      <c r="B36" s="1027"/>
      <c r="C36" s="1040" t="s">
        <v>3661</v>
      </c>
      <c r="D36" s="1738" t="str">
        <f>IF(OR(F36 &gt; 0, F37 &gt; 0), IF(F36 &gt;= 0.5 * (F36 + F37), "Yes", "No"), "")</f>
        <v/>
      </c>
      <c r="E36" s="1049" t="s">
        <v>3662</v>
      </c>
      <c r="F36" s="1299">
        <f>+SUMIF('11. Unit Mix'!$D$16:$D$65,"Family",'11. Unit Mix'!$H$16:$H$65)+SUMIF('11. Unit Mix'!$D$104:$D$113,"Family",'11. Unit Mix'!$H$104:$H$113)</f>
        <v>0</v>
      </c>
      <c r="G36" s="1035"/>
      <c r="H36" s="9"/>
      <c r="I36" s="9"/>
      <c r="J36" s="9"/>
      <c r="K36" s="9"/>
      <c r="L36" s="9"/>
      <c r="S36" s="9"/>
      <c r="T36" s="79" t="s">
        <v>3663</v>
      </c>
      <c r="U36" s="9" t="b">
        <f t="shared" ref="U36:U42" si="0">RCAC="Yes"</f>
        <v>0</v>
      </c>
    </row>
    <row r="37" spans="1:21">
      <c r="B37" s="1027"/>
      <c r="C37" s="1040" t="s">
        <v>3664</v>
      </c>
      <c r="D37" s="1738" t="str">
        <f>IF(OR(F36 &gt; 0, F37 &gt; 0), IF(F37 &gt; 0.5 * (F36 + F37), "Yes", "No"), "")</f>
        <v/>
      </c>
      <c r="E37" s="1049" t="s">
        <v>3662</v>
      </c>
      <c r="F37" s="1299">
        <f>+SUMIF('11. Unit Mix'!$D$16:$D$65,"Age Restricted",'11. Unit Mix'!$H$16:$H$65)+SUMIF('11. Unit Mix'!$D$104:$D$113,"Age Restricted",'11. Unit Mix'!$H$104:$H$113)</f>
        <v>0</v>
      </c>
      <c r="G37" s="1035"/>
      <c r="H37" s="9"/>
      <c r="I37" s="9"/>
      <c r="J37" s="9"/>
      <c r="K37" s="9"/>
      <c r="L37" s="9"/>
      <c r="S37" s="9"/>
      <c r="T37" s="79" t="s">
        <v>3665</v>
      </c>
      <c r="U37" s="9" t="b">
        <f t="shared" si="0"/>
        <v>0</v>
      </c>
    </row>
    <row r="38" spans="1:21" ht="15.75">
      <c r="B38" s="1027"/>
      <c r="C38" s="1040" t="s">
        <v>3666</v>
      </c>
      <c r="D38" s="951"/>
      <c r="E38" s="1049" t="s">
        <v>3647</v>
      </c>
      <c r="F38" s="561"/>
      <c r="G38" s="1035"/>
      <c r="H38" s="9"/>
      <c r="I38" s="9"/>
      <c r="J38" s="9"/>
      <c r="K38" s="9"/>
      <c r="L38" s="9"/>
      <c r="S38" s="9"/>
      <c r="T38" s="79" t="s">
        <v>3667</v>
      </c>
      <c r="U38" s="9" t="b">
        <f t="shared" si="0"/>
        <v>0</v>
      </c>
    </row>
    <row r="39" spans="1:21" ht="15.75">
      <c r="B39" s="1027"/>
      <c r="C39" s="1040" t="s">
        <v>3668</v>
      </c>
      <c r="D39" s="951"/>
      <c r="E39" s="1049" t="s">
        <v>3647</v>
      </c>
      <c r="F39" s="561"/>
      <c r="G39" s="1035"/>
      <c r="H39" s="9"/>
      <c r="I39" s="9"/>
      <c r="J39" s="9"/>
      <c r="K39" s="9"/>
      <c r="L39" s="9"/>
      <c r="S39" s="9"/>
      <c r="T39" s="79" t="s">
        <v>3669</v>
      </c>
      <c r="U39" s="9" t="b">
        <f t="shared" si="0"/>
        <v>0</v>
      </c>
    </row>
    <row r="40" spans="1:21" ht="15.75">
      <c r="B40" s="1027"/>
      <c r="C40" s="1040" t="s">
        <v>3670</v>
      </c>
      <c r="D40" s="951"/>
      <c r="E40" s="1049" t="s">
        <v>3671</v>
      </c>
      <c r="F40" s="561"/>
      <c r="G40" s="1035"/>
      <c r="H40" s="9"/>
      <c r="I40" s="9"/>
      <c r="J40" s="9"/>
      <c r="K40" s="9"/>
      <c r="L40" s="9"/>
      <c r="S40" s="9"/>
      <c r="T40" s="79" t="s">
        <v>3672</v>
      </c>
      <c r="U40" s="9" t="b">
        <f t="shared" si="0"/>
        <v>0</v>
      </c>
    </row>
    <row r="41" spans="1:21" ht="15.75">
      <c r="B41" s="1027"/>
      <c r="C41" s="1040" t="s">
        <v>3673</v>
      </c>
      <c r="D41" s="951"/>
      <c r="E41" s="1049" t="s">
        <v>3671</v>
      </c>
      <c r="F41" s="561"/>
      <c r="G41" s="1035"/>
      <c r="H41" s="9"/>
      <c r="I41" s="9"/>
      <c r="J41" s="9"/>
      <c r="K41" s="9"/>
      <c r="L41" s="9"/>
      <c r="S41" s="9"/>
      <c r="T41" s="79" t="s">
        <v>3674</v>
      </c>
      <c r="U41" s="9" t="b">
        <f t="shared" si="0"/>
        <v>0</v>
      </c>
    </row>
    <row r="42" spans="1:21" ht="15.75">
      <c r="A42" s="115"/>
      <c r="B42" s="1027"/>
      <c r="C42" s="1040" t="s">
        <v>3675</v>
      </c>
      <c r="D42" s="951"/>
      <c r="E42" s="1049" t="s">
        <v>3671</v>
      </c>
      <c r="F42" s="561"/>
      <c r="G42" s="1027"/>
      <c r="H42" s="9"/>
      <c r="I42" s="9"/>
      <c r="J42" s="9"/>
      <c r="K42" s="9"/>
      <c r="L42" s="9"/>
      <c r="S42" s="9"/>
      <c r="T42" s="79" t="s">
        <v>3676</v>
      </c>
      <c r="U42" s="9" t="b">
        <f t="shared" si="0"/>
        <v>0</v>
      </c>
    </row>
    <row r="43" spans="1:21" ht="18.75">
      <c r="A43" s="8"/>
      <c r="B43" s="1027"/>
      <c r="C43" s="1040"/>
      <c r="D43" s="1027"/>
      <c r="E43" s="1027"/>
      <c r="F43" s="1027"/>
      <c r="G43" s="1048"/>
      <c r="H43" s="9"/>
      <c r="I43" s="9"/>
      <c r="J43" s="9"/>
      <c r="K43" s="9"/>
      <c r="L43" s="9"/>
      <c r="S43" s="9"/>
      <c r="T43" s="9"/>
      <c r="U43" s="9"/>
    </row>
    <row r="44" spans="1:21" ht="18.75">
      <c r="A44" s="8"/>
      <c r="B44" s="1027"/>
      <c r="C44" s="1040"/>
      <c r="D44" s="1027"/>
      <c r="E44" s="1040"/>
      <c r="F44" s="1040" t="s">
        <v>3677</v>
      </c>
      <c r="G44" s="1048"/>
      <c r="H44" s="9"/>
      <c r="I44" s="9"/>
      <c r="J44" s="9"/>
      <c r="K44" s="9"/>
      <c r="L44" s="9"/>
      <c r="S44" s="9"/>
      <c r="T44" s="9"/>
      <c r="U44" s="9"/>
    </row>
    <row r="45" spans="1:21" ht="18.75">
      <c r="B45" s="8" t="s">
        <v>667</v>
      </c>
      <c r="D45" s="8"/>
      <c r="E45" s="8"/>
      <c r="F45" s="8"/>
      <c r="G45" s="8"/>
      <c r="H45" s="9"/>
      <c r="I45" s="9"/>
      <c r="J45" s="9"/>
      <c r="K45" s="9"/>
      <c r="L45" s="9"/>
      <c r="S45" s="9"/>
      <c r="T45" s="9"/>
      <c r="U45" s="9"/>
    </row>
    <row r="46" spans="1:21" ht="15.75">
      <c r="B46" s="1042"/>
      <c r="C46" s="1042"/>
      <c r="D46" s="1039"/>
      <c r="E46" s="1039"/>
      <c r="F46" s="1027"/>
      <c r="G46" s="1027"/>
      <c r="H46" s="9"/>
      <c r="I46" s="9"/>
      <c r="J46" s="9"/>
      <c r="K46" s="9"/>
      <c r="L46" s="9"/>
    </row>
    <row r="47" spans="1:21" ht="15.75">
      <c r="B47" s="1042"/>
      <c r="C47" s="1706" t="s">
        <v>3678</v>
      </c>
      <c r="D47" s="261"/>
      <c r="E47" s="1039"/>
      <c r="F47" s="1027"/>
      <c r="G47" s="1027"/>
      <c r="H47" s="9"/>
      <c r="I47" s="9"/>
      <c r="J47" s="9"/>
      <c r="K47" s="9"/>
      <c r="L47" s="9"/>
    </row>
    <row r="48" spans="1:21" ht="15.75">
      <c r="B48" s="1042"/>
      <c r="C48" s="1706" t="s">
        <v>3679</v>
      </c>
      <c r="D48" s="261"/>
      <c r="E48" s="1047"/>
      <c r="F48" s="1027"/>
      <c r="G48" s="1027"/>
      <c r="H48" s="9"/>
      <c r="I48" s="9"/>
      <c r="J48" s="9"/>
      <c r="K48" s="9"/>
      <c r="L48" s="9"/>
    </row>
    <row r="49" spans="2:20" ht="15.75">
      <c r="B49" s="1042"/>
      <c r="C49" s="1706" t="s">
        <v>3680</v>
      </c>
      <c r="D49" s="261"/>
      <c r="E49" s="1039"/>
      <c r="F49" s="1027"/>
      <c r="G49" s="1027"/>
      <c r="H49" s="9"/>
      <c r="I49" s="9"/>
      <c r="J49" s="9"/>
      <c r="K49" s="9"/>
      <c r="L49" s="9"/>
    </row>
    <row r="50" spans="2:20" ht="15.75">
      <c r="B50" s="1042"/>
      <c r="C50" s="1706" t="s">
        <v>3679</v>
      </c>
      <c r="D50" s="261"/>
      <c r="E50" s="1039"/>
      <c r="F50" s="1027"/>
      <c r="G50" s="1027"/>
      <c r="H50" s="9"/>
      <c r="I50" s="9"/>
      <c r="J50" s="9"/>
      <c r="K50" s="9"/>
      <c r="L50" s="9"/>
      <c r="S50" s="9"/>
      <c r="T50" s="9"/>
    </row>
    <row r="51" spans="2:20" ht="15" customHeight="1">
      <c r="B51" s="1042"/>
      <c r="C51" s="1043" t="s">
        <v>3681</v>
      </c>
      <c r="D51" s="952"/>
      <c r="E51" s="1039"/>
      <c r="F51" s="1027"/>
      <c r="G51" s="1027"/>
      <c r="H51" s="9"/>
      <c r="I51" s="9"/>
      <c r="J51" s="9"/>
      <c r="K51" s="9"/>
      <c r="L51" s="9"/>
      <c r="S51" s="9"/>
      <c r="T51" s="9"/>
    </row>
    <row r="52" spans="2:20" ht="15.75">
      <c r="B52" s="1042"/>
      <c r="C52" s="1706"/>
      <c r="D52" s="1039"/>
      <c r="E52" s="1039"/>
      <c r="F52" s="1027"/>
      <c r="G52" s="1027"/>
      <c r="H52" s="9"/>
      <c r="I52" s="9"/>
      <c r="J52" s="9"/>
      <c r="K52" s="9"/>
      <c r="L52" s="9"/>
      <c r="S52" s="9"/>
      <c r="T52" s="9"/>
    </row>
    <row r="53" spans="2:20" ht="15.75">
      <c r="B53" s="1042"/>
      <c r="C53" s="1706" t="s">
        <v>3682</v>
      </c>
      <c r="D53" s="261"/>
      <c r="E53" s="1039"/>
      <c r="F53" s="1027"/>
      <c r="G53" s="1027"/>
      <c r="H53" s="9"/>
      <c r="I53" s="9"/>
      <c r="J53" s="9"/>
      <c r="K53" s="9"/>
      <c r="L53" s="9"/>
      <c r="S53" s="9" t="s">
        <v>3683</v>
      </c>
      <c r="T53" s="542" t="b">
        <f>Set_Aside="Rural Set-Aside"</f>
        <v>0</v>
      </c>
    </row>
    <row r="54" spans="2:20" ht="15.75">
      <c r="B54" s="1042"/>
      <c r="C54" s="1044" t="s">
        <v>3684</v>
      </c>
      <c r="D54" s="953"/>
      <c r="E54" s="1039"/>
      <c r="F54" s="1027"/>
      <c r="G54" s="1027"/>
      <c r="H54" s="9"/>
      <c r="I54" s="9"/>
      <c r="J54" s="9"/>
      <c r="K54" s="9"/>
      <c r="L54" s="9"/>
      <c r="S54" s="9" t="s">
        <v>3685</v>
      </c>
      <c r="T54" s="542" t="b">
        <f>Credit_percentage_applied_for="State + Fed 4%"</f>
        <v>0</v>
      </c>
    </row>
    <row r="55" spans="2:20" ht="15.75" hidden="1">
      <c r="B55" s="1042"/>
      <c r="C55" s="1044" t="s">
        <v>3686</v>
      </c>
      <c r="D55" s="954"/>
      <c r="E55" s="1039" t="s">
        <v>3687</v>
      </c>
      <c r="F55" s="1027"/>
      <c r="G55" s="1027"/>
      <c r="H55" s="9"/>
      <c r="I55" s="9"/>
      <c r="J55" s="9"/>
      <c r="K55" s="9"/>
      <c r="L55" s="9"/>
      <c r="S55" s="9" t="s">
        <v>3688</v>
      </c>
      <c r="T55" s="542"/>
    </row>
    <row r="56" spans="2:20" ht="15.75">
      <c r="B56" s="1042"/>
      <c r="C56" s="1706" t="s">
        <v>3689</v>
      </c>
      <c r="D56" s="261"/>
      <c r="E56" s="1039"/>
      <c r="F56" s="1027"/>
      <c r="G56" s="1027"/>
      <c r="H56" s="9"/>
      <c r="I56" s="9"/>
      <c r="J56" s="9"/>
      <c r="K56" s="9"/>
      <c r="L56" s="9"/>
      <c r="S56" s="9" t="s">
        <v>3690</v>
      </c>
      <c r="T56" s="543"/>
    </row>
    <row r="57" spans="2:20" ht="15.75">
      <c r="B57" s="1042"/>
      <c r="C57" s="1706" t="s">
        <v>3691</v>
      </c>
      <c r="D57" s="261"/>
      <c r="E57" s="1039"/>
      <c r="F57" s="1027"/>
      <c r="G57" s="1027"/>
      <c r="H57" s="9"/>
      <c r="I57" s="9"/>
      <c r="J57" s="9"/>
      <c r="K57" s="9"/>
      <c r="L57" s="9"/>
    </row>
    <row r="58" spans="2:20" ht="15.75">
      <c r="B58" s="1042"/>
      <c r="C58" s="1039"/>
      <c r="D58" s="1039"/>
      <c r="E58" s="1039"/>
      <c r="F58" s="1027"/>
      <c r="G58" s="1027"/>
      <c r="H58" s="9"/>
      <c r="I58" s="9"/>
      <c r="J58" s="9"/>
      <c r="K58" s="9"/>
      <c r="L58" s="9"/>
    </row>
    <row r="59" spans="2:20" ht="15.75">
      <c r="B59" s="1042"/>
      <c r="C59" s="1706" t="s">
        <v>3692</v>
      </c>
      <c r="D59" s="261"/>
      <c r="E59" s="1039"/>
      <c r="F59" s="1027"/>
      <c r="G59" s="1027"/>
      <c r="H59" s="9"/>
      <c r="I59" s="9"/>
      <c r="J59" s="9"/>
      <c r="K59" s="9"/>
      <c r="L59" s="9"/>
    </row>
    <row r="60" spans="2:20" ht="15.75">
      <c r="B60" s="1042"/>
      <c r="C60" s="1039"/>
      <c r="D60" s="1039"/>
      <c r="E60" s="1039"/>
      <c r="F60" s="1027"/>
      <c r="G60" s="1027"/>
      <c r="H60" s="9"/>
      <c r="I60" s="9"/>
      <c r="J60" s="9"/>
      <c r="K60" s="9"/>
      <c r="L60" s="9"/>
    </row>
    <row r="61" spans="2:20" ht="18.75">
      <c r="B61" s="8" t="s">
        <v>690</v>
      </c>
      <c r="D61" s="8"/>
      <c r="E61" s="8"/>
      <c r="F61" s="8"/>
      <c r="G61" s="8"/>
      <c r="H61" s="9"/>
      <c r="I61" s="9"/>
      <c r="J61" s="9"/>
      <c r="K61" s="9"/>
      <c r="L61" s="9"/>
    </row>
    <row r="62" spans="2:20">
      <c r="B62" s="1027"/>
      <c r="C62" s="1027"/>
      <c r="D62" s="1027"/>
      <c r="E62" s="1027"/>
      <c r="F62" s="1027"/>
      <c r="G62" s="1027"/>
      <c r="H62" s="9"/>
      <c r="I62" s="9"/>
      <c r="J62" s="9"/>
      <c r="K62" s="9"/>
      <c r="L62" s="9"/>
    </row>
    <row r="63" spans="2:20" ht="15.75">
      <c r="B63" s="1027"/>
      <c r="C63" s="1706" t="s">
        <v>3693</v>
      </c>
      <c r="D63" s="261"/>
      <c r="E63" s="1706" t="s">
        <v>3694</v>
      </c>
      <c r="F63" s="165"/>
      <c r="G63" s="1027"/>
      <c r="H63" s="9"/>
      <c r="I63" s="9"/>
      <c r="J63" s="9"/>
      <c r="K63" s="9"/>
      <c r="L63" s="9"/>
    </row>
    <row r="64" spans="2:20" ht="15.75">
      <c r="B64" s="1027"/>
      <c r="C64" s="1706" t="s">
        <v>3695</v>
      </c>
      <c r="D64" s="261"/>
      <c r="E64" s="1706" t="s">
        <v>3694</v>
      </c>
      <c r="F64" s="165"/>
      <c r="G64" s="1027"/>
      <c r="H64" s="9"/>
      <c r="I64" s="9"/>
      <c r="J64" s="9"/>
      <c r="K64" s="9"/>
      <c r="L64" s="9"/>
    </row>
    <row r="65" spans="2:12" ht="15.75">
      <c r="B65" s="1027"/>
      <c r="C65" s="1706" t="s">
        <v>3696</v>
      </c>
      <c r="D65" s="261"/>
      <c r="E65" s="1027"/>
      <c r="F65" s="1046"/>
      <c r="G65" s="1027"/>
      <c r="H65" s="9"/>
      <c r="I65" s="9"/>
      <c r="J65" s="9"/>
      <c r="K65" s="9"/>
      <c r="L65" s="9"/>
    </row>
    <row r="66" spans="2:12" ht="15.75">
      <c r="B66" s="1027"/>
      <c r="C66" s="1706" t="s">
        <v>3697</v>
      </c>
      <c r="D66" s="261"/>
      <c r="E66" s="1027"/>
      <c r="F66" s="1027"/>
      <c r="G66" s="1027"/>
    </row>
    <row r="67" spans="2:12" ht="15.75">
      <c r="B67" s="1027"/>
      <c r="C67" s="1706" t="s">
        <v>3698</v>
      </c>
      <c r="D67" s="1025"/>
      <c r="E67" s="1027"/>
      <c r="F67" s="1027"/>
      <c r="G67" s="1027"/>
    </row>
    <row r="68" spans="2:12" ht="15.75">
      <c r="B68" s="1027"/>
      <c r="C68" s="1706" t="s">
        <v>3699</v>
      </c>
      <c r="D68" s="2023"/>
      <c r="E68" s="2023"/>
      <c r="F68" s="2023"/>
      <c r="G68" s="1027"/>
    </row>
    <row r="69" spans="2:12">
      <c r="B69" s="1027"/>
      <c r="C69" s="1030"/>
      <c r="D69" s="1027"/>
      <c r="E69" s="1027"/>
      <c r="F69" s="1733"/>
      <c r="G69" s="1733"/>
      <c r="I69" s="375"/>
    </row>
    <row r="70" spans="2:12" ht="18.75">
      <c r="B70" s="8" t="s">
        <v>706</v>
      </c>
      <c r="D70" s="8"/>
      <c r="E70" s="8"/>
      <c r="F70" s="8"/>
      <c r="G70" s="8"/>
    </row>
    <row r="71" spans="2:12">
      <c r="B71" s="1027"/>
      <c r="C71" s="1027"/>
      <c r="D71" s="1027"/>
      <c r="E71" s="1733"/>
      <c r="F71" s="1733"/>
      <c r="G71" s="1733"/>
    </row>
    <row r="72" spans="2:12" ht="15.75">
      <c r="B72" s="1027"/>
      <c r="C72" s="1044" t="s">
        <v>3700</v>
      </c>
      <c r="D72" s="261"/>
      <c r="E72" s="1027"/>
      <c r="F72" s="1027"/>
      <c r="G72" s="1027"/>
      <c r="H72" s="374"/>
      <c r="I72" s="374"/>
      <c r="J72" s="374"/>
    </row>
    <row r="73" spans="2:12" ht="15.75">
      <c r="B73" s="1027"/>
      <c r="C73" s="1706" t="s">
        <v>3701</v>
      </c>
      <c r="D73" s="261"/>
      <c r="E73" s="1027"/>
      <c r="F73" s="1027"/>
      <c r="G73" s="1027"/>
      <c r="H73" s="374"/>
      <c r="I73" s="374"/>
      <c r="J73" s="374"/>
    </row>
    <row r="74" spans="2:12" ht="15" customHeight="1">
      <c r="B74" s="1027"/>
      <c r="C74" s="1706" t="s">
        <v>3702</v>
      </c>
      <c r="D74" s="261"/>
      <c r="E74" s="1027"/>
      <c r="F74" s="1027"/>
      <c r="G74" s="1027"/>
      <c r="H74" s="374"/>
      <c r="I74" s="374"/>
      <c r="J74" s="374"/>
    </row>
    <row r="75" spans="2:12" ht="15.75">
      <c r="B75" s="1027"/>
      <c r="C75" s="1706" t="s">
        <v>3703</v>
      </c>
      <c r="D75" s="261"/>
      <c r="E75" s="1027"/>
      <c r="F75" s="1027"/>
      <c r="G75" s="1027"/>
      <c r="H75" s="374"/>
      <c r="I75" s="374"/>
      <c r="J75" s="374"/>
    </row>
    <row r="76" spans="2:12">
      <c r="B76" s="1027"/>
      <c r="C76" s="1027"/>
      <c r="D76" s="1027"/>
      <c r="E76" s="1027"/>
      <c r="F76" s="1027"/>
      <c r="G76" s="1027"/>
    </row>
    <row r="77" spans="2:12" ht="18.75">
      <c r="B77" s="8" t="s">
        <v>711</v>
      </c>
      <c r="D77" s="8"/>
      <c r="E77" s="8"/>
      <c r="F77" s="8"/>
      <c r="G77" s="8"/>
    </row>
    <row r="78" spans="2:12">
      <c r="B78" s="1027"/>
      <c r="C78" s="1027"/>
      <c r="D78" s="1027"/>
      <c r="E78" s="1027"/>
      <c r="F78" s="1027"/>
      <c r="G78" s="1027"/>
    </row>
    <row r="79" spans="2:12" ht="15.75">
      <c r="B79" s="1027"/>
      <c r="C79" s="1706" t="s">
        <v>3704</v>
      </c>
      <c r="D79" s="261"/>
      <c r="E79" s="1027"/>
      <c r="F79" s="1027"/>
      <c r="G79" s="1027"/>
    </row>
    <row r="80" spans="2:12" ht="15.75">
      <c r="B80" s="1027"/>
      <c r="C80" s="1706" t="s">
        <v>3705</v>
      </c>
      <c r="D80" s="261"/>
      <c r="E80" s="1027"/>
      <c r="F80" s="1027"/>
      <c r="G80" s="1027"/>
    </row>
    <row r="81" spans="2:16">
      <c r="B81" s="1027"/>
      <c r="C81" s="1027"/>
      <c r="D81" s="1027"/>
      <c r="E81" s="1027"/>
      <c r="F81" s="1027"/>
      <c r="G81" s="1027"/>
    </row>
    <row r="82" spans="2:16">
      <c r="B82" s="1027"/>
      <c r="C82" s="2021" t="s">
        <v>3706</v>
      </c>
      <c r="D82" s="2021"/>
      <c r="E82" s="2021"/>
      <c r="F82" s="1027"/>
      <c r="G82" s="1027"/>
    </row>
    <row r="83" spans="2:16" ht="14.45" customHeight="1">
      <c r="B83" s="1027"/>
      <c r="C83" s="2024" t="s">
        <v>3707</v>
      </c>
      <c r="D83" s="2024"/>
      <c r="E83" s="2024"/>
      <c r="F83" s="1027"/>
      <c r="G83" s="1027"/>
    </row>
    <row r="84" spans="2:16">
      <c r="B84" s="1027"/>
      <c r="C84" s="1027"/>
      <c r="D84" s="1027"/>
      <c r="E84" s="1027"/>
      <c r="F84" s="1027"/>
      <c r="G84" s="1027"/>
    </row>
    <row r="85" spans="2:16" ht="15" customHeight="1">
      <c r="B85" s="8" t="s">
        <v>724</v>
      </c>
      <c r="D85" s="8"/>
      <c r="E85" s="8"/>
      <c r="F85" s="8"/>
      <c r="G85" s="8"/>
    </row>
    <row r="86" spans="2:16" ht="15.75">
      <c r="B86" s="1045" t="s">
        <v>3708</v>
      </c>
      <c r="C86" s="1027"/>
      <c r="D86" s="1027"/>
      <c r="E86" s="1027"/>
      <c r="F86" s="1027"/>
      <c r="G86" s="1027"/>
    </row>
    <row r="87" spans="2:16" ht="15.75">
      <c r="B87" s="1706"/>
      <c r="C87" s="1706" t="s">
        <v>3709</v>
      </c>
      <c r="D87" s="955"/>
      <c r="E87" s="1706" t="s">
        <v>3710</v>
      </c>
      <c r="F87" s="955"/>
      <c r="G87" s="1027"/>
    </row>
    <row r="88" spans="2:16" ht="15.75">
      <c r="B88" s="1706"/>
      <c r="C88" s="1706" t="s">
        <v>3711</v>
      </c>
      <c r="D88" s="955"/>
      <c r="E88" s="1706" t="s">
        <v>3712</v>
      </c>
      <c r="F88" s="955"/>
      <c r="G88" s="1027"/>
      <c r="H88" s="374"/>
      <c r="I88" s="374"/>
      <c r="J88" s="374"/>
      <c r="K88" s="374"/>
      <c r="L88" s="374"/>
      <c r="M88" s="374"/>
      <c r="N88" s="374"/>
      <c r="O88" s="374"/>
      <c r="P88" s="374"/>
    </row>
    <row r="89" spans="2:16" ht="15.75">
      <c r="B89" s="1706"/>
      <c r="C89" s="1706" t="s">
        <v>3713</v>
      </c>
      <c r="D89" s="955"/>
      <c r="E89" s="1706" t="s">
        <v>3714</v>
      </c>
      <c r="F89" s="955"/>
      <c r="G89" s="1027"/>
      <c r="H89" s="374"/>
      <c r="I89" s="374"/>
      <c r="J89" s="374"/>
      <c r="K89" s="374"/>
      <c r="L89" s="374"/>
      <c r="M89" s="374"/>
      <c r="N89" s="374"/>
      <c r="O89" s="374"/>
      <c r="P89" s="374"/>
    </row>
    <row r="90" spans="2:16" ht="15.75">
      <c r="B90" s="1706"/>
      <c r="C90" s="1706" t="s">
        <v>3715</v>
      </c>
      <c r="D90" s="956"/>
      <c r="E90" s="1706"/>
      <c r="F90" s="1027"/>
      <c r="G90" s="1027"/>
    </row>
    <row r="91" spans="2:16" ht="15.75">
      <c r="B91" s="1706"/>
      <c r="C91" s="1706" t="s">
        <v>3716</v>
      </c>
      <c r="D91" s="956"/>
      <c r="E91" s="1027"/>
      <c r="F91" s="1027"/>
      <c r="G91" s="1027"/>
    </row>
    <row r="92" spans="2:16" ht="15.75">
      <c r="B92" s="1706"/>
      <c r="C92" s="1706"/>
      <c r="D92" s="1027"/>
      <c r="E92" s="1027"/>
      <c r="F92" s="1027"/>
      <c r="G92" s="1027"/>
    </row>
    <row r="93" spans="2:16" ht="15.75">
      <c r="B93" s="1706"/>
      <c r="C93" s="1706" t="s">
        <v>3717</v>
      </c>
      <c r="D93" s="955"/>
      <c r="E93" s="1706" t="s">
        <v>3718</v>
      </c>
      <c r="F93" s="955"/>
      <c r="G93" s="1027"/>
    </row>
    <row r="94" spans="2:16" ht="15.75">
      <c r="B94" s="1706"/>
      <c r="C94" s="1027"/>
      <c r="D94" s="1027"/>
      <c r="E94" s="1027"/>
      <c r="F94" s="1027"/>
      <c r="G94" s="1027"/>
    </row>
    <row r="95" spans="2:16" ht="18.75">
      <c r="B95" s="8" t="s">
        <v>1055</v>
      </c>
      <c r="D95" s="8"/>
      <c r="E95" s="8"/>
      <c r="F95" s="8"/>
      <c r="G95" s="8"/>
    </row>
    <row r="96" spans="2:16">
      <c r="B96" s="1027"/>
      <c r="C96" s="1027"/>
      <c r="D96" s="1027"/>
      <c r="E96" s="1027"/>
      <c r="F96" s="1027"/>
      <c r="G96" s="1027"/>
    </row>
    <row r="97" spans="2:7">
      <c r="B97" s="1027"/>
      <c r="C97" s="1998"/>
      <c r="D97" s="1999"/>
      <c r="E97" s="1999"/>
      <c r="F97" s="2000"/>
      <c r="G97" s="1027"/>
    </row>
    <row r="98" spans="2:7">
      <c r="B98" s="1027"/>
      <c r="C98" s="2001"/>
      <c r="D98" s="2002"/>
      <c r="E98" s="2002"/>
      <c r="F98" s="2003"/>
      <c r="G98" s="1027"/>
    </row>
    <row r="99" spans="2:7">
      <c r="B99" s="1027"/>
      <c r="C99" s="2001"/>
      <c r="D99" s="2002"/>
      <c r="E99" s="2002"/>
      <c r="F99" s="2003"/>
      <c r="G99" s="1027"/>
    </row>
    <row r="100" spans="2:7">
      <c r="B100" s="1027"/>
      <c r="C100" s="2001"/>
      <c r="D100" s="2002"/>
      <c r="E100" s="2002"/>
      <c r="F100" s="2003"/>
      <c r="G100" s="1027"/>
    </row>
    <row r="101" spans="2:7">
      <c r="B101" s="1027"/>
      <c r="C101" s="2001"/>
      <c r="D101" s="2002"/>
      <c r="E101" s="2002"/>
      <c r="F101" s="2003"/>
      <c r="G101" s="1027"/>
    </row>
    <row r="102" spans="2:7">
      <c r="B102" s="1027"/>
      <c r="C102" s="2001"/>
      <c r="D102" s="2002"/>
      <c r="E102" s="2002"/>
      <c r="F102" s="2003"/>
      <c r="G102" s="1027"/>
    </row>
    <row r="103" spans="2:7">
      <c r="B103" s="1027"/>
      <c r="C103" s="2001"/>
      <c r="D103" s="2002"/>
      <c r="E103" s="2002"/>
      <c r="F103" s="2003"/>
      <c r="G103" s="1027"/>
    </row>
    <row r="104" spans="2:7">
      <c r="B104" s="1027"/>
      <c r="C104" s="2004"/>
      <c r="D104" s="2005"/>
      <c r="E104" s="2005"/>
      <c r="F104" s="2006"/>
      <c r="G104" s="1027"/>
    </row>
    <row r="105" spans="2:7">
      <c r="B105" s="1027"/>
      <c r="C105" s="1027"/>
      <c r="D105" s="1027"/>
      <c r="E105" s="1027"/>
      <c r="F105" s="1027"/>
      <c r="G105" s="1027"/>
    </row>
    <row r="106" spans="2:7">
      <c r="C106" s="3"/>
      <c r="D106" s="3"/>
      <c r="E106" s="3"/>
      <c r="F106" s="3"/>
      <c r="G106" s="3"/>
    </row>
    <row r="107" spans="2:7">
      <c r="B107" s="16" t="s">
        <v>3637</v>
      </c>
      <c r="C107" s="7"/>
      <c r="D107" s="7"/>
      <c r="E107" s="7"/>
      <c r="F107" s="7"/>
      <c r="G107" s="7"/>
    </row>
    <row r="108" spans="2:7" ht="18.75">
      <c r="B108" s="8" t="s">
        <v>3638</v>
      </c>
      <c r="C108" s="3"/>
      <c r="D108" s="3"/>
      <c r="E108" s="970"/>
      <c r="F108" s="970"/>
      <c r="G108" s="970"/>
    </row>
    <row r="109" spans="2:7">
      <c r="B109" s="1027"/>
      <c r="C109" s="1027"/>
      <c r="D109" s="1027"/>
      <c r="E109" s="1027"/>
      <c r="F109" s="1027"/>
      <c r="G109" s="1027"/>
    </row>
    <row r="110" spans="2:7">
      <c r="B110" s="1027"/>
      <c r="C110" s="2022"/>
      <c r="D110" s="2022"/>
      <c r="E110" s="2022"/>
      <c r="F110" s="2022"/>
      <c r="G110" s="1027"/>
    </row>
    <row r="111" spans="2:7">
      <c r="B111" s="1027"/>
      <c r="C111" s="2022"/>
      <c r="D111" s="2022"/>
      <c r="E111" s="2022"/>
      <c r="F111" s="2022"/>
      <c r="G111" s="1027"/>
    </row>
    <row r="112" spans="2:7">
      <c r="B112" s="1027"/>
      <c r="C112" s="2022"/>
      <c r="D112" s="2022"/>
      <c r="E112" s="2022"/>
      <c r="F112" s="2022"/>
      <c r="G112" s="1027"/>
    </row>
    <row r="113" spans="2:7">
      <c r="B113" s="1027"/>
      <c r="C113" s="2022"/>
      <c r="D113" s="2022"/>
      <c r="E113" s="2022"/>
      <c r="F113" s="2022"/>
      <c r="G113" s="1027"/>
    </row>
    <row r="114" spans="2:7">
      <c r="B114" s="1027"/>
      <c r="C114" s="1027"/>
      <c r="D114" s="1027"/>
      <c r="E114" s="1027"/>
      <c r="F114" s="1027"/>
      <c r="G114" s="1027"/>
    </row>
    <row r="115" spans="2:7">
      <c r="C115" s="3"/>
      <c r="D115" s="3"/>
      <c r="E115" s="3"/>
      <c r="F115" s="3"/>
      <c r="G115" s="3"/>
    </row>
    <row r="116" spans="2:7">
      <c r="C116" s="3"/>
      <c r="D116" s="3"/>
      <c r="E116" s="3"/>
      <c r="F116" s="3"/>
      <c r="G116" s="3"/>
    </row>
    <row r="117" spans="2:7">
      <c r="C117" s="3"/>
      <c r="D117" s="3"/>
      <c r="E117" s="3"/>
      <c r="F117" s="3"/>
      <c r="G117" s="3"/>
    </row>
    <row r="118" spans="2:7">
      <c r="C118" s="3"/>
      <c r="D118" s="3"/>
      <c r="E118" s="3"/>
      <c r="F118" s="3"/>
      <c r="G118" s="3"/>
    </row>
    <row r="119" spans="2:7">
      <c r="C119" s="3"/>
      <c r="D119" s="3"/>
      <c r="E119" s="3"/>
      <c r="F119" s="3"/>
      <c r="G119" s="3"/>
    </row>
    <row r="120" spans="2:7">
      <c r="C120" s="3"/>
      <c r="D120" s="3"/>
      <c r="E120" s="3"/>
      <c r="F120" s="3"/>
      <c r="G120" s="3"/>
    </row>
    <row r="121" spans="2:7">
      <c r="C121" s="3"/>
      <c r="D121" s="3"/>
      <c r="E121" s="3"/>
      <c r="F121" s="3"/>
      <c r="G121" s="3"/>
    </row>
    <row r="122" spans="2:7">
      <c r="C122" s="3"/>
      <c r="D122" s="3"/>
      <c r="E122" s="3"/>
      <c r="F122" s="3"/>
      <c r="G122" s="3"/>
    </row>
    <row r="123" spans="2:7">
      <c r="C123" s="3"/>
      <c r="D123" s="3"/>
      <c r="E123" s="3"/>
      <c r="F123" s="3"/>
      <c r="G123" s="3"/>
    </row>
    <row r="124" spans="2:7">
      <c r="C124" s="3"/>
      <c r="D124" s="3"/>
      <c r="E124" s="3"/>
      <c r="F124" s="3"/>
      <c r="G124" s="3"/>
    </row>
    <row r="125" spans="2:7">
      <c r="C125" s="3"/>
      <c r="D125" s="3"/>
      <c r="E125" s="3"/>
      <c r="F125" s="3"/>
      <c r="G125" s="3"/>
    </row>
    <row r="126" spans="2:7">
      <c r="C126" s="3"/>
      <c r="D126" s="3"/>
      <c r="E126" s="3"/>
      <c r="F126" s="3"/>
      <c r="G126" s="3"/>
    </row>
    <row r="127" spans="2:7">
      <c r="C127" s="3"/>
      <c r="D127" s="3"/>
      <c r="E127" s="3"/>
      <c r="F127" s="3"/>
      <c r="G127" s="3"/>
    </row>
    <row r="128" spans="2:7">
      <c r="C128" s="3"/>
      <c r="D128" s="3"/>
      <c r="E128" s="3"/>
      <c r="F128" s="3"/>
      <c r="G128" s="3"/>
    </row>
    <row r="129" spans="3:7">
      <c r="C129" s="3"/>
      <c r="D129" s="3"/>
      <c r="E129" s="3"/>
      <c r="F129" s="3"/>
      <c r="G129" s="3"/>
    </row>
    <row r="130" spans="3:7">
      <c r="C130" s="3"/>
      <c r="D130" s="3"/>
      <c r="E130" s="3"/>
      <c r="F130" s="3"/>
      <c r="G130" s="3"/>
    </row>
    <row r="131" spans="3:7">
      <c r="C131" s="3"/>
      <c r="D131" s="3"/>
      <c r="E131" s="3"/>
      <c r="F131" s="3"/>
      <c r="G131" s="3"/>
    </row>
    <row r="132" spans="3:7">
      <c r="C132" s="3"/>
      <c r="D132" s="3"/>
      <c r="E132" s="3"/>
      <c r="F132" s="3"/>
      <c r="G132" s="3"/>
    </row>
    <row r="133" spans="3:7">
      <c r="C133" s="3"/>
      <c r="D133" s="3"/>
      <c r="E133" s="3"/>
      <c r="F133" s="3"/>
      <c r="G133" s="3"/>
    </row>
    <row r="134" spans="3:7">
      <c r="C134" s="3"/>
      <c r="D134" s="3"/>
      <c r="E134" s="3"/>
      <c r="F134" s="3"/>
      <c r="G134" s="3"/>
    </row>
    <row r="135" spans="3:7">
      <c r="C135" s="3"/>
      <c r="D135" s="3"/>
      <c r="E135" s="3"/>
      <c r="F135" s="3"/>
      <c r="G135" s="3"/>
    </row>
    <row r="136" spans="3:7">
      <c r="C136" s="3"/>
      <c r="D136" s="3"/>
      <c r="E136" s="3"/>
      <c r="F136" s="3"/>
      <c r="G136" s="3"/>
    </row>
    <row r="137" spans="3:7">
      <c r="C137" s="3"/>
      <c r="D137" s="3"/>
      <c r="E137" s="3"/>
      <c r="F137" s="3"/>
      <c r="G137" s="3"/>
    </row>
    <row r="138" spans="3:7">
      <c r="C138" s="3"/>
      <c r="D138" s="3"/>
      <c r="E138" s="3"/>
      <c r="F138" s="3"/>
      <c r="G138" s="3"/>
    </row>
    <row r="139" spans="3:7">
      <c r="C139" s="3"/>
      <c r="D139" s="3"/>
      <c r="E139" s="3"/>
      <c r="F139" s="3"/>
      <c r="G139" s="3"/>
    </row>
    <row r="140" spans="3:7">
      <c r="C140" s="3"/>
      <c r="D140" s="3"/>
      <c r="E140" s="3"/>
      <c r="F140" s="3"/>
      <c r="G140" s="3"/>
    </row>
    <row r="141" spans="3:7">
      <c r="C141" s="3"/>
      <c r="D141" s="3"/>
      <c r="E141" s="3"/>
      <c r="F141" s="3"/>
      <c r="G141" s="3"/>
    </row>
    <row r="142" spans="3:7">
      <c r="C142" s="3"/>
      <c r="D142" s="3"/>
      <c r="E142" s="3"/>
      <c r="F142" s="3"/>
      <c r="G142" s="3"/>
    </row>
    <row r="143" spans="3:7">
      <c r="C143" s="3"/>
      <c r="D143" s="3"/>
      <c r="E143" s="3"/>
      <c r="F143" s="3"/>
      <c r="G143" s="3"/>
    </row>
    <row r="144" spans="3:7">
      <c r="C144" s="3"/>
      <c r="D144" s="3"/>
      <c r="E144" s="3"/>
      <c r="F144" s="3"/>
      <c r="G144" s="3"/>
    </row>
    <row r="145" spans="3:7">
      <c r="C145" s="3"/>
      <c r="D145" s="3"/>
      <c r="E145" s="3"/>
      <c r="F145" s="3"/>
      <c r="G145" s="3"/>
    </row>
    <row r="146" spans="3:7">
      <c r="C146" s="3"/>
      <c r="D146" s="3"/>
      <c r="E146" s="3"/>
      <c r="F146" s="3"/>
      <c r="G146" s="3"/>
    </row>
    <row r="147" spans="3:7">
      <c r="C147" s="3"/>
      <c r="D147" s="3"/>
      <c r="E147" s="3"/>
      <c r="F147" s="3"/>
      <c r="G147" s="3"/>
    </row>
    <row r="148" spans="3:7">
      <c r="C148" s="3"/>
      <c r="D148" s="3"/>
      <c r="E148" s="3"/>
      <c r="F148" s="3"/>
      <c r="G148" s="3"/>
    </row>
    <row r="149" spans="3:7">
      <c r="C149" s="3"/>
      <c r="D149" s="3"/>
      <c r="E149" s="3"/>
      <c r="F149" s="3"/>
      <c r="G149" s="3"/>
    </row>
    <row r="150" spans="3:7">
      <c r="C150" s="3"/>
      <c r="D150" s="3"/>
      <c r="E150" s="3"/>
      <c r="F150" s="3"/>
      <c r="G150" s="3"/>
    </row>
    <row r="151" spans="3:7">
      <c r="C151" s="3"/>
      <c r="D151" s="3"/>
      <c r="E151" s="3"/>
      <c r="F151" s="3"/>
      <c r="G151" s="3"/>
    </row>
    <row r="152" spans="3:7">
      <c r="C152" s="3"/>
      <c r="D152" s="3"/>
      <c r="E152" s="3"/>
      <c r="F152" s="3"/>
      <c r="G152" s="3"/>
    </row>
    <row r="153" spans="3:7">
      <c r="C153" s="3"/>
      <c r="D153" s="3"/>
      <c r="E153" s="3"/>
      <c r="F153" s="3"/>
      <c r="G153" s="3"/>
    </row>
    <row r="154" spans="3:7">
      <c r="C154" s="3"/>
      <c r="D154" s="3"/>
      <c r="E154" s="3"/>
      <c r="F154" s="3"/>
      <c r="G154" s="3"/>
    </row>
    <row r="155" spans="3:7">
      <c r="C155" s="3"/>
      <c r="D155" s="3"/>
      <c r="E155" s="3"/>
      <c r="F155" s="3"/>
      <c r="G155" s="3"/>
    </row>
    <row r="156" spans="3:7">
      <c r="C156" s="3"/>
      <c r="D156" s="3"/>
      <c r="E156" s="3"/>
      <c r="F156" s="3"/>
      <c r="G156" s="3"/>
    </row>
    <row r="157" spans="3:7">
      <c r="C157" s="3"/>
      <c r="D157" s="3"/>
      <c r="E157" s="3"/>
      <c r="F157" s="3"/>
      <c r="G157" s="3"/>
    </row>
    <row r="158" spans="3:7">
      <c r="C158" s="3"/>
      <c r="D158" s="3"/>
      <c r="E158" s="3"/>
      <c r="F158" s="3"/>
      <c r="G158" s="3"/>
    </row>
    <row r="159" spans="3:7">
      <c r="C159" s="3"/>
      <c r="D159" s="3"/>
      <c r="E159" s="3"/>
      <c r="F159" s="3"/>
      <c r="G159" s="3"/>
    </row>
    <row r="160" spans="3:7">
      <c r="C160" s="3"/>
      <c r="D160" s="3"/>
      <c r="E160" s="3"/>
      <c r="F160" s="3"/>
      <c r="G160" s="3"/>
    </row>
    <row r="161" spans="3:7">
      <c r="C161" s="3"/>
      <c r="D161" s="3"/>
      <c r="E161" s="3"/>
      <c r="F161" s="3"/>
      <c r="G161" s="3"/>
    </row>
    <row r="162" spans="3:7">
      <c r="C162" s="3"/>
      <c r="D162" s="3"/>
      <c r="E162" s="3"/>
      <c r="F162" s="3"/>
      <c r="G162" s="3"/>
    </row>
    <row r="163" spans="3:7">
      <c r="C163" s="3"/>
      <c r="D163" s="3"/>
      <c r="E163" s="3"/>
      <c r="F163" s="3"/>
      <c r="G163" s="3"/>
    </row>
    <row r="164" spans="3:7">
      <c r="C164" s="3"/>
      <c r="D164" s="3"/>
      <c r="E164" s="3"/>
      <c r="F164" s="3"/>
      <c r="G164" s="3"/>
    </row>
    <row r="165" spans="3:7">
      <c r="C165" s="3"/>
      <c r="D165" s="3"/>
      <c r="E165" s="3"/>
      <c r="F165" s="3"/>
      <c r="G165" s="3"/>
    </row>
    <row r="166" spans="3:7">
      <c r="C166" s="3"/>
      <c r="D166" s="3"/>
      <c r="E166" s="3"/>
      <c r="F166" s="3"/>
      <c r="G166" s="3"/>
    </row>
    <row r="167" spans="3:7">
      <c r="C167" s="3"/>
      <c r="D167" s="3"/>
      <c r="E167" s="3"/>
      <c r="F167" s="3"/>
      <c r="G167" s="3"/>
    </row>
    <row r="168" spans="3:7">
      <c r="C168" s="3"/>
      <c r="D168" s="3"/>
      <c r="E168" s="3"/>
      <c r="F168" s="3"/>
      <c r="G168" s="3"/>
    </row>
    <row r="169" spans="3:7">
      <c r="C169" s="3"/>
      <c r="D169" s="3"/>
      <c r="E169" s="3"/>
      <c r="F169" s="3"/>
      <c r="G169" s="3"/>
    </row>
    <row r="170" spans="3:7">
      <c r="C170" s="3"/>
      <c r="D170" s="3"/>
      <c r="E170" s="3"/>
      <c r="F170" s="3"/>
      <c r="G170" s="3"/>
    </row>
    <row r="171" spans="3:7">
      <c r="C171" s="3"/>
      <c r="D171" s="3"/>
      <c r="E171" s="3"/>
      <c r="F171" s="3"/>
      <c r="G171" s="3"/>
    </row>
    <row r="172" spans="3:7">
      <c r="C172" s="3"/>
      <c r="D172" s="3"/>
      <c r="E172" s="3"/>
      <c r="F172" s="3"/>
      <c r="G172" s="3"/>
    </row>
    <row r="173" spans="3:7">
      <c r="C173" s="3"/>
      <c r="D173" s="3"/>
      <c r="E173" s="3"/>
      <c r="F173" s="3"/>
      <c r="G173" s="3"/>
    </row>
    <row r="174" spans="3:7">
      <c r="C174" s="3"/>
      <c r="D174" s="3"/>
      <c r="E174" s="3"/>
      <c r="F174" s="3"/>
      <c r="G174" s="3"/>
    </row>
    <row r="175" spans="3:7">
      <c r="C175" s="3"/>
      <c r="D175" s="3"/>
      <c r="E175" s="3"/>
      <c r="F175" s="3"/>
      <c r="G175" s="3"/>
    </row>
    <row r="176" spans="3:7">
      <c r="C176" s="3"/>
      <c r="D176" s="3"/>
      <c r="E176" s="3"/>
      <c r="F176" s="3"/>
      <c r="G176" s="3"/>
    </row>
    <row r="177" spans="3:7">
      <c r="C177" s="3"/>
      <c r="D177" s="3"/>
      <c r="E177" s="3"/>
      <c r="F177" s="3"/>
      <c r="G177" s="3"/>
    </row>
    <row r="178" spans="3:7">
      <c r="C178" s="3"/>
      <c r="D178" s="3"/>
      <c r="E178" s="3"/>
      <c r="F178" s="3"/>
      <c r="G178" s="3"/>
    </row>
    <row r="179" spans="3:7">
      <c r="C179" s="3"/>
      <c r="D179" s="3"/>
      <c r="E179" s="3"/>
      <c r="F179" s="3"/>
      <c r="G179" s="3"/>
    </row>
    <row r="180" spans="3:7">
      <c r="C180" s="3"/>
      <c r="D180" s="3"/>
      <c r="E180" s="3"/>
      <c r="F180" s="3"/>
      <c r="G180" s="3"/>
    </row>
    <row r="181" spans="3:7">
      <c r="C181" s="3"/>
      <c r="D181" s="3"/>
      <c r="E181" s="3"/>
      <c r="F181" s="3"/>
      <c r="G181" s="3"/>
    </row>
    <row r="182" spans="3:7">
      <c r="C182" s="3"/>
      <c r="D182" s="3"/>
      <c r="E182" s="3"/>
      <c r="F182" s="3"/>
      <c r="G182" s="3"/>
    </row>
    <row r="183" spans="3:7">
      <c r="C183" s="3"/>
      <c r="D183" s="3"/>
      <c r="E183" s="3"/>
      <c r="F183" s="3"/>
      <c r="G183" s="3"/>
    </row>
    <row r="184" spans="3:7">
      <c r="C184" s="3"/>
      <c r="D184" s="3"/>
      <c r="E184" s="3"/>
      <c r="F184" s="3"/>
      <c r="G184" s="3"/>
    </row>
    <row r="185" spans="3:7">
      <c r="C185" s="3"/>
      <c r="D185" s="3"/>
      <c r="E185" s="3"/>
      <c r="F185" s="3"/>
      <c r="G185" s="3"/>
    </row>
    <row r="186" spans="3:7">
      <c r="C186" s="3"/>
      <c r="D186" s="3"/>
      <c r="E186" s="3"/>
      <c r="F186" s="3"/>
      <c r="G186" s="3"/>
    </row>
    <row r="187" spans="3:7">
      <c r="C187" s="3"/>
      <c r="D187" s="3"/>
      <c r="E187" s="3"/>
      <c r="F187" s="3"/>
      <c r="G187" s="3"/>
    </row>
    <row r="188" spans="3:7">
      <c r="C188" s="3"/>
      <c r="D188" s="3"/>
      <c r="E188" s="3"/>
      <c r="F188" s="3"/>
      <c r="G188" s="3"/>
    </row>
    <row r="189" spans="3:7">
      <c r="C189" s="3"/>
      <c r="D189" s="3"/>
      <c r="E189" s="3"/>
      <c r="F189" s="3"/>
      <c r="G189" s="3"/>
    </row>
    <row r="190" spans="3:7">
      <c r="C190" s="3"/>
      <c r="D190" s="3"/>
      <c r="E190" s="3"/>
      <c r="F190" s="3"/>
      <c r="G190" s="3"/>
    </row>
    <row r="191" spans="3:7">
      <c r="C191" s="3"/>
      <c r="D191" s="3"/>
      <c r="E191" s="3"/>
      <c r="F191" s="3"/>
      <c r="G191" s="3"/>
    </row>
    <row r="192" spans="3:7">
      <c r="C192" s="3"/>
      <c r="D192" s="3"/>
      <c r="E192" s="3"/>
      <c r="F192" s="3"/>
      <c r="G192" s="3"/>
    </row>
    <row r="193" spans="3:7">
      <c r="C193" s="3"/>
      <c r="D193" s="3"/>
      <c r="E193" s="3"/>
      <c r="F193" s="3"/>
      <c r="G193" s="3"/>
    </row>
    <row r="194" spans="3:7">
      <c r="C194" s="3"/>
      <c r="D194" s="3"/>
      <c r="E194" s="3"/>
      <c r="F194" s="3"/>
      <c r="G194" s="3"/>
    </row>
    <row r="195" spans="3:7">
      <c r="C195" s="3"/>
      <c r="D195" s="3"/>
      <c r="E195" s="3"/>
      <c r="F195" s="3"/>
      <c r="G195" s="3"/>
    </row>
    <row r="196" spans="3:7">
      <c r="C196" s="3"/>
      <c r="D196" s="3"/>
      <c r="E196" s="3"/>
      <c r="F196" s="3"/>
      <c r="G196" s="3"/>
    </row>
    <row r="197" spans="3:7">
      <c r="C197" s="3"/>
      <c r="D197" s="3"/>
      <c r="E197" s="3"/>
      <c r="F197" s="3"/>
      <c r="G197" s="3"/>
    </row>
    <row r="198" spans="3:7">
      <c r="C198" s="3"/>
      <c r="D198" s="3"/>
      <c r="E198" s="3"/>
      <c r="F198" s="3"/>
      <c r="G198" s="3"/>
    </row>
    <row r="199" spans="3:7">
      <c r="C199" s="3"/>
      <c r="D199" s="3"/>
      <c r="E199" s="3"/>
      <c r="F199" s="3"/>
      <c r="G199" s="3"/>
    </row>
    <row r="200" spans="3:7">
      <c r="C200" s="3"/>
      <c r="D200" s="3"/>
      <c r="E200" s="3"/>
      <c r="F200" s="3"/>
      <c r="G200" s="3"/>
    </row>
    <row r="201" spans="3:7">
      <c r="C201" s="3"/>
      <c r="D201" s="3"/>
      <c r="E201" s="3"/>
      <c r="F201" s="3"/>
      <c r="G201" s="3"/>
    </row>
    <row r="202" spans="3:7">
      <c r="C202" s="3"/>
      <c r="D202" s="3"/>
      <c r="E202" s="3"/>
      <c r="F202" s="3"/>
      <c r="G202" s="3"/>
    </row>
    <row r="203" spans="3:7">
      <c r="C203" s="3"/>
      <c r="D203" s="3"/>
      <c r="E203" s="3"/>
      <c r="F203" s="3"/>
      <c r="G203" s="3"/>
    </row>
    <row r="204" spans="3:7">
      <c r="C204" s="3"/>
      <c r="D204" s="3"/>
      <c r="E204" s="3"/>
      <c r="F204" s="3"/>
      <c r="G204" s="3"/>
    </row>
    <row r="205" spans="3:7">
      <c r="C205" s="3"/>
      <c r="D205" s="3"/>
      <c r="E205" s="3"/>
      <c r="F205" s="3"/>
      <c r="G205" s="3"/>
    </row>
    <row r="206" spans="3:7">
      <c r="C206" s="3"/>
      <c r="D206" s="3"/>
      <c r="E206" s="3"/>
      <c r="F206" s="3"/>
      <c r="G206" s="3"/>
    </row>
    <row r="207" spans="3:7">
      <c r="C207" s="3"/>
      <c r="D207" s="3"/>
      <c r="E207" s="3"/>
      <c r="F207" s="3"/>
      <c r="G207" s="3"/>
    </row>
    <row r="208" spans="3:7">
      <c r="C208" s="3"/>
      <c r="D208" s="3"/>
      <c r="E208" s="3"/>
      <c r="F208" s="3"/>
      <c r="G208" s="3"/>
    </row>
    <row r="209" spans="3:7">
      <c r="C209" s="3"/>
      <c r="D209" s="3"/>
      <c r="E209" s="3"/>
      <c r="F209" s="3"/>
      <c r="G209" s="3"/>
    </row>
    <row r="210" spans="3:7">
      <c r="C210" s="3"/>
      <c r="D210" s="3"/>
      <c r="E210" s="3"/>
      <c r="F210" s="3"/>
      <c r="G210" s="3"/>
    </row>
    <row r="211" spans="3:7">
      <c r="C211" s="3"/>
      <c r="D211" s="3"/>
      <c r="E211" s="3"/>
      <c r="F211" s="3"/>
      <c r="G211" s="3"/>
    </row>
    <row r="212" spans="3:7">
      <c r="C212" s="3"/>
      <c r="D212" s="3"/>
      <c r="E212" s="3"/>
      <c r="F212" s="3"/>
      <c r="G212" s="3"/>
    </row>
    <row r="213" spans="3:7">
      <c r="C213" s="3"/>
      <c r="D213" s="3"/>
      <c r="E213" s="3"/>
      <c r="F213" s="3"/>
      <c r="G213" s="3"/>
    </row>
    <row r="214" spans="3:7">
      <c r="C214" s="3"/>
      <c r="D214" s="3"/>
      <c r="E214" s="3"/>
      <c r="F214" s="3"/>
      <c r="G214" s="3"/>
    </row>
    <row r="215" spans="3:7">
      <c r="C215" s="3"/>
      <c r="D215" s="3"/>
      <c r="E215" s="3"/>
      <c r="F215" s="3"/>
      <c r="G215" s="3"/>
    </row>
    <row r="216" spans="3:7">
      <c r="C216" s="3"/>
      <c r="D216" s="3"/>
      <c r="E216" s="3"/>
      <c r="F216" s="3"/>
      <c r="G216" s="3"/>
    </row>
    <row r="217" spans="3:7">
      <c r="C217" s="3"/>
      <c r="D217" s="3"/>
      <c r="E217" s="3"/>
      <c r="F217" s="3"/>
      <c r="G217" s="3"/>
    </row>
    <row r="218" spans="3:7">
      <c r="C218" s="3"/>
      <c r="D218" s="3"/>
      <c r="E218" s="3"/>
      <c r="F218" s="3"/>
      <c r="G218" s="3"/>
    </row>
    <row r="219" spans="3:7">
      <c r="C219" s="3"/>
      <c r="D219" s="3"/>
      <c r="E219" s="3"/>
      <c r="F219" s="3"/>
      <c r="G219" s="3"/>
    </row>
    <row r="220" spans="3:7">
      <c r="C220" s="3"/>
      <c r="D220" s="3"/>
      <c r="E220" s="3"/>
      <c r="F220" s="3"/>
      <c r="G220" s="3"/>
    </row>
    <row r="221" spans="3:7">
      <c r="C221" s="3"/>
      <c r="D221" s="3"/>
      <c r="E221" s="3"/>
      <c r="F221" s="3"/>
      <c r="G221" s="3"/>
    </row>
    <row r="222" spans="3:7">
      <c r="C222" s="3"/>
      <c r="D222" s="3"/>
      <c r="E222" s="3"/>
      <c r="F222" s="3"/>
      <c r="G222" s="3"/>
    </row>
    <row r="223" spans="3:7">
      <c r="C223" s="3"/>
      <c r="D223" s="3"/>
      <c r="E223" s="3"/>
      <c r="F223" s="3"/>
      <c r="G223" s="3"/>
    </row>
    <row r="224" spans="3:7">
      <c r="C224" s="3"/>
      <c r="D224" s="3"/>
      <c r="E224" s="3"/>
      <c r="F224" s="3"/>
      <c r="G224" s="3"/>
    </row>
    <row r="225" spans="3:7">
      <c r="C225" s="3"/>
      <c r="D225" s="3"/>
      <c r="E225" s="3"/>
      <c r="F225" s="3"/>
      <c r="G225" s="3"/>
    </row>
    <row r="226" spans="3:7">
      <c r="C226" s="3"/>
      <c r="D226" s="3"/>
      <c r="E226" s="3"/>
      <c r="F226" s="3"/>
      <c r="G226" s="3"/>
    </row>
    <row r="227" spans="3:7">
      <c r="C227" s="3"/>
      <c r="D227" s="3"/>
      <c r="E227" s="3"/>
      <c r="F227" s="3"/>
      <c r="G227" s="3"/>
    </row>
    <row r="228" spans="3:7">
      <c r="C228" s="3"/>
      <c r="D228" s="3"/>
      <c r="E228" s="3"/>
      <c r="F228" s="3"/>
      <c r="G228" s="3"/>
    </row>
    <row r="229" spans="3:7">
      <c r="C229" s="3"/>
      <c r="D229" s="3"/>
      <c r="E229" s="3"/>
      <c r="F229" s="3"/>
      <c r="G229" s="3"/>
    </row>
    <row r="230" spans="3:7">
      <c r="C230" s="3"/>
      <c r="D230" s="3"/>
      <c r="E230" s="3"/>
      <c r="F230" s="3"/>
      <c r="G230" s="3"/>
    </row>
    <row r="231" spans="3:7">
      <c r="C231" s="3"/>
      <c r="D231" s="3"/>
      <c r="E231" s="3"/>
      <c r="F231" s="3"/>
      <c r="G231" s="3"/>
    </row>
    <row r="232" spans="3:7">
      <c r="C232" s="3"/>
      <c r="D232" s="3"/>
      <c r="E232" s="3"/>
      <c r="F232" s="3"/>
      <c r="G232" s="3"/>
    </row>
    <row r="233" spans="3:7">
      <c r="C233" s="3"/>
      <c r="D233" s="3"/>
      <c r="E233" s="3"/>
      <c r="F233" s="3"/>
      <c r="G233" s="3"/>
    </row>
    <row r="234" spans="3:7">
      <c r="C234" s="3"/>
      <c r="D234" s="3"/>
      <c r="E234" s="3"/>
      <c r="F234" s="3"/>
      <c r="G234" s="3"/>
    </row>
    <row r="235" spans="3:7">
      <c r="C235" s="3"/>
      <c r="D235" s="3"/>
      <c r="E235" s="3"/>
      <c r="F235" s="3"/>
      <c r="G235" s="3"/>
    </row>
    <row r="236" spans="3:7">
      <c r="C236" s="3"/>
      <c r="D236" s="3"/>
      <c r="E236" s="3"/>
      <c r="F236" s="3"/>
      <c r="G236" s="3"/>
    </row>
    <row r="237" spans="3:7">
      <c r="C237" s="3"/>
      <c r="D237" s="3"/>
      <c r="E237" s="3"/>
      <c r="F237" s="3"/>
      <c r="G237" s="3"/>
    </row>
    <row r="238" spans="3:7">
      <c r="C238" s="3"/>
      <c r="D238" s="3"/>
      <c r="E238" s="3"/>
      <c r="F238" s="3"/>
      <c r="G238" s="3"/>
    </row>
    <row r="239" spans="3:7">
      <c r="C239" s="3"/>
      <c r="D239" s="3"/>
      <c r="E239" s="3"/>
      <c r="F239" s="3"/>
      <c r="G239" s="3"/>
    </row>
    <row r="240" spans="3:7">
      <c r="C240" s="3"/>
      <c r="D240" s="3"/>
      <c r="E240" s="3"/>
      <c r="F240" s="3"/>
      <c r="G240" s="3"/>
    </row>
    <row r="241" spans="3:7">
      <c r="C241" s="3"/>
      <c r="D241" s="3"/>
      <c r="E241" s="3"/>
      <c r="F241" s="3"/>
      <c r="G241" s="3"/>
    </row>
    <row r="242" spans="3:7">
      <c r="C242" s="3"/>
      <c r="D242" s="3"/>
      <c r="E242" s="3"/>
      <c r="F242" s="3"/>
      <c r="G242" s="3"/>
    </row>
    <row r="243" spans="3:7">
      <c r="C243" s="3"/>
      <c r="D243" s="3"/>
      <c r="E243" s="3"/>
      <c r="F243" s="3"/>
      <c r="G243" s="3"/>
    </row>
    <row r="244" spans="3:7">
      <c r="C244" s="3"/>
      <c r="D244" s="3"/>
      <c r="E244" s="3"/>
      <c r="F244" s="3"/>
      <c r="G244" s="3"/>
    </row>
    <row r="245" spans="3:7">
      <c r="C245" s="3"/>
      <c r="D245" s="3"/>
      <c r="E245" s="3"/>
      <c r="F245" s="3"/>
      <c r="G245" s="3"/>
    </row>
    <row r="246" spans="3:7">
      <c r="C246" s="3"/>
      <c r="D246" s="3"/>
      <c r="E246" s="3"/>
      <c r="F246" s="3"/>
      <c r="G246" s="3"/>
    </row>
    <row r="247" spans="3:7">
      <c r="C247" s="3"/>
      <c r="D247" s="3"/>
      <c r="E247" s="3"/>
      <c r="F247" s="3"/>
      <c r="G247" s="3"/>
    </row>
    <row r="248" spans="3:7">
      <c r="C248" s="3"/>
      <c r="D248" s="3"/>
      <c r="E248" s="3"/>
      <c r="F248" s="3"/>
      <c r="G248" s="3"/>
    </row>
    <row r="249" spans="3:7">
      <c r="C249" s="3"/>
      <c r="D249" s="3"/>
      <c r="E249" s="3"/>
      <c r="F249" s="3"/>
      <c r="G249" s="3"/>
    </row>
    <row r="250" spans="3:7">
      <c r="C250" s="3"/>
      <c r="D250" s="3"/>
      <c r="E250" s="3"/>
      <c r="F250" s="3"/>
      <c r="G250" s="3"/>
    </row>
    <row r="251" spans="3:7">
      <c r="C251" s="3"/>
      <c r="D251" s="3"/>
      <c r="E251" s="3"/>
      <c r="F251" s="3"/>
      <c r="G251" s="3"/>
    </row>
    <row r="252" spans="3:7">
      <c r="C252" s="3"/>
      <c r="D252" s="3"/>
      <c r="E252" s="3"/>
      <c r="F252" s="3"/>
      <c r="G252" s="3"/>
    </row>
    <row r="253" spans="3:7">
      <c r="C253" s="3"/>
      <c r="D253" s="3"/>
      <c r="E253" s="3"/>
      <c r="F253" s="3"/>
      <c r="G253" s="3"/>
    </row>
    <row r="254" spans="3:7">
      <c r="C254" s="3"/>
      <c r="D254" s="3"/>
      <c r="E254" s="3"/>
      <c r="F254" s="3"/>
      <c r="G254" s="3"/>
    </row>
    <row r="255" spans="3:7">
      <c r="C255" s="3"/>
      <c r="D255" s="3"/>
      <c r="E255" s="3"/>
      <c r="F255" s="3"/>
      <c r="G255" s="3"/>
    </row>
    <row r="256" spans="3:7">
      <c r="C256" s="3"/>
      <c r="D256" s="3"/>
      <c r="E256" s="3"/>
      <c r="F256" s="3"/>
      <c r="G256" s="3"/>
    </row>
    <row r="257" spans="3:7">
      <c r="C257" s="3"/>
      <c r="D257" s="3"/>
      <c r="E257" s="3"/>
      <c r="F257" s="3"/>
      <c r="G257" s="3"/>
    </row>
    <row r="258" spans="3:7">
      <c r="C258" s="3"/>
      <c r="D258" s="3"/>
      <c r="E258" s="3"/>
      <c r="F258" s="3"/>
      <c r="G258" s="3"/>
    </row>
    <row r="259" spans="3:7">
      <c r="C259" s="3"/>
      <c r="D259" s="3"/>
      <c r="E259" s="3"/>
      <c r="F259" s="3"/>
      <c r="G259" s="3"/>
    </row>
    <row r="260" spans="3:7">
      <c r="C260" s="3"/>
      <c r="D260" s="3"/>
      <c r="E260" s="3"/>
      <c r="F260" s="3"/>
      <c r="G260" s="3"/>
    </row>
    <row r="261" spans="3:7">
      <c r="C261" s="3"/>
      <c r="D261" s="3"/>
      <c r="E261" s="3"/>
      <c r="F261" s="3"/>
      <c r="G261" s="3"/>
    </row>
    <row r="262" spans="3:7">
      <c r="C262" s="3"/>
      <c r="D262" s="3"/>
      <c r="E262" s="3"/>
      <c r="F262" s="3"/>
      <c r="G262" s="3"/>
    </row>
    <row r="263" spans="3:7">
      <c r="C263" s="3"/>
      <c r="D263" s="3"/>
      <c r="E263" s="3"/>
      <c r="F263" s="3"/>
      <c r="G263" s="3"/>
    </row>
    <row r="264" spans="3:7">
      <c r="C264" s="3"/>
      <c r="D264" s="3"/>
      <c r="E264" s="3"/>
      <c r="F264" s="3"/>
      <c r="G264" s="3"/>
    </row>
    <row r="265" spans="3:7">
      <c r="C265" s="3"/>
      <c r="D265" s="3"/>
      <c r="E265" s="3"/>
      <c r="F265" s="3"/>
      <c r="G265" s="3"/>
    </row>
    <row r="266" spans="3:7">
      <c r="C266" s="3"/>
      <c r="D266" s="3"/>
      <c r="E266" s="3"/>
      <c r="F266" s="3"/>
      <c r="G266" s="3"/>
    </row>
    <row r="267" spans="3:7">
      <c r="C267" s="3"/>
      <c r="D267" s="3"/>
      <c r="E267" s="3"/>
      <c r="F267" s="3"/>
      <c r="G267" s="3"/>
    </row>
    <row r="268" spans="3:7">
      <c r="C268" s="3"/>
      <c r="D268" s="3"/>
      <c r="E268" s="3"/>
      <c r="F268" s="3"/>
      <c r="G268" s="3"/>
    </row>
    <row r="269" spans="3:7">
      <c r="C269" s="3"/>
      <c r="D269" s="3"/>
      <c r="E269" s="3"/>
      <c r="F269" s="3"/>
      <c r="G269" s="3"/>
    </row>
    <row r="270" spans="3:7">
      <c r="C270" s="3"/>
      <c r="D270" s="3"/>
      <c r="E270" s="3"/>
      <c r="F270" s="3"/>
      <c r="G270" s="3"/>
    </row>
    <row r="271" spans="3:7">
      <c r="C271" s="3"/>
      <c r="D271" s="3"/>
      <c r="E271" s="3"/>
      <c r="F271" s="3"/>
      <c r="G271" s="3"/>
    </row>
    <row r="272" spans="3:7">
      <c r="C272" s="3"/>
      <c r="D272" s="3"/>
      <c r="E272" s="3"/>
      <c r="F272" s="3"/>
      <c r="G272" s="3"/>
    </row>
    <row r="273" spans="3:7">
      <c r="C273" s="3"/>
      <c r="D273" s="3"/>
      <c r="E273" s="3"/>
      <c r="F273" s="3"/>
      <c r="G273" s="3"/>
    </row>
    <row r="274" spans="3:7">
      <c r="C274" s="3"/>
      <c r="D274" s="3"/>
      <c r="E274" s="3"/>
      <c r="F274" s="3"/>
      <c r="G274" s="3"/>
    </row>
    <row r="275" spans="3:7">
      <c r="C275" s="3"/>
      <c r="D275" s="3"/>
      <c r="E275" s="3"/>
      <c r="F275" s="3"/>
      <c r="G275" s="3"/>
    </row>
    <row r="276" spans="3:7">
      <c r="C276" s="3"/>
      <c r="D276" s="3"/>
      <c r="E276" s="3"/>
      <c r="F276" s="3"/>
      <c r="G276" s="3"/>
    </row>
    <row r="277" spans="3:7">
      <c r="C277" s="3"/>
      <c r="D277" s="3"/>
      <c r="E277" s="3"/>
      <c r="F277" s="3"/>
      <c r="G277" s="3"/>
    </row>
    <row r="278" spans="3:7">
      <c r="C278" s="3"/>
      <c r="D278" s="3"/>
      <c r="E278" s="3"/>
      <c r="F278" s="3"/>
      <c r="G278" s="3"/>
    </row>
    <row r="279" spans="3:7">
      <c r="C279" s="3"/>
      <c r="D279" s="3"/>
      <c r="E279" s="3"/>
      <c r="F279" s="3"/>
      <c r="G279" s="3"/>
    </row>
    <row r="280" spans="3:7">
      <c r="C280" s="3"/>
      <c r="D280" s="3"/>
      <c r="E280" s="3"/>
      <c r="F280" s="3"/>
      <c r="G280" s="3"/>
    </row>
    <row r="281" spans="3:7">
      <c r="C281" s="3"/>
      <c r="D281" s="3"/>
      <c r="E281" s="3"/>
      <c r="F281" s="3"/>
      <c r="G281" s="3"/>
    </row>
    <row r="282" spans="3:7">
      <c r="C282" s="3"/>
      <c r="D282" s="3"/>
      <c r="E282" s="3"/>
      <c r="F282" s="3"/>
      <c r="G282" s="3"/>
    </row>
    <row r="283" spans="3:7">
      <c r="C283" s="3"/>
      <c r="D283" s="3"/>
      <c r="E283" s="3"/>
      <c r="F283" s="3"/>
      <c r="G283" s="3"/>
    </row>
    <row r="284" spans="3:7">
      <c r="C284" s="3"/>
      <c r="D284" s="3"/>
      <c r="E284" s="3"/>
      <c r="F284" s="3"/>
      <c r="G284" s="3"/>
    </row>
    <row r="285" spans="3:7">
      <c r="C285" s="3"/>
      <c r="D285" s="3"/>
      <c r="E285" s="3"/>
      <c r="F285" s="3"/>
      <c r="G285" s="3"/>
    </row>
    <row r="286" spans="3:7">
      <c r="C286" s="3"/>
      <c r="D286" s="3"/>
      <c r="E286" s="3"/>
      <c r="F286" s="3"/>
      <c r="G286" s="3"/>
    </row>
    <row r="287" spans="3:7">
      <c r="C287" s="3"/>
      <c r="D287" s="3"/>
      <c r="E287" s="3"/>
      <c r="F287" s="3"/>
      <c r="G287" s="3"/>
    </row>
    <row r="288" spans="3:7">
      <c r="C288" s="3"/>
      <c r="D288" s="3"/>
      <c r="E288" s="3"/>
      <c r="F288" s="3"/>
      <c r="G288" s="3"/>
    </row>
    <row r="289" spans="3:7">
      <c r="C289" s="3"/>
      <c r="D289" s="3"/>
      <c r="E289" s="3"/>
      <c r="F289" s="3"/>
      <c r="G289" s="3"/>
    </row>
    <row r="290" spans="3:7">
      <c r="C290" s="3"/>
      <c r="D290" s="3"/>
      <c r="E290" s="3"/>
      <c r="F290" s="3"/>
      <c r="G290" s="3"/>
    </row>
    <row r="291" spans="3:7">
      <c r="C291" s="3"/>
      <c r="D291" s="3"/>
      <c r="E291" s="3"/>
      <c r="F291" s="3"/>
      <c r="G291" s="3"/>
    </row>
    <row r="292" spans="3:7">
      <c r="C292" s="3"/>
      <c r="D292" s="3"/>
      <c r="E292" s="3"/>
      <c r="F292" s="3"/>
      <c r="G292" s="3"/>
    </row>
    <row r="293" spans="3:7">
      <c r="C293" s="3"/>
      <c r="D293" s="3"/>
      <c r="E293" s="3"/>
      <c r="F293" s="3"/>
      <c r="G293" s="3"/>
    </row>
    <row r="294" spans="3:7">
      <c r="C294" s="3"/>
      <c r="D294" s="3"/>
      <c r="E294" s="3"/>
      <c r="F294" s="3"/>
      <c r="G294" s="3"/>
    </row>
    <row r="295" spans="3:7">
      <c r="C295" s="3"/>
      <c r="D295" s="3"/>
      <c r="E295" s="3"/>
      <c r="F295" s="3"/>
      <c r="G295" s="3"/>
    </row>
    <row r="296" spans="3:7">
      <c r="C296" s="3"/>
      <c r="D296" s="3"/>
      <c r="E296" s="3"/>
      <c r="F296" s="3"/>
      <c r="G296" s="3"/>
    </row>
    <row r="297" spans="3:7">
      <c r="C297" s="3"/>
      <c r="D297" s="3"/>
      <c r="E297" s="3"/>
      <c r="F297" s="3"/>
      <c r="G297" s="3"/>
    </row>
    <row r="298" spans="3:7">
      <c r="C298" s="3"/>
      <c r="D298" s="3"/>
      <c r="E298" s="3"/>
      <c r="F298" s="3"/>
      <c r="G298" s="3"/>
    </row>
    <row r="299" spans="3:7">
      <c r="C299" s="3"/>
      <c r="D299" s="3"/>
      <c r="E299" s="3"/>
      <c r="F299" s="3"/>
      <c r="G299" s="3"/>
    </row>
    <row r="300" spans="3:7">
      <c r="C300" s="3"/>
      <c r="D300" s="3"/>
      <c r="E300" s="3"/>
      <c r="F300" s="3"/>
      <c r="G300" s="3"/>
    </row>
    <row r="301" spans="3:7">
      <c r="C301" s="3"/>
      <c r="D301" s="3"/>
      <c r="E301" s="3"/>
      <c r="F301" s="3"/>
      <c r="G301" s="3"/>
    </row>
    <row r="302" spans="3:7">
      <c r="C302" s="3"/>
      <c r="D302" s="3"/>
      <c r="E302" s="3"/>
      <c r="F302" s="3"/>
      <c r="G302" s="3"/>
    </row>
    <row r="303" spans="3:7">
      <c r="C303" s="3"/>
      <c r="D303" s="3"/>
      <c r="E303" s="3"/>
      <c r="F303" s="3"/>
      <c r="G303" s="3"/>
    </row>
    <row r="304" spans="3:7">
      <c r="C304" s="3"/>
      <c r="D304" s="3"/>
      <c r="E304" s="3"/>
      <c r="F304" s="3"/>
      <c r="G304" s="3"/>
    </row>
    <row r="305" spans="3:7">
      <c r="C305" s="3"/>
      <c r="D305" s="3"/>
      <c r="E305" s="3"/>
      <c r="F305" s="3"/>
      <c r="G305" s="3"/>
    </row>
    <row r="306" spans="3:7">
      <c r="C306" s="3"/>
      <c r="D306" s="3"/>
      <c r="E306" s="3"/>
      <c r="F306" s="3"/>
      <c r="G306" s="3"/>
    </row>
    <row r="307" spans="3:7">
      <c r="C307" s="3"/>
      <c r="D307" s="3"/>
      <c r="E307" s="3"/>
      <c r="F307" s="3"/>
      <c r="G307" s="3"/>
    </row>
    <row r="308" spans="3:7">
      <c r="C308" s="3"/>
      <c r="D308" s="3"/>
      <c r="E308" s="3"/>
      <c r="F308" s="3"/>
      <c r="G308" s="3"/>
    </row>
    <row r="309" spans="3:7">
      <c r="C309" s="3"/>
      <c r="D309" s="3"/>
      <c r="E309" s="3"/>
      <c r="F309" s="3"/>
      <c r="G309" s="3"/>
    </row>
    <row r="310" spans="3:7">
      <c r="C310" s="3"/>
      <c r="D310" s="3"/>
      <c r="E310" s="3"/>
      <c r="F310" s="3"/>
      <c r="G310" s="3"/>
    </row>
    <row r="311" spans="3:7">
      <c r="C311" s="3"/>
      <c r="D311" s="3"/>
      <c r="E311" s="3"/>
      <c r="F311" s="3"/>
      <c r="G311" s="3"/>
    </row>
    <row r="312" spans="3:7">
      <c r="C312" s="3"/>
      <c r="D312" s="3"/>
      <c r="E312" s="3"/>
      <c r="F312" s="3"/>
      <c r="G312" s="3"/>
    </row>
    <row r="313" spans="3:7">
      <c r="C313" s="3"/>
      <c r="D313" s="3"/>
      <c r="E313" s="3"/>
      <c r="F313" s="3"/>
      <c r="G313" s="3"/>
    </row>
    <row r="314" spans="3:7">
      <c r="C314" s="3"/>
      <c r="D314" s="3"/>
      <c r="E314" s="3"/>
      <c r="F314" s="3"/>
      <c r="G314" s="3"/>
    </row>
    <row r="315" spans="3:7">
      <c r="C315" s="3"/>
      <c r="D315" s="3"/>
      <c r="E315" s="3"/>
      <c r="F315" s="3"/>
      <c r="G315" s="3"/>
    </row>
    <row r="316" spans="3:7">
      <c r="C316" s="3"/>
      <c r="D316" s="3"/>
      <c r="E316" s="3"/>
      <c r="F316" s="3"/>
      <c r="G316" s="3"/>
    </row>
    <row r="317" spans="3:7">
      <c r="C317" s="3"/>
      <c r="D317" s="3"/>
      <c r="E317" s="3"/>
      <c r="F317" s="3"/>
      <c r="G317" s="3"/>
    </row>
    <row r="318" spans="3:7">
      <c r="C318" s="3"/>
      <c r="D318" s="3"/>
      <c r="E318" s="3"/>
      <c r="F318" s="3"/>
      <c r="G318" s="3"/>
    </row>
    <row r="319" spans="3:7">
      <c r="C319" s="3"/>
      <c r="D319" s="3"/>
      <c r="E319" s="3"/>
      <c r="F319" s="3"/>
      <c r="G319" s="3"/>
    </row>
    <row r="320" spans="3:7">
      <c r="C320" s="3"/>
      <c r="D320" s="3"/>
      <c r="E320" s="3"/>
      <c r="F320" s="3"/>
      <c r="G320" s="3"/>
    </row>
    <row r="321" spans="3:7">
      <c r="C321" s="3"/>
      <c r="D321" s="3"/>
      <c r="E321" s="3"/>
      <c r="F321" s="3"/>
      <c r="G321" s="3"/>
    </row>
    <row r="322" spans="3:7">
      <c r="C322" s="3"/>
      <c r="D322" s="3"/>
      <c r="E322" s="3"/>
      <c r="F322" s="3"/>
      <c r="G322" s="3"/>
    </row>
    <row r="323" spans="3:7">
      <c r="C323" s="3"/>
      <c r="D323" s="3"/>
      <c r="E323" s="3"/>
      <c r="F323" s="3"/>
      <c r="G323" s="3"/>
    </row>
    <row r="324" spans="3:7">
      <c r="C324" s="3"/>
      <c r="D324" s="3"/>
      <c r="E324" s="3"/>
      <c r="F324" s="3"/>
      <c r="G324" s="3"/>
    </row>
    <row r="325" spans="3:7">
      <c r="C325" s="3"/>
      <c r="D325" s="3"/>
      <c r="E325" s="3"/>
      <c r="F325" s="3"/>
      <c r="G325" s="3"/>
    </row>
    <row r="326" spans="3:7">
      <c r="C326" s="3"/>
      <c r="D326" s="3"/>
      <c r="E326" s="3"/>
      <c r="F326" s="3"/>
      <c r="G326" s="3"/>
    </row>
    <row r="327" spans="3:7">
      <c r="C327" s="3"/>
      <c r="D327" s="3"/>
      <c r="E327" s="3"/>
      <c r="F327" s="3"/>
      <c r="G327" s="3"/>
    </row>
    <row r="328" spans="3:7">
      <c r="C328" s="3"/>
      <c r="D328" s="3"/>
      <c r="E328" s="3"/>
      <c r="F328" s="3"/>
      <c r="G328" s="3"/>
    </row>
    <row r="329" spans="3:7">
      <c r="C329" s="3"/>
      <c r="D329" s="3"/>
      <c r="E329" s="3"/>
      <c r="F329" s="3"/>
      <c r="G329" s="3"/>
    </row>
    <row r="330" spans="3:7">
      <c r="C330" s="3"/>
      <c r="D330" s="3"/>
      <c r="E330" s="3"/>
      <c r="F330" s="3"/>
      <c r="G330" s="3"/>
    </row>
    <row r="331" spans="3:7">
      <c r="C331" s="3"/>
      <c r="D331" s="3"/>
      <c r="E331" s="3"/>
      <c r="F331" s="3"/>
      <c r="G331" s="3"/>
    </row>
    <row r="332" spans="3:7">
      <c r="C332" s="3"/>
      <c r="D332" s="3"/>
      <c r="E332" s="3"/>
      <c r="F332" s="3"/>
      <c r="G332" s="3"/>
    </row>
    <row r="333" spans="3:7">
      <c r="C333" s="3"/>
      <c r="D333" s="3"/>
      <c r="E333" s="3"/>
      <c r="F333" s="3"/>
      <c r="G333" s="3"/>
    </row>
    <row r="334" spans="3:7">
      <c r="C334" s="3"/>
      <c r="D334" s="3"/>
      <c r="E334" s="3"/>
      <c r="F334" s="3"/>
      <c r="G334" s="3"/>
    </row>
    <row r="335" spans="3:7">
      <c r="C335" s="3"/>
      <c r="D335" s="3"/>
      <c r="E335" s="3"/>
      <c r="F335" s="3"/>
      <c r="G335" s="3"/>
    </row>
    <row r="336" spans="3:7">
      <c r="C336" s="3"/>
      <c r="D336" s="3"/>
      <c r="E336" s="3"/>
      <c r="F336" s="3"/>
      <c r="G336" s="3"/>
    </row>
    <row r="337" spans="3:7">
      <c r="C337" s="3"/>
      <c r="D337" s="3"/>
      <c r="E337" s="3"/>
      <c r="F337" s="3"/>
      <c r="G337" s="3"/>
    </row>
    <row r="338" spans="3:7">
      <c r="C338" s="3"/>
      <c r="D338" s="3"/>
      <c r="E338" s="3"/>
      <c r="F338" s="3"/>
      <c r="G338" s="3"/>
    </row>
    <row r="339" spans="3:7">
      <c r="C339" s="3"/>
      <c r="D339" s="3"/>
      <c r="E339" s="3"/>
      <c r="F339" s="3"/>
      <c r="G339" s="3"/>
    </row>
    <row r="340" spans="3:7">
      <c r="C340" s="3"/>
      <c r="D340" s="3"/>
      <c r="E340" s="3"/>
      <c r="F340" s="3"/>
      <c r="G340" s="3"/>
    </row>
    <row r="341" spans="3:7">
      <c r="C341" s="3"/>
      <c r="D341" s="3"/>
      <c r="E341" s="3"/>
      <c r="F341" s="3"/>
      <c r="G341" s="3"/>
    </row>
    <row r="342" spans="3:7">
      <c r="C342" s="3"/>
      <c r="D342" s="3"/>
      <c r="E342" s="3"/>
      <c r="F342" s="3"/>
      <c r="G342" s="3"/>
    </row>
    <row r="343" spans="3:7">
      <c r="C343" s="3"/>
      <c r="D343" s="3"/>
      <c r="E343" s="3"/>
      <c r="F343" s="3"/>
      <c r="G343" s="3"/>
    </row>
    <row r="344" spans="3:7">
      <c r="C344" s="3"/>
      <c r="D344" s="3"/>
      <c r="E344" s="3"/>
      <c r="F344" s="3"/>
      <c r="G344" s="3"/>
    </row>
    <row r="345" spans="3:7">
      <c r="C345" s="3"/>
      <c r="D345" s="3"/>
      <c r="E345" s="3"/>
      <c r="F345" s="3"/>
      <c r="G345" s="3"/>
    </row>
    <row r="346" spans="3:7">
      <c r="C346" s="3"/>
      <c r="D346" s="3"/>
      <c r="E346" s="3"/>
      <c r="F346" s="3"/>
      <c r="G346" s="3"/>
    </row>
    <row r="347" spans="3:7">
      <c r="C347" s="3"/>
      <c r="D347" s="3"/>
      <c r="E347" s="3"/>
      <c r="F347" s="3"/>
      <c r="G347" s="3"/>
    </row>
    <row r="348" spans="3:7">
      <c r="C348" s="3"/>
      <c r="D348" s="3"/>
      <c r="E348" s="3"/>
      <c r="F348" s="3"/>
      <c r="G348" s="3"/>
    </row>
    <row r="349" spans="3:7">
      <c r="C349" s="3"/>
      <c r="D349" s="3"/>
      <c r="E349" s="3"/>
      <c r="F349" s="3"/>
      <c r="G349" s="3"/>
    </row>
    <row r="350" spans="3:7">
      <c r="C350" s="3"/>
      <c r="D350" s="3"/>
      <c r="E350" s="3"/>
      <c r="F350" s="3"/>
      <c r="G350" s="3"/>
    </row>
    <row r="351" spans="3:7">
      <c r="C351" s="3"/>
      <c r="D351" s="3"/>
      <c r="E351" s="3"/>
      <c r="F351" s="3"/>
      <c r="G351" s="3"/>
    </row>
    <row r="352" spans="3:7">
      <c r="C352" s="3"/>
      <c r="D352" s="3"/>
      <c r="E352" s="3"/>
      <c r="F352" s="3"/>
      <c r="G352" s="3"/>
    </row>
    <row r="353" spans="3:7">
      <c r="C353" s="3"/>
      <c r="D353" s="3"/>
      <c r="E353" s="3"/>
      <c r="F353" s="3"/>
      <c r="G353" s="3"/>
    </row>
    <row r="354" spans="3:7">
      <c r="C354" s="3"/>
      <c r="D354" s="3"/>
      <c r="E354" s="3"/>
      <c r="F354" s="3"/>
      <c r="G354" s="3"/>
    </row>
    <row r="355" spans="3:7">
      <c r="C355" s="3"/>
      <c r="D355" s="3"/>
      <c r="E355" s="3"/>
      <c r="F355" s="3"/>
      <c r="G355" s="3"/>
    </row>
    <row r="356" spans="3:7">
      <c r="C356" s="3"/>
      <c r="D356" s="3"/>
      <c r="E356" s="3"/>
      <c r="F356" s="3"/>
      <c r="G356" s="3"/>
    </row>
    <row r="357" spans="3:7">
      <c r="C357" s="3"/>
      <c r="D357" s="3"/>
      <c r="E357" s="3"/>
      <c r="F357" s="3"/>
      <c r="G357" s="3"/>
    </row>
    <row r="358" spans="3:7">
      <c r="C358" s="3"/>
      <c r="D358" s="3"/>
      <c r="E358" s="3"/>
      <c r="F358" s="3"/>
      <c r="G358" s="3"/>
    </row>
    <row r="359" spans="3:7">
      <c r="C359" s="3"/>
      <c r="D359" s="3"/>
      <c r="E359" s="3"/>
      <c r="F359" s="3"/>
      <c r="G359" s="3"/>
    </row>
    <row r="360" spans="3:7">
      <c r="C360" s="3"/>
      <c r="D360" s="3"/>
      <c r="E360" s="3"/>
      <c r="F360" s="3"/>
      <c r="G360" s="3"/>
    </row>
    <row r="361" spans="3:7">
      <c r="C361" s="3"/>
      <c r="D361" s="3"/>
      <c r="E361" s="3"/>
      <c r="F361" s="3"/>
      <c r="G361" s="3"/>
    </row>
    <row r="362" spans="3:7">
      <c r="C362" s="3"/>
      <c r="D362" s="3"/>
      <c r="E362" s="3"/>
      <c r="F362" s="3"/>
      <c r="G362" s="3"/>
    </row>
    <row r="363" spans="3:7">
      <c r="C363" s="3"/>
      <c r="D363" s="3"/>
      <c r="E363" s="3"/>
      <c r="F363" s="3"/>
      <c r="G363" s="3"/>
    </row>
    <row r="364" spans="3:7">
      <c r="C364" s="3"/>
      <c r="D364" s="3"/>
      <c r="E364" s="3"/>
      <c r="F364" s="3"/>
      <c r="G364" s="3"/>
    </row>
    <row r="365" spans="3:7">
      <c r="C365" s="3"/>
      <c r="D365" s="3"/>
      <c r="E365" s="3"/>
      <c r="F365" s="3"/>
      <c r="G365" s="3"/>
    </row>
    <row r="366" spans="3:7">
      <c r="C366" s="3"/>
      <c r="D366" s="3"/>
      <c r="E366" s="3"/>
      <c r="F366" s="3"/>
      <c r="G366" s="3"/>
    </row>
    <row r="367" spans="3:7">
      <c r="C367" s="3"/>
      <c r="D367" s="3"/>
      <c r="E367" s="3"/>
      <c r="F367" s="3"/>
      <c r="G367" s="3"/>
    </row>
    <row r="368" spans="3:7">
      <c r="C368" s="3"/>
      <c r="D368" s="3"/>
      <c r="E368" s="3"/>
      <c r="F368" s="3"/>
      <c r="G368" s="3"/>
    </row>
    <row r="369" spans="3:7">
      <c r="C369" s="3"/>
      <c r="D369" s="3"/>
      <c r="E369" s="3"/>
      <c r="F369" s="3"/>
      <c r="G369" s="3"/>
    </row>
    <row r="370" spans="3:7">
      <c r="C370" s="3"/>
      <c r="D370" s="3"/>
      <c r="E370" s="3"/>
      <c r="F370" s="3"/>
      <c r="G370" s="3"/>
    </row>
    <row r="371" spans="3:7">
      <c r="C371" s="3"/>
      <c r="D371" s="3"/>
      <c r="E371" s="3"/>
      <c r="F371" s="3"/>
      <c r="G371" s="3"/>
    </row>
    <row r="372" spans="3:7">
      <c r="C372" s="3"/>
      <c r="D372" s="3"/>
      <c r="E372" s="3"/>
      <c r="F372" s="3"/>
      <c r="G372" s="3"/>
    </row>
    <row r="373" spans="3:7">
      <c r="C373" s="3"/>
      <c r="D373" s="3"/>
      <c r="E373" s="3"/>
      <c r="F373" s="3"/>
      <c r="G373" s="3"/>
    </row>
    <row r="374" spans="3:7">
      <c r="C374" s="3"/>
      <c r="D374" s="3"/>
      <c r="E374" s="3"/>
      <c r="F374" s="3"/>
      <c r="G374" s="3"/>
    </row>
    <row r="375" spans="3:7">
      <c r="C375" s="3"/>
      <c r="D375" s="3"/>
      <c r="E375" s="3"/>
      <c r="F375" s="3"/>
      <c r="G375" s="3"/>
    </row>
    <row r="376" spans="3:7">
      <c r="C376" s="3"/>
      <c r="D376" s="3"/>
      <c r="E376" s="3"/>
      <c r="F376" s="3"/>
      <c r="G376" s="3"/>
    </row>
    <row r="377" spans="3:7">
      <c r="C377" s="3"/>
      <c r="D377" s="3"/>
      <c r="E377" s="3"/>
      <c r="F377" s="3"/>
      <c r="G377" s="3"/>
    </row>
    <row r="378" spans="3:7">
      <c r="C378" s="3"/>
      <c r="D378" s="3"/>
      <c r="E378" s="3"/>
      <c r="F378" s="3"/>
      <c r="G378" s="3"/>
    </row>
    <row r="379" spans="3:7">
      <c r="C379" s="3"/>
      <c r="D379" s="3"/>
      <c r="E379" s="3"/>
      <c r="F379" s="3"/>
      <c r="G379" s="3"/>
    </row>
    <row r="380" spans="3:7">
      <c r="C380" s="3"/>
      <c r="D380" s="3"/>
      <c r="E380" s="3"/>
      <c r="F380" s="3"/>
      <c r="G380" s="3"/>
    </row>
    <row r="381" spans="3:7">
      <c r="C381" s="3"/>
      <c r="D381" s="3"/>
      <c r="E381" s="3"/>
      <c r="F381" s="3"/>
      <c r="G381" s="3"/>
    </row>
    <row r="382" spans="3:7">
      <c r="C382" s="3"/>
      <c r="D382" s="3"/>
      <c r="E382" s="3"/>
      <c r="F382" s="3"/>
      <c r="G382" s="3"/>
    </row>
    <row r="383" spans="3:7">
      <c r="C383" s="3"/>
      <c r="D383" s="3"/>
      <c r="E383" s="3"/>
      <c r="F383" s="3"/>
      <c r="G383" s="3"/>
    </row>
    <row r="384" spans="3:7">
      <c r="C384" s="3"/>
      <c r="D384" s="3"/>
      <c r="E384" s="3"/>
      <c r="F384" s="3"/>
      <c r="G384" s="3"/>
    </row>
    <row r="385" spans="3:7">
      <c r="C385" s="3"/>
      <c r="D385" s="3"/>
      <c r="E385" s="3"/>
      <c r="F385" s="3"/>
      <c r="G385" s="3"/>
    </row>
    <row r="386" spans="3:7">
      <c r="C386" s="3"/>
      <c r="D386" s="3"/>
      <c r="E386" s="3"/>
      <c r="F386" s="3"/>
      <c r="G386" s="3"/>
    </row>
    <row r="387" spans="3:7">
      <c r="C387" s="3"/>
      <c r="D387" s="3"/>
      <c r="E387" s="3"/>
      <c r="F387" s="3"/>
      <c r="G387" s="3"/>
    </row>
    <row r="388" spans="3:7">
      <c r="C388" s="3"/>
      <c r="D388" s="3"/>
      <c r="E388" s="3"/>
      <c r="F388" s="3"/>
      <c r="G388" s="3"/>
    </row>
    <row r="389" spans="3:7">
      <c r="C389" s="3"/>
      <c r="D389" s="3"/>
      <c r="E389" s="3"/>
      <c r="F389" s="3"/>
      <c r="G389" s="3"/>
    </row>
    <row r="390" spans="3:7">
      <c r="C390" s="3"/>
      <c r="D390" s="3"/>
      <c r="E390" s="3"/>
      <c r="F390" s="3"/>
      <c r="G390" s="3"/>
    </row>
    <row r="391" spans="3:7">
      <c r="C391" s="3"/>
      <c r="D391" s="3"/>
      <c r="E391" s="3"/>
      <c r="F391" s="3"/>
      <c r="G391" s="3"/>
    </row>
    <row r="392" spans="3:7">
      <c r="C392" s="3"/>
      <c r="D392" s="3"/>
      <c r="E392" s="3"/>
      <c r="F392" s="3"/>
      <c r="G392" s="3"/>
    </row>
    <row r="393" spans="3:7">
      <c r="C393" s="3"/>
      <c r="D393" s="3"/>
      <c r="E393" s="3"/>
      <c r="F393" s="3"/>
      <c r="G393" s="3"/>
    </row>
    <row r="394" spans="3:7">
      <c r="C394" s="3"/>
      <c r="D394" s="3"/>
      <c r="E394" s="3"/>
      <c r="F394" s="3"/>
      <c r="G394" s="3"/>
    </row>
    <row r="395" spans="3:7">
      <c r="C395" s="3"/>
      <c r="D395" s="3"/>
      <c r="E395" s="3"/>
      <c r="F395" s="3"/>
      <c r="G395" s="3"/>
    </row>
    <row r="396" spans="3:7">
      <c r="C396" s="3"/>
      <c r="D396" s="3"/>
      <c r="E396" s="3"/>
      <c r="F396" s="3"/>
      <c r="G396" s="3"/>
    </row>
    <row r="397" spans="3:7">
      <c r="C397" s="3"/>
      <c r="D397" s="3"/>
      <c r="E397" s="3"/>
      <c r="F397" s="3"/>
      <c r="G397" s="3"/>
    </row>
    <row r="398" spans="3:7">
      <c r="C398" s="3"/>
      <c r="D398" s="3"/>
      <c r="E398" s="3"/>
      <c r="F398" s="3"/>
      <c r="G398" s="3"/>
    </row>
    <row r="399" spans="3:7">
      <c r="C399" s="3"/>
      <c r="D399" s="3"/>
      <c r="E399" s="3"/>
      <c r="F399" s="3"/>
      <c r="G399" s="3"/>
    </row>
    <row r="400" spans="3:7">
      <c r="C400" s="3"/>
      <c r="D400" s="3"/>
      <c r="E400" s="3"/>
      <c r="F400" s="3"/>
      <c r="G400" s="3"/>
    </row>
    <row r="401" spans="3:7">
      <c r="C401" s="3"/>
      <c r="D401" s="3"/>
      <c r="E401" s="3"/>
      <c r="F401" s="3"/>
      <c r="G401" s="3"/>
    </row>
    <row r="402" spans="3:7">
      <c r="C402" s="3"/>
      <c r="D402" s="3"/>
      <c r="E402" s="3"/>
      <c r="F402" s="3"/>
      <c r="G402" s="3"/>
    </row>
    <row r="403" spans="3:7">
      <c r="C403" s="3"/>
      <c r="D403" s="3"/>
      <c r="E403" s="3"/>
      <c r="F403" s="3"/>
      <c r="G403" s="3"/>
    </row>
    <row r="404" spans="3:7">
      <c r="C404" s="3"/>
      <c r="D404" s="3"/>
      <c r="E404" s="3"/>
      <c r="F404" s="3"/>
      <c r="G404" s="3"/>
    </row>
    <row r="405" spans="3:7">
      <c r="C405" s="3"/>
      <c r="D405" s="3"/>
      <c r="E405" s="3"/>
      <c r="F405" s="3"/>
      <c r="G405" s="3"/>
    </row>
    <row r="406" spans="3:7">
      <c r="C406" s="3"/>
      <c r="D406" s="3"/>
      <c r="E406" s="3"/>
      <c r="F406" s="3"/>
      <c r="G406" s="3"/>
    </row>
    <row r="407" spans="3:7">
      <c r="C407" s="3"/>
      <c r="D407" s="3"/>
      <c r="E407" s="3"/>
      <c r="F407" s="3"/>
      <c r="G407" s="3"/>
    </row>
    <row r="408" spans="3:7">
      <c r="C408" s="3"/>
      <c r="D408" s="3"/>
      <c r="E408" s="3"/>
      <c r="F408" s="3"/>
      <c r="G408" s="3"/>
    </row>
    <row r="409" spans="3:7">
      <c r="C409" s="3"/>
      <c r="D409" s="3"/>
      <c r="E409" s="3"/>
      <c r="F409" s="3"/>
      <c r="G409" s="3"/>
    </row>
    <row r="410" spans="3:7">
      <c r="C410" s="3"/>
      <c r="D410" s="3"/>
      <c r="E410" s="3"/>
      <c r="F410" s="3"/>
      <c r="G410" s="3"/>
    </row>
    <row r="411" spans="3:7">
      <c r="C411" s="3"/>
      <c r="D411" s="3"/>
      <c r="E411" s="3"/>
      <c r="F411" s="3"/>
      <c r="G411" s="3"/>
    </row>
    <row r="412" spans="3:7">
      <c r="C412" s="3"/>
      <c r="D412" s="3"/>
      <c r="E412" s="3"/>
      <c r="F412" s="3"/>
      <c r="G412" s="3"/>
    </row>
    <row r="413" spans="3:7">
      <c r="C413" s="3"/>
      <c r="D413" s="3"/>
      <c r="E413" s="3"/>
      <c r="F413" s="3"/>
      <c r="G413" s="3"/>
    </row>
    <row r="414" spans="3:7">
      <c r="C414" s="3"/>
      <c r="D414" s="3"/>
      <c r="E414" s="3"/>
      <c r="F414" s="3"/>
      <c r="G414" s="3"/>
    </row>
    <row r="415" spans="3:7">
      <c r="C415" s="3"/>
      <c r="D415" s="3"/>
      <c r="E415" s="3"/>
      <c r="F415" s="3"/>
      <c r="G415" s="3"/>
    </row>
    <row r="416" spans="3:7">
      <c r="C416" s="3"/>
      <c r="D416" s="3"/>
      <c r="E416" s="3"/>
      <c r="F416" s="3"/>
      <c r="G416" s="3"/>
    </row>
    <row r="417" spans="3:7">
      <c r="C417" s="3"/>
      <c r="D417" s="3"/>
      <c r="E417" s="3"/>
      <c r="F417" s="3"/>
      <c r="G417" s="3"/>
    </row>
    <row r="418" spans="3:7">
      <c r="C418" s="3"/>
      <c r="D418" s="3"/>
      <c r="E418" s="3"/>
      <c r="F418" s="3"/>
      <c r="G418" s="3"/>
    </row>
    <row r="419" spans="3:7">
      <c r="C419" s="3"/>
      <c r="D419" s="3"/>
      <c r="E419" s="3"/>
      <c r="F419" s="3"/>
      <c r="G419" s="3"/>
    </row>
    <row r="420" spans="3:7">
      <c r="C420" s="3"/>
      <c r="D420" s="3"/>
      <c r="E420" s="3"/>
      <c r="F420" s="3"/>
      <c r="G420" s="3"/>
    </row>
    <row r="421" spans="3:7">
      <c r="C421" s="3"/>
      <c r="D421" s="3"/>
      <c r="E421" s="3"/>
      <c r="F421" s="3"/>
      <c r="G421" s="3"/>
    </row>
    <row r="422" spans="3:7">
      <c r="C422" s="3"/>
      <c r="D422" s="3"/>
      <c r="E422" s="3"/>
      <c r="F422" s="3"/>
      <c r="G422" s="3"/>
    </row>
    <row r="423" spans="3:7">
      <c r="C423" s="3"/>
      <c r="D423" s="3"/>
      <c r="E423" s="3"/>
      <c r="F423" s="3"/>
      <c r="G423" s="3"/>
    </row>
    <row r="424" spans="3:7">
      <c r="C424" s="3"/>
      <c r="D424" s="3"/>
      <c r="E424" s="3"/>
      <c r="F424" s="3"/>
      <c r="G424" s="3"/>
    </row>
    <row r="425" spans="3:7">
      <c r="C425" s="3"/>
      <c r="D425" s="3"/>
      <c r="E425" s="3"/>
      <c r="F425" s="3"/>
      <c r="G425" s="3"/>
    </row>
    <row r="426" spans="3:7">
      <c r="C426" s="3"/>
      <c r="D426" s="3"/>
      <c r="E426" s="3"/>
      <c r="F426" s="3"/>
      <c r="G426" s="3"/>
    </row>
    <row r="427" spans="3:7">
      <c r="C427" s="3"/>
      <c r="D427" s="3"/>
      <c r="E427" s="3"/>
      <c r="F427" s="3"/>
      <c r="G427" s="3"/>
    </row>
    <row r="428" spans="3:7">
      <c r="C428" s="3"/>
      <c r="D428" s="3"/>
      <c r="E428" s="3"/>
      <c r="F428" s="3"/>
      <c r="G428" s="3"/>
    </row>
    <row r="429" spans="3:7">
      <c r="C429" s="3"/>
      <c r="D429" s="3"/>
      <c r="E429" s="3"/>
      <c r="F429" s="3"/>
      <c r="G429" s="3"/>
    </row>
    <row r="430" spans="3:7">
      <c r="C430" s="3"/>
      <c r="D430" s="3"/>
      <c r="E430" s="3"/>
      <c r="F430" s="3"/>
      <c r="G430" s="3"/>
    </row>
    <row r="431" spans="3:7">
      <c r="C431" s="3"/>
      <c r="D431" s="3"/>
      <c r="E431" s="3"/>
      <c r="F431" s="3"/>
      <c r="G431" s="3"/>
    </row>
    <row r="432" spans="3:7">
      <c r="C432" s="3"/>
      <c r="D432" s="3"/>
      <c r="E432" s="3"/>
      <c r="F432" s="3"/>
      <c r="G432" s="3"/>
    </row>
    <row r="433" spans="3:7">
      <c r="C433" s="3"/>
      <c r="D433" s="3"/>
      <c r="E433" s="3"/>
      <c r="F433" s="3"/>
      <c r="G433" s="3"/>
    </row>
  </sheetData>
  <sheetProtection algorithmName="SHA-512" hashValue="UoIknc/YP/6GGf6lZiPqFsz6hwkVGKjE43XsfZ5otOQThV9v6W/5VLksPc/S7dsMMtEULmfJh+zplQiMDcUALA==" saltValue="m/g8Q69Z0kXnoBPz4303ww==" spinCount="100000" sheet="1" objects="1" scenarios="1" selectLockedCells="1"/>
  <mergeCells count="5">
    <mergeCell ref="C82:E82"/>
    <mergeCell ref="C110:F113"/>
    <mergeCell ref="D68:F68"/>
    <mergeCell ref="C97:F104"/>
    <mergeCell ref="C83:E83"/>
  </mergeCells>
  <conditionalFormatting sqref="C32">
    <cfRule type="expression" dxfId="381" priority="1">
      <formula>IF(OR($D$30="Yes",$D$31="Yes"),TRUE,FALSE)</formula>
    </cfRule>
  </conditionalFormatting>
  <conditionalFormatting sqref="D14:D15">
    <cfRule type="expression" dxfId="380" priority="3">
      <formula>IF(OR(Will_this_project_be_utilizing_federal_assistance?="Yes",Will_this_project_be_receiving_project_based_federal_rental_assistance?="Yes"),TRUE,FALSE)</formula>
    </cfRule>
  </conditionalFormatting>
  <conditionalFormatting sqref="D32">
    <cfRule type="expression" dxfId="379" priority="2">
      <formula>IF(OR($D$30="Yes",$D$31="Yes"),TRUE,FALSE)</formula>
    </cfRule>
  </conditionalFormatting>
  <conditionalFormatting sqref="F17:F25">
    <cfRule type="expression" dxfId="378" priority="6">
      <formula>D17="Yes"</formula>
    </cfRule>
  </conditionalFormatting>
  <conditionalFormatting sqref="F38:F42">
    <cfRule type="expression" dxfId="377" priority="5">
      <formula>D38="Yes"</formula>
    </cfRule>
  </conditionalFormatting>
  <conditionalFormatting sqref="F63:F64">
    <cfRule type="expression" dxfId="376" priority="4">
      <formula>D63="Yes"</formula>
    </cfRule>
  </conditionalFormatting>
  <dataValidations count="13">
    <dataValidation type="list" allowBlank="1" showInputMessage="1" showErrorMessage="1" sqref="D14" xr:uid="{54295144-A428-4DB9-8AE3-BE02F34DFF8C}">
      <formula1>SubsidySource</formula1>
    </dataValidation>
    <dataValidation type="list" allowBlank="1" showInputMessage="1" showErrorMessage="1" sqref="D57" xr:uid="{31944691-F3C0-4645-82A9-8D89A58EA5E8}">
      <formula1>FederalFinancingType</formula1>
    </dataValidation>
    <dataValidation type="list" allowBlank="1" showInputMessage="1" showErrorMessage="1" sqref="D6" xr:uid="{32A0F2DF-43E0-4289-A65F-AF4A65A9424E}">
      <formula1>ProjectType</formula1>
    </dataValidation>
    <dataValidation type="list" allowBlank="1" showInputMessage="1" showErrorMessage="1" sqref="D53" xr:uid="{4A9D0313-33C9-4BB2-ADA7-E21CEA7623C2}">
      <formula1>SetAside</formula1>
    </dataValidation>
    <dataValidation type="list" allowBlank="1" showInputMessage="1" showErrorMessage="1" sqref="D54" xr:uid="{14255F70-F2D7-4145-9D0A-8ED6F7EB4C14}">
      <formula1>ApplicationType</formula1>
    </dataValidation>
    <dataValidation type="custom" allowBlank="1" showInputMessage="1" showErrorMessage="1" sqref="E1" xr:uid="{FDF3C1EF-8E8E-4BC0-9368-CD515B3AB559}">
      <formula1>"&lt;0&gt;0"</formula1>
    </dataValidation>
    <dataValidation type="list" allowBlank="1" showInputMessage="1" showErrorMessage="1" sqref="D25" xr:uid="{467094F4-AF59-45DE-9E67-E6E65540492D}">
      <formula1>YesNo</formula1>
    </dataValidation>
    <dataValidation type="decimal" allowBlank="1" showInputMessage="1" showErrorMessage="1" sqref="D55" xr:uid="{CA121C23-76F8-4085-865C-D263803A5C7D}">
      <formula1>1</formula1>
      <formula2>2</formula2>
    </dataValidation>
    <dataValidation type="date" errorStyle="information" allowBlank="1" showInputMessage="1" showErrorMessage="1" error="Enter a valid date." sqref="D87:D91 D93 F87:F89 F93" xr:uid="{DFD0D24E-C744-4256-ABDE-AE07876E4338}">
      <formula1>36892</formula1>
      <formula2>401768</formula2>
    </dataValidation>
    <dataValidation type="custom" allowBlank="1" showInputMessage="1" showErrorMessage="1" promptTitle="Number of Units Error" prompt="Please enter numeric values only." sqref="F17:F25" xr:uid="{E1B75B8D-F6AC-4784-B4F1-F5B0BECDFF50}">
      <formula1>ISNUMBER(F17)</formula1>
    </dataValidation>
    <dataValidation type="custom" allowBlank="1" showInputMessage="1" showErrorMessage="1" errorTitle="Number of Stories Error" error="Please enter numeric values only." sqref="F63:F64" xr:uid="{6BBD6F66-2FAF-4923-B699-33B24E3C1442}">
      <formula1>ISNUMBER(F63)</formula1>
    </dataValidation>
    <dataValidation type="custom" allowBlank="1" showInputMessage="1" showErrorMessage="1" errorTitle="Numeric Value Error" error="Please enter numeric values only." sqref="D8:D11 D15 F38:F42" xr:uid="{71012AC5-3711-460F-BFC0-0313FA98AD36}">
      <formula1>ISNUMBER(D8)</formula1>
    </dataValidation>
    <dataValidation type="custom" allowBlank="1" showInputMessage="1" showErrorMessage="1" errorTitle="Project Number Error" error="Please enter numerical value only of previous project number." sqref="D32" xr:uid="{371E388E-B163-4C79-B4F0-7E1AE7242F04}">
      <formula1>ISNUMBER(D32)</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4" max="7" man="1"/>
  </rowBreaks>
  <colBreaks count="1" manualBreakCount="1">
    <brk id="7" min="3" max="109" man="1"/>
  </col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73704E6-9583-46FB-9D9D-4DE0CFFB5C8A}">
          <x14:formula1>
            <xm:f>'Dropdown Lists'!$A$2:$A$3</xm:f>
          </x14:formula1>
          <xm:sqref>H77:H79 D12:D13 H69 S46 D47 D56 D72:D75 D63:D67 E65 D27:D31 D17:D24 D49 D79:D80 D38:D42</xm:sqref>
        </x14:dataValidation>
        <x14:dataValidation type="list" allowBlank="1" showInputMessage="1" showErrorMessage="1" xr:uid="{B890749C-6DA3-4B33-B752-BF5E38E94231}">
          <x14:formula1>
            <xm:f>'Dropdown Lists'!$E$2:$E$4</xm:f>
          </x14:formula1>
          <xm:sqref>D59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8F17D25AA8384AA27727847BFF0B3C" ma:contentTypeVersion="6" ma:contentTypeDescription="Create a new document." ma:contentTypeScope="" ma:versionID="9481bcdcd41f20e92f0da1b252cfd212">
  <xsd:schema xmlns:xsd="http://www.w3.org/2001/XMLSchema" xmlns:xs="http://www.w3.org/2001/XMLSchema" xmlns:p="http://schemas.microsoft.com/office/2006/metadata/properties" xmlns:ns2="b2384318-937f-4b70-b332-2ba71823d630" xmlns:ns3="d04aab37-8f6d-4ba7-9de4-699b96c7c5cc" targetNamespace="http://schemas.microsoft.com/office/2006/metadata/properties" ma:root="true" ma:fieldsID="5e60949bb67e1568573febec16c13bcb" ns2:_="" ns3:_="">
    <xsd:import namespace="b2384318-937f-4b70-b332-2ba71823d630"/>
    <xsd:import namespace="d04aab37-8f6d-4ba7-9de4-699b96c7c5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384318-937f-4b70-b332-2ba71823d6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4aab37-8f6d-4ba7-9de4-699b96c7c5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68BD1F-6141-48E1-B96C-A67C8C81A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384318-937f-4b70-b332-2ba71823d630"/>
    <ds:schemaRef ds:uri="d04aab37-8f6d-4ba7-9de4-699b96c7c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C71921-F1A3-4D83-91F9-02040B9B762E}">
  <ds:schemaRefs>
    <ds:schemaRef ds:uri="http://schemas.microsoft.com/sharepoint/v3/contenttype/forms"/>
  </ds:schemaRefs>
</ds:datastoreItem>
</file>

<file path=customXml/itemProps3.xml><?xml version="1.0" encoding="utf-8"?>
<ds:datastoreItem xmlns:ds="http://schemas.openxmlformats.org/officeDocument/2006/customXml" ds:itemID="{D9CC3A7C-2267-41BD-B410-32C8FEBBC1AA}">
  <ds:schemaRefs>
    <ds:schemaRef ds:uri="http://purl.org/dc/elements/1.1/"/>
    <ds:schemaRef ds:uri="http://schemas.microsoft.com/office/2006/metadata/properties"/>
    <ds:schemaRef ds:uri="b2384318-937f-4b70-b332-2ba71823d630"/>
    <ds:schemaRef ds:uri="d04aab37-8f6d-4ba7-9de4-699b96c7c5c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1839</vt:i4>
      </vt:variant>
    </vt:vector>
  </HeadingPairs>
  <TitlesOfParts>
    <vt:vector size="1878" baseType="lpstr">
      <vt:lpstr>Change Log</vt:lpstr>
      <vt:lpstr>QAP Constants</vt:lpstr>
      <vt:lpstr>Dropdown Lists</vt:lpstr>
      <vt:lpstr>ProLink</vt:lpstr>
      <vt:lpstr>ProLink Mapping</vt:lpstr>
      <vt:lpstr>1. TOC</vt:lpstr>
      <vt:lpstr>2. Project Summary</vt:lpstr>
      <vt:lpstr>3. Project Location</vt:lpstr>
      <vt:lpstr>4. Project Description</vt:lpstr>
      <vt:lpstr>5. Applicant Information</vt:lpstr>
      <vt:lpstr>6. Site Description</vt:lpstr>
      <vt:lpstr>7. Site Control</vt:lpstr>
      <vt:lpstr>8. Zoning</vt:lpstr>
      <vt:lpstr>9. Ownership and Project Team</vt:lpstr>
      <vt:lpstr>10. Project and Unit Amenities</vt:lpstr>
      <vt:lpstr>Unit Mix Helper</vt:lpstr>
      <vt:lpstr>State HTC Gap</vt:lpstr>
      <vt:lpstr>11. Unit Mix</vt:lpstr>
      <vt:lpstr>12. Funding Sources</vt:lpstr>
      <vt:lpstr>13. Construction Cost SOV</vt:lpstr>
      <vt:lpstr>14. Project Costs</vt:lpstr>
      <vt:lpstr>15. Credit Calculation</vt:lpstr>
      <vt:lpstr>16. Projected Operating Costs</vt:lpstr>
      <vt:lpstr>17. Cash Flow and Reserves</vt:lpstr>
      <vt:lpstr>18. Max Cost Model</vt:lpstr>
      <vt:lpstr>19. Construction Draw Schedule</vt:lpstr>
      <vt:lpstr>20. Instructions Scoring Sum</vt:lpstr>
      <vt:lpstr>21. Location Score</vt:lpstr>
      <vt:lpstr>22. Tenants Served Score</vt:lpstr>
      <vt:lpstr>23. Building Design Score</vt:lpstr>
      <vt:lpstr>24. Development Process Score</vt:lpstr>
      <vt:lpstr>Threshold Checklist</vt:lpstr>
      <vt:lpstr>Self Scoring Checklist</vt:lpstr>
      <vt:lpstr>WHEDA Loan Signatures</vt:lpstr>
      <vt:lpstr>Tax Credit Signatures</vt:lpstr>
      <vt:lpstr>App R Data</vt:lpstr>
      <vt:lpstr>RentLimits</vt:lpstr>
      <vt:lpstr>IncomeLimits</vt:lpstr>
      <vt:lpstr>ACR Form</vt:lpstr>
      <vt:lpstr>_20RentLimit</vt:lpstr>
      <vt:lpstr>_24_Hour_On_Site_Resident_Manager</vt:lpstr>
      <vt:lpstr>_30RentLimit</vt:lpstr>
      <vt:lpstr>_40RentLimit</vt:lpstr>
      <vt:lpstr>_50RentLimit</vt:lpstr>
      <vt:lpstr>A_C_Sleeve</vt:lpstr>
      <vt:lpstr>Accountant</vt:lpstr>
      <vt:lpstr>Accountant_City</vt:lpstr>
      <vt:lpstr>Accountant_Contact_First_Name</vt:lpstr>
      <vt:lpstr>Accountant_Contact_Last_Name</vt:lpstr>
      <vt:lpstr>Accountant_Email_Address</vt:lpstr>
      <vt:lpstr>Accountant_Identity_of_Interest?</vt:lpstr>
      <vt:lpstr>Accountant_State</vt:lpstr>
      <vt:lpstr>Accountant_Street_Address</vt:lpstr>
      <vt:lpstr>Accountant_Telephone_Number</vt:lpstr>
      <vt:lpstr>Accountant_Zipcode</vt:lpstr>
      <vt:lpstr>Acquisition_Rehab_Units</vt:lpstr>
      <vt:lpstr>Activities_Purchased_Serv</vt:lpstr>
      <vt:lpstr>Activities_Supplies</vt:lpstr>
      <vt:lpstr>Adaptive_Reuse_Units</vt:lpstr>
      <vt:lpstr>Adjusted_building_basis</vt:lpstr>
      <vt:lpstr>Administrative_Rent___Free_Unit</vt:lpstr>
      <vt:lpstr>Advertising___Marketing_Expense</vt:lpstr>
      <vt:lpstr>Age_Restricted_Number_of_Units</vt:lpstr>
      <vt:lpstr>Amount_1</vt:lpstr>
      <vt:lpstr>Amount_10</vt:lpstr>
      <vt:lpstr>Amount_11</vt:lpstr>
      <vt:lpstr>Amount_12</vt:lpstr>
      <vt:lpstr>Amount_13</vt:lpstr>
      <vt:lpstr>Amount_2</vt:lpstr>
      <vt:lpstr>Amount_3</vt:lpstr>
      <vt:lpstr>Amount_4</vt:lpstr>
      <vt:lpstr>Amount_5</vt:lpstr>
      <vt:lpstr>Amount_6</vt:lpstr>
      <vt:lpstr>Amount_7</vt:lpstr>
      <vt:lpstr>Amount_8</vt:lpstr>
      <vt:lpstr>Amount_9</vt:lpstr>
      <vt:lpstr>And_Number_of_Units</vt:lpstr>
      <vt:lpstr>Annual_DSC_1</vt:lpstr>
      <vt:lpstr>Annual_DSC_10</vt:lpstr>
      <vt:lpstr>Annual_DSC_2</vt:lpstr>
      <vt:lpstr>Annual_DSC_3</vt:lpstr>
      <vt:lpstr>Annual_DSC_4</vt:lpstr>
      <vt:lpstr>Annual_DSC_5</vt:lpstr>
      <vt:lpstr>Annual_DSC_6</vt:lpstr>
      <vt:lpstr>Annual_DSC_7</vt:lpstr>
      <vt:lpstr>Annual_DSC_8</vt:lpstr>
      <vt:lpstr>Annual_DSC_9</vt:lpstr>
      <vt:lpstr>Annual_Replacement_Reserve</vt:lpstr>
      <vt:lpstr>AnnualPermanentDebtSevice</vt:lpstr>
      <vt:lpstr>Any_existing_LURA?</vt:lpstr>
      <vt:lpstr>Applicant_Information</vt:lpstr>
      <vt:lpstr>Application_Threshold</vt:lpstr>
      <vt:lpstr>'21. Location Score'!ApplicationType</vt:lpstr>
      <vt:lpstr>'22. Tenants Served Score'!ApplicationType</vt:lpstr>
      <vt:lpstr>'23. Building Design Score'!ApplicationType</vt:lpstr>
      <vt:lpstr>'24. Development Process Score'!ApplicationType</vt:lpstr>
      <vt:lpstr>ApplicationType</vt:lpstr>
      <vt:lpstr>ApplName</vt:lpstr>
      <vt:lpstr>ApplNmbr</vt:lpstr>
      <vt:lpstr>Apt_Type_1</vt:lpstr>
      <vt:lpstr>Apt_Type_10</vt:lpstr>
      <vt:lpstr>Apt_Type_11</vt:lpstr>
      <vt:lpstr>Apt_Type_12</vt:lpstr>
      <vt:lpstr>Apt_Type_13</vt:lpstr>
      <vt:lpstr>Apt_Type_14</vt:lpstr>
      <vt:lpstr>Apt_Type_15</vt:lpstr>
      <vt:lpstr>Apt_Type_16</vt:lpstr>
      <vt:lpstr>Apt_Type_17</vt:lpstr>
      <vt:lpstr>Apt_Type_18</vt:lpstr>
      <vt:lpstr>Apt_Type_19</vt:lpstr>
      <vt:lpstr>Apt_Type_2</vt:lpstr>
      <vt:lpstr>Apt_Type_20</vt:lpstr>
      <vt:lpstr>Apt_Type_21</vt:lpstr>
      <vt:lpstr>Apt_Type_22</vt:lpstr>
      <vt:lpstr>Apt_Type_23</vt:lpstr>
      <vt:lpstr>Apt_Type_24</vt:lpstr>
      <vt:lpstr>Apt_Type_25</vt:lpstr>
      <vt:lpstr>Apt_Type_26</vt:lpstr>
      <vt:lpstr>Apt_Type_27</vt:lpstr>
      <vt:lpstr>Apt_Type_28</vt:lpstr>
      <vt:lpstr>Apt_Type_29</vt:lpstr>
      <vt:lpstr>Apt_Type_3</vt:lpstr>
      <vt:lpstr>Apt_Type_30</vt:lpstr>
      <vt:lpstr>Apt_Type_31</vt:lpstr>
      <vt:lpstr>Apt_Type_32</vt:lpstr>
      <vt:lpstr>Apt_Type_33</vt:lpstr>
      <vt:lpstr>Apt_Type_34</vt:lpstr>
      <vt:lpstr>Apt_Type_35</vt:lpstr>
      <vt:lpstr>Apt_Type_36</vt:lpstr>
      <vt:lpstr>Apt_Type_37</vt:lpstr>
      <vt:lpstr>Apt_Type_38</vt:lpstr>
      <vt:lpstr>Apt_Type_39</vt:lpstr>
      <vt:lpstr>Apt_Type_4</vt:lpstr>
      <vt:lpstr>Apt_Type_40</vt:lpstr>
      <vt:lpstr>Apt_Type_41</vt:lpstr>
      <vt:lpstr>Apt_Type_42</vt:lpstr>
      <vt:lpstr>Apt_Type_43</vt:lpstr>
      <vt:lpstr>Apt_Type_44</vt:lpstr>
      <vt:lpstr>Apt_Type_45</vt:lpstr>
      <vt:lpstr>Apt_Type_46</vt:lpstr>
      <vt:lpstr>Apt_Type_47</vt:lpstr>
      <vt:lpstr>Apt_Type_48</vt:lpstr>
      <vt:lpstr>Apt_Type_49</vt:lpstr>
      <vt:lpstr>Apt_Type_5</vt:lpstr>
      <vt:lpstr>Apt_Type_50</vt:lpstr>
      <vt:lpstr>Apt_Type_51</vt:lpstr>
      <vt:lpstr>Apt_Type_52</vt:lpstr>
      <vt:lpstr>Apt_Type_53</vt:lpstr>
      <vt:lpstr>Apt_Type_54</vt:lpstr>
      <vt:lpstr>Apt_Type_55</vt:lpstr>
      <vt:lpstr>Apt_Type_56</vt:lpstr>
      <vt:lpstr>Apt_Type_57</vt:lpstr>
      <vt:lpstr>Apt_Type_58</vt:lpstr>
      <vt:lpstr>Apt_Type_59</vt:lpstr>
      <vt:lpstr>Apt_Type_6</vt:lpstr>
      <vt:lpstr>Apt_Type_60</vt:lpstr>
      <vt:lpstr>Apt_Type_61</vt:lpstr>
      <vt:lpstr>Apt_Type_62</vt:lpstr>
      <vt:lpstr>Apt_Type_63</vt:lpstr>
      <vt:lpstr>Apt_Type_7</vt:lpstr>
      <vt:lpstr>Apt_Type_8</vt:lpstr>
      <vt:lpstr>Apt_Type_9</vt:lpstr>
      <vt:lpstr>Architect</vt:lpstr>
      <vt:lpstr>Architect_City</vt:lpstr>
      <vt:lpstr>Architect_Contact_First_Name</vt:lpstr>
      <vt:lpstr>Architect_Contact_Last_Name</vt:lpstr>
      <vt:lpstr>Architect_Email_Address</vt:lpstr>
      <vt:lpstr>Architect_Identity_of_Interest?</vt:lpstr>
      <vt:lpstr>Architect_State</vt:lpstr>
      <vt:lpstr>Architect_Street_Address</vt:lpstr>
      <vt:lpstr>Architect_Telephone_Number</vt:lpstr>
      <vt:lpstr>Architect_Zipcode</vt:lpstr>
      <vt:lpstr>Area_of_Economic_Opportunity</vt:lpstr>
      <vt:lpstr>Areas_Economic_Opp_Points</vt:lpstr>
      <vt:lpstr>Attorney</vt:lpstr>
      <vt:lpstr>Attorney_City</vt:lpstr>
      <vt:lpstr>Attorney_Email_Address</vt:lpstr>
      <vt:lpstr>Attorney_First_Name</vt:lpstr>
      <vt:lpstr>Attorney_Identity_of_Interest?</vt:lpstr>
      <vt:lpstr>Attorney_Last_Name</vt:lpstr>
      <vt:lpstr>Attorney_State</vt:lpstr>
      <vt:lpstr>Attorney_Street_Address</vt:lpstr>
      <vt:lpstr>Attorney_Telephone_Number</vt:lpstr>
      <vt:lpstr>Attorney_Zipcode</vt:lpstr>
      <vt:lpstr>Auditing_Expenses___Project_Only</vt:lpstr>
      <vt:lpstr>Bad_Debt_Expense</vt:lpstr>
      <vt:lpstr>Beauty_Salon_Barber</vt:lpstr>
      <vt:lpstr>Bookkeeping_Fees_Accounting_Services</vt:lpstr>
      <vt:lpstr>Building_Address_1</vt:lpstr>
      <vt:lpstr>Building_Address_10</vt:lpstr>
      <vt:lpstr>Building_Address_11</vt:lpstr>
      <vt:lpstr>Building_Address_12</vt:lpstr>
      <vt:lpstr>Building_Address_13</vt:lpstr>
      <vt:lpstr>Building_Address_14</vt:lpstr>
      <vt:lpstr>Building_Address_15</vt:lpstr>
      <vt:lpstr>Building_Address_16</vt:lpstr>
      <vt:lpstr>Building_Address_17</vt:lpstr>
      <vt:lpstr>Building_Address_18</vt:lpstr>
      <vt:lpstr>Building_Address_19</vt:lpstr>
      <vt:lpstr>Building_Address_2</vt:lpstr>
      <vt:lpstr>Building_Address_20</vt:lpstr>
      <vt:lpstr>Building_Address_21</vt:lpstr>
      <vt:lpstr>Building_Address_22</vt:lpstr>
      <vt:lpstr>Building_Address_23</vt:lpstr>
      <vt:lpstr>Building_Address_24</vt:lpstr>
      <vt:lpstr>Building_Address_25</vt:lpstr>
      <vt:lpstr>Building_Address_26</vt:lpstr>
      <vt:lpstr>Building_Address_27</vt:lpstr>
      <vt:lpstr>Building_Address_28</vt:lpstr>
      <vt:lpstr>Building_Address_29</vt:lpstr>
      <vt:lpstr>Building_Address_3</vt:lpstr>
      <vt:lpstr>Building_Address_30</vt:lpstr>
      <vt:lpstr>Building_Address_31</vt:lpstr>
      <vt:lpstr>Building_Address_32</vt:lpstr>
      <vt:lpstr>Building_Address_33</vt:lpstr>
      <vt:lpstr>Building_Address_34</vt:lpstr>
      <vt:lpstr>Building_Address_4</vt:lpstr>
      <vt:lpstr>Building_Address_5</vt:lpstr>
      <vt:lpstr>Building_Address_6</vt:lpstr>
      <vt:lpstr>Building_Address_7</vt:lpstr>
      <vt:lpstr>Building_Address_8</vt:lpstr>
      <vt:lpstr>Building_Address_9</vt:lpstr>
      <vt:lpstr>Building_City_1</vt:lpstr>
      <vt:lpstr>Building_City_10</vt:lpstr>
      <vt:lpstr>Building_City_11</vt:lpstr>
      <vt:lpstr>Building_City_12</vt:lpstr>
      <vt:lpstr>Building_City_13</vt:lpstr>
      <vt:lpstr>Building_City_14</vt:lpstr>
      <vt:lpstr>Building_City_15</vt:lpstr>
      <vt:lpstr>Building_City_16</vt:lpstr>
      <vt:lpstr>Building_City_17</vt:lpstr>
      <vt:lpstr>Building_City_18</vt:lpstr>
      <vt:lpstr>Building_City_19</vt:lpstr>
      <vt:lpstr>Building_City_2</vt:lpstr>
      <vt:lpstr>Building_City_20</vt:lpstr>
      <vt:lpstr>Building_City_21</vt:lpstr>
      <vt:lpstr>Building_City_22</vt:lpstr>
      <vt:lpstr>Building_City_23</vt:lpstr>
      <vt:lpstr>Building_City_24</vt:lpstr>
      <vt:lpstr>Building_City_25</vt:lpstr>
      <vt:lpstr>Building_City_26</vt:lpstr>
      <vt:lpstr>Building_City_27</vt:lpstr>
      <vt:lpstr>Building_City_28</vt:lpstr>
      <vt:lpstr>Building_City_29</vt:lpstr>
      <vt:lpstr>Building_City_3</vt:lpstr>
      <vt:lpstr>Building_City_30</vt:lpstr>
      <vt:lpstr>Building_City_31</vt:lpstr>
      <vt:lpstr>Building_City_32</vt:lpstr>
      <vt:lpstr>Building_City_33</vt:lpstr>
      <vt:lpstr>Building_City_34</vt:lpstr>
      <vt:lpstr>Building_City_4</vt:lpstr>
      <vt:lpstr>Building_City_5</vt:lpstr>
      <vt:lpstr>Building_City_6</vt:lpstr>
      <vt:lpstr>Building_City_7</vt:lpstr>
      <vt:lpstr>Building_City_8</vt:lpstr>
      <vt:lpstr>Building_City_9</vt:lpstr>
      <vt:lpstr>Building_Zip_Code_1</vt:lpstr>
      <vt:lpstr>Building_Zip_Code_10</vt:lpstr>
      <vt:lpstr>Building_Zip_Code_11</vt:lpstr>
      <vt:lpstr>Building_Zip_Code_12</vt:lpstr>
      <vt:lpstr>Building_Zip_Code_13</vt:lpstr>
      <vt:lpstr>Building_Zip_Code_14</vt:lpstr>
      <vt:lpstr>Building_Zip_Code_15</vt:lpstr>
      <vt:lpstr>Building_Zip_Code_16</vt:lpstr>
      <vt:lpstr>Building_Zip_Code_17</vt:lpstr>
      <vt:lpstr>Building_Zip_Code_18</vt:lpstr>
      <vt:lpstr>Building_Zip_Code_19</vt:lpstr>
      <vt:lpstr>Building_Zip_Code_2</vt:lpstr>
      <vt:lpstr>Building_Zip_Code_20</vt:lpstr>
      <vt:lpstr>Building_Zip_Code_21</vt:lpstr>
      <vt:lpstr>Building_Zip_Code_22</vt:lpstr>
      <vt:lpstr>Building_Zip_Code_23</vt:lpstr>
      <vt:lpstr>Building_Zip_Code_24</vt:lpstr>
      <vt:lpstr>Building_Zip_Code_25</vt:lpstr>
      <vt:lpstr>Building_Zip_Code_26</vt:lpstr>
      <vt:lpstr>Building_Zip_Code_27</vt:lpstr>
      <vt:lpstr>Building_Zip_Code_28</vt:lpstr>
      <vt:lpstr>Building_Zip_Code_29</vt:lpstr>
      <vt:lpstr>Building_Zip_Code_3</vt:lpstr>
      <vt:lpstr>Building_Zip_Code_30</vt:lpstr>
      <vt:lpstr>Building_Zip_Code_31</vt:lpstr>
      <vt:lpstr>Building_Zip_Code_32</vt:lpstr>
      <vt:lpstr>Building_Zip_Code_33</vt:lpstr>
      <vt:lpstr>Building_Zip_Code_34</vt:lpstr>
      <vt:lpstr>Building_Zip_Code_4</vt:lpstr>
      <vt:lpstr>Building_Zip_Code_5</vt:lpstr>
      <vt:lpstr>Building_Zip_Code_6</vt:lpstr>
      <vt:lpstr>Building_Zip_Code_7</vt:lpstr>
      <vt:lpstr>Building_Zip_Code_8</vt:lpstr>
      <vt:lpstr>Building_Zip_Code_9</vt:lpstr>
      <vt:lpstr>Buildings_Occupied</vt:lpstr>
      <vt:lpstr>C_O</vt:lpstr>
      <vt:lpstr>Car_Care_Area</vt:lpstr>
      <vt:lpstr>Carpet</vt:lpstr>
      <vt:lpstr>CBRF</vt:lpstr>
      <vt:lpstr>CBRF_Number_of_Units</vt:lpstr>
      <vt:lpstr>Ceiling_fans</vt:lpstr>
      <vt:lpstr>Central_Air</vt:lpstr>
      <vt:lpstr>Ceramic_Tile</vt:lpstr>
      <vt:lpstr>Chapel</vt:lpstr>
      <vt:lpstr>CMI_1</vt:lpstr>
      <vt:lpstr>CMI_10</vt:lpstr>
      <vt:lpstr>CMI_11</vt:lpstr>
      <vt:lpstr>CMI_12</vt:lpstr>
      <vt:lpstr>CMI_13</vt:lpstr>
      <vt:lpstr>CMI_14</vt:lpstr>
      <vt:lpstr>CMI_15</vt:lpstr>
      <vt:lpstr>CMI_16</vt:lpstr>
      <vt:lpstr>CMI_17</vt:lpstr>
      <vt:lpstr>CMI_18</vt:lpstr>
      <vt:lpstr>CMI_19</vt:lpstr>
      <vt:lpstr>CMI_2</vt:lpstr>
      <vt:lpstr>CMI_20</vt:lpstr>
      <vt:lpstr>CMI_21</vt:lpstr>
      <vt:lpstr>CMI_22</vt:lpstr>
      <vt:lpstr>CMI_23</vt:lpstr>
      <vt:lpstr>CMI_24</vt:lpstr>
      <vt:lpstr>CMI_25</vt:lpstr>
      <vt:lpstr>CMI_26</vt:lpstr>
      <vt:lpstr>CMI_27</vt:lpstr>
      <vt:lpstr>CMI_28</vt:lpstr>
      <vt:lpstr>CMI_29</vt:lpstr>
      <vt:lpstr>CMI_3</vt:lpstr>
      <vt:lpstr>CMI_30</vt:lpstr>
      <vt:lpstr>CMI_31</vt:lpstr>
      <vt:lpstr>CMI_32</vt:lpstr>
      <vt:lpstr>CMI_33</vt:lpstr>
      <vt:lpstr>CMI_34</vt:lpstr>
      <vt:lpstr>CMI_35</vt:lpstr>
      <vt:lpstr>CMI_36</vt:lpstr>
      <vt:lpstr>CMI_37</vt:lpstr>
      <vt:lpstr>CMI_38</vt:lpstr>
      <vt:lpstr>CMI_39</vt:lpstr>
      <vt:lpstr>CMI_4</vt:lpstr>
      <vt:lpstr>CMI_40</vt:lpstr>
      <vt:lpstr>CMI_41</vt:lpstr>
      <vt:lpstr>CMI_42</vt:lpstr>
      <vt:lpstr>CMI_43</vt:lpstr>
      <vt:lpstr>CMI_44</vt:lpstr>
      <vt:lpstr>CMI_45</vt:lpstr>
      <vt:lpstr>CMI_46</vt:lpstr>
      <vt:lpstr>CMI_47</vt:lpstr>
      <vt:lpstr>CMI_48</vt:lpstr>
      <vt:lpstr>CMI_49</vt:lpstr>
      <vt:lpstr>CMI_5</vt:lpstr>
      <vt:lpstr>CMI_50</vt:lpstr>
      <vt:lpstr>CMI_6</vt:lpstr>
      <vt:lpstr>CMI_7</vt:lpstr>
      <vt:lpstr>CMI_8</vt:lpstr>
      <vt:lpstr>CMI_9</vt:lpstr>
      <vt:lpstr>'21. Location Score'!CMI_Percentage_Unit_Mix</vt:lpstr>
      <vt:lpstr>'22. Tenants Served Score'!CMI_Percentage_Unit_Mix</vt:lpstr>
      <vt:lpstr>'23. Building Design Score'!CMI_Percentage_Unit_Mix</vt:lpstr>
      <vt:lpstr>'24. Development Process Score'!CMI_Percentage_Unit_Mix</vt:lpstr>
      <vt:lpstr>CMI_Percentage_Unit_Mix</vt:lpstr>
      <vt:lpstr>Community_Building</vt:lpstr>
      <vt:lpstr>Community_Building___Sq._Ft.</vt:lpstr>
      <vt:lpstr>Community_Dining_Room</vt:lpstr>
      <vt:lpstr>Community_Patio</vt:lpstr>
      <vt:lpstr>Community_Room</vt:lpstr>
      <vt:lpstr>Community_Room___Sq._Ft.</vt:lpstr>
      <vt:lpstr>Community_Service_Facilities</vt:lpstr>
      <vt:lpstr>Community_Service_Facilities_Points</vt:lpstr>
      <vt:lpstr>Construction_Amount_1</vt:lpstr>
      <vt:lpstr>Construction_Amount_10</vt:lpstr>
      <vt:lpstr>Construction_Amount_11</vt:lpstr>
      <vt:lpstr>Construction_Amount_12</vt:lpstr>
      <vt:lpstr>Construction_Amount_2</vt:lpstr>
      <vt:lpstr>Construction_Amount_3</vt:lpstr>
      <vt:lpstr>Construction_Amount_4</vt:lpstr>
      <vt:lpstr>Construction_Amount_5</vt:lpstr>
      <vt:lpstr>Construction_Amount_6</vt:lpstr>
      <vt:lpstr>Construction_Amount_7</vt:lpstr>
      <vt:lpstr>Construction_Amount_8</vt:lpstr>
      <vt:lpstr>Construction_Amount_9</vt:lpstr>
      <vt:lpstr>Construction_Complete</vt:lpstr>
      <vt:lpstr>Construction_Draw_Schedule</vt:lpstr>
      <vt:lpstr>Construction_Loan_Closing</vt:lpstr>
      <vt:lpstr>Construction_Rate_1</vt:lpstr>
      <vt:lpstr>Construction_Rate_10</vt:lpstr>
      <vt:lpstr>Construction_Rate_11</vt:lpstr>
      <vt:lpstr>Construction_Rate_12</vt:lpstr>
      <vt:lpstr>Construction_Rate_2</vt:lpstr>
      <vt:lpstr>Construction_Rate_3</vt:lpstr>
      <vt:lpstr>Construction_Rate_4</vt:lpstr>
      <vt:lpstr>Construction_Rate_5</vt:lpstr>
      <vt:lpstr>Construction_Rate_6</vt:lpstr>
      <vt:lpstr>Construction_Rate_7</vt:lpstr>
      <vt:lpstr>Construction_Rate_8</vt:lpstr>
      <vt:lpstr>Construction_Rate_9</vt:lpstr>
      <vt:lpstr>Construction_Source_1</vt:lpstr>
      <vt:lpstr>Construction_Source_10</vt:lpstr>
      <vt:lpstr>Construction_Source_11</vt:lpstr>
      <vt:lpstr>Construction_Source_12</vt:lpstr>
      <vt:lpstr>Construction_Source_2</vt:lpstr>
      <vt:lpstr>Construction_Source_3</vt:lpstr>
      <vt:lpstr>Construction_Source_4</vt:lpstr>
      <vt:lpstr>Construction_Source_5</vt:lpstr>
      <vt:lpstr>Construction_Source_6</vt:lpstr>
      <vt:lpstr>Construction_Source_7</vt:lpstr>
      <vt:lpstr>Construction_Source_8</vt:lpstr>
      <vt:lpstr>Construction_Source_9</vt:lpstr>
      <vt:lpstr>Construction_Start_Date</vt:lpstr>
      <vt:lpstr>Construction_Term_1</vt:lpstr>
      <vt:lpstr>Construction_Term_10</vt:lpstr>
      <vt:lpstr>Construction_Term_11</vt:lpstr>
      <vt:lpstr>Construction_Term_12</vt:lpstr>
      <vt:lpstr>Construction_Term_2</vt:lpstr>
      <vt:lpstr>Construction_Term_3</vt:lpstr>
      <vt:lpstr>Construction_Term_4</vt:lpstr>
      <vt:lpstr>Construction_Term_5</vt:lpstr>
      <vt:lpstr>Construction_Term_6</vt:lpstr>
      <vt:lpstr>Construction_Term_7</vt:lpstr>
      <vt:lpstr>Construction_Term_8</vt:lpstr>
      <vt:lpstr>Construction_Term_9</vt:lpstr>
      <vt:lpstr>Consultant_City</vt:lpstr>
      <vt:lpstr>Consultant_Contact_First_Name</vt:lpstr>
      <vt:lpstr>Consultant_Contact_Last_Name</vt:lpstr>
      <vt:lpstr>Consultant_Email_Address</vt:lpstr>
      <vt:lpstr>Consultant_Identity_of_Interest?</vt:lpstr>
      <vt:lpstr>Consultant_Name</vt:lpstr>
      <vt:lpstr>Consultant_State</vt:lpstr>
      <vt:lpstr>Consultant_Street_Address</vt:lpstr>
      <vt:lpstr>Consultant_Telephone_Number</vt:lpstr>
      <vt:lpstr>Consultant_Zipcode</vt:lpstr>
      <vt:lpstr>Contractor_City</vt:lpstr>
      <vt:lpstr>Contractor_Contact_First_Name</vt:lpstr>
      <vt:lpstr>Contractor_Contact_Last_Name</vt:lpstr>
      <vt:lpstr>Contractor_Email_Address</vt:lpstr>
      <vt:lpstr>Contractor_Identity_of_Interest?</vt:lpstr>
      <vt:lpstr>Contractor_Name</vt:lpstr>
      <vt:lpstr>Contractor_State</vt:lpstr>
      <vt:lpstr>Contractor_Street_Address</vt:lpstr>
      <vt:lpstr>Contractor_Telephone_Number</vt:lpstr>
      <vt:lpstr>Contractor_Zipcode</vt:lpstr>
      <vt:lpstr>Contracts</vt:lpstr>
      <vt:lpstr>Convention_and_Meetings</vt:lpstr>
      <vt:lpstr>Cooking</vt:lpstr>
      <vt:lpstr>Cooling</vt:lpstr>
      <vt:lpstr>Covered_Drive_Thru</vt:lpstr>
      <vt:lpstr>Credit_Calc</vt:lpstr>
      <vt:lpstr>Credit_percentage_applied_for</vt:lpstr>
      <vt:lpstr>DA_City</vt:lpstr>
      <vt:lpstr>DA_Email_Address</vt:lpstr>
      <vt:lpstr>DA_First_Name</vt:lpstr>
      <vt:lpstr>DA_Identity_of_Interest?</vt:lpstr>
      <vt:lpstr>DA_Last_Name</vt:lpstr>
      <vt:lpstr>DA_State</vt:lpstr>
      <vt:lpstr>DA_Street_Address</vt:lpstr>
      <vt:lpstr>DA_Telephone_Number</vt:lpstr>
      <vt:lpstr>DA_Zipcode</vt:lpstr>
      <vt:lpstr>Date_first_building_is_to_be_placed_in_service</vt:lpstr>
      <vt:lpstr>Date_last_building_is_to_be_placed_in_service</vt:lpstr>
      <vt:lpstr>DDA</vt:lpstr>
      <vt:lpstr>Deal_Stage</vt:lpstr>
      <vt:lpstr>Deal_Status</vt:lpstr>
      <vt:lpstr>Demand_Score</vt:lpstr>
      <vt:lpstr>Demotition_Required</vt:lpstr>
      <vt:lpstr>Describe_Differences_in_Low_income___Market_rate_Unit_Amenities</vt:lpstr>
      <vt:lpstr>Design_Architect</vt:lpstr>
      <vt:lpstr>Detached_Single_Family</vt:lpstr>
      <vt:lpstr>Detached_Two_Family__Duplex</vt:lpstr>
      <vt:lpstr>DEV_Contact_First_Name</vt:lpstr>
      <vt:lpstr>DEV_Contact_First_Name_2</vt:lpstr>
      <vt:lpstr>DEV_Contact_First_Name_3</vt:lpstr>
      <vt:lpstr>DEV_Contact_First_Name_4</vt:lpstr>
      <vt:lpstr>DEV_Contact_Last_Name</vt:lpstr>
      <vt:lpstr>DEV_Contact_Last_Name_2</vt:lpstr>
      <vt:lpstr>DEV_Contact_Last_Name_3</vt:lpstr>
      <vt:lpstr>DEV_Contact_Last_Name_4</vt:lpstr>
      <vt:lpstr>DEV_Email_Address</vt:lpstr>
      <vt:lpstr>DEV_Street_Address</vt:lpstr>
      <vt:lpstr>DEV_Telephone_Number</vt:lpstr>
      <vt:lpstr>DEV2_City</vt:lpstr>
      <vt:lpstr>DEV2_Email_Address</vt:lpstr>
      <vt:lpstr>DEV2_State</vt:lpstr>
      <vt:lpstr>DEV2_Street_Address</vt:lpstr>
      <vt:lpstr>DEV2_Telephone_Number</vt:lpstr>
      <vt:lpstr>DEV2_Zip_Code</vt:lpstr>
      <vt:lpstr>DEV3_City</vt:lpstr>
      <vt:lpstr>DEV3_Email_Address</vt:lpstr>
      <vt:lpstr>DEV3_State</vt:lpstr>
      <vt:lpstr>DEV3_Street_Address</vt:lpstr>
      <vt:lpstr>DEV3_Telephone_Number</vt:lpstr>
      <vt:lpstr>DEV3_Zip_Code</vt:lpstr>
      <vt:lpstr>DEV4_City</vt:lpstr>
      <vt:lpstr>DEV4_Email_Address</vt:lpstr>
      <vt:lpstr>DEV4_State</vt:lpstr>
      <vt:lpstr>DEV4_Street_Address</vt:lpstr>
      <vt:lpstr>DEV4_Telephone_Number</vt:lpstr>
      <vt:lpstr>DEV4_Zip_Code</vt:lpstr>
      <vt:lpstr>Developer_City</vt:lpstr>
      <vt:lpstr>Developer_Name</vt:lpstr>
      <vt:lpstr>Developer_Name_2</vt:lpstr>
      <vt:lpstr>Developer_Name_3</vt:lpstr>
      <vt:lpstr>Developer_Name_4</vt:lpstr>
      <vt:lpstr>Developer_Score</vt:lpstr>
      <vt:lpstr>Developer_State</vt:lpstr>
      <vt:lpstr>Developer_Zip_Code</vt:lpstr>
      <vt:lpstr>Development_Team_Points</vt:lpstr>
      <vt:lpstr>Dietary_Purchased_Serv</vt:lpstr>
      <vt:lpstr>Dietary_Salaries</vt:lpstr>
      <vt:lpstr>Dishwasher</vt:lpstr>
      <vt:lpstr>Disposal</vt:lpstr>
      <vt:lpstr>Drapes</vt:lpstr>
      <vt:lpstr>Effective_Gross_Income</vt:lpstr>
      <vt:lpstr>Elderly</vt:lpstr>
      <vt:lpstr>Electric_Heat</vt:lpstr>
      <vt:lpstr>Electric_Pump</vt:lpstr>
      <vt:lpstr>Electricity</vt:lpstr>
      <vt:lpstr>Elevator_Building</vt:lpstr>
      <vt:lpstr>'21. Location Score'!EncNA</vt:lpstr>
      <vt:lpstr>'22. Tenants Served Score'!EncNA</vt:lpstr>
      <vt:lpstr>'23. Building Design Score'!EncNA</vt:lpstr>
      <vt:lpstr>'24. Development Process Score'!EncNA</vt:lpstr>
      <vt:lpstr>EncNA</vt:lpstr>
      <vt:lpstr>Energy_Efficiency_and_Sustainablilty</vt:lpstr>
      <vt:lpstr>Energy_Points</vt:lpstr>
      <vt:lpstr>Entity_Principal_Function_1</vt:lpstr>
      <vt:lpstr>Entity_Principal_Function_2</vt:lpstr>
      <vt:lpstr>Entity_Principal_Function_3</vt:lpstr>
      <vt:lpstr>Entity_Principal_Name_1</vt:lpstr>
      <vt:lpstr>Entity_Principal_Name_2</vt:lpstr>
      <vt:lpstr>Entity_Principal_Name_3</vt:lpstr>
      <vt:lpstr>Entity_Status</vt:lpstr>
      <vt:lpstr>Entity_Type</vt:lpstr>
      <vt:lpstr>'21. Location Score'!EntityPrincipalFunction</vt:lpstr>
      <vt:lpstr>'22. Tenants Served Score'!EntityPrincipalFunction</vt:lpstr>
      <vt:lpstr>'23. Building Design Score'!EntityPrincipalFunction</vt:lpstr>
      <vt:lpstr>'24. Development Process Score'!EntityPrincipalFunction</vt:lpstr>
      <vt:lpstr>EntityPrincipalFunction</vt:lpstr>
      <vt:lpstr>'21. Location Score'!EntityStatus</vt:lpstr>
      <vt:lpstr>'22. Tenants Served Score'!EntityStatus</vt:lpstr>
      <vt:lpstr>'23. Building Design Score'!EntityStatus</vt:lpstr>
      <vt:lpstr>'24. Development Process Score'!EntityStatus</vt:lpstr>
      <vt:lpstr>EntityStatus</vt:lpstr>
      <vt:lpstr>'21. Location Score'!EntityType</vt:lpstr>
      <vt:lpstr>'22. Tenants Served Score'!EntityType</vt:lpstr>
      <vt:lpstr>'23. Building Design Score'!EntityType</vt:lpstr>
      <vt:lpstr>'24. Development Process Score'!EntityType</vt:lpstr>
      <vt:lpstr>EntityType</vt:lpstr>
      <vt:lpstr>Environmental_Issues</vt:lpstr>
      <vt:lpstr>Equity_Takeout_Refinance_Units</vt:lpstr>
      <vt:lpstr>Eventual_Tenant_Own_Points</vt:lpstr>
      <vt:lpstr>Eventual_Tenant_Ownership</vt:lpstr>
      <vt:lpstr>Exam_Room</vt:lpstr>
      <vt:lpstr>Exercise_Room</vt:lpstr>
      <vt:lpstr>Expenses_Other</vt:lpstr>
      <vt:lpstr>Explanation</vt:lpstr>
      <vt:lpstr>Exterior_Storage</vt:lpstr>
      <vt:lpstr>Family</vt:lpstr>
      <vt:lpstr>Family_Number_of_Units</vt:lpstr>
      <vt:lpstr>Federal_Credits</vt:lpstr>
      <vt:lpstr>Federal_HTC_Equity</vt:lpstr>
      <vt:lpstr>Federal_Tax_ID_Number_of_Ownership_Entity</vt:lpstr>
      <vt:lpstr>'21. Location Score'!FederalFinancingType</vt:lpstr>
      <vt:lpstr>'22. Tenants Served Score'!FederalFinancingType</vt:lpstr>
      <vt:lpstr>'23. Building Design Score'!FederalFinancingType</vt:lpstr>
      <vt:lpstr>'24. Development Process Score'!FederalFinancingType</vt:lpstr>
      <vt:lpstr>FederalFinancingType</vt:lpstr>
      <vt:lpstr>Fidelity_Bond_Issuance</vt:lpstr>
      <vt:lpstr>Financial_Leverage</vt:lpstr>
      <vt:lpstr>Financial_Leverage_Points</vt:lpstr>
      <vt:lpstr>FinancingType</vt:lpstr>
      <vt:lpstr>Flood_Zone</vt:lpstr>
      <vt:lpstr>Food</vt:lpstr>
      <vt:lpstr>Front_Porches</vt:lpstr>
      <vt:lpstr>Fuel_Oil</vt:lpstr>
      <vt:lpstr>Funding_Sources</vt:lpstr>
      <vt:lpstr>Game_Craft_Room</vt:lpstr>
      <vt:lpstr>Garage_Rent_Per_Year</vt:lpstr>
      <vt:lpstr>Garages</vt:lpstr>
      <vt:lpstr>Garbage_and_Trash_Removal</vt:lpstr>
      <vt:lpstr>Garden_Plots</vt:lpstr>
      <vt:lpstr>Gas</vt:lpstr>
      <vt:lpstr>Gas_Heat</vt:lpstr>
      <vt:lpstr>Gazebos</vt:lpstr>
      <vt:lpstr>GC_Telephone_Number</vt:lpstr>
      <vt:lpstr>Grant_1</vt:lpstr>
      <vt:lpstr>Grant_10</vt:lpstr>
      <vt:lpstr>Grant_11</vt:lpstr>
      <vt:lpstr>Grant_2</vt:lpstr>
      <vt:lpstr>Grant_3</vt:lpstr>
      <vt:lpstr>Grant_4</vt:lpstr>
      <vt:lpstr>Grant_5</vt:lpstr>
      <vt:lpstr>Grant_6</vt:lpstr>
      <vt:lpstr>Grant_7</vt:lpstr>
      <vt:lpstr>Grant_8</vt:lpstr>
      <vt:lpstr>Grant_9</vt:lpstr>
      <vt:lpstr>Grant_Amount_1</vt:lpstr>
      <vt:lpstr>Grant_Amount_10</vt:lpstr>
      <vt:lpstr>Grant_Amount_11</vt:lpstr>
      <vt:lpstr>Grant_Amount_2</vt:lpstr>
      <vt:lpstr>Grant_Amount_3</vt:lpstr>
      <vt:lpstr>Grant_Amount_4</vt:lpstr>
      <vt:lpstr>Grant_Amount_5</vt:lpstr>
      <vt:lpstr>Grant_Amount_6</vt:lpstr>
      <vt:lpstr>Grant_Amount_7</vt:lpstr>
      <vt:lpstr>Grant_Amount_8</vt:lpstr>
      <vt:lpstr>Grant_Amount_9</vt:lpstr>
      <vt:lpstr>Guest_Lodging</vt:lpstr>
      <vt:lpstr>Health_Insurance_and_Other_Employee_Benefits</vt:lpstr>
      <vt:lpstr>Heat_Pump</vt:lpstr>
      <vt:lpstr>Heating___Cooling_Repairs_Maintenance</vt:lpstr>
      <vt:lpstr>Homeless</vt:lpstr>
      <vt:lpstr>Homeless_Number_of_Units</vt:lpstr>
      <vt:lpstr>Hot_Water</vt:lpstr>
      <vt:lpstr>Housekeeping_Purchased_Serv</vt:lpstr>
      <vt:lpstr>Housekeeping_Salary</vt:lpstr>
      <vt:lpstr>Housekeeping_Supply</vt:lpstr>
      <vt:lpstr>How_Score</vt:lpstr>
      <vt:lpstr>HUD_RAD</vt:lpstr>
      <vt:lpstr>HUD_RAD_Number_of_Units</vt:lpstr>
      <vt:lpstr>'2. Project Summary'!HUD202NoOfUnits</vt:lpstr>
      <vt:lpstr>'2. Project Summary'!HUD236NoOfUnits</vt:lpstr>
      <vt:lpstr>'2. Project Summary'!HUD811NoOfUnits</vt:lpstr>
      <vt:lpstr>'2. Project Summary'!HUDRADNoOfUnits</vt:lpstr>
      <vt:lpstr>'2. Project Summary'!HUDSection8NoOfUnits</vt:lpstr>
      <vt:lpstr>Identity_Interest_Direct_Indirect</vt:lpstr>
      <vt:lpstr>If_yes__list_name_of_project_and_WHEDA_application_number</vt:lpstr>
      <vt:lpstr>If_yes__provide_the_subsidy_source</vt:lpstr>
      <vt:lpstr>In_Unit_Internet_Access</vt:lpstr>
      <vt:lpstr>Instructions_Scoring_Summary</vt:lpstr>
      <vt:lpstr>Is_HUD_approval_for_transfer_of_physical_asset_required?</vt:lpstr>
      <vt:lpstr>Is_project_a_Scattered_Site?</vt:lpstr>
      <vt:lpstr>Is_project_in_a_Difficult_Development_Area?</vt:lpstr>
      <vt:lpstr>Is_project_in_a_Qualified_Census_Tract?</vt:lpstr>
      <vt:lpstr>Is_RD_approval_for_transfer_of_physical_asset_required?</vt:lpstr>
      <vt:lpstr>Is_this_a_credit_application_for_a_property_that_has_completed_its_HTC_compliance_period?</vt:lpstr>
      <vt:lpstr>Is_this_an_application_for_additional_credit?</vt:lpstr>
      <vt:lpstr>Is_WHEDA_approval_for_transfer_of_physical_asset_required?</vt:lpstr>
      <vt:lpstr>isQualifiedSenior</vt:lpstr>
      <vt:lpstr>Judgements</vt:lpstr>
      <vt:lpstr>Jurisdiction_CEO_First_Name</vt:lpstr>
      <vt:lpstr>Jurisdiction_CEO_Last_Name</vt:lpstr>
      <vt:lpstr>Jurisdiction_City</vt:lpstr>
      <vt:lpstr>Jurisdiction_E_Mail_Address</vt:lpstr>
      <vt:lpstr>Jurisdiction_Phone</vt:lpstr>
      <vt:lpstr>Jurisdiction_Street_Address</vt:lpstr>
      <vt:lpstr>Jurisdiction_Title</vt:lpstr>
      <vt:lpstr>Jurisdiction_Zip_Code</vt:lpstr>
      <vt:lpstr>Laundry_Linen</vt:lpstr>
      <vt:lpstr>Laundry_Purchased_Serv</vt:lpstr>
      <vt:lpstr>Laundry_Room</vt:lpstr>
      <vt:lpstr>Laundry_Salaries</vt:lpstr>
      <vt:lpstr>Laundry_Supplies</vt:lpstr>
      <vt:lpstr>Legal_Expenses___Project_Only</vt:lpstr>
      <vt:lpstr>Lender_Name</vt:lpstr>
      <vt:lpstr>Litigation</vt:lpstr>
      <vt:lpstr>Location_Score</vt:lpstr>
      <vt:lpstr>Low_Income_Total_Units</vt:lpstr>
      <vt:lpstr>Lower_Income_Area_Points</vt:lpstr>
      <vt:lpstr>Lower_Income_Areas</vt:lpstr>
      <vt:lpstr>LowIncome3BRUnits</vt:lpstr>
      <vt:lpstr>LURA_Project_Number</vt:lpstr>
      <vt:lpstr>MA_City</vt:lpstr>
      <vt:lpstr>MA_Email_Address</vt:lpstr>
      <vt:lpstr>MA_Identity_of_Interest?</vt:lpstr>
      <vt:lpstr>MA_State</vt:lpstr>
      <vt:lpstr>MA_Street_Address</vt:lpstr>
      <vt:lpstr>MA_Telephone_Number</vt:lpstr>
      <vt:lpstr>MA_Zipcode</vt:lpstr>
      <vt:lpstr>Management_Agent_Email_Address</vt:lpstr>
      <vt:lpstr>Management_Consultants</vt:lpstr>
      <vt:lpstr>Management_Fee___Commercial_Rents</vt:lpstr>
      <vt:lpstr>Management_Fee___Misc._Income</vt:lpstr>
      <vt:lpstr>Management_Fee___Residential_Rents</vt:lpstr>
      <vt:lpstr>Manager_Superintendent_Salaries</vt:lpstr>
      <vt:lpstr>Max_Cost_Model</vt:lpstr>
      <vt:lpstr>Med_Records_Purchased_Srv</vt:lpstr>
      <vt:lpstr>Media_Center_Room</vt:lpstr>
      <vt:lpstr>Medical_Purchased_Serv</vt:lpstr>
      <vt:lpstr>Medical_Records_Salary</vt:lpstr>
      <vt:lpstr>Medical_Records_Supply</vt:lpstr>
      <vt:lpstr>Medical_Supplies</vt:lpstr>
      <vt:lpstr>Mgmt_Company_Name</vt:lpstr>
      <vt:lpstr>Mgmt_Contact_First_Name</vt:lpstr>
      <vt:lpstr>Mgmt_Contact_Last_Name</vt:lpstr>
      <vt:lpstr>Microwave</vt:lpstr>
      <vt:lpstr>Mini_blinds</vt:lpstr>
      <vt:lpstr>Minimum_Set_Aside_Requirements</vt:lpstr>
      <vt:lpstr>Misc._Operating___Maintenance_Expenses</vt:lpstr>
      <vt:lpstr>Misc._Taxes__Licenses__Permits__and_Insuaance</vt:lpstr>
      <vt:lpstr>Miscellaneous_Taxes__Licenses_and_Permits</vt:lpstr>
      <vt:lpstr>Mixed_Income_Points</vt:lpstr>
      <vt:lpstr>MKT_Units_1</vt:lpstr>
      <vt:lpstr>MKT_Units_10</vt:lpstr>
      <vt:lpstr>MKT_Units_11</vt:lpstr>
      <vt:lpstr>MKT_Units_12</vt:lpstr>
      <vt:lpstr>MKT_Units_13</vt:lpstr>
      <vt:lpstr>MKT_Units_14</vt:lpstr>
      <vt:lpstr>MKT_Units_15</vt:lpstr>
      <vt:lpstr>MKT_Units_16</vt:lpstr>
      <vt:lpstr>MKT_Units_17</vt:lpstr>
      <vt:lpstr>MKT_Units_18</vt:lpstr>
      <vt:lpstr>MKT_Units_19</vt:lpstr>
      <vt:lpstr>MKT_Units_2</vt:lpstr>
      <vt:lpstr>MKT_Units_20</vt:lpstr>
      <vt:lpstr>MKT_Units_21</vt:lpstr>
      <vt:lpstr>MKT_Units_22</vt:lpstr>
      <vt:lpstr>MKT_Units_23</vt:lpstr>
      <vt:lpstr>MKT_Units_24</vt:lpstr>
      <vt:lpstr>MKT_Units_25</vt:lpstr>
      <vt:lpstr>MKT_Units_26</vt:lpstr>
      <vt:lpstr>MKT_Units_27</vt:lpstr>
      <vt:lpstr>MKT_Units_28</vt:lpstr>
      <vt:lpstr>MKT_Units_29</vt:lpstr>
      <vt:lpstr>MKT_Units_3</vt:lpstr>
      <vt:lpstr>MKT_Units_30</vt:lpstr>
      <vt:lpstr>MKT_Units_31</vt:lpstr>
      <vt:lpstr>MKT_Units_32</vt:lpstr>
      <vt:lpstr>MKT_Units_33</vt:lpstr>
      <vt:lpstr>MKT_Units_34</vt:lpstr>
      <vt:lpstr>MKT_Units_4</vt:lpstr>
      <vt:lpstr>MKT_Units_5</vt:lpstr>
      <vt:lpstr>MKT_Units_6</vt:lpstr>
      <vt:lpstr>MKT_Units_7</vt:lpstr>
      <vt:lpstr>MKT_Units_8</vt:lpstr>
      <vt:lpstr>MKT_Units_9</vt:lpstr>
      <vt:lpstr>Monthly_Rent_1</vt:lpstr>
      <vt:lpstr>Monthly_Rent_10</vt:lpstr>
      <vt:lpstr>Monthly_Rent_11</vt:lpstr>
      <vt:lpstr>Monthly_Rent_12</vt:lpstr>
      <vt:lpstr>Monthly_Rent_13</vt:lpstr>
      <vt:lpstr>Monthly_Rent_14</vt:lpstr>
      <vt:lpstr>Monthly_Rent_15</vt:lpstr>
      <vt:lpstr>Monthly_Rent_16</vt:lpstr>
      <vt:lpstr>Monthly_Rent_17</vt:lpstr>
      <vt:lpstr>Monthly_Rent_18</vt:lpstr>
      <vt:lpstr>Monthly_Rent_19</vt:lpstr>
      <vt:lpstr>Monthly_Rent_2</vt:lpstr>
      <vt:lpstr>Monthly_Rent_20</vt:lpstr>
      <vt:lpstr>Monthly_Rent_21</vt:lpstr>
      <vt:lpstr>Monthly_Rent_22</vt:lpstr>
      <vt:lpstr>Monthly_Rent_23</vt:lpstr>
      <vt:lpstr>Monthly_Rent_24</vt:lpstr>
      <vt:lpstr>Monthly_Rent_25</vt:lpstr>
      <vt:lpstr>Monthly_Rent_26</vt:lpstr>
      <vt:lpstr>Monthly_Rent_27</vt:lpstr>
      <vt:lpstr>Monthly_Rent_28</vt:lpstr>
      <vt:lpstr>Monthly_Rent_29</vt:lpstr>
      <vt:lpstr>Monthly_Rent_3</vt:lpstr>
      <vt:lpstr>Monthly_Rent_30</vt:lpstr>
      <vt:lpstr>Monthly_Rent_31</vt:lpstr>
      <vt:lpstr>Monthly_Rent_32</vt:lpstr>
      <vt:lpstr>Monthly_Rent_33</vt:lpstr>
      <vt:lpstr>Monthly_Rent_34</vt:lpstr>
      <vt:lpstr>Monthly_Rent_35</vt:lpstr>
      <vt:lpstr>Monthly_Rent_36</vt:lpstr>
      <vt:lpstr>Monthly_Rent_37</vt:lpstr>
      <vt:lpstr>Monthly_Rent_38</vt:lpstr>
      <vt:lpstr>Monthly_Rent_39</vt:lpstr>
      <vt:lpstr>Monthly_Rent_4</vt:lpstr>
      <vt:lpstr>Monthly_Rent_40</vt:lpstr>
      <vt:lpstr>Monthly_Rent_41</vt:lpstr>
      <vt:lpstr>Monthly_Rent_42</vt:lpstr>
      <vt:lpstr>Monthly_Rent_43</vt:lpstr>
      <vt:lpstr>Monthly_Rent_44</vt:lpstr>
      <vt:lpstr>Monthly_Rent_45</vt:lpstr>
      <vt:lpstr>Monthly_Rent_46</vt:lpstr>
      <vt:lpstr>Monthly_Rent_47</vt:lpstr>
      <vt:lpstr>Monthly_Rent_48</vt:lpstr>
      <vt:lpstr>Monthly_Rent_49</vt:lpstr>
      <vt:lpstr>Monthly_Rent_5</vt:lpstr>
      <vt:lpstr>Monthly_Rent_50</vt:lpstr>
      <vt:lpstr>Monthly_Rent_6</vt:lpstr>
      <vt:lpstr>Monthly_Rent_7</vt:lpstr>
      <vt:lpstr>Monthly_Rent_8</vt:lpstr>
      <vt:lpstr>Monthly_Rent_9</vt:lpstr>
      <vt:lpstr>Name_Project_App_Nunber</vt:lpstr>
      <vt:lpstr>New_Construction_Units</vt:lpstr>
      <vt:lpstr>Non_elevator_Building</vt:lpstr>
      <vt:lpstr>Non_Voucher_Unit_Types</vt:lpstr>
      <vt:lpstr>Number_Garages</vt:lpstr>
      <vt:lpstr>Number_of__Units_1</vt:lpstr>
      <vt:lpstr>Number_of__Units_10</vt:lpstr>
      <vt:lpstr>Number_of__Units_11</vt:lpstr>
      <vt:lpstr>Number_of__Units_12</vt:lpstr>
      <vt:lpstr>Number_of__Units_13</vt:lpstr>
      <vt:lpstr>Number_of__Units_14</vt:lpstr>
      <vt:lpstr>Number_of__Units_15</vt:lpstr>
      <vt:lpstr>Number_of__Units_16</vt:lpstr>
      <vt:lpstr>Number_of__Units_17</vt:lpstr>
      <vt:lpstr>Number_of__Units_18</vt:lpstr>
      <vt:lpstr>Number_of__Units_19</vt:lpstr>
      <vt:lpstr>Number_of__Units_2</vt:lpstr>
      <vt:lpstr>Number_of__Units_20</vt:lpstr>
      <vt:lpstr>Number_of__Units_21</vt:lpstr>
      <vt:lpstr>Number_of__Units_22</vt:lpstr>
      <vt:lpstr>Number_of__Units_23</vt:lpstr>
      <vt:lpstr>Number_of__Units_24</vt:lpstr>
      <vt:lpstr>Number_of__Units_25</vt:lpstr>
      <vt:lpstr>Number_of__Units_26</vt:lpstr>
      <vt:lpstr>Number_of__Units_27</vt:lpstr>
      <vt:lpstr>Number_of__Units_28</vt:lpstr>
      <vt:lpstr>Number_of__Units_29</vt:lpstr>
      <vt:lpstr>Number_of__Units_3</vt:lpstr>
      <vt:lpstr>Number_of__Units_30</vt:lpstr>
      <vt:lpstr>Number_of__Units_31</vt:lpstr>
      <vt:lpstr>Number_of__Units_32</vt:lpstr>
      <vt:lpstr>Number_of__Units_33</vt:lpstr>
      <vt:lpstr>Number_of__Units_34</vt:lpstr>
      <vt:lpstr>Number_of__Units_4</vt:lpstr>
      <vt:lpstr>Number_of__Units_5</vt:lpstr>
      <vt:lpstr>Number_of__Units_6</vt:lpstr>
      <vt:lpstr>Number_of__Units_7</vt:lpstr>
      <vt:lpstr>Number_of__Units_8</vt:lpstr>
      <vt:lpstr>Number_of__Units_9</vt:lpstr>
      <vt:lpstr>Number_of_existing_units</vt:lpstr>
      <vt:lpstr>Number_of_Stories_Elevator</vt:lpstr>
      <vt:lpstr>Number_of_Stories_No_Elevator</vt:lpstr>
      <vt:lpstr>Number_Surface_Parking</vt:lpstr>
      <vt:lpstr>Number_Underground_Parking</vt:lpstr>
      <vt:lpstr>'21. Location Score'!NumberBedrooms</vt:lpstr>
      <vt:lpstr>'22. Tenants Served Score'!NumberBedrooms</vt:lpstr>
      <vt:lpstr>'23. Building Design Score'!NumberBedrooms</vt:lpstr>
      <vt:lpstr>'24. Development Process Score'!NumberBedrooms</vt:lpstr>
      <vt:lpstr>NumberBedrooms</vt:lpstr>
      <vt:lpstr>Office_Expenses</vt:lpstr>
      <vt:lpstr>Office_or_Model_Apartment_Rent</vt:lpstr>
      <vt:lpstr>Office_Salaries</vt:lpstr>
      <vt:lpstr>Onsite_Leasing_Office</vt:lpstr>
      <vt:lpstr>Operating_and_Maintenance_Rent_Fee_Unit</vt:lpstr>
      <vt:lpstr>Other</vt:lpstr>
      <vt:lpstr>Other__Please_describe</vt:lpstr>
      <vt:lpstr>Other_Administrative_Expenses</vt:lpstr>
      <vt:lpstr>Other_Housekeeping</vt:lpstr>
      <vt:lpstr>Other_Number_of_Units</vt:lpstr>
      <vt:lpstr>Other_Support_Serv</vt:lpstr>
      <vt:lpstr>Owner___Paid_Amenities</vt:lpstr>
      <vt:lpstr>Owner_Address</vt:lpstr>
      <vt:lpstr>Owner_City</vt:lpstr>
      <vt:lpstr>Owner_Name</vt:lpstr>
      <vt:lpstr>Owner_State</vt:lpstr>
      <vt:lpstr>Owner_Zip</vt:lpstr>
      <vt:lpstr>Ownership_Contact_Person_First_Name</vt:lpstr>
      <vt:lpstr>Ownership_Contact_Person_Last_Name</vt:lpstr>
      <vt:lpstr>Ownership_Entity</vt:lpstr>
      <vt:lpstr>Pantry</vt:lpstr>
      <vt:lpstr>Patio_Balcony</vt:lpstr>
      <vt:lpstr>Payroll</vt:lpstr>
      <vt:lpstr>Payroll_Taxes___Project_Share</vt:lpstr>
      <vt:lpstr>PC_ACQ_ACQ_Subtotal_4</vt:lpstr>
      <vt:lpstr>PC_ACQ_ACQ_Subtotal_9</vt:lpstr>
      <vt:lpstr>PC_ACQ_ACQ_Subtotal_State</vt:lpstr>
      <vt:lpstr>PC_ACQ_ACQ_Subtotal_Total</vt:lpstr>
      <vt:lpstr>PC_ACQ_Building_Acq</vt:lpstr>
      <vt:lpstr>PC_ACQ_Building_Acq_State</vt:lpstr>
      <vt:lpstr>PC_ACQ_Building_Acq_Total</vt:lpstr>
      <vt:lpstr>PC_ACQ_Land_Acq_Total</vt:lpstr>
      <vt:lpstr>PC_ACQ_Other_Acq_4</vt:lpstr>
      <vt:lpstr>PC_ACQ_Other_Acq_9</vt:lpstr>
      <vt:lpstr>PC_ACQ_Other_Acq_State</vt:lpstr>
      <vt:lpstr>PC_ACQ_Other_Acq_Total</vt:lpstr>
      <vt:lpstr>PC_ACQ_Other_Purchase</vt:lpstr>
      <vt:lpstr>PC_ACQ_Other_Purchase_State</vt:lpstr>
      <vt:lpstr>PC_ACQ_Other_Purchase_Total</vt:lpstr>
      <vt:lpstr>PC_ARC_ALTA_4</vt:lpstr>
      <vt:lpstr>PC_ARC_ALTA_9</vt:lpstr>
      <vt:lpstr>PC_ARC_ALTA_State</vt:lpstr>
      <vt:lpstr>PC_ARC_ALTA_Total</vt:lpstr>
      <vt:lpstr>PC_ARC_Arch_Design_4</vt:lpstr>
      <vt:lpstr>PC_ARC_Arch_Design_9</vt:lpstr>
      <vt:lpstr>PC_ARC_Arch_Design_State</vt:lpstr>
      <vt:lpstr>PC_ARC_Arch_Design_Total</vt:lpstr>
      <vt:lpstr>PC_ARC_Arch_Super_4</vt:lpstr>
      <vt:lpstr>PC_ARC_Arch_Super_9</vt:lpstr>
      <vt:lpstr>PC_ARC_Arch_Super_State</vt:lpstr>
      <vt:lpstr>PC_ARC_Arch_Super_Total</vt:lpstr>
      <vt:lpstr>PC_ARC_Engineer_Fee_4</vt:lpstr>
      <vt:lpstr>PC_ARC_Engineer_Fee_9</vt:lpstr>
      <vt:lpstr>PC_ARC_Engineer_Fee_State</vt:lpstr>
      <vt:lpstr>PC_ARC_Engineer_Fee_Total</vt:lpstr>
      <vt:lpstr>PC_ARC_Other_Arch_4</vt:lpstr>
      <vt:lpstr>PC_ARC_Other_Arch_9</vt:lpstr>
      <vt:lpstr>PC_ARC_Other_Arch_State</vt:lpstr>
      <vt:lpstr>PC_ARC_Other_Arch_Total</vt:lpstr>
      <vt:lpstr>PC_CAP_Capital_Needs_Res_Total</vt:lpstr>
      <vt:lpstr>PC_CAP_Capitalized_Reserv_Subtotal_4</vt:lpstr>
      <vt:lpstr>PC_CAP_Capitalized_Reserv_Subtotal_9</vt:lpstr>
      <vt:lpstr>PC_CAP_Capitalized_Reserv_Subtotal_State</vt:lpstr>
      <vt:lpstr>PC_CAP_Capitalized_Reserv_Subtotal_Total</vt:lpstr>
      <vt:lpstr>PC_CAP_Debt_Serv_Reserve_Total</vt:lpstr>
      <vt:lpstr>PC_CAP_Escrow_Total</vt:lpstr>
      <vt:lpstr>PC_CAP_Operating_Expen_Res_Total</vt:lpstr>
      <vt:lpstr>PC_CAP_Other_Cap_Reserves_Total</vt:lpstr>
      <vt:lpstr>PC_CAP_Other_Reserve_Total</vt:lpstr>
      <vt:lpstr>PC_CAP_Replacement_Reserves_Total</vt:lpstr>
      <vt:lpstr>PC_CAP_Stab_RentUp_Res_Total</vt:lpstr>
      <vt:lpstr>PC_CNT_Contingency_Subtotal_4</vt:lpstr>
      <vt:lpstr>PC_CNT_Contingency_Subtotal_9</vt:lpstr>
      <vt:lpstr>PC_CNT_Contingency_Subtotal_State</vt:lpstr>
      <vt:lpstr>PC_CNT_Contingency_Subtotal_Total</vt:lpstr>
      <vt:lpstr>PC_CNT_Res_HC_Contingency</vt:lpstr>
      <vt:lpstr>PC_CNT_Res_HC_Contingency_State</vt:lpstr>
      <vt:lpstr>PC_CNT_Res_HC_Contingency_Total</vt:lpstr>
      <vt:lpstr>PC_CNT_Res_SC_Contingency</vt:lpstr>
      <vt:lpstr>PC_CNT_Res_SC_Contingency_State</vt:lpstr>
      <vt:lpstr>PC_CNT_Res_SC_Contingency_Total</vt:lpstr>
      <vt:lpstr>PC_CSP_Bond_Issuance_Fee_Total</vt:lpstr>
      <vt:lpstr>PC_CSP_Bonding_Fee_Subtotal_4</vt:lpstr>
      <vt:lpstr>PC_CSP_Bonding_Fee_Subtotal_9</vt:lpstr>
      <vt:lpstr>PC_CSP_Bonding_Fee_Subtotal_State</vt:lpstr>
      <vt:lpstr>PC_CSP_Bonding_Fee_Subtotal_Total</vt:lpstr>
      <vt:lpstr>PC_CSP_Constr_Hazard_insur_4</vt:lpstr>
      <vt:lpstr>PC_CSP_Constr_Hazard_insur_9</vt:lpstr>
      <vt:lpstr>PC_CSP_Constr_Hazard_insur_State</vt:lpstr>
      <vt:lpstr>PC_CSP_Constr_Hazard_insur_Total</vt:lpstr>
      <vt:lpstr>PC_CSP_Constr_Lender_Fees_4</vt:lpstr>
      <vt:lpstr>PC_CSP_Constr_Lender_Fees_9</vt:lpstr>
      <vt:lpstr>PC_CSP_Constr_Lender_Fees_State</vt:lpstr>
      <vt:lpstr>PC_CSP_Constr_Lender_Fees_Total</vt:lpstr>
      <vt:lpstr>PC_CSP_Constr_Liability_4</vt:lpstr>
      <vt:lpstr>PC_CSP_Constr_Liability_9</vt:lpstr>
      <vt:lpstr>PC_CSP_Constr_Liability_State</vt:lpstr>
      <vt:lpstr>PC_CSP_Constr_Liability_Total</vt:lpstr>
      <vt:lpstr>PC_CSP_Constr_Period_Int_4</vt:lpstr>
      <vt:lpstr>PC_CSP_Constr_Period_Int_9</vt:lpstr>
      <vt:lpstr>PC_CSP_Constr_Period_Int_State</vt:lpstr>
      <vt:lpstr>PC_CSP_Constr_Period_Int_Total</vt:lpstr>
      <vt:lpstr>PC_CSP_Contractor_Related_Fees_Subtotal_4</vt:lpstr>
      <vt:lpstr>PC_CSP_Contractor_Related_Fees_Subtotal_9</vt:lpstr>
      <vt:lpstr>PC_CSP_Contractor_Related_Fees_Subtotal_State</vt:lpstr>
      <vt:lpstr>PC_CSP_Contractor_Related_Fees_Subtotal_Total</vt:lpstr>
      <vt:lpstr>PC_CSP_Credit_Enhance_Fee_4</vt:lpstr>
      <vt:lpstr>PC_CSP_Credit_Enhance_Fee_9</vt:lpstr>
      <vt:lpstr>PC_CSP_Credit_Enhance_Fee_State</vt:lpstr>
      <vt:lpstr>PC_CSP_Credit_Enhance_Fee_Total</vt:lpstr>
      <vt:lpstr>PC_CSP_Green_Building_4</vt:lpstr>
      <vt:lpstr>PC_CSP_Green_Building_9</vt:lpstr>
      <vt:lpstr>PC_CSP_Green_Building_State</vt:lpstr>
      <vt:lpstr>PC_CSP_Green_Building_Total</vt:lpstr>
      <vt:lpstr>PC_CSP_Lender_Insp_Fees_4</vt:lpstr>
      <vt:lpstr>PC_CSP_Lender_Insp_Fees_9</vt:lpstr>
      <vt:lpstr>PC_CSP_Lender_Insp_Fees_State</vt:lpstr>
      <vt:lpstr>PC_CSP_Lender_Insp_Fees_Total</vt:lpstr>
      <vt:lpstr>PC_CSP_LU_Period_Constr_4</vt:lpstr>
      <vt:lpstr>PC_CSP_LU_Period_Constr_9</vt:lpstr>
      <vt:lpstr>PC_CSP_LU_Period_Constr_State</vt:lpstr>
      <vt:lpstr>PC_CSP_LU_Period_Constr_Total</vt:lpstr>
      <vt:lpstr>PC_CSP_Other_Constr_Costs_4</vt:lpstr>
      <vt:lpstr>PC_CSP_Other_Constr_Costs_9</vt:lpstr>
      <vt:lpstr>PC_CSP_Other_Constr_Costs_State</vt:lpstr>
      <vt:lpstr>PC_CSP_Other_Constr_Costs_Total</vt:lpstr>
      <vt:lpstr>PC_CSP_Other_Fees_4</vt:lpstr>
      <vt:lpstr>PC_CSP_Other_Fees_9</vt:lpstr>
      <vt:lpstr>PC_CSP_Other_Fees_State</vt:lpstr>
      <vt:lpstr>PC_CSP_Other_Fees_Total</vt:lpstr>
      <vt:lpstr>PC_CSP_Other_Interim_4</vt:lpstr>
      <vt:lpstr>PC_CSP_Other_Interim_9</vt:lpstr>
      <vt:lpstr>PC_CSP_Other_Interim_State</vt:lpstr>
      <vt:lpstr>PC_CSP_Other_Interim_Total</vt:lpstr>
      <vt:lpstr>PC_CSP_Other_Lender_Fees_4</vt:lpstr>
      <vt:lpstr>PC_CSP_Other_Lender_Fees_9</vt:lpstr>
      <vt:lpstr>PC_CSP_Other_Lender_Fees_State</vt:lpstr>
      <vt:lpstr>PC_CSP_Other_Lender_Fees_Total</vt:lpstr>
      <vt:lpstr>PC_CSP_Other_Lender_Subtotal_4</vt:lpstr>
      <vt:lpstr>PC_CSP_Other_Lender_Subtotal_9</vt:lpstr>
      <vt:lpstr>PC_CSP_Other_Lender_Subtotal_State</vt:lpstr>
      <vt:lpstr>PC_CSP_Other_Lender_Subtotal_Total</vt:lpstr>
      <vt:lpstr>PC_CSP_Perm_Relocation_Total</vt:lpstr>
      <vt:lpstr>PC_CSP_Predev_Bridge_Finan_Fees_Total</vt:lpstr>
      <vt:lpstr>PC_CSP_Predev_Bridge_Loan_Int_Total</vt:lpstr>
      <vt:lpstr>PC_CSP_Predev_Bridge_Orig_Fees_Total</vt:lpstr>
      <vt:lpstr>PC_CSP_Taxes_During_Constr_4</vt:lpstr>
      <vt:lpstr>PC_CSP_Taxes_During_Constr_9</vt:lpstr>
      <vt:lpstr>PC_CSP_Taxes_During_Constr_State</vt:lpstr>
      <vt:lpstr>PC_CSP_Taxes_During_Constr_Total</vt:lpstr>
      <vt:lpstr>PC_CSP_TE_Bond_Alloc_Total</vt:lpstr>
      <vt:lpstr>PC_CSP_Temp_Relocation_State</vt:lpstr>
      <vt:lpstr>PC_CSP_Temp_Reloocation_4</vt:lpstr>
      <vt:lpstr>PC_CSP_Temp_Reloocation_9</vt:lpstr>
      <vt:lpstr>PC_CSP_Temp_Reloocation_Total</vt:lpstr>
      <vt:lpstr>PC_CSP_Title_Recording_4</vt:lpstr>
      <vt:lpstr>PC_CSP_Title_Recording_9</vt:lpstr>
      <vt:lpstr>PC_CSP_Title_Recording_State</vt:lpstr>
      <vt:lpstr>PC_CSP_Title_Recording_Total</vt:lpstr>
      <vt:lpstr>PC_CSP_WHEDA_App_Fees_4</vt:lpstr>
      <vt:lpstr>PC_CSP_WHEDA_App_Fees_9</vt:lpstr>
      <vt:lpstr>PC_CSP_WHEDA_App_Fees_State</vt:lpstr>
      <vt:lpstr>PC_CSP_WHEDA_App_Fees_Total</vt:lpstr>
      <vt:lpstr>PC_CSP_WHEDA_Constr_Inspect_4</vt:lpstr>
      <vt:lpstr>PC_CSP_WHEDA_Constr_Inspect_9</vt:lpstr>
      <vt:lpstr>PC_CSP_WHEDA_Constr_Inspect_State</vt:lpstr>
      <vt:lpstr>PC_CSP_WHEDA_Constr_Inspect_Total</vt:lpstr>
      <vt:lpstr>PC_CSP_WHEDA_Constr_Loan</vt:lpstr>
      <vt:lpstr>PC_CSP_WHEDA_Constr_Loan_State</vt:lpstr>
      <vt:lpstr>PC_CSP_WHEDA_Constr_Loan_Total</vt:lpstr>
      <vt:lpstr>PC_CSP_WHEDA_Fees_Subtotal_4</vt:lpstr>
      <vt:lpstr>PC_CSP_WHEDA_Fees_Subtotal_9</vt:lpstr>
      <vt:lpstr>PC_CSP_WHEDA_Fees_Subtotal_State</vt:lpstr>
      <vt:lpstr>PC_CSP_WHEDA_Fees_Subtotal_Total</vt:lpstr>
      <vt:lpstr>PC_CSP_WHEDA_Legal_4</vt:lpstr>
      <vt:lpstr>PC_CSP_WHEDA_Legal_9</vt:lpstr>
      <vt:lpstr>PC_CSP_WHEDA_Legal_State</vt:lpstr>
      <vt:lpstr>PC_CSP_WHEDA_Legal_Total</vt:lpstr>
      <vt:lpstr>PC_CSP_WHEDA_Other_Finan</vt:lpstr>
      <vt:lpstr>PC_CSP_WHEDA_Other_Finan_State</vt:lpstr>
      <vt:lpstr>PC_CSP_WHEDA_Other_Finan_Total</vt:lpstr>
      <vt:lpstr>PC_CST_Accessory_Building</vt:lpstr>
      <vt:lpstr>PC_CST_Accessory_Building_State</vt:lpstr>
      <vt:lpstr>PC_CST_Accessory_Building_Total</vt:lpstr>
      <vt:lpstr>PC_CST_Builders_Overhead</vt:lpstr>
      <vt:lpstr>PC_CST_Builders_Overhead_State</vt:lpstr>
      <vt:lpstr>PC_CST_Builders_Overhead_Total</vt:lpstr>
      <vt:lpstr>PC_CST_Builders_Profit</vt:lpstr>
      <vt:lpstr>PC_CST_Builders_Profit_State</vt:lpstr>
      <vt:lpstr>PC_CST_Builders_Profit_Total</vt:lpstr>
      <vt:lpstr>PC_CST_Builders_Risk_Ins_4</vt:lpstr>
      <vt:lpstr>PC_CST_Builders_Risk_Ins_9</vt:lpstr>
      <vt:lpstr>PC_CST_Builders_Risk_Ins_State</vt:lpstr>
      <vt:lpstr>PC_CST_Builders_Risk_Ins_Total</vt:lpstr>
      <vt:lpstr>PC_CST_Building</vt:lpstr>
      <vt:lpstr>PC_CST_Building_State</vt:lpstr>
      <vt:lpstr>PC_CST_Building_Total</vt:lpstr>
      <vt:lpstr>PC_CST_Constr_Mgmt_Fee</vt:lpstr>
      <vt:lpstr>PC_CST_Constr_Mgmt_Fee_State</vt:lpstr>
      <vt:lpstr>PC_CST_Constr_Mgmt_Fee_Total</vt:lpstr>
      <vt:lpstr>PC_CST_Demolition</vt:lpstr>
      <vt:lpstr>PC_CST_Demolition_State</vt:lpstr>
      <vt:lpstr>PC_CST_Demolition_Total</vt:lpstr>
      <vt:lpstr>PC_CST_Earthwork</vt:lpstr>
      <vt:lpstr>PC_CST_Earthwork_Other_4</vt:lpstr>
      <vt:lpstr>PC_CST_Earthwork_Other_9</vt:lpstr>
      <vt:lpstr>PC_CST_Earthwork_Other_State</vt:lpstr>
      <vt:lpstr>PC_CST_Earthwork_Other_Total</vt:lpstr>
      <vt:lpstr>PC_CST_Earthwork_State</vt:lpstr>
      <vt:lpstr>PC_CST_Earthwork_Total</vt:lpstr>
      <vt:lpstr>PC_CST_Fixtures_Furn</vt:lpstr>
      <vt:lpstr>PC_CST_Fixtures_Furn_State</vt:lpstr>
      <vt:lpstr>PC_CST_Fixtures_Furn_Total</vt:lpstr>
      <vt:lpstr>PC_CST_General_Requirements</vt:lpstr>
      <vt:lpstr>PC_CST_General_Requirements_State</vt:lpstr>
      <vt:lpstr>PC_CST_General_Requirements_Total</vt:lpstr>
      <vt:lpstr>PC_CST_Lawn_4</vt:lpstr>
      <vt:lpstr>PC_CST_Lawn_9</vt:lpstr>
      <vt:lpstr>PC_CST_Lawn_Planting</vt:lpstr>
      <vt:lpstr>PC_CST_Lawn_Planting_State</vt:lpstr>
      <vt:lpstr>PC_CST_Lawn_Planting_Total</vt:lpstr>
      <vt:lpstr>PC_CST_Lawn_State</vt:lpstr>
      <vt:lpstr>PC_CST_Lawn_Total</vt:lpstr>
      <vt:lpstr>PC_CST_New_Constr_Subtotal_4</vt:lpstr>
      <vt:lpstr>PC_CST_New_Constr_Subtotal_9</vt:lpstr>
      <vt:lpstr>PC_CST_New_Constr_Subtotal_State</vt:lpstr>
      <vt:lpstr>PC_CST_New_Constr_Subtotal_Total</vt:lpstr>
      <vt:lpstr>PC_CST_Off_Site_Work_4</vt:lpstr>
      <vt:lpstr>PC_CST_Off_Site_Work_9</vt:lpstr>
      <vt:lpstr>PC_CST_Off_Site_Work_State</vt:lpstr>
      <vt:lpstr>PC_CST_Off_Site_Work_Total</vt:lpstr>
      <vt:lpstr>PC_CST_OffSite_Subtotal</vt:lpstr>
      <vt:lpstr>PC_CST_OffSite_Subtotal_State</vt:lpstr>
      <vt:lpstr>PC_CST_OffSite_Subtotal_Total</vt:lpstr>
      <vt:lpstr>PC_CST_Other_Contractor_Fee_4</vt:lpstr>
      <vt:lpstr>PC_CST_Other_Contractor_Fee_9</vt:lpstr>
      <vt:lpstr>PC_CST_Other_Contractor_Fee_State</vt:lpstr>
      <vt:lpstr>PC_CST_Other_Contractor_Fee_Total</vt:lpstr>
      <vt:lpstr>PC_CST_Other_New_Construction</vt:lpstr>
      <vt:lpstr>PC_CST_Other_New_Construction_State</vt:lpstr>
      <vt:lpstr>PC_CST_Other_New_Construction_Total</vt:lpstr>
      <vt:lpstr>PC_CST_Other_Site_Work</vt:lpstr>
      <vt:lpstr>PC_CST_Other_Site_Work_State</vt:lpstr>
      <vt:lpstr>PC_CST_Other_Site_Work_Total</vt:lpstr>
      <vt:lpstr>PC_CST_Personal_Property</vt:lpstr>
      <vt:lpstr>PC_CST_Personal_Property_State</vt:lpstr>
      <vt:lpstr>PC_CST_Personal_Property_Total</vt:lpstr>
      <vt:lpstr>PC_CST_Roads_4</vt:lpstr>
      <vt:lpstr>PC_CST_Roads_9</vt:lpstr>
      <vt:lpstr>PC_CST_Roads_State</vt:lpstr>
      <vt:lpstr>PC_CST_Roads_Total</vt:lpstr>
      <vt:lpstr>PC_CST_Roads_Walks_4</vt:lpstr>
      <vt:lpstr>PC_CST_Roads_Walks_9</vt:lpstr>
      <vt:lpstr>PC_CST_Roads_Walks_State</vt:lpstr>
      <vt:lpstr>PC_CST_Roads_Walks_Total</vt:lpstr>
      <vt:lpstr>PC_CST_Site_Subtotal_4</vt:lpstr>
      <vt:lpstr>PC_CST_Site_Subtotal_9</vt:lpstr>
      <vt:lpstr>PC_CST_Site_Subtotal_State</vt:lpstr>
      <vt:lpstr>PC_CST_Site_Subtotal_Total</vt:lpstr>
      <vt:lpstr>PC_CST_Site_Utilities_4</vt:lpstr>
      <vt:lpstr>PC_CST_Site_Utilities_9</vt:lpstr>
      <vt:lpstr>PC_CST_Site_Utilities_State</vt:lpstr>
      <vt:lpstr>PC_CST_Site_Utilities_Total</vt:lpstr>
      <vt:lpstr>PC_CST_Unusual_SC_4</vt:lpstr>
      <vt:lpstr>PC_CST_Unusual_SC_9</vt:lpstr>
      <vt:lpstr>PC_CST_Unusual_SC_State</vt:lpstr>
      <vt:lpstr>PC_CST_Unusual_SC_Total</vt:lpstr>
      <vt:lpstr>PC_CST_Unusual_Site_4</vt:lpstr>
      <vt:lpstr>PC_CST_Unusual_Site_9</vt:lpstr>
      <vt:lpstr>PC_CST_Unusual_Site_State</vt:lpstr>
      <vt:lpstr>PC_CST_Unusual_Site_Total</vt:lpstr>
      <vt:lpstr>PC_CST_Utilities_4</vt:lpstr>
      <vt:lpstr>PC_CST_Utilities_9</vt:lpstr>
      <vt:lpstr>PC_CST_Utilities_State</vt:lpstr>
      <vt:lpstr>PC_CST_Utilities_Total</vt:lpstr>
      <vt:lpstr>PC_DEV_Consult_Agent_4</vt:lpstr>
      <vt:lpstr>PC_DEV_Consult_Agent_9</vt:lpstr>
      <vt:lpstr>PC_DEV_Consult_Agent_State</vt:lpstr>
      <vt:lpstr>PC_DEV_Consult_Agent_Total</vt:lpstr>
      <vt:lpstr>PC_DEV_Dev_Fee_Deferred_4</vt:lpstr>
      <vt:lpstr>PC_DEV_Dev_Fee_Deferred_9</vt:lpstr>
      <vt:lpstr>PC_DEV_Dev_Fee_Deferred_State</vt:lpstr>
      <vt:lpstr>PC_DEV_Dev_Fee_Deferred_Total</vt:lpstr>
      <vt:lpstr>PC_DEV_Dev_Fee_Received_4</vt:lpstr>
      <vt:lpstr>PC_DEV_Dev_Fee_Received_9</vt:lpstr>
      <vt:lpstr>PC_DEV_Dev_Fee_Received_State</vt:lpstr>
      <vt:lpstr>PC_DEV_Dev_Fee_Received_Total</vt:lpstr>
      <vt:lpstr>PC_DEV_Dev_Overhead_4</vt:lpstr>
      <vt:lpstr>PC_DEV_Dev_Overhead_9</vt:lpstr>
      <vt:lpstr>PC_DEV_Dev_Overhead_State</vt:lpstr>
      <vt:lpstr>PC_DEV_Dev_Overhead_Total</vt:lpstr>
      <vt:lpstr>PC_DEV_Developer_Costs_Subtotal_Total</vt:lpstr>
      <vt:lpstr>PC_DEV_Other_Dev_Fees_4</vt:lpstr>
      <vt:lpstr>PC_DEV_Other_Dev_Fees_9</vt:lpstr>
      <vt:lpstr>PC_DEV_Other_Dev_Fees_State</vt:lpstr>
      <vt:lpstr>PC_DEV_Other_Dev_Fees_Total</vt:lpstr>
      <vt:lpstr>PC_FIN_Credit_Enhance_Perm_Loan_Total</vt:lpstr>
      <vt:lpstr>PC_FIN_Legal_Fees_RE_Total</vt:lpstr>
      <vt:lpstr>PC_FIN_Other_Perm_Finan_Total</vt:lpstr>
      <vt:lpstr>PC_FIN_Perm_Closing_Property_Total</vt:lpstr>
      <vt:lpstr>PC_FIN_Perm_Closing_Title_Total</vt:lpstr>
      <vt:lpstr>PC_FIN_Perm_Lender_Finan_Total</vt:lpstr>
      <vt:lpstr>PC_FIN_Perm_Lender_Legal_Total</vt:lpstr>
      <vt:lpstr>PC_FIN_Perm_Lender_Orig_Total</vt:lpstr>
      <vt:lpstr>PC_FIN_Permanent_Loan_Fees_Subtotal_4</vt:lpstr>
      <vt:lpstr>PC_FIN_Permanent_Loan_Fees_Subtotal_9</vt:lpstr>
      <vt:lpstr>PC_FIN_Permanent_Loan_Fees_Subtotal_State</vt:lpstr>
      <vt:lpstr>PC_FIN_Permanent_Loan_Fees_Subtotal_Total</vt:lpstr>
      <vt:lpstr>PC_FIN_WHEDA_Perm_Loan_Total</vt:lpstr>
      <vt:lpstr>PC_OLD_Applicable_Fraction_9</vt:lpstr>
      <vt:lpstr>PC_OLD_Applicable_Fraction_State</vt:lpstr>
      <vt:lpstr>PC_OLD_Equity_Gap_4</vt:lpstr>
      <vt:lpstr>PC_OLD_Equity_Gap_State</vt:lpstr>
      <vt:lpstr>PC_OLD_Fed_Applicable_Fraction</vt:lpstr>
      <vt:lpstr>PC_OLD_Fed_Total_Eligible_Basis</vt:lpstr>
      <vt:lpstr>PC_OLD_Tax_Credits_Requested_4</vt:lpstr>
      <vt:lpstr>PC_OLD_Tax_Credits_Requested_State</vt:lpstr>
      <vt:lpstr>PC_RPT_Additonal_Reports_Subtotal_4</vt:lpstr>
      <vt:lpstr>PC_RPT_Additonal_Reports_Subtotal_9</vt:lpstr>
      <vt:lpstr>PC_RPT_Additonal_Reports_Subtotal_State</vt:lpstr>
      <vt:lpstr>PC_RPT_Additonal_Reports_Subtotal_Total</vt:lpstr>
      <vt:lpstr>PC_RPT_Appraisals_4</vt:lpstr>
      <vt:lpstr>PC_RPT_Appraisals_9</vt:lpstr>
      <vt:lpstr>PC_RPT_Appraisals_State</vt:lpstr>
      <vt:lpstr>PC_RPT_Appraisals_Total</vt:lpstr>
      <vt:lpstr>PC_RPT_Boundry_4</vt:lpstr>
      <vt:lpstr>PC_RPT_Boundry_9</vt:lpstr>
      <vt:lpstr>PC_RPT_Boundry_State</vt:lpstr>
      <vt:lpstr>PC_RPT_Boundry_Total</vt:lpstr>
      <vt:lpstr>PC_RPT_Environmental_Review_4</vt:lpstr>
      <vt:lpstr>PC_RPT_Environmental_Review_9</vt:lpstr>
      <vt:lpstr>PC_RPT_Environmental_Review_State</vt:lpstr>
      <vt:lpstr>PC_RPT_Environmental_Review_Total</vt:lpstr>
      <vt:lpstr>PC_RPT_Environmental_Study_4</vt:lpstr>
      <vt:lpstr>PC_RPT_Environmental_Study_9</vt:lpstr>
      <vt:lpstr>PC_RPT_Environmental_Study_State</vt:lpstr>
      <vt:lpstr>PC_RPT_Environmental_Study_Total</vt:lpstr>
      <vt:lpstr>PC_RPT_Market_Study_4</vt:lpstr>
      <vt:lpstr>PC_RPT_Market_Study_9</vt:lpstr>
      <vt:lpstr>PC_RPT_Market_Study_State</vt:lpstr>
      <vt:lpstr>PC_RPT_Market_Study_Total</vt:lpstr>
      <vt:lpstr>PC_RPT_Other_Reports_4</vt:lpstr>
      <vt:lpstr>PC_RPT_Other_Reports_9</vt:lpstr>
      <vt:lpstr>PC_RPT_Other_Reports_State</vt:lpstr>
      <vt:lpstr>PC_RPT_Other_Reports_Total</vt:lpstr>
      <vt:lpstr>PC_RPT_Other_Zoning_Fees_4</vt:lpstr>
      <vt:lpstr>PC_RPT_Other_Zoning_Fees_9</vt:lpstr>
      <vt:lpstr>PC_RPT_Other_Zoning_Fees_State</vt:lpstr>
      <vt:lpstr>PC_RPT_Other_Zoning_Fees_Total</vt:lpstr>
      <vt:lpstr>PC_RPT_Physical_Capital_4</vt:lpstr>
      <vt:lpstr>PC_RPT_Physical_Capital_9</vt:lpstr>
      <vt:lpstr>PC_RPT_Physical_Capital_State</vt:lpstr>
      <vt:lpstr>PC_RPT_Physical_Capital_Total</vt:lpstr>
      <vt:lpstr>PC_RPT_Soils_4</vt:lpstr>
      <vt:lpstr>PC_RPT_Soils_9</vt:lpstr>
      <vt:lpstr>PC_RPT_Soils_State</vt:lpstr>
      <vt:lpstr>PC_RPT_Soils_Total</vt:lpstr>
      <vt:lpstr>PC_RPT_Third_Party_Review_4</vt:lpstr>
      <vt:lpstr>PC_RPT_Third_Party_Review_9</vt:lpstr>
      <vt:lpstr>PC_RPT_Third_Party_Review_State</vt:lpstr>
      <vt:lpstr>PC_RPT_Third_Party_Review_Total</vt:lpstr>
      <vt:lpstr>PC_SFT_Accting_Fees_4</vt:lpstr>
      <vt:lpstr>PC_SFT_Accting_Fees_9</vt:lpstr>
      <vt:lpstr>PC_SFT_Accting_Fees_State</vt:lpstr>
      <vt:lpstr>PC_SFT_Accting_Fees_Total</vt:lpstr>
      <vt:lpstr>PC_SFT_Developer_Costs_Subtotal_4</vt:lpstr>
      <vt:lpstr>PC_SFT_Developer_Costs_Subtotal_9</vt:lpstr>
      <vt:lpstr>PC_SFT_Developer_Costs_Subtotal_State</vt:lpstr>
      <vt:lpstr>PC_SFT_HTC_Fees_Total</vt:lpstr>
      <vt:lpstr>PC_SFT_LIHTC_App_Fees_Total</vt:lpstr>
      <vt:lpstr>PC_SFT_LIHTC_Monitoring_Fees_Total</vt:lpstr>
      <vt:lpstr>PC_SFT_LIHTC_Reserv_Fees_Total</vt:lpstr>
      <vt:lpstr>PC_SFT_Local_Bldg_Permit_4</vt:lpstr>
      <vt:lpstr>PC_SFT_Local_Bldg_Permit_9</vt:lpstr>
      <vt:lpstr>PC_SFT_Local_Bldg_Permit_State</vt:lpstr>
      <vt:lpstr>PC_SFT_Local_Bldg_Permit_Total</vt:lpstr>
      <vt:lpstr>PC_SFT_Net_Local_Dev_4</vt:lpstr>
      <vt:lpstr>PC_SFT_Net_Local_Dev_9</vt:lpstr>
      <vt:lpstr>PC_SFT_Net_Local_Dev_State</vt:lpstr>
      <vt:lpstr>PC_SFT_Net_Local_Dev_Total</vt:lpstr>
      <vt:lpstr>PC_SFT_Other_Misc_Costs_4</vt:lpstr>
      <vt:lpstr>PC_SFT_Other_Misc_Costs_9</vt:lpstr>
      <vt:lpstr>PC_SFT_Other_Misc_Costs_State</vt:lpstr>
      <vt:lpstr>PC_SFT_Other_Misc_Costs_Total</vt:lpstr>
      <vt:lpstr>PC_SFT_Other_SC_Subtotal_4</vt:lpstr>
      <vt:lpstr>PC_SFT_Other_SC_Subtotal_9</vt:lpstr>
      <vt:lpstr>PC_SFT_Other_SC_Subtotal_State</vt:lpstr>
      <vt:lpstr>PC_SFT_Other_SC_Subtotal_Total</vt:lpstr>
      <vt:lpstr>PC_SFT_Water_Sewer_4</vt:lpstr>
      <vt:lpstr>PC_SFT_Water_Sewer_9</vt:lpstr>
      <vt:lpstr>PC_SFT_Water_Sewer_State</vt:lpstr>
      <vt:lpstr>PC_SFT_Water_Sewer_Total</vt:lpstr>
      <vt:lpstr>PC_SYN_Organ_Legal_Fees_Total</vt:lpstr>
      <vt:lpstr>PC_SYN_Other_Syn_Costs_Total</vt:lpstr>
      <vt:lpstr>PC_SYN_Other_Syn_Fees_Total</vt:lpstr>
      <vt:lpstr>PC_SYN_Syndication_Fee_Subtotal_4</vt:lpstr>
      <vt:lpstr>PC_SYN_Syndication_Fee_Subtotal_9</vt:lpstr>
      <vt:lpstr>PC_SYN_Syndication_Fee_Subtotal_State</vt:lpstr>
      <vt:lpstr>PC_SYN_Syndication_Fee_Subtotal_Total</vt:lpstr>
      <vt:lpstr>PC_SYN_Tax_Opinion_Total</vt:lpstr>
      <vt:lpstr>Per_Unit_Per_Month</vt:lpstr>
      <vt:lpstr>Permanent_Financing</vt:lpstr>
      <vt:lpstr>Permanently_Displaced</vt:lpstr>
      <vt:lpstr>Picnic_Area</vt:lpstr>
      <vt:lpstr>Playground</vt:lpstr>
      <vt:lpstr>Political_Jurisdiction</vt:lpstr>
      <vt:lpstr>Pool</vt:lpstr>
      <vt:lpstr>Principal1_Address</vt:lpstr>
      <vt:lpstr>Principal1_City</vt:lpstr>
      <vt:lpstr>Principal1_Email</vt:lpstr>
      <vt:lpstr>Principal1_First_Name</vt:lpstr>
      <vt:lpstr>Principal1_Last_Name</vt:lpstr>
      <vt:lpstr>Principal1_State</vt:lpstr>
      <vt:lpstr>Principal1_Telephone</vt:lpstr>
      <vt:lpstr>Principal1_Zip</vt:lpstr>
      <vt:lpstr>Principal2_Address</vt:lpstr>
      <vt:lpstr>Principal2_City</vt:lpstr>
      <vt:lpstr>Principal2_Email</vt:lpstr>
      <vt:lpstr>Principal2_First_Name</vt:lpstr>
      <vt:lpstr>Principal2_Last_Name</vt:lpstr>
      <vt:lpstr>Principal2_State</vt:lpstr>
      <vt:lpstr>Principal2_Telephone</vt:lpstr>
      <vt:lpstr>Principal2_Zip</vt:lpstr>
      <vt:lpstr>Principal3_Address</vt:lpstr>
      <vt:lpstr>Principal3_City</vt:lpstr>
      <vt:lpstr>Principal3_Email</vt:lpstr>
      <vt:lpstr>Principal3_First_Name</vt:lpstr>
      <vt:lpstr>Principal3_Last_Name</vt:lpstr>
      <vt:lpstr>Principal3_State</vt:lpstr>
      <vt:lpstr>Principal3_Telephone</vt:lpstr>
      <vt:lpstr>Principal3_Zip</vt:lpstr>
      <vt:lpstr>'1. TOC'!Print_Area</vt:lpstr>
      <vt:lpstr>'10. Project and Unit Amenities'!Print_Area</vt:lpstr>
      <vt:lpstr>'11. Unit Mix'!Print_Area</vt:lpstr>
      <vt:lpstr>'12. Funding Sources'!Print_Area</vt:lpstr>
      <vt:lpstr>'13. Construction Cost SOV'!Print_Area</vt:lpstr>
      <vt:lpstr>'14. Project Costs'!Print_Area</vt:lpstr>
      <vt:lpstr>'15. Credit Calculation'!Print_Area</vt:lpstr>
      <vt:lpstr>'16. Projected Operating Costs'!Print_Area</vt:lpstr>
      <vt:lpstr>'17. Cash Flow and Reserves'!Print_Area</vt:lpstr>
      <vt:lpstr>'18. Max Cost Model'!Print_Area</vt:lpstr>
      <vt:lpstr>'19. Construction Draw Schedule'!Print_Area</vt:lpstr>
      <vt:lpstr>'2. Project Summary'!Print_Area</vt:lpstr>
      <vt:lpstr>'20. Instructions Scoring Sum'!Print_Area</vt:lpstr>
      <vt:lpstr>'21. Location Score'!Print_Area</vt:lpstr>
      <vt:lpstr>'22. Tenants Served Score'!Print_Area</vt:lpstr>
      <vt:lpstr>'23. Building Design Score'!Print_Area</vt:lpstr>
      <vt:lpstr>'24. Development Process Score'!Print_Area</vt:lpstr>
      <vt:lpstr>'3. Project Location'!Print_Area</vt:lpstr>
      <vt:lpstr>'4. Project Description'!Print_Area</vt:lpstr>
      <vt:lpstr>'5. Applicant Information'!Print_Area</vt:lpstr>
      <vt:lpstr>'6. Site Description'!Print_Area</vt:lpstr>
      <vt:lpstr>'7. Site Control'!Print_Area</vt:lpstr>
      <vt:lpstr>'8. Zoning'!Print_Area</vt:lpstr>
      <vt:lpstr>'9. Ownership and Project Team'!Print_Area</vt:lpstr>
      <vt:lpstr>'ACR Form'!Print_Area</vt:lpstr>
      <vt:lpstr>'Self Scoring Checklist'!Print_Area</vt:lpstr>
      <vt:lpstr>'State HTC Gap'!Print_Area</vt:lpstr>
      <vt:lpstr>'Tax Credit Signatures'!Print_Area</vt:lpstr>
      <vt:lpstr>'Threshold Checklist'!Print_Area</vt:lpstr>
      <vt:lpstr>'WHEDA Loan Signatures'!Print_Area</vt:lpstr>
      <vt:lpstr>Project_and_Unit_Amenities</vt:lpstr>
      <vt:lpstr>Project_Cash_Flow</vt:lpstr>
      <vt:lpstr>Project_Costs_and_Credit_Calculation</vt:lpstr>
      <vt:lpstr>Project_Description</vt:lpstr>
      <vt:lpstr>Project_Name</vt:lpstr>
      <vt:lpstr>Project_Name_and_Location</vt:lpstr>
      <vt:lpstr>Project_SOV</vt:lpstr>
      <vt:lpstr>Project_Summary_Tab</vt:lpstr>
      <vt:lpstr>Project_Team</vt:lpstr>
      <vt:lpstr>Project_Type</vt:lpstr>
      <vt:lpstr>'2. Project Summary'!ProjectBasedVASHRuralNoOfUnits</vt:lpstr>
      <vt:lpstr>Projected_Operating_Costs</vt:lpstr>
      <vt:lpstr>'21. Location Score'!ProjectType</vt:lpstr>
      <vt:lpstr>'22. Tenants Served Score'!ProjectType</vt:lpstr>
      <vt:lpstr>'23. Building Design Score'!ProjectType</vt:lpstr>
      <vt:lpstr>'24. Development Process Score'!ProjectType</vt:lpstr>
      <vt:lpstr>ProjectType</vt:lpstr>
      <vt:lpstr>Property_address</vt:lpstr>
      <vt:lpstr>Property_and_Liability_Insurance__Hazard</vt:lpstr>
      <vt:lpstr>Property_Census_Tract</vt:lpstr>
      <vt:lpstr>Property_City</vt:lpstr>
      <vt:lpstr>Property_County</vt:lpstr>
      <vt:lpstr>Property_Description</vt:lpstr>
      <vt:lpstr>Property_Score</vt:lpstr>
      <vt:lpstr>Property_State</vt:lpstr>
      <vt:lpstr>Property_Zip_Code</vt:lpstr>
      <vt:lpstr>Range_Hood</vt:lpstr>
      <vt:lpstr>Range_Oven</vt:lpstr>
      <vt:lpstr>Rate_1</vt:lpstr>
      <vt:lpstr>Rate_10</vt:lpstr>
      <vt:lpstr>Rate_11</vt:lpstr>
      <vt:lpstr>Rate_12</vt:lpstr>
      <vt:lpstr>Rate_13</vt:lpstr>
      <vt:lpstr>Rate_2</vt:lpstr>
      <vt:lpstr>Rate_3</vt:lpstr>
      <vt:lpstr>Rate_4</vt:lpstr>
      <vt:lpstr>Rate_5</vt:lpstr>
      <vt:lpstr>Rate_6</vt:lpstr>
      <vt:lpstr>Rate_7</vt:lpstr>
      <vt:lpstr>Rate_8</vt:lpstr>
      <vt:lpstr>Rate_9</vt:lpstr>
      <vt:lpstr>RCAC</vt:lpstr>
      <vt:lpstr>RCAC_Number_of_Units</vt:lpstr>
      <vt:lpstr>RD_Rental_Assistance</vt:lpstr>
      <vt:lpstr>RD_Rental_Assistance_Number_of_Units</vt:lpstr>
      <vt:lpstr>Readiness_to_Proceed_Points</vt:lpstr>
      <vt:lpstr>Reading_Room_Library</vt:lpstr>
      <vt:lpstr>Real_Estate___Personal_Property__Taxes</vt:lpstr>
      <vt:lpstr>Recreation_Rehab</vt:lpstr>
      <vt:lpstr>Refrigerator</vt:lpstr>
      <vt:lpstr>Registerd_Nurse_Salary</vt:lpstr>
      <vt:lpstr>Rehab_Neighborhood_Points</vt:lpstr>
      <vt:lpstr>Rehab_Neighborhood_Stabilization</vt:lpstr>
      <vt:lpstr>Rehab_Purchased_Serv</vt:lpstr>
      <vt:lpstr>Rehab_Salaries</vt:lpstr>
      <vt:lpstr>Rehab_Supplies</vt:lpstr>
      <vt:lpstr>Rehabilitation_expenditures_allocable_to_low_income_units</vt:lpstr>
      <vt:lpstr>Rent_Surface_Parking</vt:lpstr>
      <vt:lpstr>Rent_Underground_Parking</vt:lpstr>
      <vt:lpstr>Rental</vt:lpstr>
      <vt:lpstr>Rental_Targeted_For_Eventual_Resident_Ownership</vt:lpstr>
      <vt:lpstr>Replacement_Reserves</vt:lpstr>
      <vt:lpstr>Resident_Computer_Center</vt:lpstr>
      <vt:lpstr>Revitalization</vt:lpstr>
      <vt:lpstr>Row_House_Town_House</vt:lpstr>
      <vt:lpstr>rural_area_points</vt:lpstr>
      <vt:lpstr>Rural_Areas_Points</vt:lpstr>
      <vt:lpstr>'2. Project Summary'!RuralDevNoOfUnits</vt:lpstr>
      <vt:lpstr>Screened_Porch</vt:lpstr>
      <vt:lpstr>Section_221_d__3__BMIR</vt:lpstr>
      <vt:lpstr>Section_221_d__3__BMIR_Number_of_Units</vt:lpstr>
      <vt:lpstr>Section_236</vt:lpstr>
      <vt:lpstr>Section_236_Number_of_Units</vt:lpstr>
      <vt:lpstr>Section_8_Housing_Assistance_Payment_Contract</vt:lpstr>
      <vt:lpstr>Section_8_Housing_Assistance_Payment_Contract_Number_of_Units</vt:lpstr>
      <vt:lpstr>Section_8_Rent_Supplemental_or_Rental_Assistance_Payment</vt:lpstr>
      <vt:lpstr>Section_8_Rent_Supplemental_or_Rental_Assistance_Payment_Number_of_Units</vt:lpstr>
      <vt:lpstr>Section_811_Vouchers_Number_of_Units</vt:lpstr>
      <vt:lpstr>Security_Locked_Building</vt:lpstr>
      <vt:lpstr>Security_Payroll___Contract__incl_taxes_and_benefits</vt:lpstr>
      <vt:lpstr>Security_Rent_Free_Unit</vt:lpstr>
      <vt:lpstr>Self_Scoring</vt:lpstr>
      <vt:lpstr>Serve_Low_Income_Ponts</vt:lpstr>
      <vt:lpstr>Serves_Large_Families</vt:lpstr>
      <vt:lpstr>Serves_Large_Family_Points</vt:lpstr>
      <vt:lpstr>Serves_Lowest_Income_Residents</vt:lpstr>
      <vt:lpstr>Set_Aside</vt:lpstr>
      <vt:lpstr>'21. Location Score'!SetAside</vt:lpstr>
      <vt:lpstr>'22. Tenants Served Score'!SetAside</vt:lpstr>
      <vt:lpstr>'23. Building Design Score'!SetAside</vt:lpstr>
      <vt:lpstr>'24. Development Process Score'!SetAside</vt:lpstr>
      <vt:lpstr>SetAside</vt:lpstr>
      <vt:lpstr>Sewer</vt:lpstr>
      <vt:lpstr>Single_Room_Occupancy</vt:lpstr>
      <vt:lpstr>Single_Room_Occupancy_Number_of_Units</vt:lpstr>
      <vt:lpstr>Site_Contol</vt:lpstr>
      <vt:lpstr>Site_Description</vt:lpstr>
      <vt:lpstr>Snow_Removal</vt:lpstr>
      <vt:lpstr>Source_1</vt:lpstr>
      <vt:lpstr>Source_10</vt:lpstr>
      <vt:lpstr>Source_11</vt:lpstr>
      <vt:lpstr>Source_12</vt:lpstr>
      <vt:lpstr>Source_13</vt:lpstr>
      <vt:lpstr>Source_2</vt:lpstr>
      <vt:lpstr>Source_3</vt:lpstr>
      <vt:lpstr>Source_4</vt:lpstr>
      <vt:lpstr>Source_5</vt:lpstr>
      <vt:lpstr>Source_6</vt:lpstr>
      <vt:lpstr>Source_7</vt:lpstr>
      <vt:lpstr>Source_8</vt:lpstr>
      <vt:lpstr>Source_9</vt:lpstr>
      <vt:lpstr>'21. Location Score'!SourceOfUtilityAllowanceAssumptions</vt:lpstr>
      <vt:lpstr>'22. Tenants Served Score'!SourceOfUtilityAllowanceAssumptions</vt:lpstr>
      <vt:lpstr>'23. Building Design Score'!SourceOfUtilityAllowanceAssumptions</vt:lpstr>
      <vt:lpstr>'24. Development Process Score'!SourceOfUtilityAllowanceAssumptions</vt:lpstr>
      <vt:lpstr>SourceOfUtilityAllowanceAssumptions</vt:lpstr>
      <vt:lpstr>SourceUtlityAllowanceAssumptions</vt:lpstr>
      <vt:lpstr>State_Credits</vt:lpstr>
      <vt:lpstr>State_HTC_Equity</vt:lpstr>
      <vt:lpstr>Storage_Units</vt:lpstr>
      <vt:lpstr>'21. Location Score'!SubsidySource</vt:lpstr>
      <vt:lpstr>'22. Tenants Served Score'!SubsidySource</vt:lpstr>
      <vt:lpstr>'23. Building Design Score'!SubsidySource</vt:lpstr>
      <vt:lpstr>'24. Development Process Score'!SubsidySource</vt:lpstr>
      <vt:lpstr>SubsidySource</vt:lpstr>
      <vt:lpstr>Subtotal__Administrative_Expenses</vt:lpstr>
      <vt:lpstr>Subtotal__Operating___Maintenance_Expenses</vt:lpstr>
      <vt:lpstr>Subtotal__Rent_Expense</vt:lpstr>
      <vt:lpstr>Subtotal__Service_Expense</vt:lpstr>
      <vt:lpstr>Subtotal__Taxes_and_Insurance</vt:lpstr>
      <vt:lpstr>Subtotal__Utilities_Expenses</vt:lpstr>
      <vt:lpstr>SumCreditRequest</vt:lpstr>
      <vt:lpstr>Sunrooms</vt:lpstr>
      <vt:lpstr>Supplies</vt:lpstr>
      <vt:lpstr>Supportive_Housing</vt:lpstr>
      <vt:lpstr>Supportive_Housing_Header</vt:lpstr>
      <vt:lpstr>Supportive_Housing_Number_of_Units</vt:lpstr>
      <vt:lpstr>Supportive_Housing_Points</vt:lpstr>
      <vt:lpstr>Surface_Parking</vt:lpstr>
      <vt:lpstr>Surface_Rent_Per_Year</vt:lpstr>
      <vt:lpstr>Syndicator</vt:lpstr>
      <vt:lpstr>Syndicator_City</vt:lpstr>
      <vt:lpstr>Syndicator_Email_Address</vt:lpstr>
      <vt:lpstr>Syndicator_First_Name</vt:lpstr>
      <vt:lpstr>Syndicator_Identity_of_Interest?</vt:lpstr>
      <vt:lpstr>Syndicator_Last_Name</vt:lpstr>
      <vt:lpstr>Syndicator_State</vt:lpstr>
      <vt:lpstr>Syndicator_Street_Address</vt:lpstr>
      <vt:lpstr>Syndicator_Telephone_Number</vt:lpstr>
      <vt:lpstr>Syndicator_Zipcode</vt:lpstr>
      <vt:lpstr>Table_of_Contents</vt:lpstr>
      <vt:lpstr>Tax_Credit_Monitoring_Fees</vt:lpstr>
      <vt:lpstr>Tax_Credit_Signature_Page</vt:lpstr>
      <vt:lpstr>Tax_Credit_Year</vt:lpstr>
      <vt:lpstr>TC_Percent</vt:lpstr>
      <vt:lpstr>TC_Units_1</vt:lpstr>
      <vt:lpstr>TC_Units_10</vt:lpstr>
      <vt:lpstr>TC_Units_11</vt:lpstr>
      <vt:lpstr>TC_Units_12</vt:lpstr>
      <vt:lpstr>TC_Units_13</vt:lpstr>
      <vt:lpstr>TC_Units_14</vt:lpstr>
      <vt:lpstr>TC_Units_15</vt:lpstr>
      <vt:lpstr>TC_Units_16</vt:lpstr>
      <vt:lpstr>TC_Units_17</vt:lpstr>
      <vt:lpstr>TC_Units_18</vt:lpstr>
      <vt:lpstr>TC_Units_19</vt:lpstr>
      <vt:lpstr>TC_Units_2</vt:lpstr>
      <vt:lpstr>TC_Units_20</vt:lpstr>
      <vt:lpstr>TC_Units_21</vt:lpstr>
      <vt:lpstr>TC_Units_22</vt:lpstr>
      <vt:lpstr>TC_Units_23</vt:lpstr>
      <vt:lpstr>TC_Units_24</vt:lpstr>
      <vt:lpstr>TC_Units_25</vt:lpstr>
      <vt:lpstr>TC_Units_26</vt:lpstr>
      <vt:lpstr>TC_Units_27</vt:lpstr>
      <vt:lpstr>TC_Units_28</vt:lpstr>
      <vt:lpstr>TC_Units_29</vt:lpstr>
      <vt:lpstr>TC_Units_3</vt:lpstr>
      <vt:lpstr>TC_Units_30</vt:lpstr>
      <vt:lpstr>TC_Units_31</vt:lpstr>
      <vt:lpstr>TC_Units_32</vt:lpstr>
      <vt:lpstr>TC_Units_33</vt:lpstr>
      <vt:lpstr>TC_Units_34</vt:lpstr>
      <vt:lpstr>TC_Units_4</vt:lpstr>
      <vt:lpstr>TC_Units_5</vt:lpstr>
      <vt:lpstr>TC_Units_6</vt:lpstr>
      <vt:lpstr>TC_Units_7</vt:lpstr>
      <vt:lpstr>TC_Units_8</vt:lpstr>
      <vt:lpstr>TC_Units_9</vt:lpstr>
      <vt:lpstr>Temporary_Displaced</vt:lpstr>
      <vt:lpstr>Term_1</vt:lpstr>
      <vt:lpstr>Term_10</vt:lpstr>
      <vt:lpstr>Term_11</vt:lpstr>
      <vt:lpstr>Term_12</vt:lpstr>
      <vt:lpstr>Term_13</vt:lpstr>
      <vt:lpstr>Term_2</vt:lpstr>
      <vt:lpstr>Term_3</vt:lpstr>
      <vt:lpstr>Term_4</vt:lpstr>
      <vt:lpstr>Term_5</vt:lpstr>
      <vt:lpstr>Term_6</vt:lpstr>
      <vt:lpstr>Term_7</vt:lpstr>
      <vt:lpstr>Term_8</vt:lpstr>
      <vt:lpstr>Term_9</vt:lpstr>
      <vt:lpstr>Test</vt:lpstr>
      <vt:lpstr>Therapeutic_Whirlpool_Tub</vt:lpstr>
      <vt:lpstr>Total____of__Units_1</vt:lpstr>
      <vt:lpstr>Total____of__Units_10</vt:lpstr>
      <vt:lpstr>Total____of__Units_11</vt:lpstr>
      <vt:lpstr>Total____of__Units_12</vt:lpstr>
      <vt:lpstr>Total____of__Units_13</vt:lpstr>
      <vt:lpstr>Total____of__Units_14</vt:lpstr>
      <vt:lpstr>Total____of__Units_15</vt:lpstr>
      <vt:lpstr>Total____of__Units_16</vt:lpstr>
      <vt:lpstr>Total____of__Units_17</vt:lpstr>
      <vt:lpstr>Total____of__Units_18</vt:lpstr>
      <vt:lpstr>Total____of__Units_19</vt:lpstr>
      <vt:lpstr>Total____of__Units_2</vt:lpstr>
      <vt:lpstr>Total____of__Units_20</vt:lpstr>
      <vt:lpstr>Total____of__Units_21</vt:lpstr>
      <vt:lpstr>Total____of__Units_22</vt:lpstr>
      <vt:lpstr>Total____of__Units_23</vt:lpstr>
      <vt:lpstr>Total____of__Units_24</vt:lpstr>
      <vt:lpstr>Total____of__Units_25</vt:lpstr>
      <vt:lpstr>Total____of__Units_26</vt:lpstr>
      <vt:lpstr>Total____of__Units_27</vt:lpstr>
      <vt:lpstr>Total____of__Units_28</vt:lpstr>
      <vt:lpstr>Total____of__Units_29</vt:lpstr>
      <vt:lpstr>Total____of__Units_3</vt:lpstr>
      <vt:lpstr>Total____of__Units_30</vt:lpstr>
      <vt:lpstr>Total____of__Units_31</vt:lpstr>
      <vt:lpstr>Total____of__Units_32</vt:lpstr>
      <vt:lpstr>Total____of__Units_33</vt:lpstr>
      <vt:lpstr>Total____of__Units_34</vt:lpstr>
      <vt:lpstr>Total____of__Units_35</vt:lpstr>
      <vt:lpstr>Total____of__Units_36</vt:lpstr>
      <vt:lpstr>Total____of__Units_37</vt:lpstr>
      <vt:lpstr>Total____of__Units_38</vt:lpstr>
      <vt:lpstr>Total____of__Units_39</vt:lpstr>
      <vt:lpstr>Total____of__Units_4</vt:lpstr>
      <vt:lpstr>Total____of__Units_40</vt:lpstr>
      <vt:lpstr>Total____of__Units_41</vt:lpstr>
      <vt:lpstr>Total____of__Units_42</vt:lpstr>
      <vt:lpstr>Total____of__Units_43</vt:lpstr>
      <vt:lpstr>Total____of__Units_44</vt:lpstr>
      <vt:lpstr>Total____of__Units_45</vt:lpstr>
      <vt:lpstr>Total____of__Units_46</vt:lpstr>
      <vt:lpstr>Total____of__Units_47</vt:lpstr>
      <vt:lpstr>Total____of__Units_48</vt:lpstr>
      <vt:lpstr>Total____of__Units_49</vt:lpstr>
      <vt:lpstr>Total____of__Units_5</vt:lpstr>
      <vt:lpstr>Total____of__Units_50</vt:lpstr>
      <vt:lpstr>Total____of__Units_51</vt:lpstr>
      <vt:lpstr>Total____of__Units_52</vt:lpstr>
      <vt:lpstr>Total____of__Units_53</vt:lpstr>
      <vt:lpstr>Total____of__Units_54</vt:lpstr>
      <vt:lpstr>Total____of__Units_55</vt:lpstr>
      <vt:lpstr>Total____of__Units_56</vt:lpstr>
      <vt:lpstr>Total____of__Units_57</vt:lpstr>
      <vt:lpstr>Total____of__Units_58</vt:lpstr>
      <vt:lpstr>Total____of__Units_59</vt:lpstr>
      <vt:lpstr>Total____of__Units_6</vt:lpstr>
      <vt:lpstr>Total____of__Units_60</vt:lpstr>
      <vt:lpstr>Total____of__Units_61</vt:lpstr>
      <vt:lpstr>Total____of__Units_62</vt:lpstr>
      <vt:lpstr>Total____of__Units_63</vt:lpstr>
      <vt:lpstr>Total____of__Units_7</vt:lpstr>
      <vt:lpstr>Total____of__Units_8</vt:lpstr>
      <vt:lpstr>Total____of__Units_9</vt:lpstr>
      <vt:lpstr>Total_Buildable_Acreage</vt:lpstr>
      <vt:lpstr>Total_Operating_Expenses</vt:lpstr>
      <vt:lpstr>Total_Points</vt:lpstr>
      <vt:lpstr>Total_Site_Acreage</vt:lpstr>
      <vt:lpstr>Total_Units</vt:lpstr>
      <vt:lpstr>Total60Voucher</vt:lpstr>
      <vt:lpstr>TotalFundingSources</vt:lpstr>
      <vt:lpstr>Trash_Disposal_Chutes</vt:lpstr>
      <vt:lpstr>Tribal_Name</vt:lpstr>
      <vt:lpstr>'21. Location Score'!TypeOfControl</vt:lpstr>
      <vt:lpstr>'22. Tenants Served Score'!TypeOfControl</vt:lpstr>
      <vt:lpstr>'23. Building Design Score'!TypeOfControl</vt:lpstr>
      <vt:lpstr>'24. Development Process Score'!TypeOfControl</vt:lpstr>
      <vt:lpstr>TypeOfControl</vt:lpstr>
      <vt:lpstr>UM_Bathrooms_1</vt:lpstr>
      <vt:lpstr>UM_Bathrooms_10</vt:lpstr>
      <vt:lpstr>UM_Bathrooms_11</vt:lpstr>
      <vt:lpstr>UM_Bathrooms_12</vt:lpstr>
      <vt:lpstr>UM_Bathrooms_13</vt:lpstr>
      <vt:lpstr>UM_Bathrooms_14</vt:lpstr>
      <vt:lpstr>UM_Bathrooms_15</vt:lpstr>
      <vt:lpstr>UM_Bathrooms_16</vt:lpstr>
      <vt:lpstr>UM_Bathrooms_17</vt:lpstr>
      <vt:lpstr>UM_Bathrooms_18</vt:lpstr>
      <vt:lpstr>UM_Bathrooms_19</vt:lpstr>
      <vt:lpstr>UM_Bathrooms_2</vt:lpstr>
      <vt:lpstr>UM_Bathrooms_20</vt:lpstr>
      <vt:lpstr>UM_Bathrooms_21</vt:lpstr>
      <vt:lpstr>UM_Bathrooms_22</vt:lpstr>
      <vt:lpstr>UM_Bathrooms_23</vt:lpstr>
      <vt:lpstr>UM_Bathrooms_24</vt:lpstr>
      <vt:lpstr>UM_Bathrooms_25</vt:lpstr>
      <vt:lpstr>UM_Bathrooms_26</vt:lpstr>
      <vt:lpstr>UM_Bathrooms_27</vt:lpstr>
      <vt:lpstr>UM_Bathrooms_28</vt:lpstr>
      <vt:lpstr>UM_Bathrooms_29</vt:lpstr>
      <vt:lpstr>UM_Bathrooms_3</vt:lpstr>
      <vt:lpstr>UM_Bathrooms_30</vt:lpstr>
      <vt:lpstr>UM_Bathrooms_31</vt:lpstr>
      <vt:lpstr>UM_Bathrooms_32</vt:lpstr>
      <vt:lpstr>UM_Bathrooms_33</vt:lpstr>
      <vt:lpstr>UM_Bathrooms_34</vt:lpstr>
      <vt:lpstr>UM_Bathrooms_35</vt:lpstr>
      <vt:lpstr>UM_Bathrooms_36</vt:lpstr>
      <vt:lpstr>UM_Bathrooms_37</vt:lpstr>
      <vt:lpstr>UM_Bathrooms_38</vt:lpstr>
      <vt:lpstr>UM_Bathrooms_39</vt:lpstr>
      <vt:lpstr>UM_Bathrooms_4</vt:lpstr>
      <vt:lpstr>UM_Bathrooms_40</vt:lpstr>
      <vt:lpstr>UM_Bathrooms_41</vt:lpstr>
      <vt:lpstr>UM_Bathrooms_42</vt:lpstr>
      <vt:lpstr>UM_Bathrooms_43</vt:lpstr>
      <vt:lpstr>UM_Bathrooms_44</vt:lpstr>
      <vt:lpstr>UM_Bathrooms_45</vt:lpstr>
      <vt:lpstr>UM_Bathrooms_46</vt:lpstr>
      <vt:lpstr>UM_Bathrooms_47</vt:lpstr>
      <vt:lpstr>UM_Bathrooms_48</vt:lpstr>
      <vt:lpstr>UM_Bathrooms_49</vt:lpstr>
      <vt:lpstr>UM_Bathrooms_5</vt:lpstr>
      <vt:lpstr>UM_Bathrooms_50</vt:lpstr>
      <vt:lpstr>UM_Bathrooms_51</vt:lpstr>
      <vt:lpstr>UM_Bathrooms_52</vt:lpstr>
      <vt:lpstr>UM_Bathrooms_53</vt:lpstr>
      <vt:lpstr>UM_Bathrooms_54</vt:lpstr>
      <vt:lpstr>UM_Bathrooms_55</vt:lpstr>
      <vt:lpstr>UM_Bathrooms_56</vt:lpstr>
      <vt:lpstr>UM_Bathrooms_57</vt:lpstr>
      <vt:lpstr>UM_Bathrooms_58</vt:lpstr>
      <vt:lpstr>UM_Bathrooms_59</vt:lpstr>
      <vt:lpstr>UM_Bathrooms_6</vt:lpstr>
      <vt:lpstr>UM_Bathrooms_60</vt:lpstr>
      <vt:lpstr>UM_Bathrooms_61</vt:lpstr>
      <vt:lpstr>UM_Bathrooms_62</vt:lpstr>
      <vt:lpstr>UM_Bathrooms_63</vt:lpstr>
      <vt:lpstr>UM_Bathrooms_7</vt:lpstr>
      <vt:lpstr>UM_Bathrooms_8</vt:lpstr>
      <vt:lpstr>UM_Bathrooms_9</vt:lpstr>
      <vt:lpstr>UM_Bedroom_1</vt:lpstr>
      <vt:lpstr>UM_Bedroom_10</vt:lpstr>
      <vt:lpstr>UM_Bedroom_11</vt:lpstr>
      <vt:lpstr>UM_Bedroom_12</vt:lpstr>
      <vt:lpstr>UM_Bedroom_13</vt:lpstr>
      <vt:lpstr>UM_Bedroom_14</vt:lpstr>
      <vt:lpstr>UM_Bedroom_15</vt:lpstr>
      <vt:lpstr>UM_Bedroom_16</vt:lpstr>
      <vt:lpstr>UM_Bedroom_17</vt:lpstr>
      <vt:lpstr>UM_Bedroom_18</vt:lpstr>
      <vt:lpstr>UM_Bedroom_19</vt:lpstr>
      <vt:lpstr>UM_Bedroom_2</vt:lpstr>
      <vt:lpstr>UM_Bedroom_20</vt:lpstr>
      <vt:lpstr>UM_Bedroom_21</vt:lpstr>
      <vt:lpstr>UM_Bedroom_22</vt:lpstr>
      <vt:lpstr>UM_Bedroom_23</vt:lpstr>
      <vt:lpstr>UM_Bedroom_24</vt:lpstr>
      <vt:lpstr>UM_Bedroom_25</vt:lpstr>
      <vt:lpstr>UM_Bedroom_26</vt:lpstr>
      <vt:lpstr>UM_Bedroom_27</vt:lpstr>
      <vt:lpstr>UM_Bedroom_28</vt:lpstr>
      <vt:lpstr>UM_Bedroom_29</vt:lpstr>
      <vt:lpstr>UM_Bedroom_3</vt:lpstr>
      <vt:lpstr>UM_Bedroom_30</vt:lpstr>
      <vt:lpstr>UM_Bedroom_31</vt:lpstr>
      <vt:lpstr>UM_Bedroom_32</vt:lpstr>
      <vt:lpstr>UM_Bedroom_33</vt:lpstr>
      <vt:lpstr>UM_Bedroom_34</vt:lpstr>
      <vt:lpstr>UM_Bedroom_35</vt:lpstr>
      <vt:lpstr>UM_Bedroom_36</vt:lpstr>
      <vt:lpstr>UM_Bedroom_37</vt:lpstr>
      <vt:lpstr>UM_Bedroom_38</vt:lpstr>
      <vt:lpstr>UM_Bedroom_39</vt:lpstr>
      <vt:lpstr>UM_Bedroom_4</vt:lpstr>
      <vt:lpstr>UM_Bedroom_40</vt:lpstr>
      <vt:lpstr>UM_Bedroom_41</vt:lpstr>
      <vt:lpstr>UM_Bedroom_42</vt:lpstr>
      <vt:lpstr>UM_Bedroom_43</vt:lpstr>
      <vt:lpstr>UM_Bedroom_44</vt:lpstr>
      <vt:lpstr>UM_Bedroom_45</vt:lpstr>
      <vt:lpstr>UM_Bedroom_46</vt:lpstr>
      <vt:lpstr>UM_Bedroom_47</vt:lpstr>
      <vt:lpstr>UM_Bedroom_48</vt:lpstr>
      <vt:lpstr>UM_Bedroom_49</vt:lpstr>
      <vt:lpstr>UM_Bedroom_5</vt:lpstr>
      <vt:lpstr>UM_Bedroom_50</vt:lpstr>
      <vt:lpstr>UM_Bedroom_51</vt:lpstr>
      <vt:lpstr>UM_Bedroom_52</vt:lpstr>
      <vt:lpstr>UM_Bedroom_53</vt:lpstr>
      <vt:lpstr>UM_Bedroom_54</vt:lpstr>
      <vt:lpstr>UM_Bedroom_55</vt:lpstr>
      <vt:lpstr>UM_Bedroom_56</vt:lpstr>
      <vt:lpstr>UM_Bedroom_57</vt:lpstr>
      <vt:lpstr>UM_Bedroom_58</vt:lpstr>
      <vt:lpstr>UM_Bedroom_59</vt:lpstr>
      <vt:lpstr>UM_Bedroom_6</vt:lpstr>
      <vt:lpstr>UM_Bedroom_60</vt:lpstr>
      <vt:lpstr>UM_Bedroom_61</vt:lpstr>
      <vt:lpstr>UM_Bedroom_62</vt:lpstr>
      <vt:lpstr>UM_Bedroom_63</vt:lpstr>
      <vt:lpstr>UM_Bedroom_7</vt:lpstr>
      <vt:lpstr>UM_Bedroom_8</vt:lpstr>
      <vt:lpstr>UM_Bedroom_9</vt:lpstr>
      <vt:lpstr>UM_Net_SF_1</vt:lpstr>
      <vt:lpstr>UM_Net_SF_10</vt:lpstr>
      <vt:lpstr>UM_Net_SF_11</vt:lpstr>
      <vt:lpstr>UM_Net_SF_12</vt:lpstr>
      <vt:lpstr>UM_Net_SF_13</vt:lpstr>
      <vt:lpstr>UM_Net_SF_14</vt:lpstr>
      <vt:lpstr>UM_Net_SF_15</vt:lpstr>
      <vt:lpstr>UM_Net_SF_16</vt:lpstr>
      <vt:lpstr>UM_Net_SF_17</vt:lpstr>
      <vt:lpstr>UM_Net_SF_18</vt:lpstr>
      <vt:lpstr>UM_Net_SF_19</vt:lpstr>
      <vt:lpstr>UM_Net_SF_2</vt:lpstr>
      <vt:lpstr>UM_Net_SF_20</vt:lpstr>
      <vt:lpstr>UM_Net_SF_21</vt:lpstr>
      <vt:lpstr>UM_Net_SF_22</vt:lpstr>
      <vt:lpstr>UM_Net_SF_23</vt:lpstr>
      <vt:lpstr>UM_Net_SF_24</vt:lpstr>
      <vt:lpstr>UM_Net_SF_25</vt:lpstr>
      <vt:lpstr>UM_Net_SF_26</vt:lpstr>
      <vt:lpstr>UM_Net_SF_27</vt:lpstr>
      <vt:lpstr>UM_Net_SF_28</vt:lpstr>
      <vt:lpstr>UM_Net_SF_29</vt:lpstr>
      <vt:lpstr>UM_Net_SF_3</vt:lpstr>
      <vt:lpstr>UM_Net_SF_30</vt:lpstr>
      <vt:lpstr>UM_Net_SF_31</vt:lpstr>
      <vt:lpstr>UM_Net_SF_32</vt:lpstr>
      <vt:lpstr>UM_Net_SF_33</vt:lpstr>
      <vt:lpstr>UM_Net_SF_34</vt:lpstr>
      <vt:lpstr>UM_Net_SF_35</vt:lpstr>
      <vt:lpstr>UM_Net_SF_36</vt:lpstr>
      <vt:lpstr>UM_Net_SF_37</vt:lpstr>
      <vt:lpstr>UM_Net_SF_38</vt:lpstr>
      <vt:lpstr>UM_Net_SF_39</vt:lpstr>
      <vt:lpstr>UM_Net_SF_4</vt:lpstr>
      <vt:lpstr>UM_Net_SF_40</vt:lpstr>
      <vt:lpstr>UM_Net_SF_41</vt:lpstr>
      <vt:lpstr>UM_Net_SF_42</vt:lpstr>
      <vt:lpstr>UM_Net_SF_43</vt:lpstr>
      <vt:lpstr>UM_Net_SF_44</vt:lpstr>
      <vt:lpstr>UM_Net_SF_45</vt:lpstr>
      <vt:lpstr>UM_Net_SF_46</vt:lpstr>
      <vt:lpstr>UM_Net_SF_47</vt:lpstr>
      <vt:lpstr>UM_Net_SF_48</vt:lpstr>
      <vt:lpstr>UM_Net_SF_49</vt:lpstr>
      <vt:lpstr>UM_Net_SF_5</vt:lpstr>
      <vt:lpstr>UM_Net_SF_50</vt:lpstr>
      <vt:lpstr>UM_Net_SF_51</vt:lpstr>
      <vt:lpstr>UM_Net_SF_52</vt:lpstr>
      <vt:lpstr>UM_Net_SF_53</vt:lpstr>
      <vt:lpstr>UM_Net_SF_54</vt:lpstr>
      <vt:lpstr>UM_Net_SF_55</vt:lpstr>
      <vt:lpstr>UM_Net_SF_56</vt:lpstr>
      <vt:lpstr>UM_Net_SF_57</vt:lpstr>
      <vt:lpstr>UM_Net_SF_58</vt:lpstr>
      <vt:lpstr>UM_Net_SF_59</vt:lpstr>
      <vt:lpstr>UM_Net_SF_6</vt:lpstr>
      <vt:lpstr>UM_Net_SF_60</vt:lpstr>
      <vt:lpstr>UM_Net_SF_61</vt:lpstr>
      <vt:lpstr>UM_Net_SF_62</vt:lpstr>
      <vt:lpstr>UM_Net_SF_63</vt:lpstr>
      <vt:lpstr>UM_Net_SF_7</vt:lpstr>
      <vt:lpstr>UM_Net_SF_8</vt:lpstr>
      <vt:lpstr>UM_Net_SF_9</vt:lpstr>
      <vt:lpstr>UM_Rent_1</vt:lpstr>
      <vt:lpstr>UM_Rent_10</vt:lpstr>
      <vt:lpstr>UM_Rent_11</vt:lpstr>
      <vt:lpstr>UM_Rent_12</vt:lpstr>
      <vt:lpstr>UM_Rent_13</vt:lpstr>
      <vt:lpstr>UM_Rent_14</vt:lpstr>
      <vt:lpstr>UM_Rent_15</vt:lpstr>
      <vt:lpstr>UM_Rent_16</vt:lpstr>
      <vt:lpstr>UM_Rent_17</vt:lpstr>
      <vt:lpstr>UM_Rent_18</vt:lpstr>
      <vt:lpstr>UM_Rent_19</vt:lpstr>
      <vt:lpstr>UM_Rent_2</vt:lpstr>
      <vt:lpstr>UM_Rent_20</vt:lpstr>
      <vt:lpstr>UM_Rent_21</vt:lpstr>
      <vt:lpstr>UM_Rent_22</vt:lpstr>
      <vt:lpstr>UM_Rent_23</vt:lpstr>
      <vt:lpstr>UM_Rent_24</vt:lpstr>
      <vt:lpstr>UM_Rent_25</vt:lpstr>
      <vt:lpstr>UM_Rent_26</vt:lpstr>
      <vt:lpstr>UM_Rent_27</vt:lpstr>
      <vt:lpstr>UM_Rent_28</vt:lpstr>
      <vt:lpstr>UM_Rent_29</vt:lpstr>
      <vt:lpstr>UM_Rent_3</vt:lpstr>
      <vt:lpstr>UM_Rent_30</vt:lpstr>
      <vt:lpstr>UM_Rent_31</vt:lpstr>
      <vt:lpstr>UM_Rent_32</vt:lpstr>
      <vt:lpstr>UM_Rent_33</vt:lpstr>
      <vt:lpstr>UM_Rent_34</vt:lpstr>
      <vt:lpstr>UM_Rent_35</vt:lpstr>
      <vt:lpstr>UM_Rent_36</vt:lpstr>
      <vt:lpstr>UM_Rent_37</vt:lpstr>
      <vt:lpstr>UM_Rent_38</vt:lpstr>
      <vt:lpstr>UM_Rent_39</vt:lpstr>
      <vt:lpstr>UM_Rent_4</vt:lpstr>
      <vt:lpstr>UM_Rent_40</vt:lpstr>
      <vt:lpstr>UM_Rent_41</vt:lpstr>
      <vt:lpstr>UM_Rent_42</vt:lpstr>
      <vt:lpstr>UM_Rent_43</vt:lpstr>
      <vt:lpstr>UM_Rent_44</vt:lpstr>
      <vt:lpstr>UM_Rent_45</vt:lpstr>
      <vt:lpstr>UM_Rent_46</vt:lpstr>
      <vt:lpstr>UM_Rent_47</vt:lpstr>
      <vt:lpstr>UM_Rent_48</vt:lpstr>
      <vt:lpstr>UM_Rent_49</vt:lpstr>
      <vt:lpstr>UM_Rent_5</vt:lpstr>
      <vt:lpstr>UM_Rent_50</vt:lpstr>
      <vt:lpstr>UM_Rent_51</vt:lpstr>
      <vt:lpstr>UM_Rent_52</vt:lpstr>
      <vt:lpstr>UM_Rent_53</vt:lpstr>
      <vt:lpstr>UM_Rent_54</vt:lpstr>
      <vt:lpstr>UM_Rent_55</vt:lpstr>
      <vt:lpstr>UM_Rent_56</vt:lpstr>
      <vt:lpstr>UM_Rent_57</vt:lpstr>
      <vt:lpstr>UM_Rent_58</vt:lpstr>
      <vt:lpstr>UM_Rent_59</vt:lpstr>
      <vt:lpstr>UM_Rent_6</vt:lpstr>
      <vt:lpstr>UM_Rent_60</vt:lpstr>
      <vt:lpstr>UM_Rent_61</vt:lpstr>
      <vt:lpstr>UM_Rent_62</vt:lpstr>
      <vt:lpstr>UM_Rent_63</vt:lpstr>
      <vt:lpstr>UM_Rent_7</vt:lpstr>
      <vt:lpstr>UM_Rent_8</vt:lpstr>
      <vt:lpstr>UM_Rent_9</vt:lpstr>
      <vt:lpstr>Underground_Parking</vt:lpstr>
      <vt:lpstr>Underground_Rent_Per_Year</vt:lpstr>
      <vt:lpstr>Unit_Mix</vt:lpstr>
      <vt:lpstr>Unit_Mix_Analysis</vt:lpstr>
      <vt:lpstr>'21. Location Score'!UnitTypes</vt:lpstr>
      <vt:lpstr>'22. Tenants Served Score'!UnitTypes</vt:lpstr>
      <vt:lpstr>'23. Building Design Score'!UnitTypes</vt:lpstr>
      <vt:lpstr>'24. Development Process Score'!UnitTypes</vt:lpstr>
      <vt:lpstr>UnitTypes</vt:lpstr>
      <vt:lpstr>Universal_Design</vt:lpstr>
      <vt:lpstr>Universal_Design_Points</vt:lpstr>
      <vt:lpstr>US_Congress_District</vt:lpstr>
      <vt:lpstr>'21. Location Score'!UtilityApplianceType</vt:lpstr>
      <vt:lpstr>'22. Tenants Served Score'!UtilityApplianceType</vt:lpstr>
      <vt:lpstr>'23. Building Design Score'!UtilityApplianceType</vt:lpstr>
      <vt:lpstr>'24. Development Process Score'!UtilityApplianceType</vt:lpstr>
      <vt:lpstr>UtilityApplianceType</vt:lpstr>
      <vt:lpstr>UtilityApplicanceType</vt:lpstr>
      <vt:lpstr>'21. Location Score'!UtilityTypes</vt:lpstr>
      <vt:lpstr>'22. Tenants Served Score'!UtilityTypes</vt:lpstr>
      <vt:lpstr>'23. Building Design Score'!UtilityTypes</vt:lpstr>
      <vt:lpstr>'24. Development Process Score'!UtilityTypes</vt:lpstr>
      <vt:lpstr>UtilityTypes</vt:lpstr>
      <vt:lpstr>VASH_Vouchers_Number_of_Units</vt:lpstr>
      <vt:lpstr>Vehicle___Maintenace_Equipment_Operation___Repairs</vt:lpstr>
      <vt:lpstr>Veterans_Housing</vt:lpstr>
      <vt:lpstr>Veterans_Housing_Points</vt:lpstr>
      <vt:lpstr>Vetersn_Housing_Points</vt:lpstr>
      <vt:lpstr>Vinyl</vt:lpstr>
      <vt:lpstr>Voucher_CMI</vt:lpstr>
      <vt:lpstr>W_D_Hookups</vt:lpstr>
      <vt:lpstr>Walk_in_Closets</vt:lpstr>
      <vt:lpstr>Walking_Trails</vt:lpstr>
      <vt:lpstr>Washer_Dryer</vt:lpstr>
      <vt:lpstr>Water</vt:lpstr>
      <vt:lpstr>What_Score</vt:lpstr>
      <vt:lpstr>WHEDA_Loan_Signature_Page</vt:lpstr>
      <vt:lpstr>'21. Location Score'!WHEDA_Project_Number</vt:lpstr>
      <vt:lpstr>'22. Tenants Served Score'!WHEDA_Project_Number</vt:lpstr>
      <vt:lpstr>'23. Building Design Score'!WHEDA_Project_Number</vt:lpstr>
      <vt:lpstr>'24. Development Process Score'!WHEDA_Project_Number</vt:lpstr>
      <vt:lpstr>WHEDA_Project_Number</vt:lpstr>
      <vt:lpstr>WHEDATermSheet1</vt:lpstr>
      <vt:lpstr>WHEDATermSheet2</vt:lpstr>
      <vt:lpstr>WHEDATermSheet3</vt:lpstr>
      <vt:lpstr>WHEDATermSheet4</vt:lpstr>
      <vt:lpstr>WHEDATermSheet5</vt:lpstr>
      <vt:lpstr>Where_Score</vt:lpstr>
      <vt:lpstr>Who_Score</vt:lpstr>
      <vt:lpstr>Will_this_project_be_receiving_project_based_federal_rental_assistance?</vt:lpstr>
      <vt:lpstr>Will_this_project_be_utilizing_federal_assistance?</vt:lpstr>
      <vt:lpstr>Window_A_C</vt:lpstr>
      <vt:lpstr>Wisconsin_Assembly_District</vt:lpstr>
      <vt:lpstr>Wood</vt:lpstr>
      <vt:lpstr>Workforce_Housing_Communities</vt:lpstr>
      <vt:lpstr>Workforce_Housing_Points</vt:lpstr>
      <vt:lpstr>Workmen_s_Compensation</vt:lpstr>
      <vt:lpstr>Year_Built</vt:lpstr>
      <vt:lpstr>'21. Location Score'!YesNo</vt:lpstr>
      <vt:lpstr>'22. Tenants Served Score'!YesNo</vt:lpstr>
      <vt:lpstr>'23. Building Design Score'!YesNo</vt:lpstr>
      <vt:lpstr>'24. Development Process Score'!YesNo</vt:lpstr>
      <vt:lpstr>YesNo</vt:lpstr>
      <vt:lpstr>ZeroOneTwo</vt:lpstr>
      <vt:lpstr>Zoning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josh.fisher@wheda.com</dc:creator>
  <cp:keywords/>
  <dc:description/>
  <cp:lastModifiedBy>Matt Case</cp:lastModifiedBy>
  <cp:revision/>
  <dcterms:created xsi:type="dcterms:W3CDTF">2020-02-27T14:51:49Z</dcterms:created>
  <dcterms:modified xsi:type="dcterms:W3CDTF">2025-06-02T16:22:12Z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0x0101009D8F17D25AA8384AA27727847BFF0B3C</vt:lpwstr>
  </property>
  <property fmtid="{D5CDD505-2E9C-101B-9397-08002B2CF9AE}" pid="3" name="SchemaType">
    <vt:lpwstr>Tax Credit Deal</vt:lpwstr>
  </property>
  <property fmtid="{D5CDD505-2E9C-101B-9397-08002B2CF9AE}" pid="4" name="BeforeSendVBAMethod">
    <vt:lpwstr/>
  </property>
  <property fmtid="{D5CDD505-2E9C-101B-9397-08002B2CF9AE}" pid="5" name="SD_RESERVED_IsProtected">
    <vt:lpwstr>True</vt:lpwstr>
  </property>
  <property fmtid="{D5CDD505-2E9C-101B-9397-08002B2CF9AE}" pid="6" name="MediaServiceImageTags">
    <vt:lpwstr/>
  </property>
  <property fmtid="{D5CDD505-2E9C-101B-9397-08002B2CF9AE}" pid="7" name="SmartDoxTemplateName">
    <vt:lpwstr/>
  </property>
  <property fmtid="{D5CDD505-2E9C-101B-9397-08002B2CF9AE}" pid="8" name="AfterGetVBAMethod">
    <vt:lpwstr/>
  </property>
  <property fmtid="{D5CDD505-2E9C-101B-9397-08002B2CF9AE}" pid="9" name="BeforeGetVBAMethod">
    <vt:lpwstr/>
  </property>
  <property fmtid="{D5CDD505-2E9C-101B-9397-08002B2CF9AE}" pid="10" name="AfterSendVBAMethod">
    <vt:lpwstr/>
  </property>
  <property fmtid="{D5CDD505-2E9C-101B-9397-08002B2CF9AE}" pid="11" name="SD_RESERVED_Protection0«bZRdb9owFIb/yhG3k8JgXbtKgJSFUphAZDhbtt5ZyYGYOnZwnNL++52EEQfaG4Lf85HXz7EzChmE4972Lo5M8HTsF+vF6lPwd9jHzQ/LGZP7pPgTzfBweNwvDttZ8jDuwSIO6WFNhfV/5ha+P+7d9CAO2VmJw5i6c1libzKKWRTWv5Mg42qHsNS7UZ+WtfTTDyHQqrRc2bJVp0YXqT4qWIqyI4dGL4V6vl7Dihe">
    <vt:lpwstr>SD_RESERVED_Protection1«FUK7pwINoHbTLoQeUucfEAqvynJu3NvTFhZY64VZo1cZuXGyKZWJEcRH+6oFfFFIk5BwWaqtNfll/6wETFj8svvsfo61bo2Wrf/PgSavuXu49WB8VmjITBXCVtp4i5Lnb8Wdntk76pYQFP0d6CHQAG3klXmGOskDT6sxyMjOPAnjkhWtKHM8VTiSas0ql5BGYrkzSaT8gnM0wTZXU26VFSczXv11GB2od7NQSz8</vt:lpwstr>
  </property>
  <property fmtid="{D5CDD505-2E9C-101B-9397-08002B2CF9AE}" pid="12" name="SD_RESERVED_Protection2«BgSq8LuEwqeQlzcNsWYgprMk9xsnDVhLgGvMxgJvWxAbHBEs1L1yMhXvHXk7WVTtHBH9xf2Z8afgSWZJhWEt1xItYLl1VShjYNjsoNZEjszieqSejUE8EIVX3ggdXm0usEwvi9ErJhTKdH7N61IIxTfEGpC5qxrcnQHMqrrCgzWGZaphBkmDxLuktu4ii3rfH34Xj+MPVpA5zeTK/ntjIdhlHN7zSrD6J0K2ADU">
    <vt:lpwstr>SD_RESERVED_Protection3«255K23I5FLkojOqhUp0jleiH2xgRhfpJPRPH45+yCb/AA==§</vt:lpwstr>
  </property>
</Properties>
</file>